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s Claude 2\Sistema Inventario\ZP-MINV-Platform\releases\"/>
    </mc:Choice>
  </mc:AlternateContent>
  <xr:revisionPtr revIDLastSave="0" documentId="13_ncr:1_{A0E3D144-4C68-4666-81F3-E528054F47C2}" xr6:coauthVersionLast="47" xr6:coauthVersionMax="47" xr10:uidLastSave="{00000000-0000-0000-0000-000000000000}"/>
  <workbookProtection workbookPassword="930D" lockStructure="1"/>
  <bookViews>
    <workbookView xWindow="-120" yWindow="-120" windowWidth="29040" windowHeight="15720" xr2:uid="{00000000-000D-0000-FFFF-FFFF00000000}"/>
  </bookViews>
  <sheets>
    <sheet name="00_PORTADA" sheetId="1" r:id="rId1"/>
    <sheet name="01_CONFIG" sheetId="2" state="veryHidden" r:id="rId2"/>
    <sheet name="03_CATEGORIAS" sheetId="3" state="veryHidden" r:id="rId3"/>
    <sheet name="04_PROVEEDORES" sheetId="4" r:id="rId4"/>
    <sheet name="05_PRODUCTOS" sheetId="5" r:id="rId5"/>
    <sheet name="06_UNIDADES" sheetId="6" state="veryHidden" r:id="rId6"/>
    <sheet name="10_MOVIMIENTOS" sheetId="7" r:id="rId7"/>
    <sheet name="13_CONTEO" sheetId="8" r:id="rId8"/>
    <sheet name="15_STOCK" sheetId="9" r:id="rId9"/>
    <sheet name="16_ALERTAS" sheetId="10" r:id="rId10"/>
    <sheet name="17_KARDEX" sheetId="11" r:id="rId11"/>
    <sheet name="18_PEDIDO" sheetId="12" r:id="rId12"/>
    <sheet name="90_LISTAS" sheetId="13" state="veryHidden" r:id="rId13"/>
    <sheet name="91_KPIS" sheetId="14" state="veryHidden" r:id="rId14"/>
    <sheet name="99_AYUDA" sheetId="15" r:id="rId15"/>
  </sheets>
  <definedNames>
    <definedName name="_xlnm._FilterDatabase" localSheetId="9" hidden="1">'16_ALERTAS'!$B$7:$O$507</definedName>
    <definedName name="_xlnm._FilterDatabase" localSheetId="11" hidden="1">'18_PEDIDO'!$B$14:$M$514</definedName>
    <definedName name="cfgBodega">'01_CONFIG'!$C$11</definedName>
    <definedName name="cfgDiasSinRotacion">'01_CONFIG'!$C$14</definedName>
    <definedName name="cfgEdicion">'01_CONFIG'!$C$17</definedName>
    <definedName name="cfgEmpresa">'01_CONFIG'!$C$9</definedName>
    <definedName name="cfgFechaBuild">'01_CONFIG'!$C$18</definedName>
    <definedName name="cfgFechaMin">'01_CONFIG'!$C$15</definedName>
    <definedName name="cfgMargenAlerta">'01_CONFIG'!$C$13</definedName>
    <definedName name="cfgMoneda">'01_CONFIG'!$C$12</definedName>
    <definedName name="cfgNIT">'01_CONFIG'!$C$10</definedName>
    <definedName name="cfgProveedor">'01_CONFIG'!$C$19</definedName>
    <definedName name="cfgSelladoHasta">'01_CONFIG'!$C$20</definedName>
    <definedName name="cfgVersion">'01_CONFIG'!$C$16</definedName>
    <definedName name="ctFecha">'13_CONTEO'!$K$5</definedName>
    <definedName name="ctResponsable">'13_CONTEO'!$M$5</definedName>
    <definedName name="irBitacora">INDEX('10_MOVIMIENTOS'!$C:$C,MIN(kpiFilaLibreMov,5007))</definedName>
    <definedName name="irConsultar">'17_KARDEX'!$H$8</definedName>
    <definedName name="irFilaLibreProd">INDEX('05_PRODUCTOS'!$B:$B,MIN(kpiFilaLibreProd,507))</definedName>
    <definedName name="irFilaLibreProv">INDEX('04_PROVEEDORES'!$B:$B,MIN(kpiFilaLibreProv,107))</definedName>
    <definedName name="irPrimerAdvertencia">INDEX(tblMovimientos[Fecha],MATCH("⚠*",tblMovimientos[Estado],0))</definedName>
    <definedName name="irPrimerError">INDEX(tblMovimientos[Fecha],MATCH("✖*",tblMovimientos[Estado],0))</definedName>
    <definedName name="irPrimerosPasos">'99_AYUDA'!$B$9</definedName>
    <definedName name="irRegistrar">irBitacora</definedName>
    <definedName name="irSiguientePaso">CHOOSE(kpiPaso,irPrimerError,irPrimerosPasos,irFilaLibreProd,irRegistrar,irPrimerAdvertencia,'13_CONTEO'!$I$8,'18_PEDIDO'!$D$10,'18_PEDIDO'!$D$10,'15_STOCK'!$A$1,'15_STOCK'!$A$1)</definedName>
    <definedName name="kpiActivos">'91_KPIS'!$C$9</definedName>
    <definedName name="kpiAdvertencias">'91_KPIS'!$C$34</definedName>
    <definedName name="kpiAgotados">'91_KPIS'!$C$11</definedName>
    <definedName name="kpiBajos">'91_KPIS'!$C$13</definedName>
    <definedName name="kpiCapacidad">'91_KPIS'!$C$24</definedName>
    <definedName name="kpiCatalogo">'91_KPIS'!$C$8</definedName>
    <definedName name="kpiCategorias">'91_KPIS'!$C$22</definedName>
    <definedName name="kpiConSaldoInicial">'91_KPIS'!$C$35</definedName>
    <definedName name="kpiConteoContados">'91_KPIS'!$C$37</definedName>
    <definedName name="kpiConteoDif">'91_KPIS'!$C$38</definedName>
    <definedName name="kpiConteoValor">'91_KPIS'!$C$39</definedName>
    <definedName name="kpiCriticos">'91_KPIS'!$C$12</definedName>
    <definedName name="kpiEgrMes">'91_KPIS'!$C$31</definedName>
    <definedName name="kpiEnAlerta">'91_KPIS'!$C$17</definedName>
    <definedName name="kpiErrores">'91_KPIS'!$C$33</definedName>
    <definedName name="kpiFilaLibreMov">'91_KPIS'!$C$26</definedName>
    <definedName name="kpiFilaLibreProd">'91_KPIS'!$C$27</definedName>
    <definedName name="kpiFilaLibreProv">'91_KPIS'!$C$28</definedName>
    <definedName name="kpiInactivos">'91_KPIS'!$C$16</definedName>
    <definedName name="kpiInconsistentes">'91_KPIS'!$C$10</definedName>
    <definedName name="kpiIngMes">'91_KPIS'!$C$30</definedName>
    <definedName name="kpiMovMes">'91_KPIS'!$C$29</definedName>
    <definedName name="kpiOperativos">'91_KPIS'!$C$36</definedName>
    <definedName name="kpiOptimos">'91_KPIS'!$C$14</definedName>
    <definedName name="kpiPaso">'91_KPIS'!$C$51</definedName>
    <definedName name="kpiPasoNivel">'91_KPIS'!$C$52</definedName>
    <definedName name="kpiPedidoLineas">'91_KPIS'!$C$41</definedName>
    <definedName name="kpiPedidoProv">'91_KPIS'!$C$43</definedName>
    <definedName name="kpiPedidoTotal">'91_KPIS'!$C$42</definedName>
    <definedName name="kpiProveedores">'91_KPIS'!$C$21</definedName>
    <definedName name="kpiRegistros">'91_KPIS'!$C$23</definedName>
    <definedName name="kpiSinRotacion">'91_KPIS'!$C$19</definedName>
    <definedName name="kpiSobrestock">'91_KPIS'!$C$15</definedName>
    <definedName name="kpiUltFecha">'91_KPIS'!$C$32</definedName>
    <definedName name="kpiUltimoID">'91_KPIS'!$C$25</definedName>
    <definedName name="kpiValor">'91_KPIS'!$C$18</definedName>
    <definedName name="kpiValorSinRot">'91_KPIS'!$C$20</definedName>
    <definedName name="kxBuscar">'17_KARDEX'!$E$8</definedName>
    <definedName name="kxCategoria">'17_KARDEX'!$B$8</definedName>
    <definedName name="kxCoinciden">'91_KPIS'!$C$50</definedName>
    <definedName name="kxExiste">'91_KPIS'!$C$46</definedName>
    <definedName name="kxFila">'91_KPIS'!$C$45</definedName>
    <definedName name="kxMostrados">'91_KPIS'!$C$49</definedName>
    <definedName name="kxN">'91_KPIS'!$C$47</definedName>
    <definedName name="kxProducto">'17_KARDEX'!$H$8</definedName>
    <definedName name="kxSKU">'91_KPIS'!$C$44</definedName>
    <definedName name="kxStock">'91_KPIS'!$C$48</definedName>
    <definedName name="lfKardex">IF(COUNT('90_LISTAS'!$O$8:$O$507)=0,'90_LISTAS'!$P$4,'90_LISTAS'!$P$8:INDEX('90_LISTAS'!$P$8:$P$507,COUNT('90_LISTAS'!$O$8:$O$507)))</definedName>
    <definedName name="lpBase">'90_LISTAS'!$J$7</definedName>
    <definedName name="lpCat">'90_LISTAS'!$I$8:$I$507</definedName>
    <definedName name="lpTodos">IF(COUNTIF('90_LISTAS'!$J$8:$J$507,"?*")=0,'90_LISTAS'!$J$4,'90_LISTAS'!$J$8:INDEX('90_LISTAS'!$J$8:$J$507,COUNTIF('90_LISTAS'!$J$8:$J$507,"?*")))</definedName>
    <definedName name="lpVacio">'90_LISTAS'!$J$4</definedName>
    <definedName name="lstCategorias">tblCategorias[Categoría]</definedName>
    <definedName name="lstFiltroProv">'90_LISTAS'!$R$8:INDEX('90_LISTAS'!$R$8:$R$108,1+COUNTIF('90_LISTAS'!$T$8:$T$107,"?*"))</definedName>
    <definedName name="lstProveedores">IF(COUNTIF('90_LISTAS'!$T$8:$T$107,"?*")=0,'90_LISTAS'!$T$4,'90_LISTAS'!$T$8:INDEX('90_LISTAS'!$T$8:$T$107,COUNTIF('90_LISTAS'!$T$8:$T$107,"?*")))</definedName>
    <definedName name="lstResponsables">tblResponsables[Nombre]</definedName>
    <definedName name="lstTiposMov">tblTiposMov[Tipo]</definedName>
    <definedName name="lstUniCod">tblUnidades[Código]</definedName>
    <definedName name="lstUniDec">tblUnidades[Decimales]</definedName>
    <definedName name="pdProveedor">'18_PEDIDO'!$D$10</definedName>
    <definedName name="pdProvFila">'91_KPIS'!$C$40</definedName>
    <definedName name="_xlnm.Print_Titles" localSheetId="3">'04_PROVEEDORES'!$7:$7</definedName>
    <definedName name="_xlnm.Print_Titles" localSheetId="4">'05_PRODUCTOS'!$7:$7</definedName>
    <definedName name="_xlnm.Print_Titles" localSheetId="6">'10_MOVIMIENTOS'!$7:$7</definedName>
    <definedName name="_xlnm.Print_Titles" localSheetId="7">'13_CONTEO'!$7:$7</definedName>
    <definedName name="_xlnm.Print_Titles" localSheetId="8">'15_STOCK'!$7:$7</definedName>
    <definedName name="_xlnm.Print_Titles" localSheetId="9">'16_ALERTAS'!$7:$7</definedName>
    <definedName name="_xlnm.Print_Titles" localSheetId="11">'18_PEDIDO'!$14:$14</definedName>
    <definedName name="txtActivosNota">'91_KPIS'!$C$55</definedName>
    <definedName name="txtAgotNota">'91_KPIS'!$C$56</definedName>
    <definedName name="txtAlertasBtn">'91_KPIS'!$C$64</definedName>
    <definedName name="txtBajosNota">'91_KPIS'!$C$58</definedName>
    <definedName name="txtBitacora">'91_KPIS'!$C$75</definedName>
    <definedName name="txtChipAgot">'91_KPIS'!$C$70</definedName>
    <definedName name="txtChipBajo">'91_KPIS'!$C$72</definedName>
    <definedName name="txtChipCrit">'91_KPIS'!$C$71</definedName>
    <definedName name="txtChipIncons">'91_KPIS'!$C$74</definedName>
    <definedName name="txtChipSobre">'91_KPIS'!$C$73</definedName>
    <definedName name="txtConteoContados">'91_KPIS'!$C$78</definedName>
    <definedName name="txtConteoDif">'91_KPIS'!$C$79</definedName>
    <definedName name="txtConteoValor">'91_KPIS'!$C$80</definedName>
    <definedName name="txtCritNota">'91_KPIS'!$C$57</definedName>
    <definedName name="txtEmpresa">'91_KPIS'!$C$76</definedName>
    <definedName name="txtEnAlerta">'91_KPIS'!$C$69</definedName>
    <definedName name="txtIntegridad">'91_KPIS'!$C$63</definedName>
    <definedName name="txtKardexCoinciden">'91_KPIS'!$C$87</definedName>
    <definedName name="txtKardexMeta">'91_KPIS'!$C$88</definedName>
    <definedName name="txtKardexMostrando">'91_KPIS'!$C$90</definedName>
    <definedName name="txtKardexResumen">'91_KPIS'!$C$86</definedName>
    <definedName name="txtKardexTotales">'91_KPIS'!$C$89</definedName>
    <definedName name="txtMovNota">'91_KPIS'!$C$61</definedName>
    <definedName name="txtOptNota">'91_KPIS'!$C$59</definedName>
    <definedName name="txtPaso">'91_KPIS'!$C$53</definedName>
    <definedName name="txtPasoBoton">'91_KPIS'!$C$54</definedName>
    <definedName name="txtPedidoContacto">'91_KPIS'!$C$84</definedName>
    <definedName name="txtPedidoEntrega">'91_KPIS'!$C$85</definedName>
    <definedName name="txtPedidoLineas">'91_KPIS'!$C$81</definedName>
    <definedName name="txtPedidoResumen">'91_KPIS'!$C$83</definedName>
    <definedName name="txtPedidoTotal">'91_KPIS'!$C$82</definedName>
    <definedName name="txtProductos">'91_KPIS'!$C$66</definedName>
    <definedName name="txtProveedores">'91_KPIS'!$C$67</definedName>
    <definedName name="txtRegistros">'91_KPIS'!$C$65</definedName>
    <definedName name="txtSinRotNota">'91_KPIS'!$C$62</definedName>
    <definedName name="txtUltimoRegistro">'91_KPIS'!$C$77</definedName>
    <definedName name="txtValor">'91_KPIS'!$C$68</definedName>
    <definedName name="txtValorNota">'91_KPIS'!$C$60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5" l="1"/>
  <c r="D54" i="15"/>
  <c r="B54" i="15"/>
  <c r="E53" i="15"/>
  <c r="D53" i="15"/>
  <c r="B53" i="15"/>
  <c r="E52" i="15"/>
  <c r="D52" i="15"/>
  <c r="B52" i="15"/>
  <c r="E51" i="15"/>
  <c r="D51" i="15"/>
  <c r="B51" i="15"/>
  <c r="E50" i="15"/>
  <c r="D50" i="15"/>
  <c r="B50" i="15"/>
  <c r="B46" i="15"/>
  <c r="D45" i="15"/>
  <c r="D44" i="15"/>
  <c r="D43" i="15"/>
  <c r="D42" i="15"/>
  <c r="D41" i="15"/>
  <c r="D40" i="15"/>
  <c r="D39" i="15"/>
  <c r="C10" i="15"/>
  <c r="B10" i="15"/>
  <c r="C76" i="14"/>
  <c r="C60" i="14"/>
  <c r="C58" i="14"/>
  <c r="C57" i="14"/>
  <c r="F46" i="14"/>
  <c r="F45" i="14"/>
  <c r="F44" i="14"/>
  <c r="C44" i="14"/>
  <c r="F43" i="14"/>
  <c r="F42" i="14"/>
  <c r="F41" i="14"/>
  <c r="C40" i="14"/>
  <c r="C37" i="14"/>
  <c r="C32" i="14"/>
  <c r="C31" i="14"/>
  <c r="C30" i="14"/>
  <c r="C29" i="14"/>
  <c r="C28" i="14"/>
  <c r="C27" i="14"/>
  <c r="C24" i="14"/>
  <c r="C22" i="14"/>
  <c r="C21" i="14"/>
  <c r="F8" i="14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S107" i="13"/>
  <c r="C107" i="13"/>
  <c r="S106" i="13"/>
  <c r="C106" i="13"/>
  <c r="S105" i="13"/>
  <c r="C105" i="13"/>
  <c r="S104" i="13"/>
  <c r="C104" i="13"/>
  <c r="S103" i="13"/>
  <c r="C103" i="13"/>
  <c r="S102" i="13"/>
  <c r="C102" i="13"/>
  <c r="S101" i="13"/>
  <c r="C101" i="13"/>
  <c r="S100" i="13"/>
  <c r="C100" i="13"/>
  <c r="S99" i="13"/>
  <c r="C99" i="13"/>
  <c r="S98" i="13"/>
  <c r="C98" i="13"/>
  <c r="S97" i="13"/>
  <c r="C97" i="13"/>
  <c r="S96" i="13"/>
  <c r="C96" i="13"/>
  <c r="S95" i="13"/>
  <c r="C95" i="13"/>
  <c r="S94" i="13"/>
  <c r="C94" i="13"/>
  <c r="S93" i="13"/>
  <c r="C93" i="13"/>
  <c r="S92" i="13"/>
  <c r="C92" i="13"/>
  <c r="S91" i="13"/>
  <c r="C91" i="13"/>
  <c r="S90" i="13"/>
  <c r="C90" i="13"/>
  <c r="S89" i="13"/>
  <c r="C89" i="13"/>
  <c r="S88" i="13"/>
  <c r="C88" i="13"/>
  <c r="S87" i="13"/>
  <c r="C87" i="13"/>
  <c r="S86" i="13"/>
  <c r="C86" i="13"/>
  <c r="S85" i="13"/>
  <c r="C85" i="13"/>
  <c r="S84" i="13"/>
  <c r="C84" i="13"/>
  <c r="S83" i="13"/>
  <c r="C83" i="13"/>
  <c r="S82" i="13"/>
  <c r="C82" i="13"/>
  <c r="S81" i="13"/>
  <c r="C81" i="13"/>
  <c r="S80" i="13"/>
  <c r="C80" i="13"/>
  <c r="S79" i="13"/>
  <c r="C79" i="13"/>
  <c r="S78" i="13"/>
  <c r="C78" i="13"/>
  <c r="S77" i="13"/>
  <c r="C77" i="13"/>
  <c r="S76" i="13"/>
  <c r="C76" i="13"/>
  <c r="S75" i="13"/>
  <c r="C75" i="13"/>
  <c r="S74" i="13"/>
  <c r="C74" i="13"/>
  <c r="S73" i="13"/>
  <c r="C73" i="13"/>
  <c r="S72" i="13"/>
  <c r="C72" i="13"/>
  <c r="S71" i="13"/>
  <c r="C71" i="13"/>
  <c r="S70" i="13"/>
  <c r="C70" i="13"/>
  <c r="S69" i="13"/>
  <c r="C69" i="13"/>
  <c r="S68" i="13"/>
  <c r="C68" i="13"/>
  <c r="S67" i="13"/>
  <c r="C67" i="13"/>
  <c r="S66" i="13"/>
  <c r="C66" i="13"/>
  <c r="S65" i="13"/>
  <c r="C65" i="13"/>
  <c r="S64" i="13"/>
  <c r="C64" i="13"/>
  <c r="S63" i="13"/>
  <c r="C63" i="13"/>
  <c r="S62" i="13"/>
  <c r="C62" i="13"/>
  <c r="S61" i="13"/>
  <c r="C61" i="13"/>
  <c r="S60" i="13"/>
  <c r="C60" i="13"/>
  <c r="S59" i="13"/>
  <c r="C59" i="13"/>
  <c r="S58" i="13"/>
  <c r="C58" i="13"/>
  <c r="S57" i="13"/>
  <c r="C57" i="13"/>
  <c r="S56" i="13"/>
  <c r="C56" i="13"/>
  <c r="S55" i="13"/>
  <c r="C55" i="13"/>
  <c r="S54" i="13"/>
  <c r="C54" i="13"/>
  <c r="S53" i="13"/>
  <c r="C53" i="13"/>
  <c r="S52" i="13"/>
  <c r="C52" i="13"/>
  <c r="S51" i="13"/>
  <c r="C51" i="13"/>
  <c r="S50" i="13"/>
  <c r="C50" i="13"/>
  <c r="S49" i="13"/>
  <c r="C49" i="13"/>
  <c r="S48" i="13"/>
  <c r="C48" i="13"/>
  <c r="S47" i="13"/>
  <c r="C47" i="13"/>
  <c r="S46" i="13"/>
  <c r="C46" i="13"/>
  <c r="S45" i="13"/>
  <c r="C45" i="13"/>
  <c r="S44" i="13"/>
  <c r="C44" i="13"/>
  <c r="S43" i="13"/>
  <c r="C43" i="13"/>
  <c r="S42" i="13"/>
  <c r="C42" i="13"/>
  <c r="S41" i="13"/>
  <c r="C41" i="13"/>
  <c r="S40" i="13"/>
  <c r="C40" i="13"/>
  <c r="S39" i="13"/>
  <c r="C39" i="13"/>
  <c r="S38" i="13"/>
  <c r="C38" i="13"/>
  <c r="S37" i="13"/>
  <c r="C37" i="13"/>
  <c r="S36" i="13"/>
  <c r="C36" i="13"/>
  <c r="S35" i="13"/>
  <c r="C35" i="13"/>
  <c r="S34" i="13"/>
  <c r="C34" i="13"/>
  <c r="S33" i="13"/>
  <c r="C33" i="13"/>
  <c r="S32" i="13"/>
  <c r="C32" i="13"/>
  <c r="S31" i="13"/>
  <c r="C31" i="13"/>
  <c r="S30" i="13"/>
  <c r="C30" i="13"/>
  <c r="S29" i="13"/>
  <c r="C29" i="13"/>
  <c r="S28" i="13"/>
  <c r="C28" i="13"/>
  <c r="S27" i="13"/>
  <c r="C27" i="13"/>
  <c r="S26" i="13"/>
  <c r="C26" i="13"/>
  <c r="S25" i="13"/>
  <c r="C25" i="13"/>
  <c r="S24" i="13"/>
  <c r="C24" i="13"/>
  <c r="S23" i="13"/>
  <c r="C23" i="13"/>
  <c r="S22" i="13"/>
  <c r="C22" i="13"/>
  <c r="S21" i="13"/>
  <c r="C21" i="13"/>
  <c r="S20" i="13"/>
  <c r="C20" i="13"/>
  <c r="S19" i="13"/>
  <c r="C19" i="13"/>
  <c r="S18" i="13"/>
  <c r="C18" i="13"/>
  <c r="S17" i="13"/>
  <c r="C17" i="13"/>
  <c r="S16" i="13"/>
  <c r="C16" i="13"/>
  <c r="S15" i="13"/>
  <c r="C15" i="13"/>
  <c r="S14" i="13"/>
  <c r="C14" i="13"/>
  <c r="S13" i="13"/>
  <c r="C13" i="13"/>
  <c r="S12" i="13"/>
  <c r="C12" i="13"/>
  <c r="S11" i="13"/>
  <c r="C11" i="13"/>
  <c r="S10" i="13"/>
  <c r="C10" i="13"/>
  <c r="S9" i="13"/>
  <c r="C9" i="13"/>
  <c r="S8" i="13"/>
  <c r="C8" i="13"/>
  <c r="J9" i="12"/>
  <c r="J8" i="12"/>
  <c r="B8" i="12"/>
  <c r="B7" i="12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D407" i="9" s="1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P390" i="9" s="1"/>
  <c r="L390" i="14" s="1"/>
  <c r="B389" i="9"/>
  <c r="B388" i="9"/>
  <c r="B387" i="9"/>
  <c r="B386" i="9"/>
  <c r="B385" i="9"/>
  <c r="B384" i="9"/>
  <c r="B383" i="9"/>
  <c r="B382" i="9"/>
  <c r="B381" i="9"/>
  <c r="B380" i="9"/>
  <c r="B379" i="9"/>
  <c r="B378" i="9"/>
  <c r="Q378" i="9" s="1"/>
  <c r="R378" i="9" s="1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M5007" i="7"/>
  <c r="J5007" i="7"/>
  <c r="K5007" i="7" s="1"/>
  <c r="L5007" i="7" s="1"/>
  <c r="G5007" i="7"/>
  <c r="H5007" i="7" s="1"/>
  <c r="B5007" i="7"/>
  <c r="M5006" i="7"/>
  <c r="J5006" i="7"/>
  <c r="K5006" i="7" s="1"/>
  <c r="L5006" i="7" s="1"/>
  <c r="G5006" i="7"/>
  <c r="H5006" i="7" s="1"/>
  <c r="B5006" i="7"/>
  <c r="M5005" i="7"/>
  <c r="J5005" i="7"/>
  <c r="K5005" i="7" s="1"/>
  <c r="L5005" i="7" s="1"/>
  <c r="G5005" i="7"/>
  <c r="H5005" i="7" s="1"/>
  <c r="B5005" i="7"/>
  <c r="M5004" i="7"/>
  <c r="J5004" i="7"/>
  <c r="K5004" i="7" s="1"/>
  <c r="L5004" i="7" s="1"/>
  <c r="G5004" i="7"/>
  <c r="H5004" i="7" s="1"/>
  <c r="B5004" i="7"/>
  <c r="M5003" i="7"/>
  <c r="J5003" i="7"/>
  <c r="K5003" i="7" s="1"/>
  <c r="L5003" i="7" s="1"/>
  <c r="G5003" i="7"/>
  <c r="H5003" i="7" s="1"/>
  <c r="B5003" i="7"/>
  <c r="M5002" i="7"/>
  <c r="J5002" i="7"/>
  <c r="K5002" i="7" s="1"/>
  <c r="L5002" i="7" s="1"/>
  <c r="G5002" i="7"/>
  <c r="H5002" i="7" s="1"/>
  <c r="B5002" i="7"/>
  <c r="M5001" i="7"/>
  <c r="J5001" i="7"/>
  <c r="K5001" i="7" s="1"/>
  <c r="L5001" i="7" s="1"/>
  <c r="G5001" i="7"/>
  <c r="H5001" i="7" s="1"/>
  <c r="B5001" i="7"/>
  <c r="M5000" i="7"/>
  <c r="J5000" i="7"/>
  <c r="K5000" i="7" s="1"/>
  <c r="L5000" i="7" s="1"/>
  <c r="G5000" i="7"/>
  <c r="H5000" i="7" s="1"/>
  <c r="B5000" i="7"/>
  <c r="M4999" i="7"/>
  <c r="J4999" i="7"/>
  <c r="K4999" i="7" s="1"/>
  <c r="L4999" i="7" s="1"/>
  <c r="G4999" i="7"/>
  <c r="H4999" i="7" s="1"/>
  <c r="B4999" i="7"/>
  <c r="M4998" i="7"/>
  <c r="J4998" i="7"/>
  <c r="K4998" i="7" s="1"/>
  <c r="L4998" i="7" s="1"/>
  <c r="G4998" i="7"/>
  <c r="H4998" i="7" s="1"/>
  <c r="B4998" i="7"/>
  <c r="M4997" i="7"/>
  <c r="J4997" i="7"/>
  <c r="K4997" i="7" s="1"/>
  <c r="L4997" i="7" s="1"/>
  <c r="G4997" i="7"/>
  <c r="H4997" i="7" s="1"/>
  <c r="B4997" i="7"/>
  <c r="M4996" i="7"/>
  <c r="J4996" i="7"/>
  <c r="K4996" i="7" s="1"/>
  <c r="L4996" i="7" s="1"/>
  <c r="G4996" i="7"/>
  <c r="H4996" i="7" s="1"/>
  <c r="B4996" i="7"/>
  <c r="M4995" i="7"/>
  <c r="J4995" i="7"/>
  <c r="K4995" i="7" s="1"/>
  <c r="L4995" i="7" s="1"/>
  <c r="G4995" i="7"/>
  <c r="H4995" i="7" s="1"/>
  <c r="B4995" i="7"/>
  <c r="M4994" i="7"/>
  <c r="J4994" i="7"/>
  <c r="K4994" i="7" s="1"/>
  <c r="L4994" i="7" s="1"/>
  <c r="G4994" i="7"/>
  <c r="H4994" i="7" s="1"/>
  <c r="B4994" i="7"/>
  <c r="M4993" i="7"/>
  <c r="J4993" i="7"/>
  <c r="K4993" i="7" s="1"/>
  <c r="L4993" i="7" s="1"/>
  <c r="G4993" i="7"/>
  <c r="H4993" i="7" s="1"/>
  <c r="B4993" i="7"/>
  <c r="M4992" i="7"/>
  <c r="J4992" i="7"/>
  <c r="K4992" i="7" s="1"/>
  <c r="L4992" i="7" s="1"/>
  <c r="G4992" i="7"/>
  <c r="H4992" i="7" s="1"/>
  <c r="B4992" i="7"/>
  <c r="M4991" i="7"/>
  <c r="J4991" i="7"/>
  <c r="K4991" i="7" s="1"/>
  <c r="L4991" i="7" s="1"/>
  <c r="G4991" i="7"/>
  <c r="H4991" i="7" s="1"/>
  <c r="B4991" i="7"/>
  <c r="M4990" i="7"/>
  <c r="J4990" i="7"/>
  <c r="K4990" i="7" s="1"/>
  <c r="L4990" i="7" s="1"/>
  <c r="G4990" i="7"/>
  <c r="H4990" i="7" s="1"/>
  <c r="B4990" i="7"/>
  <c r="M4989" i="7"/>
  <c r="J4989" i="7"/>
  <c r="K4989" i="7" s="1"/>
  <c r="L4989" i="7" s="1"/>
  <c r="G4989" i="7"/>
  <c r="H4989" i="7" s="1"/>
  <c r="B4989" i="7"/>
  <c r="M4988" i="7"/>
  <c r="J4988" i="7"/>
  <c r="K4988" i="7" s="1"/>
  <c r="L4988" i="7" s="1"/>
  <c r="G4988" i="7"/>
  <c r="H4988" i="7" s="1"/>
  <c r="B4988" i="7"/>
  <c r="M4987" i="7"/>
  <c r="J4987" i="7"/>
  <c r="K4987" i="7" s="1"/>
  <c r="L4987" i="7" s="1"/>
  <c r="G4987" i="7"/>
  <c r="H4987" i="7" s="1"/>
  <c r="B4987" i="7"/>
  <c r="M4986" i="7"/>
  <c r="J4986" i="7"/>
  <c r="K4986" i="7" s="1"/>
  <c r="L4986" i="7" s="1"/>
  <c r="G4986" i="7"/>
  <c r="H4986" i="7" s="1"/>
  <c r="B4986" i="7"/>
  <c r="M4985" i="7"/>
  <c r="J4985" i="7"/>
  <c r="K4985" i="7" s="1"/>
  <c r="L4985" i="7" s="1"/>
  <c r="G4985" i="7"/>
  <c r="H4985" i="7" s="1"/>
  <c r="B4985" i="7"/>
  <c r="M4984" i="7"/>
  <c r="J4984" i="7"/>
  <c r="K4984" i="7" s="1"/>
  <c r="L4984" i="7" s="1"/>
  <c r="G4984" i="7"/>
  <c r="H4984" i="7" s="1"/>
  <c r="B4984" i="7"/>
  <c r="M4983" i="7"/>
  <c r="J4983" i="7"/>
  <c r="K4983" i="7" s="1"/>
  <c r="L4983" i="7" s="1"/>
  <c r="G4983" i="7"/>
  <c r="H4983" i="7" s="1"/>
  <c r="B4983" i="7"/>
  <c r="M4982" i="7"/>
  <c r="J4982" i="7"/>
  <c r="K4982" i="7" s="1"/>
  <c r="L4982" i="7" s="1"/>
  <c r="G4982" i="7"/>
  <c r="H4982" i="7" s="1"/>
  <c r="B4982" i="7"/>
  <c r="M4981" i="7"/>
  <c r="J4981" i="7"/>
  <c r="K4981" i="7" s="1"/>
  <c r="L4981" i="7" s="1"/>
  <c r="G4981" i="7"/>
  <c r="H4981" i="7" s="1"/>
  <c r="B4981" i="7"/>
  <c r="M4980" i="7"/>
  <c r="J4980" i="7"/>
  <c r="K4980" i="7" s="1"/>
  <c r="L4980" i="7" s="1"/>
  <c r="G4980" i="7"/>
  <c r="H4980" i="7" s="1"/>
  <c r="B4980" i="7"/>
  <c r="M4979" i="7"/>
  <c r="J4979" i="7"/>
  <c r="K4979" i="7" s="1"/>
  <c r="L4979" i="7" s="1"/>
  <c r="G4979" i="7"/>
  <c r="H4979" i="7" s="1"/>
  <c r="B4979" i="7"/>
  <c r="M4978" i="7"/>
  <c r="J4978" i="7"/>
  <c r="K4978" i="7" s="1"/>
  <c r="L4978" i="7" s="1"/>
  <c r="G4978" i="7"/>
  <c r="H4978" i="7" s="1"/>
  <c r="B4978" i="7"/>
  <c r="M4977" i="7"/>
  <c r="J4977" i="7"/>
  <c r="K4977" i="7" s="1"/>
  <c r="L4977" i="7" s="1"/>
  <c r="G4977" i="7"/>
  <c r="H4977" i="7" s="1"/>
  <c r="B4977" i="7"/>
  <c r="M4976" i="7"/>
  <c r="J4976" i="7"/>
  <c r="K4976" i="7" s="1"/>
  <c r="L4976" i="7" s="1"/>
  <c r="G4976" i="7"/>
  <c r="H4976" i="7" s="1"/>
  <c r="B4976" i="7"/>
  <c r="M4975" i="7"/>
  <c r="J4975" i="7"/>
  <c r="K4975" i="7" s="1"/>
  <c r="L4975" i="7" s="1"/>
  <c r="G4975" i="7"/>
  <c r="H4975" i="7" s="1"/>
  <c r="B4975" i="7"/>
  <c r="M4974" i="7"/>
  <c r="J4974" i="7"/>
  <c r="K4974" i="7" s="1"/>
  <c r="L4974" i="7" s="1"/>
  <c r="G4974" i="7"/>
  <c r="H4974" i="7" s="1"/>
  <c r="B4974" i="7"/>
  <c r="M4973" i="7"/>
  <c r="J4973" i="7"/>
  <c r="K4973" i="7" s="1"/>
  <c r="L4973" i="7" s="1"/>
  <c r="G4973" i="7"/>
  <c r="H4973" i="7" s="1"/>
  <c r="B4973" i="7"/>
  <c r="M4972" i="7"/>
  <c r="J4972" i="7"/>
  <c r="K4972" i="7" s="1"/>
  <c r="L4972" i="7" s="1"/>
  <c r="G4972" i="7"/>
  <c r="H4972" i="7" s="1"/>
  <c r="B4972" i="7"/>
  <c r="M4971" i="7"/>
  <c r="J4971" i="7"/>
  <c r="K4971" i="7" s="1"/>
  <c r="L4971" i="7" s="1"/>
  <c r="G4971" i="7"/>
  <c r="H4971" i="7" s="1"/>
  <c r="B4971" i="7"/>
  <c r="M4970" i="7"/>
  <c r="J4970" i="7"/>
  <c r="K4970" i="7" s="1"/>
  <c r="L4970" i="7" s="1"/>
  <c r="G4970" i="7"/>
  <c r="H4970" i="7" s="1"/>
  <c r="B4970" i="7"/>
  <c r="M4969" i="7"/>
  <c r="J4969" i="7"/>
  <c r="K4969" i="7" s="1"/>
  <c r="L4969" i="7" s="1"/>
  <c r="G4969" i="7"/>
  <c r="H4969" i="7" s="1"/>
  <c r="B4969" i="7"/>
  <c r="M4968" i="7"/>
  <c r="J4968" i="7"/>
  <c r="K4968" i="7" s="1"/>
  <c r="L4968" i="7" s="1"/>
  <c r="G4968" i="7"/>
  <c r="H4968" i="7" s="1"/>
  <c r="B4968" i="7"/>
  <c r="M4967" i="7"/>
  <c r="J4967" i="7"/>
  <c r="K4967" i="7" s="1"/>
  <c r="L4967" i="7" s="1"/>
  <c r="G4967" i="7"/>
  <c r="H4967" i="7" s="1"/>
  <c r="B4967" i="7"/>
  <c r="M4966" i="7"/>
  <c r="J4966" i="7"/>
  <c r="K4966" i="7" s="1"/>
  <c r="L4966" i="7" s="1"/>
  <c r="G4966" i="7"/>
  <c r="H4966" i="7" s="1"/>
  <c r="B4966" i="7"/>
  <c r="M4965" i="7"/>
  <c r="J4965" i="7"/>
  <c r="K4965" i="7" s="1"/>
  <c r="L4965" i="7" s="1"/>
  <c r="G4965" i="7"/>
  <c r="H4965" i="7" s="1"/>
  <c r="B4965" i="7"/>
  <c r="M4964" i="7"/>
  <c r="J4964" i="7"/>
  <c r="K4964" i="7" s="1"/>
  <c r="L4964" i="7" s="1"/>
  <c r="G4964" i="7"/>
  <c r="H4964" i="7" s="1"/>
  <c r="B4964" i="7"/>
  <c r="M4963" i="7"/>
  <c r="J4963" i="7"/>
  <c r="K4963" i="7" s="1"/>
  <c r="L4963" i="7" s="1"/>
  <c r="G4963" i="7"/>
  <c r="H4963" i="7" s="1"/>
  <c r="B4963" i="7"/>
  <c r="M4962" i="7"/>
  <c r="J4962" i="7"/>
  <c r="K4962" i="7" s="1"/>
  <c r="L4962" i="7" s="1"/>
  <c r="G4962" i="7"/>
  <c r="H4962" i="7" s="1"/>
  <c r="B4962" i="7"/>
  <c r="M4961" i="7"/>
  <c r="J4961" i="7"/>
  <c r="K4961" i="7" s="1"/>
  <c r="L4961" i="7" s="1"/>
  <c r="G4961" i="7"/>
  <c r="H4961" i="7" s="1"/>
  <c r="B4961" i="7"/>
  <c r="M4960" i="7"/>
  <c r="J4960" i="7"/>
  <c r="K4960" i="7" s="1"/>
  <c r="L4960" i="7" s="1"/>
  <c r="G4960" i="7"/>
  <c r="H4960" i="7" s="1"/>
  <c r="B4960" i="7"/>
  <c r="M4959" i="7"/>
  <c r="J4959" i="7"/>
  <c r="K4959" i="7" s="1"/>
  <c r="L4959" i="7" s="1"/>
  <c r="G4959" i="7"/>
  <c r="H4959" i="7" s="1"/>
  <c r="B4959" i="7"/>
  <c r="M4958" i="7"/>
  <c r="J4958" i="7"/>
  <c r="K4958" i="7" s="1"/>
  <c r="L4958" i="7" s="1"/>
  <c r="G4958" i="7"/>
  <c r="H4958" i="7" s="1"/>
  <c r="B4958" i="7"/>
  <c r="M4957" i="7"/>
  <c r="J4957" i="7"/>
  <c r="K4957" i="7" s="1"/>
  <c r="L4957" i="7" s="1"/>
  <c r="G4957" i="7"/>
  <c r="H4957" i="7" s="1"/>
  <c r="B4957" i="7"/>
  <c r="M4956" i="7"/>
  <c r="J4956" i="7"/>
  <c r="K4956" i="7" s="1"/>
  <c r="L4956" i="7" s="1"/>
  <c r="G4956" i="7"/>
  <c r="H4956" i="7" s="1"/>
  <c r="B4956" i="7"/>
  <c r="M4955" i="7"/>
  <c r="J4955" i="7"/>
  <c r="K4955" i="7" s="1"/>
  <c r="L4955" i="7" s="1"/>
  <c r="G4955" i="7"/>
  <c r="H4955" i="7" s="1"/>
  <c r="B4955" i="7"/>
  <c r="M4954" i="7"/>
  <c r="J4954" i="7"/>
  <c r="K4954" i="7" s="1"/>
  <c r="L4954" i="7" s="1"/>
  <c r="G4954" i="7"/>
  <c r="H4954" i="7" s="1"/>
  <c r="B4954" i="7"/>
  <c r="M4953" i="7"/>
  <c r="J4953" i="7"/>
  <c r="K4953" i="7" s="1"/>
  <c r="L4953" i="7" s="1"/>
  <c r="G4953" i="7"/>
  <c r="H4953" i="7" s="1"/>
  <c r="B4953" i="7"/>
  <c r="M4952" i="7"/>
  <c r="J4952" i="7"/>
  <c r="K4952" i="7" s="1"/>
  <c r="L4952" i="7" s="1"/>
  <c r="G4952" i="7"/>
  <c r="H4952" i="7" s="1"/>
  <c r="B4952" i="7"/>
  <c r="M4951" i="7"/>
  <c r="J4951" i="7"/>
  <c r="K4951" i="7" s="1"/>
  <c r="L4951" i="7" s="1"/>
  <c r="G4951" i="7"/>
  <c r="H4951" i="7" s="1"/>
  <c r="B4951" i="7"/>
  <c r="M4950" i="7"/>
  <c r="J4950" i="7"/>
  <c r="K4950" i="7" s="1"/>
  <c r="L4950" i="7" s="1"/>
  <c r="G4950" i="7"/>
  <c r="H4950" i="7" s="1"/>
  <c r="B4950" i="7"/>
  <c r="M4949" i="7"/>
  <c r="J4949" i="7"/>
  <c r="K4949" i="7" s="1"/>
  <c r="L4949" i="7" s="1"/>
  <c r="G4949" i="7"/>
  <c r="H4949" i="7" s="1"/>
  <c r="B4949" i="7"/>
  <c r="M4948" i="7"/>
  <c r="J4948" i="7"/>
  <c r="K4948" i="7" s="1"/>
  <c r="L4948" i="7" s="1"/>
  <c r="G4948" i="7"/>
  <c r="H4948" i="7" s="1"/>
  <c r="B4948" i="7"/>
  <c r="M4947" i="7"/>
  <c r="J4947" i="7"/>
  <c r="K4947" i="7" s="1"/>
  <c r="L4947" i="7" s="1"/>
  <c r="G4947" i="7"/>
  <c r="H4947" i="7" s="1"/>
  <c r="B4947" i="7"/>
  <c r="M4946" i="7"/>
  <c r="J4946" i="7"/>
  <c r="K4946" i="7" s="1"/>
  <c r="L4946" i="7" s="1"/>
  <c r="G4946" i="7"/>
  <c r="H4946" i="7" s="1"/>
  <c r="B4946" i="7"/>
  <c r="M4945" i="7"/>
  <c r="J4945" i="7"/>
  <c r="K4945" i="7" s="1"/>
  <c r="L4945" i="7" s="1"/>
  <c r="G4945" i="7"/>
  <c r="H4945" i="7" s="1"/>
  <c r="B4945" i="7"/>
  <c r="M4944" i="7"/>
  <c r="J4944" i="7"/>
  <c r="K4944" i="7" s="1"/>
  <c r="L4944" i="7" s="1"/>
  <c r="G4944" i="7"/>
  <c r="H4944" i="7" s="1"/>
  <c r="B4944" i="7"/>
  <c r="M4943" i="7"/>
  <c r="J4943" i="7"/>
  <c r="K4943" i="7" s="1"/>
  <c r="L4943" i="7" s="1"/>
  <c r="G4943" i="7"/>
  <c r="H4943" i="7" s="1"/>
  <c r="B4943" i="7"/>
  <c r="M4942" i="7"/>
  <c r="J4942" i="7"/>
  <c r="K4942" i="7" s="1"/>
  <c r="L4942" i="7" s="1"/>
  <c r="G4942" i="7"/>
  <c r="H4942" i="7" s="1"/>
  <c r="B4942" i="7"/>
  <c r="M4941" i="7"/>
  <c r="J4941" i="7"/>
  <c r="K4941" i="7" s="1"/>
  <c r="L4941" i="7" s="1"/>
  <c r="G4941" i="7"/>
  <c r="H4941" i="7" s="1"/>
  <c r="B4941" i="7"/>
  <c r="M4940" i="7"/>
  <c r="J4940" i="7"/>
  <c r="K4940" i="7" s="1"/>
  <c r="L4940" i="7" s="1"/>
  <c r="G4940" i="7"/>
  <c r="H4940" i="7" s="1"/>
  <c r="B4940" i="7"/>
  <c r="M4939" i="7"/>
  <c r="J4939" i="7"/>
  <c r="K4939" i="7" s="1"/>
  <c r="L4939" i="7" s="1"/>
  <c r="G4939" i="7"/>
  <c r="H4939" i="7" s="1"/>
  <c r="B4939" i="7"/>
  <c r="M4938" i="7"/>
  <c r="J4938" i="7"/>
  <c r="K4938" i="7" s="1"/>
  <c r="L4938" i="7" s="1"/>
  <c r="G4938" i="7"/>
  <c r="H4938" i="7" s="1"/>
  <c r="B4938" i="7"/>
  <c r="M4937" i="7"/>
  <c r="J4937" i="7"/>
  <c r="K4937" i="7" s="1"/>
  <c r="L4937" i="7" s="1"/>
  <c r="G4937" i="7"/>
  <c r="H4937" i="7" s="1"/>
  <c r="B4937" i="7"/>
  <c r="M4936" i="7"/>
  <c r="J4936" i="7"/>
  <c r="K4936" i="7" s="1"/>
  <c r="L4936" i="7" s="1"/>
  <c r="G4936" i="7"/>
  <c r="H4936" i="7" s="1"/>
  <c r="B4936" i="7"/>
  <c r="M4935" i="7"/>
  <c r="J4935" i="7"/>
  <c r="K4935" i="7" s="1"/>
  <c r="L4935" i="7" s="1"/>
  <c r="G4935" i="7"/>
  <c r="H4935" i="7" s="1"/>
  <c r="B4935" i="7"/>
  <c r="M4934" i="7"/>
  <c r="J4934" i="7"/>
  <c r="K4934" i="7" s="1"/>
  <c r="L4934" i="7" s="1"/>
  <c r="G4934" i="7"/>
  <c r="H4934" i="7" s="1"/>
  <c r="B4934" i="7"/>
  <c r="M4933" i="7"/>
  <c r="J4933" i="7"/>
  <c r="K4933" i="7" s="1"/>
  <c r="L4933" i="7" s="1"/>
  <c r="G4933" i="7"/>
  <c r="H4933" i="7" s="1"/>
  <c r="B4933" i="7"/>
  <c r="M4932" i="7"/>
  <c r="J4932" i="7"/>
  <c r="K4932" i="7" s="1"/>
  <c r="L4932" i="7" s="1"/>
  <c r="G4932" i="7"/>
  <c r="H4932" i="7" s="1"/>
  <c r="B4932" i="7"/>
  <c r="M4931" i="7"/>
  <c r="J4931" i="7"/>
  <c r="K4931" i="7" s="1"/>
  <c r="L4931" i="7" s="1"/>
  <c r="G4931" i="7"/>
  <c r="H4931" i="7" s="1"/>
  <c r="B4931" i="7"/>
  <c r="M4930" i="7"/>
  <c r="J4930" i="7"/>
  <c r="K4930" i="7" s="1"/>
  <c r="L4930" i="7" s="1"/>
  <c r="G4930" i="7"/>
  <c r="H4930" i="7" s="1"/>
  <c r="B4930" i="7"/>
  <c r="M4929" i="7"/>
  <c r="J4929" i="7"/>
  <c r="K4929" i="7" s="1"/>
  <c r="L4929" i="7" s="1"/>
  <c r="G4929" i="7"/>
  <c r="H4929" i="7" s="1"/>
  <c r="B4929" i="7"/>
  <c r="M4928" i="7"/>
  <c r="J4928" i="7"/>
  <c r="K4928" i="7" s="1"/>
  <c r="L4928" i="7" s="1"/>
  <c r="G4928" i="7"/>
  <c r="H4928" i="7" s="1"/>
  <c r="B4928" i="7"/>
  <c r="M4927" i="7"/>
  <c r="J4927" i="7"/>
  <c r="K4927" i="7" s="1"/>
  <c r="L4927" i="7" s="1"/>
  <c r="G4927" i="7"/>
  <c r="H4927" i="7" s="1"/>
  <c r="B4927" i="7"/>
  <c r="M4926" i="7"/>
  <c r="J4926" i="7"/>
  <c r="K4926" i="7" s="1"/>
  <c r="L4926" i="7" s="1"/>
  <c r="G4926" i="7"/>
  <c r="H4926" i="7" s="1"/>
  <c r="B4926" i="7"/>
  <c r="M4925" i="7"/>
  <c r="J4925" i="7"/>
  <c r="K4925" i="7" s="1"/>
  <c r="L4925" i="7" s="1"/>
  <c r="G4925" i="7"/>
  <c r="H4925" i="7" s="1"/>
  <c r="B4925" i="7"/>
  <c r="M4924" i="7"/>
  <c r="J4924" i="7"/>
  <c r="K4924" i="7" s="1"/>
  <c r="L4924" i="7" s="1"/>
  <c r="G4924" i="7"/>
  <c r="H4924" i="7" s="1"/>
  <c r="B4924" i="7"/>
  <c r="M4923" i="7"/>
  <c r="J4923" i="7"/>
  <c r="K4923" i="7" s="1"/>
  <c r="L4923" i="7" s="1"/>
  <c r="G4923" i="7"/>
  <c r="H4923" i="7" s="1"/>
  <c r="B4923" i="7"/>
  <c r="M4922" i="7"/>
  <c r="J4922" i="7"/>
  <c r="K4922" i="7" s="1"/>
  <c r="L4922" i="7" s="1"/>
  <c r="G4922" i="7"/>
  <c r="H4922" i="7" s="1"/>
  <c r="B4922" i="7"/>
  <c r="M4921" i="7"/>
  <c r="J4921" i="7"/>
  <c r="K4921" i="7" s="1"/>
  <c r="L4921" i="7" s="1"/>
  <c r="G4921" i="7"/>
  <c r="H4921" i="7" s="1"/>
  <c r="B4921" i="7"/>
  <c r="M4920" i="7"/>
  <c r="J4920" i="7"/>
  <c r="K4920" i="7" s="1"/>
  <c r="L4920" i="7" s="1"/>
  <c r="G4920" i="7"/>
  <c r="H4920" i="7" s="1"/>
  <c r="B4920" i="7"/>
  <c r="M4919" i="7"/>
  <c r="J4919" i="7"/>
  <c r="K4919" i="7" s="1"/>
  <c r="L4919" i="7" s="1"/>
  <c r="G4919" i="7"/>
  <c r="H4919" i="7" s="1"/>
  <c r="B4919" i="7"/>
  <c r="M4918" i="7"/>
  <c r="J4918" i="7"/>
  <c r="K4918" i="7" s="1"/>
  <c r="L4918" i="7" s="1"/>
  <c r="G4918" i="7"/>
  <c r="H4918" i="7" s="1"/>
  <c r="B4918" i="7"/>
  <c r="M4917" i="7"/>
  <c r="J4917" i="7"/>
  <c r="K4917" i="7" s="1"/>
  <c r="L4917" i="7" s="1"/>
  <c r="G4917" i="7"/>
  <c r="H4917" i="7" s="1"/>
  <c r="B4917" i="7"/>
  <c r="M4916" i="7"/>
  <c r="J4916" i="7"/>
  <c r="K4916" i="7" s="1"/>
  <c r="L4916" i="7" s="1"/>
  <c r="G4916" i="7"/>
  <c r="H4916" i="7" s="1"/>
  <c r="B4916" i="7"/>
  <c r="M4915" i="7"/>
  <c r="J4915" i="7"/>
  <c r="K4915" i="7" s="1"/>
  <c r="L4915" i="7" s="1"/>
  <c r="G4915" i="7"/>
  <c r="H4915" i="7" s="1"/>
  <c r="B4915" i="7"/>
  <c r="M4914" i="7"/>
  <c r="J4914" i="7"/>
  <c r="K4914" i="7" s="1"/>
  <c r="L4914" i="7" s="1"/>
  <c r="G4914" i="7"/>
  <c r="H4914" i="7" s="1"/>
  <c r="B4914" i="7"/>
  <c r="M4913" i="7"/>
  <c r="J4913" i="7"/>
  <c r="K4913" i="7" s="1"/>
  <c r="L4913" i="7" s="1"/>
  <c r="G4913" i="7"/>
  <c r="H4913" i="7" s="1"/>
  <c r="B4913" i="7"/>
  <c r="M4912" i="7"/>
  <c r="J4912" i="7"/>
  <c r="K4912" i="7" s="1"/>
  <c r="L4912" i="7" s="1"/>
  <c r="G4912" i="7"/>
  <c r="H4912" i="7" s="1"/>
  <c r="B4912" i="7"/>
  <c r="M4911" i="7"/>
  <c r="J4911" i="7"/>
  <c r="K4911" i="7" s="1"/>
  <c r="L4911" i="7" s="1"/>
  <c r="G4911" i="7"/>
  <c r="H4911" i="7" s="1"/>
  <c r="B4911" i="7"/>
  <c r="M4910" i="7"/>
  <c r="J4910" i="7"/>
  <c r="K4910" i="7" s="1"/>
  <c r="L4910" i="7" s="1"/>
  <c r="G4910" i="7"/>
  <c r="H4910" i="7" s="1"/>
  <c r="B4910" i="7"/>
  <c r="M4909" i="7"/>
  <c r="J4909" i="7"/>
  <c r="K4909" i="7" s="1"/>
  <c r="L4909" i="7" s="1"/>
  <c r="G4909" i="7"/>
  <c r="H4909" i="7" s="1"/>
  <c r="B4909" i="7"/>
  <c r="M4908" i="7"/>
  <c r="J4908" i="7"/>
  <c r="K4908" i="7" s="1"/>
  <c r="L4908" i="7" s="1"/>
  <c r="G4908" i="7"/>
  <c r="H4908" i="7" s="1"/>
  <c r="B4908" i="7"/>
  <c r="M4907" i="7"/>
  <c r="J4907" i="7"/>
  <c r="K4907" i="7" s="1"/>
  <c r="L4907" i="7" s="1"/>
  <c r="G4907" i="7"/>
  <c r="H4907" i="7" s="1"/>
  <c r="B4907" i="7"/>
  <c r="M4906" i="7"/>
  <c r="J4906" i="7"/>
  <c r="K4906" i="7" s="1"/>
  <c r="L4906" i="7" s="1"/>
  <c r="G4906" i="7"/>
  <c r="H4906" i="7" s="1"/>
  <c r="B4906" i="7"/>
  <c r="M4905" i="7"/>
  <c r="J4905" i="7"/>
  <c r="K4905" i="7" s="1"/>
  <c r="L4905" i="7" s="1"/>
  <c r="G4905" i="7"/>
  <c r="H4905" i="7" s="1"/>
  <c r="B4905" i="7"/>
  <c r="M4904" i="7"/>
  <c r="J4904" i="7"/>
  <c r="K4904" i="7" s="1"/>
  <c r="L4904" i="7" s="1"/>
  <c r="G4904" i="7"/>
  <c r="H4904" i="7" s="1"/>
  <c r="B4904" i="7"/>
  <c r="M4903" i="7"/>
  <c r="J4903" i="7"/>
  <c r="K4903" i="7" s="1"/>
  <c r="L4903" i="7" s="1"/>
  <c r="G4903" i="7"/>
  <c r="H4903" i="7" s="1"/>
  <c r="B4903" i="7"/>
  <c r="M4902" i="7"/>
  <c r="J4902" i="7"/>
  <c r="K4902" i="7" s="1"/>
  <c r="L4902" i="7" s="1"/>
  <c r="G4902" i="7"/>
  <c r="H4902" i="7" s="1"/>
  <c r="B4902" i="7"/>
  <c r="M4901" i="7"/>
  <c r="J4901" i="7"/>
  <c r="K4901" i="7" s="1"/>
  <c r="L4901" i="7" s="1"/>
  <c r="G4901" i="7"/>
  <c r="H4901" i="7" s="1"/>
  <c r="B4901" i="7"/>
  <c r="M4900" i="7"/>
  <c r="J4900" i="7"/>
  <c r="K4900" i="7" s="1"/>
  <c r="L4900" i="7" s="1"/>
  <c r="G4900" i="7"/>
  <c r="H4900" i="7" s="1"/>
  <c r="B4900" i="7"/>
  <c r="M4899" i="7"/>
  <c r="J4899" i="7"/>
  <c r="K4899" i="7" s="1"/>
  <c r="L4899" i="7" s="1"/>
  <c r="G4899" i="7"/>
  <c r="H4899" i="7" s="1"/>
  <c r="B4899" i="7"/>
  <c r="M4898" i="7"/>
  <c r="J4898" i="7"/>
  <c r="K4898" i="7" s="1"/>
  <c r="L4898" i="7" s="1"/>
  <c r="G4898" i="7"/>
  <c r="H4898" i="7" s="1"/>
  <c r="B4898" i="7"/>
  <c r="M4897" i="7"/>
  <c r="J4897" i="7"/>
  <c r="K4897" i="7" s="1"/>
  <c r="L4897" i="7" s="1"/>
  <c r="G4897" i="7"/>
  <c r="H4897" i="7" s="1"/>
  <c r="B4897" i="7"/>
  <c r="M4896" i="7"/>
  <c r="J4896" i="7"/>
  <c r="K4896" i="7" s="1"/>
  <c r="L4896" i="7" s="1"/>
  <c r="G4896" i="7"/>
  <c r="H4896" i="7" s="1"/>
  <c r="B4896" i="7"/>
  <c r="M4895" i="7"/>
  <c r="J4895" i="7"/>
  <c r="K4895" i="7" s="1"/>
  <c r="L4895" i="7" s="1"/>
  <c r="G4895" i="7"/>
  <c r="H4895" i="7" s="1"/>
  <c r="B4895" i="7"/>
  <c r="M4894" i="7"/>
  <c r="J4894" i="7"/>
  <c r="K4894" i="7" s="1"/>
  <c r="L4894" i="7" s="1"/>
  <c r="G4894" i="7"/>
  <c r="H4894" i="7" s="1"/>
  <c r="B4894" i="7"/>
  <c r="M4893" i="7"/>
  <c r="J4893" i="7"/>
  <c r="K4893" i="7" s="1"/>
  <c r="L4893" i="7" s="1"/>
  <c r="G4893" i="7"/>
  <c r="H4893" i="7" s="1"/>
  <c r="B4893" i="7"/>
  <c r="M4892" i="7"/>
  <c r="J4892" i="7"/>
  <c r="K4892" i="7" s="1"/>
  <c r="L4892" i="7" s="1"/>
  <c r="G4892" i="7"/>
  <c r="H4892" i="7" s="1"/>
  <c r="B4892" i="7"/>
  <c r="M4891" i="7"/>
  <c r="J4891" i="7"/>
  <c r="K4891" i="7" s="1"/>
  <c r="L4891" i="7" s="1"/>
  <c r="G4891" i="7"/>
  <c r="H4891" i="7" s="1"/>
  <c r="B4891" i="7"/>
  <c r="M4890" i="7"/>
  <c r="J4890" i="7"/>
  <c r="K4890" i="7" s="1"/>
  <c r="L4890" i="7" s="1"/>
  <c r="G4890" i="7"/>
  <c r="H4890" i="7" s="1"/>
  <c r="B4890" i="7"/>
  <c r="M4889" i="7"/>
  <c r="J4889" i="7"/>
  <c r="K4889" i="7" s="1"/>
  <c r="L4889" i="7" s="1"/>
  <c r="G4889" i="7"/>
  <c r="H4889" i="7" s="1"/>
  <c r="B4889" i="7"/>
  <c r="M4888" i="7"/>
  <c r="J4888" i="7"/>
  <c r="K4888" i="7" s="1"/>
  <c r="L4888" i="7" s="1"/>
  <c r="G4888" i="7"/>
  <c r="H4888" i="7" s="1"/>
  <c r="B4888" i="7"/>
  <c r="M4887" i="7"/>
  <c r="J4887" i="7"/>
  <c r="K4887" i="7" s="1"/>
  <c r="L4887" i="7" s="1"/>
  <c r="G4887" i="7"/>
  <c r="H4887" i="7" s="1"/>
  <c r="B4887" i="7"/>
  <c r="M4886" i="7"/>
  <c r="J4886" i="7"/>
  <c r="K4886" i="7" s="1"/>
  <c r="L4886" i="7" s="1"/>
  <c r="G4886" i="7"/>
  <c r="H4886" i="7" s="1"/>
  <c r="B4886" i="7"/>
  <c r="M4885" i="7"/>
  <c r="J4885" i="7"/>
  <c r="K4885" i="7" s="1"/>
  <c r="L4885" i="7" s="1"/>
  <c r="G4885" i="7"/>
  <c r="H4885" i="7" s="1"/>
  <c r="B4885" i="7"/>
  <c r="M4884" i="7"/>
  <c r="J4884" i="7"/>
  <c r="K4884" i="7" s="1"/>
  <c r="L4884" i="7" s="1"/>
  <c r="G4884" i="7"/>
  <c r="H4884" i="7" s="1"/>
  <c r="B4884" i="7"/>
  <c r="M4883" i="7"/>
  <c r="J4883" i="7"/>
  <c r="K4883" i="7" s="1"/>
  <c r="L4883" i="7" s="1"/>
  <c r="G4883" i="7"/>
  <c r="H4883" i="7" s="1"/>
  <c r="B4883" i="7"/>
  <c r="M4882" i="7"/>
  <c r="J4882" i="7"/>
  <c r="K4882" i="7" s="1"/>
  <c r="L4882" i="7" s="1"/>
  <c r="G4882" i="7"/>
  <c r="H4882" i="7" s="1"/>
  <c r="B4882" i="7"/>
  <c r="M4881" i="7"/>
  <c r="J4881" i="7"/>
  <c r="K4881" i="7" s="1"/>
  <c r="L4881" i="7" s="1"/>
  <c r="G4881" i="7"/>
  <c r="H4881" i="7" s="1"/>
  <c r="B4881" i="7"/>
  <c r="M4880" i="7"/>
  <c r="J4880" i="7"/>
  <c r="K4880" i="7" s="1"/>
  <c r="L4880" i="7" s="1"/>
  <c r="G4880" i="7"/>
  <c r="H4880" i="7" s="1"/>
  <c r="B4880" i="7"/>
  <c r="M4879" i="7"/>
  <c r="J4879" i="7"/>
  <c r="K4879" i="7" s="1"/>
  <c r="L4879" i="7" s="1"/>
  <c r="G4879" i="7"/>
  <c r="H4879" i="7" s="1"/>
  <c r="B4879" i="7"/>
  <c r="M4878" i="7"/>
  <c r="J4878" i="7"/>
  <c r="K4878" i="7" s="1"/>
  <c r="L4878" i="7" s="1"/>
  <c r="G4878" i="7"/>
  <c r="H4878" i="7" s="1"/>
  <c r="B4878" i="7"/>
  <c r="M4877" i="7"/>
  <c r="J4877" i="7"/>
  <c r="K4877" i="7" s="1"/>
  <c r="L4877" i="7" s="1"/>
  <c r="G4877" i="7"/>
  <c r="H4877" i="7" s="1"/>
  <c r="B4877" i="7"/>
  <c r="M4876" i="7"/>
  <c r="J4876" i="7"/>
  <c r="K4876" i="7" s="1"/>
  <c r="L4876" i="7" s="1"/>
  <c r="G4876" i="7"/>
  <c r="H4876" i="7" s="1"/>
  <c r="B4876" i="7"/>
  <c r="M4875" i="7"/>
  <c r="J4875" i="7"/>
  <c r="K4875" i="7" s="1"/>
  <c r="L4875" i="7" s="1"/>
  <c r="G4875" i="7"/>
  <c r="H4875" i="7" s="1"/>
  <c r="B4875" i="7"/>
  <c r="M4874" i="7"/>
  <c r="J4874" i="7"/>
  <c r="K4874" i="7" s="1"/>
  <c r="L4874" i="7" s="1"/>
  <c r="G4874" i="7"/>
  <c r="H4874" i="7" s="1"/>
  <c r="B4874" i="7"/>
  <c r="M4873" i="7"/>
  <c r="J4873" i="7"/>
  <c r="K4873" i="7" s="1"/>
  <c r="L4873" i="7" s="1"/>
  <c r="G4873" i="7"/>
  <c r="H4873" i="7" s="1"/>
  <c r="B4873" i="7"/>
  <c r="M4872" i="7"/>
  <c r="J4872" i="7"/>
  <c r="K4872" i="7" s="1"/>
  <c r="L4872" i="7" s="1"/>
  <c r="G4872" i="7"/>
  <c r="H4872" i="7" s="1"/>
  <c r="B4872" i="7"/>
  <c r="M4871" i="7"/>
  <c r="J4871" i="7"/>
  <c r="K4871" i="7" s="1"/>
  <c r="L4871" i="7" s="1"/>
  <c r="G4871" i="7"/>
  <c r="H4871" i="7" s="1"/>
  <c r="B4871" i="7"/>
  <c r="M4870" i="7"/>
  <c r="J4870" i="7"/>
  <c r="K4870" i="7" s="1"/>
  <c r="L4870" i="7" s="1"/>
  <c r="G4870" i="7"/>
  <c r="H4870" i="7" s="1"/>
  <c r="B4870" i="7"/>
  <c r="M4869" i="7"/>
  <c r="J4869" i="7"/>
  <c r="K4869" i="7" s="1"/>
  <c r="L4869" i="7" s="1"/>
  <c r="G4869" i="7"/>
  <c r="H4869" i="7" s="1"/>
  <c r="B4869" i="7"/>
  <c r="M4868" i="7"/>
  <c r="J4868" i="7"/>
  <c r="K4868" i="7" s="1"/>
  <c r="L4868" i="7" s="1"/>
  <c r="G4868" i="7"/>
  <c r="H4868" i="7" s="1"/>
  <c r="B4868" i="7"/>
  <c r="M4867" i="7"/>
  <c r="J4867" i="7"/>
  <c r="K4867" i="7" s="1"/>
  <c r="L4867" i="7" s="1"/>
  <c r="G4867" i="7"/>
  <c r="H4867" i="7" s="1"/>
  <c r="B4867" i="7"/>
  <c r="M4866" i="7"/>
  <c r="J4866" i="7"/>
  <c r="K4866" i="7" s="1"/>
  <c r="L4866" i="7" s="1"/>
  <c r="G4866" i="7"/>
  <c r="H4866" i="7" s="1"/>
  <c r="B4866" i="7"/>
  <c r="M4865" i="7"/>
  <c r="J4865" i="7"/>
  <c r="K4865" i="7" s="1"/>
  <c r="L4865" i="7" s="1"/>
  <c r="G4865" i="7"/>
  <c r="H4865" i="7" s="1"/>
  <c r="B4865" i="7"/>
  <c r="M4864" i="7"/>
  <c r="J4864" i="7"/>
  <c r="K4864" i="7" s="1"/>
  <c r="L4864" i="7" s="1"/>
  <c r="G4864" i="7"/>
  <c r="H4864" i="7" s="1"/>
  <c r="B4864" i="7"/>
  <c r="M4863" i="7"/>
  <c r="J4863" i="7"/>
  <c r="K4863" i="7" s="1"/>
  <c r="L4863" i="7" s="1"/>
  <c r="G4863" i="7"/>
  <c r="H4863" i="7" s="1"/>
  <c r="B4863" i="7"/>
  <c r="M4862" i="7"/>
  <c r="J4862" i="7"/>
  <c r="K4862" i="7" s="1"/>
  <c r="L4862" i="7" s="1"/>
  <c r="G4862" i="7"/>
  <c r="H4862" i="7" s="1"/>
  <c r="B4862" i="7"/>
  <c r="M4861" i="7"/>
  <c r="J4861" i="7"/>
  <c r="K4861" i="7" s="1"/>
  <c r="L4861" i="7" s="1"/>
  <c r="G4861" i="7"/>
  <c r="H4861" i="7" s="1"/>
  <c r="B4861" i="7"/>
  <c r="M4860" i="7"/>
  <c r="J4860" i="7"/>
  <c r="K4860" i="7" s="1"/>
  <c r="L4860" i="7" s="1"/>
  <c r="G4860" i="7"/>
  <c r="H4860" i="7" s="1"/>
  <c r="B4860" i="7"/>
  <c r="M4859" i="7"/>
  <c r="J4859" i="7"/>
  <c r="K4859" i="7" s="1"/>
  <c r="L4859" i="7" s="1"/>
  <c r="G4859" i="7"/>
  <c r="H4859" i="7" s="1"/>
  <c r="B4859" i="7"/>
  <c r="M4858" i="7"/>
  <c r="J4858" i="7"/>
  <c r="K4858" i="7" s="1"/>
  <c r="L4858" i="7" s="1"/>
  <c r="G4858" i="7"/>
  <c r="H4858" i="7" s="1"/>
  <c r="B4858" i="7"/>
  <c r="M4857" i="7"/>
  <c r="J4857" i="7"/>
  <c r="K4857" i="7" s="1"/>
  <c r="L4857" i="7" s="1"/>
  <c r="G4857" i="7"/>
  <c r="H4857" i="7" s="1"/>
  <c r="B4857" i="7"/>
  <c r="M4856" i="7"/>
  <c r="J4856" i="7"/>
  <c r="K4856" i="7" s="1"/>
  <c r="L4856" i="7" s="1"/>
  <c r="G4856" i="7"/>
  <c r="H4856" i="7" s="1"/>
  <c r="B4856" i="7"/>
  <c r="M4855" i="7"/>
  <c r="J4855" i="7"/>
  <c r="K4855" i="7" s="1"/>
  <c r="L4855" i="7" s="1"/>
  <c r="G4855" i="7"/>
  <c r="H4855" i="7" s="1"/>
  <c r="B4855" i="7"/>
  <c r="M4854" i="7"/>
  <c r="J4854" i="7"/>
  <c r="K4854" i="7" s="1"/>
  <c r="L4854" i="7" s="1"/>
  <c r="G4854" i="7"/>
  <c r="H4854" i="7" s="1"/>
  <c r="B4854" i="7"/>
  <c r="M4853" i="7"/>
  <c r="J4853" i="7"/>
  <c r="K4853" i="7" s="1"/>
  <c r="L4853" i="7" s="1"/>
  <c r="G4853" i="7"/>
  <c r="H4853" i="7" s="1"/>
  <c r="B4853" i="7"/>
  <c r="M4852" i="7"/>
  <c r="J4852" i="7"/>
  <c r="K4852" i="7" s="1"/>
  <c r="L4852" i="7" s="1"/>
  <c r="G4852" i="7"/>
  <c r="H4852" i="7" s="1"/>
  <c r="B4852" i="7"/>
  <c r="M4851" i="7"/>
  <c r="J4851" i="7"/>
  <c r="K4851" i="7" s="1"/>
  <c r="L4851" i="7" s="1"/>
  <c r="G4851" i="7"/>
  <c r="H4851" i="7" s="1"/>
  <c r="B4851" i="7"/>
  <c r="M4850" i="7"/>
  <c r="J4850" i="7"/>
  <c r="K4850" i="7" s="1"/>
  <c r="L4850" i="7" s="1"/>
  <c r="G4850" i="7"/>
  <c r="H4850" i="7" s="1"/>
  <c r="B4850" i="7"/>
  <c r="M4849" i="7"/>
  <c r="J4849" i="7"/>
  <c r="K4849" i="7" s="1"/>
  <c r="L4849" i="7" s="1"/>
  <c r="G4849" i="7"/>
  <c r="H4849" i="7" s="1"/>
  <c r="B4849" i="7"/>
  <c r="M4848" i="7"/>
  <c r="J4848" i="7"/>
  <c r="K4848" i="7" s="1"/>
  <c r="L4848" i="7" s="1"/>
  <c r="G4848" i="7"/>
  <c r="H4848" i="7" s="1"/>
  <c r="B4848" i="7"/>
  <c r="M4847" i="7"/>
  <c r="J4847" i="7"/>
  <c r="K4847" i="7" s="1"/>
  <c r="L4847" i="7" s="1"/>
  <c r="G4847" i="7"/>
  <c r="H4847" i="7" s="1"/>
  <c r="B4847" i="7"/>
  <c r="M4846" i="7"/>
  <c r="J4846" i="7"/>
  <c r="K4846" i="7" s="1"/>
  <c r="L4846" i="7" s="1"/>
  <c r="G4846" i="7"/>
  <c r="H4846" i="7" s="1"/>
  <c r="B4846" i="7"/>
  <c r="M4845" i="7"/>
  <c r="J4845" i="7"/>
  <c r="K4845" i="7" s="1"/>
  <c r="L4845" i="7" s="1"/>
  <c r="G4845" i="7"/>
  <c r="H4845" i="7" s="1"/>
  <c r="B4845" i="7"/>
  <c r="M4844" i="7"/>
  <c r="J4844" i="7"/>
  <c r="K4844" i="7" s="1"/>
  <c r="L4844" i="7" s="1"/>
  <c r="G4844" i="7"/>
  <c r="H4844" i="7" s="1"/>
  <c r="B4844" i="7"/>
  <c r="M4843" i="7"/>
  <c r="J4843" i="7"/>
  <c r="K4843" i="7" s="1"/>
  <c r="L4843" i="7" s="1"/>
  <c r="G4843" i="7"/>
  <c r="H4843" i="7" s="1"/>
  <c r="B4843" i="7"/>
  <c r="M4842" i="7"/>
  <c r="J4842" i="7"/>
  <c r="K4842" i="7" s="1"/>
  <c r="L4842" i="7" s="1"/>
  <c r="G4842" i="7"/>
  <c r="H4842" i="7" s="1"/>
  <c r="B4842" i="7"/>
  <c r="M4841" i="7"/>
  <c r="J4841" i="7"/>
  <c r="K4841" i="7" s="1"/>
  <c r="L4841" i="7" s="1"/>
  <c r="G4841" i="7"/>
  <c r="H4841" i="7" s="1"/>
  <c r="B4841" i="7"/>
  <c r="M4840" i="7"/>
  <c r="J4840" i="7"/>
  <c r="K4840" i="7" s="1"/>
  <c r="L4840" i="7" s="1"/>
  <c r="G4840" i="7"/>
  <c r="H4840" i="7" s="1"/>
  <c r="B4840" i="7"/>
  <c r="M4839" i="7"/>
  <c r="J4839" i="7"/>
  <c r="K4839" i="7" s="1"/>
  <c r="L4839" i="7" s="1"/>
  <c r="G4839" i="7"/>
  <c r="H4839" i="7" s="1"/>
  <c r="B4839" i="7"/>
  <c r="M4838" i="7"/>
  <c r="J4838" i="7"/>
  <c r="K4838" i="7" s="1"/>
  <c r="L4838" i="7" s="1"/>
  <c r="G4838" i="7"/>
  <c r="H4838" i="7" s="1"/>
  <c r="B4838" i="7"/>
  <c r="M4837" i="7"/>
  <c r="J4837" i="7"/>
  <c r="K4837" i="7" s="1"/>
  <c r="L4837" i="7" s="1"/>
  <c r="G4837" i="7"/>
  <c r="H4837" i="7" s="1"/>
  <c r="B4837" i="7"/>
  <c r="M4836" i="7"/>
  <c r="J4836" i="7"/>
  <c r="K4836" i="7" s="1"/>
  <c r="L4836" i="7" s="1"/>
  <c r="G4836" i="7"/>
  <c r="H4836" i="7" s="1"/>
  <c r="B4836" i="7"/>
  <c r="M4835" i="7"/>
  <c r="J4835" i="7"/>
  <c r="K4835" i="7" s="1"/>
  <c r="L4835" i="7" s="1"/>
  <c r="G4835" i="7"/>
  <c r="H4835" i="7" s="1"/>
  <c r="B4835" i="7"/>
  <c r="M4834" i="7"/>
  <c r="J4834" i="7"/>
  <c r="K4834" i="7" s="1"/>
  <c r="L4834" i="7" s="1"/>
  <c r="G4834" i="7"/>
  <c r="H4834" i="7" s="1"/>
  <c r="B4834" i="7"/>
  <c r="M4833" i="7"/>
  <c r="J4833" i="7"/>
  <c r="K4833" i="7" s="1"/>
  <c r="L4833" i="7" s="1"/>
  <c r="G4833" i="7"/>
  <c r="H4833" i="7" s="1"/>
  <c r="B4833" i="7"/>
  <c r="M4832" i="7"/>
  <c r="J4832" i="7"/>
  <c r="K4832" i="7" s="1"/>
  <c r="L4832" i="7" s="1"/>
  <c r="G4832" i="7"/>
  <c r="H4832" i="7" s="1"/>
  <c r="B4832" i="7"/>
  <c r="M4831" i="7"/>
  <c r="J4831" i="7"/>
  <c r="K4831" i="7" s="1"/>
  <c r="L4831" i="7" s="1"/>
  <c r="G4831" i="7"/>
  <c r="H4831" i="7" s="1"/>
  <c r="B4831" i="7"/>
  <c r="M4830" i="7"/>
  <c r="J4830" i="7"/>
  <c r="K4830" i="7" s="1"/>
  <c r="L4830" i="7" s="1"/>
  <c r="G4830" i="7"/>
  <c r="H4830" i="7" s="1"/>
  <c r="B4830" i="7"/>
  <c r="M4829" i="7"/>
  <c r="J4829" i="7"/>
  <c r="K4829" i="7" s="1"/>
  <c r="L4829" i="7" s="1"/>
  <c r="G4829" i="7"/>
  <c r="H4829" i="7" s="1"/>
  <c r="B4829" i="7"/>
  <c r="M4828" i="7"/>
  <c r="J4828" i="7"/>
  <c r="K4828" i="7" s="1"/>
  <c r="L4828" i="7" s="1"/>
  <c r="G4828" i="7"/>
  <c r="H4828" i="7" s="1"/>
  <c r="B4828" i="7"/>
  <c r="M4827" i="7"/>
  <c r="J4827" i="7"/>
  <c r="K4827" i="7" s="1"/>
  <c r="L4827" i="7" s="1"/>
  <c r="G4827" i="7"/>
  <c r="H4827" i="7" s="1"/>
  <c r="B4827" i="7"/>
  <c r="M4826" i="7"/>
  <c r="J4826" i="7"/>
  <c r="K4826" i="7" s="1"/>
  <c r="L4826" i="7" s="1"/>
  <c r="G4826" i="7"/>
  <c r="H4826" i="7" s="1"/>
  <c r="B4826" i="7"/>
  <c r="M4825" i="7"/>
  <c r="J4825" i="7"/>
  <c r="K4825" i="7" s="1"/>
  <c r="L4825" i="7" s="1"/>
  <c r="G4825" i="7"/>
  <c r="H4825" i="7" s="1"/>
  <c r="B4825" i="7"/>
  <c r="M4824" i="7"/>
  <c r="J4824" i="7"/>
  <c r="K4824" i="7" s="1"/>
  <c r="L4824" i="7" s="1"/>
  <c r="G4824" i="7"/>
  <c r="H4824" i="7" s="1"/>
  <c r="B4824" i="7"/>
  <c r="M4823" i="7"/>
  <c r="J4823" i="7"/>
  <c r="K4823" i="7" s="1"/>
  <c r="L4823" i="7" s="1"/>
  <c r="G4823" i="7"/>
  <c r="H4823" i="7" s="1"/>
  <c r="B4823" i="7"/>
  <c r="M4822" i="7"/>
  <c r="J4822" i="7"/>
  <c r="K4822" i="7" s="1"/>
  <c r="L4822" i="7" s="1"/>
  <c r="G4822" i="7"/>
  <c r="H4822" i="7" s="1"/>
  <c r="B4822" i="7"/>
  <c r="M4821" i="7"/>
  <c r="J4821" i="7"/>
  <c r="K4821" i="7" s="1"/>
  <c r="L4821" i="7" s="1"/>
  <c r="G4821" i="7"/>
  <c r="H4821" i="7" s="1"/>
  <c r="B4821" i="7"/>
  <c r="M4820" i="7"/>
  <c r="J4820" i="7"/>
  <c r="K4820" i="7" s="1"/>
  <c r="L4820" i="7" s="1"/>
  <c r="G4820" i="7"/>
  <c r="H4820" i="7" s="1"/>
  <c r="B4820" i="7"/>
  <c r="M4819" i="7"/>
  <c r="J4819" i="7"/>
  <c r="K4819" i="7" s="1"/>
  <c r="L4819" i="7" s="1"/>
  <c r="G4819" i="7"/>
  <c r="H4819" i="7" s="1"/>
  <c r="B4819" i="7"/>
  <c r="M4818" i="7"/>
  <c r="J4818" i="7"/>
  <c r="K4818" i="7" s="1"/>
  <c r="L4818" i="7" s="1"/>
  <c r="G4818" i="7"/>
  <c r="H4818" i="7" s="1"/>
  <c r="B4818" i="7"/>
  <c r="M4817" i="7"/>
  <c r="J4817" i="7"/>
  <c r="K4817" i="7" s="1"/>
  <c r="L4817" i="7" s="1"/>
  <c r="G4817" i="7"/>
  <c r="H4817" i="7" s="1"/>
  <c r="B4817" i="7"/>
  <c r="M4816" i="7"/>
  <c r="J4816" i="7"/>
  <c r="K4816" i="7" s="1"/>
  <c r="L4816" i="7" s="1"/>
  <c r="G4816" i="7"/>
  <c r="H4816" i="7" s="1"/>
  <c r="B4816" i="7"/>
  <c r="M4815" i="7"/>
  <c r="J4815" i="7"/>
  <c r="K4815" i="7" s="1"/>
  <c r="L4815" i="7" s="1"/>
  <c r="G4815" i="7"/>
  <c r="H4815" i="7" s="1"/>
  <c r="B4815" i="7"/>
  <c r="M4814" i="7"/>
  <c r="J4814" i="7"/>
  <c r="K4814" i="7" s="1"/>
  <c r="L4814" i="7" s="1"/>
  <c r="G4814" i="7"/>
  <c r="H4814" i="7" s="1"/>
  <c r="B4814" i="7"/>
  <c r="M4813" i="7"/>
  <c r="J4813" i="7"/>
  <c r="K4813" i="7" s="1"/>
  <c r="L4813" i="7" s="1"/>
  <c r="G4813" i="7"/>
  <c r="H4813" i="7" s="1"/>
  <c r="B4813" i="7"/>
  <c r="M4812" i="7"/>
  <c r="J4812" i="7"/>
  <c r="K4812" i="7" s="1"/>
  <c r="L4812" i="7" s="1"/>
  <c r="G4812" i="7"/>
  <c r="H4812" i="7" s="1"/>
  <c r="B4812" i="7"/>
  <c r="M4811" i="7"/>
  <c r="J4811" i="7"/>
  <c r="K4811" i="7" s="1"/>
  <c r="L4811" i="7" s="1"/>
  <c r="G4811" i="7"/>
  <c r="H4811" i="7" s="1"/>
  <c r="B4811" i="7"/>
  <c r="M4810" i="7"/>
  <c r="J4810" i="7"/>
  <c r="K4810" i="7" s="1"/>
  <c r="L4810" i="7" s="1"/>
  <c r="G4810" i="7"/>
  <c r="H4810" i="7" s="1"/>
  <c r="B4810" i="7"/>
  <c r="M4809" i="7"/>
  <c r="J4809" i="7"/>
  <c r="K4809" i="7" s="1"/>
  <c r="L4809" i="7" s="1"/>
  <c r="G4809" i="7"/>
  <c r="H4809" i="7" s="1"/>
  <c r="B4809" i="7"/>
  <c r="M4808" i="7"/>
  <c r="J4808" i="7"/>
  <c r="K4808" i="7" s="1"/>
  <c r="L4808" i="7" s="1"/>
  <c r="G4808" i="7"/>
  <c r="H4808" i="7" s="1"/>
  <c r="B4808" i="7"/>
  <c r="M4807" i="7"/>
  <c r="J4807" i="7"/>
  <c r="K4807" i="7" s="1"/>
  <c r="L4807" i="7" s="1"/>
  <c r="G4807" i="7"/>
  <c r="H4807" i="7" s="1"/>
  <c r="B4807" i="7"/>
  <c r="M4806" i="7"/>
  <c r="J4806" i="7"/>
  <c r="K4806" i="7" s="1"/>
  <c r="L4806" i="7" s="1"/>
  <c r="G4806" i="7"/>
  <c r="H4806" i="7" s="1"/>
  <c r="B4806" i="7"/>
  <c r="M4805" i="7"/>
  <c r="J4805" i="7"/>
  <c r="K4805" i="7" s="1"/>
  <c r="L4805" i="7" s="1"/>
  <c r="G4805" i="7"/>
  <c r="H4805" i="7" s="1"/>
  <c r="B4805" i="7"/>
  <c r="M4804" i="7"/>
  <c r="J4804" i="7"/>
  <c r="K4804" i="7" s="1"/>
  <c r="L4804" i="7" s="1"/>
  <c r="G4804" i="7"/>
  <c r="H4804" i="7" s="1"/>
  <c r="B4804" i="7"/>
  <c r="M4803" i="7"/>
  <c r="J4803" i="7"/>
  <c r="K4803" i="7" s="1"/>
  <c r="L4803" i="7" s="1"/>
  <c r="G4803" i="7"/>
  <c r="H4803" i="7" s="1"/>
  <c r="B4803" i="7"/>
  <c r="M4802" i="7"/>
  <c r="J4802" i="7"/>
  <c r="K4802" i="7" s="1"/>
  <c r="L4802" i="7" s="1"/>
  <c r="G4802" i="7"/>
  <c r="H4802" i="7" s="1"/>
  <c r="B4802" i="7"/>
  <c r="M4801" i="7"/>
  <c r="J4801" i="7"/>
  <c r="K4801" i="7" s="1"/>
  <c r="L4801" i="7" s="1"/>
  <c r="G4801" i="7"/>
  <c r="H4801" i="7" s="1"/>
  <c r="B4801" i="7"/>
  <c r="M4800" i="7"/>
  <c r="J4800" i="7"/>
  <c r="K4800" i="7" s="1"/>
  <c r="L4800" i="7" s="1"/>
  <c r="G4800" i="7"/>
  <c r="H4800" i="7" s="1"/>
  <c r="B4800" i="7"/>
  <c r="M4799" i="7"/>
  <c r="J4799" i="7"/>
  <c r="K4799" i="7" s="1"/>
  <c r="L4799" i="7" s="1"/>
  <c r="G4799" i="7"/>
  <c r="H4799" i="7" s="1"/>
  <c r="B4799" i="7"/>
  <c r="M4798" i="7"/>
  <c r="J4798" i="7"/>
  <c r="K4798" i="7" s="1"/>
  <c r="L4798" i="7" s="1"/>
  <c r="G4798" i="7"/>
  <c r="H4798" i="7" s="1"/>
  <c r="B4798" i="7"/>
  <c r="M4797" i="7"/>
  <c r="J4797" i="7"/>
  <c r="K4797" i="7" s="1"/>
  <c r="L4797" i="7" s="1"/>
  <c r="G4797" i="7"/>
  <c r="H4797" i="7" s="1"/>
  <c r="B4797" i="7"/>
  <c r="M4796" i="7"/>
  <c r="J4796" i="7"/>
  <c r="K4796" i="7" s="1"/>
  <c r="L4796" i="7" s="1"/>
  <c r="G4796" i="7"/>
  <c r="H4796" i="7" s="1"/>
  <c r="B4796" i="7"/>
  <c r="M4795" i="7"/>
  <c r="J4795" i="7"/>
  <c r="K4795" i="7" s="1"/>
  <c r="L4795" i="7" s="1"/>
  <c r="G4795" i="7"/>
  <c r="H4795" i="7" s="1"/>
  <c r="B4795" i="7"/>
  <c r="M4794" i="7"/>
  <c r="J4794" i="7"/>
  <c r="K4794" i="7" s="1"/>
  <c r="L4794" i="7" s="1"/>
  <c r="G4794" i="7"/>
  <c r="H4794" i="7" s="1"/>
  <c r="B4794" i="7"/>
  <c r="M4793" i="7"/>
  <c r="J4793" i="7"/>
  <c r="K4793" i="7" s="1"/>
  <c r="L4793" i="7" s="1"/>
  <c r="G4793" i="7"/>
  <c r="H4793" i="7" s="1"/>
  <c r="B4793" i="7"/>
  <c r="M4792" i="7"/>
  <c r="J4792" i="7"/>
  <c r="K4792" i="7" s="1"/>
  <c r="L4792" i="7" s="1"/>
  <c r="G4792" i="7"/>
  <c r="H4792" i="7" s="1"/>
  <c r="B4792" i="7"/>
  <c r="M4791" i="7"/>
  <c r="J4791" i="7"/>
  <c r="K4791" i="7" s="1"/>
  <c r="L4791" i="7" s="1"/>
  <c r="G4791" i="7"/>
  <c r="H4791" i="7" s="1"/>
  <c r="B4791" i="7"/>
  <c r="M4790" i="7"/>
  <c r="J4790" i="7"/>
  <c r="K4790" i="7" s="1"/>
  <c r="L4790" i="7" s="1"/>
  <c r="G4790" i="7"/>
  <c r="H4790" i="7" s="1"/>
  <c r="B4790" i="7"/>
  <c r="M4789" i="7"/>
  <c r="J4789" i="7"/>
  <c r="K4789" i="7" s="1"/>
  <c r="L4789" i="7" s="1"/>
  <c r="G4789" i="7"/>
  <c r="H4789" i="7" s="1"/>
  <c r="B4789" i="7"/>
  <c r="M4788" i="7"/>
  <c r="J4788" i="7"/>
  <c r="K4788" i="7" s="1"/>
  <c r="L4788" i="7" s="1"/>
  <c r="G4788" i="7"/>
  <c r="H4788" i="7" s="1"/>
  <c r="B4788" i="7"/>
  <c r="M4787" i="7"/>
  <c r="J4787" i="7"/>
  <c r="K4787" i="7" s="1"/>
  <c r="L4787" i="7" s="1"/>
  <c r="G4787" i="7"/>
  <c r="H4787" i="7" s="1"/>
  <c r="B4787" i="7"/>
  <c r="M4786" i="7"/>
  <c r="J4786" i="7"/>
  <c r="K4786" i="7" s="1"/>
  <c r="L4786" i="7" s="1"/>
  <c r="G4786" i="7"/>
  <c r="H4786" i="7" s="1"/>
  <c r="B4786" i="7"/>
  <c r="M4785" i="7"/>
  <c r="J4785" i="7"/>
  <c r="K4785" i="7" s="1"/>
  <c r="L4785" i="7" s="1"/>
  <c r="G4785" i="7"/>
  <c r="H4785" i="7" s="1"/>
  <c r="B4785" i="7"/>
  <c r="M4784" i="7"/>
  <c r="J4784" i="7"/>
  <c r="K4784" i="7" s="1"/>
  <c r="L4784" i="7" s="1"/>
  <c r="G4784" i="7"/>
  <c r="H4784" i="7" s="1"/>
  <c r="B4784" i="7"/>
  <c r="M4783" i="7"/>
  <c r="J4783" i="7"/>
  <c r="K4783" i="7" s="1"/>
  <c r="L4783" i="7" s="1"/>
  <c r="G4783" i="7"/>
  <c r="H4783" i="7" s="1"/>
  <c r="B4783" i="7"/>
  <c r="M4782" i="7"/>
  <c r="J4782" i="7"/>
  <c r="K4782" i="7" s="1"/>
  <c r="L4782" i="7" s="1"/>
  <c r="G4782" i="7"/>
  <c r="H4782" i="7" s="1"/>
  <c r="B4782" i="7"/>
  <c r="M4781" i="7"/>
  <c r="J4781" i="7"/>
  <c r="K4781" i="7" s="1"/>
  <c r="L4781" i="7" s="1"/>
  <c r="G4781" i="7"/>
  <c r="H4781" i="7" s="1"/>
  <c r="B4781" i="7"/>
  <c r="M4780" i="7"/>
  <c r="J4780" i="7"/>
  <c r="K4780" i="7" s="1"/>
  <c r="L4780" i="7" s="1"/>
  <c r="G4780" i="7"/>
  <c r="H4780" i="7" s="1"/>
  <c r="B4780" i="7"/>
  <c r="M4779" i="7"/>
  <c r="J4779" i="7"/>
  <c r="K4779" i="7" s="1"/>
  <c r="L4779" i="7" s="1"/>
  <c r="G4779" i="7"/>
  <c r="H4779" i="7" s="1"/>
  <c r="B4779" i="7"/>
  <c r="M4778" i="7"/>
  <c r="J4778" i="7"/>
  <c r="K4778" i="7" s="1"/>
  <c r="L4778" i="7" s="1"/>
  <c r="G4778" i="7"/>
  <c r="H4778" i="7" s="1"/>
  <c r="B4778" i="7"/>
  <c r="M4777" i="7"/>
  <c r="J4777" i="7"/>
  <c r="K4777" i="7" s="1"/>
  <c r="L4777" i="7" s="1"/>
  <c r="G4777" i="7"/>
  <c r="H4777" i="7" s="1"/>
  <c r="B4777" i="7"/>
  <c r="M4776" i="7"/>
  <c r="J4776" i="7"/>
  <c r="K4776" i="7" s="1"/>
  <c r="L4776" i="7" s="1"/>
  <c r="G4776" i="7"/>
  <c r="H4776" i="7" s="1"/>
  <c r="B4776" i="7"/>
  <c r="M4775" i="7"/>
  <c r="J4775" i="7"/>
  <c r="K4775" i="7" s="1"/>
  <c r="L4775" i="7" s="1"/>
  <c r="G4775" i="7"/>
  <c r="H4775" i="7" s="1"/>
  <c r="B4775" i="7"/>
  <c r="M4774" i="7"/>
  <c r="J4774" i="7"/>
  <c r="K4774" i="7" s="1"/>
  <c r="L4774" i="7" s="1"/>
  <c r="G4774" i="7"/>
  <c r="H4774" i="7" s="1"/>
  <c r="B4774" i="7"/>
  <c r="M4773" i="7"/>
  <c r="J4773" i="7"/>
  <c r="K4773" i="7" s="1"/>
  <c r="L4773" i="7" s="1"/>
  <c r="G4773" i="7"/>
  <c r="H4773" i="7" s="1"/>
  <c r="B4773" i="7"/>
  <c r="M4772" i="7"/>
  <c r="J4772" i="7"/>
  <c r="K4772" i="7" s="1"/>
  <c r="L4772" i="7" s="1"/>
  <c r="G4772" i="7"/>
  <c r="H4772" i="7" s="1"/>
  <c r="B4772" i="7"/>
  <c r="M4771" i="7"/>
  <c r="J4771" i="7"/>
  <c r="K4771" i="7" s="1"/>
  <c r="L4771" i="7" s="1"/>
  <c r="G4771" i="7"/>
  <c r="H4771" i="7" s="1"/>
  <c r="B4771" i="7"/>
  <c r="M4770" i="7"/>
  <c r="J4770" i="7"/>
  <c r="K4770" i="7" s="1"/>
  <c r="L4770" i="7" s="1"/>
  <c r="G4770" i="7"/>
  <c r="H4770" i="7" s="1"/>
  <c r="B4770" i="7"/>
  <c r="M4769" i="7"/>
  <c r="J4769" i="7"/>
  <c r="K4769" i="7" s="1"/>
  <c r="L4769" i="7" s="1"/>
  <c r="G4769" i="7"/>
  <c r="H4769" i="7" s="1"/>
  <c r="B4769" i="7"/>
  <c r="M4768" i="7"/>
  <c r="J4768" i="7"/>
  <c r="K4768" i="7" s="1"/>
  <c r="L4768" i="7" s="1"/>
  <c r="G4768" i="7"/>
  <c r="H4768" i="7" s="1"/>
  <c r="B4768" i="7"/>
  <c r="M4767" i="7"/>
  <c r="J4767" i="7"/>
  <c r="K4767" i="7" s="1"/>
  <c r="L4767" i="7" s="1"/>
  <c r="G4767" i="7"/>
  <c r="H4767" i="7" s="1"/>
  <c r="B4767" i="7"/>
  <c r="M4766" i="7"/>
  <c r="J4766" i="7"/>
  <c r="K4766" i="7" s="1"/>
  <c r="L4766" i="7" s="1"/>
  <c r="G4766" i="7"/>
  <c r="H4766" i="7" s="1"/>
  <c r="B4766" i="7"/>
  <c r="M4765" i="7"/>
  <c r="J4765" i="7"/>
  <c r="K4765" i="7" s="1"/>
  <c r="L4765" i="7" s="1"/>
  <c r="G4765" i="7"/>
  <c r="H4765" i="7" s="1"/>
  <c r="B4765" i="7"/>
  <c r="M4764" i="7"/>
  <c r="J4764" i="7"/>
  <c r="K4764" i="7" s="1"/>
  <c r="L4764" i="7" s="1"/>
  <c r="G4764" i="7"/>
  <c r="H4764" i="7" s="1"/>
  <c r="B4764" i="7"/>
  <c r="M4763" i="7"/>
  <c r="J4763" i="7"/>
  <c r="K4763" i="7" s="1"/>
  <c r="L4763" i="7" s="1"/>
  <c r="G4763" i="7"/>
  <c r="H4763" i="7" s="1"/>
  <c r="B4763" i="7"/>
  <c r="M4762" i="7"/>
  <c r="J4762" i="7"/>
  <c r="K4762" i="7" s="1"/>
  <c r="L4762" i="7" s="1"/>
  <c r="G4762" i="7"/>
  <c r="H4762" i="7" s="1"/>
  <c r="B4762" i="7"/>
  <c r="M4761" i="7"/>
  <c r="J4761" i="7"/>
  <c r="K4761" i="7" s="1"/>
  <c r="L4761" i="7" s="1"/>
  <c r="G4761" i="7"/>
  <c r="H4761" i="7" s="1"/>
  <c r="B4761" i="7"/>
  <c r="M4760" i="7"/>
  <c r="J4760" i="7"/>
  <c r="K4760" i="7" s="1"/>
  <c r="L4760" i="7" s="1"/>
  <c r="G4760" i="7"/>
  <c r="H4760" i="7" s="1"/>
  <c r="B4760" i="7"/>
  <c r="M4759" i="7"/>
  <c r="J4759" i="7"/>
  <c r="K4759" i="7" s="1"/>
  <c r="L4759" i="7" s="1"/>
  <c r="G4759" i="7"/>
  <c r="H4759" i="7" s="1"/>
  <c r="B4759" i="7"/>
  <c r="M4758" i="7"/>
  <c r="J4758" i="7"/>
  <c r="K4758" i="7" s="1"/>
  <c r="L4758" i="7" s="1"/>
  <c r="G4758" i="7"/>
  <c r="H4758" i="7" s="1"/>
  <c r="B4758" i="7"/>
  <c r="M4757" i="7"/>
  <c r="J4757" i="7"/>
  <c r="K4757" i="7" s="1"/>
  <c r="L4757" i="7" s="1"/>
  <c r="G4757" i="7"/>
  <c r="H4757" i="7" s="1"/>
  <c r="B4757" i="7"/>
  <c r="M4756" i="7"/>
  <c r="J4756" i="7"/>
  <c r="K4756" i="7" s="1"/>
  <c r="L4756" i="7" s="1"/>
  <c r="G4756" i="7"/>
  <c r="H4756" i="7" s="1"/>
  <c r="B4756" i="7"/>
  <c r="M4755" i="7"/>
  <c r="J4755" i="7"/>
  <c r="K4755" i="7" s="1"/>
  <c r="L4755" i="7" s="1"/>
  <c r="G4755" i="7"/>
  <c r="H4755" i="7" s="1"/>
  <c r="B4755" i="7"/>
  <c r="M4754" i="7"/>
  <c r="J4754" i="7"/>
  <c r="K4754" i="7" s="1"/>
  <c r="L4754" i="7" s="1"/>
  <c r="G4754" i="7"/>
  <c r="H4754" i="7" s="1"/>
  <c r="B4754" i="7"/>
  <c r="M4753" i="7"/>
  <c r="J4753" i="7"/>
  <c r="K4753" i="7" s="1"/>
  <c r="L4753" i="7" s="1"/>
  <c r="G4753" i="7"/>
  <c r="H4753" i="7" s="1"/>
  <c r="B4753" i="7"/>
  <c r="M4752" i="7"/>
  <c r="J4752" i="7"/>
  <c r="K4752" i="7" s="1"/>
  <c r="L4752" i="7" s="1"/>
  <c r="G4752" i="7"/>
  <c r="H4752" i="7" s="1"/>
  <c r="B4752" i="7"/>
  <c r="M4751" i="7"/>
  <c r="J4751" i="7"/>
  <c r="K4751" i="7" s="1"/>
  <c r="L4751" i="7" s="1"/>
  <c r="G4751" i="7"/>
  <c r="H4751" i="7" s="1"/>
  <c r="B4751" i="7"/>
  <c r="M4750" i="7"/>
  <c r="J4750" i="7"/>
  <c r="K4750" i="7" s="1"/>
  <c r="L4750" i="7" s="1"/>
  <c r="G4750" i="7"/>
  <c r="H4750" i="7" s="1"/>
  <c r="B4750" i="7"/>
  <c r="M4749" i="7"/>
  <c r="J4749" i="7"/>
  <c r="K4749" i="7" s="1"/>
  <c r="L4749" i="7" s="1"/>
  <c r="G4749" i="7"/>
  <c r="H4749" i="7" s="1"/>
  <c r="B4749" i="7"/>
  <c r="M4748" i="7"/>
  <c r="J4748" i="7"/>
  <c r="K4748" i="7" s="1"/>
  <c r="L4748" i="7" s="1"/>
  <c r="G4748" i="7"/>
  <c r="H4748" i="7" s="1"/>
  <c r="B4748" i="7"/>
  <c r="M4747" i="7"/>
  <c r="J4747" i="7"/>
  <c r="K4747" i="7" s="1"/>
  <c r="L4747" i="7" s="1"/>
  <c r="G4747" i="7"/>
  <c r="H4747" i="7" s="1"/>
  <c r="B4747" i="7"/>
  <c r="M4746" i="7"/>
  <c r="J4746" i="7"/>
  <c r="K4746" i="7" s="1"/>
  <c r="L4746" i="7" s="1"/>
  <c r="G4746" i="7"/>
  <c r="H4746" i="7" s="1"/>
  <c r="B4746" i="7"/>
  <c r="M4745" i="7"/>
  <c r="J4745" i="7"/>
  <c r="K4745" i="7" s="1"/>
  <c r="L4745" i="7" s="1"/>
  <c r="G4745" i="7"/>
  <c r="H4745" i="7" s="1"/>
  <c r="B4745" i="7"/>
  <c r="M4744" i="7"/>
  <c r="J4744" i="7"/>
  <c r="K4744" i="7" s="1"/>
  <c r="L4744" i="7" s="1"/>
  <c r="G4744" i="7"/>
  <c r="H4744" i="7" s="1"/>
  <c r="B4744" i="7"/>
  <c r="M4743" i="7"/>
  <c r="J4743" i="7"/>
  <c r="K4743" i="7" s="1"/>
  <c r="L4743" i="7" s="1"/>
  <c r="G4743" i="7"/>
  <c r="H4743" i="7" s="1"/>
  <c r="B4743" i="7"/>
  <c r="M4742" i="7"/>
  <c r="J4742" i="7"/>
  <c r="K4742" i="7" s="1"/>
  <c r="L4742" i="7" s="1"/>
  <c r="G4742" i="7"/>
  <c r="H4742" i="7" s="1"/>
  <c r="B4742" i="7"/>
  <c r="M4741" i="7"/>
  <c r="J4741" i="7"/>
  <c r="K4741" i="7" s="1"/>
  <c r="L4741" i="7" s="1"/>
  <c r="G4741" i="7"/>
  <c r="H4741" i="7" s="1"/>
  <c r="B4741" i="7"/>
  <c r="M4740" i="7"/>
  <c r="J4740" i="7"/>
  <c r="K4740" i="7" s="1"/>
  <c r="L4740" i="7" s="1"/>
  <c r="G4740" i="7"/>
  <c r="H4740" i="7" s="1"/>
  <c r="B4740" i="7"/>
  <c r="M4739" i="7"/>
  <c r="J4739" i="7"/>
  <c r="K4739" i="7" s="1"/>
  <c r="L4739" i="7" s="1"/>
  <c r="G4739" i="7"/>
  <c r="H4739" i="7" s="1"/>
  <c r="B4739" i="7"/>
  <c r="M4738" i="7"/>
  <c r="J4738" i="7"/>
  <c r="K4738" i="7" s="1"/>
  <c r="L4738" i="7" s="1"/>
  <c r="G4738" i="7"/>
  <c r="H4738" i="7" s="1"/>
  <c r="B4738" i="7"/>
  <c r="M4737" i="7"/>
  <c r="J4737" i="7"/>
  <c r="K4737" i="7" s="1"/>
  <c r="L4737" i="7" s="1"/>
  <c r="G4737" i="7"/>
  <c r="H4737" i="7" s="1"/>
  <c r="B4737" i="7"/>
  <c r="M4736" i="7"/>
  <c r="J4736" i="7"/>
  <c r="K4736" i="7" s="1"/>
  <c r="L4736" i="7" s="1"/>
  <c r="G4736" i="7"/>
  <c r="H4736" i="7" s="1"/>
  <c r="B4736" i="7"/>
  <c r="M4735" i="7"/>
  <c r="J4735" i="7"/>
  <c r="K4735" i="7" s="1"/>
  <c r="L4735" i="7" s="1"/>
  <c r="G4735" i="7"/>
  <c r="H4735" i="7" s="1"/>
  <c r="B4735" i="7"/>
  <c r="M4734" i="7"/>
  <c r="J4734" i="7"/>
  <c r="K4734" i="7" s="1"/>
  <c r="L4734" i="7" s="1"/>
  <c r="G4734" i="7"/>
  <c r="H4734" i="7" s="1"/>
  <c r="B4734" i="7"/>
  <c r="M4733" i="7"/>
  <c r="J4733" i="7"/>
  <c r="K4733" i="7" s="1"/>
  <c r="L4733" i="7" s="1"/>
  <c r="G4733" i="7"/>
  <c r="H4733" i="7" s="1"/>
  <c r="B4733" i="7"/>
  <c r="M4732" i="7"/>
  <c r="J4732" i="7"/>
  <c r="K4732" i="7" s="1"/>
  <c r="L4732" i="7" s="1"/>
  <c r="G4732" i="7"/>
  <c r="H4732" i="7" s="1"/>
  <c r="B4732" i="7"/>
  <c r="M4731" i="7"/>
  <c r="J4731" i="7"/>
  <c r="K4731" i="7" s="1"/>
  <c r="L4731" i="7" s="1"/>
  <c r="G4731" i="7"/>
  <c r="H4731" i="7" s="1"/>
  <c r="B4731" i="7"/>
  <c r="M4730" i="7"/>
  <c r="J4730" i="7"/>
  <c r="K4730" i="7" s="1"/>
  <c r="L4730" i="7" s="1"/>
  <c r="G4730" i="7"/>
  <c r="H4730" i="7" s="1"/>
  <c r="B4730" i="7"/>
  <c r="M4729" i="7"/>
  <c r="J4729" i="7"/>
  <c r="K4729" i="7" s="1"/>
  <c r="L4729" i="7" s="1"/>
  <c r="G4729" i="7"/>
  <c r="H4729" i="7" s="1"/>
  <c r="B4729" i="7"/>
  <c r="M4728" i="7"/>
  <c r="J4728" i="7"/>
  <c r="K4728" i="7" s="1"/>
  <c r="L4728" i="7" s="1"/>
  <c r="G4728" i="7"/>
  <c r="H4728" i="7" s="1"/>
  <c r="B4728" i="7"/>
  <c r="M4727" i="7"/>
  <c r="J4727" i="7"/>
  <c r="K4727" i="7" s="1"/>
  <c r="L4727" i="7" s="1"/>
  <c r="G4727" i="7"/>
  <c r="H4727" i="7" s="1"/>
  <c r="B4727" i="7"/>
  <c r="M4726" i="7"/>
  <c r="J4726" i="7"/>
  <c r="K4726" i="7" s="1"/>
  <c r="L4726" i="7" s="1"/>
  <c r="G4726" i="7"/>
  <c r="H4726" i="7" s="1"/>
  <c r="B4726" i="7"/>
  <c r="M4725" i="7"/>
  <c r="J4725" i="7"/>
  <c r="K4725" i="7" s="1"/>
  <c r="L4725" i="7" s="1"/>
  <c r="G4725" i="7"/>
  <c r="H4725" i="7" s="1"/>
  <c r="B4725" i="7"/>
  <c r="M4724" i="7"/>
  <c r="J4724" i="7"/>
  <c r="K4724" i="7" s="1"/>
  <c r="L4724" i="7" s="1"/>
  <c r="G4724" i="7"/>
  <c r="H4724" i="7" s="1"/>
  <c r="B4724" i="7"/>
  <c r="M4723" i="7"/>
  <c r="J4723" i="7"/>
  <c r="K4723" i="7" s="1"/>
  <c r="L4723" i="7" s="1"/>
  <c r="G4723" i="7"/>
  <c r="H4723" i="7" s="1"/>
  <c r="B4723" i="7"/>
  <c r="M4722" i="7"/>
  <c r="J4722" i="7"/>
  <c r="K4722" i="7" s="1"/>
  <c r="L4722" i="7" s="1"/>
  <c r="G4722" i="7"/>
  <c r="H4722" i="7" s="1"/>
  <c r="B4722" i="7"/>
  <c r="M4721" i="7"/>
  <c r="J4721" i="7"/>
  <c r="K4721" i="7" s="1"/>
  <c r="L4721" i="7" s="1"/>
  <c r="G4721" i="7"/>
  <c r="H4721" i="7" s="1"/>
  <c r="B4721" i="7"/>
  <c r="M4720" i="7"/>
  <c r="J4720" i="7"/>
  <c r="K4720" i="7" s="1"/>
  <c r="L4720" i="7" s="1"/>
  <c r="G4720" i="7"/>
  <c r="H4720" i="7" s="1"/>
  <c r="B4720" i="7"/>
  <c r="M4719" i="7"/>
  <c r="J4719" i="7"/>
  <c r="K4719" i="7" s="1"/>
  <c r="L4719" i="7" s="1"/>
  <c r="G4719" i="7"/>
  <c r="H4719" i="7" s="1"/>
  <c r="B4719" i="7"/>
  <c r="M4718" i="7"/>
  <c r="J4718" i="7"/>
  <c r="K4718" i="7" s="1"/>
  <c r="L4718" i="7" s="1"/>
  <c r="G4718" i="7"/>
  <c r="H4718" i="7" s="1"/>
  <c r="B4718" i="7"/>
  <c r="M4717" i="7"/>
  <c r="J4717" i="7"/>
  <c r="K4717" i="7" s="1"/>
  <c r="L4717" i="7" s="1"/>
  <c r="G4717" i="7"/>
  <c r="H4717" i="7" s="1"/>
  <c r="B4717" i="7"/>
  <c r="M4716" i="7"/>
  <c r="J4716" i="7"/>
  <c r="K4716" i="7" s="1"/>
  <c r="L4716" i="7" s="1"/>
  <c r="G4716" i="7"/>
  <c r="H4716" i="7" s="1"/>
  <c r="B4716" i="7"/>
  <c r="M4715" i="7"/>
  <c r="J4715" i="7"/>
  <c r="K4715" i="7" s="1"/>
  <c r="L4715" i="7" s="1"/>
  <c r="G4715" i="7"/>
  <c r="H4715" i="7" s="1"/>
  <c r="B4715" i="7"/>
  <c r="M4714" i="7"/>
  <c r="J4714" i="7"/>
  <c r="K4714" i="7" s="1"/>
  <c r="L4714" i="7" s="1"/>
  <c r="G4714" i="7"/>
  <c r="H4714" i="7" s="1"/>
  <c r="B4714" i="7"/>
  <c r="M4713" i="7"/>
  <c r="J4713" i="7"/>
  <c r="K4713" i="7" s="1"/>
  <c r="L4713" i="7" s="1"/>
  <c r="G4713" i="7"/>
  <c r="H4713" i="7" s="1"/>
  <c r="B4713" i="7"/>
  <c r="M4712" i="7"/>
  <c r="J4712" i="7"/>
  <c r="K4712" i="7" s="1"/>
  <c r="L4712" i="7" s="1"/>
  <c r="G4712" i="7"/>
  <c r="H4712" i="7" s="1"/>
  <c r="B4712" i="7"/>
  <c r="M4711" i="7"/>
  <c r="J4711" i="7"/>
  <c r="K4711" i="7" s="1"/>
  <c r="L4711" i="7" s="1"/>
  <c r="G4711" i="7"/>
  <c r="H4711" i="7" s="1"/>
  <c r="B4711" i="7"/>
  <c r="M4710" i="7"/>
  <c r="J4710" i="7"/>
  <c r="K4710" i="7" s="1"/>
  <c r="L4710" i="7" s="1"/>
  <c r="G4710" i="7"/>
  <c r="H4710" i="7" s="1"/>
  <c r="B4710" i="7"/>
  <c r="M4709" i="7"/>
  <c r="J4709" i="7"/>
  <c r="K4709" i="7" s="1"/>
  <c r="L4709" i="7" s="1"/>
  <c r="G4709" i="7"/>
  <c r="H4709" i="7" s="1"/>
  <c r="B4709" i="7"/>
  <c r="M4708" i="7"/>
  <c r="J4708" i="7"/>
  <c r="K4708" i="7" s="1"/>
  <c r="L4708" i="7" s="1"/>
  <c r="G4708" i="7"/>
  <c r="H4708" i="7" s="1"/>
  <c r="B4708" i="7"/>
  <c r="M4707" i="7"/>
  <c r="J4707" i="7"/>
  <c r="K4707" i="7" s="1"/>
  <c r="L4707" i="7" s="1"/>
  <c r="G4707" i="7"/>
  <c r="H4707" i="7" s="1"/>
  <c r="B4707" i="7"/>
  <c r="M4706" i="7"/>
  <c r="J4706" i="7"/>
  <c r="K4706" i="7" s="1"/>
  <c r="L4706" i="7" s="1"/>
  <c r="G4706" i="7"/>
  <c r="H4706" i="7" s="1"/>
  <c r="B4706" i="7"/>
  <c r="M4705" i="7"/>
  <c r="J4705" i="7"/>
  <c r="K4705" i="7" s="1"/>
  <c r="L4705" i="7" s="1"/>
  <c r="G4705" i="7"/>
  <c r="H4705" i="7" s="1"/>
  <c r="B4705" i="7"/>
  <c r="M4704" i="7"/>
  <c r="J4704" i="7"/>
  <c r="K4704" i="7" s="1"/>
  <c r="L4704" i="7" s="1"/>
  <c r="G4704" i="7"/>
  <c r="H4704" i="7" s="1"/>
  <c r="B4704" i="7"/>
  <c r="M4703" i="7"/>
  <c r="J4703" i="7"/>
  <c r="K4703" i="7" s="1"/>
  <c r="L4703" i="7" s="1"/>
  <c r="G4703" i="7"/>
  <c r="H4703" i="7" s="1"/>
  <c r="B4703" i="7"/>
  <c r="M4702" i="7"/>
  <c r="J4702" i="7"/>
  <c r="K4702" i="7" s="1"/>
  <c r="L4702" i="7" s="1"/>
  <c r="G4702" i="7"/>
  <c r="H4702" i="7" s="1"/>
  <c r="B4702" i="7"/>
  <c r="M4701" i="7"/>
  <c r="J4701" i="7"/>
  <c r="K4701" i="7" s="1"/>
  <c r="L4701" i="7" s="1"/>
  <c r="G4701" i="7"/>
  <c r="H4701" i="7" s="1"/>
  <c r="B4701" i="7"/>
  <c r="M4700" i="7"/>
  <c r="J4700" i="7"/>
  <c r="K4700" i="7" s="1"/>
  <c r="L4700" i="7" s="1"/>
  <c r="G4700" i="7"/>
  <c r="H4700" i="7" s="1"/>
  <c r="B4700" i="7"/>
  <c r="M4699" i="7"/>
  <c r="J4699" i="7"/>
  <c r="K4699" i="7" s="1"/>
  <c r="L4699" i="7" s="1"/>
  <c r="G4699" i="7"/>
  <c r="H4699" i="7" s="1"/>
  <c r="B4699" i="7"/>
  <c r="M4698" i="7"/>
  <c r="J4698" i="7"/>
  <c r="K4698" i="7" s="1"/>
  <c r="L4698" i="7" s="1"/>
  <c r="G4698" i="7"/>
  <c r="H4698" i="7" s="1"/>
  <c r="B4698" i="7"/>
  <c r="M4697" i="7"/>
  <c r="J4697" i="7"/>
  <c r="K4697" i="7" s="1"/>
  <c r="L4697" i="7" s="1"/>
  <c r="G4697" i="7"/>
  <c r="H4697" i="7" s="1"/>
  <c r="B4697" i="7"/>
  <c r="M4696" i="7"/>
  <c r="J4696" i="7"/>
  <c r="K4696" i="7" s="1"/>
  <c r="L4696" i="7" s="1"/>
  <c r="G4696" i="7"/>
  <c r="H4696" i="7" s="1"/>
  <c r="B4696" i="7"/>
  <c r="M4695" i="7"/>
  <c r="J4695" i="7"/>
  <c r="K4695" i="7" s="1"/>
  <c r="L4695" i="7" s="1"/>
  <c r="G4695" i="7"/>
  <c r="H4695" i="7" s="1"/>
  <c r="B4695" i="7"/>
  <c r="M4694" i="7"/>
  <c r="J4694" i="7"/>
  <c r="K4694" i="7" s="1"/>
  <c r="L4694" i="7" s="1"/>
  <c r="G4694" i="7"/>
  <c r="H4694" i="7" s="1"/>
  <c r="B4694" i="7"/>
  <c r="M4693" i="7"/>
  <c r="J4693" i="7"/>
  <c r="K4693" i="7" s="1"/>
  <c r="L4693" i="7" s="1"/>
  <c r="G4693" i="7"/>
  <c r="H4693" i="7" s="1"/>
  <c r="B4693" i="7"/>
  <c r="M4692" i="7"/>
  <c r="J4692" i="7"/>
  <c r="K4692" i="7" s="1"/>
  <c r="L4692" i="7" s="1"/>
  <c r="G4692" i="7"/>
  <c r="H4692" i="7" s="1"/>
  <c r="B4692" i="7"/>
  <c r="M4691" i="7"/>
  <c r="J4691" i="7"/>
  <c r="K4691" i="7" s="1"/>
  <c r="L4691" i="7" s="1"/>
  <c r="G4691" i="7"/>
  <c r="H4691" i="7" s="1"/>
  <c r="B4691" i="7"/>
  <c r="M4690" i="7"/>
  <c r="J4690" i="7"/>
  <c r="K4690" i="7" s="1"/>
  <c r="L4690" i="7" s="1"/>
  <c r="G4690" i="7"/>
  <c r="H4690" i="7" s="1"/>
  <c r="B4690" i="7"/>
  <c r="M4689" i="7"/>
  <c r="J4689" i="7"/>
  <c r="K4689" i="7" s="1"/>
  <c r="L4689" i="7" s="1"/>
  <c r="G4689" i="7"/>
  <c r="H4689" i="7" s="1"/>
  <c r="B4689" i="7"/>
  <c r="M4688" i="7"/>
  <c r="J4688" i="7"/>
  <c r="K4688" i="7" s="1"/>
  <c r="L4688" i="7" s="1"/>
  <c r="G4688" i="7"/>
  <c r="H4688" i="7" s="1"/>
  <c r="B4688" i="7"/>
  <c r="M4687" i="7"/>
  <c r="J4687" i="7"/>
  <c r="K4687" i="7" s="1"/>
  <c r="L4687" i="7" s="1"/>
  <c r="G4687" i="7"/>
  <c r="H4687" i="7" s="1"/>
  <c r="B4687" i="7"/>
  <c r="M4686" i="7"/>
  <c r="J4686" i="7"/>
  <c r="K4686" i="7" s="1"/>
  <c r="L4686" i="7" s="1"/>
  <c r="G4686" i="7"/>
  <c r="H4686" i="7" s="1"/>
  <c r="B4686" i="7"/>
  <c r="M4685" i="7"/>
  <c r="J4685" i="7"/>
  <c r="K4685" i="7" s="1"/>
  <c r="L4685" i="7" s="1"/>
  <c r="G4685" i="7"/>
  <c r="H4685" i="7" s="1"/>
  <c r="B4685" i="7"/>
  <c r="M4684" i="7"/>
  <c r="J4684" i="7"/>
  <c r="K4684" i="7" s="1"/>
  <c r="L4684" i="7" s="1"/>
  <c r="G4684" i="7"/>
  <c r="H4684" i="7" s="1"/>
  <c r="B4684" i="7"/>
  <c r="M4683" i="7"/>
  <c r="J4683" i="7"/>
  <c r="K4683" i="7" s="1"/>
  <c r="L4683" i="7" s="1"/>
  <c r="G4683" i="7"/>
  <c r="H4683" i="7" s="1"/>
  <c r="B4683" i="7"/>
  <c r="M4682" i="7"/>
  <c r="J4682" i="7"/>
  <c r="K4682" i="7" s="1"/>
  <c r="L4682" i="7" s="1"/>
  <c r="G4682" i="7"/>
  <c r="H4682" i="7" s="1"/>
  <c r="B4682" i="7"/>
  <c r="M4681" i="7"/>
  <c r="J4681" i="7"/>
  <c r="K4681" i="7" s="1"/>
  <c r="L4681" i="7" s="1"/>
  <c r="G4681" i="7"/>
  <c r="H4681" i="7" s="1"/>
  <c r="B4681" i="7"/>
  <c r="M4680" i="7"/>
  <c r="J4680" i="7"/>
  <c r="K4680" i="7" s="1"/>
  <c r="L4680" i="7" s="1"/>
  <c r="G4680" i="7"/>
  <c r="H4680" i="7" s="1"/>
  <c r="B4680" i="7"/>
  <c r="M4679" i="7"/>
  <c r="J4679" i="7"/>
  <c r="K4679" i="7" s="1"/>
  <c r="L4679" i="7" s="1"/>
  <c r="G4679" i="7"/>
  <c r="H4679" i="7" s="1"/>
  <c r="B4679" i="7"/>
  <c r="M4678" i="7"/>
  <c r="J4678" i="7"/>
  <c r="K4678" i="7" s="1"/>
  <c r="L4678" i="7" s="1"/>
  <c r="G4678" i="7"/>
  <c r="H4678" i="7" s="1"/>
  <c r="B4678" i="7"/>
  <c r="M4677" i="7"/>
  <c r="J4677" i="7"/>
  <c r="K4677" i="7" s="1"/>
  <c r="L4677" i="7" s="1"/>
  <c r="G4677" i="7"/>
  <c r="H4677" i="7" s="1"/>
  <c r="B4677" i="7"/>
  <c r="M4676" i="7"/>
  <c r="J4676" i="7"/>
  <c r="K4676" i="7" s="1"/>
  <c r="L4676" i="7" s="1"/>
  <c r="G4676" i="7"/>
  <c r="H4676" i="7" s="1"/>
  <c r="B4676" i="7"/>
  <c r="M4675" i="7"/>
  <c r="J4675" i="7"/>
  <c r="K4675" i="7" s="1"/>
  <c r="L4675" i="7" s="1"/>
  <c r="G4675" i="7"/>
  <c r="H4675" i="7" s="1"/>
  <c r="B4675" i="7"/>
  <c r="M4674" i="7"/>
  <c r="J4674" i="7"/>
  <c r="K4674" i="7" s="1"/>
  <c r="L4674" i="7" s="1"/>
  <c r="G4674" i="7"/>
  <c r="H4674" i="7" s="1"/>
  <c r="B4674" i="7"/>
  <c r="M4673" i="7"/>
  <c r="J4673" i="7"/>
  <c r="K4673" i="7" s="1"/>
  <c r="L4673" i="7" s="1"/>
  <c r="G4673" i="7"/>
  <c r="H4673" i="7" s="1"/>
  <c r="B4673" i="7"/>
  <c r="M4672" i="7"/>
  <c r="J4672" i="7"/>
  <c r="K4672" i="7" s="1"/>
  <c r="L4672" i="7" s="1"/>
  <c r="G4672" i="7"/>
  <c r="H4672" i="7" s="1"/>
  <c r="B4672" i="7"/>
  <c r="M4671" i="7"/>
  <c r="J4671" i="7"/>
  <c r="K4671" i="7" s="1"/>
  <c r="L4671" i="7" s="1"/>
  <c r="G4671" i="7"/>
  <c r="H4671" i="7" s="1"/>
  <c r="B4671" i="7"/>
  <c r="M4670" i="7"/>
  <c r="J4670" i="7"/>
  <c r="K4670" i="7" s="1"/>
  <c r="L4670" i="7" s="1"/>
  <c r="G4670" i="7"/>
  <c r="H4670" i="7" s="1"/>
  <c r="B4670" i="7"/>
  <c r="M4669" i="7"/>
  <c r="J4669" i="7"/>
  <c r="K4669" i="7" s="1"/>
  <c r="L4669" i="7" s="1"/>
  <c r="G4669" i="7"/>
  <c r="H4669" i="7" s="1"/>
  <c r="B4669" i="7"/>
  <c r="M4668" i="7"/>
  <c r="J4668" i="7"/>
  <c r="K4668" i="7" s="1"/>
  <c r="L4668" i="7" s="1"/>
  <c r="G4668" i="7"/>
  <c r="H4668" i="7" s="1"/>
  <c r="B4668" i="7"/>
  <c r="M4667" i="7"/>
  <c r="J4667" i="7"/>
  <c r="K4667" i="7" s="1"/>
  <c r="L4667" i="7" s="1"/>
  <c r="G4667" i="7"/>
  <c r="H4667" i="7" s="1"/>
  <c r="B4667" i="7"/>
  <c r="M4666" i="7"/>
  <c r="J4666" i="7"/>
  <c r="K4666" i="7" s="1"/>
  <c r="L4666" i="7" s="1"/>
  <c r="G4666" i="7"/>
  <c r="H4666" i="7" s="1"/>
  <c r="B4666" i="7"/>
  <c r="M4665" i="7"/>
  <c r="J4665" i="7"/>
  <c r="K4665" i="7" s="1"/>
  <c r="L4665" i="7" s="1"/>
  <c r="G4665" i="7"/>
  <c r="H4665" i="7" s="1"/>
  <c r="B4665" i="7"/>
  <c r="M4664" i="7"/>
  <c r="J4664" i="7"/>
  <c r="K4664" i="7" s="1"/>
  <c r="L4664" i="7" s="1"/>
  <c r="G4664" i="7"/>
  <c r="H4664" i="7" s="1"/>
  <c r="B4664" i="7"/>
  <c r="M4663" i="7"/>
  <c r="J4663" i="7"/>
  <c r="K4663" i="7" s="1"/>
  <c r="L4663" i="7" s="1"/>
  <c r="G4663" i="7"/>
  <c r="H4663" i="7" s="1"/>
  <c r="B4663" i="7"/>
  <c r="M4662" i="7"/>
  <c r="J4662" i="7"/>
  <c r="K4662" i="7" s="1"/>
  <c r="L4662" i="7" s="1"/>
  <c r="G4662" i="7"/>
  <c r="H4662" i="7" s="1"/>
  <c r="B4662" i="7"/>
  <c r="M4661" i="7"/>
  <c r="J4661" i="7"/>
  <c r="K4661" i="7" s="1"/>
  <c r="L4661" i="7" s="1"/>
  <c r="G4661" i="7"/>
  <c r="H4661" i="7" s="1"/>
  <c r="B4661" i="7"/>
  <c r="M4660" i="7"/>
  <c r="J4660" i="7"/>
  <c r="K4660" i="7" s="1"/>
  <c r="L4660" i="7" s="1"/>
  <c r="G4660" i="7"/>
  <c r="H4660" i="7" s="1"/>
  <c r="B4660" i="7"/>
  <c r="M4659" i="7"/>
  <c r="J4659" i="7"/>
  <c r="K4659" i="7" s="1"/>
  <c r="L4659" i="7" s="1"/>
  <c r="G4659" i="7"/>
  <c r="H4659" i="7" s="1"/>
  <c r="B4659" i="7"/>
  <c r="M4658" i="7"/>
  <c r="J4658" i="7"/>
  <c r="K4658" i="7" s="1"/>
  <c r="L4658" i="7" s="1"/>
  <c r="G4658" i="7"/>
  <c r="H4658" i="7" s="1"/>
  <c r="B4658" i="7"/>
  <c r="M4657" i="7"/>
  <c r="J4657" i="7"/>
  <c r="K4657" i="7" s="1"/>
  <c r="L4657" i="7" s="1"/>
  <c r="G4657" i="7"/>
  <c r="H4657" i="7" s="1"/>
  <c r="B4657" i="7"/>
  <c r="M4656" i="7"/>
  <c r="J4656" i="7"/>
  <c r="K4656" i="7" s="1"/>
  <c r="L4656" i="7" s="1"/>
  <c r="G4656" i="7"/>
  <c r="H4656" i="7" s="1"/>
  <c r="B4656" i="7"/>
  <c r="M4655" i="7"/>
  <c r="J4655" i="7"/>
  <c r="K4655" i="7" s="1"/>
  <c r="L4655" i="7" s="1"/>
  <c r="G4655" i="7"/>
  <c r="H4655" i="7" s="1"/>
  <c r="B4655" i="7"/>
  <c r="M4654" i="7"/>
  <c r="J4654" i="7"/>
  <c r="K4654" i="7" s="1"/>
  <c r="L4654" i="7" s="1"/>
  <c r="G4654" i="7"/>
  <c r="H4654" i="7" s="1"/>
  <c r="B4654" i="7"/>
  <c r="M4653" i="7"/>
  <c r="J4653" i="7"/>
  <c r="K4653" i="7" s="1"/>
  <c r="L4653" i="7" s="1"/>
  <c r="G4653" i="7"/>
  <c r="H4653" i="7" s="1"/>
  <c r="B4653" i="7"/>
  <c r="M4652" i="7"/>
  <c r="J4652" i="7"/>
  <c r="K4652" i="7" s="1"/>
  <c r="L4652" i="7" s="1"/>
  <c r="G4652" i="7"/>
  <c r="H4652" i="7" s="1"/>
  <c r="B4652" i="7"/>
  <c r="M4651" i="7"/>
  <c r="J4651" i="7"/>
  <c r="K4651" i="7" s="1"/>
  <c r="L4651" i="7" s="1"/>
  <c r="G4651" i="7"/>
  <c r="H4651" i="7" s="1"/>
  <c r="B4651" i="7"/>
  <c r="M4650" i="7"/>
  <c r="J4650" i="7"/>
  <c r="K4650" i="7" s="1"/>
  <c r="L4650" i="7" s="1"/>
  <c r="G4650" i="7"/>
  <c r="H4650" i="7" s="1"/>
  <c r="B4650" i="7"/>
  <c r="M4649" i="7"/>
  <c r="J4649" i="7"/>
  <c r="K4649" i="7" s="1"/>
  <c r="L4649" i="7" s="1"/>
  <c r="G4649" i="7"/>
  <c r="H4649" i="7" s="1"/>
  <c r="B4649" i="7"/>
  <c r="M4648" i="7"/>
  <c r="J4648" i="7"/>
  <c r="K4648" i="7" s="1"/>
  <c r="L4648" i="7" s="1"/>
  <c r="G4648" i="7"/>
  <c r="H4648" i="7" s="1"/>
  <c r="B4648" i="7"/>
  <c r="M4647" i="7"/>
  <c r="J4647" i="7"/>
  <c r="K4647" i="7" s="1"/>
  <c r="L4647" i="7" s="1"/>
  <c r="G4647" i="7"/>
  <c r="H4647" i="7" s="1"/>
  <c r="B4647" i="7"/>
  <c r="M4646" i="7"/>
  <c r="J4646" i="7"/>
  <c r="K4646" i="7" s="1"/>
  <c r="L4646" i="7" s="1"/>
  <c r="G4646" i="7"/>
  <c r="H4646" i="7" s="1"/>
  <c r="B4646" i="7"/>
  <c r="M4645" i="7"/>
  <c r="J4645" i="7"/>
  <c r="K4645" i="7" s="1"/>
  <c r="L4645" i="7" s="1"/>
  <c r="G4645" i="7"/>
  <c r="H4645" i="7" s="1"/>
  <c r="B4645" i="7"/>
  <c r="M4644" i="7"/>
  <c r="J4644" i="7"/>
  <c r="K4644" i="7" s="1"/>
  <c r="L4644" i="7" s="1"/>
  <c r="G4644" i="7"/>
  <c r="H4644" i="7" s="1"/>
  <c r="B4644" i="7"/>
  <c r="M4643" i="7"/>
  <c r="J4643" i="7"/>
  <c r="K4643" i="7" s="1"/>
  <c r="L4643" i="7" s="1"/>
  <c r="G4643" i="7"/>
  <c r="H4643" i="7" s="1"/>
  <c r="B4643" i="7"/>
  <c r="M4642" i="7"/>
  <c r="J4642" i="7"/>
  <c r="K4642" i="7" s="1"/>
  <c r="L4642" i="7" s="1"/>
  <c r="G4642" i="7"/>
  <c r="H4642" i="7" s="1"/>
  <c r="B4642" i="7"/>
  <c r="M4641" i="7"/>
  <c r="J4641" i="7"/>
  <c r="K4641" i="7" s="1"/>
  <c r="L4641" i="7" s="1"/>
  <c r="G4641" i="7"/>
  <c r="H4641" i="7" s="1"/>
  <c r="B4641" i="7"/>
  <c r="M4640" i="7"/>
  <c r="J4640" i="7"/>
  <c r="K4640" i="7" s="1"/>
  <c r="L4640" i="7" s="1"/>
  <c r="G4640" i="7"/>
  <c r="H4640" i="7" s="1"/>
  <c r="B4640" i="7"/>
  <c r="M4639" i="7"/>
  <c r="J4639" i="7"/>
  <c r="K4639" i="7" s="1"/>
  <c r="L4639" i="7" s="1"/>
  <c r="G4639" i="7"/>
  <c r="H4639" i="7" s="1"/>
  <c r="B4639" i="7"/>
  <c r="M4638" i="7"/>
  <c r="J4638" i="7"/>
  <c r="K4638" i="7" s="1"/>
  <c r="L4638" i="7" s="1"/>
  <c r="G4638" i="7"/>
  <c r="H4638" i="7" s="1"/>
  <c r="B4638" i="7"/>
  <c r="M4637" i="7"/>
  <c r="J4637" i="7"/>
  <c r="K4637" i="7" s="1"/>
  <c r="L4637" i="7" s="1"/>
  <c r="G4637" i="7"/>
  <c r="H4637" i="7" s="1"/>
  <c r="B4637" i="7"/>
  <c r="M4636" i="7"/>
  <c r="J4636" i="7"/>
  <c r="K4636" i="7" s="1"/>
  <c r="L4636" i="7" s="1"/>
  <c r="G4636" i="7"/>
  <c r="H4636" i="7" s="1"/>
  <c r="B4636" i="7"/>
  <c r="M4635" i="7"/>
  <c r="J4635" i="7"/>
  <c r="K4635" i="7" s="1"/>
  <c r="L4635" i="7" s="1"/>
  <c r="G4635" i="7"/>
  <c r="H4635" i="7" s="1"/>
  <c r="B4635" i="7"/>
  <c r="M4634" i="7"/>
  <c r="J4634" i="7"/>
  <c r="K4634" i="7" s="1"/>
  <c r="L4634" i="7" s="1"/>
  <c r="G4634" i="7"/>
  <c r="H4634" i="7" s="1"/>
  <c r="B4634" i="7"/>
  <c r="M4633" i="7"/>
  <c r="J4633" i="7"/>
  <c r="K4633" i="7" s="1"/>
  <c r="L4633" i="7" s="1"/>
  <c r="G4633" i="7"/>
  <c r="H4633" i="7" s="1"/>
  <c r="B4633" i="7"/>
  <c r="M4632" i="7"/>
  <c r="J4632" i="7"/>
  <c r="K4632" i="7" s="1"/>
  <c r="L4632" i="7" s="1"/>
  <c r="G4632" i="7"/>
  <c r="H4632" i="7" s="1"/>
  <c r="B4632" i="7"/>
  <c r="M4631" i="7"/>
  <c r="J4631" i="7"/>
  <c r="K4631" i="7" s="1"/>
  <c r="L4631" i="7" s="1"/>
  <c r="G4631" i="7"/>
  <c r="H4631" i="7" s="1"/>
  <c r="B4631" i="7"/>
  <c r="M4630" i="7"/>
  <c r="J4630" i="7"/>
  <c r="K4630" i="7" s="1"/>
  <c r="L4630" i="7" s="1"/>
  <c r="G4630" i="7"/>
  <c r="H4630" i="7" s="1"/>
  <c r="B4630" i="7"/>
  <c r="M4629" i="7"/>
  <c r="J4629" i="7"/>
  <c r="K4629" i="7" s="1"/>
  <c r="L4629" i="7" s="1"/>
  <c r="G4629" i="7"/>
  <c r="H4629" i="7" s="1"/>
  <c r="B4629" i="7"/>
  <c r="M4628" i="7"/>
  <c r="J4628" i="7"/>
  <c r="K4628" i="7" s="1"/>
  <c r="L4628" i="7" s="1"/>
  <c r="G4628" i="7"/>
  <c r="H4628" i="7" s="1"/>
  <c r="B4628" i="7"/>
  <c r="M4627" i="7"/>
  <c r="J4627" i="7"/>
  <c r="K4627" i="7" s="1"/>
  <c r="L4627" i="7" s="1"/>
  <c r="G4627" i="7"/>
  <c r="H4627" i="7" s="1"/>
  <c r="B4627" i="7"/>
  <c r="M4626" i="7"/>
  <c r="J4626" i="7"/>
  <c r="K4626" i="7" s="1"/>
  <c r="L4626" i="7" s="1"/>
  <c r="G4626" i="7"/>
  <c r="H4626" i="7" s="1"/>
  <c r="B4626" i="7"/>
  <c r="M4625" i="7"/>
  <c r="J4625" i="7"/>
  <c r="K4625" i="7" s="1"/>
  <c r="L4625" i="7" s="1"/>
  <c r="G4625" i="7"/>
  <c r="H4625" i="7" s="1"/>
  <c r="B4625" i="7"/>
  <c r="M4624" i="7"/>
  <c r="J4624" i="7"/>
  <c r="K4624" i="7" s="1"/>
  <c r="L4624" i="7" s="1"/>
  <c r="G4624" i="7"/>
  <c r="H4624" i="7" s="1"/>
  <c r="B4624" i="7"/>
  <c r="M4623" i="7"/>
  <c r="J4623" i="7"/>
  <c r="K4623" i="7" s="1"/>
  <c r="L4623" i="7" s="1"/>
  <c r="G4623" i="7"/>
  <c r="H4623" i="7" s="1"/>
  <c r="B4623" i="7"/>
  <c r="M4622" i="7"/>
  <c r="J4622" i="7"/>
  <c r="K4622" i="7" s="1"/>
  <c r="L4622" i="7" s="1"/>
  <c r="G4622" i="7"/>
  <c r="H4622" i="7" s="1"/>
  <c r="B4622" i="7"/>
  <c r="M4621" i="7"/>
  <c r="J4621" i="7"/>
  <c r="K4621" i="7" s="1"/>
  <c r="L4621" i="7" s="1"/>
  <c r="G4621" i="7"/>
  <c r="H4621" i="7" s="1"/>
  <c r="B4621" i="7"/>
  <c r="M4620" i="7"/>
  <c r="J4620" i="7"/>
  <c r="K4620" i="7" s="1"/>
  <c r="L4620" i="7" s="1"/>
  <c r="G4620" i="7"/>
  <c r="H4620" i="7" s="1"/>
  <c r="B4620" i="7"/>
  <c r="M4619" i="7"/>
  <c r="J4619" i="7"/>
  <c r="K4619" i="7" s="1"/>
  <c r="L4619" i="7" s="1"/>
  <c r="G4619" i="7"/>
  <c r="H4619" i="7" s="1"/>
  <c r="B4619" i="7"/>
  <c r="M4618" i="7"/>
  <c r="J4618" i="7"/>
  <c r="K4618" i="7" s="1"/>
  <c r="L4618" i="7" s="1"/>
  <c r="G4618" i="7"/>
  <c r="H4618" i="7" s="1"/>
  <c r="B4618" i="7"/>
  <c r="M4617" i="7"/>
  <c r="J4617" i="7"/>
  <c r="K4617" i="7" s="1"/>
  <c r="L4617" i="7" s="1"/>
  <c r="G4617" i="7"/>
  <c r="H4617" i="7" s="1"/>
  <c r="B4617" i="7"/>
  <c r="M4616" i="7"/>
  <c r="J4616" i="7"/>
  <c r="K4616" i="7" s="1"/>
  <c r="L4616" i="7" s="1"/>
  <c r="G4616" i="7"/>
  <c r="H4616" i="7" s="1"/>
  <c r="B4616" i="7"/>
  <c r="M4615" i="7"/>
  <c r="J4615" i="7"/>
  <c r="K4615" i="7" s="1"/>
  <c r="L4615" i="7" s="1"/>
  <c r="G4615" i="7"/>
  <c r="H4615" i="7" s="1"/>
  <c r="B4615" i="7"/>
  <c r="M4614" i="7"/>
  <c r="J4614" i="7"/>
  <c r="K4614" i="7" s="1"/>
  <c r="L4614" i="7" s="1"/>
  <c r="G4614" i="7"/>
  <c r="H4614" i="7" s="1"/>
  <c r="B4614" i="7"/>
  <c r="M4613" i="7"/>
  <c r="J4613" i="7"/>
  <c r="K4613" i="7" s="1"/>
  <c r="L4613" i="7" s="1"/>
  <c r="G4613" i="7"/>
  <c r="H4613" i="7" s="1"/>
  <c r="B4613" i="7"/>
  <c r="M4612" i="7"/>
  <c r="J4612" i="7"/>
  <c r="K4612" i="7" s="1"/>
  <c r="L4612" i="7" s="1"/>
  <c r="G4612" i="7"/>
  <c r="H4612" i="7" s="1"/>
  <c r="B4612" i="7"/>
  <c r="M4611" i="7"/>
  <c r="J4611" i="7"/>
  <c r="K4611" i="7" s="1"/>
  <c r="L4611" i="7" s="1"/>
  <c r="G4611" i="7"/>
  <c r="H4611" i="7" s="1"/>
  <c r="B4611" i="7"/>
  <c r="M4610" i="7"/>
  <c r="J4610" i="7"/>
  <c r="K4610" i="7" s="1"/>
  <c r="L4610" i="7" s="1"/>
  <c r="G4610" i="7"/>
  <c r="H4610" i="7" s="1"/>
  <c r="B4610" i="7"/>
  <c r="M4609" i="7"/>
  <c r="J4609" i="7"/>
  <c r="K4609" i="7" s="1"/>
  <c r="L4609" i="7" s="1"/>
  <c r="G4609" i="7"/>
  <c r="H4609" i="7" s="1"/>
  <c r="B4609" i="7"/>
  <c r="M4608" i="7"/>
  <c r="J4608" i="7"/>
  <c r="K4608" i="7" s="1"/>
  <c r="L4608" i="7" s="1"/>
  <c r="G4608" i="7"/>
  <c r="H4608" i="7" s="1"/>
  <c r="B4608" i="7"/>
  <c r="M4607" i="7"/>
  <c r="J4607" i="7"/>
  <c r="K4607" i="7" s="1"/>
  <c r="L4607" i="7" s="1"/>
  <c r="G4607" i="7"/>
  <c r="H4607" i="7" s="1"/>
  <c r="B4607" i="7"/>
  <c r="M4606" i="7"/>
  <c r="J4606" i="7"/>
  <c r="K4606" i="7" s="1"/>
  <c r="L4606" i="7" s="1"/>
  <c r="G4606" i="7"/>
  <c r="H4606" i="7" s="1"/>
  <c r="B4606" i="7"/>
  <c r="M4605" i="7"/>
  <c r="J4605" i="7"/>
  <c r="K4605" i="7" s="1"/>
  <c r="L4605" i="7" s="1"/>
  <c r="G4605" i="7"/>
  <c r="H4605" i="7" s="1"/>
  <c r="B4605" i="7"/>
  <c r="M4604" i="7"/>
  <c r="J4604" i="7"/>
  <c r="K4604" i="7" s="1"/>
  <c r="L4604" i="7" s="1"/>
  <c r="G4604" i="7"/>
  <c r="H4604" i="7" s="1"/>
  <c r="B4604" i="7"/>
  <c r="M4603" i="7"/>
  <c r="J4603" i="7"/>
  <c r="K4603" i="7" s="1"/>
  <c r="L4603" i="7" s="1"/>
  <c r="G4603" i="7"/>
  <c r="H4603" i="7" s="1"/>
  <c r="B4603" i="7"/>
  <c r="M4602" i="7"/>
  <c r="J4602" i="7"/>
  <c r="K4602" i="7" s="1"/>
  <c r="L4602" i="7" s="1"/>
  <c r="G4602" i="7"/>
  <c r="H4602" i="7" s="1"/>
  <c r="B4602" i="7"/>
  <c r="M4601" i="7"/>
  <c r="J4601" i="7"/>
  <c r="K4601" i="7" s="1"/>
  <c r="L4601" i="7" s="1"/>
  <c r="G4601" i="7"/>
  <c r="H4601" i="7" s="1"/>
  <c r="B4601" i="7"/>
  <c r="M4600" i="7"/>
  <c r="J4600" i="7"/>
  <c r="K4600" i="7" s="1"/>
  <c r="L4600" i="7" s="1"/>
  <c r="G4600" i="7"/>
  <c r="H4600" i="7" s="1"/>
  <c r="B4600" i="7"/>
  <c r="M4599" i="7"/>
  <c r="J4599" i="7"/>
  <c r="K4599" i="7" s="1"/>
  <c r="L4599" i="7" s="1"/>
  <c r="G4599" i="7"/>
  <c r="H4599" i="7" s="1"/>
  <c r="B4599" i="7"/>
  <c r="M4598" i="7"/>
  <c r="J4598" i="7"/>
  <c r="K4598" i="7" s="1"/>
  <c r="L4598" i="7" s="1"/>
  <c r="G4598" i="7"/>
  <c r="H4598" i="7" s="1"/>
  <c r="B4598" i="7"/>
  <c r="M4597" i="7"/>
  <c r="J4597" i="7"/>
  <c r="K4597" i="7" s="1"/>
  <c r="L4597" i="7" s="1"/>
  <c r="G4597" i="7"/>
  <c r="H4597" i="7" s="1"/>
  <c r="B4597" i="7"/>
  <c r="M4596" i="7"/>
  <c r="J4596" i="7"/>
  <c r="K4596" i="7" s="1"/>
  <c r="L4596" i="7" s="1"/>
  <c r="G4596" i="7"/>
  <c r="H4596" i="7" s="1"/>
  <c r="B4596" i="7"/>
  <c r="M4595" i="7"/>
  <c r="J4595" i="7"/>
  <c r="K4595" i="7" s="1"/>
  <c r="L4595" i="7" s="1"/>
  <c r="G4595" i="7"/>
  <c r="H4595" i="7" s="1"/>
  <c r="B4595" i="7"/>
  <c r="M4594" i="7"/>
  <c r="J4594" i="7"/>
  <c r="K4594" i="7" s="1"/>
  <c r="L4594" i="7" s="1"/>
  <c r="G4594" i="7"/>
  <c r="H4594" i="7" s="1"/>
  <c r="B4594" i="7"/>
  <c r="M4593" i="7"/>
  <c r="J4593" i="7"/>
  <c r="K4593" i="7" s="1"/>
  <c r="L4593" i="7" s="1"/>
  <c r="G4593" i="7"/>
  <c r="H4593" i="7" s="1"/>
  <c r="B4593" i="7"/>
  <c r="M4592" i="7"/>
  <c r="J4592" i="7"/>
  <c r="K4592" i="7" s="1"/>
  <c r="L4592" i="7" s="1"/>
  <c r="G4592" i="7"/>
  <c r="H4592" i="7" s="1"/>
  <c r="B4592" i="7"/>
  <c r="M4591" i="7"/>
  <c r="J4591" i="7"/>
  <c r="K4591" i="7" s="1"/>
  <c r="L4591" i="7" s="1"/>
  <c r="G4591" i="7"/>
  <c r="H4591" i="7" s="1"/>
  <c r="B4591" i="7"/>
  <c r="M4590" i="7"/>
  <c r="J4590" i="7"/>
  <c r="K4590" i="7" s="1"/>
  <c r="L4590" i="7" s="1"/>
  <c r="G4590" i="7"/>
  <c r="H4590" i="7" s="1"/>
  <c r="B4590" i="7"/>
  <c r="M4589" i="7"/>
  <c r="J4589" i="7"/>
  <c r="K4589" i="7" s="1"/>
  <c r="L4589" i="7" s="1"/>
  <c r="G4589" i="7"/>
  <c r="H4589" i="7" s="1"/>
  <c r="B4589" i="7"/>
  <c r="M4588" i="7"/>
  <c r="J4588" i="7"/>
  <c r="K4588" i="7" s="1"/>
  <c r="L4588" i="7" s="1"/>
  <c r="G4588" i="7"/>
  <c r="H4588" i="7" s="1"/>
  <c r="B4588" i="7"/>
  <c r="M4587" i="7"/>
  <c r="J4587" i="7"/>
  <c r="K4587" i="7" s="1"/>
  <c r="L4587" i="7" s="1"/>
  <c r="G4587" i="7"/>
  <c r="H4587" i="7" s="1"/>
  <c r="B4587" i="7"/>
  <c r="M4586" i="7"/>
  <c r="J4586" i="7"/>
  <c r="K4586" i="7" s="1"/>
  <c r="L4586" i="7" s="1"/>
  <c r="G4586" i="7"/>
  <c r="H4586" i="7" s="1"/>
  <c r="B4586" i="7"/>
  <c r="M4585" i="7"/>
  <c r="J4585" i="7"/>
  <c r="K4585" i="7" s="1"/>
  <c r="L4585" i="7" s="1"/>
  <c r="G4585" i="7"/>
  <c r="H4585" i="7" s="1"/>
  <c r="B4585" i="7"/>
  <c r="M4584" i="7"/>
  <c r="J4584" i="7"/>
  <c r="K4584" i="7" s="1"/>
  <c r="L4584" i="7" s="1"/>
  <c r="G4584" i="7"/>
  <c r="H4584" i="7" s="1"/>
  <c r="B4584" i="7"/>
  <c r="M4583" i="7"/>
  <c r="J4583" i="7"/>
  <c r="K4583" i="7" s="1"/>
  <c r="L4583" i="7" s="1"/>
  <c r="G4583" i="7"/>
  <c r="H4583" i="7" s="1"/>
  <c r="B4583" i="7"/>
  <c r="M4582" i="7"/>
  <c r="J4582" i="7"/>
  <c r="K4582" i="7" s="1"/>
  <c r="L4582" i="7" s="1"/>
  <c r="G4582" i="7"/>
  <c r="H4582" i="7" s="1"/>
  <c r="B4582" i="7"/>
  <c r="M4581" i="7"/>
  <c r="J4581" i="7"/>
  <c r="K4581" i="7" s="1"/>
  <c r="L4581" i="7" s="1"/>
  <c r="G4581" i="7"/>
  <c r="H4581" i="7" s="1"/>
  <c r="B4581" i="7"/>
  <c r="M4580" i="7"/>
  <c r="J4580" i="7"/>
  <c r="K4580" i="7" s="1"/>
  <c r="L4580" i="7" s="1"/>
  <c r="G4580" i="7"/>
  <c r="H4580" i="7" s="1"/>
  <c r="B4580" i="7"/>
  <c r="M4579" i="7"/>
  <c r="J4579" i="7"/>
  <c r="K4579" i="7" s="1"/>
  <c r="L4579" i="7" s="1"/>
  <c r="G4579" i="7"/>
  <c r="H4579" i="7" s="1"/>
  <c r="B4579" i="7"/>
  <c r="M4578" i="7"/>
  <c r="J4578" i="7"/>
  <c r="K4578" i="7" s="1"/>
  <c r="L4578" i="7" s="1"/>
  <c r="G4578" i="7"/>
  <c r="H4578" i="7" s="1"/>
  <c r="B4578" i="7"/>
  <c r="M4577" i="7"/>
  <c r="J4577" i="7"/>
  <c r="K4577" i="7" s="1"/>
  <c r="L4577" i="7" s="1"/>
  <c r="G4577" i="7"/>
  <c r="H4577" i="7" s="1"/>
  <c r="B4577" i="7"/>
  <c r="M4576" i="7"/>
  <c r="J4576" i="7"/>
  <c r="K4576" i="7" s="1"/>
  <c r="L4576" i="7" s="1"/>
  <c r="G4576" i="7"/>
  <c r="H4576" i="7" s="1"/>
  <c r="B4576" i="7"/>
  <c r="M4575" i="7"/>
  <c r="J4575" i="7"/>
  <c r="K4575" i="7" s="1"/>
  <c r="L4575" i="7" s="1"/>
  <c r="G4575" i="7"/>
  <c r="H4575" i="7" s="1"/>
  <c r="B4575" i="7"/>
  <c r="M4574" i="7"/>
  <c r="J4574" i="7"/>
  <c r="K4574" i="7" s="1"/>
  <c r="L4574" i="7" s="1"/>
  <c r="G4574" i="7"/>
  <c r="H4574" i="7" s="1"/>
  <c r="B4574" i="7"/>
  <c r="M4573" i="7"/>
  <c r="J4573" i="7"/>
  <c r="K4573" i="7" s="1"/>
  <c r="L4573" i="7" s="1"/>
  <c r="G4573" i="7"/>
  <c r="H4573" i="7" s="1"/>
  <c r="B4573" i="7"/>
  <c r="M4572" i="7"/>
  <c r="J4572" i="7"/>
  <c r="K4572" i="7" s="1"/>
  <c r="L4572" i="7" s="1"/>
  <c r="G4572" i="7"/>
  <c r="H4572" i="7" s="1"/>
  <c r="B4572" i="7"/>
  <c r="M4571" i="7"/>
  <c r="J4571" i="7"/>
  <c r="K4571" i="7" s="1"/>
  <c r="L4571" i="7" s="1"/>
  <c r="G4571" i="7"/>
  <c r="H4571" i="7" s="1"/>
  <c r="B4571" i="7"/>
  <c r="M4570" i="7"/>
  <c r="J4570" i="7"/>
  <c r="K4570" i="7" s="1"/>
  <c r="L4570" i="7" s="1"/>
  <c r="G4570" i="7"/>
  <c r="H4570" i="7" s="1"/>
  <c r="B4570" i="7"/>
  <c r="M4569" i="7"/>
  <c r="J4569" i="7"/>
  <c r="K4569" i="7" s="1"/>
  <c r="L4569" i="7" s="1"/>
  <c r="G4569" i="7"/>
  <c r="H4569" i="7" s="1"/>
  <c r="B4569" i="7"/>
  <c r="M4568" i="7"/>
  <c r="J4568" i="7"/>
  <c r="K4568" i="7" s="1"/>
  <c r="L4568" i="7" s="1"/>
  <c r="G4568" i="7"/>
  <c r="H4568" i="7" s="1"/>
  <c r="B4568" i="7"/>
  <c r="M4567" i="7"/>
  <c r="J4567" i="7"/>
  <c r="K4567" i="7" s="1"/>
  <c r="L4567" i="7" s="1"/>
  <c r="G4567" i="7"/>
  <c r="H4567" i="7" s="1"/>
  <c r="B4567" i="7"/>
  <c r="M4566" i="7"/>
  <c r="J4566" i="7"/>
  <c r="K4566" i="7" s="1"/>
  <c r="L4566" i="7" s="1"/>
  <c r="G4566" i="7"/>
  <c r="H4566" i="7" s="1"/>
  <c r="B4566" i="7"/>
  <c r="M4565" i="7"/>
  <c r="J4565" i="7"/>
  <c r="K4565" i="7" s="1"/>
  <c r="L4565" i="7" s="1"/>
  <c r="G4565" i="7"/>
  <c r="H4565" i="7" s="1"/>
  <c r="B4565" i="7"/>
  <c r="M4564" i="7"/>
  <c r="J4564" i="7"/>
  <c r="K4564" i="7" s="1"/>
  <c r="L4564" i="7" s="1"/>
  <c r="G4564" i="7"/>
  <c r="H4564" i="7" s="1"/>
  <c r="B4564" i="7"/>
  <c r="M4563" i="7"/>
  <c r="J4563" i="7"/>
  <c r="K4563" i="7" s="1"/>
  <c r="L4563" i="7" s="1"/>
  <c r="G4563" i="7"/>
  <c r="H4563" i="7" s="1"/>
  <c r="B4563" i="7"/>
  <c r="M4562" i="7"/>
  <c r="J4562" i="7"/>
  <c r="K4562" i="7" s="1"/>
  <c r="L4562" i="7" s="1"/>
  <c r="G4562" i="7"/>
  <c r="H4562" i="7" s="1"/>
  <c r="B4562" i="7"/>
  <c r="M4561" i="7"/>
  <c r="J4561" i="7"/>
  <c r="K4561" i="7" s="1"/>
  <c r="L4561" i="7" s="1"/>
  <c r="G4561" i="7"/>
  <c r="H4561" i="7" s="1"/>
  <c r="B4561" i="7"/>
  <c r="M4560" i="7"/>
  <c r="J4560" i="7"/>
  <c r="K4560" i="7" s="1"/>
  <c r="L4560" i="7" s="1"/>
  <c r="G4560" i="7"/>
  <c r="H4560" i="7" s="1"/>
  <c r="B4560" i="7"/>
  <c r="M4559" i="7"/>
  <c r="J4559" i="7"/>
  <c r="K4559" i="7" s="1"/>
  <c r="L4559" i="7" s="1"/>
  <c r="G4559" i="7"/>
  <c r="H4559" i="7" s="1"/>
  <c r="B4559" i="7"/>
  <c r="M4558" i="7"/>
  <c r="J4558" i="7"/>
  <c r="K4558" i="7" s="1"/>
  <c r="L4558" i="7" s="1"/>
  <c r="G4558" i="7"/>
  <c r="H4558" i="7" s="1"/>
  <c r="B4558" i="7"/>
  <c r="M4557" i="7"/>
  <c r="J4557" i="7"/>
  <c r="K4557" i="7" s="1"/>
  <c r="L4557" i="7" s="1"/>
  <c r="G4557" i="7"/>
  <c r="H4557" i="7" s="1"/>
  <c r="B4557" i="7"/>
  <c r="M4556" i="7"/>
  <c r="J4556" i="7"/>
  <c r="K4556" i="7" s="1"/>
  <c r="L4556" i="7" s="1"/>
  <c r="G4556" i="7"/>
  <c r="H4556" i="7" s="1"/>
  <c r="B4556" i="7"/>
  <c r="M4555" i="7"/>
  <c r="J4555" i="7"/>
  <c r="K4555" i="7" s="1"/>
  <c r="L4555" i="7" s="1"/>
  <c r="G4555" i="7"/>
  <c r="H4555" i="7" s="1"/>
  <c r="B4555" i="7"/>
  <c r="M4554" i="7"/>
  <c r="J4554" i="7"/>
  <c r="K4554" i="7" s="1"/>
  <c r="L4554" i="7" s="1"/>
  <c r="G4554" i="7"/>
  <c r="H4554" i="7" s="1"/>
  <c r="B4554" i="7"/>
  <c r="M4553" i="7"/>
  <c r="J4553" i="7"/>
  <c r="K4553" i="7" s="1"/>
  <c r="L4553" i="7" s="1"/>
  <c r="G4553" i="7"/>
  <c r="H4553" i="7" s="1"/>
  <c r="B4553" i="7"/>
  <c r="M4552" i="7"/>
  <c r="J4552" i="7"/>
  <c r="K4552" i="7" s="1"/>
  <c r="L4552" i="7" s="1"/>
  <c r="G4552" i="7"/>
  <c r="H4552" i="7" s="1"/>
  <c r="B4552" i="7"/>
  <c r="M4551" i="7"/>
  <c r="J4551" i="7"/>
  <c r="K4551" i="7" s="1"/>
  <c r="L4551" i="7" s="1"/>
  <c r="G4551" i="7"/>
  <c r="H4551" i="7" s="1"/>
  <c r="B4551" i="7"/>
  <c r="M4550" i="7"/>
  <c r="J4550" i="7"/>
  <c r="K4550" i="7" s="1"/>
  <c r="L4550" i="7" s="1"/>
  <c r="G4550" i="7"/>
  <c r="H4550" i="7" s="1"/>
  <c r="B4550" i="7"/>
  <c r="M4549" i="7"/>
  <c r="J4549" i="7"/>
  <c r="K4549" i="7" s="1"/>
  <c r="L4549" i="7" s="1"/>
  <c r="G4549" i="7"/>
  <c r="H4549" i="7" s="1"/>
  <c r="B4549" i="7"/>
  <c r="M4548" i="7"/>
  <c r="J4548" i="7"/>
  <c r="K4548" i="7" s="1"/>
  <c r="L4548" i="7" s="1"/>
  <c r="G4548" i="7"/>
  <c r="H4548" i="7" s="1"/>
  <c r="B4548" i="7"/>
  <c r="M4547" i="7"/>
  <c r="J4547" i="7"/>
  <c r="K4547" i="7" s="1"/>
  <c r="L4547" i="7" s="1"/>
  <c r="G4547" i="7"/>
  <c r="H4547" i="7" s="1"/>
  <c r="B4547" i="7"/>
  <c r="M4546" i="7"/>
  <c r="J4546" i="7"/>
  <c r="K4546" i="7" s="1"/>
  <c r="L4546" i="7" s="1"/>
  <c r="G4546" i="7"/>
  <c r="H4546" i="7" s="1"/>
  <c r="B4546" i="7"/>
  <c r="M4545" i="7"/>
  <c r="J4545" i="7"/>
  <c r="K4545" i="7" s="1"/>
  <c r="L4545" i="7" s="1"/>
  <c r="G4545" i="7"/>
  <c r="H4545" i="7" s="1"/>
  <c r="B4545" i="7"/>
  <c r="M4544" i="7"/>
  <c r="J4544" i="7"/>
  <c r="K4544" i="7" s="1"/>
  <c r="L4544" i="7" s="1"/>
  <c r="G4544" i="7"/>
  <c r="H4544" i="7" s="1"/>
  <c r="B4544" i="7"/>
  <c r="M4543" i="7"/>
  <c r="J4543" i="7"/>
  <c r="K4543" i="7" s="1"/>
  <c r="L4543" i="7" s="1"/>
  <c r="G4543" i="7"/>
  <c r="H4543" i="7" s="1"/>
  <c r="B4543" i="7"/>
  <c r="M4542" i="7"/>
  <c r="J4542" i="7"/>
  <c r="K4542" i="7" s="1"/>
  <c r="L4542" i="7" s="1"/>
  <c r="G4542" i="7"/>
  <c r="H4542" i="7" s="1"/>
  <c r="B4542" i="7"/>
  <c r="M4541" i="7"/>
  <c r="J4541" i="7"/>
  <c r="K4541" i="7" s="1"/>
  <c r="L4541" i="7" s="1"/>
  <c r="G4541" i="7"/>
  <c r="H4541" i="7" s="1"/>
  <c r="B4541" i="7"/>
  <c r="M4540" i="7"/>
  <c r="J4540" i="7"/>
  <c r="K4540" i="7" s="1"/>
  <c r="L4540" i="7" s="1"/>
  <c r="G4540" i="7"/>
  <c r="H4540" i="7" s="1"/>
  <c r="B4540" i="7"/>
  <c r="M4539" i="7"/>
  <c r="J4539" i="7"/>
  <c r="K4539" i="7" s="1"/>
  <c r="L4539" i="7" s="1"/>
  <c r="G4539" i="7"/>
  <c r="H4539" i="7" s="1"/>
  <c r="B4539" i="7"/>
  <c r="M4538" i="7"/>
  <c r="J4538" i="7"/>
  <c r="K4538" i="7" s="1"/>
  <c r="L4538" i="7" s="1"/>
  <c r="G4538" i="7"/>
  <c r="H4538" i="7" s="1"/>
  <c r="B4538" i="7"/>
  <c r="M4537" i="7"/>
  <c r="J4537" i="7"/>
  <c r="K4537" i="7" s="1"/>
  <c r="L4537" i="7" s="1"/>
  <c r="G4537" i="7"/>
  <c r="H4537" i="7" s="1"/>
  <c r="B4537" i="7"/>
  <c r="M4536" i="7"/>
  <c r="J4536" i="7"/>
  <c r="K4536" i="7" s="1"/>
  <c r="L4536" i="7" s="1"/>
  <c r="G4536" i="7"/>
  <c r="H4536" i="7" s="1"/>
  <c r="B4536" i="7"/>
  <c r="M4535" i="7"/>
  <c r="J4535" i="7"/>
  <c r="K4535" i="7" s="1"/>
  <c r="L4535" i="7" s="1"/>
  <c r="G4535" i="7"/>
  <c r="H4535" i="7" s="1"/>
  <c r="B4535" i="7"/>
  <c r="M4534" i="7"/>
  <c r="J4534" i="7"/>
  <c r="K4534" i="7" s="1"/>
  <c r="L4534" i="7" s="1"/>
  <c r="G4534" i="7"/>
  <c r="H4534" i="7" s="1"/>
  <c r="B4534" i="7"/>
  <c r="M4533" i="7"/>
  <c r="J4533" i="7"/>
  <c r="K4533" i="7" s="1"/>
  <c r="L4533" i="7" s="1"/>
  <c r="G4533" i="7"/>
  <c r="H4533" i="7" s="1"/>
  <c r="B4533" i="7"/>
  <c r="M4532" i="7"/>
  <c r="J4532" i="7"/>
  <c r="K4532" i="7" s="1"/>
  <c r="L4532" i="7" s="1"/>
  <c r="G4532" i="7"/>
  <c r="H4532" i="7" s="1"/>
  <c r="B4532" i="7"/>
  <c r="M4531" i="7"/>
  <c r="J4531" i="7"/>
  <c r="K4531" i="7" s="1"/>
  <c r="L4531" i="7" s="1"/>
  <c r="G4531" i="7"/>
  <c r="H4531" i="7" s="1"/>
  <c r="B4531" i="7"/>
  <c r="M4530" i="7"/>
  <c r="J4530" i="7"/>
  <c r="K4530" i="7" s="1"/>
  <c r="L4530" i="7" s="1"/>
  <c r="G4530" i="7"/>
  <c r="H4530" i="7" s="1"/>
  <c r="B4530" i="7"/>
  <c r="M4529" i="7"/>
  <c r="J4529" i="7"/>
  <c r="K4529" i="7" s="1"/>
  <c r="L4529" i="7" s="1"/>
  <c r="G4529" i="7"/>
  <c r="H4529" i="7" s="1"/>
  <c r="B4529" i="7"/>
  <c r="M4528" i="7"/>
  <c r="J4528" i="7"/>
  <c r="K4528" i="7" s="1"/>
  <c r="L4528" i="7" s="1"/>
  <c r="G4528" i="7"/>
  <c r="H4528" i="7" s="1"/>
  <c r="B4528" i="7"/>
  <c r="M4527" i="7"/>
  <c r="J4527" i="7"/>
  <c r="K4527" i="7" s="1"/>
  <c r="L4527" i="7" s="1"/>
  <c r="G4527" i="7"/>
  <c r="H4527" i="7" s="1"/>
  <c r="B4527" i="7"/>
  <c r="M4526" i="7"/>
  <c r="J4526" i="7"/>
  <c r="K4526" i="7" s="1"/>
  <c r="L4526" i="7" s="1"/>
  <c r="G4526" i="7"/>
  <c r="H4526" i="7" s="1"/>
  <c r="B4526" i="7"/>
  <c r="M4525" i="7"/>
  <c r="J4525" i="7"/>
  <c r="K4525" i="7" s="1"/>
  <c r="L4525" i="7" s="1"/>
  <c r="G4525" i="7"/>
  <c r="H4525" i="7" s="1"/>
  <c r="B4525" i="7"/>
  <c r="M4524" i="7"/>
  <c r="J4524" i="7"/>
  <c r="K4524" i="7" s="1"/>
  <c r="L4524" i="7" s="1"/>
  <c r="G4524" i="7"/>
  <c r="H4524" i="7" s="1"/>
  <c r="B4524" i="7"/>
  <c r="M4523" i="7"/>
  <c r="J4523" i="7"/>
  <c r="K4523" i="7" s="1"/>
  <c r="L4523" i="7" s="1"/>
  <c r="G4523" i="7"/>
  <c r="H4523" i="7" s="1"/>
  <c r="B4523" i="7"/>
  <c r="M4522" i="7"/>
  <c r="J4522" i="7"/>
  <c r="K4522" i="7" s="1"/>
  <c r="L4522" i="7" s="1"/>
  <c r="G4522" i="7"/>
  <c r="H4522" i="7" s="1"/>
  <c r="B4522" i="7"/>
  <c r="M4521" i="7"/>
  <c r="J4521" i="7"/>
  <c r="K4521" i="7" s="1"/>
  <c r="L4521" i="7" s="1"/>
  <c r="G4521" i="7"/>
  <c r="H4521" i="7" s="1"/>
  <c r="B4521" i="7"/>
  <c r="M4520" i="7"/>
  <c r="J4520" i="7"/>
  <c r="K4520" i="7" s="1"/>
  <c r="L4520" i="7" s="1"/>
  <c r="G4520" i="7"/>
  <c r="H4520" i="7" s="1"/>
  <c r="B4520" i="7"/>
  <c r="M4519" i="7"/>
  <c r="J4519" i="7"/>
  <c r="K4519" i="7" s="1"/>
  <c r="L4519" i="7" s="1"/>
  <c r="G4519" i="7"/>
  <c r="H4519" i="7" s="1"/>
  <c r="B4519" i="7"/>
  <c r="M4518" i="7"/>
  <c r="J4518" i="7"/>
  <c r="K4518" i="7" s="1"/>
  <c r="L4518" i="7" s="1"/>
  <c r="G4518" i="7"/>
  <c r="H4518" i="7" s="1"/>
  <c r="B4518" i="7"/>
  <c r="M4517" i="7"/>
  <c r="J4517" i="7"/>
  <c r="K4517" i="7" s="1"/>
  <c r="L4517" i="7" s="1"/>
  <c r="G4517" i="7"/>
  <c r="H4517" i="7" s="1"/>
  <c r="B4517" i="7"/>
  <c r="M4516" i="7"/>
  <c r="J4516" i="7"/>
  <c r="K4516" i="7" s="1"/>
  <c r="L4516" i="7" s="1"/>
  <c r="G4516" i="7"/>
  <c r="H4516" i="7" s="1"/>
  <c r="B4516" i="7"/>
  <c r="M4515" i="7"/>
  <c r="J4515" i="7"/>
  <c r="K4515" i="7" s="1"/>
  <c r="L4515" i="7" s="1"/>
  <c r="G4515" i="7"/>
  <c r="H4515" i="7" s="1"/>
  <c r="B4515" i="7"/>
  <c r="M4514" i="7"/>
  <c r="J4514" i="7"/>
  <c r="K4514" i="7" s="1"/>
  <c r="L4514" i="7" s="1"/>
  <c r="G4514" i="7"/>
  <c r="H4514" i="7" s="1"/>
  <c r="B4514" i="7"/>
  <c r="M4513" i="7"/>
  <c r="J4513" i="7"/>
  <c r="K4513" i="7" s="1"/>
  <c r="L4513" i="7" s="1"/>
  <c r="G4513" i="7"/>
  <c r="H4513" i="7" s="1"/>
  <c r="B4513" i="7"/>
  <c r="M4512" i="7"/>
  <c r="J4512" i="7"/>
  <c r="K4512" i="7" s="1"/>
  <c r="L4512" i="7" s="1"/>
  <c r="G4512" i="7"/>
  <c r="H4512" i="7" s="1"/>
  <c r="B4512" i="7"/>
  <c r="M4511" i="7"/>
  <c r="J4511" i="7"/>
  <c r="K4511" i="7" s="1"/>
  <c r="L4511" i="7" s="1"/>
  <c r="G4511" i="7"/>
  <c r="H4511" i="7" s="1"/>
  <c r="B4511" i="7"/>
  <c r="M4510" i="7"/>
  <c r="J4510" i="7"/>
  <c r="K4510" i="7" s="1"/>
  <c r="L4510" i="7" s="1"/>
  <c r="G4510" i="7"/>
  <c r="H4510" i="7" s="1"/>
  <c r="B4510" i="7"/>
  <c r="M4509" i="7"/>
  <c r="J4509" i="7"/>
  <c r="K4509" i="7" s="1"/>
  <c r="L4509" i="7" s="1"/>
  <c r="G4509" i="7"/>
  <c r="H4509" i="7" s="1"/>
  <c r="B4509" i="7"/>
  <c r="M4508" i="7"/>
  <c r="J4508" i="7"/>
  <c r="K4508" i="7" s="1"/>
  <c r="L4508" i="7" s="1"/>
  <c r="G4508" i="7"/>
  <c r="H4508" i="7" s="1"/>
  <c r="B4508" i="7"/>
  <c r="M4507" i="7"/>
  <c r="J4507" i="7"/>
  <c r="K4507" i="7" s="1"/>
  <c r="L4507" i="7" s="1"/>
  <c r="G4507" i="7"/>
  <c r="H4507" i="7" s="1"/>
  <c r="B4507" i="7"/>
  <c r="M4506" i="7"/>
  <c r="J4506" i="7"/>
  <c r="K4506" i="7" s="1"/>
  <c r="L4506" i="7" s="1"/>
  <c r="G4506" i="7"/>
  <c r="H4506" i="7" s="1"/>
  <c r="B4506" i="7"/>
  <c r="M4505" i="7"/>
  <c r="J4505" i="7"/>
  <c r="K4505" i="7" s="1"/>
  <c r="L4505" i="7" s="1"/>
  <c r="G4505" i="7"/>
  <c r="H4505" i="7" s="1"/>
  <c r="B4505" i="7"/>
  <c r="M4504" i="7"/>
  <c r="J4504" i="7"/>
  <c r="K4504" i="7" s="1"/>
  <c r="L4504" i="7" s="1"/>
  <c r="G4504" i="7"/>
  <c r="H4504" i="7" s="1"/>
  <c r="B4504" i="7"/>
  <c r="M4503" i="7"/>
  <c r="J4503" i="7"/>
  <c r="K4503" i="7" s="1"/>
  <c r="L4503" i="7" s="1"/>
  <c r="G4503" i="7"/>
  <c r="H4503" i="7" s="1"/>
  <c r="B4503" i="7"/>
  <c r="M4502" i="7"/>
  <c r="J4502" i="7"/>
  <c r="K4502" i="7" s="1"/>
  <c r="L4502" i="7" s="1"/>
  <c r="G4502" i="7"/>
  <c r="H4502" i="7" s="1"/>
  <c r="B4502" i="7"/>
  <c r="M4501" i="7"/>
  <c r="J4501" i="7"/>
  <c r="K4501" i="7" s="1"/>
  <c r="L4501" i="7" s="1"/>
  <c r="G4501" i="7"/>
  <c r="H4501" i="7" s="1"/>
  <c r="B4501" i="7"/>
  <c r="M4500" i="7"/>
  <c r="J4500" i="7"/>
  <c r="K4500" i="7" s="1"/>
  <c r="L4500" i="7" s="1"/>
  <c r="G4500" i="7"/>
  <c r="H4500" i="7" s="1"/>
  <c r="B4500" i="7"/>
  <c r="M4499" i="7"/>
  <c r="J4499" i="7"/>
  <c r="K4499" i="7" s="1"/>
  <c r="L4499" i="7" s="1"/>
  <c r="G4499" i="7"/>
  <c r="H4499" i="7" s="1"/>
  <c r="B4499" i="7"/>
  <c r="M4498" i="7"/>
  <c r="J4498" i="7"/>
  <c r="K4498" i="7" s="1"/>
  <c r="L4498" i="7" s="1"/>
  <c r="G4498" i="7"/>
  <c r="H4498" i="7" s="1"/>
  <c r="B4498" i="7"/>
  <c r="M4497" i="7"/>
  <c r="J4497" i="7"/>
  <c r="K4497" i="7" s="1"/>
  <c r="L4497" i="7" s="1"/>
  <c r="G4497" i="7"/>
  <c r="H4497" i="7" s="1"/>
  <c r="B4497" i="7"/>
  <c r="M4496" i="7"/>
  <c r="J4496" i="7"/>
  <c r="K4496" i="7" s="1"/>
  <c r="L4496" i="7" s="1"/>
  <c r="G4496" i="7"/>
  <c r="H4496" i="7" s="1"/>
  <c r="B4496" i="7"/>
  <c r="M4495" i="7"/>
  <c r="J4495" i="7"/>
  <c r="K4495" i="7" s="1"/>
  <c r="L4495" i="7" s="1"/>
  <c r="G4495" i="7"/>
  <c r="H4495" i="7" s="1"/>
  <c r="B4495" i="7"/>
  <c r="M4494" i="7"/>
  <c r="J4494" i="7"/>
  <c r="K4494" i="7" s="1"/>
  <c r="L4494" i="7" s="1"/>
  <c r="G4494" i="7"/>
  <c r="H4494" i="7" s="1"/>
  <c r="B4494" i="7"/>
  <c r="M4493" i="7"/>
  <c r="J4493" i="7"/>
  <c r="K4493" i="7" s="1"/>
  <c r="L4493" i="7" s="1"/>
  <c r="G4493" i="7"/>
  <c r="H4493" i="7" s="1"/>
  <c r="B4493" i="7"/>
  <c r="M4492" i="7"/>
  <c r="J4492" i="7"/>
  <c r="K4492" i="7" s="1"/>
  <c r="L4492" i="7" s="1"/>
  <c r="G4492" i="7"/>
  <c r="H4492" i="7" s="1"/>
  <c r="B4492" i="7"/>
  <c r="M4491" i="7"/>
  <c r="J4491" i="7"/>
  <c r="K4491" i="7" s="1"/>
  <c r="L4491" i="7" s="1"/>
  <c r="G4491" i="7"/>
  <c r="H4491" i="7" s="1"/>
  <c r="B4491" i="7"/>
  <c r="M4490" i="7"/>
  <c r="J4490" i="7"/>
  <c r="K4490" i="7" s="1"/>
  <c r="L4490" i="7" s="1"/>
  <c r="G4490" i="7"/>
  <c r="H4490" i="7" s="1"/>
  <c r="B4490" i="7"/>
  <c r="M4489" i="7"/>
  <c r="J4489" i="7"/>
  <c r="K4489" i="7" s="1"/>
  <c r="L4489" i="7" s="1"/>
  <c r="G4489" i="7"/>
  <c r="H4489" i="7" s="1"/>
  <c r="B4489" i="7"/>
  <c r="M4488" i="7"/>
  <c r="J4488" i="7"/>
  <c r="K4488" i="7" s="1"/>
  <c r="L4488" i="7" s="1"/>
  <c r="G4488" i="7"/>
  <c r="H4488" i="7" s="1"/>
  <c r="B4488" i="7"/>
  <c r="M4487" i="7"/>
  <c r="J4487" i="7"/>
  <c r="K4487" i="7" s="1"/>
  <c r="L4487" i="7" s="1"/>
  <c r="G4487" i="7"/>
  <c r="H4487" i="7" s="1"/>
  <c r="B4487" i="7"/>
  <c r="M4486" i="7"/>
  <c r="J4486" i="7"/>
  <c r="K4486" i="7" s="1"/>
  <c r="L4486" i="7" s="1"/>
  <c r="G4486" i="7"/>
  <c r="H4486" i="7" s="1"/>
  <c r="B4486" i="7"/>
  <c r="M4485" i="7"/>
  <c r="J4485" i="7"/>
  <c r="K4485" i="7" s="1"/>
  <c r="L4485" i="7" s="1"/>
  <c r="G4485" i="7"/>
  <c r="H4485" i="7" s="1"/>
  <c r="B4485" i="7"/>
  <c r="M4484" i="7"/>
  <c r="J4484" i="7"/>
  <c r="K4484" i="7" s="1"/>
  <c r="L4484" i="7" s="1"/>
  <c r="G4484" i="7"/>
  <c r="H4484" i="7" s="1"/>
  <c r="B4484" i="7"/>
  <c r="M4483" i="7"/>
  <c r="J4483" i="7"/>
  <c r="K4483" i="7" s="1"/>
  <c r="L4483" i="7" s="1"/>
  <c r="G4483" i="7"/>
  <c r="H4483" i="7" s="1"/>
  <c r="B4483" i="7"/>
  <c r="M4482" i="7"/>
  <c r="J4482" i="7"/>
  <c r="K4482" i="7" s="1"/>
  <c r="L4482" i="7" s="1"/>
  <c r="G4482" i="7"/>
  <c r="H4482" i="7" s="1"/>
  <c r="B4482" i="7"/>
  <c r="M4481" i="7"/>
  <c r="J4481" i="7"/>
  <c r="K4481" i="7" s="1"/>
  <c r="L4481" i="7" s="1"/>
  <c r="G4481" i="7"/>
  <c r="H4481" i="7" s="1"/>
  <c r="B4481" i="7"/>
  <c r="M4480" i="7"/>
  <c r="J4480" i="7"/>
  <c r="K4480" i="7" s="1"/>
  <c r="L4480" i="7" s="1"/>
  <c r="G4480" i="7"/>
  <c r="H4480" i="7" s="1"/>
  <c r="B4480" i="7"/>
  <c r="M4479" i="7"/>
  <c r="J4479" i="7"/>
  <c r="K4479" i="7" s="1"/>
  <c r="L4479" i="7" s="1"/>
  <c r="G4479" i="7"/>
  <c r="H4479" i="7" s="1"/>
  <c r="B4479" i="7"/>
  <c r="M4478" i="7"/>
  <c r="J4478" i="7"/>
  <c r="K4478" i="7" s="1"/>
  <c r="L4478" i="7" s="1"/>
  <c r="G4478" i="7"/>
  <c r="H4478" i="7" s="1"/>
  <c r="B4478" i="7"/>
  <c r="M4477" i="7"/>
  <c r="J4477" i="7"/>
  <c r="K4477" i="7" s="1"/>
  <c r="L4477" i="7" s="1"/>
  <c r="G4477" i="7"/>
  <c r="H4477" i="7" s="1"/>
  <c r="B4477" i="7"/>
  <c r="M4476" i="7"/>
  <c r="J4476" i="7"/>
  <c r="K4476" i="7" s="1"/>
  <c r="L4476" i="7" s="1"/>
  <c r="G4476" i="7"/>
  <c r="H4476" i="7" s="1"/>
  <c r="B4476" i="7"/>
  <c r="M4475" i="7"/>
  <c r="J4475" i="7"/>
  <c r="K4475" i="7" s="1"/>
  <c r="L4475" i="7" s="1"/>
  <c r="G4475" i="7"/>
  <c r="H4475" i="7" s="1"/>
  <c r="B4475" i="7"/>
  <c r="M4474" i="7"/>
  <c r="J4474" i="7"/>
  <c r="K4474" i="7" s="1"/>
  <c r="L4474" i="7" s="1"/>
  <c r="G4474" i="7"/>
  <c r="H4474" i="7" s="1"/>
  <c r="B4474" i="7"/>
  <c r="M4473" i="7"/>
  <c r="J4473" i="7"/>
  <c r="K4473" i="7" s="1"/>
  <c r="L4473" i="7" s="1"/>
  <c r="G4473" i="7"/>
  <c r="H4473" i="7" s="1"/>
  <c r="B4473" i="7"/>
  <c r="M4472" i="7"/>
  <c r="J4472" i="7"/>
  <c r="K4472" i="7" s="1"/>
  <c r="L4472" i="7" s="1"/>
  <c r="G4472" i="7"/>
  <c r="H4472" i="7" s="1"/>
  <c r="B4472" i="7"/>
  <c r="M4471" i="7"/>
  <c r="J4471" i="7"/>
  <c r="K4471" i="7" s="1"/>
  <c r="L4471" i="7" s="1"/>
  <c r="G4471" i="7"/>
  <c r="H4471" i="7" s="1"/>
  <c r="B4471" i="7"/>
  <c r="M4470" i="7"/>
  <c r="J4470" i="7"/>
  <c r="K4470" i="7" s="1"/>
  <c r="L4470" i="7" s="1"/>
  <c r="G4470" i="7"/>
  <c r="H4470" i="7" s="1"/>
  <c r="B4470" i="7"/>
  <c r="M4469" i="7"/>
  <c r="J4469" i="7"/>
  <c r="K4469" i="7" s="1"/>
  <c r="L4469" i="7" s="1"/>
  <c r="G4469" i="7"/>
  <c r="H4469" i="7" s="1"/>
  <c r="B4469" i="7"/>
  <c r="M4468" i="7"/>
  <c r="J4468" i="7"/>
  <c r="K4468" i="7" s="1"/>
  <c r="L4468" i="7" s="1"/>
  <c r="G4468" i="7"/>
  <c r="H4468" i="7" s="1"/>
  <c r="B4468" i="7"/>
  <c r="M4467" i="7"/>
  <c r="J4467" i="7"/>
  <c r="K4467" i="7" s="1"/>
  <c r="L4467" i="7" s="1"/>
  <c r="G4467" i="7"/>
  <c r="H4467" i="7" s="1"/>
  <c r="B4467" i="7"/>
  <c r="M4466" i="7"/>
  <c r="J4466" i="7"/>
  <c r="K4466" i="7" s="1"/>
  <c r="L4466" i="7" s="1"/>
  <c r="G4466" i="7"/>
  <c r="H4466" i="7" s="1"/>
  <c r="B4466" i="7"/>
  <c r="M4465" i="7"/>
  <c r="J4465" i="7"/>
  <c r="K4465" i="7" s="1"/>
  <c r="L4465" i="7" s="1"/>
  <c r="G4465" i="7"/>
  <c r="H4465" i="7" s="1"/>
  <c r="B4465" i="7"/>
  <c r="M4464" i="7"/>
  <c r="J4464" i="7"/>
  <c r="K4464" i="7" s="1"/>
  <c r="L4464" i="7" s="1"/>
  <c r="G4464" i="7"/>
  <c r="H4464" i="7" s="1"/>
  <c r="B4464" i="7"/>
  <c r="M4463" i="7"/>
  <c r="J4463" i="7"/>
  <c r="K4463" i="7" s="1"/>
  <c r="L4463" i="7" s="1"/>
  <c r="G4463" i="7"/>
  <c r="H4463" i="7" s="1"/>
  <c r="B4463" i="7"/>
  <c r="M4462" i="7"/>
  <c r="J4462" i="7"/>
  <c r="K4462" i="7" s="1"/>
  <c r="L4462" i="7" s="1"/>
  <c r="G4462" i="7"/>
  <c r="H4462" i="7" s="1"/>
  <c r="B4462" i="7"/>
  <c r="M4461" i="7"/>
  <c r="J4461" i="7"/>
  <c r="K4461" i="7" s="1"/>
  <c r="L4461" i="7" s="1"/>
  <c r="G4461" i="7"/>
  <c r="H4461" i="7" s="1"/>
  <c r="B4461" i="7"/>
  <c r="M4460" i="7"/>
  <c r="J4460" i="7"/>
  <c r="K4460" i="7" s="1"/>
  <c r="L4460" i="7" s="1"/>
  <c r="G4460" i="7"/>
  <c r="H4460" i="7" s="1"/>
  <c r="B4460" i="7"/>
  <c r="M4459" i="7"/>
  <c r="J4459" i="7"/>
  <c r="K4459" i="7" s="1"/>
  <c r="L4459" i="7" s="1"/>
  <c r="G4459" i="7"/>
  <c r="H4459" i="7" s="1"/>
  <c r="B4459" i="7"/>
  <c r="M4458" i="7"/>
  <c r="J4458" i="7"/>
  <c r="K4458" i="7" s="1"/>
  <c r="L4458" i="7" s="1"/>
  <c r="G4458" i="7"/>
  <c r="H4458" i="7" s="1"/>
  <c r="B4458" i="7"/>
  <c r="M4457" i="7"/>
  <c r="J4457" i="7"/>
  <c r="K4457" i="7" s="1"/>
  <c r="L4457" i="7" s="1"/>
  <c r="G4457" i="7"/>
  <c r="H4457" i="7" s="1"/>
  <c r="B4457" i="7"/>
  <c r="M4456" i="7"/>
  <c r="J4456" i="7"/>
  <c r="K4456" i="7" s="1"/>
  <c r="L4456" i="7" s="1"/>
  <c r="G4456" i="7"/>
  <c r="H4456" i="7" s="1"/>
  <c r="B4456" i="7"/>
  <c r="M4455" i="7"/>
  <c r="J4455" i="7"/>
  <c r="K4455" i="7" s="1"/>
  <c r="L4455" i="7" s="1"/>
  <c r="G4455" i="7"/>
  <c r="H4455" i="7" s="1"/>
  <c r="B4455" i="7"/>
  <c r="M4454" i="7"/>
  <c r="J4454" i="7"/>
  <c r="K4454" i="7" s="1"/>
  <c r="L4454" i="7" s="1"/>
  <c r="G4454" i="7"/>
  <c r="H4454" i="7" s="1"/>
  <c r="B4454" i="7"/>
  <c r="M4453" i="7"/>
  <c r="J4453" i="7"/>
  <c r="K4453" i="7" s="1"/>
  <c r="L4453" i="7" s="1"/>
  <c r="G4453" i="7"/>
  <c r="H4453" i="7" s="1"/>
  <c r="B4453" i="7"/>
  <c r="M4452" i="7"/>
  <c r="J4452" i="7"/>
  <c r="K4452" i="7" s="1"/>
  <c r="L4452" i="7" s="1"/>
  <c r="G4452" i="7"/>
  <c r="H4452" i="7" s="1"/>
  <c r="B4452" i="7"/>
  <c r="M4451" i="7"/>
  <c r="J4451" i="7"/>
  <c r="K4451" i="7" s="1"/>
  <c r="L4451" i="7" s="1"/>
  <c r="G4451" i="7"/>
  <c r="H4451" i="7" s="1"/>
  <c r="B4451" i="7"/>
  <c r="M4450" i="7"/>
  <c r="J4450" i="7"/>
  <c r="K4450" i="7" s="1"/>
  <c r="L4450" i="7" s="1"/>
  <c r="G4450" i="7"/>
  <c r="H4450" i="7" s="1"/>
  <c r="B4450" i="7"/>
  <c r="M4449" i="7"/>
  <c r="J4449" i="7"/>
  <c r="K4449" i="7" s="1"/>
  <c r="L4449" i="7" s="1"/>
  <c r="G4449" i="7"/>
  <c r="H4449" i="7" s="1"/>
  <c r="B4449" i="7"/>
  <c r="M4448" i="7"/>
  <c r="J4448" i="7"/>
  <c r="K4448" i="7" s="1"/>
  <c r="L4448" i="7" s="1"/>
  <c r="G4448" i="7"/>
  <c r="H4448" i="7" s="1"/>
  <c r="B4448" i="7"/>
  <c r="M4447" i="7"/>
  <c r="J4447" i="7"/>
  <c r="K4447" i="7" s="1"/>
  <c r="L4447" i="7" s="1"/>
  <c r="G4447" i="7"/>
  <c r="H4447" i="7" s="1"/>
  <c r="B4447" i="7"/>
  <c r="M4446" i="7"/>
  <c r="J4446" i="7"/>
  <c r="K4446" i="7" s="1"/>
  <c r="L4446" i="7" s="1"/>
  <c r="G4446" i="7"/>
  <c r="H4446" i="7" s="1"/>
  <c r="B4446" i="7"/>
  <c r="M4445" i="7"/>
  <c r="J4445" i="7"/>
  <c r="K4445" i="7" s="1"/>
  <c r="L4445" i="7" s="1"/>
  <c r="G4445" i="7"/>
  <c r="H4445" i="7" s="1"/>
  <c r="B4445" i="7"/>
  <c r="M4444" i="7"/>
  <c r="J4444" i="7"/>
  <c r="K4444" i="7" s="1"/>
  <c r="L4444" i="7" s="1"/>
  <c r="G4444" i="7"/>
  <c r="H4444" i="7" s="1"/>
  <c r="B4444" i="7"/>
  <c r="M4443" i="7"/>
  <c r="J4443" i="7"/>
  <c r="K4443" i="7" s="1"/>
  <c r="L4443" i="7" s="1"/>
  <c r="G4443" i="7"/>
  <c r="H4443" i="7" s="1"/>
  <c r="B4443" i="7"/>
  <c r="M4442" i="7"/>
  <c r="J4442" i="7"/>
  <c r="K4442" i="7" s="1"/>
  <c r="L4442" i="7" s="1"/>
  <c r="G4442" i="7"/>
  <c r="H4442" i="7" s="1"/>
  <c r="B4442" i="7"/>
  <c r="M4441" i="7"/>
  <c r="J4441" i="7"/>
  <c r="K4441" i="7" s="1"/>
  <c r="L4441" i="7" s="1"/>
  <c r="G4441" i="7"/>
  <c r="H4441" i="7" s="1"/>
  <c r="B4441" i="7"/>
  <c r="M4440" i="7"/>
  <c r="J4440" i="7"/>
  <c r="K4440" i="7" s="1"/>
  <c r="L4440" i="7" s="1"/>
  <c r="G4440" i="7"/>
  <c r="H4440" i="7" s="1"/>
  <c r="B4440" i="7"/>
  <c r="M4439" i="7"/>
  <c r="J4439" i="7"/>
  <c r="K4439" i="7" s="1"/>
  <c r="L4439" i="7" s="1"/>
  <c r="G4439" i="7"/>
  <c r="H4439" i="7" s="1"/>
  <c r="B4439" i="7"/>
  <c r="M4438" i="7"/>
  <c r="J4438" i="7"/>
  <c r="K4438" i="7" s="1"/>
  <c r="L4438" i="7" s="1"/>
  <c r="G4438" i="7"/>
  <c r="H4438" i="7" s="1"/>
  <c r="B4438" i="7"/>
  <c r="M4437" i="7"/>
  <c r="J4437" i="7"/>
  <c r="K4437" i="7" s="1"/>
  <c r="L4437" i="7" s="1"/>
  <c r="G4437" i="7"/>
  <c r="H4437" i="7" s="1"/>
  <c r="B4437" i="7"/>
  <c r="M4436" i="7"/>
  <c r="J4436" i="7"/>
  <c r="K4436" i="7" s="1"/>
  <c r="L4436" i="7" s="1"/>
  <c r="G4436" i="7"/>
  <c r="H4436" i="7" s="1"/>
  <c r="B4436" i="7"/>
  <c r="M4435" i="7"/>
  <c r="J4435" i="7"/>
  <c r="K4435" i="7" s="1"/>
  <c r="L4435" i="7" s="1"/>
  <c r="G4435" i="7"/>
  <c r="H4435" i="7" s="1"/>
  <c r="B4435" i="7"/>
  <c r="M4434" i="7"/>
  <c r="J4434" i="7"/>
  <c r="K4434" i="7" s="1"/>
  <c r="L4434" i="7" s="1"/>
  <c r="G4434" i="7"/>
  <c r="H4434" i="7" s="1"/>
  <c r="B4434" i="7"/>
  <c r="M4433" i="7"/>
  <c r="J4433" i="7"/>
  <c r="K4433" i="7" s="1"/>
  <c r="L4433" i="7" s="1"/>
  <c r="G4433" i="7"/>
  <c r="H4433" i="7" s="1"/>
  <c r="B4433" i="7"/>
  <c r="M4432" i="7"/>
  <c r="J4432" i="7"/>
  <c r="K4432" i="7" s="1"/>
  <c r="L4432" i="7" s="1"/>
  <c r="G4432" i="7"/>
  <c r="H4432" i="7" s="1"/>
  <c r="B4432" i="7"/>
  <c r="M4431" i="7"/>
  <c r="J4431" i="7"/>
  <c r="K4431" i="7" s="1"/>
  <c r="L4431" i="7" s="1"/>
  <c r="G4431" i="7"/>
  <c r="H4431" i="7" s="1"/>
  <c r="B4431" i="7"/>
  <c r="M4430" i="7"/>
  <c r="J4430" i="7"/>
  <c r="K4430" i="7" s="1"/>
  <c r="L4430" i="7" s="1"/>
  <c r="G4430" i="7"/>
  <c r="H4430" i="7" s="1"/>
  <c r="B4430" i="7"/>
  <c r="M4429" i="7"/>
  <c r="J4429" i="7"/>
  <c r="K4429" i="7" s="1"/>
  <c r="L4429" i="7" s="1"/>
  <c r="G4429" i="7"/>
  <c r="H4429" i="7" s="1"/>
  <c r="B4429" i="7"/>
  <c r="M4428" i="7"/>
  <c r="J4428" i="7"/>
  <c r="K4428" i="7" s="1"/>
  <c r="L4428" i="7" s="1"/>
  <c r="G4428" i="7"/>
  <c r="H4428" i="7" s="1"/>
  <c r="B4428" i="7"/>
  <c r="M4427" i="7"/>
  <c r="J4427" i="7"/>
  <c r="K4427" i="7" s="1"/>
  <c r="L4427" i="7" s="1"/>
  <c r="G4427" i="7"/>
  <c r="H4427" i="7" s="1"/>
  <c r="B4427" i="7"/>
  <c r="M4426" i="7"/>
  <c r="J4426" i="7"/>
  <c r="K4426" i="7" s="1"/>
  <c r="L4426" i="7" s="1"/>
  <c r="G4426" i="7"/>
  <c r="H4426" i="7" s="1"/>
  <c r="B4426" i="7"/>
  <c r="M4425" i="7"/>
  <c r="J4425" i="7"/>
  <c r="K4425" i="7" s="1"/>
  <c r="L4425" i="7" s="1"/>
  <c r="G4425" i="7"/>
  <c r="H4425" i="7" s="1"/>
  <c r="B4425" i="7"/>
  <c r="M4424" i="7"/>
  <c r="J4424" i="7"/>
  <c r="K4424" i="7" s="1"/>
  <c r="L4424" i="7" s="1"/>
  <c r="G4424" i="7"/>
  <c r="H4424" i="7" s="1"/>
  <c r="B4424" i="7"/>
  <c r="M4423" i="7"/>
  <c r="J4423" i="7"/>
  <c r="K4423" i="7" s="1"/>
  <c r="L4423" i="7" s="1"/>
  <c r="G4423" i="7"/>
  <c r="H4423" i="7" s="1"/>
  <c r="B4423" i="7"/>
  <c r="M4422" i="7"/>
  <c r="J4422" i="7"/>
  <c r="K4422" i="7" s="1"/>
  <c r="L4422" i="7" s="1"/>
  <c r="G4422" i="7"/>
  <c r="H4422" i="7" s="1"/>
  <c r="B4422" i="7"/>
  <c r="M4421" i="7"/>
  <c r="J4421" i="7"/>
  <c r="K4421" i="7" s="1"/>
  <c r="L4421" i="7" s="1"/>
  <c r="G4421" i="7"/>
  <c r="H4421" i="7" s="1"/>
  <c r="B4421" i="7"/>
  <c r="M4420" i="7"/>
  <c r="J4420" i="7"/>
  <c r="K4420" i="7" s="1"/>
  <c r="L4420" i="7" s="1"/>
  <c r="G4420" i="7"/>
  <c r="H4420" i="7" s="1"/>
  <c r="B4420" i="7"/>
  <c r="M4419" i="7"/>
  <c r="J4419" i="7"/>
  <c r="K4419" i="7" s="1"/>
  <c r="L4419" i="7" s="1"/>
  <c r="G4419" i="7"/>
  <c r="H4419" i="7" s="1"/>
  <c r="B4419" i="7"/>
  <c r="M4418" i="7"/>
  <c r="J4418" i="7"/>
  <c r="K4418" i="7" s="1"/>
  <c r="L4418" i="7" s="1"/>
  <c r="G4418" i="7"/>
  <c r="H4418" i="7" s="1"/>
  <c r="B4418" i="7"/>
  <c r="M4417" i="7"/>
  <c r="J4417" i="7"/>
  <c r="K4417" i="7" s="1"/>
  <c r="L4417" i="7" s="1"/>
  <c r="G4417" i="7"/>
  <c r="H4417" i="7" s="1"/>
  <c r="B4417" i="7"/>
  <c r="M4416" i="7"/>
  <c r="J4416" i="7"/>
  <c r="K4416" i="7" s="1"/>
  <c r="L4416" i="7" s="1"/>
  <c r="G4416" i="7"/>
  <c r="H4416" i="7" s="1"/>
  <c r="B4416" i="7"/>
  <c r="M4415" i="7"/>
  <c r="J4415" i="7"/>
  <c r="K4415" i="7" s="1"/>
  <c r="L4415" i="7" s="1"/>
  <c r="G4415" i="7"/>
  <c r="H4415" i="7" s="1"/>
  <c r="B4415" i="7"/>
  <c r="M4414" i="7"/>
  <c r="J4414" i="7"/>
  <c r="K4414" i="7" s="1"/>
  <c r="L4414" i="7" s="1"/>
  <c r="G4414" i="7"/>
  <c r="H4414" i="7" s="1"/>
  <c r="B4414" i="7"/>
  <c r="M4413" i="7"/>
  <c r="J4413" i="7"/>
  <c r="K4413" i="7" s="1"/>
  <c r="L4413" i="7" s="1"/>
  <c r="G4413" i="7"/>
  <c r="H4413" i="7" s="1"/>
  <c r="B4413" i="7"/>
  <c r="M4412" i="7"/>
  <c r="J4412" i="7"/>
  <c r="K4412" i="7" s="1"/>
  <c r="L4412" i="7" s="1"/>
  <c r="G4412" i="7"/>
  <c r="H4412" i="7" s="1"/>
  <c r="B4412" i="7"/>
  <c r="M4411" i="7"/>
  <c r="J4411" i="7"/>
  <c r="K4411" i="7" s="1"/>
  <c r="L4411" i="7" s="1"/>
  <c r="G4411" i="7"/>
  <c r="H4411" i="7" s="1"/>
  <c r="B4411" i="7"/>
  <c r="M4410" i="7"/>
  <c r="J4410" i="7"/>
  <c r="K4410" i="7" s="1"/>
  <c r="L4410" i="7" s="1"/>
  <c r="G4410" i="7"/>
  <c r="H4410" i="7" s="1"/>
  <c r="B4410" i="7"/>
  <c r="M4409" i="7"/>
  <c r="J4409" i="7"/>
  <c r="K4409" i="7" s="1"/>
  <c r="L4409" i="7" s="1"/>
  <c r="G4409" i="7"/>
  <c r="H4409" i="7" s="1"/>
  <c r="B4409" i="7"/>
  <c r="M4408" i="7"/>
  <c r="J4408" i="7"/>
  <c r="K4408" i="7" s="1"/>
  <c r="L4408" i="7" s="1"/>
  <c r="G4408" i="7"/>
  <c r="H4408" i="7" s="1"/>
  <c r="B4408" i="7"/>
  <c r="M4407" i="7"/>
  <c r="J4407" i="7"/>
  <c r="K4407" i="7" s="1"/>
  <c r="L4407" i="7" s="1"/>
  <c r="G4407" i="7"/>
  <c r="H4407" i="7" s="1"/>
  <c r="B4407" i="7"/>
  <c r="M4406" i="7"/>
  <c r="J4406" i="7"/>
  <c r="K4406" i="7" s="1"/>
  <c r="L4406" i="7" s="1"/>
  <c r="G4406" i="7"/>
  <c r="H4406" i="7" s="1"/>
  <c r="B4406" i="7"/>
  <c r="M4405" i="7"/>
  <c r="J4405" i="7"/>
  <c r="K4405" i="7" s="1"/>
  <c r="L4405" i="7" s="1"/>
  <c r="G4405" i="7"/>
  <c r="H4405" i="7" s="1"/>
  <c r="B4405" i="7"/>
  <c r="M4404" i="7"/>
  <c r="J4404" i="7"/>
  <c r="K4404" i="7" s="1"/>
  <c r="L4404" i="7" s="1"/>
  <c r="G4404" i="7"/>
  <c r="H4404" i="7" s="1"/>
  <c r="B4404" i="7"/>
  <c r="M4403" i="7"/>
  <c r="J4403" i="7"/>
  <c r="K4403" i="7" s="1"/>
  <c r="L4403" i="7" s="1"/>
  <c r="G4403" i="7"/>
  <c r="H4403" i="7" s="1"/>
  <c r="B4403" i="7"/>
  <c r="M4402" i="7"/>
  <c r="J4402" i="7"/>
  <c r="K4402" i="7" s="1"/>
  <c r="L4402" i="7" s="1"/>
  <c r="G4402" i="7"/>
  <c r="H4402" i="7" s="1"/>
  <c r="B4402" i="7"/>
  <c r="M4401" i="7"/>
  <c r="J4401" i="7"/>
  <c r="K4401" i="7" s="1"/>
  <c r="L4401" i="7" s="1"/>
  <c r="G4401" i="7"/>
  <c r="H4401" i="7" s="1"/>
  <c r="B4401" i="7"/>
  <c r="M4400" i="7"/>
  <c r="J4400" i="7"/>
  <c r="K4400" i="7" s="1"/>
  <c r="L4400" i="7" s="1"/>
  <c r="G4400" i="7"/>
  <c r="H4400" i="7" s="1"/>
  <c r="B4400" i="7"/>
  <c r="M4399" i="7"/>
  <c r="J4399" i="7"/>
  <c r="K4399" i="7" s="1"/>
  <c r="L4399" i="7" s="1"/>
  <c r="G4399" i="7"/>
  <c r="H4399" i="7" s="1"/>
  <c r="B4399" i="7"/>
  <c r="M4398" i="7"/>
  <c r="J4398" i="7"/>
  <c r="K4398" i="7" s="1"/>
  <c r="L4398" i="7" s="1"/>
  <c r="G4398" i="7"/>
  <c r="H4398" i="7" s="1"/>
  <c r="B4398" i="7"/>
  <c r="M4397" i="7"/>
  <c r="J4397" i="7"/>
  <c r="K4397" i="7" s="1"/>
  <c r="L4397" i="7" s="1"/>
  <c r="G4397" i="7"/>
  <c r="H4397" i="7" s="1"/>
  <c r="B4397" i="7"/>
  <c r="M4396" i="7"/>
  <c r="J4396" i="7"/>
  <c r="K4396" i="7" s="1"/>
  <c r="L4396" i="7" s="1"/>
  <c r="G4396" i="7"/>
  <c r="H4396" i="7" s="1"/>
  <c r="B4396" i="7"/>
  <c r="M4395" i="7"/>
  <c r="J4395" i="7"/>
  <c r="K4395" i="7" s="1"/>
  <c r="L4395" i="7" s="1"/>
  <c r="G4395" i="7"/>
  <c r="H4395" i="7" s="1"/>
  <c r="B4395" i="7"/>
  <c r="M4394" i="7"/>
  <c r="J4394" i="7"/>
  <c r="K4394" i="7" s="1"/>
  <c r="L4394" i="7" s="1"/>
  <c r="G4394" i="7"/>
  <c r="H4394" i="7" s="1"/>
  <c r="B4394" i="7"/>
  <c r="M4393" i="7"/>
  <c r="J4393" i="7"/>
  <c r="K4393" i="7" s="1"/>
  <c r="L4393" i="7" s="1"/>
  <c r="G4393" i="7"/>
  <c r="H4393" i="7" s="1"/>
  <c r="B4393" i="7"/>
  <c r="M4392" i="7"/>
  <c r="J4392" i="7"/>
  <c r="K4392" i="7" s="1"/>
  <c r="L4392" i="7" s="1"/>
  <c r="G4392" i="7"/>
  <c r="H4392" i="7" s="1"/>
  <c r="B4392" i="7"/>
  <c r="M4391" i="7"/>
  <c r="J4391" i="7"/>
  <c r="K4391" i="7" s="1"/>
  <c r="L4391" i="7" s="1"/>
  <c r="G4391" i="7"/>
  <c r="H4391" i="7" s="1"/>
  <c r="B4391" i="7"/>
  <c r="M4390" i="7"/>
  <c r="J4390" i="7"/>
  <c r="K4390" i="7" s="1"/>
  <c r="L4390" i="7" s="1"/>
  <c r="G4390" i="7"/>
  <c r="H4390" i="7" s="1"/>
  <c r="B4390" i="7"/>
  <c r="M4389" i="7"/>
  <c r="J4389" i="7"/>
  <c r="K4389" i="7" s="1"/>
  <c r="L4389" i="7" s="1"/>
  <c r="G4389" i="7"/>
  <c r="H4389" i="7" s="1"/>
  <c r="B4389" i="7"/>
  <c r="M4388" i="7"/>
  <c r="J4388" i="7"/>
  <c r="K4388" i="7" s="1"/>
  <c r="L4388" i="7" s="1"/>
  <c r="G4388" i="7"/>
  <c r="H4388" i="7" s="1"/>
  <c r="B4388" i="7"/>
  <c r="M4387" i="7"/>
  <c r="J4387" i="7"/>
  <c r="K4387" i="7" s="1"/>
  <c r="L4387" i="7" s="1"/>
  <c r="G4387" i="7"/>
  <c r="H4387" i="7" s="1"/>
  <c r="B4387" i="7"/>
  <c r="M4386" i="7"/>
  <c r="J4386" i="7"/>
  <c r="K4386" i="7" s="1"/>
  <c r="L4386" i="7" s="1"/>
  <c r="G4386" i="7"/>
  <c r="H4386" i="7" s="1"/>
  <c r="B4386" i="7"/>
  <c r="M4385" i="7"/>
  <c r="J4385" i="7"/>
  <c r="K4385" i="7" s="1"/>
  <c r="L4385" i="7" s="1"/>
  <c r="G4385" i="7"/>
  <c r="H4385" i="7" s="1"/>
  <c r="B4385" i="7"/>
  <c r="M4384" i="7"/>
  <c r="J4384" i="7"/>
  <c r="K4384" i="7" s="1"/>
  <c r="L4384" i="7" s="1"/>
  <c r="G4384" i="7"/>
  <c r="H4384" i="7" s="1"/>
  <c r="B4384" i="7"/>
  <c r="M4383" i="7"/>
  <c r="J4383" i="7"/>
  <c r="K4383" i="7" s="1"/>
  <c r="L4383" i="7" s="1"/>
  <c r="G4383" i="7"/>
  <c r="H4383" i="7" s="1"/>
  <c r="B4383" i="7"/>
  <c r="M4382" i="7"/>
  <c r="J4382" i="7"/>
  <c r="K4382" i="7" s="1"/>
  <c r="L4382" i="7" s="1"/>
  <c r="G4382" i="7"/>
  <c r="H4382" i="7" s="1"/>
  <c r="B4382" i="7"/>
  <c r="M4381" i="7"/>
  <c r="J4381" i="7"/>
  <c r="K4381" i="7" s="1"/>
  <c r="L4381" i="7" s="1"/>
  <c r="G4381" i="7"/>
  <c r="H4381" i="7" s="1"/>
  <c r="B4381" i="7"/>
  <c r="M4380" i="7"/>
  <c r="J4380" i="7"/>
  <c r="K4380" i="7" s="1"/>
  <c r="L4380" i="7" s="1"/>
  <c r="G4380" i="7"/>
  <c r="H4380" i="7" s="1"/>
  <c r="B4380" i="7"/>
  <c r="M4379" i="7"/>
  <c r="J4379" i="7"/>
  <c r="K4379" i="7" s="1"/>
  <c r="L4379" i="7" s="1"/>
  <c r="G4379" i="7"/>
  <c r="H4379" i="7" s="1"/>
  <c r="B4379" i="7"/>
  <c r="M4378" i="7"/>
  <c r="J4378" i="7"/>
  <c r="K4378" i="7" s="1"/>
  <c r="L4378" i="7" s="1"/>
  <c r="G4378" i="7"/>
  <c r="H4378" i="7" s="1"/>
  <c r="B4378" i="7"/>
  <c r="M4377" i="7"/>
  <c r="J4377" i="7"/>
  <c r="K4377" i="7" s="1"/>
  <c r="L4377" i="7" s="1"/>
  <c r="G4377" i="7"/>
  <c r="H4377" i="7" s="1"/>
  <c r="B4377" i="7"/>
  <c r="M4376" i="7"/>
  <c r="J4376" i="7"/>
  <c r="K4376" i="7" s="1"/>
  <c r="L4376" i="7" s="1"/>
  <c r="G4376" i="7"/>
  <c r="H4376" i="7" s="1"/>
  <c r="B4376" i="7"/>
  <c r="M4375" i="7"/>
  <c r="J4375" i="7"/>
  <c r="K4375" i="7" s="1"/>
  <c r="L4375" i="7" s="1"/>
  <c r="G4375" i="7"/>
  <c r="H4375" i="7" s="1"/>
  <c r="B4375" i="7"/>
  <c r="M4374" i="7"/>
  <c r="J4374" i="7"/>
  <c r="K4374" i="7" s="1"/>
  <c r="L4374" i="7" s="1"/>
  <c r="G4374" i="7"/>
  <c r="H4374" i="7" s="1"/>
  <c r="B4374" i="7"/>
  <c r="M4373" i="7"/>
  <c r="J4373" i="7"/>
  <c r="K4373" i="7" s="1"/>
  <c r="L4373" i="7" s="1"/>
  <c r="G4373" i="7"/>
  <c r="H4373" i="7" s="1"/>
  <c r="B4373" i="7"/>
  <c r="M4372" i="7"/>
  <c r="J4372" i="7"/>
  <c r="K4372" i="7" s="1"/>
  <c r="L4372" i="7" s="1"/>
  <c r="G4372" i="7"/>
  <c r="H4372" i="7" s="1"/>
  <c r="B4372" i="7"/>
  <c r="M4371" i="7"/>
  <c r="J4371" i="7"/>
  <c r="K4371" i="7" s="1"/>
  <c r="L4371" i="7" s="1"/>
  <c r="G4371" i="7"/>
  <c r="H4371" i="7" s="1"/>
  <c r="B4371" i="7"/>
  <c r="M4370" i="7"/>
  <c r="J4370" i="7"/>
  <c r="K4370" i="7" s="1"/>
  <c r="L4370" i="7" s="1"/>
  <c r="G4370" i="7"/>
  <c r="H4370" i="7" s="1"/>
  <c r="B4370" i="7"/>
  <c r="M4369" i="7"/>
  <c r="J4369" i="7"/>
  <c r="K4369" i="7" s="1"/>
  <c r="L4369" i="7" s="1"/>
  <c r="G4369" i="7"/>
  <c r="H4369" i="7" s="1"/>
  <c r="B4369" i="7"/>
  <c r="M4368" i="7"/>
  <c r="J4368" i="7"/>
  <c r="K4368" i="7" s="1"/>
  <c r="L4368" i="7" s="1"/>
  <c r="G4368" i="7"/>
  <c r="H4368" i="7" s="1"/>
  <c r="B4368" i="7"/>
  <c r="M4367" i="7"/>
  <c r="J4367" i="7"/>
  <c r="K4367" i="7" s="1"/>
  <c r="L4367" i="7" s="1"/>
  <c r="G4367" i="7"/>
  <c r="H4367" i="7" s="1"/>
  <c r="B4367" i="7"/>
  <c r="M4366" i="7"/>
  <c r="J4366" i="7"/>
  <c r="K4366" i="7" s="1"/>
  <c r="L4366" i="7" s="1"/>
  <c r="G4366" i="7"/>
  <c r="H4366" i="7" s="1"/>
  <c r="B4366" i="7"/>
  <c r="M4365" i="7"/>
  <c r="J4365" i="7"/>
  <c r="K4365" i="7" s="1"/>
  <c r="L4365" i="7" s="1"/>
  <c r="G4365" i="7"/>
  <c r="H4365" i="7" s="1"/>
  <c r="B4365" i="7"/>
  <c r="M4364" i="7"/>
  <c r="J4364" i="7"/>
  <c r="K4364" i="7" s="1"/>
  <c r="L4364" i="7" s="1"/>
  <c r="G4364" i="7"/>
  <c r="H4364" i="7" s="1"/>
  <c r="B4364" i="7"/>
  <c r="M4363" i="7"/>
  <c r="J4363" i="7"/>
  <c r="K4363" i="7" s="1"/>
  <c r="L4363" i="7" s="1"/>
  <c r="G4363" i="7"/>
  <c r="H4363" i="7" s="1"/>
  <c r="B4363" i="7"/>
  <c r="M4362" i="7"/>
  <c r="J4362" i="7"/>
  <c r="K4362" i="7" s="1"/>
  <c r="L4362" i="7" s="1"/>
  <c r="G4362" i="7"/>
  <c r="H4362" i="7" s="1"/>
  <c r="B4362" i="7"/>
  <c r="M4361" i="7"/>
  <c r="J4361" i="7"/>
  <c r="K4361" i="7" s="1"/>
  <c r="L4361" i="7" s="1"/>
  <c r="G4361" i="7"/>
  <c r="H4361" i="7" s="1"/>
  <c r="B4361" i="7"/>
  <c r="M4360" i="7"/>
  <c r="J4360" i="7"/>
  <c r="K4360" i="7" s="1"/>
  <c r="L4360" i="7" s="1"/>
  <c r="G4360" i="7"/>
  <c r="H4360" i="7" s="1"/>
  <c r="B4360" i="7"/>
  <c r="M4359" i="7"/>
  <c r="J4359" i="7"/>
  <c r="K4359" i="7" s="1"/>
  <c r="L4359" i="7" s="1"/>
  <c r="G4359" i="7"/>
  <c r="H4359" i="7" s="1"/>
  <c r="B4359" i="7"/>
  <c r="M4358" i="7"/>
  <c r="J4358" i="7"/>
  <c r="K4358" i="7" s="1"/>
  <c r="L4358" i="7" s="1"/>
  <c r="G4358" i="7"/>
  <c r="H4358" i="7" s="1"/>
  <c r="B4358" i="7"/>
  <c r="M4357" i="7"/>
  <c r="J4357" i="7"/>
  <c r="K4357" i="7" s="1"/>
  <c r="L4357" i="7" s="1"/>
  <c r="G4357" i="7"/>
  <c r="H4357" i="7" s="1"/>
  <c r="B4357" i="7"/>
  <c r="M4356" i="7"/>
  <c r="J4356" i="7"/>
  <c r="K4356" i="7" s="1"/>
  <c r="L4356" i="7" s="1"/>
  <c r="G4356" i="7"/>
  <c r="H4356" i="7" s="1"/>
  <c r="B4356" i="7"/>
  <c r="M4355" i="7"/>
  <c r="J4355" i="7"/>
  <c r="K4355" i="7" s="1"/>
  <c r="L4355" i="7" s="1"/>
  <c r="G4355" i="7"/>
  <c r="H4355" i="7" s="1"/>
  <c r="B4355" i="7"/>
  <c r="M4354" i="7"/>
  <c r="J4354" i="7"/>
  <c r="K4354" i="7" s="1"/>
  <c r="L4354" i="7" s="1"/>
  <c r="G4354" i="7"/>
  <c r="H4354" i="7" s="1"/>
  <c r="B4354" i="7"/>
  <c r="M4353" i="7"/>
  <c r="J4353" i="7"/>
  <c r="K4353" i="7" s="1"/>
  <c r="L4353" i="7" s="1"/>
  <c r="G4353" i="7"/>
  <c r="H4353" i="7" s="1"/>
  <c r="B4353" i="7"/>
  <c r="M4352" i="7"/>
  <c r="J4352" i="7"/>
  <c r="K4352" i="7" s="1"/>
  <c r="L4352" i="7" s="1"/>
  <c r="G4352" i="7"/>
  <c r="H4352" i="7" s="1"/>
  <c r="B4352" i="7"/>
  <c r="M4351" i="7"/>
  <c r="J4351" i="7"/>
  <c r="K4351" i="7" s="1"/>
  <c r="L4351" i="7" s="1"/>
  <c r="G4351" i="7"/>
  <c r="H4351" i="7" s="1"/>
  <c r="B4351" i="7"/>
  <c r="M4350" i="7"/>
  <c r="J4350" i="7"/>
  <c r="K4350" i="7" s="1"/>
  <c r="L4350" i="7" s="1"/>
  <c r="G4350" i="7"/>
  <c r="H4350" i="7" s="1"/>
  <c r="B4350" i="7"/>
  <c r="M4349" i="7"/>
  <c r="J4349" i="7"/>
  <c r="K4349" i="7" s="1"/>
  <c r="L4349" i="7" s="1"/>
  <c r="G4349" i="7"/>
  <c r="H4349" i="7" s="1"/>
  <c r="B4349" i="7"/>
  <c r="M4348" i="7"/>
  <c r="J4348" i="7"/>
  <c r="K4348" i="7" s="1"/>
  <c r="L4348" i="7" s="1"/>
  <c r="G4348" i="7"/>
  <c r="H4348" i="7" s="1"/>
  <c r="B4348" i="7"/>
  <c r="M4347" i="7"/>
  <c r="J4347" i="7"/>
  <c r="K4347" i="7" s="1"/>
  <c r="L4347" i="7" s="1"/>
  <c r="G4347" i="7"/>
  <c r="H4347" i="7" s="1"/>
  <c r="B4347" i="7"/>
  <c r="M4346" i="7"/>
  <c r="J4346" i="7"/>
  <c r="K4346" i="7" s="1"/>
  <c r="L4346" i="7" s="1"/>
  <c r="G4346" i="7"/>
  <c r="H4346" i="7" s="1"/>
  <c r="B4346" i="7"/>
  <c r="M4345" i="7"/>
  <c r="J4345" i="7"/>
  <c r="K4345" i="7" s="1"/>
  <c r="L4345" i="7" s="1"/>
  <c r="G4345" i="7"/>
  <c r="H4345" i="7" s="1"/>
  <c r="B4345" i="7"/>
  <c r="M4344" i="7"/>
  <c r="J4344" i="7"/>
  <c r="K4344" i="7" s="1"/>
  <c r="L4344" i="7" s="1"/>
  <c r="G4344" i="7"/>
  <c r="H4344" i="7" s="1"/>
  <c r="B4344" i="7"/>
  <c r="M4343" i="7"/>
  <c r="J4343" i="7"/>
  <c r="K4343" i="7" s="1"/>
  <c r="L4343" i="7" s="1"/>
  <c r="G4343" i="7"/>
  <c r="H4343" i="7" s="1"/>
  <c r="B4343" i="7"/>
  <c r="M4342" i="7"/>
  <c r="J4342" i="7"/>
  <c r="K4342" i="7" s="1"/>
  <c r="L4342" i="7" s="1"/>
  <c r="G4342" i="7"/>
  <c r="H4342" i="7" s="1"/>
  <c r="B4342" i="7"/>
  <c r="M4341" i="7"/>
  <c r="J4341" i="7"/>
  <c r="K4341" i="7" s="1"/>
  <c r="L4341" i="7" s="1"/>
  <c r="G4341" i="7"/>
  <c r="H4341" i="7" s="1"/>
  <c r="B4341" i="7"/>
  <c r="M4340" i="7"/>
  <c r="J4340" i="7"/>
  <c r="K4340" i="7" s="1"/>
  <c r="L4340" i="7" s="1"/>
  <c r="G4340" i="7"/>
  <c r="H4340" i="7" s="1"/>
  <c r="B4340" i="7"/>
  <c r="M4339" i="7"/>
  <c r="J4339" i="7"/>
  <c r="K4339" i="7" s="1"/>
  <c r="L4339" i="7" s="1"/>
  <c r="G4339" i="7"/>
  <c r="H4339" i="7" s="1"/>
  <c r="B4339" i="7"/>
  <c r="M4338" i="7"/>
  <c r="J4338" i="7"/>
  <c r="K4338" i="7" s="1"/>
  <c r="L4338" i="7" s="1"/>
  <c r="G4338" i="7"/>
  <c r="H4338" i="7" s="1"/>
  <c r="B4338" i="7"/>
  <c r="M4337" i="7"/>
  <c r="J4337" i="7"/>
  <c r="K4337" i="7" s="1"/>
  <c r="L4337" i="7" s="1"/>
  <c r="G4337" i="7"/>
  <c r="H4337" i="7" s="1"/>
  <c r="B4337" i="7"/>
  <c r="M4336" i="7"/>
  <c r="J4336" i="7"/>
  <c r="K4336" i="7" s="1"/>
  <c r="L4336" i="7" s="1"/>
  <c r="G4336" i="7"/>
  <c r="H4336" i="7" s="1"/>
  <c r="B4336" i="7"/>
  <c r="M4335" i="7"/>
  <c r="J4335" i="7"/>
  <c r="K4335" i="7" s="1"/>
  <c r="L4335" i="7" s="1"/>
  <c r="G4335" i="7"/>
  <c r="H4335" i="7" s="1"/>
  <c r="B4335" i="7"/>
  <c r="M4334" i="7"/>
  <c r="J4334" i="7"/>
  <c r="K4334" i="7" s="1"/>
  <c r="L4334" i="7" s="1"/>
  <c r="G4334" i="7"/>
  <c r="H4334" i="7" s="1"/>
  <c r="B4334" i="7"/>
  <c r="M4333" i="7"/>
  <c r="J4333" i="7"/>
  <c r="K4333" i="7" s="1"/>
  <c r="L4333" i="7" s="1"/>
  <c r="G4333" i="7"/>
  <c r="H4333" i="7" s="1"/>
  <c r="B4333" i="7"/>
  <c r="M4332" i="7"/>
  <c r="J4332" i="7"/>
  <c r="K4332" i="7" s="1"/>
  <c r="L4332" i="7" s="1"/>
  <c r="G4332" i="7"/>
  <c r="H4332" i="7" s="1"/>
  <c r="B4332" i="7"/>
  <c r="M4331" i="7"/>
  <c r="J4331" i="7"/>
  <c r="K4331" i="7" s="1"/>
  <c r="L4331" i="7" s="1"/>
  <c r="G4331" i="7"/>
  <c r="H4331" i="7" s="1"/>
  <c r="B4331" i="7"/>
  <c r="M4330" i="7"/>
  <c r="J4330" i="7"/>
  <c r="K4330" i="7" s="1"/>
  <c r="L4330" i="7" s="1"/>
  <c r="G4330" i="7"/>
  <c r="H4330" i="7" s="1"/>
  <c r="B4330" i="7"/>
  <c r="M4329" i="7"/>
  <c r="J4329" i="7"/>
  <c r="K4329" i="7" s="1"/>
  <c r="L4329" i="7" s="1"/>
  <c r="G4329" i="7"/>
  <c r="H4329" i="7" s="1"/>
  <c r="B4329" i="7"/>
  <c r="M4328" i="7"/>
  <c r="J4328" i="7"/>
  <c r="K4328" i="7" s="1"/>
  <c r="L4328" i="7" s="1"/>
  <c r="G4328" i="7"/>
  <c r="H4328" i="7" s="1"/>
  <c r="B4328" i="7"/>
  <c r="M4327" i="7"/>
  <c r="J4327" i="7"/>
  <c r="K4327" i="7" s="1"/>
  <c r="L4327" i="7" s="1"/>
  <c r="G4327" i="7"/>
  <c r="H4327" i="7" s="1"/>
  <c r="B4327" i="7"/>
  <c r="M4326" i="7"/>
  <c r="J4326" i="7"/>
  <c r="K4326" i="7" s="1"/>
  <c r="L4326" i="7" s="1"/>
  <c r="G4326" i="7"/>
  <c r="H4326" i="7" s="1"/>
  <c r="B4326" i="7"/>
  <c r="M4325" i="7"/>
  <c r="J4325" i="7"/>
  <c r="K4325" i="7" s="1"/>
  <c r="L4325" i="7" s="1"/>
  <c r="G4325" i="7"/>
  <c r="H4325" i="7" s="1"/>
  <c r="B4325" i="7"/>
  <c r="M4324" i="7"/>
  <c r="J4324" i="7"/>
  <c r="K4324" i="7" s="1"/>
  <c r="L4324" i="7" s="1"/>
  <c r="G4324" i="7"/>
  <c r="H4324" i="7" s="1"/>
  <c r="B4324" i="7"/>
  <c r="M4323" i="7"/>
  <c r="J4323" i="7"/>
  <c r="K4323" i="7" s="1"/>
  <c r="L4323" i="7" s="1"/>
  <c r="G4323" i="7"/>
  <c r="H4323" i="7" s="1"/>
  <c r="B4323" i="7"/>
  <c r="M4322" i="7"/>
  <c r="J4322" i="7"/>
  <c r="K4322" i="7" s="1"/>
  <c r="L4322" i="7" s="1"/>
  <c r="G4322" i="7"/>
  <c r="H4322" i="7" s="1"/>
  <c r="B4322" i="7"/>
  <c r="M4321" i="7"/>
  <c r="J4321" i="7"/>
  <c r="K4321" i="7" s="1"/>
  <c r="L4321" i="7" s="1"/>
  <c r="G4321" i="7"/>
  <c r="H4321" i="7" s="1"/>
  <c r="B4321" i="7"/>
  <c r="M4320" i="7"/>
  <c r="J4320" i="7"/>
  <c r="K4320" i="7" s="1"/>
  <c r="L4320" i="7" s="1"/>
  <c r="G4320" i="7"/>
  <c r="H4320" i="7" s="1"/>
  <c r="B4320" i="7"/>
  <c r="M4319" i="7"/>
  <c r="J4319" i="7"/>
  <c r="K4319" i="7" s="1"/>
  <c r="L4319" i="7" s="1"/>
  <c r="G4319" i="7"/>
  <c r="H4319" i="7" s="1"/>
  <c r="B4319" i="7"/>
  <c r="M4318" i="7"/>
  <c r="J4318" i="7"/>
  <c r="K4318" i="7" s="1"/>
  <c r="L4318" i="7" s="1"/>
  <c r="G4318" i="7"/>
  <c r="H4318" i="7" s="1"/>
  <c r="B4318" i="7"/>
  <c r="M4317" i="7"/>
  <c r="J4317" i="7"/>
  <c r="K4317" i="7" s="1"/>
  <c r="L4317" i="7" s="1"/>
  <c r="G4317" i="7"/>
  <c r="H4317" i="7" s="1"/>
  <c r="B4317" i="7"/>
  <c r="M4316" i="7"/>
  <c r="J4316" i="7"/>
  <c r="K4316" i="7" s="1"/>
  <c r="L4316" i="7" s="1"/>
  <c r="G4316" i="7"/>
  <c r="H4316" i="7" s="1"/>
  <c r="B4316" i="7"/>
  <c r="M4315" i="7"/>
  <c r="J4315" i="7"/>
  <c r="K4315" i="7" s="1"/>
  <c r="L4315" i="7" s="1"/>
  <c r="G4315" i="7"/>
  <c r="H4315" i="7" s="1"/>
  <c r="B4315" i="7"/>
  <c r="M4314" i="7"/>
  <c r="J4314" i="7"/>
  <c r="K4314" i="7" s="1"/>
  <c r="L4314" i="7" s="1"/>
  <c r="G4314" i="7"/>
  <c r="H4314" i="7" s="1"/>
  <c r="B4314" i="7"/>
  <c r="M4313" i="7"/>
  <c r="J4313" i="7"/>
  <c r="K4313" i="7" s="1"/>
  <c r="L4313" i="7" s="1"/>
  <c r="G4313" i="7"/>
  <c r="H4313" i="7" s="1"/>
  <c r="B4313" i="7"/>
  <c r="M4312" i="7"/>
  <c r="J4312" i="7"/>
  <c r="K4312" i="7" s="1"/>
  <c r="L4312" i="7" s="1"/>
  <c r="G4312" i="7"/>
  <c r="H4312" i="7" s="1"/>
  <c r="B4312" i="7"/>
  <c r="M4311" i="7"/>
  <c r="J4311" i="7"/>
  <c r="K4311" i="7" s="1"/>
  <c r="L4311" i="7" s="1"/>
  <c r="G4311" i="7"/>
  <c r="H4311" i="7" s="1"/>
  <c r="B4311" i="7"/>
  <c r="M4310" i="7"/>
  <c r="J4310" i="7"/>
  <c r="K4310" i="7" s="1"/>
  <c r="L4310" i="7" s="1"/>
  <c r="G4310" i="7"/>
  <c r="H4310" i="7" s="1"/>
  <c r="B4310" i="7"/>
  <c r="M4309" i="7"/>
  <c r="J4309" i="7"/>
  <c r="K4309" i="7" s="1"/>
  <c r="L4309" i="7" s="1"/>
  <c r="G4309" i="7"/>
  <c r="H4309" i="7" s="1"/>
  <c r="B4309" i="7"/>
  <c r="M4308" i="7"/>
  <c r="J4308" i="7"/>
  <c r="K4308" i="7" s="1"/>
  <c r="L4308" i="7" s="1"/>
  <c r="G4308" i="7"/>
  <c r="H4308" i="7" s="1"/>
  <c r="B4308" i="7"/>
  <c r="M4307" i="7"/>
  <c r="J4307" i="7"/>
  <c r="K4307" i="7" s="1"/>
  <c r="L4307" i="7" s="1"/>
  <c r="G4307" i="7"/>
  <c r="H4307" i="7" s="1"/>
  <c r="B4307" i="7"/>
  <c r="M4306" i="7"/>
  <c r="J4306" i="7"/>
  <c r="K4306" i="7" s="1"/>
  <c r="L4306" i="7" s="1"/>
  <c r="G4306" i="7"/>
  <c r="H4306" i="7" s="1"/>
  <c r="B4306" i="7"/>
  <c r="M4305" i="7"/>
  <c r="J4305" i="7"/>
  <c r="K4305" i="7" s="1"/>
  <c r="L4305" i="7" s="1"/>
  <c r="G4305" i="7"/>
  <c r="H4305" i="7" s="1"/>
  <c r="B4305" i="7"/>
  <c r="M4304" i="7"/>
  <c r="J4304" i="7"/>
  <c r="K4304" i="7" s="1"/>
  <c r="L4304" i="7" s="1"/>
  <c r="G4304" i="7"/>
  <c r="H4304" i="7" s="1"/>
  <c r="B4304" i="7"/>
  <c r="M4303" i="7"/>
  <c r="J4303" i="7"/>
  <c r="K4303" i="7" s="1"/>
  <c r="L4303" i="7" s="1"/>
  <c r="G4303" i="7"/>
  <c r="H4303" i="7" s="1"/>
  <c r="B4303" i="7"/>
  <c r="M4302" i="7"/>
  <c r="J4302" i="7"/>
  <c r="K4302" i="7" s="1"/>
  <c r="L4302" i="7" s="1"/>
  <c r="G4302" i="7"/>
  <c r="H4302" i="7" s="1"/>
  <c r="B4302" i="7"/>
  <c r="M4301" i="7"/>
  <c r="J4301" i="7"/>
  <c r="K4301" i="7" s="1"/>
  <c r="L4301" i="7" s="1"/>
  <c r="G4301" i="7"/>
  <c r="H4301" i="7" s="1"/>
  <c r="B4301" i="7"/>
  <c r="M4300" i="7"/>
  <c r="J4300" i="7"/>
  <c r="K4300" i="7" s="1"/>
  <c r="L4300" i="7" s="1"/>
  <c r="G4300" i="7"/>
  <c r="H4300" i="7" s="1"/>
  <c r="B4300" i="7"/>
  <c r="M4299" i="7"/>
  <c r="J4299" i="7"/>
  <c r="K4299" i="7" s="1"/>
  <c r="L4299" i="7" s="1"/>
  <c r="G4299" i="7"/>
  <c r="H4299" i="7" s="1"/>
  <c r="B4299" i="7"/>
  <c r="M4298" i="7"/>
  <c r="J4298" i="7"/>
  <c r="K4298" i="7" s="1"/>
  <c r="L4298" i="7" s="1"/>
  <c r="G4298" i="7"/>
  <c r="H4298" i="7" s="1"/>
  <c r="B4298" i="7"/>
  <c r="M4297" i="7"/>
  <c r="J4297" i="7"/>
  <c r="K4297" i="7" s="1"/>
  <c r="L4297" i="7" s="1"/>
  <c r="G4297" i="7"/>
  <c r="H4297" i="7" s="1"/>
  <c r="B4297" i="7"/>
  <c r="M4296" i="7"/>
  <c r="J4296" i="7"/>
  <c r="K4296" i="7" s="1"/>
  <c r="L4296" i="7" s="1"/>
  <c r="G4296" i="7"/>
  <c r="H4296" i="7" s="1"/>
  <c r="B4296" i="7"/>
  <c r="M4295" i="7"/>
  <c r="J4295" i="7"/>
  <c r="K4295" i="7" s="1"/>
  <c r="L4295" i="7" s="1"/>
  <c r="G4295" i="7"/>
  <c r="H4295" i="7" s="1"/>
  <c r="B4295" i="7"/>
  <c r="M4294" i="7"/>
  <c r="J4294" i="7"/>
  <c r="K4294" i="7" s="1"/>
  <c r="L4294" i="7" s="1"/>
  <c r="G4294" i="7"/>
  <c r="H4294" i="7" s="1"/>
  <c r="B4294" i="7"/>
  <c r="M4293" i="7"/>
  <c r="J4293" i="7"/>
  <c r="K4293" i="7" s="1"/>
  <c r="L4293" i="7" s="1"/>
  <c r="G4293" i="7"/>
  <c r="H4293" i="7" s="1"/>
  <c r="B4293" i="7"/>
  <c r="M4292" i="7"/>
  <c r="J4292" i="7"/>
  <c r="K4292" i="7" s="1"/>
  <c r="L4292" i="7" s="1"/>
  <c r="G4292" i="7"/>
  <c r="H4292" i="7" s="1"/>
  <c r="B4292" i="7"/>
  <c r="M4291" i="7"/>
  <c r="J4291" i="7"/>
  <c r="K4291" i="7" s="1"/>
  <c r="L4291" i="7" s="1"/>
  <c r="G4291" i="7"/>
  <c r="H4291" i="7" s="1"/>
  <c r="B4291" i="7"/>
  <c r="M4290" i="7"/>
  <c r="J4290" i="7"/>
  <c r="K4290" i="7" s="1"/>
  <c r="L4290" i="7" s="1"/>
  <c r="G4290" i="7"/>
  <c r="H4290" i="7" s="1"/>
  <c r="B4290" i="7"/>
  <c r="M4289" i="7"/>
  <c r="J4289" i="7"/>
  <c r="K4289" i="7" s="1"/>
  <c r="L4289" i="7" s="1"/>
  <c r="G4289" i="7"/>
  <c r="H4289" i="7" s="1"/>
  <c r="B4289" i="7"/>
  <c r="M4288" i="7"/>
  <c r="J4288" i="7"/>
  <c r="K4288" i="7" s="1"/>
  <c r="L4288" i="7" s="1"/>
  <c r="G4288" i="7"/>
  <c r="H4288" i="7" s="1"/>
  <c r="B4288" i="7"/>
  <c r="M4287" i="7"/>
  <c r="J4287" i="7"/>
  <c r="K4287" i="7" s="1"/>
  <c r="L4287" i="7" s="1"/>
  <c r="G4287" i="7"/>
  <c r="H4287" i="7" s="1"/>
  <c r="B4287" i="7"/>
  <c r="M4286" i="7"/>
  <c r="J4286" i="7"/>
  <c r="K4286" i="7" s="1"/>
  <c r="L4286" i="7" s="1"/>
  <c r="G4286" i="7"/>
  <c r="H4286" i="7" s="1"/>
  <c r="B4286" i="7"/>
  <c r="M4285" i="7"/>
  <c r="J4285" i="7"/>
  <c r="K4285" i="7" s="1"/>
  <c r="L4285" i="7" s="1"/>
  <c r="G4285" i="7"/>
  <c r="H4285" i="7" s="1"/>
  <c r="B4285" i="7"/>
  <c r="M4284" i="7"/>
  <c r="J4284" i="7"/>
  <c r="K4284" i="7" s="1"/>
  <c r="L4284" i="7" s="1"/>
  <c r="G4284" i="7"/>
  <c r="H4284" i="7" s="1"/>
  <c r="B4284" i="7"/>
  <c r="M4283" i="7"/>
  <c r="J4283" i="7"/>
  <c r="K4283" i="7" s="1"/>
  <c r="L4283" i="7" s="1"/>
  <c r="G4283" i="7"/>
  <c r="H4283" i="7" s="1"/>
  <c r="B4283" i="7"/>
  <c r="M4282" i="7"/>
  <c r="J4282" i="7"/>
  <c r="K4282" i="7" s="1"/>
  <c r="L4282" i="7" s="1"/>
  <c r="G4282" i="7"/>
  <c r="H4282" i="7" s="1"/>
  <c r="B4282" i="7"/>
  <c r="M4281" i="7"/>
  <c r="J4281" i="7"/>
  <c r="K4281" i="7" s="1"/>
  <c r="L4281" i="7" s="1"/>
  <c r="G4281" i="7"/>
  <c r="H4281" i="7" s="1"/>
  <c r="B4281" i="7"/>
  <c r="M4280" i="7"/>
  <c r="J4280" i="7"/>
  <c r="K4280" i="7" s="1"/>
  <c r="L4280" i="7" s="1"/>
  <c r="G4280" i="7"/>
  <c r="H4280" i="7" s="1"/>
  <c r="B4280" i="7"/>
  <c r="M4279" i="7"/>
  <c r="J4279" i="7"/>
  <c r="K4279" i="7" s="1"/>
  <c r="L4279" i="7" s="1"/>
  <c r="G4279" i="7"/>
  <c r="H4279" i="7" s="1"/>
  <c r="B4279" i="7"/>
  <c r="M4278" i="7"/>
  <c r="J4278" i="7"/>
  <c r="K4278" i="7" s="1"/>
  <c r="L4278" i="7" s="1"/>
  <c r="G4278" i="7"/>
  <c r="H4278" i="7" s="1"/>
  <c r="B4278" i="7"/>
  <c r="M4277" i="7"/>
  <c r="J4277" i="7"/>
  <c r="K4277" i="7" s="1"/>
  <c r="L4277" i="7" s="1"/>
  <c r="G4277" i="7"/>
  <c r="H4277" i="7" s="1"/>
  <c r="B4277" i="7"/>
  <c r="M4276" i="7"/>
  <c r="J4276" i="7"/>
  <c r="K4276" i="7" s="1"/>
  <c r="L4276" i="7" s="1"/>
  <c r="G4276" i="7"/>
  <c r="H4276" i="7" s="1"/>
  <c r="B4276" i="7"/>
  <c r="M4275" i="7"/>
  <c r="J4275" i="7"/>
  <c r="K4275" i="7" s="1"/>
  <c r="L4275" i="7" s="1"/>
  <c r="G4275" i="7"/>
  <c r="H4275" i="7" s="1"/>
  <c r="B4275" i="7"/>
  <c r="M4274" i="7"/>
  <c r="J4274" i="7"/>
  <c r="K4274" i="7" s="1"/>
  <c r="L4274" i="7" s="1"/>
  <c r="G4274" i="7"/>
  <c r="H4274" i="7" s="1"/>
  <c r="B4274" i="7"/>
  <c r="M4273" i="7"/>
  <c r="J4273" i="7"/>
  <c r="K4273" i="7" s="1"/>
  <c r="L4273" i="7" s="1"/>
  <c r="G4273" i="7"/>
  <c r="H4273" i="7" s="1"/>
  <c r="B4273" i="7"/>
  <c r="M4272" i="7"/>
  <c r="J4272" i="7"/>
  <c r="K4272" i="7" s="1"/>
  <c r="L4272" i="7" s="1"/>
  <c r="G4272" i="7"/>
  <c r="H4272" i="7" s="1"/>
  <c r="B4272" i="7"/>
  <c r="M4271" i="7"/>
  <c r="J4271" i="7"/>
  <c r="K4271" i="7" s="1"/>
  <c r="L4271" i="7" s="1"/>
  <c r="G4271" i="7"/>
  <c r="H4271" i="7" s="1"/>
  <c r="B4271" i="7"/>
  <c r="M4270" i="7"/>
  <c r="J4270" i="7"/>
  <c r="K4270" i="7" s="1"/>
  <c r="L4270" i="7" s="1"/>
  <c r="G4270" i="7"/>
  <c r="H4270" i="7" s="1"/>
  <c r="B4270" i="7"/>
  <c r="M4269" i="7"/>
  <c r="J4269" i="7"/>
  <c r="K4269" i="7" s="1"/>
  <c r="L4269" i="7" s="1"/>
  <c r="G4269" i="7"/>
  <c r="H4269" i="7" s="1"/>
  <c r="B4269" i="7"/>
  <c r="M4268" i="7"/>
  <c r="J4268" i="7"/>
  <c r="K4268" i="7" s="1"/>
  <c r="L4268" i="7" s="1"/>
  <c r="G4268" i="7"/>
  <c r="H4268" i="7" s="1"/>
  <c r="B4268" i="7"/>
  <c r="M4267" i="7"/>
  <c r="J4267" i="7"/>
  <c r="K4267" i="7" s="1"/>
  <c r="L4267" i="7" s="1"/>
  <c r="G4267" i="7"/>
  <c r="H4267" i="7" s="1"/>
  <c r="B4267" i="7"/>
  <c r="M4266" i="7"/>
  <c r="J4266" i="7"/>
  <c r="K4266" i="7" s="1"/>
  <c r="L4266" i="7" s="1"/>
  <c r="G4266" i="7"/>
  <c r="H4266" i="7" s="1"/>
  <c r="B4266" i="7"/>
  <c r="M4265" i="7"/>
  <c r="J4265" i="7"/>
  <c r="K4265" i="7" s="1"/>
  <c r="L4265" i="7" s="1"/>
  <c r="G4265" i="7"/>
  <c r="H4265" i="7" s="1"/>
  <c r="B4265" i="7"/>
  <c r="M4264" i="7"/>
  <c r="J4264" i="7"/>
  <c r="K4264" i="7" s="1"/>
  <c r="L4264" i="7" s="1"/>
  <c r="G4264" i="7"/>
  <c r="H4264" i="7" s="1"/>
  <c r="B4264" i="7"/>
  <c r="M4263" i="7"/>
  <c r="J4263" i="7"/>
  <c r="K4263" i="7" s="1"/>
  <c r="L4263" i="7" s="1"/>
  <c r="G4263" i="7"/>
  <c r="H4263" i="7" s="1"/>
  <c r="B4263" i="7"/>
  <c r="M4262" i="7"/>
  <c r="J4262" i="7"/>
  <c r="K4262" i="7" s="1"/>
  <c r="L4262" i="7" s="1"/>
  <c r="G4262" i="7"/>
  <c r="H4262" i="7" s="1"/>
  <c r="B4262" i="7"/>
  <c r="M4261" i="7"/>
  <c r="J4261" i="7"/>
  <c r="K4261" i="7" s="1"/>
  <c r="L4261" i="7" s="1"/>
  <c r="G4261" i="7"/>
  <c r="H4261" i="7" s="1"/>
  <c r="B4261" i="7"/>
  <c r="M4260" i="7"/>
  <c r="J4260" i="7"/>
  <c r="K4260" i="7" s="1"/>
  <c r="L4260" i="7" s="1"/>
  <c r="G4260" i="7"/>
  <c r="H4260" i="7" s="1"/>
  <c r="B4260" i="7"/>
  <c r="M4259" i="7"/>
  <c r="J4259" i="7"/>
  <c r="K4259" i="7" s="1"/>
  <c r="L4259" i="7" s="1"/>
  <c r="G4259" i="7"/>
  <c r="H4259" i="7" s="1"/>
  <c r="B4259" i="7"/>
  <c r="M4258" i="7"/>
  <c r="J4258" i="7"/>
  <c r="K4258" i="7" s="1"/>
  <c r="L4258" i="7" s="1"/>
  <c r="G4258" i="7"/>
  <c r="H4258" i="7" s="1"/>
  <c r="B4258" i="7"/>
  <c r="M4257" i="7"/>
  <c r="J4257" i="7"/>
  <c r="K4257" i="7" s="1"/>
  <c r="L4257" i="7" s="1"/>
  <c r="G4257" i="7"/>
  <c r="H4257" i="7" s="1"/>
  <c r="B4257" i="7"/>
  <c r="M4256" i="7"/>
  <c r="J4256" i="7"/>
  <c r="K4256" i="7" s="1"/>
  <c r="L4256" i="7" s="1"/>
  <c r="G4256" i="7"/>
  <c r="H4256" i="7" s="1"/>
  <c r="B4256" i="7"/>
  <c r="M4255" i="7"/>
  <c r="J4255" i="7"/>
  <c r="K4255" i="7" s="1"/>
  <c r="L4255" i="7" s="1"/>
  <c r="G4255" i="7"/>
  <c r="H4255" i="7" s="1"/>
  <c r="B4255" i="7"/>
  <c r="M4254" i="7"/>
  <c r="J4254" i="7"/>
  <c r="K4254" i="7" s="1"/>
  <c r="L4254" i="7" s="1"/>
  <c r="G4254" i="7"/>
  <c r="H4254" i="7" s="1"/>
  <c r="B4254" i="7"/>
  <c r="M4253" i="7"/>
  <c r="J4253" i="7"/>
  <c r="K4253" i="7" s="1"/>
  <c r="L4253" i="7" s="1"/>
  <c r="G4253" i="7"/>
  <c r="H4253" i="7" s="1"/>
  <c r="B4253" i="7"/>
  <c r="M4252" i="7"/>
  <c r="J4252" i="7"/>
  <c r="K4252" i="7" s="1"/>
  <c r="L4252" i="7" s="1"/>
  <c r="G4252" i="7"/>
  <c r="H4252" i="7" s="1"/>
  <c r="B4252" i="7"/>
  <c r="M4251" i="7"/>
  <c r="J4251" i="7"/>
  <c r="K4251" i="7" s="1"/>
  <c r="L4251" i="7" s="1"/>
  <c r="G4251" i="7"/>
  <c r="H4251" i="7" s="1"/>
  <c r="B4251" i="7"/>
  <c r="M4250" i="7"/>
  <c r="J4250" i="7"/>
  <c r="K4250" i="7" s="1"/>
  <c r="L4250" i="7" s="1"/>
  <c r="G4250" i="7"/>
  <c r="H4250" i="7" s="1"/>
  <c r="B4250" i="7"/>
  <c r="M4249" i="7"/>
  <c r="J4249" i="7"/>
  <c r="K4249" i="7" s="1"/>
  <c r="L4249" i="7" s="1"/>
  <c r="G4249" i="7"/>
  <c r="H4249" i="7" s="1"/>
  <c r="B4249" i="7"/>
  <c r="M4248" i="7"/>
  <c r="J4248" i="7"/>
  <c r="K4248" i="7" s="1"/>
  <c r="L4248" i="7" s="1"/>
  <c r="G4248" i="7"/>
  <c r="H4248" i="7" s="1"/>
  <c r="B4248" i="7"/>
  <c r="M4247" i="7"/>
  <c r="J4247" i="7"/>
  <c r="K4247" i="7" s="1"/>
  <c r="L4247" i="7" s="1"/>
  <c r="G4247" i="7"/>
  <c r="H4247" i="7" s="1"/>
  <c r="B4247" i="7"/>
  <c r="M4246" i="7"/>
  <c r="J4246" i="7"/>
  <c r="K4246" i="7" s="1"/>
  <c r="L4246" i="7" s="1"/>
  <c r="G4246" i="7"/>
  <c r="H4246" i="7" s="1"/>
  <c r="B4246" i="7"/>
  <c r="M4245" i="7"/>
  <c r="J4245" i="7"/>
  <c r="K4245" i="7" s="1"/>
  <c r="L4245" i="7" s="1"/>
  <c r="G4245" i="7"/>
  <c r="H4245" i="7" s="1"/>
  <c r="B4245" i="7"/>
  <c r="M4244" i="7"/>
  <c r="J4244" i="7"/>
  <c r="K4244" i="7" s="1"/>
  <c r="L4244" i="7" s="1"/>
  <c r="G4244" i="7"/>
  <c r="H4244" i="7" s="1"/>
  <c r="B4244" i="7"/>
  <c r="M4243" i="7"/>
  <c r="J4243" i="7"/>
  <c r="K4243" i="7" s="1"/>
  <c r="L4243" i="7" s="1"/>
  <c r="G4243" i="7"/>
  <c r="H4243" i="7" s="1"/>
  <c r="B4243" i="7"/>
  <c r="M4242" i="7"/>
  <c r="J4242" i="7"/>
  <c r="K4242" i="7" s="1"/>
  <c r="L4242" i="7" s="1"/>
  <c r="G4242" i="7"/>
  <c r="H4242" i="7" s="1"/>
  <c r="B4242" i="7"/>
  <c r="M4241" i="7"/>
  <c r="J4241" i="7"/>
  <c r="K4241" i="7" s="1"/>
  <c r="L4241" i="7" s="1"/>
  <c r="G4241" i="7"/>
  <c r="H4241" i="7" s="1"/>
  <c r="B4241" i="7"/>
  <c r="M4240" i="7"/>
  <c r="J4240" i="7"/>
  <c r="K4240" i="7" s="1"/>
  <c r="L4240" i="7" s="1"/>
  <c r="G4240" i="7"/>
  <c r="H4240" i="7" s="1"/>
  <c r="B4240" i="7"/>
  <c r="M4239" i="7"/>
  <c r="J4239" i="7"/>
  <c r="K4239" i="7" s="1"/>
  <c r="L4239" i="7" s="1"/>
  <c r="G4239" i="7"/>
  <c r="H4239" i="7" s="1"/>
  <c r="B4239" i="7"/>
  <c r="M4238" i="7"/>
  <c r="J4238" i="7"/>
  <c r="K4238" i="7" s="1"/>
  <c r="L4238" i="7" s="1"/>
  <c r="G4238" i="7"/>
  <c r="H4238" i="7" s="1"/>
  <c r="B4238" i="7"/>
  <c r="M4237" i="7"/>
  <c r="J4237" i="7"/>
  <c r="K4237" i="7" s="1"/>
  <c r="L4237" i="7" s="1"/>
  <c r="G4237" i="7"/>
  <c r="H4237" i="7" s="1"/>
  <c r="B4237" i="7"/>
  <c r="M4236" i="7"/>
  <c r="J4236" i="7"/>
  <c r="K4236" i="7" s="1"/>
  <c r="L4236" i="7" s="1"/>
  <c r="G4236" i="7"/>
  <c r="H4236" i="7" s="1"/>
  <c r="B4236" i="7"/>
  <c r="M4235" i="7"/>
  <c r="J4235" i="7"/>
  <c r="K4235" i="7" s="1"/>
  <c r="L4235" i="7" s="1"/>
  <c r="G4235" i="7"/>
  <c r="H4235" i="7" s="1"/>
  <c r="B4235" i="7"/>
  <c r="M4234" i="7"/>
  <c r="J4234" i="7"/>
  <c r="K4234" i="7" s="1"/>
  <c r="L4234" i="7" s="1"/>
  <c r="G4234" i="7"/>
  <c r="H4234" i="7" s="1"/>
  <c r="B4234" i="7"/>
  <c r="M4233" i="7"/>
  <c r="J4233" i="7"/>
  <c r="K4233" i="7" s="1"/>
  <c r="L4233" i="7" s="1"/>
  <c r="G4233" i="7"/>
  <c r="H4233" i="7" s="1"/>
  <c r="B4233" i="7"/>
  <c r="M4232" i="7"/>
  <c r="J4232" i="7"/>
  <c r="K4232" i="7" s="1"/>
  <c r="L4232" i="7" s="1"/>
  <c r="G4232" i="7"/>
  <c r="H4232" i="7" s="1"/>
  <c r="B4232" i="7"/>
  <c r="M4231" i="7"/>
  <c r="J4231" i="7"/>
  <c r="K4231" i="7" s="1"/>
  <c r="L4231" i="7" s="1"/>
  <c r="G4231" i="7"/>
  <c r="H4231" i="7" s="1"/>
  <c r="B4231" i="7"/>
  <c r="M4230" i="7"/>
  <c r="J4230" i="7"/>
  <c r="K4230" i="7" s="1"/>
  <c r="L4230" i="7" s="1"/>
  <c r="G4230" i="7"/>
  <c r="H4230" i="7" s="1"/>
  <c r="B4230" i="7"/>
  <c r="M4229" i="7"/>
  <c r="J4229" i="7"/>
  <c r="K4229" i="7" s="1"/>
  <c r="L4229" i="7" s="1"/>
  <c r="G4229" i="7"/>
  <c r="H4229" i="7" s="1"/>
  <c r="B4229" i="7"/>
  <c r="M4228" i="7"/>
  <c r="J4228" i="7"/>
  <c r="K4228" i="7" s="1"/>
  <c r="L4228" i="7" s="1"/>
  <c r="G4228" i="7"/>
  <c r="H4228" i="7" s="1"/>
  <c r="B4228" i="7"/>
  <c r="M4227" i="7"/>
  <c r="J4227" i="7"/>
  <c r="K4227" i="7" s="1"/>
  <c r="L4227" i="7" s="1"/>
  <c r="G4227" i="7"/>
  <c r="H4227" i="7" s="1"/>
  <c r="B4227" i="7"/>
  <c r="M4226" i="7"/>
  <c r="J4226" i="7"/>
  <c r="K4226" i="7" s="1"/>
  <c r="L4226" i="7" s="1"/>
  <c r="G4226" i="7"/>
  <c r="H4226" i="7" s="1"/>
  <c r="B4226" i="7"/>
  <c r="M4225" i="7"/>
  <c r="J4225" i="7"/>
  <c r="K4225" i="7" s="1"/>
  <c r="L4225" i="7" s="1"/>
  <c r="G4225" i="7"/>
  <c r="H4225" i="7" s="1"/>
  <c r="B4225" i="7"/>
  <c r="M4224" i="7"/>
  <c r="J4224" i="7"/>
  <c r="K4224" i="7" s="1"/>
  <c r="L4224" i="7" s="1"/>
  <c r="G4224" i="7"/>
  <c r="H4224" i="7" s="1"/>
  <c r="B4224" i="7"/>
  <c r="M4223" i="7"/>
  <c r="J4223" i="7"/>
  <c r="K4223" i="7" s="1"/>
  <c r="L4223" i="7" s="1"/>
  <c r="G4223" i="7"/>
  <c r="H4223" i="7" s="1"/>
  <c r="B4223" i="7"/>
  <c r="M4222" i="7"/>
  <c r="J4222" i="7"/>
  <c r="K4222" i="7" s="1"/>
  <c r="L4222" i="7" s="1"/>
  <c r="G4222" i="7"/>
  <c r="H4222" i="7" s="1"/>
  <c r="B4222" i="7"/>
  <c r="M4221" i="7"/>
  <c r="J4221" i="7"/>
  <c r="K4221" i="7" s="1"/>
  <c r="L4221" i="7" s="1"/>
  <c r="G4221" i="7"/>
  <c r="H4221" i="7" s="1"/>
  <c r="B4221" i="7"/>
  <c r="M4220" i="7"/>
  <c r="J4220" i="7"/>
  <c r="K4220" i="7" s="1"/>
  <c r="L4220" i="7" s="1"/>
  <c r="G4220" i="7"/>
  <c r="H4220" i="7" s="1"/>
  <c r="B4220" i="7"/>
  <c r="M4219" i="7"/>
  <c r="J4219" i="7"/>
  <c r="K4219" i="7" s="1"/>
  <c r="L4219" i="7" s="1"/>
  <c r="G4219" i="7"/>
  <c r="H4219" i="7" s="1"/>
  <c r="B4219" i="7"/>
  <c r="M4218" i="7"/>
  <c r="J4218" i="7"/>
  <c r="K4218" i="7" s="1"/>
  <c r="L4218" i="7" s="1"/>
  <c r="G4218" i="7"/>
  <c r="H4218" i="7" s="1"/>
  <c r="B4218" i="7"/>
  <c r="M4217" i="7"/>
  <c r="J4217" i="7"/>
  <c r="K4217" i="7" s="1"/>
  <c r="L4217" i="7" s="1"/>
  <c r="G4217" i="7"/>
  <c r="H4217" i="7" s="1"/>
  <c r="B4217" i="7"/>
  <c r="M4216" i="7"/>
  <c r="J4216" i="7"/>
  <c r="K4216" i="7" s="1"/>
  <c r="L4216" i="7" s="1"/>
  <c r="G4216" i="7"/>
  <c r="H4216" i="7" s="1"/>
  <c r="B4216" i="7"/>
  <c r="M4215" i="7"/>
  <c r="J4215" i="7"/>
  <c r="K4215" i="7" s="1"/>
  <c r="L4215" i="7" s="1"/>
  <c r="G4215" i="7"/>
  <c r="H4215" i="7" s="1"/>
  <c r="B4215" i="7"/>
  <c r="M4214" i="7"/>
  <c r="J4214" i="7"/>
  <c r="K4214" i="7" s="1"/>
  <c r="L4214" i="7" s="1"/>
  <c r="G4214" i="7"/>
  <c r="H4214" i="7" s="1"/>
  <c r="B4214" i="7"/>
  <c r="M4213" i="7"/>
  <c r="J4213" i="7"/>
  <c r="K4213" i="7" s="1"/>
  <c r="L4213" i="7" s="1"/>
  <c r="G4213" i="7"/>
  <c r="H4213" i="7" s="1"/>
  <c r="B4213" i="7"/>
  <c r="M4212" i="7"/>
  <c r="J4212" i="7"/>
  <c r="K4212" i="7" s="1"/>
  <c r="L4212" i="7" s="1"/>
  <c r="G4212" i="7"/>
  <c r="H4212" i="7" s="1"/>
  <c r="B4212" i="7"/>
  <c r="M4211" i="7"/>
  <c r="J4211" i="7"/>
  <c r="K4211" i="7" s="1"/>
  <c r="L4211" i="7" s="1"/>
  <c r="G4211" i="7"/>
  <c r="H4211" i="7" s="1"/>
  <c r="B4211" i="7"/>
  <c r="M4210" i="7"/>
  <c r="J4210" i="7"/>
  <c r="K4210" i="7" s="1"/>
  <c r="L4210" i="7" s="1"/>
  <c r="G4210" i="7"/>
  <c r="H4210" i="7" s="1"/>
  <c r="B4210" i="7"/>
  <c r="M4209" i="7"/>
  <c r="J4209" i="7"/>
  <c r="K4209" i="7" s="1"/>
  <c r="L4209" i="7" s="1"/>
  <c r="G4209" i="7"/>
  <c r="H4209" i="7" s="1"/>
  <c r="B4209" i="7"/>
  <c r="M4208" i="7"/>
  <c r="J4208" i="7"/>
  <c r="K4208" i="7" s="1"/>
  <c r="L4208" i="7" s="1"/>
  <c r="G4208" i="7"/>
  <c r="H4208" i="7" s="1"/>
  <c r="B4208" i="7"/>
  <c r="M4207" i="7"/>
  <c r="J4207" i="7"/>
  <c r="K4207" i="7" s="1"/>
  <c r="L4207" i="7" s="1"/>
  <c r="G4207" i="7"/>
  <c r="H4207" i="7" s="1"/>
  <c r="B4207" i="7"/>
  <c r="M4206" i="7"/>
  <c r="J4206" i="7"/>
  <c r="K4206" i="7" s="1"/>
  <c r="L4206" i="7" s="1"/>
  <c r="G4206" i="7"/>
  <c r="H4206" i="7" s="1"/>
  <c r="B4206" i="7"/>
  <c r="M4205" i="7"/>
  <c r="J4205" i="7"/>
  <c r="K4205" i="7" s="1"/>
  <c r="L4205" i="7" s="1"/>
  <c r="G4205" i="7"/>
  <c r="H4205" i="7" s="1"/>
  <c r="B4205" i="7"/>
  <c r="M4204" i="7"/>
  <c r="J4204" i="7"/>
  <c r="K4204" i="7" s="1"/>
  <c r="L4204" i="7" s="1"/>
  <c r="G4204" i="7"/>
  <c r="H4204" i="7" s="1"/>
  <c r="B4204" i="7"/>
  <c r="M4203" i="7"/>
  <c r="J4203" i="7"/>
  <c r="K4203" i="7" s="1"/>
  <c r="L4203" i="7" s="1"/>
  <c r="G4203" i="7"/>
  <c r="H4203" i="7" s="1"/>
  <c r="B4203" i="7"/>
  <c r="M4202" i="7"/>
  <c r="J4202" i="7"/>
  <c r="K4202" i="7" s="1"/>
  <c r="L4202" i="7" s="1"/>
  <c r="G4202" i="7"/>
  <c r="H4202" i="7" s="1"/>
  <c r="B4202" i="7"/>
  <c r="M4201" i="7"/>
  <c r="J4201" i="7"/>
  <c r="K4201" i="7" s="1"/>
  <c r="L4201" i="7" s="1"/>
  <c r="G4201" i="7"/>
  <c r="H4201" i="7" s="1"/>
  <c r="B4201" i="7"/>
  <c r="M4200" i="7"/>
  <c r="J4200" i="7"/>
  <c r="K4200" i="7" s="1"/>
  <c r="L4200" i="7" s="1"/>
  <c r="G4200" i="7"/>
  <c r="H4200" i="7" s="1"/>
  <c r="B4200" i="7"/>
  <c r="M4199" i="7"/>
  <c r="J4199" i="7"/>
  <c r="K4199" i="7" s="1"/>
  <c r="L4199" i="7" s="1"/>
  <c r="G4199" i="7"/>
  <c r="H4199" i="7" s="1"/>
  <c r="B4199" i="7"/>
  <c r="M4198" i="7"/>
  <c r="J4198" i="7"/>
  <c r="K4198" i="7" s="1"/>
  <c r="L4198" i="7" s="1"/>
  <c r="G4198" i="7"/>
  <c r="H4198" i="7" s="1"/>
  <c r="B4198" i="7"/>
  <c r="M4197" i="7"/>
  <c r="J4197" i="7"/>
  <c r="K4197" i="7" s="1"/>
  <c r="L4197" i="7" s="1"/>
  <c r="G4197" i="7"/>
  <c r="H4197" i="7" s="1"/>
  <c r="B4197" i="7"/>
  <c r="M4196" i="7"/>
  <c r="J4196" i="7"/>
  <c r="K4196" i="7" s="1"/>
  <c r="L4196" i="7" s="1"/>
  <c r="G4196" i="7"/>
  <c r="H4196" i="7" s="1"/>
  <c r="B4196" i="7"/>
  <c r="M4195" i="7"/>
  <c r="J4195" i="7"/>
  <c r="K4195" i="7" s="1"/>
  <c r="L4195" i="7" s="1"/>
  <c r="G4195" i="7"/>
  <c r="H4195" i="7" s="1"/>
  <c r="B4195" i="7"/>
  <c r="M4194" i="7"/>
  <c r="J4194" i="7"/>
  <c r="K4194" i="7" s="1"/>
  <c r="L4194" i="7" s="1"/>
  <c r="G4194" i="7"/>
  <c r="H4194" i="7" s="1"/>
  <c r="B4194" i="7"/>
  <c r="M4193" i="7"/>
  <c r="J4193" i="7"/>
  <c r="K4193" i="7" s="1"/>
  <c r="L4193" i="7" s="1"/>
  <c r="G4193" i="7"/>
  <c r="H4193" i="7" s="1"/>
  <c r="B4193" i="7"/>
  <c r="M4192" i="7"/>
  <c r="J4192" i="7"/>
  <c r="K4192" i="7" s="1"/>
  <c r="L4192" i="7" s="1"/>
  <c r="G4192" i="7"/>
  <c r="H4192" i="7" s="1"/>
  <c r="B4192" i="7"/>
  <c r="M4191" i="7"/>
  <c r="J4191" i="7"/>
  <c r="K4191" i="7" s="1"/>
  <c r="L4191" i="7" s="1"/>
  <c r="G4191" i="7"/>
  <c r="H4191" i="7" s="1"/>
  <c r="B4191" i="7"/>
  <c r="M4190" i="7"/>
  <c r="J4190" i="7"/>
  <c r="K4190" i="7" s="1"/>
  <c r="L4190" i="7" s="1"/>
  <c r="G4190" i="7"/>
  <c r="H4190" i="7" s="1"/>
  <c r="B4190" i="7"/>
  <c r="M4189" i="7"/>
  <c r="J4189" i="7"/>
  <c r="K4189" i="7" s="1"/>
  <c r="L4189" i="7" s="1"/>
  <c r="G4189" i="7"/>
  <c r="H4189" i="7" s="1"/>
  <c r="B4189" i="7"/>
  <c r="M4188" i="7"/>
  <c r="J4188" i="7"/>
  <c r="K4188" i="7" s="1"/>
  <c r="L4188" i="7" s="1"/>
  <c r="G4188" i="7"/>
  <c r="H4188" i="7" s="1"/>
  <c r="B4188" i="7"/>
  <c r="M4187" i="7"/>
  <c r="J4187" i="7"/>
  <c r="K4187" i="7" s="1"/>
  <c r="L4187" i="7" s="1"/>
  <c r="G4187" i="7"/>
  <c r="H4187" i="7" s="1"/>
  <c r="B4187" i="7"/>
  <c r="M4186" i="7"/>
  <c r="J4186" i="7"/>
  <c r="K4186" i="7" s="1"/>
  <c r="L4186" i="7" s="1"/>
  <c r="G4186" i="7"/>
  <c r="H4186" i="7" s="1"/>
  <c r="B4186" i="7"/>
  <c r="M4185" i="7"/>
  <c r="J4185" i="7"/>
  <c r="K4185" i="7" s="1"/>
  <c r="L4185" i="7" s="1"/>
  <c r="G4185" i="7"/>
  <c r="H4185" i="7" s="1"/>
  <c r="B4185" i="7"/>
  <c r="M4184" i="7"/>
  <c r="J4184" i="7"/>
  <c r="K4184" i="7" s="1"/>
  <c r="L4184" i="7" s="1"/>
  <c r="G4184" i="7"/>
  <c r="H4184" i="7" s="1"/>
  <c r="B4184" i="7"/>
  <c r="M4183" i="7"/>
  <c r="J4183" i="7"/>
  <c r="K4183" i="7" s="1"/>
  <c r="L4183" i="7" s="1"/>
  <c r="G4183" i="7"/>
  <c r="H4183" i="7" s="1"/>
  <c r="B4183" i="7"/>
  <c r="M4182" i="7"/>
  <c r="J4182" i="7"/>
  <c r="K4182" i="7" s="1"/>
  <c r="L4182" i="7" s="1"/>
  <c r="G4182" i="7"/>
  <c r="H4182" i="7" s="1"/>
  <c r="B4182" i="7"/>
  <c r="M4181" i="7"/>
  <c r="J4181" i="7"/>
  <c r="K4181" i="7" s="1"/>
  <c r="L4181" i="7" s="1"/>
  <c r="G4181" i="7"/>
  <c r="H4181" i="7" s="1"/>
  <c r="B4181" i="7"/>
  <c r="M4180" i="7"/>
  <c r="J4180" i="7"/>
  <c r="K4180" i="7" s="1"/>
  <c r="L4180" i="7" s="1"/>
  <c r="G4180" i="7"/>
  <c r="H4180" i="7" s="1"/>
  <c r="B4180" i="7"/>
  <c r="M4179" i="7"/>
  <c r="J4179" i="7"/>
  <c r="K4179" i="7" s="1"/>
  <c r="L4179" i="7" s="1"/>
  <c r="G4179" i="7"/>
  <c r="H4179" i="7" s="1"/>
  <c r="B4179" i="7"/>
  <c r="M4178" i="7"/>
  <c r="J4178" i="7"/>
  <c r="K4178" i="7" s="1"/>
  <c r="L4178" i="7" s="1"/>
  <c r="G4178" i="7"/>
  <c r="H4178" i="7" s="1"/>
  <c r="B4178" i="7"/>
  <c r="M4177" i="7"/>
  <c r="J4177" i="7"/>
  <c r="K4177" i="7" s="1"/>
  <c r="L4177" i="7" s="1"/>
  <c r="G4177" i="7"/>
  <c r="H4177" i="7" s="1"/>
  <c r="B4177" i="7"/>
  <c r="M4176" i="7"/>
  <c r="J4176" i="7"/>
  <c r="K4176" i="7" s="1"/>
  <c r="L4176" i="7" s="1"/>
  <c r="G4176" i="7"/>
  <c r="H4176" i="7" s="1"/>
  <c r="B4176" i="7"/>
  <c r="M4175" i="7"/>
  <c r="J4175" i="7"/>
  <c r="K4175" i="7" s="1"/>
  <c r="L4175" i="7" s="1"/>
  <c r="G4175" i="7"/>
  <c r="H4175" i="7" s="1"/>
  <c r="B4175" i="7"/>
  <c r="M4174" i="7"/>
  <c r="J4174" i="7"/>
  <c r="K4174" i="7" s="1"/>
  <c r="L4174" i="7" s="1"/>
  <c r="G4174" i="7"/>
  <c r="H4174" i="7" s="1"/>
  <c r="B4174" i="7"/>
  <c r="M4173" i="7"/>
  <c r="J4173" i="7"/>
  <c r="K4173" i="7" s="1"/>
  <c r="L4173" i="7" s="1"/>
  <c r="G4173" i="7"/>
  <c r="H4173" i="7" s="1"/>
  <c r="B4173" i="7"/>
  <c r="M4172" i="7"/>
  <c r="J4172" i="7"/>
  <c r="K4172" i="7" s="1"/>
  <c r="L4172" i="7" s="1"/>
  <c r="G4172" i="7"/>
  <c r="H4172" i="7" s="1"/>
  <c r="B4172" i="7"/>
  <c r="M4171" i="7"/>
  <c r="J4171" i="7"/>
  <c r="K4171" i="7" s="1"/>
  <c r="L4171" i="7" s="1"/>
  <c r="G4171" i="7"/>
  <c r="H4171" i="7" s="1"/>
  <c r="B4171" i="7"/>
  <c r="M4170" i="7"/>
  <c r="J4170" i="7"/>
  <c r="K4170" i="7" s="1"/>
  <c r="L4170" i="7" s="1"/>
  <c r="G4170" i="7"/>
  <c r="H4170" i="7" s="1"/>
  <c r="B4170" i="7"/>
  <c r="M4169" i="7"/>
  <c r="J4169" i="7"/>
  <c r="K4169" i="7" s="1"/>
  <c r="L4169" i="7" s="1"/>
  <c r="G4169" i="7"/>
  <c r="H4169" i="7" s="1"/>
  <c r="B4169" i="7"/>
  <c r="M4168" i="7"/>
  <c r="J4168" i="7"/>
  <c r="K4168" i="7" s="1"/>
  <c r="L4168" i="7" s="1"/>
  <c r="G4168" i="7"/>
  <c r="H4168" i="7" s="1"/>
  <c r="B4168" i="7"/>
  <c r="M4167" i="7"/>
  <c r="J4167" i="7"/>
  <c r="K4167" i="7" s="1"/>
  <c r="L4167" i="7" s="1"/>
  <c r="G4167" i="7"/>
  <c r="H4167" i="7" s="1"/>
  <c r="B4167" i="7"/>
  <c r="M4166" i="7"/>
  <c r="J4166" i="7"/>
  <c r="K4166" i="7" s="1"/>
  <c r="L4166" i="7" s="1"/>
  <c r="G4166" i="7"/>
  <c r="H4166" i="7" s="1"/>
  <c r="B4166" i="7"/>
  <c r="M4165" i="7"/>
  <c r="J4165" i="7"/>
  <c r="K4165" i="7" s="1"/>
  <c r="L4165" i="7" s="1"/>
  <c r="G4165" i="7"/>
  <c r="H4165" i="7" s="1"/>
  <c r="B4165" i="7"/>
  <c r="M4164" i="7"/>
  <c r="J4164" i="7"/>
  <c r="K4164" i="7" s="1"/>
  <c r="L4164" i="7" s="1"/>
  <c r="G4164" i="7"/>
  <c r="H4164" i="7" s="1"/>
  <c r="B4164" i="7"/>
  <c r="M4163" i="7"/>
  <c r="J4163" i="7"/>
  <c r="K4163" i="7" s="1"/>
  <c r="L4163" i="7" s="1"/>
  <c r="G4163" i="7"/>
  <c r="H4163" i="7" s="1"/>
  <c r="B4163" i="7"/>
  <c r="M4162" i="7"/>
  <c r="J4162" i="7"/>
  <c r="K4162" i="7" s="1"/>
  <c r="L4162" i="7" s="1"/>
  <c r="G4162" i="7"/>
  <c r="H4162" i="7" s="1"/>
  <c r="B4162" i="7"/>
  <c r="M4161" i="7"/>
  <c r="J4161" i="7"/>
  <c r="K4161" i="7" s="1"/>
  <c r="L4161" i="7" s="1"/>
  <c r="G4161" i="7"/>
  <c r="H4161" i="7" s="1"/>
  <c r="B4161" i="7"/>
  <c r="M4160" i="7"/>
  <c r="J4160" i="7"/>
  <c r="K4160" i="7" s="1"/>
  <c r="L4160" i="7" s="1"/>
  <c r="G4160" i="7"/>
  <c r="H4160" i="7" s="1"/>
  <c r="B4160" i="7"/>
  <c r="M4159" i="7"/>
  <c r="J4159" i="7"/>
  <c r="K4159" i="7" s="1"/>
  <c r="L4159" i="7" s="1"/>
  <c r="G4159" i="7"/>
  <c r="H4159" i="7" s="1"/>
  <c r="B4159" i="7"/>
  <c r="M4158" i="7"/>
  <c r="J4158" i="7"/>
  <c r="K4158" i="7" s="1"/>
  <c r="L4158" i="7" s="1"/>
  <c r="G4158" i="7"/>
  <c r="H4158" i="7" s="1"/>
  <c r="B4158" i="7"/>
  <c r="M4157" i="7"/>
  <c r="J4157" i="7"/>
  <c r="K4157" i="7" s="1"/>
  <c r="L4157" i="7" s="1"/>
  <c r="G4157" i="7"/>
  <c r="H4157" i="7" s="1"/>
  <c r="B4157" i="7"/>
  <c r="M4156" i="7"/>
  <c r="J4156" i="7"/>
  <c r="K4156" i="7" s="1"/>
  <c r="L4156" i="7" s="1"/>
  <c r="G4156" i="7"/>
  <c r="H4156" i="7" s="1"/>
  <c r="B4156" i="7"/>
  <c r="M4155" i="7"/>
  <c r="J4155" i="7"/>
  <c r="K4155" i="7" s="1"/>
  <c r="L4155" i="7" s="1"/>
  <c r="G4155" i="7"/>
  <c r="H4155" i="7" s="1"/>
  <c r="B4155" i="7"/>
  <c r="M4154" i="7"/>
  <c r="J4154" i="7"/>
  <c r="K4154" i="7" s="1"/>
  <c r="L4154" i="7" s="1"/>
  <c r="G4154" i="7"/>
  <c r="H4154" i="7" s="1"/>
  <c r="B4154" i="7"/>
  <c r="M4153" i="7"/>
  <c r="J4153" i="7"/>
  <c r="K4153" i="7" s="1"/>
  <c r="L4153" i="7" s="1"/>
  <c r="G4153" i="7"/>
  <c r="H4153" i="7" s="1"/>
  <c r="B4153" i="7"/>
  <c r="M4152" i="7"/>
  <c r="J4152" i="7"/>
  <c r="K4152" i="7" s="1"/>
  <c r="L4152" i="7" s="1"/>
  <c r="G4152" i="7"/>
  <c r="H4152" i="7" s="1"/>
  <c r="B4152" i="7"/>
  <c r="M4151" i="7"/>
  <c r="J4151" i="7"/>
  <c r="K4151" i="7" s="1"/>
  <c r="L4151" i="7" s="1"/>
  <c r="G4151" i="7"/>
  <c r="H4151" i="7" s="1"/>
  <c r="B4151" i="7"/>
  <c r="M4150" i="7"/>
  <c r="J4150" i="7"/>
  <c r="K4150" i="7" s="1"/>
  <c r="L4150" i="7" s="1"/>
  <c r="G4150" i="7"/>
  <c r="H4150" i="7" s="1"/>
  <c r="B4150" i="7"/>
  <c r="M4149" i="7"/>
  <c r="J4149" i="7"/>
  <c r="K4149" i="7" s="1"/>
  <c r="L4149" i="7" s="1"/>
  <c r="G4149" i="7"/>
  <c r="H4149" i="7" s="1"/>
  <c r="B4149" i="7"/>
  <c r="M4148" i="7"/>
  <c r="J4148" i="7"/>
  <c r="K4148" i="7" s="1"/>
  <c r="L4148" i="7" s="1"/>
  <c r="G4148" i="7"/>
  <c r="H4148" i="7" s="1"/>
  <c r="B4148" i="7"/>
  <c r="M4147" i="7"/>
  <c r="J4147" i="7"/>
  <c r="K4147" i="7" s="1"/>
  <c r="L4147" i="7" s="1"/>
  <c r="G4147" i="7"/>
  <c r="H4147" i="7" s="1"/>
  <c r="B4147" i="7"/>
  <c r="M4146" i="7"/>
  <c r="J4146" i="7"/>
  <c r="K4146" i="7" s="1"/>
  <c r="L4146" i="7" s="1"/>
  <c r="G4146" i="7"/>
  <c r="H4146" i="7" s="1"/>
  <c r="B4146" i="7"/>
  <c r="M4145" i="7"/>
  <c r="J4145" i="7"/>
  <c r="K4145" i="7" s="1"/>
  <c r="L4145" i="7" s="1"/>
  <c r="G4145" i="7"/>
  <c r="H4145" i="7" s="1"/>
  <c r="B4145" i="7"/>
  <c r="M4144" i="7"/>
  <c r="J4144" i="7"/>
  <c r="K4144" i="7" s="1"/>
  <c r="L4144" i="7" s="1"/>
  <c r="G4144" i="7"/>
  <c r="H4144" i="7" s="1"/>
  <c r="B4144" i="7"/>
  <c r="M4143" i="7"/>
  <c r="J4143" i="7"/>
  <c r="K4143" i="7" s="1"/>
  <c r="L4143" i="7" s="1"/>
  <c r="G4143" i="7"/>
  <c r="H4143" i="7" s="1"/>
  <c r="B4143" i="7"/>
  <c r="M4142" i="7"/>
  <c r="J4142" i="7"/>
  <c r="K4142" i="7" s="1"/>
  <c r="L4142" i="7" s="1"/>
  <c r="G4142" i="7"/>
  <c r="H4142" i="7" s="1"/>
  <c r="B4142" i="7"/>
  <c r="M4141" i="7"/>
  <c r="J4141" i="7"/>
  <c r="K4141" i="7" s="1"/>
  <c r="L4141" i="7" s="1"/>
  <c r="G4141" i="7"/>
  <c r="H4141" i="7" s="1"/>
  <c r="B4141" i="7"/>
  <c r="M4140" i="7"/>
  <c r="J4140" i="7"/>
  <c r="K4140" i="7" s="1"/>
  <c r="L4140" i="7" s="1"/>
  <c r="G4140" i="7"/>
  <c r="H4140" i="7" s="1"/>
  <c r="B4140" i="7"/>
  <c r="M4139" i="7"/>
  <c r="J4139" i="7"/>
  <c r="K4139" i="7" s="1"/>
  <c r="L4139" i="7" s="1"/>
  <c r="G4139" i="7"/>
  <c r="H4139" i="7" s="1"/>
  <c r="B4139" i="7"/>
  <c r="M4138" i="7"/>
  <c r="J4138" i="7"/>
  <c r="K4138" i="7" s="1"/>
  <c r="L4138" i="7" s="1"/>
  <c r="G4138" i="7"/>
  <c r="H4138" i="7" s="1"/>
  <c r="B4138" i="7"/>
  <c r="M4137" i="7"/>
  <c r="J4137" i="7"/>
  <c r="K4137" i="7" s="1"/>
  <c r="L4137" i="7" s="1"/>
  <c r="G4137" i="7"/>
  <c r="H4137" i="7" s="1"/>
  <c r="B4137" i="7"/>
  <c r="M4136" i="7"/>
  <c r="J4136" i="7"/>
  <c r="K4136" i="7" s="1"/>
  <c r="L4136" i="7" s="1"/>
  <c r="G4136" i="7"/>
  <c r="H4136" i="7" s="1"/>
  <c r="B4136" i="7"/>
  <c r="M4135" i="7"/>
  <c r="J4135" i="7"/>
  <c r="K4135" i="7" s="1"/>
  <c r="L4135" i="7" s="1"/>
  <c r="G4135" i="7"/>
  <c r="H4135" i="7" s="1"/>
  <c r="B4135" i="7"/>
  <c r="M4134" i="7"/>
  <c r="J4134" i="7"/>
  <c r="K4134" i="7" s="1"/>
  <c r="L4134" i="7" s="1"/>
  <c r="G4134" i="7"/>
  <c r="H4134" i="7" s="1"/>
  <c r="B4134" i="7"/>
  <c r="M4133" i="7"/>
  <c r="J4133" i="7"/>
  <c r="K4133" i="7" s="1"/>
  <c r="L4133" i="7" s="1"/>
  <c r="G4133" i="7"/>
  <c r="H4133" i="7" s="1"/>
  <c r="B4133" i="7"/>
  <c r="M4132" i="7"/>
  <c r="J4132" i="7"/>
  <c r="K4132" i="7" s="1"/>
  <c r="L4132" i="7" s="1"/>
  <c r="G4132" i="7"/>
  <c r="H4132" i="7" s="1"/>
  <c r="B4132" i="7"/>
  <c r="M4131" i="7"/>
  <c r="J4131" i="7"/>
  <c r="K4131" i="7" s="1"/>
  <c r="L4131" i="7" s="1"/>
  <c r="G4131" i="7"/>
  <c r="H4131" i="7" s="1"/>
  <c r="B4131" i="7"/>
  <c r="M4130" i="7"/>
  <c r="J4130" i="7"/>
  <c r="K4130" i="7" s="1"/>
  <c r="L4130" i="7" s="1"/>
  <c r="G4130" i="7"/>
  <c r="H4130" i="7" s="1"/>
  <c r="B4130" i="7"/>
  <c r="M4129" i="7"/>
  <c r="J4129" i="7"/>
  <c r="K4129" i="7" s="1"/>
  <c r="L4129" i="7" s="1"/>
  <c r="G4129" i="7"/>
  <c r="H4129" i="7" s="1"/>
  <c r="B4129" i="7"/>
  <c r="M4128" i="7"/>
  <c r="J4128" i="7"/>
  <c r="K4128" i="7" s="1"/>
  <c r="L4128" i="7" s="1"/>
  <c r="G4128" i="7"/>
  <c r="H4128" i="7" s="1"/>
  <c r="B4128" i="7"/>
  <c r="M4127" i="7"/>
  <c r="J4127" i="7"/>
  <c r="K4127" i="7" s="1"/>
  <c r="L4127" i="7" s="1"/>
  <c r="G4127" i="7"/>
  <c r="H4127" i="7" s="1"/>
  <c r="B4127" i="7"/>
  <c r="M4126" i="7"/>
  <c r="J4126" i="7"/>
  <c r="K4126" i="7" s="1"/>
  <c r="L4126" i="7" s="1"/>
  <c r="G4126" i="7"/>
  <c r="H4126" i="7" s="1"/>
  <c r="B4126" i="7"/>
  <c r="M4125" i="7"/>
  <c r="J4125" i="7"/>
  <c r="K4125" i="7" s="1"/>
  <c r="L4125" i="7" s="1"/>
  <c r="G4125" i="7"/>
  <c r="H4125" i="7" s="1"/>
  <c r="B4125" i="7"/>
  <c r="M4124" i="7"/>
  <c r="J4124" i="7"/>
  <c r="K4124" i="7" s="1"/>
  <c r="L4124" i="7" s="1"/>
  <c r="G4124" i="7"/>
  <c r="H4124" i="7" s="1"/>
  <c r="B4124" i="7"/>
  <c r="M4123" i="7"/>
  <c r="J4123" i="7"/>
  <c r="K4123" i="7" s="1"/>
  <c r="L4123" i="7" s="1"/>
  <c r="G4123" i="7"/>
  <c r="H4123" i="7" s="1"/>
  <c r="B4123" i="7"/>
  <c r="M4122" i="7"/>
  <c r="J4122" i="7"/>
  <c r="K4122" i="7" s="1"/>
  <c r="L4122" i="7" s="1"/>
  <c r="G4122" i="7"/>
  <c r="H4122" i="7" s="1"/>
  <c r="B4122" i="7"/>
  <c r="M4121" i="7"/>
  <c r="J4121" i="7"/>
  <c r="K4121" i="7" s="1"/>
  <c r="L4121" i="7" s="1"/>
  <c r="G4121" i="7"/>
  <c r="H4121" i="7" s="1"/>
  <c r="B4121" i="7"/>
  <c r="M4120" i="7"/>
  <c r="J4120" i="7"/>
  <c r="K4120" i="7" s="1"/>
  <c r="L4120" i="7" s="1"/>
  <c r="G4120" i="7"/>
  <c r="H4120" i="7" s="1"/>
  <c r="B4120" i="7"/>
  <c r="M4119" i="7"/>
  <c r="J4119" i="7"/>
  <c r="K4119" i="7" s="1"/>
  <c r="L4119" i="7" s="1"/>
  <c r="G4119" i="7"/>
  <c r="H4119" i="7" s="1"/>
  <c r="B4119" i="7"/>
  <c r="M4118" i="7"/>
  <c r="J4118" i="7"/>
  <c r="K4118" i="7" s="1"/>
  <c r="L4118" i="7" s="1"/>
  <c r="G4118" i="7"/>
  <c r="H4118" i="7" s="1"/>
  <c r="B4118" i="7"/>
  <c r="M4117" i="7"/>
  <c r="J4117" i="7"/>
  <c r="K4117" i="7" s="1"/>
  <c r="L4117" i="7" s="1"/>
  <c r="G4117" i="7"/>
  <c r="H4117" i="7" s="1"/>
  <c r="B4117" i="7"/>
  <c r="M4116" i="7"/>
  <c r="J4116" i="7"/>
  <c r="K4116" i="7" s="1"/>
  <c r="L4116" i="7" s="1"/>
  <c r="G4116" i="7"/>
  <c r="H4116" i="7" s="1"/>
  <c r="B4116" i="7"/>
  <c r="M4115" i="7"/>
  <c r="J4115" i="7"/>
  <c r="K4115" i="7" s="1"/>
  <c r="L4115" i="7" s="1"/>
  <c r="G4115" i="7"/>
  <c r="H4115" i="7" s="1"/>
  <c r="B4115" i="7"/>
  <c r="M4114" i="7"/>
  <c r="J4114" i="7"/>
  <c r="K4114" i="7" s="1"/>
  <c r="L4114" i="7" s="1"/>
  <c r="G4114" i="7"/>
  <c r="H4114" i="7" s="1"/>
  <c r="B4114" i="7"/>
  <c r="M4113" i="7"/>
  <c r="J4113" i="7"/>
  <c r="K4113" i="7" s="1"/>
  <c r="L4113" i="7" s="1"/>
  <c r="G4113" i="7"/>
  <c r="H4113" i="7" s="1"/>
  <c r="B4113" i="7"/>
  <c r="M4112" i="7"/>
  <c r="J4112" i="7"/>
  <c r="K4112" i="7" s="1"/>
  <c r="L4112" i="7" s="1"/>
  <c r="G4112" i="7"/>
  <c r="H4112" i="7" s="1"/>
  <c r="B4112" i="7"/>
  <c r="M4111" i="7"/>
  <c r="J4111" i="7"/>
  <c r="K4111" i="7" s="1"/>
  <c r="L4111" i="7" s="1"/>
  <c r="G4111" i="7"/>
  <c r="H4111" i="7" s="1"/>
  <c r="B4111" i="7"/>
  <c r="M4110" i="7"/>
  <c r="J4110" i="7"/>
  <c r="K4110" i="7" s="1"/>
  <c r="L4110" i="7" s="1"/>
  <c r="G4110" i="7"/>
  <c r="H4110" i="7" s="1"/>
  <c r="B4110" i="7"/>
  <c r="M4109" i="7"/>
  <c r="J4109" i="7"/>
  <c r="K4109" i="7" s="1"/>
  <c r="L4109" i="7" s="1"/>
  <c r="G4109" i="7"/>
  <c r="H4109" i="7" s="1"/>
  <c r="B4109" i="7"/>
  <c r="M4108" i="7"/>
  <c r="J4108" i="7"/>
  <c r="K4108" i="7" s="1"/>
  <c r="L4108" i="7" s="1"/>
  <c r="G4108" i="7"/>
  <c r="H4108" i="7" s="1"/>
  <c r="B4108" i="7"/>
  <c r="M4107" i="7"/>
  <c r="J4107" i="7"/>
  <c r="K4107" i="7" s="1"/>
  <c r="L4107" i="7" s="1"/>
  <c r="G4107" i="7"/>
  <c r="H4107" i="7" s="1"/>
  <c r="B4107" i="7"/>
  <c r="M4106" i="7"/>
  <c r="J4106" i="7"/>
  <c r="K4106" i="7" s="1"/>
  <c r="L4106" i="7" s="1"/>
  <c r="G4106" i="7"/>
  <c r="H4106" i="7" s="1"/>
  <c r="B4106" i="7"/>
  <c r="M4105" i="7"/>
  <c r="J4105" i="7"/>
  <c r="K4105" i="7" s="1"/>
  <c r="L4105" i="7" s="1"/>
  <c r="G4105" i="7"/>
  <c r="H4105" i="7" s="1"/>
  <c r="B4105" i="7"/>
  <c r="M4104" i="7"/>
  <c r="J4104" i="7"/>
  <c r="K4104" i="7" s="1"/>
  <c r="L4104" i="7" s="1"/>
  <c r="G4104" i="7"/>
  <c r="H4104" i="7" s="1"/>
  <c r="B4104" i="7"/>
  <c r="M4103" i="7"/>
  <c r="J4103" i="7"/>
  <c r="K4103" i="7" s="1"/>
  <c r="L4103" i="7" s="1"/>
  <c r="G4103" i="7"/>
  <c r="H4103" i="7" s="1"/>
  <c r="B4103" i="7"/>
  <c r="M4102" i="7"/>
  <c r="J4102" i="7"/>
  <c r="K4102" i="7" s="1"/>
  <c r="L4102" i="7" s="1"/>
  <c r="G4102" i="7"/>
  <c r="H4102" i="7" s="1"/>
  <c r="B4102" i="7"/>
  <c r="M4101" i="7"/>
  <c r="J4101" i="7"/>
  <c r="K4101" i="7" s="1"/>
  <c r="L4101" i="7" s="1"/>
  <c r="G4101" i="7"/>
  <c r="H4101" i="7" s="1"/>
  <c r="B4101" i="7"/>
  <c r="M4100" i="7"/>
  <c r="J4100" i="7"/>
  <c r="K4100" i="7" s="1"/>
  <c r="L4100" i="7" s="1"/>
  <c r="G4100" i="7"/>
  <c r="H4100" i="7" s="1"/>
  <c r="B4100" i="7"/>
  <c r="M4099" i="7"/>
  <c r="J4099" i="7"/>
  <c r="K4099" i="7" s="1"/>
  <c r="L4099" i="7" s="1"/>
  <c r="G4099" i="7"/>
  <c r="H4099" i="7" s="1"/>
  <c r="B4099" i="7"/>
  <c r="M4098" i="7"/>
  <c r="J4098" i="7"/>
  <c r="K4098" i="7" s="1"/>
  <c r="L4098" i="7" s="1"/>
  <c r="G4098" i="7"/>
  <c r="H4098" i="7" s="1"/>
  <c r="B4098" i="7"/>
  <c r="M4097" i="7"/>
  <c r="J4097" i="7"/>
  <c r="K4097" i="7" s="1"/>
  <c r="L4097" i="7" s="1"/>
  <c r="G4097" i="7"/>
  <c r="H4097" i="7" s="1"/>
  <c r="B4097" i="7"/>
  <c r="M4096" i="7"/>
  <c r="J4096" i="7"/>
  <c r="K4096" i="7" s="1"/>
  <c r="L4096" i="7" s="1"/>
  <c r="G4096" i="7"/>
  <c r="H4096" i="7" s="1"/>
  <c r="B4096" i="7"/>
  <c r="M4095" i="7"/>
  <c r="J4095" i="7"/>
  <c r="K4095" i="7" s="1"/>
  <c r="L4095" i="7" s="1"/>
  <c r="G4095" i="7"/>
  <c r="H4095" i="7" s="1"/>
  <c r="B4095" i="7"/>
  <c r="M4094" i="7"/>
  <c r="J4094" i="7"/>
  <c r="K4094" i="7" s="1"/>
  <c r="L4094" i="7" s="1"/>
  <c r="G4094" i="7"/>
  <c r="H4094" i="7" s="1"/>
  <c r="B4094" i="7"/>
  <c r="M4093" i="7"/>
  <c r="J4093" i="7"/>
  <c r="K4093" i="7" s="1"/>
  <c r="L4093" i="7" s="1"/>
  <c r="G4093" i="7"/>
  <c r="H4093" i="7" s="1"/>
  <c r="B4093" i="7"/>
  <c r="M4092" i="7"/>
  <c r="J4092" i="7"/>
  <c r="K4092" i="7" s="1"/>
  <c r="L4092" i="7" s="1"/>
  <c r="G4092" i="7"/>
  <c r="H4092" i="7" s="1"/>
  <c r="B4092" i="7"/>
  <c r="M4091" i="7"/>
  <c r="J4091" i="7"/>
  <c r="K4091" i="7" s="1"/>
  <c r="L4091" i="7" s="1"/>
  <c r="G4091" i="7"/>
  <c r="H4091" i="7" s="1"/>
  <c r="B4091" i="7"/>
  <c r="M4090" i="7"/>
  <c r="J4090" i="7"/>
  <c r="K4090" i="7" s="1"/>
  <c r="L4090" i="7" s="1"/>
  <c r="G4090" i="7"/>
  <c r="H4090" i="7" s="1"/>
  <c r="B4090" i="7"/>
  <c r="M4089" i="7"/>
  <c r="J4089" i="7"/>
  <c r="K4089" i="7" s="1"/>
  <c r="L4089" i="7" s="1"/>
  <c r="G4089" i="7"/>
  <c r="H4089" i="7" s="1"/>
  <c r="B4089" i="7"/>
  <c r="M4088" i="7"/>
  <c r="J4088" i="7"/>
  <c r="K4088" i="7" s="1"/>
  <c r="L4088" i="7" s="1"/>
  <c r="G4088" i="7"/>
  <c r="H4088" i="7" s="1"/>
  <c r="B4088" i="7"/>
  <c r="M4087" i="7"/>
  <c r="J4087" i="7"/>
  <c r="K4087" i="7" s="1"/>
  <c r="L4087" i="7" s="1"/>
  <c r="G4087" i="7"/>
  <c r="H4087" i="7" s="1"/>
  <c r="B4087" i="7"/>
  <c r="M4086" i="7"/>
  <c r="J4086" i="7"/>
  <c r="K4086" i="7" s="1"/>
  <c r="L4086" i="7" s="1"/>
  <c r="G4086" i="7"/>
  <c r="H4086" i="7" s="1"/>
  <c r="B4086" i="7"/>
  <c r="M4085" i="7"/>
  <c r="J4085" i="7"/>
  <c r="K4085" i="7" s="1"/>
  <c r="L4085" i="7" s="1"/>
  <c r="G4085" i="7"/>
  <c r="H4085" i="7" s="1"/>
  <c r="B4085" i="7"/>
  <c r="M4084" i="7"/>
  <c r="J4084" i="7"/>
  <c r="K4084" i="7" s="1"/>
  <c r="L4084" i="7" s="1"/>
  <c r="G4084" i="7"/>
  <c r="H4084" i="7" s="1"/>
  <c r="B4084" i="7"/>
  <c r="M4083" i="7"/>
  <c r="J4083" i="7"/>
  <c r="K4083" i="7" s="1"/>
  <c r="L4083" i="7" s="1"/>
  <c r="G4083" i="7"/>
  <c r="H4083" i="7" s="1"/>
  <c r="B4083" i="7"/>
  <c r="M4082" i="7"/>
  <c r="J4082" i="7"/>
  <c r="K4082" i="7" s="1"/>
  <c r="L4082" i="7" s="1"/>
  <c r="G4082" i="7"/>
  <c r="H4082" i="7" s="1"/>
  <c r="B4082" i="7"/>
  <c r="M4081" i="7"/>
  <c r="J4081" i="7"/>
  <c r="K4081" i="7" s="1"/>
  <c r="L4081" i="7" s="1"/>
  <c r="G4081" i="7"/>
  <c r="H4081" i="7" s="1"/>
  <c r="B4081" i="7"/>
  <c r="M4080" i="7"/>
  <c r="J4080" i="7"/>
  <c r="K4080" i="7" s="1"/>
  <c r="L4080" i="7" s="1"/>
  <c r="G4080" i="7"/>
  <c r="H4080" i="7" s="1"/>
  <c r="B4080" i="7"/>
  <c r="M4079" i="7"/>
  <c r="J4079" i="7"/>
  <c r="K4079" i="7" s="1"/>
  <c r="L4079" i="7" s="1"/>
  <c r="G4079" i="7"/>
  <c r="H4079" i="7" s="1"/>
  <c r="B4079" i="7"/>
  <c r="M4078" i="7"/>
  <c r="J4078" i="7"/>
  <c r="K4078" i="7" s="1"/>
  <c r="L4078" i="7" s="1"/>
  <c r="G4078" i="7"/>
  <c r="H4078" i="7" s="1"/>
  <c r="B4078" i="7"/>
  <c r="M4077" i="7"/>
  <c r="J4077" i="7"/>
  <c r="K4077" i="7" s="1"/>
  <c r="L4077" i="7" s="1"/>
  <c r="G4077" i="7"/>
  <c r="H4077" i="7" s="1"/>
  <c r="B4077" i="7"/>
  <c r="M4076" i="7"/>
  <c r="J4076" i="7"/>
  <c r="K4076" i="7" s="1"/>
  <c r="L4076" i="7" s="1"/>
  <c r="G4076" i="7"/>
  <c r="H4076" i="7" s="1"/>
  <c r="B4076" i="7"/>
  <c r="M4075" i="7"/>
  <c r="J4075" i="7"/>
  <c r="K4075" i="7" s="1"/>
  <c r="L4075" i="7" s="1"/>
  <c r="G4075" i="7"/>
  <c r="H4075" i="7" s="1"/>
  <c r="B4075" i="7"/>
  <c r="M4074" i="7"/>
  <c r="J4074" i="7"/>
  <c r="K4074" i="7" s="1"/>
  <c r="L4074" i="7" s="1"/>
  <c r="G4074" i="7"/>
  <c r="H4074" i="7" s="1"/>
  <c r="B4074" i="7"/>
  <c r="M4073" i="7"/>
  <c r="J4073" i="7"/>
  <c r="K4073" i="7" s="1"/>
  <c r="L4073" i="7" s="1"/>
  <c r="G4073" i="7"/>
  <c r="H4073" i="7" s="1"/>
  <c r="B4073" i="7"/>
  <c r="M4072" i="7"/>
  <c r="J4072" i="7"/>
  <c r="K4072" i="7" s="1"/>
  <c r="L4072" i="7" s="1"/>
  <c r="G4072" i="7"/>
  <c r="H4072" i="7" s="1"/>
  <c r="B4072" i="7"/>
  <c r="M4071" i="7"/>
  <c r="J4071" i="7"/>
  <c r="K4071" i="7" s="1"/>
  <c r="L4071" i="7" s="1"/>
  <c r="G4071" i="7"/>
  <c r="H4071" i="7" s="1"/>
  <c r="B4071" i="7"/>
  <c r="M4070" i="7"/>
  <c r="J4070" i="7"/>
  <c r="K4070" i="7" s="1"/>
  <c r="L4070" i="7" s="1"/>
  <c r="G4070" i="7"/>
  <c r="H4070" i="7" s="1"/>
  <c r="B4070" i="7"/>
  <c r="M4069" i="7"/>
  <c r="J4069" i="7"/>
  <c r="K4069" i="7" s="1"/>
  <c r="L4069" i="7" s="1"/>
  <c r="G4069" i="7"/>
  <c r="H4069" i="7" s="1"/>
  <c r="B4069" i="7"/>
  <c r="M4068" i="7"/>
  <c r="J4068" i="7"/>
  <c r="K4068" i="7" s="1"/>
  <c r="L4068" i="7" s="1"/>
  <c r="G4068" i="7"/>
  <c r="H4068" i="7" s="1"/>
  <c r="B4068" i="7"/>
  <c r="M4067" i="7"/>
  <c r="J4067" i="7"/>
  <c r="K4067" i="7" s="1"/>
  <c r="L4067" i="7" s="1"/>
  <c r="G4067" i="7"/>
  <c r="H4067" i="7" s="1"/>
  <c r="B4067" i="7"/>
  <c r="M4066" i="7"/>
  <c r="J4066" i="7"/>
  <c r="K4066" i="7" s="1"/>
  <c r="L4066" i="7" s="1"/>
  <c r="G4066" i="7"/>
  <c r="H4066" i="7" s="1"/>
  <c r="B4066" i="7"/>
  <c r="M4065" i="7"/>
  <c r="J4065" i="7"/>
  <c r="K4065" i="7" s="1"/>
  <c r="L4065" i="7" s="1"/>
  <c r="G4065" i="7"/>
  <c r="H4065" i="7" s="1"/>
  <c r="B4065" i="7"/>
  <c r="M4064" i="7"/>
  <c r="J4064" i="7"/>
  <c r="K4064" i="7" s="1"/>
  <c r="L4064" i="7" s="1"/>
  <c r="G4064" i="7"/>
  <c r="H4064" i="7" s="1"/>
  <c r="B4064" i="7"/>
  <c r="M4063" i="7"/>
  <c r="J4063" i="7"/>
  <c r="K4063" i="7" s="1"/>
  <c r="L4063" i="7" s="1"/>
  <c r="G4063" i="7"/>
  <c r="H4063" i="7" s="1"/>
  <c r="B4063" i="7"/>
  <c r="M4062" i="7"/>
  <c r="J4062" i="7"/>
  <c r="K4062" i="7" s="1"/>
  <c r="L4062" i="7" s="1"/>
  <c r="G4062" i="7"/>
  <c r="H4062" i="7" s="1"/>
  <c r="B4062" i="7"/>
  <c r="M4061" i="7"/>
  <c r="J4061" i="7"/>
  <c r="K4061" i="7" s="1"/>
  <c r="L4061" i="7" s="1"/>
  <c r="G4061" i="7"/>
  <c r="H4061" i="7" s="1"/>
  <c r="B4061" i="7"/>
  <c r="M4060" i="7"/>
  <c r="J4060" i="7"/>
  <c r="K4060" i="7" s="1"/>
  <c r="L4060" i="7" s="1"/>
  <c r="G4060" i="7"/>
  <c r="H4060" i="7" s="1"/>
  <c r="B4060" i="7"/>
  <c r="M4059" i="7"/>
  <c r="J4059" i="7"/>
  <c r="K4059" i="7" s="1"/>
  <c r="L4059" i="7" s="1"/>
  <c r="G4059" i="7"/>
  <c r="H4059" i="7" s="1"/>
  <c r="B4059" i="7"/>
  <c r="M4058" i="7"/>
  <c r="J4058" i="7"/>
  <c r="K4058" i="7" s="1"/>
  <c r="L4058" i="7" s="1"/>
  <c r="G4058" i="7"/>
  <c r="H4058" i="7" s="1"/>
  <c r="B4058" i="7"/>
  <c r="M4057" i="7"/>
  <c r="J4057" i="7"/>
  <c r="K4057" i="7" s="1"/>
  <c r="L4057" i="7" s="1"/>
  <c r="G4057" i="7"/>
  <c r="H4057" i="7" s="1"/>
  <c r="B4057" i="7"/>
  <c r="M4056" i="7"/>
  <c r="J4056" i="7"/>
  <c r="K4056" i="7" s="1"/>
  <c r="L4056" i="7" s="1"/>
  <c r="G4056" i="7"/>
  <c r="H4056" i="7" s="1"/>
  <c r="B4056" i="7"/>
  <c r="M4055" i="7"/>
  <c r="J4055" i="7"/>
  <c r="K4055" i="7" s="1"/>
  <c r="L4055" i="7" s="1"/>
  <c r="G4055" i="7"/>
  <c r="H4055" i="7" s="1"/>
  <c r="B4055" i="7"/>
  <c r="M4054" i="7"/>
  <c r="J4054" i="7"/>
  <c r="K4054" i="7" s="1"/>
  <c r="L4054" i="7" s="1"/>
  <c r="G4054" i="7"/>
  <c r="H4054" i="7" s="1"/>
  <c r="B4054" i="7"/>
  <c r="M4053" i="7"/>
  <c r="J4053" i="7"/>
  <c r="K4053" i="7" s="1"/>
  <c r="L4053" i="7" s="1"/>
  <c r="G4053" i="7"/>
  <c r="H4053" i="7" s="1"/>
  <c r="B4053" i="7"/>
  <c r="M4052" i="7"/>
  <c r="J4052" i="7"/>
  <c r="K4052" i="7" s="1"/>
  <c r="L4052" i="7" s="1"/>
  <c r="G4052" i="7"/>
  <c r="H4052" i="7" s="1"/>
  <c r="B4052" i="7"/>
  <c r="M4051" i="7"/>
  <c r="J4051" i="7"/>
  <c r="K4051" i="7" s="1"/>
  <c r="L4051" i="7" s="1"/>
  <c r="G4051" i="7"/>
  <c r="H4051" i="7" s="1"/>
  <c r="B4051" i="7"/>
  <c r="M4050" i="7"/>
  <c r="J4050" i="7"/>
  <c r="K4050" i="7" s="1"/>
  <c r="L4050" i="7" s="1"/>
  <c r="G4050" i="7"/>
  <c r="H4050" i="7" s="1"/>
  <c r="B4050" i="7"/>
  <c r="M4049" i="7"/>
  <c r="J4049" i="7"/>
  <c r="K4049" i="7" s="1"/>
  <c r="L4049" i="7" s="1"/>
  <c r="G4049" i="7"/>
  <c r="H4049" i="7" s="1"/>
  <c r="B4049" i="7"/>
  <c r="M4048" i="7"/>
  <c r="J4048" i="7"/>
  <c r="K4048" i="7" s="1"/>
  <c r="L4048" i="7" s="1"/>
  <c r="G4048" i="7"/>
  <c r="H4048" i="7" s="1"/>
  <c r="B4048" i="7"/>
  <c r="M4047" i="7"/>
  <c r="J4047" i="7"/>
  <c r="K4047" i="7" s="1"/>
  <c r="L4047" i="7" s="1"/>
  <c r="G4047" i="7"/>
  <c r="H4047" i="7" s="1"/>
  <c r="B4047" i="7"/>
  <c r="M4046" i="7"/>
  <c r="J4046" i="7"/>
  <c r="K4046" i="7" s="1"/>
  <c r="L4046" i="7" s="1"/>
  <c r="G4046" i="7"/>
  <c r="H4046" i="7" s="1"/>
  <c r="B4046" i="7"/>
  <c r="M4045" i="7"/>
  <c r="J4045" i="7"/>
  <c r="K4045" i="7" s="1"/>
  <c r="L4045" i="7" s="1"/>
  <c r="G4045" i="7"/>
  <c r="H4045" i="7" s="1"/>
  <c r="B4045" i="7"/>
  <c r="M4044" i="7"/>
  <c r="J4044" i="7"/>
  <c r="K4044" i="7" s="1"/>
  <c r="L4044" i="7" s="1"/>
  <c r="G4044" i="7"/>
  <c r="H4044" i="7" s="1"/>
  <c r="B4044" i="7"/>
  <c r="M4043" i="7"/>
  <c r="J4043" i="7"/>
  <c r="K4043" i="7" s="1"/>
  <c r="L4043" i="7" s="1"/>
  <c r="G4043" i="7"/>
  <c r="H4043" i="7" s="1"/>
  <c r="B4043" i="7"/>
  <c r="M4042" i="7"/>
  <c r="J4042" i="7"/>
  <c r="K4042" i="7" s="1"/>
  <c r="L4042" i="7" s="1"/>
  <c r="G4042" i="7"/>
  <c r="H4042" i="7" s="1"/>
  <c r="B4042" i="7"/>
  <c r="M4041" i="7"/>
  <c r="J4041" i="7"/>
  <c r="K4041" i="7" s="1"/>
  <c r="L4041" i="7" s="1"/>
  <c r="G4041" i="7"/>
  <c r="H4041" i="7" s="1"/>
  <c r="B4041" i="7"/>
  <c r="M4040" i="7"/>
  <c r="J4040" i="7"/>
  <c r="K4040" i="7" s="1"/>
  <c r="L4040" i="7" s="1"/>
  <c r="G4040" i="7"/>
  <c r="H4040" i="7" s="1"/>
  <c r="B4040" i="7"/>
  <c r="M4039" i="7"/>
  <c r="J4039" i="7"/>
  <c r="K4039" i="7" s="1"/>
  <c r="L4039" i="7" s="1"/>
  <c r="G4039" i="7"/>
  <c r="H4039" i="7" s="1"/>
  <c r="B4039" i="7"/>
  <c r="M4038" i="7"/>
  <c r="J4038" i="7"/>
  <c r="K4038" i="7" s="1"/>
  <c r="L4038" i="7" s="1"/>
  <c r="G4038" i="7"/>
  <c r="H4038" i="7" s="1"/>
  <c r="B4038" i="7"/>
  <c r="M4037" i="7"/>
  <c r="J4037" i="7"/>
  <c r="K4037" i="7" s="1"/>
  <c r="L4037" i="7" s="1"/>
  <c r="G4037" i="7"/>
  <c r="H4037" i="7" s="1"/>
  <c r="B4037" i="7"/>
  <c r="M4036" i="7"/>
  <c r="J4036" i="7"/>
  <c r="K4036" i="7" s="1"/>
  <c r="L4036" i="7" s="1"/>
  <c r="G4036" i="7"/>
  <c r="H4036" i="7" s="1"/>
  <c r="B4036" i="7"/>
  <c r="M4035" i="7"/>
  <c r="J4035" i="7"/>
  <c r="K4035" i="7" s="1"/>
  <c r="L4035" i="7" s="1"/>
  <c r="G4035" i="7"/>
  <c r="H4035" i="7" s="1"/>
  <c r="B4035" i="7"/>
  <c r="M4034" i="7"/>
  <c r="J4034" i="7"/>
  <c r="K4034" i="7" s="1"/>
  <c r="L4034" i="7" s="1"/>
  <c r="G4034" i="7"/>
  <c r="H4034" i="7" s="1"/>
  <c r="B4034" i="7"/>
  <c r="M4033" i="7"/>
  <c r="J4033" i="7"/>
  <c r="K4033" i="7" s="1"/>
  <c r="L4033" i="7" s="1"/>
  <c r="G4033" i="7"/>
  <c r="H4033" i="7" s="1"/>
  <c r="B4033" i="7"/>
  <c r="M4032" i="7"/>
  <c r="J4032" i="7"/>
  <c r="K4032" i="7" s="1"/>
  <c r="L4032" i="7" s="1"/>
  <c r="G4032" i="7"/>
  <c r="H4032" i="7" s="1"/>
  <c r="B4032" i="7"/>
  <c r="M4031" i="7"/>
  <c r="J4031" i="7"/>
  <c r="K4031" i="7" s="1"/>
  <c r="L4031" i="7" s="1"/>
  <c r="G4031" i="7"/>
  <c r="H4031" i="7" s="1"/>
  <c r="B4031" i="7"/>
  <c r="M4030" i="7"/>
  <c r="J4030" i="7"/>
  <c r="K4030" i="7" s="1"/>
  <c r="L4030" i="7" s="1"/>
  <c r="G4030" i="7"/>
  <c r="H4030" i="7" s="1"/>
  <c r="B4030" i="7"/>
  <c r="M4029" i="7"/>
  <c r="J4029" i="7"/>
  <c r="K4029" i="7" s="1"/>
  <c r="L4029" i="7" s="1"/>
  <c r="G4029" i="7"/>
  <c r="H4029" i="7" s="1"/>
  <c r="B4029" i="7"/>
  <c r="M4028" i="7"/>
  <c r="J4028" i="7"/>
  <c r="K4028" i="7" s="1"/>
  <c r="L4028" i="7" s="1"/>
  <c r="G4028" i="7"/>
  <c r="H4028" i="7" s="1"/>
  <c r="B4028" i="7"/>
  <c r="M4027" i="7"/>
  <c r="J4027" i="7"/>
  <c r="K4027" i="7" s="1"/>
  <c r="L4027" i="7" s="1"/>
  <c r="G4027" i="7"/>
  <c r="H4027" i="7" s="1"/>
  <c r="B4027" i="7"/>
  <c r="M4026" i="7"/>
  <c r="J4026" i="7"/>
  <c r="K4026" i="7" s="1"/>
  <c r="L4026" i="7" s="1"/>
  <c r="G4026" i="7"/>
  <c r="H4026" i="7" s="1"/>
  <c r="B4026" i="7"/>
  <c r="M4025" i="7"/>
  <c r="J4025" i="7"/>
  <c r="K4025" i="7" s="1"/>
  <c r="L4025" i="7" s="1"/>
  <c r="G4025" i="7"/>
  <c r="H4025" i="7" s="1"/>
  <c r="B4025" i="7"/>
  <c r="M4024" i="7"/>
  <c r="J4024" i="7"/>
  <c r="K4024" i="7" s="1"/>
  <c r="L4024" i="7" s="1"/>
  <c r="G4024" i="7"/>
  <c r="H4024" i="7" s="1"/>
  <c r="B4024" i="7"/>
  <c r="M4023" i="7"/>
  <c r="J4023" i="7"/>
  <c r="K4023" i="7" s="1"/>
  <c r="L4023" i="7" s="1"/>
  <c r="G4023" i="7"/>
  <c r="H4023" i="7" s="1"/>
  <c r="B4023" i="7"/>
  <c r="M4022" i="7"/>
  <c r="J4022" i="7"/>
  <c r="K4022" i="7" s="1"/>
  <c r="L4022" i="7" s="1"/>
  <c r="G4022" i="7"/>
  <c r="H4022" i="7" s="1"/>
  <c r="B4022" i="7"/>
  <c r="M4021" i="7"/>
  <c r="J4021" i="7"/>
  <c r="K4021" i="7" s="1"/>
  <c r="L4021" i="7" s="1"/>
  <c r="G4021" i="7"/>
  <c r="H4021" i="7" s="1"/>
  <c r="B4021" i="7"/>
  <c r="M4020" i="7"/>
  <c r="J4020" i="7"/>
  <c r="K4020" i="7" s="1"/>
  <c r="L4020" i="7" s="1"/>
  <c r="G4020" i="7"/>
  <c r="H4020" i="7" s="1"/>
  <c r="B4020" i="7"/>
  <c r="M4019" i="7"/>
  <c r="J4019" i="7"/>
  <c r="K4019" i="7" s="1"/>
  <c r="L4019" i="7" s="1"/>
  <c r="G4019" i="7"/>
  <c r="H4019" i="7" s="1"/>
  <c r="B4019" i="7"/>
  <c r="M4018" i="7"/>
  <c r="J4018" i="7"/>
  <c r="K4018" i="7" s="1"/>
  <c r="L4018" i="7" s="1"/>
  <c r="G4018" i="7"/>
  <c r="H4018" i="7" s="1"/>
  <c r="B4018" i="7"/>
  <c r="M4017" i="7"/>
  <c r="J4017" i="7"/>
  <c r="K4017" i="7" s="1"/>
  <c r="L4017" i="7" s="1"/>
  <c r="G4017" i="7"/>
  <c r="H4017" i="7" s="1"/>
  <c r="B4017" i="7"/>
  <c r="M4016" i="7"/>
  <c r="J4016" i="7"/>
  <c r="K4016" i="7" s="1"/>
  <c r="L4016" i="7" s="1"/>
  <c r="G4016" i="7"/>
  <c r="H4016" i="7" s="1"/>
  <c r="B4016" i="7"/>
  <c r="M4015" i="7"/>
  <c r="J4015" i="7"/>
  <c r="K4015" i="7" s="1"/>
  <c r="L4015" i="7" s="1"/>
  <c r="G4015" i="7"/>
  <c r="H4015" i="7" s="1"/>
  <c r="B4015" i="7"/>
  <c r="M4014" i="7"/>
  <c r="J4014" i="7"/>
  <c r="K4014" i="7" s="1"/>
  <c r="L4014" i="7" s="1"/>
  <c r="G4014" i="7"/>
  <c r="H4014" i="7" s="1"/>
  <c r="B4014" i="7"/>
  <c r="M4013" i="7"/>
  <c r="J4013" i="7"/>
  <c r="K4013" i="7" s="1"/>
  <c r="L4013" i="7" s="1"/>
  <c r="G4013" i="7"/>
  <c r="H4013" i="7" s="1"/>
  <c r="B4013" i="7"/>
  <c r="M4012" i="7"/>
  <c r="J4012" i="7"/>
  <c r="K4012" i="7" s="1"/>
  <c r="L4012" i="7" s="1"/>
  <c r="G4012" i="7"/>
  <c r="H4012" i="7" s="1"/>
  <c r="B4012" i="7"/>
  <c r="M4011" i="7"/>
  <c r="J4011" i="7"/>
  <c r="K4011" i="7" s="1"/>
  <c r="L4011" i="7" s="1"/>
  <c r="G4011" i="7"/>
  <c r="H4011" i="7" s="1"/>
  <c r="B4011" i="7"/>
  <c r="M4010" i="7"/>
  <c r="J4010" i="7"/>
  <c r="K4010" i="7" s="1"/>
  <c r="L4010" i="7" s="1"/>
  <c r="G4010" i="7"/>
  <c r="H4010" i="7" s="1"/>
  <c r="B4010" i="7"/>
  <c r="M4009" i="7"/>
  <c r="J4009" i="7"/>
  <c r="K4009" i="7" s="1"/>
  <c r="L4009" i="7" s="1"/>
  <c r="G4009" i="7"/>
  <c r="H4009" i="7" s="1"/>
  <c r="B4009" i="7"/>
  <c r="M4008" i="7"/>
  <c r="J4008" i="7"/>
  <c r="K4008" i="7" s="1"/>
  <c r="L4008" i="7" s="1"/>
  <c r="G4008" i="7"/>
  <c r="H4008" i="7" s="1"/>
  <c r="B4008" i="7"/>
  <c r="M4007" i="7"/>
  <c r="J4007" i="7"/>
  <c r="K4007" i="7" s="1"/>
  <c r="L4007" i="7" s="1"/>
  <c r="G4007" i="7"/>
  <c r="H4007" i="7" s="1"/>
  <c r="B4007" i="7"/>
  <c r="M4006" i="7"/>
  <c r="J4006" i="7"/>
  <c r="K4006" i="7" s="1"/>
  <c r="L4006" i="7" s="1"/>
  <c r="G4006" i="7"/>
  <c r="H4006" i="7" s="1"/>
  <c r="B4006" i="7"/>
  <c r="M4005" i="7"/>
  <c r="J4005" i="7"/>
  <c r="K4005" i="7" s="1"/>
  <c r="L4005" i="7" s="1"/>
  <c r="G4005" i="7"/>
  <c r="H4005" i="7" s="1"/>
  <c r="B4005" i="7"/>
  <c r="M4004" i="7"/>
  <c r="J4004" i="7"/>
  <c r="K4004" i="7" s="1"/>
  <c r="L4004" i="7" s="1"/>
  <c r="G4004" i="7"/>
  <c r="H4004" i="7" s="1"/>
  <c r="B4004" i="7"/>
  <c r="M4003" i="7"/>
  <c r="J4003" i="7"/>
  <c r="K4003" i="7" s="1"/>
  <c r="L4003" i="7" s="1"/>
  <c r="G4003" i="7"/>
  <c r="H4003" i="7" s="1"/>
  <c r="B4003" i="7"/>
  <c r="M4002" i="7"/>
  <c r="J4002" i="7"/>
  <c r="K4002" i="7" s="1"/>
  <c r="L4002" i="7" s="1"/>
  <c r="G4002" i="7"/>
  <c r="H4002" i="7" s="1"/>
  <c r="B4002" i="7"/>
  <c r="M4001" i="7"/>
  <c r="J4001" i="7"/>
  <c r="K4001" i="7" s="1"/>
  <c r="L4001" i="7" s="1"/>
  <c r="G4001" i="7"/>
  <c r="H4001" i="7" s="1"/>
  <c r="B4001" i="7"/>
  <c r="M4000" i="7"/>
  <c r="J4000" i="7"/>
  <c r="K4000" i="7" s="1"/>
  <c r="L4000" i="7" s="1"/>
  <c r="G4000" i="7"/>
  <c r="H4000" i="7" s="1"/>
  <c r="B4000" i="7"/>
  <c r="M3999" i="7"/>
  <c r="J3999" i="7"/>
  <c r="K3999" i="7" s="1"/>
  <c r="L3999" i="7" s="1"/>
  <c r="G3999" i="7"/>
  <c r="H3999" i="7" s="1"/>
  <c r="B3999" i="7"/>
  <c r="M3998" i="7"/>
  <c r="J3998" i="7"/>
  <c r="K3998" i="7" s="1"/>
  <c r="L3998" i="7" s="1"/>
  <c r="G3998" i="7"/>
  <c r="H3998" i="7" s="1"/>
  <c r="B3998" i="7"/>
  <c r="M3997" i="7"/>
  <c r="J3997" i="7"/>
  <c r="K3997" i="7" s="1"/>
  <c r="L3997" i="7" s="1"/>
  <c r="G3997" i="7"/>
  <c r="H3997" i="7" s="1"/>
  <c r="B3997" i="7"/>
  <c r="M3996" i="7"/>
  <c r="J3996" i="7"/>
  <c r="K3996" i="7" s="1"/>
  <c r="L3996" i="7" s="1"/>
  <c r="G3996" i="7"/>
  <c r="H3996" i="7" s="1"/>
  <c r="B3996" i="7"/>
  <c r="M3995" i="7"/>
  <c r="J3995" i="7"/>
  <c r="K3995" i="7" s="1"/>
  <c r="L3995" i="7" s="1"/>
  <c r="G3995" i="7"/>
  <c r="H3995" i="7" s="1"/>
  <c r="B3995" i="7"/>
  <c r="M3994" i="7"/>
  <c r="J3994" i="7"/>
  <c r="K3994" i="7" s="1"/>
  <c r="L3994" i="7" s="1"/>
  <c r="G3994" i="7"/>
  <c r="H3994" i="7" s="1"/>
  <c r="B3994" i="7"/>
  <c r="M3993" i="7"/>
  <c r="J3993" i="7"/>
  <c r="K3993" i="7" s="1"/>
  <c r="L3993" i="7" s="1"/>
  <c r="G3993" i="7"/>
  <c r="H3993" i="7" s="1"/>
  <c r="B3993" i="7"/>
  <c r="M3992" i="7"/>
  <c r="J3992" i="7"/>
  <c r="K3992" i="7" s="1"/>
  <c r="L3992" i="7" s="1"/>
  <c r="G3992" i="7"/>
  <c r="H3992" i="7" s="1"/>
  <c r="B3992" i="7"/>
  <c r="M3991" i="7"/>
  <c r="J3991" i="7"/>
  <c r="K3991" i="7" s="1"/>
  <c r="L3991" i="7" s="1"/>
  <c r="G3991" i="7"/>
  <c r="H3991" i="7" s="1"/>
  <c r="B3991" i="7"/>
  <c r="M3990" i="7"/>
  <c r="J3990" i="7"/>
  <c r="K3990" i="7" s="1"/>
  <c r="L3990" i="7" s="1"/>
  <c r="G3990" i="7"/>
  <c r="H3990" i="7" s="1"/>
  <c r="B3990" i="7"/>
  <c r="M3989" i="7"/>
  <c r="J3989" i="7"/>
  <c r="K3989" i="7" s="1"/>
  <c r="L3989" i="7" s="1"/>
  <c r="G3989" i="7"/>
  <c r="H3989" i="7" s="1"/>
  <c r="B3989" i="7"/>
  <c r="M3988" i="7"/>
  <c r="J3988" i="7"/>
  <c r="K3988" i="7" s="1"/>
  <c r="L3988" i="7" s="1"/>
  <c r="G3988" i="7"/>
  <c r="H3988" i="7" s="1"/>
  <c r="B3988" i="7"/>
  <c r="M3987" i="7"/>
  <c r="J3987" i="7"/>
  <c r="K3987" i="7" s="1"/>
  <c r="L3987" i="7" s="1"/>
  <c r="G3987" i="7"/>
  <c r="H3987" i="7" s="1"/>
  <c r="B3987" i="7"/>
  <c r="M3986" i="7"/>
  <c r="J3986" i="7"/>
  <c r="K3986" i="7" s="1"/>
  <c r="L3986" i="7" s="1"/>
  <c r="G3986" i="7"/>
  <c r="H3986" i="7" s="1"/>
  <c r="B3986" i="7"/>
  <c r="M3985" i="7"/>
  <c r="J3985" i="7"/>
  <c r="K3985" i="7" s="1"/>
  <c r="L3985" i="7" s="1"/>
  <c r="G3985" i="7"/>
  <c r="H3985" i="7" s="1"/>
  <c r="B3985" i="7"/>
  <c r="M3984" i="7"/>
  <c r="J3984" i="7"/>
  <c r="K3984" i="7" s="1"/>
  <c r="L3984" i="7" s="1"/>
  <c r="G3984" i="7"/>
  <c r="H3984" i="7" s="1"/>
  <c r="B3984" i="7"/>
  <c r="M3983" i="7"/>
  <c r="J3983" i="7"/>
  <c r="K3983" i="7" s="1"/>
  <c r="L3983" i="7" s="1"/>
  <c r="G3983" i="7"/>
  <c r="H3983" i="7" s="1"/>
  <c r="B3983" i="7"/>
  <c r="M3982" i="7"/>
  <c r="J3982" i="7"/>
  <c r="K3982" i="7" s="1"/>
  <c r="L3982" i="7" s="1"/>
  <c r="G3982" i="7"/>
  <c r="H3982" i="7" s="1"/>
  <c r="B3982" i="7"/>
  <c r="M3981" i="7"/>
  <c r="J3981" i="7"/>
  <c r="K3981" i="7" s="1"/>
  <c r="L3981" i="7" s="1"/>
  <c r="G3981" i="7"/>
  <c r="H3981" i="7" s="1"/>
  <c r="B3981" i="7"/>
  <c r="M3980" i="7"/>
  <c r="J3980" i="7"/>
  <c r="K3980" i="7" s="1"/>
  <c r="L3980" i="7" s="1"/>
  <c r="G3980" i="7"/>
  <c r="H3980" i="7" s="1"/>
  <c r="B3980" i="7"/>
  <c r="M3979" i="7"/>
  <c r="J3979" i="7"/>
  <c r="K3979" i="7" s="1"/>
  <c r="L3979" i="7" s="1"/>
  <c r="G3979" i="7"/>
  <c r="H3979" i="7" s="1"/>
  <c r="B3979" i="7"/>
  <c r="M3978" i="7"/>
  <c r="J3978" i="7"/>
  <c r="K3978" i="7" s="1"/>
  <c r="L3978" i="7" s="1"/>
  <c r="G3978" i="7"/>
  <c r="H3978" i="7" s="1"/>
  <c r="B3978" i="7"/>
  <c r="M3977" i="7"/>
  <c r="J3977" i="7"/>
  <c r="K3977" i="7" s="1"/>
  <c r="L3977" i="7" s="1"/>
  <c r="G3977" i="7"/>
  <c r="H3977" i="7" s="1"/>
  <c r="B3977" i="7"/>
  <c r="M3976" i="7"/>
  <c r="J3976" i="7"/>
  <c r="K3976" i="7" s="1"/>
  <c r="L3976" i="7" s="1"/>
  <c r="G3976" i="7"/>
  <c r="H3976" i="7" s="1"/>
  <c r="B3976" i="7"/>
  <c r="M3975" i="7"/>
  <c r="J3975" i="7"/>
  <c r="K3975" i="7" s="1"/>
  <c r="L3975" i="7" s="1"/>
  <c r="G3975" i="7"/>
  <c r="H3975" i="7" s="1"/>
  <c r="B3975" i="7"/>
  <c r="M3974" i="7"/>
  <c r="J3974" i="7"/>
  <c r="K3974" i="7" s="1"/>
  <c r="L3974" i="7" s="1"/>
  <c r="G3974" i="7"/>
  <c r="H3974" i="7" s="1"/>
  <c r="B3974" i="7"/>
  <c r="M3973" i="7"/>
  <c r="J3973" i="7"/>
  <c r="K3973" i="7" s="1"/>
  <c r="L3973" i="7" s="1"/>
  <c r="G3973" i="7"/>
  <c r="H3973" i="7" s="1"/>
  <c r="B3973" i="7"/>
  <c r="M3972" i="7"/>
  <c r="J3972" i="7"/>
  <c r="K3972" i="7" s="1"/>
  <c r="L3972" i="7" s="1"/>
  <c r="G3972" i="7"/>
  <c r="H3972" i="7" s="1"/>
  <c r="B3972" i="7"/>
  <c r="M3971" i="7"/>
  <c r="J3971" i="7"/>
  <c r="K3971" i="7" s="1"/>
  <c r="L3971" i="7" s="1"/>
  <c r="G3971" i="7"/>
  <c r="H3971" i="7" s="1"/>
  <c r="B3971" i="7"/>
  <c r="M3970" i="7"/>
  <c r="J3970" i="7"/>
  <c r="K3970" i="7" s="1"/>
  <c r="L3970" i="7" s="1"/>
  <c r="G3970" i="7"/>
  <c r="H3970" i="7" s="1"/>
  <c r="B3970" i="7"/>
  <c r="M3969" i="7"/>
  <c r="J3969" i="7"/>
  <c r="K3969" i="7" s="1"/>
  <c r="L3969" i="7" s="1"/>
  <c r="G3969" i="7"/>
  <c r="H3969" i="7" s="1"/>
  <c r="B3969" i="7"/>
  <c r="M3968" i="7"/>
  <c r="J3968" i="7"/>
  <c r="K3968" i="7" s="1"/>
  <c r="L3968" i="7" s="1"/>
  <c r="G3968" i="7"/>
  <c r="H3968" i="7" s="1"/>
  <c r="B3968" i="7"/>
  <c r="M3967" i="7"/>
  <c r="J3967" i="7"/>
  <c r="K3967" i="7" s="1"/>
  <c r="L3967" i="7" s="1"/>
  <c r="G3967" i="7"/>
  <c r="H3967" i="7" s="1"/>
  <c r="B3967" i="7"/>
  <c r="M3966" i="7"/>
  <c r="J3966" i="7"/>
  <c r="K3966" i="7" s="1"/>
  <c r="L3966" i="7" s="1"/>
  <c r="G3966" i="7"/>
  <c r="H3966" i="7" s="1"/>
  <c r="B3966" i="7"/>
  <c r="M3965" i="7"/>
  <c r="J3965" i="7"/>
  <c r="K3965" i="7" s="1"/>
  <c r="L3965" i="7" s="1"/>
  <c r="G3965" i="7"/>
  <c r="H3965" i="7" s="1"/>
  <c r="B3965" i="7"/>
  <c r="M3964" i="7"/>
  <c r="J3964" i="7"/>
  <c r="K3964" i="7" s="1"/>
  <c r="L3964" i="7" s="1"/>
  <c r="G3964" i="7"/>
  <c r="H3964" i="7" s="1"/>
  <c r="B3964" i="7"/>
  <c r="M3963" i="7"/>
  <c r="J3963" i="7"/>
  <c r="K3963" i="7" s="1"/>
  <c r="L3963" i="7" s="1"/>
  <c r="G3963" i="7"/>
  <c r="H3963" i="7" s="1"/>
  <c r="B3963" i="7"/>
  <c r="M3962" i="7"/>
  <c r="J3962" i="7"/>
  <c r="K3962" i="7" s="1"/>
  <c r="L3962" i="7" s="1"/>
  <c r="G3962" i="7"/>
  <c r="H3962" i="7" s="1"/>
  <c r="B3962" i="7"/>
  <c r="M3961" i="7"/>
  <c r="J3961" i="7"/>
  <c r="K3961" i="7" s="1"/>
  <c r="L3961" i="7" s="1"/>
  <c r="G3961" i="7"/>
  <c r="H3961" i="7" s="1"/>
  <c r="B3961" i="7"/>
  <c r="M3960" i="7"/>
  <c r="J3960" i="7"/>
  <c r="K3960" i="7" s="1"/>
  <c r="L3960" i="7" s="1"/>
  <c r="G3960" i="7"/>
  <c r="H3960" i="7" s="1"/>
  <c r="B3960" i="7"/>
  <c r="M3959" i="7"/>
  <c r="J3959" i="7"/>
  <c r="K3959" i="7" s="1"/>
  <c r="L3959" i="7" s="1"/>
  <c r="G3959" i="7"/>
  <c r="H3959" i="7" s="1"/>
  <c r="B3959" i="7"/>
  <c r="M3958" i="7"/>
  <c r="J3958" i="7"/>
  <c r="K3958" i="7" s="1"/>
  <c r="L3958" i="7" s="1"/>
  <c r="G3958" i="7"/>
  <c r="H3958" i="7" s="1"/>
  <c r="B3958" i="7"/>
  <c r="M3957" i="7"/>
  <c r="J3957" i="7"/>
  <c r="K3957" i="7" s="1"/>
  <c r="L3957" i="7" s="1"/>
  <c r="G3957" i="7"/>
  <c r="H3957" i="7" s="1"/>
  <c r="B3957" i="7"/>
  <c r="M3956" i="7"/>
  <c r="J3956" i="7"/>
  <c r="K3956" i="7" s="1"/>
  <c r="L3956" i="7" s="1"/>
  <c r="G3956" i="7"/>
  <c r="H3956" i="7" s="1"/>
  <c r="B3956" i="7"/>
  <c r="M3955" i="7"/>
  <c r="J3955" i="7"/>
  <c r="K3955" i="7" s="1"/>
  <c r="L3955" i="7" s="1"/>
  <c r="G3955" i="7"/>
  <c r="H3955" i="7" s="1"/>
  <c r="B3955" i="7"/>
  <c r="M3954" i="7"/>
  <c r="J3954" i="7"/>
  <c r="K3954" i="7" s="1"/>
  <c r="L3954" i="7" s="1"/>
  <c r="G3954" i="7"/>
  <c r="H3954" i="7" s="1"/>
  <c r="B3954" i="7"/>
  <c r="M3953" i="7"/>
  <c r="J3953" i="7"/>
  <c r="K3953" i="7" s="1"/>
  <c r="L3953" i="7" s="1"/>
  <c r="G3953" i="7"/>
  <c r="H3953" i="7" s="1"/>
  <c r="B3953" i="7"/>
  <c r="M3952" i="7"/>
  <c r="J3952" i="7"/>
  <c r="K3952" i="7" s="1"/>
  <c r="L3952" i="7" s="1"/>
  <c r="G3952" i="7"/>
  <c r="H3952" i="7" s="1"/>
  <c r="B3952" i="7"/>
  <c r="M3951" i="7"/>
  <c r="J3951" i="7"/>
  <c r="K3951" i="7" s="1"/>
  <c r="L3951" i="7" s="1"/>
  <c r="G3951" i="7"/>
  <c r="H3951" i="7" s="1"/>
  <c r="B3951" i="7"/>
  <c r="M3950" i="7"/>
  <c r="J3950" i="7"/>
  <c r="K3950" i="7" s="1"/>
  <c r="L3950" i="7" s="1"/>
  <c r="G3950" i="7"/>
  <c r="H3950" i="7" s="1"/>
  <c r="B3950" i="7"/>
  <c r="M3949" i="7"/>
  <c r="J3949" i="7"/>
  <c r="K3949" i="7" s="1"/>
  <c r="L3949" i="7" s="1"/>
  <c r="G3949" i="7"/>
  <c r="H3949" i="7" s="1"/>
  <c r="B3949" i="7"/>
  <c r="M3948" i="7"/>
  <c r="J3948" i="7"/>
  <c r="K3948" i="7" s="1"/>
  <c r="L3948" i="7" s="1"/>
  <c r="G3948" i="7"/>
  <c r="H3948" i="7" s="1"/>
  <c r="B3948" i="7"/>
  <c r="M3947" i="7"/>
  <c r="J3947" i="7"/>
  <c r="K3947" i="7" s="1"/>
  <c r="L3947" i="7" s="1"/>
  <c r="G3947" i="7"/>
  <c r="H3947" i="7" s="1"/>
  <c r="B3947" i="7"/>
  <c r="M3946" i="7"/>
  <c r="J3946" i="7"/>
  <c r="K3946" i="7" s="1"/>
  <c r="L3946" i="7" s="1"/>
  <c r="G3946" i="7"/>
  <c r="H3946" i="7" s="1"/>
  <c r="B3946" i="7"/>
  <c r="M3945" i="7"/>
  <c r="J3945" i="7"/>
  <c r="K3945" i="7" s="1"/>
  <c r="L3945" i="7" s="1"/>
  <c r="G3945" i="7"/>
  <c r="H3945" i="7" s="1"/>
  <c r="B3945" i="7"/>
  <c r="M3944" i="7"/>
  <c r="J3944" i="7"/>
  <c r="K3944" i="7" s="1"/>
  <c r="L3944" i="7" s="1"/>
  <c r="G3944" i="7"/>
  <c r="H3944" i="7" s="1"/>
  <c r="B3944" i="7"/>
  <c r="M3943" i="7"/>
  <c r="J3943" i="7"/>
  <c r="K3943" i="7" s="1"/>
  <c r="L3943" i="7" s="1"/>
  <c r="G3943" i="7"/>
  <c r="H3943" i="7" s="1"/>
  <c r="B3943" i="7"/>
  <c r="M3942" i="7"/>
  <c r="J3942" i="7"/>
  <c r="K3942" i="7" s="1"/>
  <c r="L3942" i="7" s="1"/>
  <c r="G3942" i="7"/>
  <c r="H3942" i="7" s="1"/>
  <c r="B3942" i="7"/>
  <c r="M3941" i="7"/>
  <c r="J3941" i="7"/>
  <c r="K3941" i="7" s="1"/>
  <c r="L3941" i="7" s="1"/>
  <c r="G3941" i="7"/>
  <c r="H3941" i="7" s="1"/>
  <c r="B3941" i="7"/>
  <c r="M3940" i="7"/>
  <c r="J3940" i="7"/>
  <c r="K3940" i="7" s="1"/>
  <c r="L3940" i="7" s="1"/>
  <c r="G3940" i="7"/>
  <c r="H3940" i="7" s="1"/>
  <c r="B3940" i="7"/>
  <c r="M3939" i="7"/>
  <c r="J3939" i="7"/>
  <c r="K3939" i="7" s="1"/>
  <c r="L3939" i="7" s="1"/>
  <c r="G3939" i="7"/>
  <c r="H3939" i="7" s="1"/>
  <c r="B3939" i="7"/>
  <c r="M3938" i="7"/>
  <c r="J3938" i="7"/>
  <c r="K3938" i="7" s="1"/>
  <c r="L3938" i="7" s="1"/>
  <c r="G3938" i="7"/>
  <c r="H3938" i="7" s="1"/>
  <c r="B3938" i="7"/>
  <c r="M3937" i="7"/>
  <c r="J3937" i="7"/>
  <c r="K3937" i="7" s="1"/>
  <c r="L3937" i="7" s="1"/>
  <c r="G3937" i="7"/>
  <c r="H3937" i="7" s="1"/>
  <c r="B3937" i="7"/>
  <c r="M3936" i="7"/>
  <c r="J3936" i="7"/>
  <c r="K3936" i="7" s="1"/>
  <c r="L3936" i="7" s="1"/>
  <c r="G3936" i="7"/>
  <c r="H3936" i="7" s="1"/>
  <c r="B3936" i="7"/>
  <c r="M3935" i="7"/>
  <c r="J3935" i="7"/>
  <c r="K3935" i="7" s="1"/>
  <c r="L3935" i="7" s="1"/>
  <c r="G3935" i="7"/>
  <c r="H3935" i="7" s="1"/>
  <c r="B3935" i="7"/>
  <c r="M3934" i="7"/>
  <c r="J3934" i="7"/>
  <c r="K3934" i="7" s="1"/>
  <c r="L3934" i="7" s="1"/>
  <c r="G3934" i="7"/>
  <c r="H3934" i="7" s="1"/>
  <c r="B3934" i="7"/>
  <c r="M3933" i="7"/>
  <c r="J3933" i="7"/>
  <c r="K3933" i="7" s="1"/>
  <c r="L3933" i="7" s="1"/>
  <c r="G3933" i="7"/>
  <c r="H3933" i="7" s="1"/>
  <c r="B3933" i="7"/>
  <c r="M3932" i="7"/>
  <c r="J3932" i="7"/>
  <c r="K3932" i="7" s="1"/>
  <c r="L3932" i="7" s="1"/>
  <c r="G3932" i="7"/>
  <c r="H3932" i="7" s="1"/>
  <c r="B3932" i="7"/>
  <c r="M3931" i="7"/>
  <c r="J3931" i="7"/>
  <c r="K3931" i="7" s="1"/>
  <c r="L3931" i="7" s="1"/>
  <c r="G3931" i="7"/>
  <c r="H3931" i="7" s="1"/>
  <c r="B3931" i="7"/>
  <c r="M3930" i="7"/>
  <c r="J3930" i="7"/>
  <c r="K3930" i="7" s="1"/>
  <c r="L3930" i="7" s="1"/>
  <c r="G3930" i="7"/>
  <c r="H3930" i="7" s="1"/>
  <c r="B3930" i="7"/>
  <c r="M3929" i="7"/>
  <c r="J3929" i="7"/>
  <c r="K3929" i="7" s="1"/>
  <c r="L3929" i="7" s="1"/>
  <c r="G3929" i="7"/>
  <c r="H3929" i="7" s="1"/>
  <c r="B3929" i="7"/>
  <c r="M3928" i="7"/>
  <c r="J3928" i="7"/>
  <c r="K3928" i="7" s="1"/>
  <c r="L3928" i="7" s="1"/>
  <c r="G3928" i="7"/>
  <c r="H3928" i="7" s="1"/>
  <c r="B3928" i="7"/>
  <c r="M3927" i="7"/>
  <c r="J3927" i="7"/>
  <c r="K3927" i="7" s="1"/>
  <c r="L3927" i="7" s="1"/>
  <c r="G3927" i="7"/>
  <c r="H3927" i="7" s="1"/>
  <c r="B3927" i="7"/>
  <c r="M3926" i="7"/>
  <c r="J3926" i="7"/>
  <c r="K3926" i="7" s="1"/>
  <c r="L3926" i="7" s="1"/>
  <c r="G3926" i="7"/>
  <c r="H3926" i="7" s="1"/>
  <c r="B3926" i="7"/>
  <c r="M3925" i="7"/>
  <c r="J3925" i="7"/>
  <c r="K3925" i="7" s="1"/>
  <c r="L3925" i="7" s="1"/>
  <c r="G3925" i="7"/>
  <c r="H3925" i="7" s="1"/>
  <c r="B3925" i="7"/>
  <c r="M3924" i="7"/>
  <c r="J3924" i="7"/>
  <c r="K3924" i="7" s="1"/>
  <c r="L3924" i="7" s="1"/>
  <c r="G3924" i="7"/>
  <c r="H3924" i="7" s="1"/>
  <c r="B3924" i="7"/>
  <c r="M3923" i="7"/>
  <c r="J3923" i="7"/>
  <c r="K3923" i="7" s="1"/>
  <c r="L3923" i="7" s="1"/>
  <c r="G3923" i="7"/>
  <c r="H3923" i="7" s="1"/>
  <c r="B3923" i="7"/>
  <c r="M3922" i="7"/>
  <c r="J3922" i="7"/>
  <c r="K3922" i="7" s="1"/>
  <c r="L3922" i="7" s="1"/>
  <c r="G3922" i="7"/>
  <c r="H3922" i="7" s="1"/>
  <c r="B3922" i="7"/>
  <c r="M3921" i="7"/>
  <c r="J3921" i="7"/>
  <c r="K3921" i="7" s="1"/>
  <c r="L3921" i="7" s="1"/>
  <c r="G3921" i="7"/>
  <c r="H3921" i="7" s="1"/>
  <c r="B3921" i="7"/>
  <c r="M3920" i="7"/>
  <c r="J3920" i="7"/>
  <c r="K3920" i="7" s="1"/>
  <c r="L3920" i="7" s="1"/>
  <c r="G3920" i="7"/>
  <c r="H3920" i="7" s="1"/>
  <c r="B3920" i="7"/>
  <c r="M3919" i="7"/>
  <c r="J3919" i="7"/>
  <c r="K3919" i="7" s="1"/>
  <c r="L3919" i="7" s="1"/>
  <c r="G3919" i="7"/>
  <c r="H3919" i="7" s="1"/>
  <c r="B3919" i="7"/>
  <c r="M3918" i="7"/>
  <c r="J3918" i="7"/>
  <c r="K3918" i="7" s="1"/>
  <c r="L3918" i="7" s="1"/>
  <c r="G3918" i="7"/>
  <c r="H3918" i="7" s="1"/>
  <c r="B3918" i="7"/>
  <c r="M3917" i="7"/>
  <c r="J3917" i="7"/>
  <c r="K3917" i="7" s="1"/>
  <c r="L3917" i="7" s="1"/>
  <c r="G3917" i="7"/>
  <c r="H3917" i="7" s="1"/>
  <c r="B3917" i="7"/>
  <c r="M3916" i="7"/>
  <c r="J3916" i="7"/>
  <c r="K3916" i="7" s="1"/>
  <c r="L3916" i="7" s="1"/>
  <c r="G3916" i="7"/>
  <c r="H3916" i="7" s="1"/>
  <c r="B3916" i="7"/>
  <c r="M3915" i="7"/>
  <c r="J3915" i="7"/>
  <c r="K3915" i="7" s="1"/>
  <c r="L3915" i="7" s="1"/>
  <c r="G3915" i="7"/>
  <c r="H3915" i="7" s="1"/>
  <c r="B3915" i="7"/>
  <c r="M3914" i="7"/>
  <c r="J3914" i="7"/>
  <c r="K3914" i="7" s="1"/>
  <c r="L3914" i="7" s="1"/>
  <c r="G3914" i="7"/>
  <c r="H3914" i="7" s="1"/>
  <c r="B3914" i="7"/>
  <c r="M3913" i="7"/>
  <c r="J3913" i="7"/>
  <c r="K3913" i="7" s="1"/>
  <c r="L3913" i="7" s="1"/>
  <c r="G3913" i="7"/>
  <c r="H3913" i="7" s="1"/>
  <c r="B3913" i="7"/>
  <c r="M3912" i="7"/>
  <c r="J3912" i="7"/>
  <c r="K3912" i="7" s="1"/>
  <c r="L3912" i="7" s="1"/>
  <c r="G3912" i="7"/>
  <c r="H3912" i="7" s="1"/>
  <c r="B3912" i="7"/>
  <c r="M3911" i="7"/>
  <c r="J3911" i="7"/>
  <c r="K3911" i="7" s="1"/>
  <c r="L3911" i="7" s="1"/>
  <c r="G3911" i="7"/>
  <c r="H3911" i="7" s="1"/>
  <c r="B3911" i="7"/>
  <c r="M3910" i="7"/>
  <c r="J3910" i="7"/>
  <c r="K3910" i="7" s="1"/>
  <c r="L3910" i="7" s="1"/>
  <c r="G3910" i="7"/>
  <c r="H3910" i="7" s="1"/>
  <c r="B3910" i="7"/>
  <c r="M3909" i="7"/>
  <c r="J3909" i="7"/>
  <c r="K3909" i="7" s="1"/>
  <c r="L3909" i="7" s="1"/>
  <c r="G3909" i="7"/>
  <c r="H3909" i="7" s="1"/>
  <c r="B3909" i="7"/>
  <c r="M3908" i="7"/>
  <c r="J3908" i="7"/>
  <c r="K3908" i="7" s="1"/>
  <c r="L3908" i="7" s="1"/>
  <c r="G3908" i="7"/>
  <c r="H3908" i="7" s="1"/>
  <c r="B3908" i="7"/>
  <c r="M3907" i="7"/>
  <c r="J3907" i="7"/>
  <c r="K3907" i="7" s="1"/>
  <c r="L3907" i="7" s="1"/>
  <c r="G3907" i="7"/>
  <c r="H3907" i="7" s="1"/>
  <c r="B3907" i="7"/>
  <c r="M3906" i="7"/>
  <c r="J3906" i="7"/>
  <c r="K3906" i="7" s="1"/>
  <c r="L3906" i="7" s="1"/>
  <c r="G3906" i="7"/>
  <c r="H3906" i="7" s="1"/>
  <c r="B3906" i="7"/>
  <c r="M3905" i="7"/>
  <c r="J3905" i="7"/>
  <c r="K3905" i="7" s="1"/>
  <c r="L3905" i="7" s="1"/>
  <c r="G3905" i="7"/>
  <c r="H3905" i="7" s="1"/>
  <c r="B3905" i="7"/>
  <c r="M3904" i="7"/>
  <c r="J3904" i="7"/>
  <c r="K3904" i="7" s="1"/>
  <c r="L3904" i="7" s="1"/>
  <c r="G3904" i="7"/>
  <c r="H3904" i="7" s="1"/>
  <c r="B3904" i="7"/>
  <c r="M3903" i="7"/>
  <c r="J3903" i="7"/>
  <c r="K3903" i="7" s="1"/>
  <c r="L3903" i="7" s="1"/>
  <c r="G3903" i="7"/>
  <c r="H3903" i="7" s="1"/>
  <c r="B3903" i="7"/>
  <c r="M3902" i="7"/>
  <c r="J3902" i="7"/>
  <c r="K3902" i="7" s="1"/>
  <c r="L3902" i="7" s="1"/>
  <c r="G3902" i="7"/>
  <c r="H3902" i="7" s="1"/>
  <c r="B3902" i="7"/>
  <c r="M3901" i="7"/>
  <c r="J3901" i="7"/>
  <c r="K3901" i="7" s="1"/>
  <c r="L3901" i="7" s="1"/>
  <c r="G3901" i="7"/>
  <c r="H3901" i="7" s="1"/>
  <c r="B3901" i="7"/>
  <c r="M3900" i="7"/>
  <c r="J3900" i="7"/>
  <c r="K3900" i="7" s="1"/>
  <c r="L3900" i="7" s="1"/>
  <c r="G3900" i="7"/>
  <c r="H3900" i="7" s="1"/>
  <c r="B3900" i="7"/>
  <c r="M3899" i="7"/>
  <c r="J3899" i="7"/>
  <c r="K3899" i="7" s="1"/>
  <c r="L3899" i="7" s="1"/>
  <c r="G3899" i="7"/>
  <c r="H3899" i="7" s="1"/>
  <c r="B3899" i="7"/>
  <c r="M3898" i="7"/>
  <c r="J3898" i="7"/>
  <c r="K3898" i="7" s="1"/>
  <c r="L3898" i="7" s="1"/>
  <c r="G3898" i="7"/>
  <c r="H3898" i="7" s="1"/>
  <c r="B3898" i="7"/>
  <c r="M3897" i="7"/>
  <c r="J3897" i="7"/>
  <c r="K3897" i="7" s="1"/>
  <c r="L3897" i="7" s="1"/>
  <c r="G3897" i="7"/>
  <c r="H3897" i="7" s="1"/>
  <c r="B3897" i="7"/>
  <c r="M3896" i="7"/>
  <c r="J3896" i="7"/>
  <c r="K3896" i="7" s="1"/>
  <c r="L3896" i="7" s="1"/>
  <c r="G3896" i="7"/>
  <c r="H3896" i="7" s="1"/>
  <c r="B3896" i="7"/>
  <c r="M3895" i="7"/>
  <c r="J3895" i="7"/>
  <c r="K3895" i="7" s="1"/>
  <c r="L3895" i="7" s="1"/>
  <c r="G3895" i="7"/>
  <c r="H3895" i="7" s="1"/>
  <c r="B3895" i="7"/>
  <c r="M3894" i="7"/>
  <c r="J3894" i="7"/>
  <c r="K3894" i="7" s="1"/>
  <c r="L3894" i="7" s="1"/>
  <c r="G3894" i="7"/>
  <c r="H3894" i="7" s="1"/>
  <c r="B3894" i="7"/>
  <c r="M3893" i="7"/>
  <c r="J3893" i="7"/>
  <c r="K3893" i="7" s="1"/>
  <c r="L3893" i="7" s="1"/>
  <c r="G3893" i="7"/>
  <c r="H3893" i="7" s="1"/>
  <c r="B3893" i="7"/>
  <c r="M3892" i="7"/>
  <c r="J3892" i="7"/>
  <c r="K3892" i="7" s="1"/>
  <c r="L3892" i="7" s="1"/>
  <c r="G3892" i="7"/>
  <c r="H3892" i="7" s="1"/>
  <c r="B3892" i="7"/>
  <c r="M3891" i="7"/>
  <c r="J3891" i="7"/>
  <c r="K3891" i="7" s="1"/>
  <c r="L3891" i="7" s="1"/>
  <c r="G3891" i="7"/>
  <c r="H3891" i="7" s="1"/>
  <c r="B3891" i="7"/>
  <c r="M3890" i="7"/>
  <c r="J3890" i="7"/>
  <c r="K3890" i="7" s="1"/>
  <c r="L3890" i="7" s="1"/>
  <c r="G3890" i="7"/>
  <c r="H3890" i="7" s="1"/>
  <c r="B3890" i="7"/>
  <c r="M3889" i="7"/>
  <c r="J3889" i="7"/>
  <c r="K3889" i="7" s="1"/>
  <c r="L3889" i="7" s="1"/>
  <c r="G3889" i="7"/>
  <c r="H3889" i="7" s="1"/>
  <c r="B3889" i="7"/>
  <c r="M3888" i="7"/>
  <c r="J3888" i="7"/>
  <c r="K3888" i="7" s="1"/>
  <c r="L3888" i="7" s="1"/>
  <c r="G3888" i="7"/>
  <c r="H3888" i="7" s="1"/>
  <c r="B3888" i="7"/>
  <c r="M3887" i="7"/>
  <c r="J3887" i="7"/>
  <c r="K3887" i="7" s="1"/>
  <c r="L3887" i="7" s="1"/>
  <c r="G3887" i="7"/>
  <c r="H3887" i="7" s="1"/>
  <c r="B3887" i="7"/>
  <c r="M3886" i="7"/>
  <c r="J3886" i="7"/>
  <c r="K3886" i="7" s="1"/>
  <c r="L3886" i="7" s="1"/>
  <c r="G3886" i="7"/>
  <c r="H3886" i="7" s="1"/>
  <c r="B3886" i="7"/>
  <c r="M3885" i="7"/>
  <c r="J3885" i="7"/>
  <c r="K3885" i="7" s="1"/>
  <c r="L3885" i="7" s="1"/>
  <c r="G3885" i="7"/>
  <c r="H3885" i="7" s="1"/>
  <c r="B3885" i="7"/>
  <c r="M3884" i="7"/>
  <c r="J3884" i="7"/>
  <c r="K3884" i="7" s="1"/>
  <c r="L3884" i="7" s="1"/>
  <c r="G3884" i="7"/>
  <c r="H3884" i="7" s="1"/>
  <c r="B3884" i="7"/>
  <c r="M3883" i="7"/>
  <c r="J3883" i="7"/>
  <c r="K3883" i="7" s="1"/>
  <c r="L3883" i="7" s="1"/>
  <c r="G3883" i="7"/>
  <c r="H3883" i="7" s="1"/>
  <c r="B3883" i="7"/>
  <c r="M3882" i="7"/>
  <c r="J3882" i="7"/>
  <c r="K3882" i="7" s="1"/>
  <c r="L3882" i="7" s="1"/>
  <c r="G3882" i="7"/>
  <c r="H3882" i="7" s="1"/>
  <c r="B3882" i="7"/>
  <c r="M3881" i="7"/>
  <c r="J3881" i="7"/>
  <c r="K3881" i="7" s="1"/>
  <c r="L3881" i="7" s="1"/>
  <c r="G3881" i="7"/>
  <c r="H3881" i="7" s="1"/>
  <c r="B3881" i="7"/>
  <c r="M3880" i="7"/>
  <c r="J3880" i="7"/>
  <c r="K3880" i="7" s="1"/>
  <c r="L3880" i="7" s="1"/>
  <c r="G3880" i="7"/>
  <c r="H3880" i="7" s="1"/>
  <c r="B3880" i="7"/>
  <c r="M3879" i="7"/>
  <c r="J3879" i="7"/>
  <c r="K3879" i="7" s="1"/>
  <c r="L3879" i="7" s="1"/>
  <c r="G3879" i="7"/>
  <c r="H3879" i="7" s="1"/>
  <c r="B3879" i="7"/>
  <c r="M3878" i="7"/>
  <c r="J3878" i="7"/>
  <c r="K3878" i="7" s="1"/>
  <c r="L3878" i="7" s="1"/>
  <c r="G3878" i="7"/>
  <c r="H3878" i="7" s="1"/>
  <c r="B3878" i="7"/>
  <c r="M3877" i="7"/>
  <c r="J3877" i="7"/>
  <c r="K3877" i="7" s="1"/>
  <c r="L3877" i="7" s="1"/>
  <c r="G3877" i="7"/>
  <c r="H3877" i="7" s="1"/>
  <c r="B3877" i="7"/>
  <c r="M3876" i="7"/>
  <c r="J3876" i="7"/>
  <c r="K3876" i="7" s="1"/>
  <c r="L3876" i="7" s="1"/>
  <c r="G3876" i="7"/>
  <c r="H3876" i="7" s="1"/>
  <c r="B3876" i="7"/>
  <c r="M3875" i="7"/>
  <c r="J3875" i="7"/>
  <c r="K3875" i="7" s="1"/>
  <c r="L3875" i="7" s="1"/>
  <c r="G3875" i="7"/>
  <c r="H3875" i="7" s="1"/>
  <c r="B3875" i="7"/>
  <c r="M3874" i="7"/>
  <c r="J3874" i="7"/>
  <c r="K3874" i="7" s="1"/>
  <c r="L3874" i="7" s="1"/>
  <c r="G3874" i="7"/>
  <c r="H3874" i="7" s="1"/>
  <c r="B3874" i="7"/>
  <c r="M3873" i="7"/>
  <c r="J3873" i="7"/>
  <c r="K3873" i="7" s="1"/>
  <c r="L3873" i="7" s="1"/>
  <c r="G3873" i="7"/>
  <c r="H3873" i="7" s="1"/>
  <c r="B3873" i="7"/>
  <c r="M3872" i="7"/>
  <c r="J3872" i="7"/>
  <c r="K3872" i="7" s="1"/>
  <c r="L3872" i="7" s="1"/>
  <c r="G3872" i="7"/>
  <c r="H3872" i="7" s="1"/>
  <c r="B3872" i="7"/>
  <c r="M3871" i="7"/>
  <c r="J3871" i="7"/>
  <c r="K3871" i="7" s="1"/>
  <c r="L3871" i="7" s="1"/>
  <c r="G3871" i="7"/>
  <c r="H3871" i="7" s="1"/>
  <c r="B3871" i="7"/>
  <c r="M3870" i="7"/>
  <c r="J3870" i="7"/>
  <c r="K3870" i="7" s="1"/>
  <c r="L3870" i="7" s="1"/>
  <c r="G3870" i="7"/>
  <c r="H3870" i="7" s="1"/>
  <c r="B3870" i="7"/>
  <c r="M3869" i="7"/>
  <c r="J3869" i="7"/>
  <c r="K3869" i="7" s="1"/>
  <c r="L3869" i="7" s="1"/>
  <c r="G3869" i="7"/>
  <c r="H3869" i="7" s="1"/>
  <c r="B3869" i="7"/>
  <c r="M3868" i="7"/>
  <c r="J3868" i="7"/>
  <c r="K3868" i="7" s="1"/>
  <c r="L3868" i="7" s="1"/>
  <c r="G3868" i="7"/>
  <c r="H3868" i="7" s="1"/>
  <c r="B3868" i="7"/>
  <c r="M3867" i="7"/>
  <c r="J3867" i="7"/>
  <c r="K3867" i="7" s="1"/>
  <c r="L3867" i="7" s="1"/>
  <c r="G3867" i="7"/>
  <c r="H3867" i="7" s="1"/>
  <c r="B3867" i="7"/>
  <c r="M3866" i="7"/>
  <c r="J3866" i="7"/>
  <c r="K3866" i="7" s="1"/>
  <c r="L3866" i="7" s="1"/>
  <c r="G3866" i="7"/>
  <c r="H3866" i="7" s="1"/>
  <c r="B3866" i="7"/>
  <c r="M3865" i="7"/>
  <c r="J3865" i="7"/>
  <c r="K3865" i="7" s="1"/>
  <c r="L3865" i="7" s="1"/>
  <c r="G3865" i="7"/>
  <c r="H3865" i="7" s="1"/>
  <c r="B3865" i="7"/>
  <c r="M3864" i="7"/>
  <c r="J3864" i="7"/>
  <c r="K3864" i="7" s="1"/>
  <c r="L3864" i="7" s="1"/>
  <c r="G3864" i="7"/>
  <c r="H3864" i="7" s="1"/>
  <c r="B3864" i="7"/>
  <c r="M3863" i="7"/>
  <c r="J3863" i="7"/>
  <c r="K3863" i="7" s="1"/>
  <c r="L3863" i="7" s="1"/>
  <c r="G3863" i="7"/>
  <c r="H3863" i="7" s="1"/>
  <c r="B3863" i="7"/>
  <c r="M3862" i="7"/>
  <c r="J3862" i="7"/>
  <c r="K3862" i="7" s="1"/>
  <c r="L3862" i="7" s="1"/>
  <c r="G3862" i="7"/>
  <c r="H3862" i="7" s="1"/>
  <c r="B3862" i="7"/>
  <c r="M3861" i="7"/>
  <c r="J3861" i="7"/>
  <c r="K3861" i="7" s="1"/>
  <c r="L3861" i="7" s="1"/>
  <c r="G3861" i="7"/>
  <c r="H3861" i="7" s="1"/>
  <c r="B3861" i="7"/>
  <c r="M3860" i="7"/>
  <c r="J3860" i="7"/>
  <c r="K3860" i="7" s="1"/>
  <c r="L3860" i="7" s="1"/>
  <c r="G3860" i="7"/>
  <c r="H3860" i="7" s="1"/>
  <c r="B3860" i="7"/>
  <c r="M3859" i="7"/>
  <c r="J3859" i="7"/>
  <c r="K3859" i="7" s="1"/>
  <c r="L3859" i="7" s="1"/>
  <c r="G3859" i="7"/>
  <c r="H3859" i="7" s="1"/>
  <c r="B3859" i="7"/>
  <c r="M3858" i="7"/>
  <c r="J3858" i="7"/>
  <c r="K3858" i="7" s="1"/>
  <c r="L3858" i="7" s="1"/>
  <c r="G3858" i="7"/>
  <c r="H3858" i="7" s="1"/>
  <c r="B3858" i="7"/>
  <c r="M3857" i="7"/>
  <c r="J3857" i="7"/>
  <c r="K3857" i="7" s="1"/>
  <c r="L3857" i="7" s="1"/>
  <c r="G3857" i="7"/>
  <c r="H3857" i="7" s="1"/>
  <c r="B3857" i="7"/>
  <c r="M3856" i="7"/>
  <c r="J3856" i="7"/>
  <c r="K3856" i="7" s="1"/>
  <c r="L3856" i="7" s="1"/>
  <c r="G3856" i="7"/>
  <c r="H3856" i="7" s="1"/>
  <c r="B3856" i="7"/>
  <c r="M3855" i="7"/>
  <c r="J3855" i="7"/>
  <c r="K3855" i="7" s="1"/>
  <c r="L3855" i="7" s="1"/>
  <c r="G3855" i="7"/>
  <c r="H3855" i="7" s="1"/>
  <c r="B3855" i="7"/>
  <c r="M3854" i="7"/>
  <c r="J3854" i="7"/>
  <c r="K3854" i="7" s="1"/>
  <c r="L3854" i="7" s="1"/>
  <c r="G3854" i="7"/>
  <c r="H3854" i="7" s="1"/>
  <c r="B3854" i="7"/>
  <c r="M3853" i="7"/>
  <c r="J3853" i="7"/>
  <c r="K3853" i="7" s="1"/>
  <c r="L3853" i="7" s="1"/>
  <c r="G3853" i="7"/>
  <c r="H3853" i="7" s="1"/>
  <c r="B3853" i="7"/>
  <c r="M3852" i="7"/>
  <c r="J3852" i="7"/>
  <c r="K3852" i="7" s="1"/>
  <c r="L3852" i="7" s="1"/>
  <c r="G3852" i="7"/>
  <c r="H3852" i="7" s="1"/>
  <c r="B3852" i="7"/>
  <c r="M3851" i="7"/>
  <c r="J3851" i="7"/>
  <c r="K3851" i="7" s="1"/>
  <c r="L3851" i="7" s="1"/>
  <c r="G3851" i="7"/>
  <c r="H3851" i="7" s="1"/>
  <c r="B3851" i="7"/>
  <c r="M3850" i="7"/>
  <c r="J3850" i="7"/>
  <c r="K3850" i="7" s="1"/>
  <c r="L3850" i="7" s="1"/>
  <c r="G3850" i="7"/>
  <c r="H3850" i="7" s="1"/>
  <c r="B3850" i="7"/>
  <c r="M3849" i="7"/>
  <c r="J3849" i="7"/>
  <c r="K3849" i="7" s="1"/>
  <c r="L3849" i="7" s="1"/>
  <c r="G3849" i="7"/>
  <c r="H3849" i="7" s="1"/>
  <c r="B3849" i="7"/>
  <c r="M3848" i="7"/>
  <c r="J3848" i="7"/>
  <c r="K3848" i="7" s="1"/>
  <c r="L3848" i="7" s="1"/>
  <c r="G3848" i="7"/>
  <c r="H3848" i="7" s="1"/>
  <c r="B3848" i="7"/>
  <c r="M3847" i="7"/>
  <c r="J3847" i="7"/>
  <c r="K3847" i="7" s="1"/>
  <c r="L3847" i="7" s="1"/>
  <c r="G3847" i="7"/>
  <c r="H3847" i="7" s="1"/>
  <c r="B3847" i="7"/>
  <c r="M3846" i="7"/>
  <c r="J3846" i="7"/>
  <c r="K3846" i="7" s="1"/>
  <c r="L3846" i="7" s="1"/>
  <c r="G3846" i="7"/>
  <c r="H3846" i="7" s="1"/>
  <c r="B3846" i="7"/>
  <c r="M3845" i="7"/>
  <c r="J3845" i="7"/>
  <c r="K3845" i="7" s="1"/>
  <c r="L3845" i="7" s="1"/>
  <c r="G3845" i="7"/>
  <c r="H3845" i="7" s="1"/>
  <c r="B3845" i="7"/>
  <c r="M3844" i="7"/>
  <c r="J3844" i="7"/>
  <c r="K3844" i="7" s="1"/>
  <c r="L3844" i="7" s="1"/>
  <c r="G3844" i="7"/>
  <c r="H3844" i="7" s="1"/>
  <c r="B3844" i="7"/>
  <c r="M3843" i="7"/>
  <c r="J3843" i="7"/>
  <c r="K3843" i="7" s="1"/>
  <c r="L3843" i="7" s="1"/>
  <c r="G3843" i="7"/>
  <c r="H3843" i="7" s="1"/>
  <c r="B3843" i="7"/>
  <c r="M3842" i="7"/>
  <c r="J3842" i="7"/>
  <c r="K3842" i="7" s="1"/>
  <c r="L3842" i="7" s="1"/>
  <c r="G3842" i="7"/>
  <c r="H3842" i="7" s="1"/>
  <c r="B3842" i="7"/>
  <c r="M3841" i="7"/>
  <c r="J3841" i="7"/>
  <c r="K3841" i="7" s="1"/>
  <c r="L3841" i="7" s="1"/>
  <c r="G3841" i="7"/>
  <c r="H3841" i="7" s="1"/>
  <c r="B3841" i="7"/>
  <c r="M3840" i="7"/>
  <c r="J3840" i="7"/>
  <c r="K3840" i="7" s="1"/>
  <c r="L3840" i="7" s="1"/>
  <c r="G3840" i="7"/>
  <c r="H3840" i="7" s="1"/>
  <c r="B3840" i="7"/>
  <c r="M3839" i="7"/>
  <c r="J3839" i="7"/>
  <c r="K3839" i="7" s="1"/>
  <c r="L3839" i="7" s="1"/>
  <c r="G3839" i="7"/>
  <c r="H3839" i="7" s="1"/>
  <c r="B3839" i="7"/>
  <c r="M3838" i="7"/>
  <c r="J3838" i="7"/>
  <c r="K3838" i="7" s="1"/>
  <c r="L3838" i="7" s="1"/>
  <c r="G3838" i="7"/>
  <c r="H3838" i="7" s="1"/>
  <c r="B3838" i="7"/>
  <c r="M3837" i="7"/>
  <c r="J3837" i="7"/>
  <c r="K3837" i="7" s="1"/>
  <c r="L3837" i="7" s="1"/>
  <c r="G3837" i="7"/>
  <c r="H3837" i="7" s="1"/>
  <c r="B3837" i="7"/>
  <c r="M3836" i="7"/>
  <c r="J3836" i="7"/>
  <c r="K3836" i="7" s="1"/>
  <c r="L3836" i="7" s="1"/>
  <c r="G3836" i="7"/>
  <c r="H3836" i="7" s="1"/>
  <c r="B3836" i="7"/>
  <c r="M3835" i="7"/>
  <c r="J3835" i="7"/>
  <c r="K3835" i="7" s="1"/>
  <c r="L3835" i="7" s="1"/>
  <c r="G3835" i="7"/>
  <c r="H3835" i="7" s="1"/>
  <c r="B3835" i="7"/>
  <c r="M3834" i="7"/>
  <c r="J3834" i="7"/>
  <c r="K3834" i="7" s="1"/>
  <c r="L3834" i="7" s="1"/>
  <c r="G3834" i="7"/>
  <c r="H3834" i="7" s="1"/>
  <c r="B3834" i="7"/>
  <c r="M3833" i="7"/>
  <c r="J3833" i="7"/>
  <c r="K3833" i="7" s="1"/>
  <c r="L3833" i="7" s="1"/>
  <c r="G3833" i="7"/>
  <c r="H3833" i="7" s="1"/>
  <c r="B3833" i="7"/>
  <c r="M3832" i="7"/>
  <c r="J3832" i="7"/>
  <c r="K3832" i="7" s="1"/>
  <c r="L3832" i="7" s="1"/>
  <c r="G3832" i="7"/>
  <c r="H3832" i="7" s="1"/>
  <c r="B3832" i="7"/>
  <c r="M3831" i="7"/>
  <c r="J3831" i="7"/>
  <c r="K3831" i="7" s="1"/>
  <c r="L3831" i="7" s="1"/>
  <c r="G3831" i="7"/>
  <c r="H3831" i="7" s="1"/>
  <c r="B3831" i="7"/>
  <c r="M3830" i="7"/>
  <c r="J3830" i="7"/>
  <c r="K3830" i="7" s="1"/>
  <c r="L3830" i="7" s="1"/>
  <c r="G3830" i="7"/>
  <c r="H3830" i="7" s="1"/>
  <c r="B3830" i="7"/>
  <c r="M3829" i="7"/>
  <c r="J3829" i="7"/>
  <c r="K3829" i="7" s="1"/>
  <c r="L3829" i="7" s="1"/>
  <c r="G3829" i="7"/>
  <c r="H3829" i="7" s="1"/>
  <c r="B3829" i="7"/>
  <c r="M3828" i="7"/>
  <c r="J3828" i="7"/>
  <c r="K3828" i="7" s="1"/>
  <c r="L3828" i="7" s="1"/>
  <c r="G3828" i="7"/>
  <c r="H3828" i="7" s="1"/>
  <c r="B3828" i="7"/>
  <c r="M3827" i="7"/>
  <c r="J3827" i="7"/>
  <c r="K3827" i="7" s="1"/>
  <c r="L3827" i="7" s="1"/>
  <c r="G3827" i="7"/>
  <c r="H3827" i="7" s="1"/>
  <c r="B3827" i="7"/>
  <c r="M3826" i="7"/>
  <c r="J3826" i="7"/>
  <c r="K3826" i="7" s="1"/>
  <c r="L3826" i="7" s="1"/>
  <c r="G3826" i="7"/>
  <c r="H3826" i="7" s="1"/>
  <c r="B3826" i="7"/>
  <c r="M3825" i="7"/>
  <c r="J3825" i="7"/>
  <c r="K3825" i="7" s="1"/>
  <c r="L3825" i="7" s="1"/>
  <c r="G3825" i="7"/>
  <c r="H3825" i="7" s="1"/>
  <c r="B3825" i="7"/>
  <c r="M3824" i="7"/>
  <c r="J3824" i="7"/>
  <c r="K3824" i="7" s="1"/>
  <c r="L3824" i="7" s="1"/>
  <c r="G3824" i="7"/>
  <c r="H3824" i="7" s="1"/>
  <c r="B3824" i="7"/>
  <c r="M3823" i="7"/>
  <c r="J3823" i="7"/>
  <c r="K3823" i="7" s="1"/>
  <c r="L3823" i="7" s="1"/>
  <c r="G3823" i="7"/>
  <c r="H3823" i="7" s="1"/>
  <c r="B3823" i="7"/>
  <c r="M3822" i="7"/>
  <c r="J3822" i="7"/>
  <c r="K3822" i="7" s="1"/>
  <c r="L3822" i="7" s="1"/>
  <c r="G3822" i="7"/>
  <c r="H3822" i="7" s="1"/>
  <c r="B3822" i="7"/>
  <c r="M3821" i="7"/>
  <c r="J3821" i="7"/>
  <c r="K3821" i="7" s="1"/>
  <c r="L3821" i="7" s="1"/>
  <c r="G3821" i="7"/>
  <c r="H3821" i="7" s="1"/>
  <c r="B3821" i="7"/>
  <c r="M3820" i="7"/>
  <c r="J3820" i="7"/>
  <c r="K3820" i="7" s="1"/>
  <c r="L3820" i="7" s="1"/>
  <c r="G3820" i="7"/>
  <c r="H3820" i="7" s="1"/>
  <c r="B3820" i="7"/>
  <c r="M3819" i="7"/>
  <c r="J3819" i="7"/>
  <c r="K3819" i="7" s="1"/>
  <c r="L3819" i="7" s="1"/>
  <c r="G3819" i="7"/>
  <c r="H3819" i="7" s="1"/>
  <c r="B3819" i="7"/>
  <c r="M3818" i="7"/>
  <c r="J3818" i="7"/>
  <c r="K3818" i="7" s="1"/>
  <c r="L3818" i="7" s="1"/>
  <c r="G3818" i="7"/>
  <c r="H3818" i="7" s="1"/>
  <c r="B3818" i="7"/>
  <c r="M3817" i="7"/>
  <c r="J3817" i="7"/>
  <c r="K3817" i="7" s="1"/>
  <c r="L3817" i="7" s="1"/>
  <c r="G3817" i="7"/>
  <c r="H3817" i="7" s="1"/>
  <c r="B3817" i="7"/>
  <c r="M3816" i="7"/>
  <c r="J3816" i="7"/>
  <c r="K3816" i="7" s="1"/>
  <c r="L3816" i="7" s="1"/>
  <c r="G3816" i="7"/>
  <c r="H3816" i="7" s="1"/>
  <c r="B3816" i="7"/>
  <c r="M3815" i="7"/>
  <c r="J3815" i="7"/>
  <c r="K3815" i="7" s="1"/>
  <c r="L3815" i="7" s="1"/>
  <c r="G3815" i="7"/>
  <c r="H3815" i="7" s="1"/>
  <c r="B3815" i="7"/>
  <c r="M3814" i="7"/>
  <c r="J3814" i="7"/>
  <c r="K3814" i="7" s="1"/>
  <c r="L3814" i="7" s="1"/>
  <c r="G3814" i="7"/>
  <c r="H3814" i="7" s="1"/>
  <c r="B3814" i="7"/>
  <c r="M3813" i="7"/>
  <c r="J3813" i="7"/>
  <c r="K3813" i="7" s="1"/>
  <c r="L3813" i="7" s="1"/>
  <c r="G3813" i="7"/>
  <c r="H3813" i="7" s="1"/>
  <c r="B3813" i="7"/>
  <c r="M3812" i="7"/>
  <c r="J3812" i="7"/>
  <c r="K3812" i="7" s="1"/>
  <c r="L3812" i="7" s="1"/>
  <c r="G3812" i="7"/>
  <c r="H3812" i="7" s="1"/>
  <c r="B3812" i="7"/>
  <c r="M3811" i="7"/>
  <c r="J3811" i="7"/>
  <c r="K3811" i="7" s="1"/>
  <c r="L3811" i="7" s="1"/>
  <c r="G3811" i="7"/>
  <c r="H3811" i="7" s="1"/>
  <c r="B3811" i="7"/>
  <c r="M3810" i="7"/>
  <c r="J3810" i="7"/>
  <c r="K3810" i="7" s="1"/>
  <c r="L3810" i="7" s="1"/>
  <c r="G3810" i="7"/>
  <c r="H3810" i="7" s="1"/>
  <c r="B3810" i="7"/>
  <c r="M3809" i="7"/>
  <c r="J3809" i="7"/>
  <c r="K3809" i="7" s="1"/>
  <c r="L3809" i="7" s="1"/>
  <c r="G3809" i="7"/>
  <c r="H3809" i="7" s="1"/>
  <c r="B3809" i="7"/>
  <c r="M3808" i="7"/>
  <c r="J3808" i="7"/>
  <c r="K3808" i="7" s="1"/>
  <c r="L3808" i="7" s="1"/>
  <c r="G3808" i="7"/>
  <c r="H3808" i="7" s="1"/>
  <c r="B3808" i="7"/>
  <c r="M3807" i="7"/>
  <c r="J3807" i="7"/>
  <c r="K3807" i="7" s="1"/>
  <c r="L3807" i="7" s="1"/>
  <c r="G3807" i="7"/>
  <c r="H3807" i="7" s="1"/>
  <c r="B3807" i="7"/>
  <c r="M3806" i="7"/>
  <c r="J3806" i="7"/>
  <c r="K3806" i="7" s="1"/>
  <c r="L3806" i="7" s="1"/>
  <c r="G3806" i="7"/>
  <c r="H3806" i="7" s="1"/>
  <c r="B3806" i="7"/>
  <c r="M3805" i="7"/>
  <c r="J3805" i="7"/>
  <c r="K3805" i="7" s="1"/>
  <c r="L3805" i="7" s="1"/>
  <c r="G3805" i="7"/>
  <c r="H3805" i="7" s="1"/>
  <c r="B3805" i="7"/>
  <c r="M3804" i="7"/>
  <c r="J3804" i="7"/>
  <c r="K3804" i="7" s="1"/>
  <c r="L3804" i="7" s="1"/>
  <c r="G3804" i="7"/>
  <c r="H3804" i="7" s="1"/>
  <c r="B3804" i="7"/>
  <c r="M3803" i="7"/>
  <c r="J3803" i="7"/>
  <c r="K3803" i="7" s="1"/>
  <c r="L3803" i="7" s="1"/>
  <c r="G3803" i="7"/>
  <c r="H3803" i="7" s="1"/>
  <c r="B3803" i="7"/>
  <c r="M3802" i="7"/>
  <c r="J3802" i="7"/>
  <c r="K3802" i="7" s="1"/>
  <c r="L3802" i="7" s="1"/>
  <c r="G3802" i="7"/>
  <c r="H3802" i="7" s="1"/>
  <c r="B3802" i="7"/>
  <c r="M3801" i="7"/>
  <c r="J3801" i="7"/>
  <c r="K3801" i="7" s="1"/>
  <c r="L3801" i="7" s="1"/>
  <c r="G3801" i="7"/>
  <c r="H3801" i="7" s="1"/>
  <c r="B3801" i="7"/>
  <c r="M3800" i="7"/>
  <c r="J3800" i="7"/>
  <c r="K3800" i="7" s="1"/>
  <c r="L3800" i="7" s="1"/>
  <c r="G3800" i="7"/>
  <c r="H3800" i="7" s="1"/>
  <c r="B3800" i="7"/>
  <c r="M3799" i="7"/>
  <c r="J3799" i="7"/>
  <c r="K3799" i="7" s="1"/>
  <c r="L3799" i="7" s="1"/>
  <c r="G3799" i="7"/>
  <c r="H3799" i="7" s="1"/>
  <c r="B3799" i="7"/>
  <c r="M3798" i="7"/>
  <c r="J3798" i="7"/>
  <c r="K3798" i="7" s="1"/>
  <c r="L3798" i="7" s="1"/>
  <c r="G3798" i="7"/>
  <c r="H3798" i="7" s="1"/>
  <c r="B3798" i="7"/>
  <c r="M3797" i="7"/>
  <c r="J3797" i="7"/>
  <c r="K3797" i="7" s="1"/>
  <c r="L3797" i="7" s="1"/>
  <c r="G3797" i="7"/>
  <c r="H3797" i="7" s="1"/>
  <c r="B3797" i="7"/>
  <c r="M3796" i="7"/>
  <c r="J3796" i="7"/>
  <c r="K3796" i="7" s="1"/>
  <c r="L3796" i="7" s="1"/>
  <c r="G3796" i="7"/>
  <c r="H3796" i="7" s="1"/>
  <c r="B3796" i="7"/>
  <c r="M3795" i="7"/>
  <c r="J3795" i="7"/>
  <c r="K3795" i="7" s="1"/>
  <c r="L3795" i="7" s="1"/>
  <c r="G3795" i="7"/>
  <c r="H3795" i="7" s="1"/>
  <c r="B3795" i="7"/>
  <c r="M3794" i="7"/>
  <c r="J3794" i="7"/>
  <c r="K3794" i="7" s="1"/>
  <c r="L3794" i="7" s="1"/>
  <c r="G3794" i="7"/>
  <c r="H3794" i="7" s="1"/>
  <c r="B3794" i="7"/>
  <c r="M3793" i="7"/>
  <c r="J3793" i="7"/>
  <c r="K3793" i="7" s="1"/>
  <c r="L3793" i="7" s="1"/>
  <c r="G3793" i="7"/>
  <c r="H3793" i="7" s="1"/>
  <c r="B3793" i="7"/>
  <c r="M3792" i="7"/>
  <c r="J3792" i="7"/>
  <c r="K3792" i="7" s="1"/>
  <c r="L3792" i="7" s="1"/>
  <c r="G3792" i="7"/>
  <c r="H3792" i="7" s="1"/>
  <c r="B3792" i="7"/>
  <c r="M3791" i="7"/>
  <c r="J3791" i="7"/>
  <c r="K3791" i="7" s="1"/>
  <c r="L3791" i="7" s="1"/>
  <c r="G3791" i="7"/>
  <c r="H3791" i="7" s="1"/>
  <c r="B3791" i="7"/>
  <c r="M3790" i="7"/>
  <c r="J3790" i="7"/>
  <c r="K3790" i="7" s="1"/>
  <c r="L3790" i="7" s="1"/>
  <c r="G3790" i="7"/>
  <c r="H3790" i="7" s="1"/>
  <c r="B3790" i="7"/>
  <c r="M3789" i="7"/>
  <c r="J3789" i="7"/>
  <c r="K3789" i="7" s="1"/>
  <c r="L3789" i="7" s="1"/>
  <c r="G3789" i="7"/>
  <c r="H3789" i="7" s="1"/>
  <c r="B3789" i="7"/>
  <c r="M3788" i="7"/>
  <c r="J3788" i="7"/>
  <c r="K3788" i="7" s="1"/>
  <c r="L3788" i="7" s="1"/>
  <c r="G3788" i="7"/>
  <c r="H3788" i="7" s="1"/>
  <c r="B3788" i="7"/>
  <c r="M3787" i="7"/>
  <c r="J3787" i="7"/>
  <c r="K3787" i="7" s="1"/>
  <c r="L3787" i="7" s="1"/>
  <c r="G3787" i="7"/>
  <c r="H3787" i="7" s="1"/>
  <c r="B3787" i="7"/>
  <c r="M3786" i="7"/>
  <c r="J3786" i="7"/>
  <c r="K3786" i="7" s="1"/>
  <c r="L3786" i="7" s="1"/>
  <c r="G3786" i="7"/>
  <c r="H3786" i="7" s="1"/>
  <c r="B3786" i="7"/>
  <c r="M3785" i="7"/>
  <c r="J3785" i="7"/>
  <c r="K3785" i="7" s="1"/>
  <c r="L3785" i="7" s="1"/>
  <c r="G3785" i="7"/>
  <c r="H3785" i="7" s="1"/>
  <c r="B3785" i="7"/>
  <c r="M3784" i="7"/>
  <c r="J3784" i="7"/>
  <c r="K3784" i="7" s="1"/>
  <c r="L3784" i="7" s="1"/>
  <c r="G3784" i="7"/>
  <c r="H3784" i="7" s="1"/>
  <c r="B3784" i="7"/>
  <c r="M3783" i="7"/>
  <c r="J3783" i="7"/>
  <c r="K3783" i="7" s="1"/>
  <c r="L3783" i="7" s="1"/>
  <c r="G3783" i="7"/>
  <c r="H3783" i="7" s="1"/>
  <c r="B3783" i="7"/>
  <c r="M3782" i="7"/>
  <c r="J3782" i="7"/>
  <c r="K3782" i="7" s="1"/>
  <c r="L3782" i="7" s="1"/>
  <c r="G3782" i="7"/>
  <c r="H3782" i="7" s="1"/>
  <c r="B3782" i="7"/>
  <c r="M3781" i="7"/>
  <c r="J3781" i="7"/>
  <c r="K3781" i="7" s="1"/>
  <c r="L3781" i="7" s="1"/>
  <c r="G3781" i="7"/>
  <c r="H3781" i="7" s="1"/>
  <c r="B3781" i="7"/>
  <c r="M3780" i="7"/>
  <c r="J3780" i="7"/>
  <c r="K3780" i="7" s="1"/>
  <c r="L3780" i="7" s="1"/>
  <c r="G3780" i="7"/>
  <c r="H3780" i="7" s="1"/>
  <c r="B3780" i="7"/>
  <c r="M3779" i="7"/>
  <c r="J3779" i="7"/>
  <c r="K3779" i="7" s="1"/>
  <c r="L3779" i="7" s="1"/>
  <c r="G3779" i="7"/>
  <c r="H3779" i="7" s="1"/>
  <c r="B3779" i="7"/>
  <c r="M3778" i="7"/>
  <c r="J3778" i="7"/>
  <c r="K3778" i="7" s="1"/>
  <c r="L3778" i="7" s="1"/>
  <c r="G3778" i="7"/>
  <c r="H3778" i="7" s="1"/>
  <c r="B3778" i="7"/>
  <c r="M3777" i="7"/>
  <c r="J3777" i="7"/>
  <c r="K3777" i="7" s="1"/>
  <c r="L3777" i="7" s="1"/>
  <c r="G3777" i="7"/>
  <c r="H3777" i="7" s="1"/>
  <c r="B3777" i="7"/>
  <c r="M3776" i="7"/>
  <c r="J3776" i="7"/>
  <c r="K3776" i="7" s="1"/>
  <c r="L3776" i="7" s="1"/>
  <c r="G3776" i="7"/>
  <c r="H3776" i="7" s="1"/>
  <c r="B3776" i="7"/>
  <c r="M3775" i="7"/>
  <c r="J3775" i="7"/>
  <c r="K3775" i="7" s="1"/>
  <c r="L3775" i="7" s="1"/>
  <c r="G3775" i="7"/>
  <c r="H3775" i="7" s="1"/>
  <c r="B3775" i="7"/>
  <c r="M3774" i="7"/>
  <c r="J3774" i="7"/>
  <c r="K3774" i="7" s="1"/>
  <c r="L3774" i="7" s="1"/>
  <c r="G3774" i="7"/>
  <c r="H3774" i="7" s="1"/>
  <c r="B3774" i="7"/>
  <c r="M3773" i="7"/>
  <c r="J3773" i="7"/>
  <c r="K3773" i="7" s="1"/>
  <c r="L3773" i="7" s="1"/>
  <c r="G3773" i="7"/>
  <c r="H3773" i="7" s="1"/>
  <c r="B3773" i="7"/>
  <c r="M3772" i="7"/>
  <c r="J3772" i="7"/>
  <c r="K3772" i="7" s="1"/>
  <c r="L3772" i="7" s="1"/>
  <c r="G3772" i="7"/>
  <c r="H3772" i="7" s="1"/>
  <c r="B3772" i="7"/>
  <c r="M3771" i="7"/>
  <c r="J3771" i="7"/>
  <c r="K3771" i="7" s="1"/>
  <c r="L3771" i="7" s="1"/>
  <c r="G3771" i="7"/>
  <c r="H3771" i="7" s="1"/>
  <c r="B3771" i="7"/>
  <c r="M3770" i="7"/>
  <c r="J3770" i="7"/>
  <c r="K3770" i="7" s="1"/>
  <c r="L3770" i="7" s="1"/>
  <c r="G3770" i="7"/>
  <c r="H3770" i="7" s="1"/>
  <c r="B3770" i="7"/>
  <c r="M3769" i="7"/>
  <c r="J3769" i="7"/>
  <c r="K3769" i="7" s="1"/>
  <c r="L3769" i="7" s="1"/>
  <c r="G3769" i="7"/>
  <c r="H3769" i="7" s="1"/>
  <c r="B3769" i="7"/>
  <c r="M3768" i="7"/>
  <c r="J3768" i="7"/>
  <c r="K3768" i="7" s="1"/>
  <c r="L3768" i="7" s="1"/>
  <c r="G3768" i="7"/>
  <c r="H3768" i="7" s="1"/>
  <c r="B3768" i="7"/>
  <c r="M3767" i="7"/>
  <c r="J3767" i="7"/>
  <c r="K3767" i="7" s="1"/>
  <c r="L3767" i="7" s="1"/>
  <c r="G3767" i="7"/>
  <c r="H3767" i="7" s="1"/>
  <c r="B3767" i="7"/>
  <c r="M3766" i="7"/>
  <c r="J3766" i="7"/>
  <c r="K3766" i="7" s="1"/>
  <c r="L3766" i="7" s="1"/>
  <c r="G3766" i="7"/>
  <c r="H3766" i="7" s="1"/>
  <c r="B3766" i="7"/>
  <c r="M3765" i="7"/>
  <c r="J3765" i="7"/>
  <c r="K3765" i="7" s="1"/>
  <c r="L3765" i="7" s="1"/>
  <c r="G3765" i="7"/>
  <c r="H3765" i="7" s="1"/>
  <c r="B3765" i="7"/>
  <c r="M3764" i="7"/>
  <c r="J3764" i="7"/>
  <c r="K3764" i="7" s="1"/>
  <c r="L3764" i="7" s="1"/>
  <c r="G3764" i="7"/>
  <c r="H3764" i="7" s="1"/>
  <c r="B3764" i="7"/>
  <c r="M3763" i="7"/>
  <c r="J3763" i="7"/>
  <c r="K3763" i="7" s="1"/>
  <c r="L3763" i="7" s="1"/>
  <c r="G3763" i="7"/>
  <c r="H3763" i="7" s="1"/>
  <c r="B3763" i="7"/>
  <c r="M3762" i="7"/>
  <c r="J3762" i="7"/>
  <c r="K3762" i="7" s="1"/>
  <c r="L3762" i="7" s="1"/>
  <c r="G3762" i="7"/>
  <c r="H3762" i="7" s="1"/>
  <c r="B3762" i="7"/>
  <c r="M3761" i="7"/>
  <c r="J3761" i="7"/>
  <c r="K3761" i="7" s="1"/>
  <c r="L3761" i="7" s="1"/>
  <c r="G3761" i="7"/>
  <c r="H3761" i="7" s="1"/>
  <c r="B3761" i="7"/>
  <c r="M3760" i="7"/>
  <c r="J3760" i="7"/>
  <c r="K3760" i="7" s="1"/>
  <c r="L3760" i="7" s="1"/>
  <c r="G3760" i="7"/>
  <c r="H3760" i="7" s="1"/>
  <c r="B3760" i="7"/>
  <c r="M3759" i="7"/>
  <c r="J3759" i="7"/>
  <c r="K3759" i="7" s="1"/>
  <c r="L3759" i="7" s="1"/>
  <c r="G3759" i="7"/>
  <c r="H3759" i="7" s="1"/>
  <c r="B3759" i="7"/>
  <c r="M3758" i="7"/>
  <c r="J3758" i="7"/>
  <c r="K3758" i="7" s="1"/>
  <c r="L3758" i="7" s="1"/>
  <c r="G3758" i="7"/>
  <c r="H3758" i="7" s="1"/>
  <c r="B3758" i="7"/>
  <c r="M3757" i="7"/>
  <c r="J3757" i="7"/>
  <c r="K3757" i="7" s="1"/>
  <c r="L3757" i="7" s="1"/>
  <c r="G3757" i="7"/>
  <c r="H3757" i="7" s="1"/>
  <c r="B3757" i="7"/>
  <c r="M3756" i="7"/>
  <c r="J3756" i="7"/>
  <c r="K3756" i="7" s="1"/>
  <c r="L3756" i="7" s="1"/>
  <c r="G3756" i="7"/>
  <c r="H3756" i="7" s="1"/>
  <c r="B3756" i="7"/>
  <c r="M3755" i="7"/>
  <c r="J3755" i="7"/>
  <c r="K3755" i="7" s="1"/>
  <c r="L3755" i="7" s="1"/>
  <c r="G3755" i="7"/>
  <c r="H3755" i="7" s="1"/>
  <c r="B3755" i="7"/>
  <c r="M3754" i="7"/>
  <c r="J3754" i="7"/>
  <c r="K3754" i="7" s="1"/>
  <c r="L3754" i="7" s="1"/>
  <c r="G3754" i="7"/>
  <c r="H3754" i="7" s="1"/>
  <c r="B3754" i="7"/>
  <c r="M3753" i="7"/>
  <c r="J3753" i="7"/>
  <c r="K3753" i="7" s="1"/>
  <c r="L3753" i="7" s="1"/>
  <c r="G3753" i="7"/>
  <c r="H3753" i="7" s="1"/>
  <c r="B3753" i="7"/>
  <c r="M3752" i="7"/>
  <c r="J3752" i="7"/>
  <c r="K3752" i="7" s="1"/>
  <c r="L3752" i="7" s="1"/>
  <c r="G3752" i="7"/>
  <c r="H3752" i="7" s="1"/>
  <c r="B3752" i="7"/>
  <c r="M3751" i="7"/>
  <c r="J3751" i="7"/>
  <c r="K3751" i="7" s="1"/>
  <c r="L3751" i="7" s="1"/>
  <c r="G3751" i="7"/>
  <c r="H3751" i="7" s="1"/>
  <c r="B3751" i="7"/>
  <c r="M3750" i="7"/>
  <c r="J3750" i="7"/>
  <c r="K3750" i="7" s="1"/>
  <c r="L3750" i="7" s="1"/>
  <c r="G3750" i="7"/>
  <c r="H3750" i="7" s="1"/>
  <c r="B3750" i="7"/>
  <c r="M3749" i="7"/>
  <c r="J3749" i="7"/>
  <c r="K3749" i="7" s="1"/>
  <c r="L3749" i="7" s="1"/>
  <c r="G3749" i="7"/>
  <c r="H3749" i="7" s="1"/>
  <c r="B3749" i="7"/>
  <c r="M3748" i="7"/>
  <c r="J3748" i="7"/>
  <c r="K3748" i="7" s="1"/>
  <c r="L3748" i="7" s="1"/>
  <c r="G3748" i="7"/>
  <c r="H3748" i="7" s="1"/>
  <c r="B3748" i="7"/>
  <c r="M3747" i="7"/>
  <c r="J3747" i="7"/>
  <c r="K3747" i="7" s="1"/>
  <c r="L3747" i="7" s="1"/>
  <c r="G3747" i="7"/>
  <c r="H3747" i="7" s="1"/>
  <c r="B3747" i="7"/>
  <c r="M3746" i="7"/>
  <c r="J3746" i="7"/>
  <c r="K3746" i="7" s="1"/>
  <c r="L3746" i="7" s="1"/>
  <c r="G3746" i="7"/>
  <c r="H3746" i="7" s="1"/>
  <c r="B3746" i="7"/>
  <c r="M3745" i="7"/>
  <c r="J3745" i="7"/>
  <c r="K3745" i="7" s="1"/>
  <c r="L3745" i="7" s="1"/>
  <c r="G3745" i="7"/>
  <c r="H3745" i="7" s="1"/>
  <c r="B3745" i="7"/>
  <c r="M3744" i="7"/>
  <c r="J3744" i="7"/>
  <c r="K3744" i="7" s="1"/>
  <c r="L3744" i="7" s="1"/>
  <c r="G3744" i="7"/>
  <c r="H3744" i="7" s="1"/>
  <c r="B3744" i="7"/>
  <c r="M3743" i="7"/>
  <c r="J3743" i="7"/>
  <c r="K3743" i="7" s="1"/>
  <c r="L3743" i="7" s="1"/>
  <c r="G3743" i="7"/>
  <c r="H3743" i="7" s="1"/>
  <c r="B3743" i="7"/>
  <c r="M3742" i="7"/>
  <c r="J3742" i="7"/>
  <c r="K3742" i="7" s="1"/>
  <c r="L3742" i="7" s="1"/>
  <c r="G3742" i="7"/>
  <c r="H3742" i="7" s="1"/>
  <c r="B3742" i="7"/>
  <c r="M3741" i="7"/>
  <c r="J3741" i="7"/>
  <c r="K3741" i="7" s="1"/>
  <c r="L3741" i="7" s="1"/>
  <c r="G3741" i="7"/>
  <c r="H3741" i="7" s="1"/>
  <c r="B3741" i="7"/>
  <c r="M3740" i="7"/>
  <c r="J3740" i="7"/>
  <c r="K3740" i="7" s="1"/>
  <c r="L3740" i="7" s="1"/>
  <c r="G3740" i="7"/>
  <c r="H3740" i="7" s="1"/>
  <c r="B3740" i="7"/>
  <c r="M3739" i="7"/>
  <c r="J3739" i="7"/>
  <c r="K3739" i="7" s="1"/>
  <c r="L3739" i="7" s="1"/>
  <c r="G3739" i="7"/>
  <c r="H3739" i="7" s="1"/>
  <c r="B3739" i="7"/>
  <c r="M3738" i="7"/>
  <c r="J3738" i="7"/>
  <c r="K3738" i="7" s="1"/>
  <c r="L3738" i="7" s="1"/>
  <c r="G3738" i="7"/>
  <c r="H3738" i="7" s="1"/>
  <c r="B3738" i="7"/>
  <c r="M3737" i="7"/>
  <c r="J3737" i="7"/>
  <c r="K3737" i="7" s="1"/>
  <c r="L3737" i="7" s="1"/>
  <c r="G3737" i="7"/>
  <c r="H3737" i="7" s="1"/>
  <c r="B3737" i="7"/>
  <c r="M3736" i="7"/>
  <c r="J3736" i="7"/>
  <c r="K3736" i="7" s="1"/>
  <c r="L3736" i="7" s="1"/>
  <c r="G3736" i="7"/>
  <c r="H3736" i="7" s="1"/>
  <c r="B3736" i="7"/>
  <c r="M3735" i="7"/>
  <c r="J3735" i="7"/>
  <c r="K3735" i="7" s="1"/>
  <c r="L3735" i="7" s="1"/>
  <c r="G3735" i="7"/>
  <c r="H3735" i="7" s="1"/>
  <c r="B3735" i="7"/>
  <c r="M3734" i="7"/>
  <c r="J3734" i="7"/>
  <c r="K3734" i="7" s="1"/>
  <c r="L3734" i="7" s="1"/>
  <c r="G3734" i="7"/>
  <c r="H3734" i="7" s="1"/>
  <c r="B3734" i="7"/>
  <c r="M3733" i="7"/>
  <c r="J3733" i="7"/>
  <c r="K3733" i="7" s="1"/>
  <c r="L3733" i="7" s="1"/>
  <c r="G3733" i="7"/>
  <c r="H3733" i="7" s="1"/>
  <c r="B3733" i="7"/>
  <c r="M3732" i="7"/>
  <c r="J3732" i="7"/>
  <c r="K3732" i="7" s="1"/>
  <c r="L3732" i="7" s="1"/>
  <c r="G3732" i="7"/>
  <c r="H3732" i="7" s="1"/>
  <c r="B3732" i="7"/>
  <c r="M3731" i="7"/>
  <c r="J3731" i="7"/>
  <c r="K3731" i="7" s="1"/>
  <c r="L3731" i="7" s="1"/>
  <c r="G3731" i="7"/>
  <c r="H3731" i="7" s="1"/>
  <c r="B3731" i="7"/>
  <c r="M3730" i="7"/>
  <c r="J3730" i="7"/>
  <c r="K3730" i="7" s="1"/>
  <c r="L3730" i="7" s="1"/>
  <c r="G3730" i="7"/>
  <c r="H3730" i="7" s="1"/>
  <c r="B3730" i="7"/>
  <c r="M3729" i="7"/>
  <c r="J3729" i="7"/>
  <c r="K3729" i="7" s="1"/>
  <c r="L3729" i="7" s="1"/>
  <c r="G3729" i="7"/>
  <c r="H3729" i="7" s="1"/>
  <c r="B3729" i="7"/>
  <c r="M3728" i="7"/>
  <c r="J3728" i="7"/>
  <c r="K3728" i="7" s="1"/>
  <c r="L3728" i="7" s="1"/>
  <c r="G3728" i="7"/>
  <c r="H3728" i="7" s="1"/>
  <c r="B3728" i="7"/>
  <c r="M3727" i="7"/>
  <c r="J3727" i="7"/>
  <c r="K3727" i="7" s="1"/>
  <c r="L3727" i="7" s="1"/>
  <c r="G3727" i="7"/>
  <c r="H3727" i="7" s="1"/>
  <c r="B3727" i="7"/>
  <c r="M3726" i="7"/>
  <c r="J3726" i="7"/>
  <c r="K3726" i="7" s="1"/>
  <c r="L3726" i="7" s="1"/>
  <c r="G3726" i="7"/>
  <c r="H3726" i="7" s="1"/>
  <c r="B3726" i="7"/>
  <c r="M3725" i="7"/>
  <c r="J3725" i="7"/>
  <c r="K3725" i="7" s="1"/>
  <c r="L3725" i="7" s="1"/>
  <c r="G3725" i="7"/>
  <c r="H3725" i="7" s="1"/>
  <c r="B3725" i="7"/>
  <c r="M3724" i="7"/>
  <c r="J3724" i="7"/>
  <c r="K3724" i="7" s="1"/>
  <c r="L3724" i="7" s="1"/>
  <c r="G3724" i="7"/>
  <c r="H3724" i="7" s="1"/>
  <c r="B3724" i="7"/>
  <c r="M3723" i="7"/>
  <c r="J3723" i="7"/>
  <c r="K3723" i="7" s="1"/>
  <c r="L3723" i="7" s="1"/>
  <c r="G3723" i="7"/>
  <c r="H3723" i="7" s="1"/>
  <c r="B3723" i="7"/>
  <c r="M3722" i="7"/>
  <c r="J3722" i="7"/>
  <c r="K3722" i="7" s="1"/>
  <c r="L3722" i="7" s="1"/>
  <c r="G3722" i="7"/>
  <c r="H3722" i="7" s="1"/>
  <c r="B3722" i="7"/>
  <c r="M3721" i="7"/>
  <c r="J3721" i="7"/>
  <c r="K3721" i="7" s="1"/>
  <c r="L3721" i="7" s="1"/>
  <c r="G3721" i="7"/>
  <c r="H3721" i="7" s="1"/>
  <c r="B3721" i="7"/>
  <c r="M3720" i="7"/>
  <c r="J3720" i="7"/>
  <c r="K3720" i="7" s="1"/>
  <c r="L3720" i="7" s="1"/>
  <c r="G3720" i="7"/>
  <c r="H3720" i="7" s="1"/>
  <c r="B3720" i="7"/>
  <c r="M3719" i="7"/>
  <c r="J3719" i="7"/>
  <c r="K3719" i="7" s="1"/>
  <c r="L3719" i="7" s="1"/>
  <c r="G3719" i="7"/>
  <c r="H3719" i="7" s="1"/>
  <c r="B3719" i="7"/>
  <c r="M3718" i="7"/>
  <c r="J3718" i="7"/>
  <c r="K3718" i="7" s="1"/>
  <c r="L3718" i="7" s="1"/>
  <c r="G3718" i="7"/>
  <c r="H3718" i="7" s="1"/>
  <c r="B3718" i="7"/>
  <c r="M3717" i="7"/>
  <c r="J3717" i="7"/>
  <c r="K3717" i="7" s="1"/>
  <c r="L3717" i="7" s="1"/>
  <c r="G3717" i="7"/>
  <c r="H3717" i="7" s="1"/>
  <c r="B3717" i="7"/>
  <c r="M3716" i="7"/>
  <c r="J3716" i="7"/>
  <c r="K3716" i="7" s="1"/>
  <c r="L3716" i="7" s="1"/>
  <c r="G3716" i="7"/>
  <c r="H3716" i="7" s="1"/>
  <c r="B3716" i="7"/>
  <c r="M3715" i="7"/>
  <c r="J3715" i="7"/>
  <c r="K3715" i="7" s="1"/>
  <c r="L3715" i="7" s="1"/>
  <c r="G3715" i="7"/>
  <c r="H3715" i="7" s="1"/>
  <c r="B3715" i="7"/>
  <c r="M3714" i="7"/>
  <c r="J3714" i="7"/>
  <c r="K3714" i="7" s="1"/>
  <c r="L3714" i="7" s="1"/>
  <c r="G3714" i="7"/>
  <c r="H3714" i="7" s="1"/>
  <c r="B3714" i="7"/>
  <c r="M3713" i="7"/>
  <c r="J3713" i="7"/>
  <c r="K3713" i="7" s="1"/>
  <c r="L3713" i="7" s="1"/>
  <c r="G3713" i="7"/>
  <c r="H3713" i="7" s="1"/>
  <c r="B3713" i="7"/>
  <c r="M3712" i="7"/>
  <c r="J3712" i="7"/>
  <c r="K3712" i="7" s="1"/>
  <c r="L3712" i="7" s="1"/>
  <c r="G3712" i="7"/>
  <c r="H3712" i="7" s="1"/>
  <c r="B3712" i="7"/>
  <c r="M3711" i="7"/>
  <c r="J3711" i="7"/>
  <c r="K3711" i="7" s="1"/>
  <c r="L3711" i="7" s="1"/>
  <c r="G3711" i="7"/>
  <c r="H3711" i="7" s="1"/>
  <c r="B3711" i="7"/>
  <c r="M3710" i="7"/>
  <c r="J3710" i="7"/>
  <c r="K3710" i="7" s="1"/>
  <c r="L3710" i="7" s="1"/>
  <c r="G3710" i="7"/>
  <c r="H3710" i="7" s="1"/>
  <c r="B3710" i="7"/>
  <c r="M3709" i="7"/>
  <c r="J3709" i="7"/>
  <c r="K3709" i="7" s="1"/>
  <c r="L3709" i="7" s="1"/>
  <c r="G3709" i="7"/>
  <c r="H3709" i="7" s="1"/>
  <c r="B3709" i="7"/>
  <c r="M3708" i="7"/>
  <c r="J3708" i="7"/>
  <c r="K3708" i="7" s="1"/>
  <c r="L3708" i="7" s="1"/>
  <c r="G3708" i="7"/>
  <c r="H3708" i="7" s="1"/>
  <c r="B3708" i="7"/>
  <c r="M3707" i="7"/>
  <c r="J3707" i="7"/>
  <c r="K3707" i="7" s="1"/>
  <c r="L3707" i="7" s="1"/>
  <c r="G3707" i="7"/>
  <c r="H3707" i="7" s="1"/>
  <c r="B3707" i="7"/>
  <c r="M3706" i="7"/>
  <c r="J3706" i="7"/>
  <c r="K3706" i="7" s="1"/>
  <c r="L3706" i="7" s="1"/>
  <c r="G3706" i="7"/>
  <c r="H3706" i="7" s="1"/>
  <c r="B3706" i="7"/>
  <c r="M3705" i="7"/>
  <c r="J3705" i="7"/>
  <c r="K3705" i="7" s="1"/>
  <c r="L3705" i="7" s="1"/>
  <c r="G3705" i="7"/>
  <c r="H3705" i="7" s="1"/>
  <c r="B3705" i="7"/>
  <c r="M3704" i="7"/>
  <c r="J3704" i="7"/>
  <c r="K3704" i="7" s="1"/>
  <c r="L3704" i="7" s="1"/>
  <c r="G3704" i="7"/>
  <c r="H3704" i="7" s="1"/>
  <c r="B3704" i="7"/>
  <c r="M3703" i="7"/>
  <c r="J3703" i="7"/>
  <c r="K3703" i="7" s="1"/>
  <c r="L3703" i="7" s="1"/>
  <c r="G3703" i="7"/>
  <c r="H3703" i="7" s="1"/>
  <c r="B3703" i="7"/>
  <c r="M3702" i="7"/>
  <c r="J3702" i="7"/>
  <c r="K3702" i="7" s="1"/>
  <c r="L3702" i="7" s="1"/>
  <c r="G3702" i="7"/>
  <c r="H3702" i="7" s="1"/>
  <c r="B3702" i="7"/>
  <c r="M3701" i="7"/>
  <c r="J3701" i="7"/>
  <c r="K3701" i="7" s="1"/>
  <c r="L3701" i="7" s="1"/>
  <c r="G3701" i="7"/>
  <c r="H3701" i="7" s="1"/>
  <c r="B3701" i="7"/>
  <c r="M3700" i="7"/>
  <c r="J3700" i="7"/>
  <c r="K3700" i="7" s="1"/>
  <c r="L3700" i="7" s="1"/>
  <c r="G3700" i="7"/>
  <c r="H3700" i="7" s="1"/>
  <c r="B3700" i="7"/>
  <c r="M3699" i="7"/>
  <c r="J3699" i="7"/>
  <c r="K3699" i="7" s="1"/>
  <c r="L3699" i="7" s="1"/>
  <c r="G3699" i="7"/>
  <c r="H3699" i="7" s="1"/>
  <c r="B3699" i="7"/>
  <c r="M3698" i="7"/>
  <c r="J3698" i="7"/>
  <c r="K3698" i="7" s="1"/>
  <c r="L3698" i="7" s="1"/>
  <c r="G3698" i="7"/>
  <c r="H3698" i="7" s="1"/>
  <c r="B3698" i="7"/>
  <c r="M3697" i="7"/>
  <c r="J3697" i="7"/>
  <c r="K3697" i="7" s="1"/>
  <c r="L3697" i="7" s="1"/>
  <c r="G3697" i="7"/>
  <c r="H3697" i="7" s="1"/>
  <c r="B3697" i="7"/>
  <c r="M3696" i="7"/>
  <c r="J3696" i="7"/>
  <c r="K3696" i="7" s="1"/>
  <c r="L3696" i="7" s="1"/>
  <c r="G3696" i="7"/>
  <c r="H3696" i="7" s="1"/>
  <c r="B3696" i="7"/>
  <c r="M3695" i="7"/>
  <c r="J3695" i="7"/>
  <c r="K3695" i="7" s="1"/>
  <c r="L3695" i="7" s="1"/>
  <c r="G3695" i="7"/>
  <c r="H3695" i="7" s="1"/>
  <c r="B3695" i="7"/>
  <c r="M3694" i="7"/>
  <c r="J3694" i="7"/>
  <c r="K3694" i="7" s="1"/>
  <c r="L3694" i="7" s="1"/>
  <c r="G3694" i="7"/>
  <c r="H3694" i="7" s="1"/>
  <c r="B3694" i="7"/>
  <c r="M3693" i="7"/>
  <c r="J3693" i="7"/>
  <c r="K3693" i="7" s="1"/>
  <c r="L3693" i="7" s="1"/>
  <c r="G3693" i="7"/>
  <c r="H3693" i="7" s="1"/>
  <c r="B3693" i="7"/>
  <c r="M3692" i="7"/>
  <c r="J3692" i="7"/>
  <c r="K3692" i="7" s="1"/>
  <c r="L3692" i="7" s="1"/>
  <c r="G3692" i="7"/>
  <c r="H3692" i="7" s="1"/>
  <c r="B3692" i="7"/>
  <c r="M3691" i="7"/>
  <c r="J3691" i="7"/>
  <c r="K3691" i="7" s="1"/>
  <c r="L3691" i="7" s="1"/>
  <c r="G3691" i="7"/>
  <c r="H3691" i="7" s="1"/>
  <c r="B3691" i="7"/>
  <c r="M3690" i="7"/>
  <c r="J3690" i="7"/>
  <c r="K3690" i="7" s="1"/>
  <c r="L3690" i="7" s="1"/>
  <c r="G3690" i="7"/>
  <c r="H3690" i="7" s="1"/>
  <c r="B3690" i="7"/>
  <c r="M3689" i="7"/>
  <c r="J3689" i="7"/>
  <c r="K3689" i="7" s="1"/>
  <c r="L3689" i="7" s="1"/>
  <c r="G3689" i="7"/>
  <c r="H3689" i="7" s="1"/>
  <c r="B3689" i="7"/>
  <c r="M3688" i="7"/>
  <c r="J3688" i="7"/>
  <c r="K3688" i="7" s="1"/>
  <c r="L3688" i="7" s="1"/>
  <c r="G3688" i="7"/>
  <c r="H3688" i="7" s="1"/>
  <c r="B3688" i="7"/>
  <c r="M3687" i="7"/>
  <c r="J3687" i="7"/>
  <c r="K3687" i="7" s="1"/>
  <c r="L3687" i="7" s="1"/>
  <c r="G3687" i="7"/>
  <c r="H3687" i="7" s="1"/>
  <c r="B3687" i="7"/>
  <c r="M3686" i="7"/>
  <c r="J3686" i="7"/>
  <c r="K3686" i="7" s="1"/>
  <c r="L3686" i="7" s="1"/>
  <c r="G3686" i="7"/>
  <c r="H3686" i="7" s="1"/>
  <c r="B3686" i="7"/>
  <c r="M3685" i="7"/>
  <c r="J3685" i="7"/>
  <c r="K3685" i="7" s="1"/>
  <c r="L3685" i="7" s="1"/>
  <c r="G3685" i="7"/>
  <c r="H3685" i="7" s="1"/>
  <c r="B3685" i="7"/>
  <c r="M3684" i="7"/>
  <c r="J3684" i="7"/>
  <c r="K3684" i="7" s="1"/>
  <c r="L3684" i="7" s="1"/>
  <c r="G3684" i="7"/>
  <c r="H3684" i="7" s="1"/>
  <c r="B3684" i="7"/>
  <c r="M3683" i="7"/>
  <c r="J3683" i="7"/>
  <c r="K3683" i="7" s="1"/>
  <c r="L3683" i="7" s="1"/>
  <c r="G3683" i="7"/>
  <c r="H3683" i="7" s="1"/>
  <c r="B3683" i="7"/>
  <c r="M3682" i="7"/>
  <c r="J3682" i="7"/>
  <c r="K3682" i="7" s="1"/>
  <c r="L3682" i="7" s="1"/>
  <c r="G3682" i="7"/>
  <c r="H3682" i="7" s="1"/>
  <c r="B3682" i="7"/>
  <c r="M3681" i="7"/>
  <c r="J3681" i="7"/>
  <c r="K3681" i="7" s="1"/>
  <c r="L3681" i="7" s="1"/>
  <c r="G3681" i="7"/>
  <c r="H3681" i="7" s="1"/>
  <c r="B3681" i="7"/>
  <c r="M3680" i="7"/>
  <c r="J3680" i="7"/>
  <c r="K3680" i="7" s="1"/>
  <c r="L3680" i="7" s="1"/>
  <c r="G3680" i="7"/>
  <c r="H3680" i="7" s="1"/>
  <c r="B3680" i="7"/>
  <c r="M3679" i="7"/>
  <c r="J3679" i="7"/>
  <c r="K3679" i="7" s="1"/>
  <c r="L3679" i="7" s="1"/>
  <c r="G3679" i="7"/>
  <c r="H3679" i="7" s="1"/>
  <c r="B3679" i="7"/>
  <c r="M3678" i="7"/>
  <c r="J3678" i="7"/>
  <c r="K3678" i="7" s="1"/>
  <c r="L3678" i="7" s="1"/>
  <c r="G3678" i="7"/>
  <c r="H3678" i="7" s="1"/>
  <c r="B3678" i="7"/>
  <c r="M3677" i="7"/>
  <c r="J3677" i="7"/>
  <c r="K3677" i="7" s="1"/>
  <c r="L3677" i="7" s="1"/>
  <c r="G3677" i="7"/>
  <c r="H3677" i="7" s="1"/>
  <c r="B3677" i="7"/>
  <c r="M3676" i="7"/>
  <c r="J3676" i="7"/>
  <c r="K3676" i="7" s="1"/>
  <c r="L3676" i="7" s="1"/>
  <c r="G3676" i="7"/>
  <c r="H3676" i="7" s="1"/>
  <c r="B3676" i="7"/>
  <c r="M3675" i="7"/>
  <c r="J3675" i="7"/>
  <c r="K3675" i="7" s="1"/>
  <c r="L3675" i="7" s="1"/>
  <c r="G3675" i="7"/>
  <c r="H3675" i="7" s="1"/>
  <c r="B3675" i="7"/>
  <c r="M3674" i="7"/>
  <c r="J3674" i="7"/>
  <c r="K3674" i="7" s="1"/>
  <c r="L3674" i="7" s="1"/>
  <c r="G3674" i="7"/>
  <c r="H3674" i="7" s="1"/>
  <c r="B3674" i="7"/>
  <c r="M3673" i="7"/>
  <c r="J3673" i="7"/>
  <c r="K3673" i="7" s="1"/>
  <c r="L3673" i="7" s="1"/>
  <c r="G3673" i="7"/>
  <c r="H3673" i="7" s="1"/>
  <c r="B3673" i="7"/>
  <c r="M3672" i="7"/>
  <c r="J3672" i="7"/>
  <c r="K3672" i="7" s="1"/>
  <c r="L3672" i="7" s="1"/>
  <c r="G3672" i="7"/>
  <c r="H3672" i="7" s="1"/>
  <c r="B3672" i="7"/>
  <c r="M3671" i="7"/>
  <c r="J3671" i="7"/>
  <c r="K3671" i="7" s="1"/>
  <c r="L3671" i="7" s="1"/>
  <c r="G3671" i="7"/>
  <c r="H3671" i="7" s="1"/>
  <c r="B3671" i="7"/>
  <c r="M3670" i="7"/>
  <c r="J3670" i="7"/>
  <c r="K3670" i="7" s="1"/>
  <c r="L3670" i="7" s="1"/>
  <c r="G3670" i="7"/>
  <c r="H3670" i="7" s="1"/>
  <c r="B3670" i="7"/>
  <c r="M3669" i="7"/>
  <c r="J3669" i="7"/>
  <c r="K3669" i="7" s="1"/>
  <c r="L3669" i="7" s="1"/>
  <c r="G3669" i="7"/>
  <c r="H3669" i="7" s="1"/>
  <c r="B3669" i="7"/>
  <c r="M3668" i="7"/>
  <c r="J3668" i="7"/>
  <c r="K3668" i="7" s="1"/>
  <c r="L3668" i="7" s="1"/>
  <c r="G3668" i="7"/>
  <c r="H3668" i="7" s="1"/>
  <c r="B3668" i="7"/>
  <c r="M3667" i="7"/>
  <c r="J3667" i="7"/>
  <c r="K3667" i="7" s="1"/>
  <c r="L3667" i="7" s="1"/>
  <c r="G3667" i="7"/>
  <c r="H3667" i="7" s="1"/>
  <c r="B3667" i="7"/>
  <c r="M3666" i="7"/>
  <c r="J3666" i="7"/>
  <c r="K3666" i="7" s="1"/>
  <c r="L3666" i="7" s="1"/>
  <c r="G3666" i="7"/>
  <c r="H3666" i="7" s="1"/>
  <c r="B3666" i="7"/>
  <c r="M3665" i="7"/>
  <c r="J3665" i="7"/>
  <c r="K3665" i="7" s="1"/>
  <c r="L3665" i="7" s="1"/>
  <c r="G3665" i="7"/>
  <c r="H3665" i="7" s="1"/>
  <c r="B3665" i="7"/>
  <c r="M3664" i="7"/>
  <c r="J3664" i="7"/>
  <c r="K3664" i="7" s="1"/>
  <c r="L3664" i="7" s="1"/>
  <c r="G3664" i="7"/>
  <c r="H3664" i="7" s="1"/>
  <c r="B3664" i="7"/>
  <c r="M3663" i="7"/>
  <c r="J3663" i="7"/>
  <c r="K3663" i="7" s="1"/>
  <c r="L3663" i="7" s="1"/>
  <c r="G3663" i="7"/>
  <c r="H3663" i="7" s="1"/>
  <c r="B3663" i="7"/>
  <c r="M3662" i="7"/>
  <c r="J3662" i="7"/>
  <c r="K3662" i="7" s="1"/>
  <c r="L3662" i="7" s="1"/>
  <c r="G3662" i="7"/>
  <c r="H3662" i="7" s="1"/>
  <c r="B3662" i="7"/>
  <c r="M3661" i="7"/>
  <c r="J3661" i="7"/>
  <c r="K3661" i="7" s="1"/>
  <c r="L3661" i="7" s="1"/>
  <c r="G3661" i="7"/>
  <c r="H3661" i="7" s="1"/>
  <c r="B3661" i="7"/>
  <c r="M3660" i="7"/>
  <c r="J3660" i="7"/>
  <c r="K3660" i="7" s="1"/>
  <c r="L3660" i="7" s="1"/>
  <c r="G3660" i="7"/>
  <c r="H3660" i="7" s="1"/>
  <c r="B3660" i="7"/>
  <c r="M3659" i="7"/>
  <c r="J3659" i="7"/>
  <c r="K3659" i="7" s="1"/>
  <c r="L3659" i="7" s="1"/>
  <c r="G3659" i="7"/>
  <c r="H3659" i="7" s="1"/>
  <c r="B3659" i="7"/>
  <c r="M3658" i="7"/>
  <c r="J3658" i="7"/>
  <c r="K3658" i="7" s="1"/>
  <c r="L3658" i="7" s="1"/>
  <c r="G3658" i="7"/>
  <c r="H3658" i="7" s="1"/>
  <c r="B3658" i="7"/>
  <c r="M3657" i="7"/>
  <c r="J3657" i="7"/>
  <c r="K3657" i="7" s="1"/>
  <c r="L3657" i="7" s="1"/>
  <c r="G3657" i="7"/>
  <c r="H3657" i="7" s="1"/>
  <c r="B3657" i="7"/>
  <c r="M3656" i="7"/>
  <c r="J3656" i="7"/>
  <c r="K3656" i="7" s="1"/>
  <c r="L3656" i="7" s="1"/>
  <c r="G3656" i="7"/>
  <c r="H3656" i="7" s="1"/>
  <c r="B3656" i="7"/>
  <c r="M3655" i="7"/>
  <c r="J3655" i="7"/>
  <c r="K3655" i="7" s="1"/>
  <c r="L3655" i="7" s="1"/>
  <c r="G3655" i="7"/>
  <c r="H3655" i="7" s="1"/>
  <c r="B3655" i="7"/>
  <c r="M3654" i="7"/>
  <c r="J3654" i="7"/>
  <c r="K3654" i="7" s="1"/>
  <c r="L3654" i="7" s="1"/>
  <c r="G3654" i="7"/>
  <c r="H3654" i="7" s="1"/>
  <c r="B3654" i="7"/>
  <c r="M3653" i="7"/>
  <c r="J3653" i="7"/>
  <c r="K3653" i="7" s="1"/>
  <c r="L3653" i="7" s="1"/>
  <c r="G3653" i="7"/>
  <c r="H3653" i="7" s="1"/>
  <c r="B3653" i="7"/>
  <c r="M3652" i="7"/>
  <c r="J3652" i="7"/>
  <c r="K3652" i="7" s="1"/>
  <c r="L3652" i="7" s="1"/>
  <c r="G3652" i="7"/>
  <c r="H3652" i="7" s="1"/>
  <c r="B3652" i="7"/>
  <c r="M3651" i="7"/>
  <c r="J3651" i="7"/>
  <c r="K3651" i="7" s="1"/>
  <c r="L3651" i="7" s="1"/>
  <c r="G3651" i="7"/>
  <c r="H3651" i="7" s="1"/>
  <c r="B3651" i="7"/>
  <c r="M3650" i="7"/>
  <c r="J3650" i="7"/>
  <c r="K3650" i="7" s="1"/>
  <c r="L3650" i="7" s="1"/>
  <c r="G3650" i="7"/>
  <c r="H3650" i="7" s="1"/>
  <c r="B3650" i="7"/>
  <c r="M3649" i="7"/>
  <c r="J3649" i="7"/>
  <c r="K3649" i="7" s="1"/>
  <c r="L3649" i="7" s="1"/>
  <c r="G3649" i="7"/>
  <c r="H3649" i="7" s="1"/>
  <c r="B3649" i="7"/>
  <c r="M3648" i="7"/>
  <c r="J3648" i="7"/>
  <c r="K3648" i="7" s="1"/>
  <c r="L3648" i="7" s="1"/>
  <c r="G3648" i="7"/>
  <c r="H3648" i="7" s="1"/>
  <c r="B3648" i="7"/>
  <c r="M3647" i="7"/>
  <c r="J3647" i="7"/>
  <c r="K3647" i="7" s="1"/>
  <c r="L3647" i="7" s="1"/>
  <c r="G3647" i="7"/>
  <c r="H3647" i="7" s="1"/>
  <c r="B3647" i="7"/>
  <c r="M3646" i="7"/>
  <c r="J3646" i="7"/>
  <c r="K3646" i="7" s="1"/>
  <c r="L3646" i="7" s="1"/>
  <c r="G3646" i="7"/>
  <c r="H3646" i="7" s="1"/>
  <c r="B3646" i="7"/>
  <c r="M3645" i="7"/>
  <c r="J3645" i="7"/>
  <c r="K3645" i="7" s="1"/>
  <c r="L3645" i="7" s="1"/>
  <c r="G3645" i="7"/>
  <c r="H3645" i="7" s="1"/>
  <c r="B3645" i="7"/>
  <c r="M3644" i="7"/>
  <c r="J3644" i="7"/>
  <c r="K3644" i="7" s="1"/>
  <c r="L3644" i="7" s="1"/>
  <c r="G3644" i="7"/>
  <c r="H3644" i="7" s="1"/>
  <c r="B3644" i="7"/>
  <c r="M3643" i="7"/>
  <c r="J3643" i="7"/>
  <c r="K3643" i="7" s="1"/>
  <c r="L3643" i="7" s="1"/>
  <c r="G3643" i="7"/>
  <c r="H3643" i="7" s="1"/>
  <c r="B3643" i="7"/>
  <c r="M3642" i="7"/>
  <c r="J3642" i="7"/>
  <c r="K3642" i="7" s="1"/>
  <c r="L3642" i="7" s="1"/>
  <c r="G3642" i="7"/>
  <c r="H3642" i="7" s="1"/>
  <c r="B3642" i="7"/>
  <c r="M3641" i="7"/>
  <c r="J3641" i="7"/>
  <c r="K3641" i="7" s="1"/>
  <c r="L3641" i="7" s="1"/>
  <c r="G3641" i="7"/>
  <c r="H3641" i="7" s="1"/>
  <c r="B3641" i="7"/>
  <c r="M3640" i="7"/>
  <c r="J3640" i="7"/>
  <c r="K3640" i="7" s="1"/>
  <c r="L3640" i="7" s="1"/>
  <c r="G3640" i="7"/>
  <c r="H3640" i="7" s="1"/>
  <c r="B3640" i="7"/>
  <c r="M3639" i="7"/>
  <c r="J3639" i="7"/>
  <c r="K3639" i="7" s="1"/>
  <c r="L3639" i="7" s="1"/>
  <c r="G3639" i="7"/>
  <c r="H3639" i="7" s="1"/>
  <c r="B3639" i="7"/>
  <c r="M3638" i="7"/>
  <c r="J3638" i="7"/>
  <c r="K3638" i="7" s="1"/>
  <c r="L3638" i="7" s="1"/>
  <c r="G3638" i="7"/>
  <c r="H3638" i="7" s="1"/>
  <c r="B3638" i="7"/>
  <c r="M3637" i="7"/>
  <c r="J3637" i="7"/>
  <c r="K3637" i="7" s="1"/>
  <c r="L3637" i="7" s="1"/>
  <c r="G3637" i="7"/>
  <c r="H3637" i="7" s="1"/>
  <c r="B3637" i="7"/>
  <c r="M3636" i="7"/>
  <c r="J3636" i="7"/>
  <c r="K3636" i="7" s="1"/>
  <c r="L3636" i="7" s="1"/>
  <c r="G3636" i="7"/>
  <c r="H3636" i="7" s="1"/>
  <c r="B3636" i="7"/>
  <c r="M3635" i="7"/>
  <c r="J3635" i="7"/>
  <c r="K3635" i="7" s="1"/>
  <c r="L3635" i="7" s="1"/>
  <c r="G3635" i="7"/>
  <c r="H3635" i="7" s="1"/>
  <c r="B3635" i="7"/>
  <c r="M3634" i="7"/>
  <c r="J3634" i="7"/>
  <c r="K3634" i="7" s="1"/>
  <c r="L3634" i="7" s="1"/>
  <c r="G3634" i="7"/>
  <c r="H3634" i="7" s="1"/>
  <c r="B3634" i="7"/>
  <c r="M3633" i="7"/>
  <c r="J3633" i="7"/>
  <c r="K3633" i="7" s="1"/>
  <c r="L3633" i="7" s="1"/>
  <c r="G3633" i="7"/>
  <c r="H3633" i="7" s="1"/>
  <c r="B3633" i="7"/>
  <c r="M3632" i="7"/>
  <c r="J3632" i="7"/>
  <c r="K3632" i="7" s="1"/>
  <c r="L3632" i="7" s="1"/>
  <c r="G3632" i="7"/>
  <c r="H3632" i="7" s="1"/>
  <c r="B3632" i="7"/>
  <c r="M3631" i="7"/>
  <c r="J3631" i="7"/>
  <c r="K3631" i="7" s="1"/>
  <c r="L3631" i="7" s="1"/>
  <c r="G3631" i="7"/>
  <c r="H3631" i="7" s="1"/>
  <c r="B3631" i="7"/>
  <c r="M3630" i="7"/>
  <c r="J3630" i="7"/>
  <c r="K3630" i="7" s="1"/>
  <c r="L3630" i="7" s="1"/>
  <c r="G3630" i="7"/>
  <c r="H3630" i="7" s="1"/>
  <c r="B3630" i="7"/>
  <c r="M3629" i="7"/>
  <c r="J3629" i="7"/>
  <c r="K3629" i="7" s="1"/>
  <c r="L3629" i="7" s="1"/>
  <c r="G3629" i="7"/>
  <c r="H3629" i="7" s="1"/>
  <c r="B3629" i="7"/>
  <c r="M3628" i="7"/>
  <c r="J3628" i="7"/>
  <c r="K3628" i="7" s="1"/>
  <c r="L3628" i="7" s="1"/>
  <c r="G3628" i="7"/>
  <c r="H3628" i="7" s="1"/>
  <c r="B3628" i="7"/>
  <c r="M3627" i="7"/>
  <c r="J3627" i="7"/>
  <c r="K3627" i="7" s="1"/>
  <c r="L3627" i="7" s="1"/>
  <c r="G3627" i="7"/>
  <c r="H3627" i="7" s="1"/>
  <c r="B3627" i="7"/>
  <c r="M3626" i="7"/>
  <c r="J3626" i="7"/>
  <c r="K3626" i="7" s="1"/>
  <c r="L3626" i="7" s="1"/>
  <c r="G3626" i="7"/>
  <c r="H3626" i="7" s="1"/>
  <c r="B3626" i="7"/>
  <c r="M3625" i="7"/>
  <c r="J3625" i="7"/>
  <c r="K3625" i="7" s="1"/>
  <c r="L3625" i="7" s="1"/>
  <c r="G3625" i="7"/>
  <c r="H3625" i="7" s="1"/>
  <c r="B3625" i="7"/>
  <c r="M3624" i="7"/>
  <c r="J3624" i="7"/>
  <c r="K3624" i="7" s="1"/>
  <c r="L3624" i="7" s="1"/>
  <c r="G3624" i="7"/>
  <c r="H3624" i="7" s="1"/>
  <c r="B3624" i="7"/>
  <c r="M3623" i="7"/>
  <c r="J3623" i="7"/>
  <c r="K3623" i="7" s="1"/>
  <c r="L3623" i="7" s="1"/>
  <c r="G3623" i="7"/>
  <c r="H3623" i="7" s="1"/>
  <c r="B3623" i="7"/>
  <c r="M3622" i="7"/>
  <c r="J3622" i="7"/>
  <c r="K3622" i="7" s="1"/>
  <c r="L3622" i="7" s="1"/>
  <c r="G3622" i="7"/>
  <c r="H3622" i="7" s="1"/>
  <c r="B3622" i="7"/>
  <c r="M3621" i="7"/>
  <c r="J3621" i="7"/>
  <c r="K3621" i="7" s="1"/>
  <c r="L3621" i="7" s="1"/>
  <c r="G3621" i="7"/>
  <c r="H3621" i="7" s="1"/>
  <c r="B3621" i="7"/>
  <c r="M3620" i="7"/>
  <c r="J3620" i="7"/>
  <c r="K3620" i="7" s="1"/>
  <c r="L3620" i="7" s="1"/>
  <c r="G3620" i="7"/>
  <c r="H3620" i="7" s="1"/>
  <c r="B3620" i="7"/>
  <c r="M3619" i="7"/>
  <c r="J3619" i="7"/>
  <c r="K3619" i="7" s="1"/>
  <c r="L3619" i="7" s="1"/>
  <c r="G3619" i="7"/>
  <c r="H3619" i="7" s="1"/>
  <c r="B3619" i="7"/>
  <c r="M3618" i="7"/>
  <c r="J3618" i="7"/>
  <c r="K3618" i="7" s="1"/>
  <c r="L3618" i="7" s="1"/>
  <c r="G3618" i="7"/>
  <c r="H3618" i="7" s="1"/>
  <c r="B3618" i="7"/>
  <c r="M3617" i="7"/>
  <c r="J3617" i="7"/>
  <c r="K3617" i="7" s="1"/>
  <c r="L3617" i="7" s="1"/>
  <c r="G3617" i="7"/>
  <c r="H3617" i="7" s="1"/>
  <c r="B3617" i="7"/>
  <c r="M3616" i="7"/>
  <c r="J3616" i="7"/>
  <c r="K3616" i="7" s="1"/>
  <c r="L3616" i="7" s="1"/>
  <c r="G3616" i="7"/>
  <c r="H3616" i="7" s="1"/>
  <c r="B3616" i="7"/>
  <c r="M3615" i="7"/>
  <c r="J3615" i="7"/>
  <c r="K3615" i="7" s="1"/>
  <c r="L3615" i="7" s="1"/>
  <c r="G3615" i="7"/>
  <c r="H3615" i="7" s="1"/>
  <c r="B3615" i="7"/>
  <c r="M3614" i="7"/>
  <c r="J3614" i="7"/>
  <c r="K3614" i="7" s="1"/>
  <c r="L3614" i="7" s="1"/>
  <c r="G3614" i="7"/>
  <c r="H3614" i="7" s="1"/>
  <c r="B3614" i="7"/>
  <c r="M3613" i="7"/>
  <c r="J3613" i="7"/>
  <c r="K3613" i="7" s="1"/>
  <c r="L3613" i="7" s="1"/>
  <c r="G3613" i="7"/>
  <c r="H3613" i="7" s="1"/>
  <c r="B3613" i="7"/>
  <c r="M3612" i="7"/>
  <c r="J3612" i="7"/>
  <c r="K3612" i="7" s="1"/>
  <c r="L3612" i="7" s="1"/>
  <c r="G3612" i="7"/>
  <c r="H3612" i="7" s="1"/>
  <c r="B3612" i="7"/>
  <c r="M3611" i="7"/>
  <c r="J3611" i="7"/>
  <c r="K3611" i="7" s="1"/>
  <c r="L3611" i="7" s="1"/>
  <c r="G3611" i="7"/>
  <c r="H3611" i="7" s="1"/>
  <c r="B3611" i="7"/>
  <c r="M3610" i="7"/>
  <c r="J3610" i="7"/>
  <c r="K3610" i="7" s="1"/>
  <c r="L3610" i="7" s="1"/>
  <c r="G3610" i="7"/>
  <c r="H3610" i="7" s="1"/>
  <c r="B3610" i="7"/>
  <c r="M3609" i="7"/>
  <c r="J3609" i="7"/>
  <c r="K3609" i="7" s="1"/>
  <c r="L3609" i="7" s="1"/>
  <c r="G3609" i="7"/>
  <c r="H3609" i="7" s="1"/>
  <c r="B3609" i="7"/>
  <c r="M3608" i="7"/>
  <c r="J3608" i="7"/>
  <c r="K3608" i="7" s="1"/>
  <c r="L3608" i="7" s="1"/>
  <c r="G3608" i="7"/>
  <c r="H3608" i="7" s="1"/>
  <c r="B3608" i="7"/>
  <c r="M3607" i="7"/>
  <c r="J3607" i="7"/>
  <c r="K3607" i="7" s="1"/>
  <c r="L3607" i="7" s="1"/>
  <c r="G3607" i="7"/>
  <c r="H3607" i="7" s="1"/>
  <c r="B3607" i="7"/>
  <c r="M3606" i="7"/>
  <c r="J3606" i="7"/>
  <c r="K3606" i="7" s="1"/>
  <c r="L3606" i="7" s="1"/>
  <c r="G3606" i="7"/>
  <c r="H3606" i="7" s="1"/>
  <c r="B3606" i="7"/>
  <c r="M3605" i="7"/>
  <c r="J3605" i="7"/>
  <c r="K3605" i="7" s="1"/>
  <c r="L3605" i="7" s="1"/>
  <c r="G3605" i="7"/>
  <c r="H3605" i="7" s="1"/>
  <c r="B3605" i="7"/>
  <c r="M3604" i="7"/>
  <c r="J3604" i="7"/>
  <c r="K3604" i="7" s="1"/>
  <c r="L3604" i="7" s="1"/>
  <c r="G3604" i="7"/>
  <c r="H3604" i="7" s="1"/>
  <c r="B3604" i="7"/>
  <c r="M3603" i="7"/>
  <c r="J3603" i="7"/>
  <c r="K3603" i="7" s="1"/>
  <c r="L3603" i="7" s="1"/>
  <c r="G3603" i="7"/>
  <c r="H3603" i="7" s="1"/>
  <c r="B3603" i="7"/>
  <c r="M3602" i="7"/>
  <c r="J3602" i="7"/>
  <c r="K3602" i="7" s="1"/>
  <c r="L3602" i="7" s="1"/>
  <c r="G3602" i="7"/>
  <c r="H3602" i="7" s="1"/>
  <c r="B3602" i="7"/>
  <c r="M3601" i="7"/>
  <c r="J3601" i="7"/>
  <c r="K3601" i="7" s="1"/>
  <c r="L3601" i="7" s="1"/>
  <c r="G3601" i="7"/>
  <c r="H3601" i="7" s="1"/>
  <c r="B3601" i="7"/>
  <c r="M3600" i="7"/>
  <c r="J3600" i="7"/>
  <c r="K3600" i="7" s="1"/>
  <c r="L3600" i="7" s="1"/>
  <c r="G3600" i="7"/>
  <c r="H3600" i="7" s="1"/>
  <c r="B3600" i="7"/>
  <c r="M3599" i="7"/>
  <c r="J3599" i="7"/>
  <c r="K3599" i="7" s="1"/>
  <c r="L3599" i="7" s="1"/>
  <c r="G3599" i="7"/>
  <c r="H3599" i="7" s="1"/>
  <c r="B3599" i="7"/>
  <c r="M3598" i="7"/>
  <c r="J3598" i="7"/>
  <c r="K3598" i="7" s="1"/>
  <c r="L3598" i="7" s="1"/>
  <c r="G3598" i="7"/>
  <c r="H3598" i="7" s="1"/>
  <c r="B3598" i="7"/>
  <c r="M3597" i="7"/>
  <c r="J3597" i="7"/>
  <c r="K3597" i="7" s="1"/>
  <c r="L3597" i="7" s="1"/>
  <c r="G3597" i="7"/>
  <c r="H3597" i="7" s="1"/>
  <c r="B3597" i="7"/>
  <c r="M3596" i="7"/>
  <c r="J3596" i="7"/>
  <c r="K3596" i="7" s="1"/>
  <c r="L3596" i="7" s="1"/>
  <c r="G3596" i="7"/>
  <c r="H3596" i="7" s="1"/>
  <c r="B3596" i="7"/>
  <c r="M3595" i="7"/>
  <c r="J3595" i="7"/>
  <c r="K3595" i="7" s="1"/>
  <c r="L3595" i="7" s="1"/>
  <c r="G3595" i="7"/>
  <c r="H3595" i="7" s="1"/>
  <c r="B3595" i="7"/>
  <c r="M3594" i="7"/>
  <c r="J3594" i="7"/>
  <c r="K3594" i="7" s="1"/>
  <c r="L3594" i="7" s="1"/>
  <c r="G3594" i="7"/>
  <c r="H3594" i="7" s="1"/>
  <c r="B3594" i="7"/>
  <c r="M3593" i="7"/>
  <c r="J3593" i="7"/>
  <c r="K3593" i="7" s="1"/>
  <c r="L3593" i="7" s="1"/>
  <c r="G3593" i="7"/>
  <c r="H3593" i="7" s="1"/>
  <c r="B3593" i="7"/>
  <c r="M3592" i="7"/>
  <c r="J3592" i="7"/>
  <c r="K3592" i="7" s="1"/>
  <c r="L3592" i="7" s="1"/>
  <c r="G3592" i="7"/>
  <c r="H3592" i="7" s="1"/>
  <c r="B3592" i="7"/>
  <c r="M3591" i="7"/>
  <c r="J3591" i="7"/>
  <c r="K3591" i="7" s="1"/>
  <c r="L3591" i="7" s="1"/>
  <c r="G3591" i="7"/>
  <c r="H3591" i="7" s="1"/>
  <c r="B3591" i="7"/>
  <c r="M3590" i="7"/>
  <c r="J3590" i="7"/>
  <c r="K3590" i="7" s="1"/>
  <c r="L3590" i="7" s="1"/>
  <c r="G3590" i="7"/>
  <c r="H3590" i="7" s="1"/>
  <c r="B3590" i="7"/>
  <c r="M3589" i="7"/>
  <c r="J3589" i="7"/>
  <c r="K3589" i="7" s="1"/>
  <c r="L3589" i="7" s="1"/>
  <c r="G3589" i="7"/>
  <c r="H3589" i="7" s="1"/>
  <c r="B3589" i="7"/>
  <c r="M3588" i="7"/>
  <c r="J3588" i="7"/>
  <c r="K3588" i="7" s="1"/>
  <c r="L3588" i="7" s="1"/>
  <c r="G3588" i="7"/>
  <c r="H3588" i="7" s="1"/>
  <c r="B3588" i="7"/>
  <c r="M3587" i="7"/>
  <c r="J3587" i="7"/>
  <c r="K3587" i="7" s="1"/>
  <c r="L3587" i="7" s="1"/>
  <c r="G3587" i="7"/>
  <c r="H3587" i="7" s="1"/>
  <c r="B3587" i="7"/>
  <c r="M3586" i="7"/>
  <c r="J3586" i="7"/>
  <c r="K3586" i="7" s="1"/>
  <c r="L3586" i="7" s="1"/>
  <c r="G3586" i="7"/>
  <c r="H3586" i="7" s="1"/>
  <c r="B3586" i="7"/>
  <c r="M3585" i="7"/>
  <c r="J3585" i="7"/>
  <c r="K3585" i="7" s="1"/>
  <c r="L3585" i="7" s="1"/>
  <c r="G3585" i="7"/>
  <c r="H3585" i="7" s="1"/>
  <c r="B3585" i="7"/>
  <c r="M3584" i="7"/>
  <c r="J3584" i="7"/>
  <c r="K3584" i="7" s="1"/>
  <c r="L3584" i="7" s="1"/>
  <c r="G3584" i="7"/>
  <c r="H3584" i="7" s="1"/>
  <c r="B3584" i="7"/>
  <c r="M3583" i="7"/>
  <c r="J3583" i="7"/>
  <c r="K3583" i="7" s="1"/>
  <c r="L3583" i="7" s="1"/>
  <c r="G3583" i="7"/>
  <c r="H3583" i="7" s="1"/>
  <c r="B3583" i="7"/>
  <c r="M3582" i="7"/>
  <c r="J3582" i="7"/>
  <c r="K3582" i="7" s="1"/>
  <c r="L3582" i="7" s="1"/>
  <c r="G3582" i="7"/>
  <c r="H3582" i="7" s="1"/>
  <c r="B3582" i="7"/>
  <c r="M3581" i="7"/>
  <c r="J3581" i="7"/>
  <c r="K3581" i="7" s="1"/>
  <c r="L3581" i="7" s="1"/>
  <c r="G3581" i="7"/>
  <c r="H3581" i="7" s="1"/>
  <c r="B3581" i="7"/>
  <c r="M3580" i="7"/>
  <c r="J3580" i="7"/>
  <c r="K3580" i="7" s="1"/>
  <c r="L3580" i="7" s="1"/>
  <c r="G3580" i="7"/>
  <c r="H3580" i="7" s="1"/>
  <c r="B3580" i="7"/>
  <c r="M3579" i="7"/>
  <c r="J3579" i="7"/>
  <c r="K3579" i="7" s="1"/>
  <c r="L3579" i="7" s="1"/>
  <c r="G3579" i="7"/>
  <c r="H3579" i="7" s="1"/>
  <c r="B3579" i="7"/>
  <c r="M3578" i="7"/>
  <c r="J3578" i="7"/>
  <c r="K3578" i="7" s="1"/>
  <c r="L3578" i="7" s="1"/>
  <c r="G3578" i="7"/>
  <c r="H3578" i="7" s="1"/>
  <c r="B3578" i="7"/>
  <c r="M3577" i="7"/>
  <c r="J3577" i="7"/>
  <c r="K3577" i="7" s="1"/>
  <c r="L3577" i="7" s="1"/>
  <c r="G3577" i="7"/>
  <c r="H3577" i="7" s="1"/>
  <c r="B3577" i="7"/>
  <c r="M3576" i="7"/>
  <c r="J3576" i="7"/>
  <c r="K3576" i="7" s="1"/>
  <c r="L3576" i="7" s="1"/>
  <c r="G3576" i="7"/>
  <c r="H3576" i="7" s="1"/>
  <c r="B3576" i="7"/>
  <c r="M3575" i="7"/>
  <c r="J3575" i="7"/>
  <c r="K3575" i="7" s="1"/>
  <c r="L3575" i="7" s="1"/>
  <c r="G3575" i="7"/>
  <c r="H3575" i="7" s="1"/>
  <c r="B3575" i="7"/>
  <c r="M3574" i="7"/>
  <c r="J3574" i="7"/>
  <c r="K3574" i="7" s="1"/>
  <c r="L3574" i="7" s="1"/>
  <c r="G3574" i="7"/>
  <c r="H3574" i="7" s="1"/>
  <c r="B3574" i="7"/>
  <c r="M3573" i="7"/>
  <c r="J3573" i="7"/>
  <c r="K3573" i="7" s="1"/>
  <c r="L3573" i="7" s="1"/>
  <c r="G3573" i="7"/>
  <c r="H3573" i="7" s="1"/>
  <c r="B3573" i="7"/>
  <c r="M3572" i="7"/>
  <c r="J3572" i="7"/>
  <c r="K3572" i="7" s="1"/>
  <c r="L3572" i="7" s="1"/>
  <c r="G3572" i="7"/>
  <c r="H3572" i="7" s="1"/>
  <c r="B3572" i="7"/>
  <c r="M3571" i="7"/>
  <c r="J3571" i="7"/>
  <c r="K3571" i="7" s="1"/>
  <c r="L3571" i="7" s="1"/>
  <c r="G3571" i="7"/>
  <c r="H3571" i="7" s="1"/>
  <c r="B3571" i="7"/>
  <c r="M3570" i="7"/>
  <c r="J3570" i="7"/>
  <c r="K3570" i="7" s="1"/>
  <c r="L3570" i="7" s="1"/>
  <c r="G3570" i="7"/>
  <c r="H3570" i="7" s="1"/>
  <c r="B3570" i="7"/>
  <c r="M3569" i="7"/>
  <c r="J3569" i="7"/>
  <c r="K3569" i="7" s="1"/>
  <c r="L3569" i="7" s="1"/>
  <c r="G3569" i="7"/>
  <c r="H3569" i="7" s="1"/>
  <c r="B3569" i="7"/>
  <c r="M3568" i="7"/>
  <c r="J3568" i="7"/>
  <c r="K3568" i="7" s="1"/>
  <c r="L3568" i="7" s="1"/>
  <c r="G3568" i="7"/>
  <c r="H3568" i="7" s="1"/>
  <c r="B3568" i="7"/>
  <c r="M3567" i="7"/>
  <c r="J3567" i="7"/>
  <c r="K3567" i="7" s="1"/>
  <c r="L3567" i="7" s="1"/>
  <c r="G3567" i="7"/>
  <c r="H3567" i="7" s="1"/>
  <c r="B3567" i="7"/>
  <c r="M3566" i="7"/>
  <c r="J3566" i="7"/>
  <c r="K3566" i="7" s="1"/>
  <c r="L3566" i="7" s="1"/>
  <c r="G3566" i="7"/>
  <c r="H3566" i="7" s="1"/>
  <c r="B3566" i="7"/>
  <c r="M3565" i="7"/>
  <c r="J3565" i="7"/>
  <c r="K3565" i="7" s="1"/>
  <c r="L3565" i="7" s="1"/>
  <c r="G3565" i="7"/>
  <c r="H3565" i="7" s="1"/>
  <c r="B3565" i="7"/>
  <c r="M3564" i="7"/>
  <c r="J3564" i="7"/>
  <c r="K3564" i="7" s="1"/>
  <c r="L3564" i="7" s="1"/>
  <c r="G3564" i="7"/>
  <c r="H3564" i="7" s="1"/>
  <c r="B3564" i="7"/>
  <c r="M3563" i="7"/>
  <c r="J3563" i="7"/>
  <c r="K3563" i="7" s="1"/>
  <c r="L3563" i="7" s="1"/>
  <c r="G3563" i="7"/>
  <c r="H3563" i="7" s="1"/>
  <c r="B3563" i="7"/>
  <c r="M3562" i="7"/>
  <c r="J3562" i="7"/>
  <c r="K3562" i="7" s="1"/>
  <c r="L3562" i="7" s="1"/>
  <c r="G3562" i="7"/>
  <c r="H3562" i="7" s="1"/>
  <c r="B3562" i="7"/>
  <c r="M3561" i="7"/>
  <c r="J3561" i="7"/>
  <c r="K3561" i="7" s="1"/>
  <c r="L3561" i="7" s="1"/>
  <c r="G3561" i="7"/>
  <c r="H3561" i="7" s="1"/>
  <c r="B3561" i="7"/>
  <c r="M3560" i="7"/>
  <c r="J3560" i="7"/>
  <c r="K3560" i="7" s="1"/>
  <c r="L3560" i="7" s="1"/>
  <c r="G3560" i="7"/>
  <c r="H3560" i="7" s="1"/>
  <c r="B3560" i="7"/>
  <c r="M3559" i="7"/>
  <c r="J3559" i="7"/>
  <c r="K3559" i="7" s="1"/>
  <c r="L3559" i="7" s="1"/>
  <c r="G3559" i="7"/>
  <c r="H3559" i="7" s="1"/>
  <c r="B3559" i="7"/>
  <c r="M3558" i="7"/>
  <c r="J3558" i="7"/>
  <c r="K3558" i="7" s="1"/>
  <c r="L3558" i="7" s="1"/>
  <c r="G3558" i="7"/>
  <c r="H3558" i="7" s="1"/>
  <c r="B3558" i="7"/>
  <c r="M3557" i="7"/>
  <c r="J3557" i="7"/>
  <c r="K3557" i="7" s="1"/>
  <c r="L3557" i="7" s="1"/>
  <c r="G3557" i="7"/>
  <c r="H3557" i="7" s="1"/>
  <c r="B3557" i="7"/>
  <c r="M3556" i="7"/>
  <c r="J3556" i="7"/>
  <c r="K3556" i="7" s="1"/>
  <c r="L3556" i="7" s="1"/>
  <c r="G3556" i="7"/>
  <c r="H3556" i="7" s="1"/>
  <c r="B3556" i="7"/>
  <c r="M3555" i="7"/>
  <c r="J3555" i="7"/>
  <c r="K3555" i="7" s="1"/>
  <c r="L3555" i="7" s="1"/>
  <c r="G3555" i="7"/>
  <c r="H3555" i="7" s="1"/>
  <c r="B3555" i="7"/>
  <c r="M3554" i="7"/>
  <c r="J3554" i="7"/>
  <c r="K3554" i="7" s="1"/>
  <c r="L3554" i="7" s="1"/>
  <c r="G3554" i="7"/>
  <c r="H3554" i="7" s="1"/>
  <c r="B3554" i="7"/>
  <c r="M3553" i="7"/>
  <c r="J3553" i="7"/>
  <c r="K3553" i="7" s="1"/>
  <c r="L3553" i="7" s="1"/>
  <c r="G3553" i="7"/>
  <c r="H3553" i="7" s="1"/>
  <c r="B3553" i="7"/>
  <c r="M3552" i="7"/>
  <c r="J3552" i="7"/>
  <c r="K3552" i="7" s="1"/>
  <c r="L3552" i="7" s="1"/>
  <c r="G3552" i="7"/>
  <c r="H3552" i="7" s="1"/>
  <c r="B3552" i="7"/>
  <c r="M3551" i="7"/>
  <c r="J3551" i="7"/>
  <c r="K3551" i="7" s="1"/>
  <c r="L3551" i="7" s="1"/>
  <c r="G3551" i="7"/>
  <c r="H3551" i="7" s="1"/>
  <c r="B3551" i="7"/>
  <c r="M3550" i="7"/>
  <c r="J3550" i="7"/>
  <c r="K3550" i="7" s="1"/>
  <c r="L3550" i="7" s="1"/>
  <c r="G3550" i="7"/>
  <c r="H3550" i="7" s="1"/>
  <c r="B3550" i="7"/>
  <c r="M3549" i="7"/>
  <c r="J3549" i="7"/>
  <c r="K3549" i="7" s="1"/>
  <c r="L3549" i="7" s="1"/>
  <c r="G3549" i="7"/>
  <c r="H3549" i="7" s="1"/>
  <c r="B3549" i="7"/>
  <c r="M3548" i="7"/>
  <c r="J3548" i="7"/>
  <c r="K3548" i="7" s="1"/>
  <c r="L3548" i="7" s="1"/>
  <c r="G3548" i="7"/>
  <c r="H3548" i="7" s="1"/>
  <c r="B3548" i="7"/>
  <c r="M3547" i="7"/>
  <c r="J3547" i="7"/>
  <c r="K3547" i="7" s="1"/>
  <c r="L3547" i="7" s="1"/>
  <c r="G3547" i="7"/>
  <c r="H3547" i="7" s="1"/>
  <c r="B3547" i="7"/>
  <c r="M3546" i="7"/>
  <c r="J3546" i="7"/>
  <c r="K3546" i="7" s="1"/>
  <c r="L3546" i="7" s="1"/>
  <c r="G3546" i="7"/>
  <c r="H3546" i="7" s="1"/>
  <c r="B3546" i="7"/>
  <c r="M3545" i="7"/>
  <c r="J3545" i="7"/>
  <c r="K3545" i="7" s="1"/>
  <c r="L3545" i="7" s="1"/>
  <c r="G3545" i="7"/>
  <c r="H3545" i="7" s="1"/>
  <c r="B3545" i="7"/>
  <c r="M3544" i="7"/>
  <c r="J3544" i="7"/>
  <c r="K3544" i="7" s="1"/>
  <c r="L3544" i="7" s="1"/>
  <c r="G3544" i="7"/>
  <c r="H3544" i="7" s="1"/>
  <c r="B3544" i="7"/>
  <c r="M3543" i="7"/>
  <c r="J3543" i="7"/>
  <c r="K3543" i="7" s="1"/>
  <c r="L3543" i="7" s="1"/>
  <c r="G3543" i="7"/>
  <c r="H3543" i="7" s="1"/>
  <c r="B3543" i="7"/>
  <c r="M3542" i="7"/>
  <c r="J3542" i="7"/>
  <c r="K3542" i="7" s="1"/>
  <c r="L3542" i="7" s="1"/>
  <c r="G3542" i="7"/>
  <c r="H3542" i="7" s="1"/>
  <c r="B3542" i="7"/>
  <c r="M3541" i="7"/>
  <c r="J3541" i="7"/>
  <c r="K3541" i="7" s="1"/>
  <c r="L3541" i="7" s="1"/>
  <c r="G3541" i="7"/>
  <c r="H3541" i="7" s="1"/>
  <c r="B3541" i="7"/>
  <c r="M3540" i="7"/>
  <c r="J3540" i="7"/>
  <c r="K3540" i="7" s="1"/>
  <c r="L3540" i="7" s="1"/>
  <c r="G3540" i="7"/>
  <c r="H3540" i="7" s="1"/>
  <c r="B3540" i="7"/>
  <c r="M3539" i="7"/>
  <c r="J3539" i="7"/>
  <c r="K3539" i="7" s="1"/>
  <c r="L3539" i="7" s="1"/>
  <c r="G3539" i="7"/>
  <c r="H3539" i="7" s="1"/>
  <c r="B3539" i="7"/>
  <c r="M3538" i="7"/>
  <c r="J3538" i="7"/>
  <c r="K3538" i="7" s="1"/>
  <c r="L3538" i="7" s="1"/>
  <c r="G3538" i="7"/>
  <c r="H3538" i="7" s="1"/>
  <c r="B3538" i="7"/>
  <c r="M3537" i="7"/>
  <c r="J3537" i="7"/>
  <c r="K3537" i="7" s="1"/>
  <c r="L3537" i="7" s="1"/>
  <c r="G3537" i="7"/>
  <c r="H3537" i="7" s="1"/>
  <c r="B3537" i="7"/>
  <c r="M3536" i="7"/>
  <c r="J3536" i="7"/>
  <c r="K3536" i="7" s="1"/>
  <c r="L3536" i="7" s="1"/>
  <c r="G3536" i="7"/>
  <c r="H3536" i="7" s="1"/>
  <c r="B3536" i="7"/>
  <c r="M3535" i="7"/>
  <c r="J3535" i="7"/>
  <c r="K3535" i="7" s="1"/>
  <c r="L3535" i="7" s="1"/>
  <c r="G3535" i="7"/>
  <c r="H3535" i="7" s="1"/>
  <c r="B3535" i="7"/>
  <c r="M3534" i="7"/>
  <c r="J3534" i="7"/>
  <c r="K3534" i="7" s="1"/>
  <c r="L3534" i="7" s="1"/>
  <c r="G3534" i="7"/>
  <c r="H3534" i="7" s="1"/>
  <c r="B3534" i="7"/>
  <c r="M3533" i="7"/>
  <c r="J3533" i="7"/>
  <c r="K3533" i="7" s="1"/>
  <c r="L3533" i="7" s="1"/>
  <c r="G3533" i="7"/>
  <c r="H3533" i="7" s="1"/>
  <c r="B3533" i="7"/>
  <c r="M3532" i="7"/>
  <c r="J3532" i="7"/>
  <c r="K3532" i="7" s="1"/>
  <c r="L3532" i="7" s="1"/>
  <c r="G3532" i="7"/>
  <c r="H3532" i="7" s="1"/>
  <c r="B3532" i="7"/>
  <c r="M3531" i="7"/>
  <c r="J3531" i="7"/>
  <c r="K3531" i="7" s="1"/>
  <c r="L3531" i="7" s="1"/>
  <c r="G3531" i="7"/>
  <c r="H3531" i="7" s="1"/>
  <c r="B3531" i="7"/>
  <c r="M3530" i="7"/>
  <c r="J3530" i="7"/>
  <c r="K3530" i="7" s="1"/>
  <c r="L3530" i="7" s="1"/>
  <c r="G3530" i="7"/>
  <c r="H3530" i="7" s="1"/>
  <c r="B3530" i="7"/>
  <c r="M3529" i="7"/>
  <c r="J3529" i="7"/>
  <c r="K3529" i="7" s="1"/>
  <c r="L3529" i="7" s="1"/>
  <c r="G3529" i="7"/>
  <c r="H3529" i="7" s="1"/>
  <c r="B3529" i="7"/>
  <c r="M3528" i="7"/>
  <c r="J3528" i="7"/>
  <c r="K3528" i="7" s="1"/>
  <c r="L3528" i="7" s="1"/>
  <c r="G3528" i="7"/>
  <c r="H3528" i="7" s="1"/>
  <c r="B3528" i="7"/>
  <c r="M3527" i="7"/>
  <c r="J3527" i="7"/>
  <c r="K3527" i="7" s="1"/>
  <c r="L3527" i="7" s="1"/>
  <c r="G3527" i="7"/>
  <c r="H3527" i="7" s="1"/>
  <c r="B3527" i="7"/>
  <c r="M3526" i="7"/>
  <c r="J3526" i="7"/>
  <c r="K3526" i="7" s="1"/>
  <c r="L3526" i="7" s="1"/>
  <c r="G3526" i="7"/>
  <c r="H3526" i="7" s="1"/>
  <c r="B3526" i="7"/>
  <c r="M3525" i="7"/>
  <c r="J3525" i="7"/>
  <c r="K3525" i="7" s="1"/>
  <c r="L3525" i="7" s="1"/>
  <c r="G3525" i="7"/>
  <c r="H3525" i="7" s="1"/>
  <c r="B3525" i="7"/>
  <c r="M3524" i="7"/>
  <c r="J3524" i="7"/>
  <c r="K3524" i="7" s="1"/>
  <c r="L3524" i="7" s="1"/>
  <c r="G3524" i="7"/>
  <c r="H3524" i="7" s="1"/>
  <c r="B3524" i="7"/>
  <c r="M3523" i="7"/>
  <c r="J3523" i="7"/>
  <c r="K3523" i="7" s="1"/>
  <c r="L3523" i="7" s="1"/>
  <c r="G3523" i="7"/>
  <c r="H3523" i="7" s="1"/>
  <c r="B3523" i="7"/>
  <c r="M3522" i="7"/>
  <c r="J3522" i="7"/>
  <c r="K3522" i="7" s="1"/>
  <c r="L3522" i="7" s="1"/>
  <c r="G3522" i="7"/>
  <c r="H3522" i="7" s="1"/>
  <c r="B3522" i="7"/>
  <c r="M3521" i="7"/>
  <c r="J3521" i="7"/>
  <c r="K3521" i="7" s="1"/>
  <c r="L3521" i="7" s="1"/>
  <c r="G3521" i="7"/>
  <c r="H3521" i="7" s="1"/>
  <c r="B3521" i="7"/>
  <c r="M3520" i="7"/>
  <c r="J3520" i="7"/>
  <c r="K3520" i="7" s="1"/>
  <c r="L3520" i="7" s="1"/>
  <c r="G3520" i="7"/>
  <c r="H3520" i="7" s="1"/>
  <c r="B3520" i="7"/>
  <c r="M3519" i="7"/>
  <c r="J3519" i="7"/>
  <c r="K3519" i="7" s="1"/>
  <c r="L3519" i="7" s="1"/>
  <c r="G3519" i="7"/>
  <c r="H3519" i="7" s="1"/>
  <c r="B3519" i="7"/>
  <c r="M3518" i="7"/>
  <c r="J3518" i="7"/>
  <c r="K3518" i="7" s="1"/>
  <c r="L3518" i="7" s="1"/>
  <c r="G3518" i="7"/>
  <c r="H3518" i="7" s="1"/>
  <c r="B3518" i="7"/>
  <c r="M3517" i="7"/>
  <c r="J3517" i="7"/>
  <c r="K3517" i="7" s="1"/>
  <c r="L3517" i="7" s="1"/>
  <c r="G3517" i="7"/>
  <c r="H3517" i="7" s="1"/>
  <c r="B3517" i="7"/>
  <c r="M3516" i="7"/>
  <c r="J3516" i="7"/>
  <c r="K3516" i="7" s="1"/>
  <c r="L3516" i="7" s="1"/>
  <c r="G3516" i="7"/>
  <c r="H3516" i="7" s="1"/>
  <c r="B3516" i="7"/>
  <c r="M3515" i="7"/>
  <c r="J3515" i="7"/>
  <c r="K3515" i="7" s="1"/>
  <c r="L3515" i="7" s="1"/>
  <c r="G3515" i="7"/>
  <c r="H3515" i="7" s="1"/>
  <c r="B3515" i="7"/>
  <c r="M3514" i="7"/>
  <c r="J3514" i="7"/>
  <c r="K3514" i="7" s="1"/>
  <c r="L3514" i="7" s="1"/>
  <c r="G3514" i="7"/>
  <c r="H3514" i="7" s="1"/>
  <c r="B3514" i="7"/>
  <c r="M3513" i="7"/>
  <c r="J3513" i="7"/>
  <c r="K3513" i="7" s="1"/>
  <c r="L3513" i="7" s="1"/>
  <c r="G3513" i="7"/>
  <c r="H3513" i="7" s="1"/>
  <c r="B3513" i="7"/>
  <c r="M3512" i="7"/>
  <c r="J3512" i="7"/>
  <c r="K3512" i="7" s="1"/>
  <c r="L3512" i="7" s="1"/>
  <c r="G3512" i="7"/>
  <c r="H3512" i="7" s="1"/>
  <c r="B3512" i="7"/>
  <c r="M3511" i="7"/>
  <c r="J3511" i="7"/>
  <c r="K3511" i="7" s="1"/>
  <c r="L3511" i="7" s="1"/>
  <c r="G3511" i="7"/>
  <c r="H3511" i="7" s="1"/>
  <c r="B3511" i="7"/>
  <c r="M3510" i="7"/>
  <c r="J3510" i="7"/>
  <c r="K3510" i="7" s="1"/>
  <c r="L3510" i="7" s="1"/>
  <c r="G3510" i="7"/>
  <c r="H3510" i="7" s="1"/>
  <c r="B3510" i="7"/>
  <c r="M3509" i="7"/>
  <c r="J3509" i="7"/>
  <c r="K3509" i="7" s="1"/>
  <c r="L3509" i="7" s="1"/>
  <c r="G3509" i="7"/>
  <c r="H3509" i="7" s="1"/>
  <c r="B3509" i="7"/>
  <c r="M3508" i="7"/>
  <c r="J3508" i="7"/>
  <c r="K3508" i="7" s="1"/>
  <c r="L3508" i="7" s="1"/>
  <c r="G3508" i="7"/>
  <c r="H3508" i="7" s="1"/>
  <c r="B3508" i="7"/>
  <c r="M3507" i="7"/>
  <c r="J3507" i="7"/>
  <c r="K3507" i="7" s="1"/>
  <c r="L3507" i="7" s="1"/>
  <c r="G3507" i="7"/>
  <c r="H3507" i="7" s="1"/>
  <c r="B3507" i="7"/>
  <c r="M3506" i="7"/>
  <c r="J3506" i="7"/>
  <c r="K3506" i="7" s="1"/>
  <c r="L3506" i="7" s="1"/>
  <c r="G3506" i="7"/>
  <c r="H3506" i="7" s="1"/>
  <c r="B3506" i="7"/>
  <c r="M3505" i="7"/>
  <c r="J3505" i="7"/>
  <c r="K3505" i="7" s="1"/>
  <c r="L3505" i="7" s="1"/>
  <c r="G3505" i="7"/>
  <c r="H3505" i="7" s="1"/>
  <c r="B3505" i="7"/>
  <c r="M3504" i="7"/>
  <c r="J3504" i="7"/>
  <c r="K3504" i="7" s="1"/>
  <c r="L3504" i="7" s="1"/>
  <c r="G3504" i="7"/>
  <c r="H3504" i="7" s="1"/>
  <c r="B3504" i="7"/>
  <c r="M3503" i="7"/>
  <c r="J3503" i="7"/>
  <c r="K3503" i="7" s="1"/>
  <c r="L3503" i="7" s="1"/>
  <c r="G3503" i="7"/>
  <c r="H3503" i="7" s="1"/>
  <c r="B3503" i="7"/>
  <c r="M3502" i="7"/>
  <c r="J3502" i="7"/>
  <c r="K3502" i="7" s="1"/>
  <c r="L3502" i="7" s="1"/>
  <c r="G3502" i="7"/>
  <c r="H3502" i="7" s="1"/>
  <c r="B3502" i="7"/>
  <c r="M3501" i="7"/>
  <c r="J3501" i="7"/>
  <c r="K3501" i="7" s="1"/>
  <c r="L3501" i="7" s="1"/>
  <c r="G3501" i="7"/>
  <c r="H3501" i="7" s="1"/>
  <c r="B3501" i="7"/>
  <c r="M3500" i="7"/>
  <c r="J3500" i="7"/>
  <c r="K3500" i="7" s="1"/>
  <c r="L3500" i="7" s="1"/>
  <c r="G3500" i="7"/>
  <c r="H3500" i="7" s="1"/>
  <c r="B3500" i="7"/>
  <c r="M3499" i="7"/>
  <c r="J3499" i="7"/>
  <c r="K3499" i="7" s="1"/>
  <c r="L3499" i="7" s="1"/>
  <c r="G3499" i="7"/>
  <c r="H3499" i="7" s="1"/>
  <c r="B3499" i="7"/>
  <c r="M3498" i="7"/>
  <c r="J3498" i="7"/>
  <c r="K3498" i="7" s="1"/>
  <c r="L3498" i="7" s="1"/>
  <c r="G3498" i="7"/>
  <c r="H3498" i="7" s="1"/>
  <c r="B3498" i="7"/>
  <c r="M3497" i="7"/>
  <c r="J3497" i="7"/>
  <c r="K3497" i="7" s="1"/>
  <c r="L3497" i="7" s="1"/>
  <c r="G3497" i="7"/>
  <c r="H3497" i="7" s="1"/>
  <c r="B3497" i="7"/>
  <c r="M3496" i="7"/>
  <c r="J3496" i="7"/>
  <c r="K3496" i="7" s="1"/>
  <c r="L3496" i="7" s="1"/>
  <c r="G3496" i="7"/>
  <c r="H3496" i="7" s="1"/>
  <c r="B3496" i="7"/>
  <c r="M3495" i="7"/>
  <c r="J3495" i="7"/>
  <c r="K3495" i="7" s="1"/>
  <c r="L3495" i="7" s="1"/>
  <c r="G3495" i="7"/>
  <c r="H3495" i="7" s="1"/>
  <c r="B3495" i="7"/>
  <c r="M3494" i="7"/>
  <c r="J3494" i="7"/>
  <c r="K3494" i="7" s="1"/>
  <c r="L3494" i="7" s="1"/>
  <c r="G3494" i="7"/>
  <c r="H3494" i="7" s="1"/>
  <c r="B3494" i="7"/>
  <c r="M3493" i="7"/>
  <c r="J3493" i="7"/>
  <c r="K3493" i="7" s="1"/>
  <c r="L3493" i="7" s="1"/>
  <c r="G3493" i="7"/>
  <c r="H3493" i="7" s="1"/>
  <c r="B3493" i="7"/>
  <c r="M3492" i="7"/>
  <c r="J3492" i="7"/>
  <c r="K3492" i="7" s="1"/>
  <c r="L3492" i="7" s="1"/>
  <c r="G3492" i="7"/>
  <c r="H3492" i="7" s="1"/>
  <c r="B3492" i="7"/>
  <c r="M3491" i="7"/>
  <c r="J3491" i="7"/>
  <c r="K3491" i="7" s="1"/>
  <c r="L3491" i="7" s="1"/>
  <c r="G3491" i="7"/>
  <c r="H3491" i="7" s="1"/>
  <c r="B3491" i="7"/>
  <c r="M3490" i="7"/>
  <c r="J3490" i="7"/>
  <c r="K3490" i="7" s="1"/>
  <c r="L3490" i="7" s="1"/>
  <c r="G3490" i="7"/>
  <c r="H3490" i="7" s="1"/>
  <c r="B3490" i="7"/>
  <c r="M3489" i="7"/>
  <c r="J3489" i="7"/>
  <c r="K3489" i="7" s="1"/>
  <c r="L3489" i="7" s="1"/>
  <c r="G3489" i="7"/>
  <c r="H3489" i="7" s="1"/>
  <c r="B3489" i="7"/>
  <c r="M3488" i="7"/>
  <c r="J3488" i="7"/>
  <c r="K3488" i="7" s="1"/>
  <c r="L3488" i="7" s="1"/>
  <c r="G3488" i="7"/>
  <c r="H3488" i="7" s="1"/>
  <c r="B3488" i="7"/>
  <c r="M3487" i="7"/>
  <c r="J3487" i="7"/>
  <c r="K3487" i="7" s="1"/>
  <c r="L3487" i="7" s="1"/>
  <c r="G3487" i="7"/>
  <c r="H3487" i="7" s="1"/>
  <c r="B3487" i="7"/>
  <c r="M3486" i="7"/>
  <c r="J3486" i="7"/>
  <c r="K3486" i="7" s="1"/>
  <c r="L3486" i="7" s="1"/>
  <c r="G3486" i="7"/>
  <c r="H3486" i="7" s="1"/>
  <c r="B3486" i="7"/>
  <c r="M3485" i="7"/>
  <c r="J3485" i="7"/>
  <c r="K3485" i="7" s="1"/>
  <c r="L3485" i="7" s="1"/>
  <c r="G3485" i="7"/>
  <c r="H3485" i="7" s="1"/>
  <c r="B3485" i="7"/>
  <c r="M3484" i="7"/>
  <c r="J3484" i="7"/>
  <c r="K3484" i="7" s="1"/>
  <c r="L3484" i="7" s="1"/>
  <c r="G3484" i="7"/>
  <c r="H3484" i="7" s="1"/>
  <c r="B3484" i="7"/>
  <c r="M3483" i="7"/>
  <c r="J3483" i="7"/>
  <c r="K3483" i="7" s="1"/>
  <c r="L3483" i="7" s="1"/>
  <c r="G3483" i="7"/>
  <c r="H3483" i="7" s="1"/>
  <c r="B3483" i="7"/>
  <c r="M3482" i="7"/>
  <c r="J3482" i="7"/>
  <c r="K3482" i="7" s="1"/>
  <c r="L3482" i="7" s="1"/>
  <c r="G3482" i="7"/>
  <c r="H3482" i="7" s="1"/>
  <c r="B3482" i="7"/>
  <c r="M3481" i="7"/>
  <c r="J3481" i="7"/>
  <c r="K3481" i="7" s="1"/>
  <c r="L3481" i="7" s="1"/>
  <c r="G3481" i="7"/>
  <c r="H3481" i="7" s="1"/>
  <c r="B3481" i="7"/>
  <c r="M3480" i="7"/>
  <c r="J3480" i="7"/>
  <c r="K3480" i="7" s="1"/>
  <c r="L3480" i="7" s="1"/>
  <c r="G3480" i="7"/>
  <c r="H3480" i="7" s="1"/>
  <c r="B3480" i="7"/>
  <c r="M3479" i="7"/>
  <c r="J3479" i="7"/>
  <c r="K3479" i="7" s="1"/>
  <c r="L3479" i="7" s="1"/>
  <c r="G3479" i="7"/>
  <c r="H3479" i="7" s="1"/>
  <c r="B3479" i="7"/>
  <c r="M3478" i="7"/>
  <c r="J3478" i="7"/>
  <c r="K3478" i="7" s="1"/>
  <c r="L3478" i="7" s="1"/>
  <c r="G3478" i="7"/>
  <c r="H3478" i="7" s="1"/>
  <c r="B3478" i="7"/>
  <c r="M3477" i="7"/>
  <c r="J3477" i="7"/>
  <c r="K3477" i="7" s="1"/>
  <c r="L3477" i="7" s="1"/>
  <c r="G3477" i="7"/>
  <c r="H3477" i="7" s="1"/>
  <c r="B3477" i="7"/>
  <c r="M3476" i="7"/>
  <c r="J3476" i="7"/>
  <c r="K3476" i="7" s="1"/>
  <c r="L3476" i="7" s="1"/>
  <c r="G3476" i="7"/>
  <c r="H3476" i="7" s="1"/>
  <c r="B3476" i="7"/>
  <c r="M3475" i="7"/>
  <c r="J3475" i="7"/>
  <c r="K3475" i="7" s="1"/>
  <c r="L3475" i="7" s="1"/>
  <c r="G3475" i="7"/>
  <c r="H3475" i="7" s="1"/>
  <c r="B3475" i="7"/>
  <c r="M3474" i="7"/>
  <c r="J3474" i="7"/>
  <c r="K3474" i="7" s="1"/>
  <c r="L3474" i="7" s="1"/>
  <c r="G3474" i="7"/>
  <c r="H3474" i="7" s="1"/>
  <c r="B3474" i="7"/>
  <c r="M3473" i="7"/>
  <c r="J3473" i="7"/>
  <c r="K3473" i="7" s="1"/>
  <c r="L3473" i="7" s="1"/>
  <c r="G3473" i="7"/>
  <c r="H3473" i="7" s="1"/>
  <c r="B3473" i="7"/>
  <c r="M3472" i="7"/>
  <c r="J3472" i="7"/>
  <c r="K3472" i="7" s="1"/>
  <c r="L3472" i="7" s="1"/>
  <c r="G3472" i="7"/>
  <c r="H3472" i="7" s="1"/>
  <c r="B3472" i="7"/>
  <c r="M3471" i="7"/>
  <c r="J3471" i="7"/>
  <c r="K3471" i="7" s="1"/>
  <c r="L3471" i="7" s="1"/>
  <c r="G3471" i="7"/>
  <c r="H3471" i="7" s="1"/>
  <c r="B3471" i="7"/>
  <c r="M3470" i="7"/>
  <c r="J3470" i="7"/>
  <c r="K3470" i="7" s="1"/>
  <c r="L3470" i="7" s="1"/>
  <c r="G3470" i="7"/>
  <c r="H3470" i="7" s="1"/>
  <c r="B3470" i="7"/>
  <c r="M3469" i="7"/>
  <c r="J3469" i="7"/>
  <c r="K3469" i="7" s="1"/>
  <c r="L3469" i="7" s="1"/>
  <c r="G3469" i="7"/>
  <c r="H3469" i="7" s="1"/>
  <c r="B3469" i="7"/>
  <c r="M3468" i="7"/>
  <c r="J3468" i="7"/>
  <c r="K3468" i="7" s="1"/>
  <c r="L3468" i="7" s="1"/>
  <c r="G3468" i="7"/>
  <c r="H3468" i="7" s="1"/>
  <c r="B3468" i="7"/>
  <c r="M3467" i="7"/>
  <c r="J3467" i="7"/>
  <c r="K3467" i="7" s="1"/>
  <c r="L3467" i="7" s="1"/>
  <c r="G3467" i="7"/>
  <c r="H3467" i="7" s="1"/>
  <c r="B3467" i="7"/>
  <c r="M3466" i="7"/>
  <c r="J3466" i="7"/>
  <c r="K3466" i="7" s="1"/>
  <c r="L3466" i="7" s="1"/>
  <c r="G3466" i="7"/>
  <c r="H3466" i="7" s="1"/>
  <c r="B3466" i="7"/>
  <c r="M3465" i="7"/>
  <c r="J3465" i="7"/>
  <c r="K3465" i="7" s="1"/>
  <c r="L3465" i="7" s="1"/>
  <c r="G3465" i="7"/>
  <c r="H3465" i="7" s="1"/>
  <c r="B3465" i="7"/>
  <c r="M3464" i="7"/>
  <c r="J3464" i="7"/>
  <c r="K3464" i="7" s="1"/>
  <c r="L3464" i="7" s="1"/>
  <c r="G3464" i="7"/>
  <c r="H3464" i="7" s="1"/>
  <c r="B3464" i="7"/>
  <c r="M3463" i="7"/>
  <c r="J3463" i="7"/>
  <c r="K3463" i="7" s="1"/>
  <c r="L3463" i="7" s="1"/>
  <c r="G3463" i="7"/>
  <c r="H3463" i="7" s="1"/>
  <c r="B3463" i="7"/>
  <c r="M3462" i="7"/>
  <c r="J3462" i="7"/>
  <c r="K3462" i="7" s="1"/>
  <c r="L3462" i="7" s="1"/>
  <c r="G3462" i="7"/>
  <c r="H3462" i="7" s="1"/>
  <c r="B3462" i="7"/>
  <c r="M3461" i="7"/>
  <c r="J3461" i="7"/>
  <c r="K3461" i="7" s="1"/>
  <c r="L3461" i="7" s="1"/>
  <c r="G3461" i="7"/>
  <c r="H3461" i="7" s="1"/>
  <c r="B3461" i="7"/>
  <c r="M3460" i="7"/>
  <c r="J3460" i="7"/>
  <c r="K3460" i="7" s="1"/>
  <c r="L3460" i="7" s="1"/>
  <c r="G3460" i="7"/>
  <c r="H3460" i="7" s="1"/>
  <c r="B3460" i="7"/>
  <c r="M3459" i="7"/>
  <c r="J3459" i="7"/>
  <c r="K3459" i="7" s="1"/>
  <c r="L3459" i="7" s="1"/>
  <c r="G3459" i="7"/>
  <c r="H3459" i="7" s="1"/>
  <c r="B3459" i="7"/>
  <c r="M3458" i="7"/>
  <c r="J3458" i="7"/>
  <c r="K3458" i="7" s="1"/>
  <c r="L3458" i="7" s="1"/>
  <c r="G3458" i="7"/>
  <c r="H3458" i="7" s="1"/>
  <c r="B3458" i="7"/>
  <c r="M3457" i="7"/>
  <c r="J3457" i="7"/>
  <c r="K3457" i="7" s="1"/>
  <c r="L3457" i="7" s="1"/>
  <c r="G3457" i="7"/>
  <c r="H3457" i="7" s="1"/>
  <c r="B3457" i="7"/>
  <c r="M3456" i="7"/>
  <c r="J3456" i="7"/>
  <c r="K3456" i="7" s="1"/>
  <c r="L3456" i="7" s="1"/>
  <c r="G3456" i="7"/>
  <c r="H3456" i="7" s="1"/>
  <c r="B3456" i="7"/>
  <c r="M3455" i="7"/>
  <c r="J3455" i="7"/>
  <c r="K3455" i="7" s="1"/>
  <c r="L3455" i="7" s="1"/>
  <c r="G3455" i="7"/>
  <c r="H3455" i="7" s="1"/>
  <c r="B3455" i="7"/>
  <c r="M3454" i="7"/>
  <c r="J3454" i="7"/>
  <c r="K3454" i="7" s="1"/>
  <c r="L3454" i="7" s="1"/>
  <c r="G3454" i="7"/>
  <c r="H3454" i="7" s="1"/>
  <c r="B3454" i="7"/>
  <c r="M3453" i="7"/>
  <c r="J3453" i="7"/>
  <c r="K3453" i="7" s="1"/>
  <c r="L3453" i="7" s="1"/>
  <c r="G3453" i="7"/>
  <c r="H3453" i="7" s="1"/>
  <c r="B3453" i="7"/>
  <c r="M3452" i="7"/>
  <c r="J3452" i="7"/>
  <c r="K3452" i="7" s="1"/>
  <c r="L3452" i="7" s="1"/>
  <c r="G3452" i="7"/>
  <c r="H3452" i="7" s="1"/>
  <c r="B3452" i="7"/>
  <c r="M3451" i="7"/>
  <c r="J3451" i="7"/>
  <c r="K3451" i="7" s="1"/>
  <c r="L3451" i="7" s="1"/>
  <c r="G3451" i="7"/>
  <c r="H3451" i="7" s="1"/>
  <c r="B3451" i="7"/>
  <c r="M3450" i="7"/>
  <c r="J3450" i="7"/>
  <c r="K3450" i="7" s="1"/>
  <c r="L3450" i="7" s="1"/>
  <c r="G3450" i="7"/>
  <c r="H3450" i="7" s="1"/>
  <c r="B3450" i="7"/>
  <c r="M3449" i="7"/>
  <c r="J3449" i="7"/>
  <c r="K3449" i="7" s="1"/>
  <c r="L3449" i="7" s="1"/>
  <c r="G3449" i="7"/>
  <c r="H3449" i="7" s="1"/>
  <c r="B3449" i="7"/>
  <c r="M3448" i="7"/>
  <c r="J3448" i="7"/>
  <c r="K3448" i="7" s="1"/>
  <c r="L3448" i="7" s="1"/>
  <c r="G3448" i="7"/>
  <c r="H3448" i="7" s="1"/>
  <c r="B3448" i="7"/>
  <c r="M3447" i="7"/>
  <c r="J3447" i="7"/>
  <c r="K3447" i="7" s="1"/>
  <c r="L3447" i="7" s="1"/>
  <c r="G3447" i="7"/>
  <c r="H3447" i="7" s="1"/>
  <c r="B3447" i="7"/>
  <c r="M3446" i="7"/>
  <c r="J3446" i="7"/>
  <c r="K3446" i="7" s="1"/>
  <c r="L3446" i="7" s="1"/>
  <c r="G3446" i="7"/>
  <c r="H3446" i="7" s="1"/>
  <c r="B3446" i="7"/>
  <c r="M3445" i="7"/>
  <c r="J3445" i="7"/>
  <c r="K3445" i="7" s="1"/>
  <c r="L3445" i="7" s="1"/>
  <c r="G3445" i="7"/>
  <c r="H3445" i="7" s="1"/>
  <c r="B3445" i="7"/>
  <c r="M3444" i="7"/>
  <c r="J3444" i="7"/>
  <c r="K3444" i="7" s="1"/>
  <c r="L3444" i="7" s="1"/>
  <c r="G3444" i="7"/>
  <c r="H3444" i="7" s="1"/>
  <c r="B3444" i="7"/>
  <c r="M3443" i="7"/>
  <c r="J3443" i="7"/>
  <c r="K3443" i="7" s="1"/>
  <c r="L3443" i="7" s="1"/>
  <c r="G3443" i="7"/>
  <c r="H3443" i="7" s="1"/>
  <c r="B3443" i="7"/>
  <c r="M3442" i="7"/>
  <c r="J3442" i="7"/>
  <c r="K3442" i="7" s="1"/>
  <c r="L3442" i="7" s="1"/>
  <c r="G3442" i="7"/>
  <c r="H3442" i="7" s="1"/>
  <c r="B3442" i="7"/>
  <c r="M3441" i="7"/>
  <c r="J3441" i="7"/>
  <c r="K3441" i="7" s="1"/>
  <c r="L3441" i="7" s="1"/>
  <c r="G3441" i="7"/>
  <c r="H3441" i="7" s="1"/>
  <c r="B3441" i="7"/>
  <c r="M3440" i="7"/>
  <c r="J3440" i="7"/>
  <c r="K3440" i="7" s="1"/>
  <c r="L3440" i="7" s="1"/>
  <c r="G3440" i="7"/>
  <c r="H3440" i="7" s="1"/>
  <c r="B3440" i="7"/>
  <c r="M3439" i="7"/>
  <c r="J3439" i="7"/>
  <c r="K3439" i="7" s="1"/>
  <c r="L3439" i="7" s="1"/>
  <c r="G3439" i="7"/>
  <c r="H3439" i="7" s="1"/>
  <c r="B3439" i="7"/>
  <c r="M3438" i="7"/>
  <c r="J3438" i="7"/>
  <c r="K3438" i="7" s="1"/>
  <c r="L3438" i="7" s="1"/>
  <c r="G3438" i="7"/>
  <c r="H3438" i="7" s="1"/>
  <c r="B3438" i="7"/>
  <c r="M3437" i="7"/>
  <c r="J3437" i="7"/>
  <c r="K3437" i="7" s="1"/>
  <c r="L3437" i="7" s="1"/>
  <c r="G3437" i="7"/>
  <c r="H3437" i="7" s="1"/>
  <c r="B3437" i="7"/>
  <c r="M3436" i="7"/>
  <c r="J3436" i="7"/>
  <c r="K3436" i="7" s="1"/>
  <c r="L3436" i="7" s="1"/>
  <c r="G3436" i="7"/>
  <c r="H3436" i="7" s="1"/>
  <c r="B3436" i="7"/>
  <c r="M3435" i="7"/>
  <c r="J3435" i="7"/>
  <c r="K3435" i="7" s="1"/>
  <c r="L3435" i="7" s="1"/>
  <c r="G3435" i="7"/>
  <c r="H3435" i="7" s="1"/>
  <c r="B3435" i="7"/>
  <c r="M3434" i="7"/>
  <c r="J3434" i="7"/>
  <c r="K3434" i="7" s="1"/>
  <c r="L3434" i="7" s="1"/>
  <c r="G3434" i="7"/>
  <c r="H3434" i="7" s="1"/>
  <c r="B3434" i="7"/>
  <c r="M3433" i="7"/>
  <c r="J3433" i="7"/>
  <c r="K3433" i="7" s="1"/>
  <c r="L3433" i="7" s="1"/>
  <c r="G3433" i="7"/>
  <c r="H3433" i="7" s="1"/>
  <c r="B3433" i="7"/>
  <c r="M3432" i="7"/>
  <c r="J3432" i="7"/>
  <c r="K3432" i="7" s="1"/>
  <c r="L3432" i="7" s="1"/>
  <c r="G3432" i="7"/>
  <c r="H3432" i="7" s="1"/>
  <c r="B3432" i="7"/>
  <c r="M3431" i="7"/>
  <c r="J3431" i="7"/>
  <c r="K3431" i="7" s="1"/>
  <c r="L3431" i="7" s="1"/>
  <c r="G3431" i="7"/>
  <c r="H3431" i="7" s="1"/>
  <c r="B3431" i="7"/>
  <c r="M3430" i="7"/>
  <c r="J3430" i="7"/>
  <c r="K3430" i="7" s="1"/>
  <c r="L3430" i="7" s="1"/>
  <c r="G3430" i="7"/>
  <c r="H3430" i="7" s="1"/>
  <c r="B3430" i="7"/>
  <c r="M3429" i="7"/>
  <c r="J3429" i="7"/>
  <c r="K3429" i="7" s="1"/>
  <c r="L3429" i="7" s="1"/>
  <c r="G3429" i="7"/>
  <c r="H3429" i="7" s="1"/>
  <c r="B3429" i="7"/>
  <c r="M3428" i="7"/>
  <c r="J3428" i="7"/>
  <c r="K3428" i="7" s="1"/>
  <c r="L3428" i="7" s="1"/>
  <c r="G3428" i="7"/>
  <c r="H3428" i="7" s="1"/>
  <c r="B3428" i="7"/>
  <c r="M3427" i="7"/>
  <c r="J3427" i="7"/>
  <c r="K3427" i="7" s="1"/>
  <c r="L3427" i="7" s="1"/>
  <c r="G3427" i="7"/>
  <c r="H3427" i="7" s="1"/>
  <c r="B3427" i="7"/>
  <c r="M3426" i="7"/>
  <c r="J3426" i="7"/>
  <c r="K3426" i="7" s="1"/>
  <c r="L3426" i="7" s="1"/>
  <c r="G3426" i="7"/>
  <c r="H3426" i="7" s="1"/>
  <c r="B3426" i="7"/>
  <c r="M3425" i="7"/>
  <c r="J3425" i="7"/>
  <c r="K3425" i="7" s="1"/>
  <c r="L3425" i="7" s="1"/>
  <c r="G3425" i="7"/>
  <c r="H3425" i="7" s="1"/>
  <c r="B3425" i="7"/>
  <c r="M3424" i="7"/>
  <c r="J3424" i="7"/>
  <c r="K3424" i="7" s="1"/>
  <c r="L3424" i="7" s="1"/>
  <c r="G3424" i="7"/>
  <c r="H3424" i="7" s="1"/>
  <c r="B3424" i="7"/>
  <c r="M3423" i="7"/>
  <c r="J3423" i="7"/>
  <c r="K3423" i="7" s="1"/>
  <c r="L3423" i="7" s="1"/>
  <c r="G3423" i="7"/>
  <c r="H3423" i="7" s="1"/>
  <c r="B3423" i="7"/>
  <c r="M3422" i="7"/>
  <c r="J3422" i="7"/>
  <c r="K3422" i="7" s="1"/>
  <c r="L3422" i="7" s="1"/>
  <c r="G3422" i="7"/>
  <c r="H3422" i="7" s="1"/>
  <c r="B3422" i="7"/>
  <c r="M3421" i="7"/>
  <c r="J3421" i="7"/>
  <c r="K3421" i="7" s="1"/>
  <c r="L3421" i="7" s="1"/>
  <c r="G3421" i="7"/>
  <c r="H3421" i="7" s="1"/>
  <c r="B3421" i="7"/>
  <c r="M3420" i="7"/>
  <c r="J3420" i="7"/>
  <c r="K3420" i="7" s="1"/>
  <c r="L3420" i="7" s="1"/>
  <c r="G3420" i="7"/>
  <c r="H3420" i="7" s="1"/>
  <c r="B3420" i="7"/>
  <c r="M3419" i="7"/>
  <c r="J3419" i="7"/>
  <c r="K3419" i="7" s="1"/>
  <c r="L3419" i="7" s="1"/>
  <c r="G3419" i="7"/>
  <c r="H3419" i="7" s="1"/>
  <c r="B3419" i="7"/>
  <c r="M3418" i="7"/>
  <c r="J3418" i="7"/>
  <c r="K3418" i="7" s="1"/>
  <c r="L3418" i="7" s="1"/>
  <c r="G3418" i="7"/>
  <c r="H3418" i="7" s="1"/>
  <c r="B3418" i="7"/>
  <c r="M3417" i="7"/>
  <c r="J3417" i="7"/>
  <c r="K3417" i="7" s="1"/>
  <c r="L3417" i="7" s="1"/>
  <c r="G3417" i="7"/>
  <c r="H3417" i="7" s="1"/>
  <c r="B3417" i="7"/>
  <c r="M3416" i="7"/>
  <c r="J3416" i="7"/>
  <c r="K3416" i="7" s="1"/>
  <c r="L3416" i="7" s="1"/>
  <c r="G3416" i="7"/>
  <c r="H3416" i="7" s="1"/>
  <c r="B3416" i="7"/>
  <c r="M3415" i="7"/>
  <c r="J3415" i="7"/>
  <c r="K3415" i="7" s="1"/>
  <c r="L3415" i="7" s="1"/>
  <c r="G3415" i="7"/>
  <c r="H3415" i="7" s="1"/>
  <c r="B3415" i="7"/>
  <c r="M3414" i="7"/>
  <c r="J3414" i="7"/>
  <c r="K3414" i="7" s="1"/>
  <c r="L3414" i="7" s="1"/>
  <c r="G3414" i="7"/>
  <c r="H3414" i="7" s="1"/>
  <c r="B3414" i="7"/>
  <c r="M3413" i="7"/>
  <c r="J3413" i="7"/>
  <c r="K3413" i="7" s="1"/>
  <c r="L3413" i="7" s="1"/>
  <c r="G3413" i="7"/>
  <c r="H3413" i="7" s="1"/>
  <c r="B3413" i="7"/>
  <c r="M3412" i="7"/>
  <c r="J3412" i="7"/>
  <c r="K3412" i="7" s="1"/>
  <c r="L3412" i="7" s="1"/>
  <c r="G3412" i="7"/>
  <c r="H3412" i="7" s="1"/>
  <c r="B3412" i="7"/>
  <c r="M3411" i="7"/>
  <c r="J3411" i="7"/>
  <c r="K3411" i="7" s="1"/>
  <c r="L3411" i="7" s="1"/>
  <c r="G3411" i="7"/>
  <c r="H3411" i="7" s="1"/>
  <c r="B3411" i="7"/>
  <c r="M3410" i="7"/>
  <c r="J3410" i="7"/>
  <c r="K3410" i="7" s="1"/>
  <c r="L3410" i="7" s="1"/>
  <c r="G3410" i="7"/>
  <c r="H3410" i="7" s="1"/>
  <c r="B3410" i="7"/>
  <c r="M3409" i="7"/>
  <c r="J3409" i="7"/>
  <c r="K3409" i="7" s="1"/>
  <c r="L3409" i="7" s="1"/>
  <c r="G3409" i="7"/>
  <c r="H3409" i="7" s="1"/>
  <c r="B3409" i="7"/>
  <c r="M3408" i="7"/>
  <c r="J3408" i="7"/>
  <c r="K3408" i="7" s="1"/>
  <c r="L3408" i="7" s="1"/>
  <c r="G3408" i="7"/>
  <c r="H3408" i="7" s="1"/>
  <c r="B3408" i="7"/>
  <c r="M3407" i="7"/>
  <c r="J3407" i="7"/>
  <c r="K3407" i="7" s="1"/>
  <c r="L3407" i="7" s="1"/>
  <c r="G3407" i="7"/>
  <c r="H3407" i="7" s="1"/>
  <c r="B3407" i="7"/>
  <c r="M3406" i="7"/>
  <c r="J3406" i="7"/>
  <c r="K3406" i="7" s="1"/>
  <c r="L3406" i="7" s="1"/>
  <c r="G3406" i="7"/>
  <c r="H3406" i="7" s="1"/>
  <c r="B3406" i="7"/>
  <c r="M3405" i="7"/>
  <c r="J3405" i="7"/>
  <c r="K3405" i="7" s="1"/>
  <c r="L3405" i="7" s="1"/>
  <c r="G3405" i="7"/>
  <c r="H3405" i="7" s="1"/>
  <c r="B3405" i="7"/>
  <c r="M3404" i="7"/>
  <c r="J3404" i="7"/>
  <c r="K3404" i="7" s="1"/>
  <c r="L3404" i="7" s="1"/>
  <c r="G3404" i="7"/>
  <c r="H3404" i="7" s="1"/>
  <c r="B3404" i="7"/>
  <c r="M3403" i="7"/>
  <c r="J3403" i="7"/>
  <c r="K3403" i="7" s="1"/>
  <c r="L3403" i="7" s="1"/>
  <c r="G3403" i="7"/>
  <c r="H3403" i="7" s="1"/>
  <c r="B3403" i="7"/>
  <c r="M3402" i="7"/>
  <c r="J3402" i="7"/>
  <c r="K3402" i="7" s="1"/>
  <c r="L3402" i="7" s="1"/>
  <c r="G3402" i="7"/>
  <c r="H3402" i="7" s="1"/>
  <c r="B3402" i="7"/>
  <c r="M3401" i="7"/>
  <c r="J3401" i="7"/>
  <c r="K3401" i="7" s="1"/>
  <c r="L3401" i="7" s="1"/>
  <c r="G3401" i="7"/>
  <c r="H3401" i="7" s="1"/>
  <c r="B3401" i="7"/>
  <c r="M3400" i="7"/>
  <c r="J3400" i="7"/>
  <c r="K3400" i="7" s="1"/>
  <c r="L3400" i="7" s="1"/>
  <c r="G3400" i="7"/>
  <c r="H3400" i="7" s="1"/>
  <c r="B3400" i="7"/>
  <c r="M3399" i="7"/>
  <c r="J3399" i="7"/>
  <c r="K3399" i="7" s="1"/>
  <c r="L3399" i="7" s="1"/>
  <c r="G3399" i="7"/>
  <c r="H3399" i="7" s="1"/>
  <c r="B3399" i="7"/>
  <c r="M3398" i="7"/>
  <c r="J3398" i="7"/>
  <c r="K3398" i="7" s="1"/>
  <c r="L3398" i="7" s="1"/>
  <c r="G3398" i="7"/>
  <c r="H3398" i="7" s="1"/>
  <c r="B3398" i="7"/>
  <c r="M3397" i="7"/>
  <c r="J3397" i="7"/>
  <c r="K3397" i="7" s="1"/>
  <c r="L3397" i="7" s="1"/>
  <c r="G3397" i="7"/>
  <c r="H3397" i="7" s="1"/>
  <c r="B3397" i="7"/>
  <c r="M3396" i="7"/>
  <c r="J3396" i="7"/>
  <c r="K3396" i="7" s="1"/>
  <c r="L3396" i="7" s="1"/>
  <c r="G3396" i="7"/>
  <c r="H3396" i="7" s="1"/>
  <c r="B3396" i="7"/>
  <c r="M3395" i="7"/>
  <c r="J3395" i="7"/>
  <c r="K3395" i="7" s="1"/>
  <c r="L3395" i="7" s="1"/>
  <c r="G3395" i="7"/>
  <c r="H3395" i="7" s="1"/>
  <c r="B3395" i="7"/>
  <c r="M3394" i="7"/>
  <c r="J3394" i="7"/>
  <c r="K3394" i="7" s="1"/>
  <c r="L3394" i="7" s="1"/>
  <c r="G3394" i="7"/>
  <c r="H3394" i="7" s="1"/>
  <c r="B3394" i="7"/>
  <c r="M3393" i="7"/>
  <c r="J3393" i="7"/>
  <c r="K3393" i="7" s="1"/>
  <c r="L3393" i="7" s="1"/>
  <c r="G3393" i="7"/>
  <c r="H3393" i="7" s="1"/>
  <c r="B3393" i="7"/>
  <c r="M3392" i="7"/>
  <c r="J3392" i="7"/>
  <c r="K3392" i="7" s="1"/>
  <c r="L3392" i="7" s="1"/>
  <c r="G3392" i="7"/>
  <c r="H3392" i="7" s="1"/>
  <c r="B3392" i="7"/>
  <c r="M3391" i="7"/>
  <c r="J3391" i="7"/>
  <c r="K3391" i="7" s="1"/>
  <c r="L3391" i="7" s="1"/>
  <c r="G3391" i="7"/>
  <c r="H3391" i="7" s="1"/>
  <c r="B3391" i="7"/>
  <c r="M3390" i="7"/>
  <c r="J3390" i="7"/>
  <c r="K3390" i="7" s="1"/>
  <c r="L3390" i="7" s="1"/>
  <c r="G3390" i="7"/>
  <c r="H3390" i="7" s="1"/>
  <c r="B3390" i="7"/>
  <c r="M3389" i="7"/>
  <c r="J3389" i="7"/>
  <c r="K3389" i="7" s="1"/>
  <c r="L3389" i="7" s="1"/>
  <c r="G3389" i="7"/>
  <c r="H3389" i="7" s="1"/>
  <c r="B3389" i="7"/>
  <c r="M3388" i="7"/>
  <c r="J3388" i="7"/>
  <c r="K3388" i="7" s="1"/>
  <c r="L3388" i="7" s="1"/>
  <c r="G3388" i="7"/>
  <c r="H3388" i="7" s="1"/>
  <c r="B3388" i="7"/>
  <c r="M3387" i="7"/>
  <c r="J3387" i="7"/>
  <c r="K3387" i="7" s="1"/>
  <c r="L3387" i="7" s="1"/>
  <c r="G3387" i="7"/>
  <c r="H3387" i="7" s="1"/>
  <c r="B3387" i="7"/>
  <c r="M3386" i="7"/>
  <c r="J3386" i="7"/>
  <c r="K3386" i="7" s="1"/>
  <c r="L3386" i="7" s="1"/>
  <c r="G3386" i="7"/>
  <c r="H3386" i="7" s="1"/>
  <c r="B3386" i="7"/>
  <c r="M3385" i="7"/>
  <c r="J3385" i="7"/>
  <c r="K3385" i="7" s="1"/>
  <c r="L3385" i="7" s="1"/>
  <c r="G3385" i="7"/>
  <c r="H3385" i="7" s="1"/>
  <c r="B3385" i="7"/>
  <c r="M3384" i="7"/>
  <c r="J3384" i="7"/>
  <c r="K3384" i="7" s="1"/>
  <c r="L3384" i="7" s="1"/>
  <c r="G3384" i="7"/>
  <c r="H3384" i="7" s="1"/>
  <c r="B3384" i="7"/>
  <c r="M3383" i="7"/>
  <c r="J3383" i="7"/>
  <c r="K3383" i="7" s="1"/>
  <c r="L3383" i="7" s="1"/>
  <c r="G3383" i="7"/>
  <c r="H3383" i="7" s="1"/>
  <c r="B3383" i="7"/>
  <c r="M3382" i="7"/>
  <c r="J3382" i="7"/>
  <c r="K3382" i="7" s="1"/>
  <c r="L3382" i="7" s="1"/>
  <c r="G3382" i="7"/>
  <c r="H3382" i="7" s="1"/>
  <c r="B3382" i="7"/>
  <c r="M3381" i="7"/>
  <c r="J3381" i="7"/>
  <c r="K3381" i="7" s="1"/>
  <c r="L3381" i="7" s="1"/>
  <c r="G3381" i="7"/>
  <c r="H3381" i="7" s="1"/>
  <c r="B3381" i="7"/>
  <c r="M3380" i="7"/>
  <c r="J3380" i="7"/>
  <c r="K3380" i="7" s="1"/>
  <c r="L3380" i="7" s="1"/>
  <c r="G3380" i="7"/>
  <c r="H3380" i="7" s="1"/>
  <c r="B3380" i="7"/>
  <c r="M3379" i="7"/>
  <c r="J3379" i="7"/>
  <c r="K3379" i="7" s="1"/>
  <c r="L3379" i="7" s="1"/>
  <c r="G3379" i="7"/>
  <c r="H3379" i="7" s="1"/>
  <c r="B3379" i="7"/>
  <c r="M3378" i="7"/>
  <c r="J3378" i="7"/>
  <c r="K3378" i="7" s="1"/>
  <c r="L3378" i="7" s="1"/>
  <c r="G3378" i="7"/>
  <c r="H3378" i="7" s="1"/>
  <c r="B3378" i="7"/>
  <c r="M3377" i="7"/>
  <c r="J3377" i="7"/>
  <c r="K3377" i="7" s="1"/>
  <c r="L3377" i="7" s="1"/>
  <c r="G3377" i="7"/>
  <c r="H3377" i="7" s="1"/>
  <c r="B3377" i="7"/>
  <c r="M3376" i="7"/>
  <c r="J3376" i="7"/>
  <c r="K3376" i="7" s="1"/>
  <c r="L3376" i="7" s="1"/>
  <c r="G3376" i="7"/>
  <c r="H3376" i="7" s="1"/>
  <c r="B3376" i="7"/>
  <c r="M3375" i="7"/>
  <c r="J3375" i="7"/>
  <c r="K3375" i="7" s="1"/>
  <c r="L3375" i="7" s="1"/>
  <c r="G3375" i="7"/>
  <c r="H3375" i="7" s="1"/>
  <c r="B3375" i="7"/>
  <c r="M3374" i="7"/>
  <c r="J3374" i="7"/>
  <c r="K3374" i="7" s="1"/>
  <c r="L3374" i="7" s="1"/>
  <c r="G3374" i="7"/>
  <c r="H3374" i="7" s="1"/>
  <c r="B3374" i="7"/>
  <c r="M3373" i="7"/>
  <c r="J3373" i="7"/>
  <c r="K3373" i="7" s="1"/>
  <c r="L3373" i="7" s="1"/>
  <c r="G3373" i="7"/>
  <c r="H3373" i="7" s="1"/>
  <c r="B3373" i="7"/>
  <c r="M3372" i="7"/>
  <c r="J3372" i="7"/>
  <c r="K3372" i="7" s="1"/>
  <c r="L3372" i="7" s="1"/>
  <c r="G3372" i="7"/>
  <c r="H3372" i="7" s="1"/>
  <c r="B3372" i="7"/>
  <c r="M3371" i="7"/>
  <c r="J3371" i="7"/>
  <c r="K3371" i="7" s="1"/>
  <c r="L3371" i="7" s="1"/>
  <c r="G3371" i="7"/>
  <c r="H3371" i="7" s="1"/>
  <c r="B3371" i="7"/>
  <c r="M3370" i="7"/>
  <c r="J3370" i="7"/>
  <c r="K3370" i="7" s="1"/>
  <c r="L3370" i="7" s="1"/>
  <c r="G3370" i="7"/>
  <c r="H3370" i="7" s="1"/>
  <c r="B3370" i="7"/>
  <c r="M3369" i="7"/>
  <c r="J3369" i="7"/>
  <c r="K3369" i="7" s="1"/>
  <c r="L3369" i="7" s="1"/>
  <c r="G3369" i="7"/>
  <c r="H3369" i="7" s="1"/>
  <c r="B3369" i="7"/>
  <c r="M3368" i="7"/>
  <c r="J3368" i="7"/>
  <c r="K3368" i="7" s="1"/>
  <c r="L3368" i="7" s="1"/>
  <c r="G3368" i="7"/>
  <c r="H3368" i="7" s="1"/>
  <c r="B3368" i="7"/>
  <c r="M3367" i="7"/>
  <c r="J3367" i="7"/>
  <c r="K3367" i="7" s="1"/>
  <c r="L3367" i="7" s="1"/>
  <c r="G3367" i="7"/>
  <c r="H3367" i="7" s="1"/>
  <c r="B3367" i="7"/>
  <c r="M3366" i="7"/>
  <c r="J3366" i="7"/>
  <c r="K3366" i="7" s="1"/>
  <c r="L3366" i="7" s="1"/>
  <c r="G3366" i="7"/>
  <c r="H3366" i="7" s="1"/>
  <c r="B3366" i="7"/>
  <c r="M3365" i="7"/>
  <c r="J3365" i="7"/>
  <c r="K3365" i="7" s="1"/>
  <c r="L3365" i="7" s="1"/>
  <c r="G3365" i="7"/>
  <c r="H3365" i="7" s="1"/>
  <c r="B3365" i="7"/>
  <c r="M3364" i="7"/>
  <c r="J3364" i="7"/>
  <c r="K3364" i="7" s="1"/>
  <c r="L3364" i="7" s="1"/>
  <c r="G3364" i="7"/>
  <c r="H3364" i="7" s="1"/>
  <c r="B3364" i="7"/>
  <c r="M3363" i="7"/>
  <c r="J3363" i="7"/>
  <c r="K3363" i="7" s="1"/>
  <c r="L3363" i="7" s="1"/>
  <c r="G3363" i="7"/>
  <c r="H3363" i="7" s="1"/>
  <c r="B3363" i="7"/>
  <c r="M3362" i="7"/>
  <c r="J3362" i="7"/>
  <c r="K3362" i="7" s="1"/>
  <c r="L3362" i="7" s="1"/>
  <c r="G3362" i="7"/>
  <c r="H3362" i="7" s="1"/>
  <c r="B3362" i="7"/>
  <c r="M3361" i="7"/>
  <c r="J3361" i="7"/>
  <c r="K3361" i="7" s="1"/>
  <c r="L3361" i="7" s="1"/>
  <c r="G3361" i="7"/>
  <c r="H3361" i="7" s="1"/>
  <c r="B3361" i="7"/>
  <c r="M3360" i="7"/>
  <c r="J3360" i="7"/>
  <c r="K3360" i="7" s="1"/>
  <c r="L3360" i="7" s="1"/>
  <c r="G3360" i="7"/>
  <c r="H3360" i="7" s="1"/>
  <c r="B3360" i="7"/>
  <c r="M3359" i="7"/>
  <c r="J3359" i="7"/>
  <c r="K3359" i="7" s="1"/>
  <c r="L3359" i="7" s="1"/>
  <c r="G3359" i="7"/>
  <c r="H3359" i="7" s="1"/>
  <c r="B3359" i="7"/>
  <c r="M3358" i="7"/>
  <c r="J3358" i="7"/>
  <c r="K3358" i="7" s="1"/>
  <c r="L3358" i="7" s="1"/>
  <c r="G3358" i="7"/>
  <c r="H3358" i="7" s="1"/>
  <c r="B3358" i="7"/>
  <c r="M3357" i="7"/>
  <c r="J3357" i="7"/>
  <c r="K3357" i="7" s="1"/>
  <c r="L3357" i="7" s="1"/>
  <c r="G3357" i="7"/>
  <c r="H3357" i="7" s="1"/>
  <c r="B3357" i="7"/>
  <c r="M3356" i="7"/>
  <c r="J3356" i="7"/>
  <c r="K3356" i="7" s="1"/>
  <c r="L3356" i="7" s="1"/>
  <c r="G3356" i="7"/>
  <c r="H3356" i="7" s="1"/>
  <c r="B3356" i="7"/>
  <c r="M3355" i="7"/>
  <c r="J3355" i="7"/>
  <c r="K3355" i="7" s="1"/>
  <c r="L3355" i="7" s="1"/>
  <c r="G3355" i="7"/>
  <c r="H3355" i="7" s="1"/>
  <c r="B3355" i="7"/>
  <c r="M3354" i="7"/>
  <c r="J3354" i="7"/>
  <c r="K3354" i="7" s="1"/>
  <c r="L3354" i="7" s="1"/>
  <c r="G3354" i="7"/>
  <c r="H3354" i="7" s="1"/>
  <c r="B3354" i="7"/>
  <c r="M3353" i="7"/>
  <c r="J3353" i="7"/>
  <c r="K3353" i="7" s="1"/>
  <c r="L3353" i="7" s="1"/>
  <c r="G3353" i="7"/>
  <c r="H3353" i="7" s="1"/>
  <c r="B3353" i="7"/>
  <c r="M3352" i="7"/>
  <c r="J3352" i="7"/>
  <c r="K3352" i="7" s="1"/>
  <c r="L3352" i="7" s="1"/>
  <c r="G3352" i="7"/>
  <c r="H3352" i="7" s="1"/>
  <c r="B3352" i="7"/>
  <c r="M3351" i="7"/>
  <c r="J3351" i="7"/>
  <c r="K3351" i="7" s="1"/>
  <c r="L3351" i="7" s="1"/>
  <c r="G3351" i="7"/>
  <c r="H3351" i="7" s="1"/>
  <c r="B3351" i="7"/>
  <c r="M3350" i="7"/>
  <c r="J3350" i="7"/>
  <c r="K3350" i="7" s="1"/>
  <c r="L3350" i="7" s="1"/>
  <c r="G3350" i="7"/>
  <c r="H3350" i="7" s="1"/>
  <c r="B3350" i="7"/>
  <c r="M3349" i="7"/>
  <c r="J3349" i="7"/>
  <c r="K3349" i="7" s="1"/>
  <c r="L3349" i="7" s="1"/>
  <c r="G3349" i="7"/>
  <c r="H3349" i="7" s="1"/>
  <c r="B3349" i="7"/>
  <c r="M3348" i="7"/>
  <c r="J3348" i="7"/>
  <c r="K3348" i="7" s="1"/>
  <c r="L3348" i="7" s="1"/>
  <c r="G3348" i="7"/>
  <c r="H3348" i="7" s="1"/>
  <c r="B3348" i="7"/>
  <c r="M3347" i="7"/>
  <c r="J3347" i="7"/>
  <c r="K3347" i="7" s="1"/>
  <c r="L3347" i="7" s="1"/>
  <c r="G3347" i="7"/>
  <c r="H3347" i="7" s="1"/>
  <c r="B3347" i="7"/>
  <c r="M3346" i="7"/>
  <c r="J3346" i="7"/>
  <c r="K3346" i="7" s="1"/>
  <c r="L3346" i="7" s="1"/>
  <c r="G3346" i="7"/>
  <c r="H3346" i="7" s="1"/>
  <c r="B3346" i="7"/>
  <c r="M3345" i="7"/>
  <c r="J3345" i="7"/>
  <c r="K3345" i="7" s="1"/>
  <c r="L3345" i="7" s="1"/>
  <c r="G3345" i="7"/>
  <c r="H3345" i="7" s="1"/>
  <c r="B3345" i="7"/>
  <c r="M3344" i="7"/>
  <c r="J3344" i="7"/>
  <c r="K3344" i="7" s="1"/>
  <c r="L3344" i="7" s="1"/>
  <c r="G3344" i="7"/>
  <c r="H3344" i="7" s="1"/>
  <c r="B3344" i="7"/>
  <c r="M3343" i="7"/>
  <c r="J3343" i="7"/>
  <c r="K3343" i="7" s="1"/>
  <c r="L3343" i="7" s="1"/>
  <c r="G3343" i="7"/>
  <c r="H3343" i="7" s="1"/>
  <c r="B3343" i="7"/>
  <c r="M3342" i="7"/>
  <c r="J3342" i="7"/>
  <c r="K3342" i="7" s="1"/>
  <c r="L3342" i="7" s="1"/>
  <c r="G3342" i="7"/>
  <c r="H3342" i="7" s="1"/>
  <c r="B3342" i="7"/>
  <c r="M3341" i="7"/>
  <c r="J3341" i="7"/>
  <c r="K3341" i="7" s="1"/>
  <c r="L3341" i="7" s="1"/>
  <c r="G3341" i="7"/>
  <c r="H3341" i="7" s="1"/>
  <c r="B3341" i="7"/>
  <c r="M3340" i="7"/>
  <c r="J3340" i="7"/>
  <c r="K3340" i="7" s="1"/>
  <c r="L3340" i="7" s="1"/>
  <c r="G3340" i="7"/>
  <c r="H3340" i="7" s="1"/>
  <c r="B3340" i="7"/>
  <c r="M3339" i="7"/>
  <c r="J3339" i="7"/>
  <c r="K3339" i="7" s="1"/>
  <c r="L3339" i="7" s="1"/>
  <c r="G3339" i="7"/>
  <c r="H3339" i="7" s="1"/>
  <c r="B3339" i="7"/>
  <c r="M3338" i="7"/>
  <c r="J3338" i="7"/>
  <c r="K3338" i="7" s="1"/>
  <c r="L3338" i="7" s="1"/>
  <c r="G3338" i="7"/>
  <c r="H3338" i="7" s="1"/>
  <c r="B3338" i="7"/>
  <c r="M3337" i="7"/>
  <c r="J3337" i="7"/>
  <c r="K3337" i="7" s="1"/>
  <c r="L3337" i="7" s="1"/>
  <c r="G3337" i="7"/>
  <c r="H3337" i="7" s="1"/>
  <c r="B3337" i="7"/>
  <c r="M3336" i="7"/>
  <c r="J3336" i="7"/>
  <c r="K3336" i="7" s="1"/>
  <c r="L3336" i="7" s="1"/>
  <c r="G3336" i="7"/>
  <c r="H3336" i="7" s="1"/>
  <c r="B3336" i="7"/>
  <c r="M3335" i="7"/>
  <c r="J3335" i="7"/>
  <c r="K3335" i="7" s="1"/>
  <c r="L3335" i="7" s="1"/>
  <c r="G3335" i="7"/>
  <c r="H3335" i="7" s="1"/>
  <c r="B3335" i="7"/>
  <c r="M3334" i="7"/>
  <c r="J3334" i="7"/>
  <c r="K3334" i="7" s="1"/>
  <c r="L3334" i="7" s="1"/>
  <c r="G3334" i="7"/>
  <c r="H3334" i="7" s="1"/>
  <c r="B3334" i="7"/>
  <c r="M3333" i="7"/>
  <c r="J3333" i="7"/>
  <c r="K3333" i="7" s="1"/>
  <c r="L3333" i="7" s="1"/>
  <c r="G3333" i="7"/>
  <c r="H3333" i="7" s="1"/>
  <c r="B3333" i="7"/>
  <c r="M3332" i="7"/>
  <c r="J3332" i="7"/>
  <c r="K3332" i="7" s="1"/>
  <c r="L3332" i="7" s="1"/>
  <c r="G3332" i="7"/>
  <c r="H3332" i="7" s="1"/>
  <c r="B3332" i="7"/>
  <c r="M3331" i="7"/>
  <c r="J3331" i="7"/>
  <c r="K3331" i="7" s="1"/>
  <c r="L3331" i="7" s="1"/>
  <c r="G3331" i="7"/>
  <c r="H3331" i="7" s="1"/>
  <c r="B3331" i="7"/>
  <c r="M3330" i="7"/>
  <c r="J3330" i="7"/>
  <c r="K3330" i="7" s="1"/>
  <c r="L3330" i="7" s="1"/>
  <c r="G3330" i="7"/>
  <c r="H3330" i="7" s="1"/>
  <c r="B3330" i="7"/>
  <c r="M3329" i="7"/>
  <c r="J3329" i="7"/>
  <c r="K3329" i="7" s="1"/>
  <c r="L3329" i="7" s="1"/>
  <c r="G3329" i="7"/>
  <c r="H3329" i="7" s="1"/>
  <c r="B3329" i="7"/>
  <c r="M3328" i="7"/>
  <c r="J3328" i="7"/>
  <c r="K3328" i="7" s="1"/>
  <c r="L3328" i="7" s="1"/>
  <c r="G3328" i="7"/>
  <c r="H3328" i="7" s="1"/>
  <c r="B3328" i="7"/>
  <c r="M3327" i="7"/>
  <c r="J3327" i="7"/>
  <c r="K3327" i="7" s="1"/>
  <c r="L3327" i="7" s="1"/>
  <c r="G3327" i="7"/>
  <c r="H3327" i="7" s="1"/>
  <c r="B3327" i="7"/>
  <c r="M3326" i="7"/>
  <c r="J3326" i="7"/>
  <c r="K3326" i="7" s="1"/>
  <c r="L3326" i="7" s="1"/>
  <c r="G3326" i="7"/>
  <c r="H3326" i="7" s="1"/>
  <c r="B3326" i="7"/>
  <c r="M3325" i="7"/>
  <c r="J3325" i="7"/>
  <c r="K3325" i="7" s="1"/>
  <c r="L3325" i="7" s="1"/>
  <c r="G3325" i="7"/>
  <c r="H3325" i="7" s="1"/>
  <c r="B3325" i="7"/>
  <c r="M3324" i="7"/>
  <c r="J3324" i="7"/>
  <c r="K3324" i="7" s="1"/>
  <c r="L3324" i="7" s="1"/>
  <c r="G3324" i="7"/>
  <c r="H3324" i="7" s="1"/>
  <c r="B3324" i="7"/>
  <c r="M3323" i="7"/>
  <c r="J3323" i="7"/>
  <c r="K3323" i="7" s="1"/>
  <c r="L3323" i="7" s="1"/>
  <c r="G3323" i="7"/>
  <c r="H3323" i="7" s="1"/>
  <c r="B3323" i="7"/>
  <c r="M3322" i="7"/>
  <c r="J3322" i="7"/>
  <c r="K3322" i="7" s="1"/>
  <c r="L3322" i="7" s="1"/>
  <c r="G3322" i="7"/>
  <c r="H3322" i="7" s="1"/>
  <c r="B3322" i="7"/>
  <c r="M3321" i="7"/>
  <c r="J3321" i="7"/>
  <c r="K3321" i="7" s="1"/>
  <c r="L3321" i="7" s="1"/>
  <c r="G3321" i="7"/>
  <c r="H3321" i="7" s="1"/>
  <c r="B3321" i="7"/>
  <c r="M3320" i="7"/>
  <c r="J3320" i="7"/>
  <c r="K3320" i="7" s="1"/>
  <c r="L3320" i="7" s="1"/>
  <c r="G3320" i="7"/>
  <c r="H3320" i="7" s="1"/>
  <c r="B3320" i="7"/>
  <c r="M3319" i="7"/>
  <c r="J3319" i="7"/>
  <c r="K3319" i="7" s="1"/>
  <c r="L3319" i="7" s="1"/>
  <c r="G3319" i="7"/>
  <c r="H3319" i="7" s="1"/>
  <c r="B3319" i="7"/>
  <c r="M3318" i="7"/>
  <c r="J3318" i="7"/>
  <c r="K3318" i="7" s="1"/>
  <c r="L3318" i="7" s="1"/>
  <c r="G3318" i="7"/>
  <c r="H3318" i="7" s="1"/>
  <c r="B3318" i="7"/>
  <c r="M3317" i="7"/>
  <c r="J3317" i="7"/>
  <c r="K3317" i="7" s="1"/>
  <c r="L3317" i="7" s="1"/>
  <c r="G3317" i="7"/>
  <c r="H3317" i="7" s="1"/>
  <c r="B3317" i="7"/>
  <c r="M3316" i="7"/>
  <c r="J3316" i="7"/>
  <c r="K3316" i="7" s="1"/>
  <c r="L3316" i="7" s="1"/>
  <c r="G3316" i="7"/>
  <c r="H3316" i="7" s="1"/>
  <c r="B3316" i="7"/>
  <c r="M3315" i="7"/>
  <c r="J3315" i="7"/>
  <c r="K3315" i="7" s="1"/>
  <c r="L3315" i="7" s="1"/>
  <c r="G3315" i="7"/>
  <c r="H3315" i="7" s="1"/>
  <c r="B3315" i="7"/>
  <c r="M3314" i="7"/>
  <c r="J3314" i="7"/>
  <c r="K3314" i="7" s="1"/>
  <c r="L3314" i="7" s="1"/>
  <c r="G3314" i="7"/>
  <c r="H3314" i="7" s="1"/>
  <c r="B3314" i="7"/>
  <c r="M3313" i="7"/>
  <c r="J3313" i="7"/>
  <c r="K3313" i="7" s="1"/>
  <c r="L3313" i="7" s="1"/>
  <c r="G3313" i="7"/>
  <c r="H3313" i="7" s="1"/>
  <c r="B3313" i="7"/>
  <c r="M3312" i="7"/>
  <c r="J3312" i="7"/>
  <c r="K3312" i="7" s="1"/>
  <c r="L3312" i="7" s="1"/>
  <c r="G3312" i="7"/>
  <c r="H3312" i="7" s="1"/>
  <c r="B3312" i="7"/>
  <c r="M3311" i="7"/>
  <c r="J3311" i="7"/>
  <c r="K3311" i="7" s="1"/>
  <c r="L3311" i="7" s="1"/>
  <c r="G3311" i="7"/>
  <c r="H3311" i="7" s="1"/>
  <c r="B3311" i="7"/>
  <c r="M3310" i="7"/>
  <c r="J3310" i="7"/>
  <c r="K3310" i="7" s="1"/>
  <c r="L3310" i="7" s="1"/>
  <c r="G3310" i="7"/>
  <c r="H3310" i="7" s="1"/>
  <c r="B3310" i="7"/>
  <c r="M3309" i="7"/>
  <c r="J3309" i="7"/>
  <c r="K3309" i="7" s="1"/>
  <c r="L3309" i="7" s="1"/>
  <c r="G3309" i="7"/>
  <c r="H3309" i="7" s="1"/>
  <c r="B3309" i="7"/>
  <c r="M3308" i="7"/>
  <c r="J3308" i="7"/>
  <c r="K3308" i="7" s="1"/>
  <c r="L3308" i="7" s="1"/>
  <c r="G3308" i="7"/>
  <c r="H3308" i="7" s="1"/>
  <c r="B3308" i="7"/>
  <c r="M3307" i="7"/>
  <c r="J3307" i="7"/>
  <c r="K3307" i="7" s="1"/>
  <c r="L3307" i="7" s="1"/>
  <c r="G3307" i="7"/>
  <c r="H3307" i="7" s="1"/>
  <c r="B3307" i="7"/>
  <c r="M3306" i="7"/>
  <c r="J3306" i="7"/>
  <c r="K3306" i="7" s="1"/>
  <c r="L3306" i="7" s="1"/>
  <c r="G3306" i="7"/>
  <c r="H3306" i="7" s="1"/>
  <c r="B3306" i="7"/>
  <c r="M3305" i="7"/>
  <c r="J3305" i="7"/>
  <c r="K3305" i="7" s="1"/>
  <c r="L3305" i="7" s="1"/>
  <c r="G3305" i="7"/>
  <c r="H3305" i="7" s="1"/>
  <c r="B3305" i="7"/>
  <c r="M3304" i="7"/>
  <c r="J3304" i="7"/>
  <c r="K3304" i="7" s="1"/>
  <c r="L3304" i="7" s="1"/>
  <c r="G3304" i="7"/>
  <c r="H3304" i="7" s="1"/>
  <c r="B3304" i="7"/>
  <c r="M3303" i="7"/>
  <c r="J3303" i="7"/>
  <c r="K3303" i="7" s="1"/>
  <c r="L3303" i="7" s="1"/>
  <c r="G3303" i="7"/>
  <c r="H3303" i="7" s="1"/>
  <c r="B3303" i="7"/>
  <c r="M3302" i="7"/>
  <c r="J3302" i="7"/>
  <c r="K3302" i="7" s="1"/>
  <c r="L3302" i="7" s="1"/>
  <c r="G3302" i="7"/>
  <c r="H3302" i="7" s="1"/>
  <c r="B3302" i="7"/>
  <c r="M3301" i="7"/>
  <c r="J3301" i="7"/>
  <c r="K3301" i="7" s="1"/>
  <c r="L3301" i="7" s="1"/>
  <c r="G3301" i="7"/>
  <c r="H3301" i="7" s="1"/>
  <c r="B3301" i="7"/>
  <c r="M3300" i="7"/>
  <c r="J3300" i="7"/>
  <c r="K3300" i="7" s="1"/>
  <c r="L3300" i="7" s="1"/>
  <c r="G3300" i="7"/>
  <c r="H3300" i="7" s="1"/>
  <c r="B3300" i="7"/>
  <c r="M3299" i="7"/>
  <c r="J3299" i="7"/>
  <c r="K3299" i="7" s="1"/>
  <c r="L3299" i="7" s="1"/>
  <c r="G3299" i="7"/>
  <c r="H3299" i="7" s="1"/>
  <c r="B3299" i="7"/>
  <c r="M3298" i="7"/>
  <c r="J3298" i="7"/>
  <c r="K3298" i="7" s="1"/>
  <c r="L3298" i="7" s="1"/>
  <c r="G3298" i="7"/>
  <c r="H3298" i="7" s="1"/>
  <c r="B3298" i="7"/>
  <c r="M3297" i="7"/>
  <c r="J3297" i="7"/>
  <c r="K3297" i="7" s="1"/>
  <c r="L3297" i="7" s="1"/>
  <c r="G3297" i="7"/>
  <c r="H3297" i="7" s="1"/>
  <c r="B3297" i="7"/>
  <c r="M3296" i="7"/>
  <c r="J3296" i="7"/>
  <c r="K3296" i="7" s="1"/>
  <c r="L3296" i="7" s="1"/>
  <c r="G3296" i="7"/>
  <c r="H3296" i="7" s="1"/>
  <c r="B3296" i="7"/>
  <c r="M3295" i="7"/>
  <c r="J3295" i="7"/>
  <c r="K3295" i="7" s="1"/>
  <c r="L3295" i="7" s="1"/>
  <c r="G3295" i="7"/>
  <c r="H3295" i="7" s="1"/>
  <c r="B3295" i="7"/>
  <c r="M3294" i="7"/>
  <c r="J3294" i="7"/>
  <c r="K3294" i="7" s="1"/>
  <c r="L3294" i="7" s="1"/>
  <c r="G3294" i="7"/>
  <c r="H3294" i="7" s="1"/>
  <c r="B3294" i="7"/>
  <c r="M3293" i="7"/>
  <c r="J3293" i="7"/>
  <c r="K3293" i="7" s="1"/>
  <c r="L3293" i="7" s="1"/>
  <c r="G3293" i="7"/>
  <c r="H3293" i="7" s="1"/>
  <c r="B3293" i="7"/>
  <c r="M3292" i="7"/>
  <c r="J3292" i="7"/>
  <c r="K3292" i="7" s="1"/>
  <c r="L3292" i="7" s="1"/>
  <c r="G3292" i="7"/>
  <c r="H3292" i="7" s="1"/>
  <c r="B3292" i="7"/>
  <c r="M3291" i="7"/>
  <c r="J3291" i="7"/>
  <c r="K3291" i="7" s="1"/>
  <c r="L3291" i="7" s="1"/>
  <c r="G3291" i="7"/>
  <c r="H3291" i="7" s="1"/>
  <c r="B3291" i="7"/>
  <c r="M3290" i="7"/>
  <c r="J3290" i="7"/>
  <c r="K3290" i="7" s="1"/>
  <c r="L3290" i="7" s="1"/>
  <c r="G3290" i="7"/>
  <c r="H3290" i="7" s="1"/>
  <c r="B3290" i="7"/>
  <c r="M3289" i="7"/>
  <c r="J3289" i="7"/>
  <c r="K3289" i="7" s="1"/>
  <c r="L3289" i="7" s="1"/>
  <c r="G3289" i="7"/>
  <c r="H3289" i="7" s="1"/>
  <c r="B3289" i="7"/>
  <c r="M3288" i="7"/>
  <c r="J3288" i="7"/>
  <c r="K3288" i="7" s="1"/>
  <c r="L3288" i="7" s="1"/>
  <c r="G3288" i="7"/>
  <c r="H3288" i="7" s="1"/>
  <c r="B3288" i="7"/>
  <c r="M3287" i="7"/>
  <c r="J3287" i="7"/>
  <c r="K3287" i="7" s="1"/>
  <c r="L3287" i="7" s="1"/>
  <c r="G3287" i="7"/>
  <c r="H3287" i="7" s="1"/>
  <c r="B3287" i="7"/>
  <c r="M3286" i="7"/>
  <c r="J3286" i="7"/>
  <c r="K3286" i="7" s="1"/>
  <c r="L3286" i="7" s="1"/>
  <c r="G3286" i="7"/>
  <c r="H3286" i="7" s="1"/>
  <c r="B3286" i="7"/>
  <c r="M3285" i="7"/>
  <c r="J3285" i="7"/>
  <c r="K3285" i="7" s="1"/>
  <c r="L3285" i="7" s="1"/>
  <c r="G3285" i="7"/>
  <c r="H3285" i="7" s="1"/>
  <c r="B3285" i="7"/>
  <c r="M3284" i="7"/>
  <c r="J3284" i="7"/>
  <c r="K3284" i="7" s="1"/>
  <c r="L3284" i="7" s="1"/>
  <c r="G3284" i="7"/>
  <c r="H3284" i="7" s="1"/>
  <c r="B3284" i="7"/>
  <c r="M3283" i="7"/>
  <c r="J3283" i="7"/>
  <c r="K3283" i="7" s="1"/>
  <c r="L3283" i="7" s="1"/>
  <c r="G3283" i="7"/>
  <c r="H3283" i="7" s="1"/>
  <c r="B3283" i="7"/>
  <c r="M3282" i="7"/>
  <c r="J3282" i="7"/>
  <c r="K3282" i="7" s="1"/>
  <c r="L3282" i="7" s="1"/>
  <c r="G3282" i="7"/>
  <c r="H3282" i="7" s="1"/>
  <c r="B3282" i="7"/>
  <c r="M3281" i="7"/>
  <c r="J3281" i="7"/>
  <c r="K3281" i="7" s="1"/>
  <c r="L3281" i="7" s="1"/>
  <c r="G3281" i="7"/>
  <c r="H3281" i="7" s="1"/>
  <c r="B3281" i="7"/>
  <c r="M3280" i="7"/>
  <c r="J3280" i="7"/>
  <c r="K3280" i="7" s="1"/>
  <c r="L3280" i="7" s="1"/>
  <c r="G3280" i="7"/>
  <c r="H3280" i="7" s="1"/>
  <c r="B3280" i="7"/>
  <c r="M3279" i="7"/>
  <c r="J3279" i="7"/>
  <c r="K3279" i="7" s="1"/>
  <c r="L3279" i="7" s="1"/>
  <c r="G3279" i="7"/>
  <c r="H3279" i="7" s="1"/>
  <c r="B3279" i="7"/>
  <c r="M3278" i="7"/>
  <c r="J3278" i="7"/>
  <c r="K3278" i="7" s="1"/>
  <c r="L3278" i="7" s="1"/>
  <c r="G3278" i="7"/>
  <c r="H3278" i="7" s="1"/>
  <c r="B3278" i="7"/>
  <c r="M3277" i="7"/>
  <c r="J3277" i="7"/>
  <c r="K3277" i="7" s="1"/>
  <c r="L3277" i="7" s="1"/>
  <c r="G3277" i="7"/>
  <c r="H3277" i="7" s="1"/>
  <c r="B3277" i="7"/>
  <c r="M3276" i="7"/>
  <c r="J3276" i="7"/>
  <c r="K3276" i="7" s="1"/>
  <c r="L3276" i="7" s="1"/>
  <c r="G3276" i="7"/>
  <c r="H3276" i="7" s="1"/>
  <c r="B3276" i="7"/>
  <c r="M3275" i="7"/>
  <c r="J3275" i="7"/>
  <c r="K3275" i="7" s="1"/>
  <c r="L3275" i="7" s="1"/>
  <c r="G3275" i="7"/>
  <c r="H3275" i="7" s="1"/>
  <c r="B3275" i="7"/>
  <c r="M3274" i="7"/>
  <c r="J3274" i="7"/>
  <c r="K3274" i="7" s="1"/>
  <c r="L3274" i="7" s="1"/>
  <c r="G3274" i="7"/>
  <c r="H3274" i="7" s="1"/>
  <c r="B3274" i="7"/>
  <c r="M3273" i="7"/>
  <c r="J3273" i="7"/>
  <c r="K3273" i="7" s="1"/>
  <c r="L3273" i="7" s="1"/>
  <c r="G3273" i="7"/>
  <c r="H3273" i="7" s="1"/>
  <c r="B3273" i="7"/>
  <c r="M3272" i="7"/>
  <c r="J3272" i="7"/>
  <c r="K3272" i="7" s="1"/>
  <c r="L3272" i="7" s="1"/>
  <c r="G3272" i="7"/>
  <c r="H3272" i="7" s="1"/>
  <c r="B3272" i="7"/>
  <c r="M3271" i="7"/>
  <c r="J3271" i="7"/>
  <c r="K3271" i="7" s="1"/>
  <c r="L3271" i="7" s="1"/>
  <c r="G3271" i="7"/>
  <c r="H3271" i="7" s="1"/>
  <c r="B3271" i="7"/>
  <c r="M3270" i="7"/>
  <c r="J3270" i="7"/>
  <c r="K3270" i="7" s="1"/>
  <c r="L3270" i="7" s="1"/>
  <c r="G3270" i="7"/>
  <c r="H3270" i="7" s="1"/>
  <c r="B3270" i="7"/>
  <c r="M3269" i="7"/>
  <c r="J3269" i="7"/>
  <c r="K3269" i="7" s="1"/>
  <c r="L3269" i="7" s="1"/>
  <c r="G3269" i="7"/>
  <c r="H3269" i="7" s="1"/>
  <c r="B3269" i="7"/>
  <c r="M3268" i="7"/>
  <c r="J3268" i="7"/>
  <c r="K3268" i="7" s="1"/>
  <c r="L3268" i="7" s="1"/>
  <c r="G3268" i="7"/>
  <c r="H3268" i="7" s="1"/>
  <c r="B3268" i="7"/>
  <c r="M3267" i="7"/>
  <c r="J3267" i="7"/>
  <c r="K3267" i="7" s="1"/>
  <c r="L3267" i="7" s="1"/>
  <c r="G3267" i="7"/>
  <c r="H3267" i="7" s="1"/>
  <c r="B3267" i="7"/>
  <c r="M3266" i="7"/>
  <c r="J3266" i="7"/>
  <c r="K3266" i="7" s="1"/>
  <c r="L3266" i="7" s="1"/>
  <c r="G3266" i="7"/>
  <c r="H3266" i="7" s="1"/>
  <c r="B3266" i="7"/>
  <c r="M3265" i="7"/>
  <c r="J3265" i="7"/>
  <c r="K3265" i="7" s="1"/>
  <c r="L3265" i="7" s="1"/>
  <c r="G3265" i="7"/>
  <c r="H3265" i="7" s="1"/>
  <c r="B3265" i="7"/>
  <c r="M3264" i="7"/>
  <c r="J3264" i="7"/>
  <c r="K3264" i="7" s="1"/>
  <c r="L3264" i="7" s="1"/>
  <c r="G3264" i="7"/>
  <c r="H3264" i="7" s="1"/>
  <c r="B3264" i="7"/>
  <c r="M3263" i="7"/>
  <c r="J3263" i="7"/>
  <c r="K3263" i="7" s="1"/>
  <c r="L3263" i="7" s="1"/>
  <c r="G3263" i="7"/>
  <c r="H3263" i="7" s="1"/>
  <c r="B3263" i="7"/>
  <c r="M3262" i="7"/>
  <c r="J3262" i="7"/>
  <c r="K3262" i="7" s="1"/>
  <c r="L3262" i="7" s="1"/>
  <c r="G3262" i="7"/>
  <c r="H3262" i="7" s="1"/>
  <c r="B3262" i="7"/>
  <c r="M3261" i="7"/>
  <c r="J3261" i="7"/>
  <c r="K3261" i="7" s="1"/>
  <c r="L3261" i="7" s="1"/>
  <c r="G3261" i="7"/>
  <c r="H3261" i="7" s="1"/>
  <c r="B3261" i="7"/>
  <c r="M3260" i="7"/>
  <c r="J3260" i="7"/>
  <c r="K3260" i="7" s="1"/>
  <c r="L3260" i="7" s="1"/>
  <c r="G3260" i="7"/>
  <c r="H3260" i="7" s="1"/>
  <c r="B3260" i="7"/>
  <c r="M3259" i="7"/>
  <c r="J3259" i="7"/>
  <c r="K3259" i="7" s="1"/>
  <c r="L3259" i="7" s="1"/>
  <c r="G3259" i="7"/>
  <c r="H3259" i="7" s="1"/>
  <c r="B3259" i="7"/>
  <c r="M3258" i="7"/>
  <c r="J3258" i="7"/>
  <c r="K3258" i="7" s="1"/>
  <c r="L3258" i="7" s="1"/>
  <c r="G3258" i="7"/>
  <c r="H3258" i="7" s="1"/>
  <c r="B3258" i="7"/>
  <c r="M3257" i="7"/>
  <c r="J3257" i="7"/>
  <c r="K3257" i="7" s="1"/>
  <c r="L3257" i="7" s="1"/>
  <c r="G3257" i="7"/>
  <c r="H3257" i="7" s="1"/>
  <c r="B3257" i="7"/>
  <c r="M3256" i="7"/>
  <c r="J3256" i="7"/>
  <c r="K3256" i="7" s="1"/>
  <c r="L3256" i="7" s="1"/>
  <c r="G3256" i="7"/>
  <c r="H3256" i="7" s="1"/>
  <c r="B3256" i="7"/>
  <c r="M3255" i="7"/>
  <c r="J3255" i="7"/>
  <c r="K3255" i="7" s="1"/>
  <c r="L3255" i="7" s="1"/>
  <c r="G3255" i="7"/>
  <c r="H3255" i="7" s="1"/>
  <c r="B3255" i="7"/>
  <c r="M3254" i="7"/>
  <c r="J3254" i="7"/>
  <c r="K3254" i="7" s="1"/>
  <c r="L3254" i="7" s="1"/>
  <c r="G3254" i="7"/>
  <c r="H3254" i="7" s="1"/>
  <c r="B3254" i="7"/>
  <c r="M3253" i="7"/>
  <c r="J3253" i="7"/>
  <c r="K3253" i="7" s="1"/>
  <c r="L3253" i="7" s="1"/>
  <c r="G3253" i="7"/>
  <c r="H3253" i="7" s="1"/>
  <c r="B3253" i="7"/>
  <c r="M3252" i="7"/>
  <c r="J3252" i="7"/>
  <c r="K3252" i="7" s="1"/>
  <c r="L3252" i="7" s="1"/>
  <c r="G3252" i="7"/>
  <c r="H3252" i="7" s="1"/>
  <c r="B3252" i="7"/>
  <c r="M3251" i="7"/>
  <c r="J3251" i="7"/>
  <c r="K3251" i="7" s="1"/>
  <c r="L3251" i="7" s="1"/>
  <c r="G3251" i="7"/>
  <c r="H3251" i="7" s="1"/>
  <c r="B3251" i="7"/>
  <c r="M3250" i="7"/>
  <c r="J3250" i="7"/>
  <c r="K3250" i="7" s="1"/>
  <c r="L3250" i="7" s="1"/>
  <c r="G3250" i="7"/>
  <c r="H3250" i="7" s="1"/>
  <c r="B3250" i="7"/>
  <c r="M3249" i="7"/>
  <c r="J3249" i="7"/>
  <c r="K3249" i="7" s="1"/>
  <c r="L3249" i="7" s="1"/>
  <c r="G3249" i="7"/>
  <c r="H3249" i="7" s="1"/>
  <c r="B3249" i="7"/>
  <c r="M3248" i="7"/>
  <c r="J3248" i="7"/>
  <c r="K3248" i="7" s="1"/>
  <c r="L3248" i="7" s="1"/>
  <c r="G3248" i="7"/>
  <c r="H3248" i="7" s="1"/>
  <c r="B3248" i="7"/>
  <c r="M3247" i="7"/>
  <c r="J3247" i="7"/>
  <c r="K3247" i="7" s="1"/>
  <c r="L3247" i="7" s="1"/>
  <c r="G3247" i="7"/>
  <c r="H3247" i="7" s="1"/>
  <c r="B3247" i="7"/>
  <c r="M3246" i="7"/>
  <c r="J3246" i="7"/>
  <c r="K3246" i="7" s="1"/>
  <c r="L3246" i="7" s="1"/>
  <c r="G3246" i="7"/>
  <c r="H3246" i="7" s="1"/>
  <c r="B3246" i="7"/>
  <c r="M3245" i="7"/>
  <c r="J3245" i="7"/>
  <c r="K3245" i="7" s="1"/>
  <c r="L3245" i="7" s="1"/>
  <c r="G3245" i="7"/>
  <c r="H3245" i="7" s="1"/>
  <c r="B3245" i="7"/>
  <c r="M3244" i="7"/>
  <c r="J3244" i="7"/>
  <c r="K3244" i="7" s="1"/>
  <c r="L3244" i="7" s="1"/>
  <c r="G3244" i="7"/>
  <c r="H3244" i="7" s="1"/>
  <c r="B3244" i="7"/>
  <c r="M3243" i="7"/>
  <c r="J3243" i="7"/>
  <c r="K3243" i="7" s="1"/>
  <c r="L3243" i="7" s="1"/>
  <c r="G3243" i="7"/>
  <c r="H3243" i="7" s="1"/>
  <c r="B3243" i="7"/>
  <c r="M3242" i="7"/>
  <c r="J3242" i="7"/>
  <c r="K3242" i="7" s="1"/>
  <c r="L3242" i="7" s="1"/>
  <c r="G3242" i="7"/>
  <c r="H3242" i="7" s="1"/>
  <c r="B3242" i="7"/>
  <c r="M3241" i="7"/>
  <c r="J3241" i="7"/>
  <c r="K3241" i="7" s="1"/>
  <c r="L3241" i="7" s="1"/>
  <c r="G3241" i="7"/>
  <c r="H3241" i="7" s="1"/>
  <c r="B3241" i="7"/>
  <c r="M3240" i="7"/>
  <c r="J3240" i="7"/>
  <c r="K3240" i="7" s="1"/>
  <c r="L3240" i="7" s="1"/>
  <c r="G3240" i="7"/>
  <c r="H3240" i="7" s="1"/>
  <c r="B3240" i="7"/>
  <c r="M3239" i="7"/>
  <c r="J3239" i="7"/>
  <c r="K3239" i="7" s="1"/>
  <c r="L3239" i="7" s="1"/>
  <c r="G3239" i="7"/>
  <c r="H3239" i="7" s="1"/>
  <c r="B3239" i="7"/>
  <c r="M3238" i="7"/>
  <c r="J3238" i="7"/>
  <c r="K3238" i="7" s="1"/>
  <c r="L3238" i="7" s="1"/>
  <c r="G3238" i="7"/>
  <c r="H3238" i="7" s="1"/>
  <c r="B3238" i="7"/>
  <c r="M3237" i="7"/>
  <c r="J3237" i="7"/>
  <c r="K3237" i="7" s="1"/>
  <c r="L3237" i="7" s="1"/>
  <c r="G3237" i="7"/>
  <c r="H3237" i="7" s="1"/>
  <c r="B3237" i="7"/>
  <c r="M3236" i="7"/>
  <c r="J3236" i="7"/>
  <c r="K3236" i="7" s="1"/>
  <c r="L3236" i="7" s="1"/>
  <c r="G3236" i="7"/>
  <c r="H3236" i="7" s="1"/>
  <c r="B3236" i="7"/>
  <c r="M3235" i="7"/>
  <c r="J3235" i="7"/>
  <c r="K3235" i="7" s="1"/>
  <c r="L3235" i="7" s="1"/>
  <c r="G3235" i="7"/>
  <c r="H3235" i="7" s="1"/>
  <c r="B3235" i="7"/>
  <c r="M3234" i="7"/>
  <c r="J3234" i="7"/>
  <c r="K3234" i="7" s="1"/>
  <c r="L3234" i="7" s="1"/>
  <c r="G3234" i="7"/>
  <c r="H3234" i="7" s="1"/>
  <c r="B3234" i="7"/>
  <c r="M3233" i="7"/>
  <c r="J3233" i="7"/>
  <c r="K3233" i="7" s="1"/>
  <c r="L3233" i="7" s="1"/>
  <c r="G3233" i="7"/>
  <c r="H3233" i="7" s="1"/>
  <c r="B3233" i="7"/>
  <c r="M3232" i="7"/>
  <c r="J3232" i="7"/>
  <c r="K3232" i="7" s="1"/>
  <c r="L3232" i="7" s="1"/>
  <c r="G3232" i="7"/>
  <c r="H3232" i="7" s="1"/>
  <c r="B3232" i="7"/>
  <c r="M3231" i="7"/>
  <c r="J3231" i="7"/>
  <c r="K3231" i="7" s="1"/>
  <c r="L3231" i="7" s="1"/>
  <c r="G3231" i="7"/>
  <c r="H3231" i="7" s="1"/>
  <c r="B3231" i="7"/>
  <c r="M3230" i="7"/>
  <c r="J3230" i="7"/>
  <c r="K3230" i="7" s="1"/>
  <c r="L3230" i="7" s="1"/>
  <c r="G3230" i="7"/>
  <c r="H3230" i="7" s="1"/>
  <c r="B3230" i="7"/>
  <c r="M3229" i="7"/>
  <c r="J3229" i="7"/>
  <c r="K3229" i="7" s="1"/>
  <c r="L3229" i="7" s="1"/>
  <c r="G3229" i="7"/>
  <c r="H3229" i="7" s="1"/>
  <c r="B3229" i="7"/>
  <c r="M3228" i="7"/>
  <c r="J3228" i="7"/>
  <c r="K3228" i="7" s="1"/>
  <c r="L3228" i="7" s="1"/>
  <c r="G3228" i="7"/>
  <c r="H3228" i="7" s="1"/>
  <c r="B3228" i="7"/>
  <c r="M3227" i="7"/>
  <c r="J3227" i="7"/>
  <c r="K3227" i="7" s="1"/>
  <c r="L3227" i="7" s="1"/>
  <c r="G3227" i="7"/>
  <c r="H3227" i="7" s="1"/>
  <c r="B3227" i="7"/>
  <c r="M3226" i="7"/>
  <c r="J3226" i="7"/>
  <c r="K3226" i="7" s="1"/>
  <c r="L3226" i="7" s="1"/>
  <c r="G3226" i="7"/>
  <c r="H3226" i="7" s="1"/>
  <c r="B3226" i="7"/>
  <c r="M3225" i="7"/>
  <c r="J3225" i="7"/>
  <c r="K3225" i="7" s="1"/>
  <c r="L3225" i="7" s="1"/>
  <c r="G3225" i="7"/>
  <c r="H3225" i="7" s="1"/>
  <c r="B3225" i="7"/>
  <c r="M3224" i="7"/>
  <c r="J3224" i="7"/>
  <c r="K3224" i="7" s="1"/>
  <c r="L3224" i="7" s="1"/>
  <c r="G3224" i="7"/>
  <c r="H3224" i="7" s="1"/>
  <c r="B3224" i="7"/>
  <c r="M3223" i="7"/>
  <c r="J3223" i="7"/>
  <c r="K3223" i="7" s="1"/>
  <c r="L3223" i="7" s="1"/>
  <c r="G3223" i="7"/>
  <c r="H3223" i="7" s="1"/>
  <c r="B3223" i="7"/>
  <c r="M3222" i="7"/>
  <c r="J3222" i="7"/>
  <c r="K3222" i="7" s="1"/>
  <c r="L3222" i="7" s="1"/>
  <c r="G3222" i="7"/>
  <c r="H3222" i="7" s="1"/>
  <c r="B3222" i="7"/>
  <c r="M3221" i="7"/>
  <c r="J3221" i="7"/>
  <c r="K3221" i="7" s="1"/>
  <c r="L3221" i="7" s="1"/>
  <c r="G3221" i="7"/>
  <c r="H3221" i="7" s="1"/>
  <c r="B3221" i="7"/>
  <c r="M3220" i="7"/>
  <c r="J3220" i="7"/>
  <c r="K3220" i="7" s="1"/>
  <c r="L3220" i="7" s="1"/>
  <c r="G3220" i="7"/>
  <c r="H3220" i="7" s="1"/>
  <c r="B3220" i="7"/>
  <c r="M3219" i="7"/>
  <c r="J3219" i="7"/>
  <c r="K3219" i="7" s="1"/>
  <c r="L3219" i="7" s="1"/>
  <c r="G3219" i="7"/>
  <c r="H3219" i="7" s="1"/>
  <c r="B3219" i="7"/>
  <c r="M3218" i="7"/>
  <c r="J3218" i="7"/>
  <c r="K3218" i="7" s="1"/>
  <c r="L3218" i="7" s="1"/>
  <c r="G3218" i="7"/>
  <c r="H3218" i="7" s="1"/>
  <c r="B3218" i="7"/>
  <c r="M3217" i="7"/>
  <c r="J3217" i="7"/>
  <c r="K3217" i="7" s="1"/>
  <c r="L3217" i="7" s="1"/>
  <c r="G3217" i="7"/>
  <c r="H3217" i="7" s="1"/>
  <c r="B3217" i="7"/>
  <c r="M3216" i="7"/>
  <c r="J3216" i="7"/>
  <c r="K3216" i="7" s="1"/>
  <c r="L3216" i="7" s="1"/>
  <c r="G3216" i="7"/>
  <c r="H3216" i="7" s="1"/>
  <c r="B3216" i="7"/>
  <c r="M3215" i="7"/>
  <c r="J3215" i="7"/>
  <c r="K3215" i="7" s="1"/>
  <c r="L3215" i="7" s="1"/>
  <c r="G3215" i="7"/>
  <c r="H3215" i="7" s="1"/>
  <c r="B3215" i="7"/>
  <c r="M3214" i="7"/>
  <c r="J3214" i="7"/>
  <c r="K3214" i="7" s="1"/>
  <c r="L3214" i="7" s="1"/>
  <c r="G3214" i="7"/>
  <c r="H3214" i="7" s="1"/>
  <c r="B3214" i="7"/>
  <c r="M3213" i="7"/>
  <c r="J3213" i="7"/>
  <c r="K3213" i="7" s="1"/>
  <c r="L3213" i="7" s="1"/>
  <c r="G3213" i="7"/>
  <c r="H3213" i="7" s="1"/>
  <c r="B3213" i="7"/>
  <c r="M3212" i="7"/>
  <c r="J3212" i="7"/>
  <c r="K3212" i="7" s="1"/>
  <c r="L3212" i="7" s="1"/>
  <c r="G3212" i="7"/>
  <c r="H3212" i="7" s="1"/>
  <c r="B3212" i="7"/>
  <c r="M3211" i="7"/>
  <c r="J3211" i="7"/>
  <c r="K3211" i="7" s="1"/>
  <c r="L3211" i="7" s="1"/>
  <c r="G3211" i="7"/>
  <c r="H3211" i="7" s="1"/>
  <c r="B3211" i="7"/>
  <c r="M3210" i="7"/>
  <c r="J3210" i="7"/>
  <c r="K3210" i="7" s="1"/>
  <c r="L3210" i="7" s="1"/>
  <c r="G3210" i="7"/>
  <c r="H3210" i="7" s="1"/>
  <c r="B3210" i="7"/>
  <c r="M3209" i="7"/>
  <c r="J3209" i="7"/>
  <c r="K3209" i="7" s="1"/>
  <c r="L3209" i="7" s="1"/>
  <c r="G3209" i="7"/>
  <c r="H3209" i="7" s="1"/>
  <c r="B3209" i="7"/>
  <c r="M3208" i="7"/>
  <c r="J3208" i="7"/>
  <c r="K3208" i="7" s="1"/>
  <c r="L3208" i="7" s="1"/>
  <c r="G3208" i="7"/>
  <c r="H3208" i="7" s="1"/>
  <c r="B3208" i="7"/>
  <c r="M3207" i="7"/>
  <c r="J3207" i="7"/>
  <c r="K3207" i="7" s="1"/>
  <c r="L3207" i="7" s="1"/>
  <c r="G3207" i="7"/>
  <c r="H3207" i="7" s="1"/>
  <c r="B3207" i="7"/>
  <c r="M3206" i="7"/>
  <c r="J3206" i="7"/>
  <c r="K3206" i="7" s="1"/>
  <c r="L3206" i="7" s="1"/>
  <c r="G3206" i="7"/>
  <c r="H3206" i="7" s="1"/>
  <c r="B3206" i="7"/>
  <c r="M3205" i="7"/>
  <c r="J3205" i="7"/>
  <c r="K3205" i="7" s="1"/>
  <c r="L3205" i="7" s="1"/>
  <c r="G3205" i="7"/>
  <c r="H3205" i="7" s="1"/>
  <c r="B3205" i="7"/>
  <c r="M3204" i="7"/>
  <c r="J3204" i="7"/>
  <c r="K3204" i="7" s="1"/>
  <c r="L3204" i="7" s="1"/>
  <c r="G3204" i="7"/>
  <c r="H3204" i="7" s="1"/>
  <c r="B3204" i="7"/>
  <c r="M3203" i="7"/>
  <c r="J3203" i="7"/>
  <c r="K3203" i="7" s="1"/>
  <c r="L3203" i="7" s="1"/>
  <c r="G3203" i="7"/>
  <c r="H3203" i="7" s="1"/>
  <c r="B3203" i="7"/>
  <c r="M3202" i="7"/>
  <c r="J3202" i="7"/>
  <c r="K3202" i="7" s="1"/>
  <c r="L3202" i="7" s="1"/>
  <c r="G3202" i="7"/>
  <c r="H3202" i="7" s="1"/>
  <c r="B3202" i="7"/>
  <c r="M3201" i="7"/>
  <c r="J3201" i="7"/>
  <c r="K3201" i="7" s="1"/>
  <c r="L3201" i="7" s="1"/>
  <c r="G3201" i="7"/>
  <c r="H3201" i="7" s="1"/>
  <c r="B3201" i="7"/>
  <c r="M3200" i="7"/>
  <c r="J3200" i="7"/>
  <c r="K3200" i="7" s="1"/>
  <c r="L3200" i="7" s="1"/>
  <c r="G3200" i="7"/>
  <c r="H3200" i="7" s="1"/>
  <c r="B3200" i="7"/>
  <c r="M3199" i="7"/>
  <c r="J3199" i="7"/>
  <c r="K3199" i="7" s="1"/>
  <c r="L3199" i="7" s="1"/>
  <c r="G3199" i="7"/>
  <c r="H3199" i="7" s="1"/>
  <c r="B3199" i="7"/>
  <c r="M3198" i="7"/>
  <c r="J3198" i="7"/>
  <c r="K3198" i="7" s="1"/>
  <c r="L3198" i="7" s="1"/>
  <c r="G3198" i="7"/>
  <c r="H3198" i="7" s="1"/>
  <c r="B3198" i="7"/>
  <c r="M3197" i="7"/>
  <c r="J3197" i="7"/>
  <c r="K3197" i="7" s="1"/>
  <c r="L3197" i="7" s="1"/>
  <c r="G3197" i="7"/>
  <c r="H3197" i="7" s="1"/>
  <c r="B3197" i="7"/>
  <c r="M3196" i="7"/>
  <c r="J3196" i="7"/>
  <c r="K3196" i="7" s="1"/>
  <c r="L3196" i="7" s="1"/>
  <c r="G3196" i="7"/>
  <c r="H3196" i="7" s="1"/>
  <c r="B3196" i="7"/>
  <c r="M3195" i="7"/>
  <c r="J3195" i="7"/>
  <c r="K3195" i="7" s="1"/>
  <c r="L3195" i="7" s="1"/>
  <c r="G3195" i="7"/>
  <c r="H3195" i="7" s="1"/>
  <c r="B3195" i="7"/>
  <c r="M3194" i="7"/>
  <c r="J3194" i="7"/>
  <c r="K3194" i="7" s="1"/>
  <c r="L3194" i="7" s="1"/>
  <c r="G3194" i="7"/>
  <c r="H3194" i="7" s="1"/>
  <c r="B3194" i="7"/>
  <c r="M3193" i="7"/>
  <c r="J3193" i="7"/>
  <c r="K3193" i="7" s="1"/>
  <c r="L3193" i="7" s="1"/>
  <c r="G3193" i="7"/>
  <c r="H3193" i="7" s="1"/>
  <c r="B3193" i="7"/>
  <c r="M3192" i="7"/>
  <c r="J3192" i="7"/>
  <c r="K3192" i="7" s="1"/>
  <c r="L3192" i="7" s="1"/>
  <c r="G3192" i="7"/>
  <c r="H3192" i="7" s="1"/>
  <c r="B3192" i="7"/>
  <c r="M3191" i="7"/>
  <c r="J3191" i="7"/>
  <c r="K3191" i="7" s="1"/>
  <c r="L3191" i="7" s="1"/>
  <c r="G3191" i="7"/>
  <c r="H3191" i="7" s="1"/>
  <c r="B3191" i="7"/>
  <c r="M3190" i="7"/>
  <c r="J3190" i="7"/>
  <c r="K3190" i="7" s="1"/>
  <c r="L3190" i="7" s="1"/>
  <c r="G3190" i="7"/>
  <c r="H3190" i="7" s="1"/>
  <c r="B3190" i="7"/>
  <c r="M3189" i="7"/>
  <c r="J3189" i="7"/>
  <c r="K3189" i="7" s="1"/>
  <c r="L3189" i="7" s="1"/>
  <c r="G3189" i="7"/>
  <c r="H3189" i="7" s="1"/>
  <c r="B3189" i="7"/>
  <c r="M3188" i="7"/>
  <c r="J3188" i="7"/>
  <c r="K3188" i="7" s="1"/>
  <c r="L3188" i="7" s="1"/>
  <c r="G3188" i="7"/>
  <c r="H3188" i="7" s="1"/>
  <c r="B3188" i="7"/>
  <c r="M3187" i="7"/>
  <c r="J3187" i="7"/>
  <c r="K3187" i="7" s="1"/>
  <c r="L3187" i="7" s="1"/>
  <c r="G3187" i="7"/>
  <c r="H3187" i="7" s="1"/>
  <c r="B3187" i="7"/>
  <c r="M3186" i="7"/>
  <c r="J3186" i="7"/>
  <c r="K3186" i="7" s="1"/>
  <c r="L3186" i="7" s="1"/>
  <c r="G3186" i="7"/>
  <c r="H3186" i="7" s="1"/>
  <c r="B3186" i="7"/>
  <c r="M3185" i="7"/>
  <c r="J3185" i="7"/>
  <c r="K3185" i="7" s="1"/>
  <c r="L3185" i="7" s="1"/>
  <c r="G3185" i="7"/>
  <c r="H3185" i="7" s="1"/>
  <c r="B3185" i="7"/>
  <c r="M3184" i="7"/>
  <c r="J3184" i="7"/>
  <c r="K3184" i="7" s="1"/>
  <c r="L3184" i="7" s="1"/>
  <c r="G3184" i="7"/>
  <c r="H3184" i="7" s="1"/>
  <c r="B3184" i="7"/>
  <c r="M3183" i="7"/>
  <c r="J3183" i="7"/>
  <c r="K3183" i="7" s="1"/>
  <c r="L3183" i="7" s="1"/>
  <c r="G3183" i="7"/>
  <c r="H3183" i="7" s="1"/>
  <c r="B3183" i="7"/>
  <c r="M3182" i="7"/>
  <c r="J3182" i="7"/>
  <c r="K3182" i="7" s="1"/>
  <c r="L3182" i="7" s="1"/>
  <c r="G3182" i="7"/>
  <c r="H3182" i="7" s="1"/>
  <c r="B3182" i="7"/>
  <c r="M3181" i="7"/>
  <c r="J3181" i="7"/>
  <c r="K3181" i="7" s="1"/>
  <c r="L3181" i="7" s="1"/>
  <c r="G3181" i="7"/>
  <c r="H3181" i="7" s="1"/>
  <c r="B3181" i="7"/>
  <c r="M3180" i="7"/>
  <c r="J3180" i="7"/>
  <c r="K3180" i="7" s="1"/>
  <c r="L3180" i="7" s="1"/>
  <c r="G3180" i="7"/>
  <c r="H3180" i="7" s="1"/>
  <c r="B3180" i="7"/>
  <c r="M3179" i="7"/>
  <c r="J3179" i="7"/>
  <c r="K3179" i="7" s="1"/>
  <c r="L3179" i="7" s="1"/>
  <c r="G3179" i="7"/>
  <c r="H3179" i="7" s="1"/>
  <c r="B3179" i="7"/>
  <c r="M3178" i="7"/>
  <c r="J3178" i="7"/>
  <c r="K3178" i="7" s="1"/>
  <c r="L3178" i="7" s="1"/>
  <c r="G3178" i="7"/>
  <c r="H3178" i="7" s="1"/>
  <c r="B3178" i="7"/>
  <c r="M3177" i="7"/>
  <c r="J3177" i="7"/>
  <c r="K3177" i="7" s="1"/>
  <c r="L3177" i="7" s="1"/>
  <c r="G3177" i="7"/>
  <c r="H3177" i="7" s="1"/>
  <c r="B3177" i="7"/>
  <c r="M3176" i="7"/>
  <c r="J3176" i="7"/>
  <c r="K3176" i="7" s="1"/>
  <c r="L3176" i="7" s="1"/>
  <c r="G3176" i="7"/>
  <c r="H3176" i="7" s="1"/>
  <c r="B3176" i="7"/>
  <c r="M3175" i="7"/>
  <c r="J3175" i="7"/>
  <c r="K3175" i="7" s="1"/>
  <c r="L3175" i="7" s="1"/>
  <c r="G3175" i="7"/>
  <c r="H3175" i="7" s="1"/>
  <c r="B3175" i="7"/>
  <c r="M3174" i="7"/>
  <c r="J3174" i="7"/>
  <c r="K3174" i="7" s="1"/>
  <c r="L3174" i="7" s="1"/>
  <c r="G3174" i="7"/>
  <c r="H3174" i="7" s="1"/>
  <c r="B3174" i="7"/>
  <c r="M3173" i="7"/>
  <c r="J3173" i="7"/>
  <c r="K3173" i="7" s="1"/>
  <c r="L3173" i="7" s="1"/>
  <c r="G3173" i="7"/>
  <c r="H3173" i="7" s="1"/>
  <c r="B3173" i="7"/>
  <c r="M3172" i="7"/>
  <c r="J3172" i="7"/>
  <c r="K3172" i="7" s="1"/>
  <c r="L3172" i="7" s="1"/>
  <c r="G3172" i="7"/>
  <c r="H3172" i="7" s="1"/>
  <c r="B3172" i="7"/>
  <c r="M3171" i="7"/>
  <c r="J3171" i="7"/>
  <c r="K3171" i="7" s="1"/>
  <c r="L3171" i="7" s="1"/>
  <c r="G3171" i="7"/>
  <c r="H3171" i="7" s="1"/>
  <c r="B3171" i="7"/>
  <c r="M3170" i="7"/>
  <c r="J3170" i="7"/>
  <c r="K3170" i="7" s="1"/>
  <c r="L3170" i="7" s="1"/>
  <c r="G3170" i="7"/>
  <c r="H3170" i="7" s="1"/>
  <c r="B3170" i="7"/>
  <c r="M3169" i="7"/>
  <c r="J3169" i="7"/>
  <c r="K3169" i="7" s="1"/>
  <c r="L3169" i="7" s="1"/>
  <c r="G3169" i="7"/>
  <c r="H3169" i="7" s="1"/>
  <c r="B3169" i="7"/>
  <c r="M3168" i="7"/>
  <c r="J3168" i="7"/>
  <c r="K3168" i="7" s="1"/>
  <c r="L3168" i="7" s="1"/>
  <c r="G3168" i="7"/>
  <c r="H3168" i="7" s="1"/>
  <c r="B3168" i="7"/>
  <c r="M3167" i="7"/>
  <c r="J3167" i="7"/>
  <c r="K3167" i="7" s="1"/>
  <c r="L3167" i="7" s="1"/>
  <c r="G3167" i="7"/>
  <c r="H3167" i="7" s="1"/>
  <c r="B3167" i="7"/>
  <c r="M3166" i="7"/>
  <c r="J3166" i="7"/>
  <c r="K3166" i="7" s="1"/>
  <c r="L3166" i="7" s="1"/>
  <c r="G3166" i="7"/>
  <c r="H3166" i="7" s="1"/>
  <c r="B3166" i="7"/>
  <c r="M3165" i="7"/>
  <c r="J3165" i="7"/>
  <c r="K3165" i="7" s="1"/>
  <c r="L3165" i="7" s="1"/>
  <c r="G3165" i="7"/>
  <c r="H3165" i="7" s="1"/>
  <c r="B3165" i="7"/>
  <c r="M3164" i="7"/>
  <c r="J3164" i="7"/>
  <c r="K3164" i="7" s="1"/>
  <c r="L3164" i="7" s="1"/>
  <c r="G3164" i="7"/>
  <c r="H3164" i="7" s="1"/>
  <c r="B3164" i="7"/>
  <c r="M3163" i="7"/>
  <c r="J3163" i="7"/>
  <c r="K3163" i="7" s="1"/>
  <c r="L3163" i="7" s="1"/>
  <c r="G3163" i="7"/>
  <c r="H3163" i="7" s="1"/>
  <c r="B3163" i="7"/>
  <c r="M3162" i="7"/>
  <c r="J3162" i="7"/>
  <c r="K3162" i="7" s="1"/>
  <c r="L3162" i="7" s="1"/>
  <c r="G3162" i="7"/>
  <c r="H3162" i="7" s="1"/>
  <c r="B3162" i="7"/>
  <c r="M3161" i="7"/>
  <c r="J3161" i="7"/>
  <c r="K3161" i="7" s="1"/>
  <c r="L3161" i="7" s="1"/>
  <c r="G3161" i="7"/>
  <c r="H3161" i="7" s="1"/>
  <c r="B3161" i="7"/>
  <c r="M3160" i="7"/>
  <c r="J3160" i="7"/>
  <c r="K3160" i="7" s="1"/>
  <c r="L3160" i="7" s="1"/>
  <c r="G3160" i="7"/>
  <c r="H3160" i="7" s="1"/>
  <c r="B3160" i="7"/>
  <c r="M3159" i="7"/>
  <c r="J3159" i="7"/>
  <c r="K3159" i="7" s="1"/>
  <c r="L3159" i="7" s="1"/>
  <c r="G3159" i="7"/>
  <c r="H3159" i="7" s="1"/>
  <c r="B3159" i="7"/>
  <c r="M3158" i="7"/>
  <c r="J3158" i="7"/>
  <c r="K3158" i="7" s="1"/>
  <c r="L3158" i="7" s="1"/>
  <c r="G3158" i="7"/>
  <c r="H3158" i="7" s="1"/>
  <c r="B3158" i="7"/>
  <c r="M3157" i="7"/>
  <c r="J3157" i="7"/>
  <c r="K3157" i="7" s="1"/>
  <c r="L3157" i="7" s="1"/>
  <c r="G3157" i="7"/>
  <c r="H3157" i="7" s="1"/>
  <c r="B3157" i="7"/>
  <c r="M3156" i="7"/>
  <c r="J3156" i="7"/>
  <c r="K3156" i="7" s="1"/>
  <c r="L3156" i="7" s="1"/>
  <c r="G3156" i="7"/>
  <c r="H3156" i="7" s="1"/>
  <c r="B3156" i="7"/>
  <c r="M3155" i="7"/>
  <c r="J3155" i="7"/>
  <c r="K3155" i="7" s="1"/>
  <c r="L3155" i="7" s="1"/>
  <c r="G3155" i="7"/>
  <c r="H3155" i="7" s="1"/>
  <c r="B3155" i="7"/>
  <c r="M3154" i="7"/>
  <c r="J3154" i="7"/>
  <c r="K3154" i="7" s="1"/>
  <c r="L3154" i="7" s="1"/>
  <c r="G3154" i="7"/>
  <c r="H3154" i="7" s="1"/>
  <c r="B3154" i="7"/>
  <c r="M3153" i="7"/>
  <c r="J3153" i="7"/>
  <c r="K3153" i="7" s="1"/>
  <c r="L3153" i="7" s="1"/>
  <c r="G3153" i="7"/>
  <c r="H3153" i="7" s="1"/>
  <c r="B3153" i="7"/>
  <c r="M3152" i="7"/>
  <c r="J3152" i="7"/>
  <c r="K3152" i="7" s="1"/>
  <c r="L3152" i="7" s="1"/>
  <c r="G3152" i="7"/>
  <c r="H3152" i="7" s="1"/>
  <c r="B3152" i="7"/>
  <c r="M3151" i="7"/>
  <c r="J3151" i="7"/>
  <c r="K3151" i="7" s="1"/>
  <c r="L3151" i="7" s="1"/>
  <c r="G3151" i="7"/>
  <c r="H3151" i="7" s="1"/>
  <c r="B3151" i="7"/>
  <c r="M3150" i="7"/>
  <c r="J3150" i="7"/>
  <c r="K3150" i="7" s="1"/>
  <c r="L3150" i="7" s="1"/>
  <c r="G3150" i="7"/>
  <c r="H3150" i="7" s="1"/>
  <c r="B3150" i="7"/>
  <c r="M3149" i="7"/>
  <c r="J3149" i="7"/>
  <c r="K3149" i="7" s="1"/>
  <c r="L3149" i="7" s="1"/>
  <c r="G3149" i="7"/>
  <c r="H3149" i="7" s="1"/>
  <c r="B3149" i="7"/>
  <c r="M3148" i="7"/>
  <c r="J3148" i="7"/>
  <c r="K3148" i="7" s="1"/>
  <c r="L3148" i="7" s="1"/>
  <c r="G3148" i="7"/>
  <c r="H3148" i="7" s="1"/>
  <c r="B3148" i="7"/>
  <c r="M3147" i="7"/>
  <c r="J3147" i="7"/>
  <c r="K3147" i="7" s="1"/>
  <c r="L3147" i="7" s="1"/>
  <c r="G3147" i="7"/>
  <c r="H3147" i="7" s="1"/>
  <c r="B3147" i="7"/>
  <c r="M3146" i="7"/>
  <c r="J3146" i="7"/>
  <c r="K3146" i="7" s="1"/>
  <c r="L3146" i="7" s="1"/>
  <c r="G3146" i="7"/>
  <c r="H3146" i="7" s="1"/>
  <c r="B3146" i="7"/>
  <c r="M3145" i="7"/>
  <c r="J3145" i="7"/>
  <c r="K3145" i="7" s="1"/>
  <c r="L3145" i="7" s="1"/>
  <c r="G3145" i="7"/>
  <c r="H3145" i="7" s="1"/>
  <c r="B3145" i="7"/>
  <c r="M3144" i="7"/>
  <c r="J3144" i="7"/>
  <c r="K3144" i="7" s="1"/>
  <c r="L3144" i="7" s="1"/>
  <c r="G3144" i="7"/>
  <c r="H3144" i="7" s="1"/>
  <c r="B3144" i="7"/>
  <c r="M3143" i="7"/>
  <c r="J3143" i="7"/>
  <c r="K3143" i="7" s="1"/>
  <c r="L3143" i="7" s="1"/>
  <c r="G3143" i="7"/>
  <c r="H3143" i="7" s="1"/>
  <c r="B3143" i="7"/>
  <c r="M3142" i="7"/>
  <c r="J3142" i="7"/>
  <c r="K3142" i="7" s="1"/>
  <c r="L3142" i="7" s="1"/>
  <c r="G3142" i="7"/>
  <c r="H3142" i="7" s="1"/>
  <c r="B3142" i="7"/>
  <c r="M3141" i="7"/>
  <c r="J3141" i="7"/>
  <c r="K3141" i="7" s="1"/>
  <c r="L3141" i="7" s="1"/>
  <c r="G3141" i="7"/>
  <c r="H3141" i="7" s="1"/>
  <c r="B3141" i="7"/>
  <c r="M3140" i="7"/>
  <c r="J3140" i="7"/>
  <c r="K3140" i="7" s="1"/>
  <c r="L3140" i="7" s="1"/>
  <c r="G3140" i="7"/>
  <c r="H3140" i="7" s="1"/>
  <c r="B3140" i="7"/>
  <c r="M3139" i="7"/>
  <c r="J3139" i="7"/>
  <c r="K3139" i="7" s="1"/>
  <c r="L3139" i="7" s="1"/>
  <c r="G3139" i="7"/>
  <c r="H3139" i="7" s="1"/>
  <c r="B3139" i="7"/>
  <c r="M3138" i="7"/>
  <c r="J3138" i="7"/>
  <c r="K3138" i="7" s="1"/>
  <c r="L3138" i="7" s="1"/>
  <c r="G3138" i="7"/>
  <c r="H3138" i="7" s="1"/>
  <c r="B3138" i="7"/>
  <c r="M3137" i="7"/>
  <c r="J3137" i="7"/>
  <c r="K3137" i="7" s="1"/>
  <c r="L3137" i="7" s="1"/>
  <c r="G3137" i="7"/>
  <c r="H3137" i="7" s="1"/>
  <c r="B3137" i="7"/>
  <c r="M3136" i="7"/>
  <c r="J3136" i="7"/>
  <c r="K3136" i="7" s="1"/>
  <c r="L3136" i="7" s="1"/>
  <c r="G3136" i="7"/>
  <c r="H3136" i="7" s="1"/>
  <c r="B3136" i="7"/>
  <c r="M3135" i="7"/>
  <c r="J3135" i="7"/>
  <c r="K3135" i="7" s="1"/>
  <c r="L3135" i="7" s="1"/>
  <c r="G3135" i="7"/>
  <c r="H3135" i="7" s="1"/>
  <c r="B3135" i="7"/>
  <c r="M3134" i="7"/>
  <c r="J3134" i="7"/>
  <c r="K3134" i="7" s="1"/>
  <c r="L3134" i="7" s="1"/>
  <c r="G3134" i="7"/>
  <c r="H3134" i="7" s="1"/>
  <c r="B3134" i="7"/>
  <c r="M3133" i="7"/>
  <c r="J3133" i="7"/>
  <c r="K3133" i="7" s="1"/>
  <c r="L3133" i="7" s="1"/>
  <c r="G3133" i="7"/>
  <c r="H3133" i="7" s="1"/>
  <c r="B3133" i="7"/>
  <c r="M3132" i="7"/>
  <c r="J3132" i="7"/>
  <c r="K3132" i="7" s="1"/>
  <c r="L3132" i="7" s="1"/>
  <c r="G3132" i="7"/>
  <c r="H3132" i="7" s="1"/>
  <c r="B3132" i="7"/>
  <c r="M3131" i="7"/>
  <c r="J3131" i="7"/>
  <c r="K3131" i="7" s="1"/>
  <c r="L3131" i="7" s="1"/>
  <c r="G3131" i="7"/>
  <c r="H3131" i="7" s="1"/>
  <c r="B3131" i="7"/>
  <c r="M3130" i="7"/>
  <c r="J3130" i="7"/>
  <c r="K3130" i="7" s="1"/>
  <c r="L3130" i="7" s="1"/>
  <c r="G3130" i="7"/>
  <c r="H3130" i="7" s="1"/>
  <c r="B3130" i="7"/>
  <c r="M3129" i="7"/>
  <c r="J3129" i="7"/>
  <c r="K3129" i="7" s="1"/>
  <c r="L3129" i="7" s="1"/>
  <c r="G3129" i="7"/>
  <c r="H3129" i="7" s="1"/>
  <c r="B3129" i="7"/>
  <c r="M3128" i="7"/>
  <c r="J3128" i="7"/>
  <c r="K3128" i="7" s="1"/>
  <c r="L3128" i="7" s="1"/>
  <c r="G3128" i="7"/>
  <c r="H3128" i="7" s="1"/>
  <c r="B3128" i="7"/>
  <c r="M3127" i="7"/>
  <c r="J3127" i="7"/>
  <c r="K3127" i="7" s="1"/>
  <c r="L3127" i="7" s="1"/>
  <c r="G3127" i="7"/>
  <c r="H3127" i="7" s="1"/>
  <c r="B3127" i="7"/>
  <c r="M3126" i="7"/>
  <c r="J3126" i="7"/>
  <c r="K3126" i="7" s="1"/>
  <c r="L3126" i="7" s="1"/>
  <c r="G3126" i="7"/>
  <c r="H3126" i="7" s="1"/>
  <c r="B3126" i="7"/>
  <c r="M3125" i="7"/>
  <c r="J3125" i="7"/>
  <c r="K3125" i="7" s="1"/>
  <c r="L3125" i="7" s="1"/>
  <c r="G3125" i="7"/>
  <c r="H3125" i="7" s="1"/>
  <c r="B3125" i="7"/>
  <c r="M3124" i="7"/>
  <c r="J3124" i="7"/>
  <c r="K3124" i="7" s="1"/>
  <c r="L3124" i="7" s="1"/>
  <c r="G3124" i="7"/>
  <c r="H3124" i="7" s="1"/>
  <c r="B3124" i="7"/>
  <c r="M3123" i="7"/>
  <c r="J3123" i="7"/>
  <c r="K3123" i="7" s="1"/>
  <c r="L3123" i="7" s="1"/>
  <c r="G3123" i="7"/>
  <c r="H3123" i="7" s="1"/>
  <c r="B3123" i="7"/>
  <c r="M3122" i="7"/>
  <c r="J3122" i="7"/>
  <c r="K3122" i="7" s="1"/>
  <c r="L3122" i="7" s="1"/>
  <c r="G3122" i="7"/>
  <c r="H3122" i="7" s="1"/>
  <c r="B3122" i="7"/>
  <c r="M3121" i="7"/>
  <c r="J3121" i="7"/>
  <c r="K3121" i="7" s="1"/>
  <c r="L3121" i="7" s="1"/>
  <c r="G3121" i="7"/>
  <c r="H3121" i="7" s="1"/>
  <c r="B3121" i="7"/>
  <c r="M3120" i="7"/>
  <c r="J3120" i="7"/>
  <c r="K3120" i="7" s="1"/>
  <c r="L3120" i="7" s="1"/>
  <c r="G3120" i="7"/>
  <c r="H3120" i="7" s="1"/>
  <c r="B3120" i="7"/>
  <c r="M3119" i="7"/>
  <c r="J3119" i="7"/>
  <c r="K3119" i="7" s="1"/>
  <c r="L3119" i="7" s="1"/>
  <c r="G3119" i="7"/>
  <c r="H3119" i="7" s="1"/>
  <c r="B3119" i="7"/>
  <c r="M3118" i="7"/>
  <c r="J3118" i="7"/>
  <c r="K3118" i="7" s="1"/>
  <c r="L3118" i="7" s="1"/>
  <c r="G3118" i="7"/>
  <c r="H3118" i="7" s="1"/>
  <c r="B3118" i="7"/>
  <c r="M3117" i="7"/>
  <c r="J3117" i="7"/>
  <c r="K3117" i="7" s="1"/>
  <c r="L3117" i="7" s="1"/>
  <c r="G3117" i="7"/>
  <c r="H3117" i="7" s="1"/>
  <c r="B3117" i="7"/>
  <c r="M3116" i="7"/>
  <c r="J3116" i="7"/>
  <c r="K3116" i="7" s="1"/>
  <c r="L3116" i="7" s="1"/>
  <c r="G3116" i="7"/>
  <c r="H3116" i="7" s="1"/>
  <c r="B3116" i="7"/>
  <c r="M3115" i="7"/>
  <c r="J3115" i="7"/>
  <c r="K3115" i="7" s="1"/>
  <c r="L3115" i="7" s="1"/>
  <c r="G3115" i="7"/>
  <c r="H3115" i="7" s="1"/>
  <c r="B3115" i="7"/>
  <c r="M3114" i="7"/>
  <c r="J3114" i="7"/>
  <c r="K3114" i="7" s="1"/>
  <c r="L3114" i="7" s="1"/>
  <c r="G3114" i="7"/>
  <c r="H3114" i="7" s="1"/>
  <c r="B3114" i="7"/>
  <c r="M3113" i="7"/>
  <c r="J3113" i="7"/>
  <c r="K3113" i="7" s="1"/>
  <c r="L3113" i="7" s="1"/>
  <c r="G3113" i="7"/>
  <c r="H3113" i="7" s="1"/>
  <c r="B3113" i="7"/>
  <c r="M3112" i="7"/>
  <c r="J3112" i="7"/>
  <c r="K3112" i="7" s="1"/>
  <c r="L3112" i="7" s="1"/>
  <c r="G3112" i="7"/>
  <c r="H3112" i="7" s="1"/>
  <c r="B3112" i="7"/>
  <c r="M3111" i="7"/>
  <c r="J3111" i="7"/>
  <c r="K3111" i="7" s="1"/>
  <c r="L3111" i="7" s="1"/>
  <c r="G3111" i="7"/>
  <c r="H3111" i="7" s="1"/>
  <c r="B3111" i="7"/>
  <c r="M3110" i="7"/>
  <c r="J3110" i="7"/>
  <c r="K3110" i="7" s="1"/>
  <c r="L3110" i="7" s="1"/>
  <c r="G3110" i="7"/>
  <c r="H3110" i="7" s="1"/>
  <c r="B3110" i="7"/>
  <c r="M3109" i="7"/>
  <c r="J3109" i="7"/>
  <c r="K3109" i="7" s="1"/>
  <c r="L3109" i="7" s="1"/>
  <c r="G3109" i="7"/>
  <c r="H3109" i="7" s="1"/>
  <c r="B3109" i="7"/>
  <c r="M3108" i="7"/>
  <c r="J3108" i="7"/>
  <c r="K3108" i="7" s="1"/>
  <c r="L3108" i="7" s="1"/>
  <c r="G3108" i="7"/>
  <c r="H3108" i="7" s="1"/>
  <c r="B3108" i="7"/>
  <c r="M3107" i="7"/>
  <c r="J3107" i="7"/>
  <c r="K3107" i="7" s="1"/>
  <c r="L3107" i="7" s="1"/>
  <c r="G3107" i="7"/>
  <c r="H3107" i="7" s="1"/>
  <c r="B3107" i="7"/>
  <c r="M3106" i="7"/>
  <c r="J3106" i="7"/>
  <c r="K3106" i="7" s="1"/>
  <c r="L3106" i="7" s="1"/>
  <c r="G3106" i="7"/>
  <c r="H3106" i="7" s="1"/>
  <c r="B3106" i="7"/>
  <c r="M3105" i="7"/>
  <c r="J3105" i="7"/>
  <c r="K3105" i="7" s="1"/>
  <c r="L3105" i="7" s="1"/>
  <c r="G3105" i="7"/>
  <c r="H3105" i="7" s="1"/>
  <c r="B3105" i="7"/>
  <c r="M3104" i="7"/>
  <c r="J3104" i="7"/>
  <c r="K3104" i="7" s="1"/>
  <c r="L3104" i="7" s="1"/>
  <c r="G3104" i="7"/>
  <c r="H3104" i="7" s="1"/>
  <c r="B3104" i="7"/>
  <c r="M3103" i="7"/>
  <c r="J3103" i="7"/>
  <c r="K3103" i="7" s="1"/>
  <c r="L3103" i="7" s="1"/>
  <c r="G3103" i="7"/>
  <c r="H3103" i="7" s="1"/>
  <c r="B3103" i="7"/>
  <c r="M3102" i="7"/>
  <c r="J3102" i="7"/>
  <c r="K3102" i="7" s="1"/>
  <c r="L3102" i="7" s="1"/>
  <c r="G3102" i="7"/>
  <c r="H3102" i="7" s="1"/>
  <c r="B3102" i="7"/>
  <c r="M3101" i="7"/>
  <c r="J3101" i="7"/>
  <c r="K3101" i="7" s="1"/>
  <c r="L3101" i="7" s="1"/>
  <c r="G3101" i="7"/>
  <c r="H3101" i="7" s="1"/>
  <c r="B3101" i="7"/>
  <c r="M3100" i="7"/>
  <c r="J3100" i="7"/>
  <c r="K3100" i="7" s="1"/>
  <c r="L3100" i="7" s="1"/>
  <c r="G3100" i="7"/>
  <c r="H3100" i="7" s="1"/>
  <c r="B3100" i="7"/>
  <c r="M3099" i="7"/>
  <c r="J3099" i="7"/>
  <c r="K3099" i="7" s="1"/>
  <c r="L3099" i="7" s="1"/>
  <c r="G3099" i="7"/>
  <c r="H3099" i="7" s="1"/>
  <c r="B3099" i="7"/>
  <c r="M3098" i="7"/>
  <c r="J3098" i="7"/>
  <c r="K3098" i="7" s="1"/>
  <c r="L3098" i="7" s="1"/>
  <c r="G3098" i="7"/>
  <c r="H3098" i="7" s="1"/>
  <c r="B3098" i="7"/>
  <c r="M3097" i="7"/>
  <c r="J3097" i="7"/>
  <c r="K3097" i="7" s="1"/>
  <c r="L3097" i="7" s="1"/>
  <c r="G3097" i="7"/>
  <c r="H3097" i="7" s="1"/>
  <c r="B3097" i="7"/>
  <c r="M3096" i="7"/>
  <c r="J3096" i="7"/>
  <c r="K3096" i="7" s="1"/>
  <c r="L3096" i="7" s="1"/>
  <c r="G3096" i="7"/>
  <c r="H3096" i="7" s="1"/>
  <c r="B3096" i="7"/>
  <c r="M3095" i="7"/>
  <c r="J3095" i="7"/>
  <c r="K3095" i="7" s="1"/>
  <c r="L3095" i="7" s="1"/>
  <c r="G3095" i="7"/>
  <c r="H3095" i="7" s="1"/>
  <c r="B3095" i="7"/>
  <c r="M3094" i="7"/>
  <c r="J3094" i="7"/>
  <c r="K3094" i="7" s="1"/>
  <c r="L3094" i="7" s="1"/>
  <c r="G3094" i="7"/>
  <c r="H3094" i="7" s="1"/>
  <c r="B3094" i="7"/>
  <c r="M3093" i="7"/>
  <c r="J3093" i="7"/>
  <c r="K3093" i="7" s="1"/>
  <c r="L3093" i="7" s="1"/>
  <c r="G3093" i="7"/>
  <c r="H3093" i="7" s="1"/>
  <c r="B3093" i="7"/>
  <c r="M3092" i="7"/>
  <c r="J3092" i="7"/>
  <c r="K3092" i="7" s="1"/>
  <c r="L3092" i="7" s="1"/>
  <c r="G3092" i="7"/>
  <c r="H3092" i="7" s="1"/>
  <c r="B3092" i="7"/>
  <c r="M3091" i="7"/>
  <c r="J3091" i="7"/>
  <c r="K3091" i="7" s="1"/>
  <c r="L3091" i="7" s="1"/>
  <c r="G3091" i="7"/>
  <c r="H3091" i="7" s="1"/>
  <c r="B3091" i="7"/>
  <c r="M3090" i="7"/>
  <c r="J3090" i="7"/>
  <c r="K3090" i="7" s="1"/>
  <c r="L3090" i="7" s="1"/>
  <c r="G3090" i="7"/>
  <c r="H3090" i="7" s="1"/>
  <c r="B3090" i="7"/>
  <c r="M3089" i="7"/>
  <c r="J3089" i="7"/>
  <c r="K3089" i="7" s="1"/>
  <c r="L3089" i="7" s="1"/>
  <c r="G3089" i="7"/>
  <c r="H3089" i="7" s="1"/>
  <c r="B3089" i="7"/>
  <c r="M3088" i="7"/>
  <c r="J3088" i="7"/>
  <c r="K3088" i="7" s="1"/>
  <c r="L3088" i="7" s="1"/>
  <c r="G3088" i="7"/>
  <c r="H3088" i="7" s="1"/>
  <c r="B3088" i="7"/>
  <c r="M3087" i="7"/>
  <c r="J3087" i="7"/>
  <c r="K3087" i="7" s="1"/>
  <c r="L3087" i="7" s="1"/>
  <c r="G3087" i="7"/>
  <c r="H3087" i="7" s="1"/>
  <c r="B3087" i="7"/>
  <c r="M3086" i="7"/>
  <c r="J3086" i="7"/>
  <c r="K3086" i="7" s="1"/>
  <c r="L3086" i="7" s="1"/>
  <c r="G3086" i="7"/>
  <c r="H3086" i="7" s="1"/>
  <c r="B3086" i="7"/>
  <c r="M3085" i="7"/>
  <c r="J3085" i="7"/>
  <c r="K3085" i="7" s="1"/>
  <c r="L3085" i="7" s="1"/>
  <c r="G3085" i="7"/>
  <c r="H3085" i="7" s="1"/>
  <c r="B3085" i="7"/>
  <c r="M3084" i="7"/>
  <c r="J3084" i="7"/>
  <c r="K3084" i="7" s="1"/>
  <c r="L3084" i="7" s="1"/>
  <c r="G3084" i="7"/>
  <c r="H3084" i="7" s="1"/>
  <c r="B3084" i="7"/>
  <c r="M3083" i="7"/>
  <c r="J3083" i="7"/>
  <c r="K3083" i="7" s="1"/>
  <c r="L3083" i="7" s="1"/>
  <c r="G3083" i="7"/>
  <c r="H3083" i="7" s="1"/>
  <c r="B3083" i="7"/>
  <c r="M3082" i="7"/>
  <c r="J3082" i="7"/>
  <c r="K3082" i="7" s="1"/>
  <c r="L3082" i="7" s="1"/>
  <c r="G3082" i="7"/>
  <c r="H3082" i="7" s="1"/>
  <c r="B3082" i="7"/>
  <c r="M3081" i="7"/>
  <c r="J3081" i="7"/>
  <c r="K3081" i="7" s="1"/>
  <c r="L3081" i="7" s="1"/>
  <c r="G3081" i="7"/>
  <c r="H3081" i="7" s="1"/>
  <c r="B3081" i="7"/>
  <c r="M3080" i="7"/>
  <c r="J3080" i="7"/>
  <c r="K3080" i="7" s="1"/>
  <c r="L3080" i="7" s="1"/>
  <c r="G3080" i="7"/>
  <c r="H3080" i="7" s="1"/>
  <c r="B3080" i="7"/>
  <c r="M3079" i="7"/>
  <c r="J3079" i="7"/>
  <c r="K3079" i="7" s="1"/>
  <c r="L3079" i="7" s="1"/>
  <c r="G3079" i="7"/>
  <c r="H3079" i="7" s="1"/>
  <c r="B3079" i="7"/>
  <c r="M3078" i="7"/>
  <c r="J3078" i="7"/>
  <c r="K3078" i="7" s="1"/>
  <c r="L3078" i="7" s="1"/>
  <c r="G3078" i="7"/>
  <c r="H3078" i="7" s="1"/>
  <c r="B3078" i="7"/>
  <c r="M3077" i="7"/>
  <c r="J3077" i="7"/>
  <c r="K3077" i="7" s="1"/>
  <c r="L3077" i="7" s="1"/>
  <c r="G3077" i="7"/>
  <c r="H3077" i="7" s="1"/>
  <c r="B3077" i="7"/>
  <c r="M3076" i="7"/>
  <c r="J3076" i="7"/>
  <c r="K3076" i="7" s="1"/>
  <c r="L3076" i="7" s="1"/>
  <c r="G3076" i="7"/>
  <c r="H3076" i="7" s="1"/>
  <c r="B3076" i="7"/>
  <c r="M3075" i="7"/>
  <c r="J3075" i="7"/>
  <c r="K3075" i="7" s="1"/>
  <c r="L3075" i="7" s="1"/>
  <c r="G3075" i="7"/>
  <c r="H3075" i="7" s="1"/>
  <c r="B3075" i="7"/>
  <c r="M3074" i="7"/>
  <c r="J3074" i="7"/>
  <c r="K3074" i="7" s="1"/>
  <c r="L3074" i="7" s="1"/>
  <c r="G3074" i="7"/>
  <c r="H3074" i="7" s="1"/>
  <c r="B3074" i="7"/>
  <c r="M3073" i="7"/>
  <c r="J3073" i="7"/>
  <c r="K3073" i="7" s="1"/>
  <c r="L3073" i="7" s="1"/>
  <c r="G3073" i="7"/>
  <c r="H3073" i="7" s="1"/>
  <c r="B3073" i="7"/>
  <c r="M3072" i="7"/>
  <c r="J3072" i="7"/>
  <c r="K3072" i="7" s="1"/>
  <c r="L3072" i="7" s="1"/>
  <c r="G3072" i="7"/>
  <c r="H3072" i="7" s="1"/>
  <c r="B3072" i="7"/>
  <c r="M3071" i="7"/>
  <c r="J3071" i="7"/>
  <c r="K3071" i="7" s="1"/>
  <c r="L3071" i="7" s="1"/>
  <c r="G3071" i="7"/>
  <c r="H3071" i="7" s="1"/>
  <c r="B3071" i="7"/>
  <c r="M3070" i="7"/>
  <c r="J3070" i="7"/>
  <c r="K3070" i="7" s="1"/>
  <c r="L3070" i="7" s="1"/>
  <c r="G3070" i="7"/>
  <c r="H3070" i="7" s="1"/>
  <c r="B3070" i="7"/>
  <c r="M3069" i="7"/>
  <c r="J3069" i="7"/>
  <c r="K3069" i="7" s="1"/>
  <c r="L3069" i="7" s="1"/>
  <c r="G3069" i="7"/>
  <c r="H3069" i="7" s="1"/>
  <c r="B3069" i="7"/>
  <c r="M3068" i="7"/>
  <c r="J3068" i="7"/>
  <c r="K3068" i="7" s="1"/>
  <c r="L3068" i="7" s="1"/>
  <c r="G3068" i="7"/>
  <c r="H3068" i="7" s="1"/>
  <c r="B3068" i="7"/>
  <c r="M3067" i="7"/>
  <c r="J3067" i="7"/>
  <c r="K3067" i="7" s="1"/>
  <c r="L3067" i="7" s="1"/>
  <c r="G3067" i="7"/>
  <c r="H3067" i="7" s="1"/>
  <c r="B3067" i="7"/>
  <c r="M3066" i="7"/>
  <c r="J3066" i="7"/>
  <c r="K3066" i="7" s="1"/>
  <c r="L3066" i="7" s="1"/>
  <c r="G3066" i="7"/>
  <c r="H3066" i="7" s="1"/>
  <c r="B3066" i="7"/>
  <c r="M3065" i="7"/>
  <c r="J3065" i="7"/>
  <c r="K3065" i="7" s="1"/>
  <c r="L3065" i="7" s="1"/>
  <c r="G3065" i="7"/>
  <c r="H3065" i="7" s="1"/>
  <c r="B3065" i="7"/>
  <c r="M3064" i="7"/>
  <c r="J3064" i="7"/>
  <c r="K3064" i="7" s="1"/>
  <c r="L3064" i="7" s="1"/>
  <c r="G3064" i="7"/>
  <c r="H3064" i="7" s="1"/>
  <c r="B3064" i="7"/>
  <c r="M3063" i="7"/>
  <c r="J3063" i="7"/>
  <c r="K3063" i="7" s="1"/>
  <c r="L3063" i="7" s="1"/>
  <c r="G3063" i="7"/>
  <c r="H3063" i="7" s="1"/>
  <c r="B3063" i="7"/>
  <c r="M3062" i="7"/>
  <c r="J3062" i="7"/>
  <c r="K3062" i="7" s="1"/>
  <c r="L3062" i="7" s="1"/>
  <c r="G3062" i="7"/>
  <c r="H3062" i="7" s="1"/>
  <c r="B3062" i="7"/>
  <c r="M3061" i="7"/>
  <c r="J3061" i="7"/>
  <c r="K3061" i="7" s="1"/>
  <c r="L3061" i="7" s="1"/>
  <c r="G3061" i="7"/>
  <c r="H3061" i="7" s="1"/>
  <c r="B3061" i="7"/>
  <c r="M3060" i="7"/>
  <c r="J3060" i="7"/>
  <c r="K3060" i="7" s="1"/>
  <c r="L3060" i="7" s="1"/>
  <c r="G3060" i="7"/>
  <c r="H3060" i="7" s="1"/>
  <c r="B3060" i="7"/>
  <c r="M3059" i="7"/>
  <c r="J3059" i="7"/>
  <c r="K3059" i="7" s="1"/>
  <c r="L3059" i="7" s="1"/>
  <c r="G3059" i="7"/>
  <c r="H3059" i="7" s="1"/>
  <c r="B3059" i="7"/>
  <c r="M3058" i="7"/>
  <c r="J3058" i="7"/>
  <c r="K3058" i="7" s="1"/>
  <c r="L3058" i="7" s="1"/>
  <c r="G3058" i="7"/>
  <c r="H3058" i="7" s="1"/>
  <c r="B3058" i="7"/>
  <c r="M3057" i="7"/>
  <c r="J3057" i="7"/>
  <c r="K3057" i="7" s="1"/>
  <c r="L3057" i="7" s="1"/>
  <c r="G3057" i="7"/>
  <c r="H3057" i="7" s="1"/>
  <c r="B3057" i="7"/>
  <c r="M3056" i="7"/>
  <c r="J3056" i="7"/>
  <c r="K3056" i="7" s="1"/>
  <c r="L3056" i="7" s="1"/>
  <c r="G3056" i="7"/>
  <c r="H3056" i="7" s="1"/>
  <c r="B3056" i="7"/>
  <c r="M3055" i="7"/>
  <c r="J3055" i="7"/>
  <c r="K3055" i="7" s="1"/>
  <c r="L3055" i="7" s="1"/>
  <c r="G3055" i="7"/>
  <c r="H3055" i="7" s="1"/>
  <c r="B3055" i="7"/>
  <c r="M3054" i="7"/>
  <c r="J3054" i="7"/>
  <c r="K3054" i="7" s="1"/>
  <c r="L3054" i="7" s="1"/>
  <c r="G3054" i="7"/>
  <c r="H3054" i="7" s="1"/>
  <c r="B3054" i="7"/>
  <c r="M3053" i="7"/>
  <c r="J3053" i="7"/>
  <c r="K3053" i="7" s="1"/>
  <c r="L3053" i="7" s="1"/>
  <c r="G3053" i="7"/>
  <c r="H3053" i="7" s="1"/>
  <c r="B3053" i="7"/>
  <c r="M3052" i="7"/>
  <c r="J3052" i="7"/>
  <c r="K3052" i="7" s="1"/>
  <c r="L3052" i="7" s="1"/>
  <c r="G3052" i="7"/>
  <c r="H3052" i="7" s="1"/>
  <c r="B3052" i="7"/>
  <c r="M3051" i="7"/>
  <c r="J3051" i="7"/>
  <c r="K3051" i="7" s="1"/>
  <c r="L3051" i="7" s="1"/>
  <c r="G3051" i="7"/>
  <c r="H3051" i="7" s="1"/>
  <c r="B3051" i="7"/>
  <c r="M3050" i="7"/>
  <c r="J3050" i="7"/>
  <c r="K3050" i="7" s="1"/>
  <c r="L3050" i="7" s="1"/>
  <c r="G3050" i="7"/>
  <c r="H3050" i="7" s="1"/>
  <c r="B3050" i="7"/>
  <c r="M3049" i="7"/>
  <c r="J3049" i="7"/>
  <c r="K3049" i="7" s="1"/>
  <c r="L3049" i="7" s="1"/>
  <c r="G3049" i="7"/>
  <c r="H3049" i="7" s="1"/>
  <c r="B3049" i="7"/>
  <c r="M3048" i="7"/>
  <c r="J3048" i="7"/>
  <c r="K3048" i="7" s="1"/>
  <c r="L3048" i="7" s="1"/>
  <c r="G3048" i="7"/>
  <c r="H3048" i="7" s="1"/>
  <c r="B3048" i="7"/>
  <c r="M3047" i="7"/>
  <c r="J3047" i="7"/>
  <c r="K3047" i="7" s="1"/>
  <c r="L3047" i="7" s="1"/>
  <c r="G3047" i="7"/>
  <c r="H3047" i="7" s="1"/>
  <c r="B3047" i="7"/>
  <c r="M3046" i="7"/>
  <c r="J3046" i="7"/>
  <c r="K3046" i="7" s="1"/>
  <c r="L3046" i="7" s="1"/>
  <c r="G3046" i="7"/>
  <c r="H3046" i="7" s="1"/>
  <c r="B3046" i="7"/>
  <c r="M3045" i="7"/>
  <c r="J3045" i="7"/>
  <c r="K3045" i="7" s="1"/>
  <c r="L3045" i="7" s="1"/>
  <c r="G3045" i="7"/>
  <c r="H3045" i="7" s="1"/>
  <c r="B3045" i="7"/>
  <c r="M3044" i="7"/>
  <c r="J3044" i="7"/>
  <c r="K3044" i="7" s="1"/>
  <c r="L3044" i="7" s="1"/>
  <c r="G3044" i="7"/>
  <c r="H3044" i="7" s="1"/>
  <c r="B3044" i="7"/>
  <c r="M3043" i="7"/>
  <c r="J3043" i="7"/>
  <c r="K3043" i="7" s="1"/>
  <c r="L3043" i="7" s="1"/>
  <c r="G3043" i="7"/>
  <c r="H3043" i="7" s="1"/>
  <c r="B3043" i="7"/>
  <c r="M3042" i="7"/>
  <c r="J3042" i="7"/>
  <c r="K3042" i="7" s="1"/>
  <c r="L3042" i="7" s="1"/>
  <c r="G3042" i="7"/>
  <c r="H3042" i="7" s="1"/>
  <c r="B3042" i="7"/>
  <c r="M3041" i="7"/>
  <c r="J3041" i="7"/>
  <c r="K3041" i="7" s="1"/>
  <c r="L3041" i="7" s="1"/>
  <c r="G3041" i="7"/>
  <c r="H3041" i="7" s="1"/>
  <c r="B3041" i="7"/>
  <c r="M3040" i="7"/>
  <c r="J3040" i="7"/>
  <c r="K3040" i="7" s="1"/>
  <c r="L3040" i="7" s="1"/>
  <c r="G3040" i="7"/>
  <c r="H3040" i="7" s="1"/>
  <c r="B3040" i="7"/>
  <c r="M3039" i="7"/>
  <c r="J3039" i="7"/>
  <c r="K3039" i="7" s="1"/>
  <c r="L3039" i="7" s="1"/>
  <c r="G3039" i="7"/>
  <c r="H3039" i="7" s="1"/>
  <c r="B3039" i="7"/>
  <c r="M3038" i="7"/>
  <c r="J3038" i="7"/>
  <c r="K3038" i="7" s="1"/>
  <c r="L3038" i="7" s="1"/>
  <c r="G3038" i="7"/>
  <c r="H3038" i="7" s="1"/>
  <c r="B3038" i="7"/>
  <c r="M3037" i="7"/>
  <c r="J3037" i="7"/>
  <c r="K3037" i="7" s="1"/>
  <c r="L3037" i="7" s="1"/>
  <c r="G3037" i="7"/>
  <c r="H3037" i="7" s="1"/>
  <c r="B3037" i="7"/>
  <c r="M3036" i="7"/>
  <c r="J3036" i="7"/>
  <c r="K3036" i="7" s="1"/>
  <c r="L3036" i="7" s="1"/>
  <c r="G3036" i="7"/>
  <c r="H3036" i="7" s="1"/>
  <c r="B3036" i="7"/>
  <c r="M3035" i="7"/>
  <c r="J3035" i="7"/>
  <c r="K3035" i="7" s="1"/>
  <c r="L3035" i="7" s="1"/>
  <c r="G3035" i="7"/>
  <c r="H3035" i="7" s="1"/>
  <c r="B3035" i="7"/>
  <c r="M3034" i="7"/>
  <c r="J3034" i="7"/>
  <c r="K3034" i="7" s="1"/>
  <c r="L3034" i="7" s="1"/>
  <c r="G3034" i="7"/>
  <c r="H3034" i="7" s="1"/>
  <c r="B3034" i="7"/>
  <c r="M3033" i="7"/>
  <c r="J3033" i="7"/>
  <c r="K3033" i="7" s="1"/>
  <c r="L3033" i="7" s="1"/>
  <c r="G3033" i="7"/>
  <c r="H3033" i="7" s="1"/>
  <c r="B3033" i="7"/>
  <c r="M3032" i="7"/>
  <c r="J3032" i="7"/>
  <c r="K3032" i="7" s="1"/>
  <c r="L3032" i="7" s="1"/>
  <c r="G3032" i="7"/>
  <c r="H3032" i="7" s="1"/>
  <c r="B3032" i="7"/>
  <c r="M3031" i="7"/>
  <c r="J3031" i="7"/>
  <c r="K3031" i="7" s="1"/>
  <c r="L3031" i="7" s="1"/>
  <c r="G3031" i="7"/>
  <c r="H3031" i="7" s="1"/>
  <c r="B3031" i="7"/>
  <c r="M3030" i="7"/>
  <c r="J3030" i="7"/>
  <c r="K3030" i="7" s="1"/>
  <c r="L3030" i="7" s="1"/>
  <c r="G3030" i="7"/>
  <c r="H3030" i="7" s="1"/>
  <c r="B3030" i="7"/>
  <c r="M3029" i="7"/>
  <c r="J3029" i="7"/>
  <c r="K3029" i="7" s="1"/>
  <c r="L3029" i="7" s="1"/>
  <c r="G3029" i="7"/>
  <c r="H3029" i="7" s="1"/>
  <c r="B3029" i="7"/>
  <c r="M3028" i="7"/>
  <c r="J3028" i="7"/>
  <c r="K3028" i="7" s="1"/>
  <c r="L3028" i="7" s="1"/>
  <c r="G3028" i="7"/>
  <c r="H3028" i="7" s="1"/>
  <c r="B3028" i="7"/>
  <c r="M3027" i="7"/>
  <c r="J3027" i="7"/>
  <c r="K3027" i="7" s="1"/>
  <c r="L3027" i="7" s="1"/>
  <c r="G3027" i="7"/>
  <c r="H3027" i="7" s="1"/>
  <c r="B3027" i="7"/>
  <c r="M3026" i="7"/>
  <c r="J3026" i="7"/>
  <c r="K3026" i="7" s="1"/>
  <c r="L3026" i="7" s="1"/>
  <c r="G3026" i="7"/>
  <c r="H3026" i="7" s="1"/>
  <c r="B3026" i="7"/>
  <c r="M3025" i="7"/>
  <c r="J3025" i="7"/>
  <c r="K3025" i="7" s="1"/>
  <c r="L3025" i="7" s="1"/>
  <c r="G3025" i="7"/>
  <c r="H3025" i="7" s="1"/>
  <c r="B3025" i="7"/>
  <c r="M3024" i="7"/>
  <c r="J3024" i="7"/>
  <c r="K3024" i="7" s="1"/>
  <c r="L3024" i="7" s="1"/>
  <c r="G3024" i="7"/>
  <c r="H3024" i="7" s="1"/>
  <c r="B3024" i="7"/>
  <c r="M3023" i="7"/>
  <c r="J3023" i="7"/>
  <c r="K3023" i="7" s="1"/>
  <c r="L3023" i="7" s="1"/>
  <c r="G3023" i="7"/>
  <c r="H3023" i="7" s="1"/>
  <c r="B3023" i="7"/>
  <c r="M3022" i="7"/>
  <c r="J3022" i="7"/>
  <c r="K3022" i="7" s="1"/>
  <c r="L3022" i="7" s="1"/>
  <c r="G3022" i="7"/>
  <c r="H3022" i="7" s="1"/>
  <c r="B3022" i="7"/>
  <c r="M3021" i="7"/>
  <c r="J3021" i="7"/>
  <c r="K3021" i="7" s="1"/>
  <c r="L3021" i="7" s="1"/>
  <c r="G3021" i="7"/>
  <c r="H3021" i="7" s="1"/>
  <c r="B3021" i="7"/>
  <c r="M3020" i="7"/>
  <c r="J3020" i="7"/>
  <c r="K3020" i="7" s="1"/>
  <c r="L3020" i="7" s="1"/>
  <c r="G3020" i="7"/>
  <c r="H3020" i="7" s="1"/>
  <c r="B3020" i="7"/>
  <c r="M3019" i="7"/>
  <c r="J3019" i="7"/>
  <c r="K3019" i="7" s="1"/>
  <c r="L3019" i="7" s="1"/>
  <c r="G3019" i="7"/>
  <c r="H3019" i="7" s="1"/>
  <c r="B3019" i="7"/>
  <c r="M3018" i="7"/>
  <c r="J3018" i="7"/>
  <c r="K3018" i="7" s="1"/>
  <c r="L3018" i="7" s="1"/>
  <c r="G3018" i="7"/>
  <c r="H3018" i="7" s="1"/>
  <c r="B3018" i="7"/>
  <c r="M3017" i="7"/>
  <c r="J3017" i="7"/>
  <c r="K3017" i="7" s="1"/>
  <c r="L3017" i="7" s="1"/>
  <c r="G3017" i="7"/>
  <c r="H3017" i="7" s="1"/>
  <c r="B3017" i="7"/>
  <c r="M3016" i="7"/>
  <c r="J3016" i="7"/>
  <c r="K3016" i="7" s="1"/>
  <c r="L3016" i="7" s="1"/>
  <c r="G3016" i="7"/>
  <c r="H3016" i="7" s="1"/>
  <c r="B3016" i="7"/>
  <c r="M3015" i="7"/>
  <c r="J3015" i="7"/>
  <c r="K3015" i="7" s="1"/>
  <c r="L3015" i="7" s="1"/>
  <c r="G3015" i="7"/>
  <c r="H3015" i="7" s="1"/>
  <c r="B3015" i="7"/>
  <c r="M3014" i="7"/>
  <c r="J3014" i="7"/>
  <c r="K3014" i="7" s="1"/>
  <c r="L3014" i="7" s="1"/>
  <c r="G3014" i="7"/>
  <c r="H3014" i="7" s="1"/>
  <c r="B3014" i="7"/>
  <c r="M3013" i="7"/>
  <c r="J3013" i="7"/>
  <c r="K3013" i="7" s="1"/>
  <c r="L3013" i="7" s="1"/>
  <c r="G3013" i="7"/>
  <c r="H3013" i="7" s="1"/>
  <c r="B3013" i="7"/>
  <c r="M3012" i="7"/>
  <c r="J3012" i="7"/>
  <c r="K3012" i="7" s="1"/>
  <c r="L3012" i="7" s="1"/>
  <c r="G3012" i="7"/>
  <c r="H3012" i="7" s="1"/>
  <c r="B3012" i="7"/>
  <c r="M3011" i="7"/>
  <c r="J3011" i="7"/>
  <c r="K3011" i="7" s="1"/>
  <c r="L3011" i="7" s="1"/>
  <c r="G3011" i="7"/>
  <c r="H3011" i="7" s="1"/>
  <c r="B3011" i="7"/>
  <c r="M3010" i="7"/>
  <c r="J3010" i="7"/>
  <c r="K3010" i="7" s="1"/>
  <c r="L3010" i="7" s="1"/>
  <c r="G3010" i="7"/>
  <c r="H3010" i="7" s="1"/>
  <c r="B3010" i="7"/>
  <c r="M3009" i="7"/>
  <c r="J3009" i="7"/>
  <c r="K3009" i="7" s="1"/>
  <c r="L3009" i="7" s="1"/>
  <c r="G3009" i="7"/>
  <c r="H3009" i="7" s="1"/>
  <c r="B3009" i="7"/>
  <c r="M3008" i="7"/>
  <c r="J3008" i="7"/>
  <c r="K3008" i="7" s="1"/>
  <c r="L3008" i="7" s="1"/>
  <c r="G3008" i="7"/>
  <c r="H3008" i="7" s="1"/>
  <c r="B3008" i="7"/>
  <c r="M3007" i="7"/>
  <c r="J3007" i="7"/>
  <c r="K3007" i="7" s="1"/>
  <c r="L3007" i="7" s="1"/>
  <c r="G3007" i="7"/>
  <c r="H3007" i="7" s="1"/>
  <c r="B3007" i="7"/>
  <c r="M3006" i="7"/>
  <c r="J3006" i="7"/>
  <c r="K3006" i="7" s="1"/>
  <c r="L3006" i="7" s="1"/>
  <c r="G3006" i="7"/>
  <c r="H3006" i="7" s="1"/>
  <c r="B3006" i="7"/>
  <c r="M3005" i="7"/>
  <c r="J3005" i="7"/>
  <c r="K3005" i="7" s="1"/>
  <c r="L3005" i="7" s="1"/>
  <c r="G3005" i="7"/>
  <c r="H3005" i="7" s="1"/>
  <c r="B3005" i="7"/>
  <c r="M3004" i="7"/>
  <c r="J3004" i="7"/>
  <c r="K3004" i="7" s="1"/>
  <c r="L3004" i="7" s="1"/>
  <c r="G3004" i="7"/>
  <c r="H3004" i="7" s="1"/>
  <c r="B3004" i="7"/>
  <c r="M3003" i="7"/>
  <c r="J3003" i="7"/>
  <c r="K3003" i="7" s="1"/>
  <c r="L3003" i="7" s="1"/>
  <c r="G3003" i="7"/>
  <c r="H3003" i="7" s="1"/>
  <c r="B3003" i="7"/>
  <c r="M3002" i="7"/>
  <c r="J3002" i="7"/>
  <c r="K3002" i="7" s="1"/>
  <c r="L3002" i="7" s="1"/>
  <c r="G3002" i="7"/>
  <c r="H3002" i="7" s="1"/>
  <c r="B3002" i="7"/>
  <c r="M3001" i="7"/>
  <c r="J3001" i="7"/>
  <c r="K3001" i="7" s="1"/>
  <c r="L3001" i="7" s="1"/>
  <c r="G3001" i="7"/>
  <c r="H3001" i="7" s="1"/>
  <c r="B3001" i="7"/>
  <c r="M3000" i="7"/>
  <c r="J3000" i="7"/>
  <c r="K3000" i="7" s="1"/>
  <c r="L3000" i="7" s="1"/>
  <c r="G3000" i="7"/>
  <c r="H3000" i="7" s="1"/>
  <c r="B3000" i="7"/>
  <c r="M2999" i="7"/>
  <c r="J2999" i="7"/>
  <c r="K2999" i="7" s="1"/>
  <c r="L2999" i="7" s="1"/>
  <c r="G2999" i="7"/>
  <c r="H2999" i="7" s="1"/>
  <c r="B2999" i="7"/>
  <c r="M2998" i="7"/>
  <c r="J2998" i="7"/>
  <c r="K2998" i="7" s="1"/>
  <c r="L2998" i="7" s="1"/>
  <c r="G2998" i="7"/>
  <c r="H2998" i="7" s="1"/>
  <c r="B2998" i="7"/>
  <c r="M2997" i="7"/>
  <c r="J2997" i="7"/>
  <c r="K2997" i="7" s="1"/>
  <c r="L2997" i="7" s="1"/>
  <c r="G2997" i="7"/>
  <c r="H2997" i="7" s="1"/>
  <c r="B2997" i="7"/>
  <c r="M2996" i="7"/>
  <c r="J2996" i="7"/>
  <c r="K2996" i="7" s="1"/>
  <c r="L2996" i="7" s="1"/>
  <c r="G2996" i="7"/>
  <c r="H2996" i="7" s="1"/>
  <c r="B2996" i="7"/>
  <c r="M2995" i="7"/>
  <c r="J2995" i="7"/>
  <c r="K2995" i="7" s="1"/>
  <c r="L2995" i="7" s="1"/>
  <c r="G2995" i="7"/>
  <c r="H2995" i="7" s="1"/>
  <c r="B2995" i="7"/>
  <c r="M2994" i="7"/>
  <c r="J2994" i="7"/>
  <c r="K2994" i="7" s="1"/>
  <c r="L2994" i="7" s="1"/>
  <c r="G2994" i="7"/>
  <c r="H2994" i="7" s="1"/>
  <c r="B2994" i="7"/>
  <c r="M2993" i="7"/>
  <c r="J2993" i="7"/>
  <c r="K2993" i="7" s="1"/>
  <c r="L2993" i="7" s="1"/>
  <c r="G2993" i="7"/>
  <c r="H2993" i="7" s="1"/>
  <c r="B2993" i="7"/>
  <c r="M2992" i="7"/>
  <c r="J2992" i="7"/>
  <c r="K2992" i="7" s="1"/>
  <c r="L2992" i="7" s="1"/>
  <c r="G2992" i="7"/>
  <c r="H2992" i="7" s="1"/>
  <c r="B2992" i="7"/>
  <c r="M2991" i="7"/>
  <c r="J2991" i="7"/>
  <c r="K2991" i="7" s="1"/>
  <c r="L2991" i="7" s="1"/>
  <c r="G2991" i="7"/>
  <c r="H2991" i="7" s="1"/>
  <c r="B2991" i="7"/>
  <c r="M2990" i="7"/>
  <c r="J2990" i="7"/>
  <c r="K2990" i="7" s="1"/>
  <c r="L2990" i="7" s="1"/>
  <c r="G2990" i="7"/>
  <c r="H2990" i="7" s="1"/>
  <c r="B2990" i="7"/>
  <c r="M2989" i="7"/>
  <c r="J2989" i="7"/>
  <c r="K2989" i="7" s="1"/>
  <c r="L2989" i="7" s="1"/>
  <c r="G2989" i="7"/>
  <c r="H2989" i="7" s="1"/>
  <c r="B2989" i="7"/>
  <c r="M2988" i="7"/>
  <c r="J2988" i="7"/>
  <c r="K2988" i="7" s="1"/>
  <c r="L2988" i="7" s="1"/>
  <c r="G2988" i="7"/>
  <c r="H2988" i="7" s="1"/>
  <c r="B2988" i="7"/>
  <c r="M2987" i="7"/>
  <c r="J2987" i="7"/>
  <c r="K2987" i="7" s="1"/>
  <c r="L2987" i="7" s="1"/>
  <c r="G2987" i="7"/>
  <c r="H2987" i="7" s="1"/>
  <c r="B2987" i="7"/>
  <c r="M2986" i="7"/>
  <c r="J2986" i="7"/>
  <c r="K2986" i="7" s="1"/>
  <c r="L2986" i="7" s="1"/>
  <c r="G2986" i="7"/>
  <c r="H2986" i="7" s="1"/>
  <c r="B2986" i="7"/>
  <c r="M2985" i="7"/>
  <c r="J2985" i="7"/>
  <c r="K2985" i="7" s="1"/>
  <c r="L2985" i="7" s="1"/>
  <c r="G2985" i="7"/>
  <c r="H2985" i="7" s="1"/>
  <c r="B2985" i="7"/>
  <c r="M2984" i="7"/>
  <c r="J2984" i="7"/>
  <c r="K2984" i="7" s="1"/>
  <c r="L2984" i="7" s="1"/>
  <c r="G2984" i="7"/>
  <c r="H2984" i="7" s="1"/>
  <c r="B2984" i="7"/>
  <c r="M2983" i="7"/>
  <c r="J2983" i="7"/>
  <c r="K2983" i="7" s="1"/>
  <c r="L2983" i="7" s="1"/>
  <c r="G2983" i="7"/>
  <c r="H2983" i="7" s="1"/>
  <c r="B2983" i="7"/>
  <c r="M2982" i="7"/>
  <c r="J2982" i="7"/>
  <c r="K2982" i="7" s="1"/>
  <c r="L2982" i="7" s="1"/>
  <c r="G2982" i="7"/>
  <c r="H2982" i="7" s="1"/>
  <c r="B2982" i="7"/>
  <c r="M2981" i="7"/>
  <c r="J2981" i="7"/>
  <c r="K2981" i="7" s="1"/>
  <c r="L2981" i="7" s="1"/>
  <c r="G2981" i="7"/>
  <c r="H2981" i="7" s="1"/>
  <c r="B2981" i="7"/>
  <c r="M2980" i="7"/>
  <c r="J2980" i="7"/>
  <c r="K2980" i="7" s="1"/>
  <c r="L2980" i="7" s="1"/>
  <c r="G2980" i="7"/>
  <c r="H2980" i="7" s="1"/>
  <c r="B2980" i="7"/>
  <c r="M2979" i="7"/>
  <c r="J2979" i="7"/>
  <c r="K2979" i="7" s="1"/>
  <c r="L2979" i="7" s="1"/>
  <c r="G2979" i="7"/>
  <c r="H2979" i="7" s="1"/>
  <c r="B2979" i="7"/>
  <c r="M2978" i="7"/>
  <c r="J2978" i="7"/>
  <c r="K2978" i="7" s="1"/>
  <c r="L2978" i="7" s="1"/>
  <c r="G2978" i="7"/>
  <c r="H2978" i="7" s="1"/>
  <c r="B2978" i="7"/>
  <c r="M2977" i="7"/>
  <c r="J2977" i="7"/>
  <c r="K2977" i="7" s="1"/>
  <c r="L2977" i="7" s="1"/>
  <c r="G2977" i="7"/>
  <c r="H2977" i="7" s="1"/>
  <c r="B2977" i="7"/>
  <c r="M2976" i="7"/>
  <c r="J2976" i="7"/>
  <c r="K2976" i="7" s="1"/>
  <c r="L2976" i="7" s="1"/>
  <c r="G2976" i="7"/>
  <c r="H2976" i="7" s="1"/>
  <c r="B2976" i="7"/>
  <c r="M2975" i="7"/>
  <c r="J2975" i="7"/>
  <c r="K2975" i="7" s="1"/>
  <c r="L2975" i="7" s="1"/>
  <c r="G2975" i="7"/>
  <c r="H2975" i="7" s="1"/>
  <c r="B2975" i="7"/>
  <c r="M2974" i="7"/>
  <c r="J2974" i="7"/>
  <c r="K2974" i="7" s="1"/>
  <c r="L2974" i="7" s="1"/>
  <c r="G2974" i="7"/>
  <c r="H2974" i="7" s="1"/>
  <c r="B2974" i="7"/>
  <c r="M2973" i="7"/>
  <c r="J2973" i="7"/>
  <c r="K2973" i="7" s="1"/>
  <c r="L2973" i="7" s="1"/>
  <c r="G2973" i="7"/>
  <c r="H2973" i="7" s="1"/>
  <c r="B2973" i="7"/>
  <c r="M2972" i="7"/>
  <c r="J2972" i="7"/>
  <c r="K2972" i="7" s="1"/>
  <c r="L2972" i="7" s="1"/>
  <c r="G2972" i="7"/>
  <c r="H2972" i="7" s="1"/>
  <c r="B2972" i="7"/>
  <c r="M2971" i="7"/>
  <c r="J2971" i="7"/>
  <c r="K2971" i="7" s="1"/>
  <c r="L2971" i="7" s="1"/>
  <c r="G2971" i="7"/>
  <c r="H2971" i="7" s="1"/>
  <c r="B2971" i="7"/>
  <c r="M2970" i="7"/>
  <c r="J2970" i="7"/>
  <c r="K2970" i="7" s="1"/>
  <c r="L2970" i="7" s="1"/>
  <c r="G2970" i="7"/>
  <c r="H2970" i="7" s="1"/>
  <c r="B2970" i="7"/>
  <c r="M2969" i="7"/>
  <c r="J2969" i="7"/>
  <c r="K2969" i="7" s="1"/>
  <c r="L2969" i="7" s="1"/>
  <c r="G2969" i="7"/>
  <c r="H2969" i="7" s="1"/>
  <c r="B2969" i="7"/>
  <c r="M2968" i="7"/>
  <c r="J2968" i="7"/>
  <c r="K2968" i="7" s="1"/>
  <c r="L2968" i="7" s="1"/>
  <c r="G2968" i="7"/>
  <c r="H2968" i="7" s="1"/>
  <c r="B2968" i="7"/>
  <c r="M2967" i="7"/>
  <c r="J2967" i="7"/>
  <c r="K2967" i="7" s="1"/>
  <c r="L2967" i="7" s="1"/>
  <c r="G2967" i="7"/>
  <c r="H2967" i="7" s="1"/>
  <c r="B2967" i="7"/>
  <c r="M2966" i="7"/>
  <c r="J2966" i="7"/>
  <c r="K2966" i="7" s="1"/>
  <c r="L2966" i="7" s="1"/>
  <c r="G2966" i="7"/>
  <c r="H2966" i="7" s="1"/>
  <c r="B2966" i="7"/>
  <c r="M2965" i="7"/>
  <c r="J2965" i="7"/>
  <c r="K2965" i="7" s="1"/>
  <c r="L2965" i="7" s="1"/>
  <c r="G2965" i="7"/>
  <c r="H2965" i="7" s="1"/>
  <c r="B2965" i="7"/>
  <c r="M2964" i="7"/>
  <c r="J2964" i="7"/>
  <c r="K2964" i="7" s="1"/>
  <c r="L2964" i="7" s="1"/>
  <c r="G2964" i="7"/>
  <c r="H2964" i="7" s="1"/>
  <c r="B2964" i="7"/>
  <c r="M2963" i="7"/>
  <c r="J2963" i="7"/>
  <c r="K2963" i="7" s="1"/>
  <c r="L2963" i="7" s="1"/>
  <c r="G2963" i="7"/>
  <c r="H2963" i="7" s="1"/>
  <c r="B2963" i="7"/>
  <c r="M2962" i="7"/>
  <c r="J2962" i="7"/>
  <c r="K2962" i="7" s="1"/>
  <c r="L2962" i="7" s="1"/>
  <c r="G2962" i="7"/>
  <c r="H2962" i="7" s="1"/>
  <c r="B2962" i="7"/>
  <c r="M2961" i="7"/>
  <c r="J2961" i="7"/>
  <c r="K2961" i="7" s="1"/>
  <c r="L2961" i="7" s="1"/>
  <c r="G2961" i="7"/>
  <c r="H2961" i="7" s="1"/>
  <c r="B2961" i="7"/>
  <c r="M2960" i="7"/>
  <c r="J2960" i="7"/>
  <c r="K2960" i="7" s="1"/>
  <c r="L2960" i="7" s="1"/>
  <c r="G2960" i="7"/>
  <c r="H2960" i="7" s="1"/>
  <c r="B2960" i="7"/>
  <c r="M2959" i="7"/>
  <c r="J2959" i="7"/>
  <c r="K2959" i="7" s="1"/>
  <c r="L2959" i="7" s="1"/>
  <c r="G2959" i="7"/>
  <c r="H2959" i="7" s="1"/>
  <c r="B2959" i="7"/>
  <c r="M2958" i="7"/>
  <c r="J2958" i="7"/>
  <c r="K2958" i="7" s="1"/>
  <c r="L2958" i="7" s="1"/>
  <c r="G2958" i="7"/>
  <c r="H2958" i="7" s="1"/>
  <c r="B2958" i="7"/>
  <c r="M2957" i="7"/>
  <c r="J2957" i="7"/>
  <c r="K2957" i="7" s="1"/>
  <c r="L2957" i="7" s="1"/>
  <c r="G2957" i="7"/>
  <c r="H2957" i="7" s="1"/>
  <c r="B2957" i="7"/>
  <c r="M2956" i="7"/>
  <c r="J2956" i="7"/>
  <c r="K2956" i="7" s="1"/>
  <c r="L2956" i="7" s="1"/>
  <c r="G2956" i="7"/>
  <c r="H2956" i="7" s="1"/>
  <c r="B2956" i="7"/>
  <c r="M2955" i="7"/>
  <c r="J2955" i="7"/>
  <c r="K2955" i="7" s="1"/>
  <c r="L2955" i="7" s="1"/>
  <c r="G2955" i="7"/>
  <c r="H2955" i="7" s="1"/>
  <c r="B2955" i="7"/>
  <c r="M2954" i="7"/>
  <c r="J2954" i="7"/>
  <c r="K2954" i="7" s="1"/>
  <c r="L2954" i="7" s="1"/>
  <c r="G2954" i="7"/>
  <c r="H2954" i="7" s="1"/>
  <c r="B2954" i="7"/>
  <c r="M2953" i="7"/>
  <c r="J2953" i="7"/>
  <c r="K2953" i="7" s="1"/>
  <c r="L2953" i="7" s="1"/>
  <c r="G2953" i="7"/>
  <c r="H2953" i="7" s="1"/>
  <c r="B2953" i="7"/>
  <c r="M2952" i="7"/>
  <c r="J2952" i="7"/>
  <c r="K2952" i="7" s="1"/>
  <c r="L2952" i="7" s="1"/>
  <c r="G2952" i="7"/>
  <c r="H2952" i="7" s="1"/>
  <c r="B2952" i="7"/>
  <c r="M2951" i="7"/>
  <c r="J2951" i="7"/>
  <c r="K2951" i="7" s="1"/>
  <c r="L2951" i="7" s="1"/>
  <c r="G2951" i="7"/>
  <c r="H2951" i="7" s="1"/>
  <c r="B2951" i="7"/>
  <c r="M2950" i="7"/>
  <c r="J2950" i="7"/>
  <c r="K2950" i="7" s="1"/>
  <c r="L2950" i="7" s="1"/>
  <c r="G2950" i="7"/>
  <c r="H2950" i="7" s="1"/>
  <c r="B2950" i="7"/>
  <c r="M2949" i="7"/>
  <c r="J2949" i="7"/>
  <c r="K2949" i="7" s="1"/>
  <c r="L2949" i="7" s="1"/>
  <c r="G2949" i="7"/>
  <c r="H2949" i="7" s="1"/>
  <c r="B2949" i="7"/>
  <c r="M2948" i="7"/>
  <c r="J2948" i="7"/>
  <c r="K2948" i="7" s="1"/>
  <c r="L2948" i="7" s="1"/>
  <c r="G2948" i="7"/>
  <c r="H2948" i="7" s="1"/>
  <c r="B2948" i="7"/>
  <c r="M2947" i="7"/>
  <c r="J2947" i="7"/>
  <c r="K2947" i="7" s="1"/>
  <c r="L2947" i="7" s="1"/>
  <c r="G2947" i="7"/>
  <c r="H2947" i="7" s="1"/>
  <c r="B2947" i="7"/>
  <c r="M2946" i="7"/>
  <c r="J2946" i="7"/>
  <c r="K2946" i="7" s="1"/>
  <c r="L2946" i="7" s="1"/>
  <c r="G2946" i="7"/>
  <c r="H2946" i="7" s="1"/>
  <c r="B2946" i="7"/>
  <c r="M2945" i="7"/>
  <c r="J2945" i="7"/>
  <c r="K2945" i="7" s="1"/>
  <c r="L2945" i="7" s="1"/>
  <c r="G2945" i="7"/>
  <c r="H2945" i="7" s="1"/>
  <c r="B2945" i="7"/>
  <c r="M2944" i="7"/>
  <c r="J2944" i="7"/>
  <c r="K2944" i="7" s="1"/>
  <c r="L2944" i="7" s="1"/>
  <c r="G2944" i="7"/>
  <c r="H2944" i="7" s="1"/>
  <c r="B2944" i="7"/>
  <c r="M2943" i="7"/>
  <c r="J2943" i="7"/>
  <c r="K2943" i="7" s="1"/>
  <c r="L2943" i="7" s="1"/>
  <c r="G2943" i="7"/>
  <c r="H2943" i="7" s="1"/>
  <c r="B2943" i="7"/>
  <c r="M2942" i="7"/>
  <c r="J2942" i="7"/>
  <c r="K2942" i="7" s="1"/>
  <c r="L2942" i="7" s="1"/>
  <c r="G2942" i="7"/>
  <c r="H2942" i="7" s="1"/>
  <c r="B2942" i="7"/>
  <c r="M2941" i="7"/>
  <c r="J2941" i="7"/>
  <c r="K2941" i="7" s="1"/>
  <c r="L2941" i="7" s="1"/>
  <c r="G2941" i="7"/>
  <c r="H2941" i="7" s="1"/>
  <c r="B2941" i="7"/>
  <c r="M2940" i="7"/>
  <c r="J2940" i="7"/>
  <c r="K2940" i="7" s="1"/>
  <c r="L2940" i="7" s="1"/>
  <c r="G2940" i="7"/>
  <c r="H2940" i="7" s="1"/>
  <c r="B2940" i="7"/>
  <c r="M2939" i="7"/>
  <c r="J2939" i="7"/>
  <c r="K2939" i="7" s="1"/>
  <c r="L2939" i="7" s="1"/>
  <c r="G2939" i="7"/>
  <c r="H2939" i="7" s="1"/>
  <c r="B2939" i="7"/>
  <c r="M2938" i="7"/>
  <c r="J2938" i="7"/>
  <c r="K2938" i="7" s="1"/>
  <c r="L2938" i="7" s="1"/>
  <c r="G2938" i="7"/>
  <c r="H2938" i="7" s="1"/>
  <c r="B2938" i="7"/>
  <c r="M2937" i="7"/>
  <c r="J2937" i="7"/>
  <c r="K2937" i="7" s="1"/>
  <c r="L2937" i="7" s="1"/>
  <c r="G2937" i="7"/>
  <c r="H2937" i="7" s="1"/>
  <c r="B2937" i="7"/>
  <c r="M2936" i="7"/>
  <c r="J2936" i="7"/>
  <c r="K2936" i="7" s="1"/>
  <c r="L2936" i="7" s="1"/>
  <c r="G2936" i="7"/>
  <c r="H2936" i="7" s="1"/>
  <c r="B2936" i="7"/>
  <c r="M2935" i="7"/>
  <c r="J2935" i="7"/>
  <c r="K2935" i="7" s="1"/>
  <c r="L2935" i="7" s="1"/>
  <c r="G2935" i="7"/>
  <c r="H2935" i="7" s="1"/>
  <c r="B2935" i="7"/>
  <c r="M2934" i="7"/>
  <c r="J2934" i="7"/>
  <c r="K2934" i="7" s="1"/>
  <c r="L2934" i="7" s="1"/>
  <c r="G2934" i="7"/>
  <c r="H2934" i="7" s="1"/>
  <c r="B2934" i="7"/>
  <c r="M2933" i="7"/>
  <c r="J2933" i="7"/>
  <c r="K2933" i="7" s="1"/>
  <c r="L2933" i="7" s="1"/>
  <c r="G2933" i="7"/>
  <c r="H2933" i="7" s="1"/>
  <c r="B2933" i="7"/>
  <c r="M2932" i="7"/>
  <c r="J2932" i="7"/>
  <c r="K2932" i="7" s="1"/>
  <c r="L2932" i="7" s="1"/>
  <c r="G2932" i="7"/>
  <c r="H2932" i="7" s="1"/>
  <c r="B2932" i="7"/>
  <c r="M2931" i="7"/>
  <c r="J2931" i="7"/>
  <c r="K2931" i="7" s="1"/>
  <c r="L2931" i="7" s="1"/>
  <c r="G2931" i="7"/>
  <c r="H2931" i="7" s="1"/>
  <c r="B2931" i="7"/>
  <c r="M2930" i="7"/>
  <c r="J2930" i="7"/>
  <c r="K2930" i="7" s="1"/>
  <c r="L2930" i="7" s="1"/>
  <c r="G2930" i="7"/>
  <c r="H2930" i="7" s="1"/>
  <c r="B2930" i="7"/>
  <c r="M2929" i="7"/>
  <c r="J2929" i="7"/>
  <c r="K2929" i="7" s="1"/>
  <c r="L2929" i="7" s="1"/>
  <c r="G2929" i="7"/>
  <c r="H2929" i="7" s="1"/>
  <c r="B2929" i="7"/>
  <c r="M2928" i="7"/>
  <c r="J2928" i="7"/>
  <c r="K2928" i="7" s="1"/>
  <c r="L2928" i="7" s="1"/>
  <c r="G2928" i="7"/>
  <c r="H2928" i="7" s="1"/>
  <c r="B2928" i="7"/>
  <c r="M2927" i="7"/>
  <c r="J2927" i="7"/>
  <c r="K2927" i="7" s="1"/>
  <c r="L2927" i="7" s="1"/>
  <c r="G2927" i="7"/>
  <c r="H2927" i="7" s="1"/>
  <c r="B2927" i="7"/>
  <c r="M2926" i="7"/>
  <c r="J2926" i="7"/>
  <c r="K2926" i="7" s="1"/>
  <c r="L2926" i="7" s="1"/>
  <c r="G2926" i="7"/>
  <c r="H2926" i="7" s="1"/>
  <c r="B2926" i="7"/>
  <c r="M2925" i="7"/>
  <c r="J2925" i="7"/>
  <c r="K2925" i="7" s="1"/>
  <c r="L2925" i="7" s="1"/>
  <c r="G2925" i="7"/>
  <c r="H2925" i="7" s="1"/>
  <c r="B2925" i="7"/>
  <c r="M2924" i="7"/>
  <c r="J2924" i="7"/>
  <c r="K2924" i="7" s="1"/>
  <c r="L2924" i="7" s="1"/>
  <c r="G2924" i="7"/>
  <c r="H2924" i="7" s="1"/>
  <c r="B2924" i="7"/>
  <c r="M2923" i="7"/>
  <c r="J2923" i="7"/>
  <c r="K2923" i="7" s="1"/>
  <c r="L2923" i="7" s="1"/>
  <c r="G2923" i="7"/>
  <c r="H2923" i="7" s="1"/>
  <c r="B2923" i="7"/>
  <c r="M2922" i="7"/>
  <c r="J2922" i="7"/>
  <c r="K2922" i="7" s="1"/>
  <c r="L2922" i="7" s="1"/>
  <c r="G2922" i="7"/>
  <c r="H2922" i="7" s="1"/>
  <c r="B2922" i="7"/>
  <c r="M2921" i="7"/>
  <c r="J2921" i="7"/>
  <c r="K2921" i="7" s="1"/>
  <c r="L2921" i="7" s="1"/>
  <c r="G2921" i="7"/>
  <c r="H2921" i="7" s="1"/>
  <c r="B2921" i="7"/>
  <c r="M2920" i="7"/>
  <c r="J2920" i="7"/>
  <c r="K2920" i="7" s="1"/>
  <c r="L2920" i="7" s="1"/>
  <c r="G2920" i="7"/>
  <c r="H2920" i="7" s="1"/>
  <c r="B2920" i="7"/>
  <c r="M2919" i="7"/>
  <c r="J2919" i="7"/>
  <c r="K2919" i="7" s="1"/>
  <c r="L2919" i="7" s="1"/>
  <c r="G2919" i="7"/>
  <c r="H2919" i="7" s="1"/>
  <c r="B2919" i="7"/>
  <c r="M2918" i="7"/>
  <c r="J2918" i="7"/>
  <c r="K2918" i="7" s="1"/>
  <c r="L2918" i="7" s="1"/>
  <c r="G2918" i="7"/>
  <c r="H2918" i="7" s="1"/>
  <c r="B2918" i="7"/>
  <c r="M2917" i="7"/>
  <c r="J2917" i="7"/>
  <c r="K2917" i="7" s="1"/>
  <c r="L2917" i="7" s="1"/>
  <c r="G2917" i="7"/>
  <c r="H2917" i="7" s="1"/>
  <c r="B2917" i="7"/>
  <c r="M2916" i="7"/>
  <c r="J2916" i="7"/>
  <c r="K2916" i="7" s="1"/>
  <c r="L2916" i="7" s="1"/>
  <c r="G2916" i="7"/>
  <c r="H2916" i="7" s="1"/>
  <c r="B2916" i="7"/>
  <c r="M2915" i="7"/>
  <c r="J2915" i="7"/>
  <c r="K2915" i="7" s="1"/>
  <c r="L2915" i="7" s="1"/>
  <c r="G2915" i="7"/>
  <c r="H2915" i="7" s="1"/>
  <c r="B2915" i="7"/>
  <c r="M2914" i="7"/>
  <c r="J2914" i="7"/>
  <c r="K2914" i="7" s="1"/>
  <c r="L2914" i="7" s="1"/>
  <c r="G2914" i="7"/>
  <c r="H2914" i="7" s="1"/>
  <c r="B2914" i="7"/>
  <c r="M2913" i="7"/>
  <c r="J2913" i="7"/>
  <c r="K2913" i="7" s="1"/>
  <c r="L2913" i="7" s="1"/>
  <c r="G2913" i="7"/>
  <c r="H2913" i="7" s="1"/>
  <c r="B2913" i="7"/>
  <c r="M2912" i="7"/>
  <c r="J2912" i="7"/>
  <c r="K2912" i="7" s="1"/>
  <c r="L2912" i="7" s="1"/>
  <c r="G2912" i="7"/>
  <c r="H2912" i="7" s="1"/>
  <c r="B2912" i="7"/>
  <c r="M2911" i="7"/>
  <c r="J2911" i="7"/>
  <c r="K2911" i="7" s="1"/>
  <c r="L2911" i="7" s="1"/>
  <c r="G2911" i="7"/>
  <c r="H2911" i="7" s="1"/>
  <c r="B2911" i="7"/>
  <c r="M2910" i="7"/>
  <c r="J2910" i="7"/>
  <c r="K2910" i="7" s="1"/>
  <c r="L2910" i="7" s="1"/>
  <c r="G2910" i="7"/>
  <c r="H2910" i="7" s="1"/>
  <c r="B2910" i="7"/>
  <c r="M2909" i="7"/>
  <c r="J2909" i="7"/>
  <c r="K2909" i="7" s="1"/>
  <c r="L2909" i="7" s="1"/>
  <c r="G2909" i="7"/>
  <c r="H2909" i="7" s="1"/>
  <c r="B2909" i="7"/>
  <c r="M2908" i="7"/>
  <c r="J2908" i="7"/>
  <c r="K2908" i="7" s="1"/>
  <c r="L2908" i="7" s="1"/>
  <c r="G2908" i="7"/>
  <c r="H2908" i="7" s="1"/>
  <c r="B2908" i="7"/>
  <c r="M2907" i="7"/>
  <c r="J2907" i="7"/>
  <c r="K2907" i="7" s="1"/>
  <c r="L2907" i="7" s="1"/>
  <c r="G2907" i="7"/>
  <c r="H2907" i="7" s="1"/>
  <c r="B2907" i="7"/>
  <c r="M2906" i="7"/>
  <c r="J2906" i="7"/>
  <c r="K2906" i="7" s="1"/>
  <c r="L2906" i="7" s="1"/>
  <c r="G2906" i="7"/>
  <c r="H2906" i="7" s="1"/>
  <c r="B2906" i="7"/>
  <c r="M2905" i="7"/>
  <c r="J2905" i="7"/>
  <c r="K2905" i="7" s="1"/>
  <c r="L2905" i="7" s="1"/>
  <c r="G2905" i="7"/>
  <c r="H2905" i="7" s="1"/>
  <c r="B2905" i="7"/>
  <c r="M2904" i="7"/>
  <c r="J2904" i="7"/>
  <c r="K2904" i="7" s="1"/>
  <c r="L2904" i="7" s="1"/>
  <c r="G2904" i="7"/>
  <c r="H2904" i="7" s="1"/>
  <c r="B2904" i="7"/>
  <c r="M2903" i="7"/>
  <c r="J2903" i="7"/>
  <c r="K2903" i="7" s="1"/>
  <c r="L2903" i="7" s="1"/>
  <c r="G2903" i="7"/>
  <c r="H2903" i="7" s="1"/>
  <c r="B2903" i="7"/>
  <c r="M2902" i="7"/>
  <c r="J2902" i="7"/>
  <c r="K2902" i="7" s="1"/>
  <c r="L2902" i="7" s="1"/>
  <c r="G2902" i="7"/>
  <c r="H2902" i="7" s="1"/>
  <c r="B2902" i="7"/>
  <c r="M2901" i="7"/>
  <c r="J2901" i="7"/>
  <c r="K2901" i="7" s="1"/>
  <c r="L2901" i="7" s="1"/>
  <c r="G2901" i="7"/>
  <c r="H2901" i="7" s="1"/>
  <c r="B2901" i="7"/>
  <c r="M2900" i="7"/>
  <c r="J2900" i="7"/>
  <c r="K2900" i="7" s="1"/>
  <c r="L2900" i="7" s="1"/>
  <c r="G2900" i="7"/>
  <c r="H2900" i="7" s="1"/>
  <c r="B2900" i="7"/>
  <c r="M2899" i="7"/>
  <c r="J2899" i="7"/>
  <c r="K2899" i="7" s="1"/>
  <c r="L2899" i="7" s="1"/>
  <c r="G2899" i="7"/>
  <c r="H2899" i="7" s="1"/>
  <c r="B2899" i="7"/>
  <c r="M2898" i="7"/>
  <c r="J2898" i="7"/>
  <c r="K2898" i="7" s="1"/>
  <c r="L2898" i="7" s="1"/>
  <c r="G2898" i="7"/>
  <c r="H2898" i="7" s="1"/>
  <c r="B2898" i="7"/>
  <c r="M2897" i="7"/>
  <c r="J2897" i="7"/>
  <c r="K2897" i="7" s="1"/>
  <c r="L2897" i="7" s="1"/>
  <c r="G2897" i="7"/>
  <c r="H2897" i="7" s="1"/>
  <c r="B2897" i="7"/>
  <c r="M2896" i="7"/>
  <c r="J2896" i="7"/>
  <c r="K2896" i="7" s="1"/>
  <c r="L2896" i="7" s="1"/>
  <c r="G2896" i="7"/>
  <c r="H2896" i="7" s="1"/>
  <c r="B2896" i="7"/>
  <c r="M2895" i="7"/>
  <c r="J2895" i="7"/>
  <c r="K2895" i="7" s="1"/>
  <c r="L2895" i="7" s="1"/>
  <c r="G2895" i="7"/>
  <c r="H2895" i="7" s="1"/>
  <c r="B2895" i="7"/>
  <c r="M2894" i="7"/>
  <c r="J2894" i="7"/>
  <c r="K2894" i="7" s="1"/>
  <c r="L2894" i="7" s="1"/>
  <c r="G2894" i="7"/>
  <c r="H2894" i="7" s="1"/>
  <c r="B2894" i="7"/>
  <c r="M2893" i="7"/>
  <c r="J2893" i="7"/>
  <c r="K2893" i="7" s="1"/>
  <c r="L2893" i="7" s="1"/>
  <c r="G2893" i="7"/>
  <c r="H2893" i="7" s="1"/>
  <c r="B2893" i="7"/>
  <c r="M2892" i="7"/>
  <c r="J2892" i="7"/>
  <c r="K2892" i="7" s="1"/>
  <c r="L2892" i="7" s="1"/>
  <c r="G2892" i="7"/>
  <c r="H2892" i="7" s="1"/>
  <c r="B2892" i="7"/>
  <c r="M2891" i="7"/>
  <c r="J2891" i="7"/>
  <c r="K2891" i="7" s="1"/>
  <c r="L2891" i="7" s="1"/>
  <c r="G2891" i="7"/>
  <c r="H2891" i="7" s="1"/>
  <c r="B2891" i="7"/>
  <c r="M2890" i="7"/>
  <c r="J2890" i="7"/>
  <c r="K2890" i="7" s="1"/>
  <c r="L2890" i="7" s="1"/>
  <c r="G2890" i="7"/>
  <c r="H2890" i="7" s="1"/>
  <c r="B2890" i="7"/>
  <c r="M2889" i="7"/>
  <c r="J2889" i="7"/>
  <c r="K2889" i="7" s="1"/>
  <c r="L2889" i="7" s="1"/>
  <c r="G2889" i="7"/>
  <c r="H2889" i="7" s="1"/>
  <c r="B2889" i="7"/>
  <c r="M2888" i="7"/>
  <c r="J2888" i="7"/>
  <c r="K2888" i="7" s="1"/>
  <c r="L2888" i="7" s="1"/>
  <c r="G2888" i="7"/>
  <c r="H2888" i="7" s="1"/>
  <c r="B2888" i="7"/>
  <c r="M2887" i="7"/>
  <c r="J2887" i="7"/>
  <c r="K2887" i="7" s="1"/>
  <c r="L2887" i="7" s="1"/>
  <c r="G2887" i="7"/>
  <c r="H2887" i="7" s="1"/>
  <c r="B2887" i="7"/>
  <c r="M2886" i="7"/>
  <c r="J2886" i="7"/>
  <c r="K2886" i="7" s="1"/>
  <c r="L2886" i="7" s="1"/>
  <c r="G2886" i="7"/>
  <c r="H2886" i="7" s="1"/>
  <c r="B2886" i="7"/>
  <c r="M2885" i="7"/>
  <c r="J2885" i="7"/>
  <c r="K2885" i="7" s="1"/>
  <c r="L2885" i="7" s="1"/>
  <c r="G2885" i="7"/>
  <c r="H2885" i="7" s="1"/>
  <c r="B2885" i="7"/>
  <c r="M2884" i="7"/>
  <c r="J2884" i="7"/>
  <c r="K2884" i="7" s="1"/>
  <c r="L2884" i="7" s="1"/>
  <c r="G2884" i="7"/>
  <c r="H2884" i="7" s="1"/>
  <c r="B2884" i="7"/>
  <c r="M2883" i="7"/>
  <c r="J2883" i="7"/>
  <c r="K2883" i="7" s="1"/>
  <c r="L2883" i="7" s="1"/>
  <c r="G2883" i="7"/>
  <c r="H2883" i="7" s="1"/>
  <c r="B2883" i="7"/>
  <c r="M2882" i="7"/>
  <c r="J2882" i="7"/>
  <c r="K2882" i="7" s="1"/>
  <c r="L2882" i="7" s="1"/>
  <c r="G2882" i="7"/>
  <c r="H2882" i="7" s="1"/>
  <c r="B2882" i="7"/>
  <c r="M2881" i="7"/>
  <c r="J2881" i="7"/>
  <c r="K2881" i="7" s="1"/>
  <c r="L2881" i="7" s="1"/>
  <c r="G2881" i="7"/>
  <c r="H2881" i="7" s="1"/>
  <c r="B2881" i="7"/>
  <c r="M2880" i="7"/>
  <c r="J2880" i="7"/>
  <c r="K2880" i="7" s="1"/>
  <c r="L2880" i="7" s="1"/>
  <c r="G2880" i="7"/>
  <c r="H2880" i="7" s="1"/>
  <c r="B2880" i="7"/>
  <c r="M2879" i="7"/>
  <c r="J2879" i="7"/>
  <c r="K2879" i="7" s="1"/>
  <c r="L2879" i="7" s="1"/>
  <c r="G2879" i="7"/>
  <c r="H2879" i="7" s="1"/>
  <c r="B2879" i="7"/>
  <c r="M2878" i="7"/>
  <c r="J2878" i="7"/>
  <c r="K2878" i="7" s="1"/>
  <c r="L2878" i="7" s="1"/>
  <c r="G2878" i="7"/>
  <c r="H2878" i="7" s="1"/>
  <c r="B2878" i="7"/>
  <c r="M2877" i="7"/>
  <c r="J2877" i="7"/>
  <c r="K2877" i="7" s="1"/>
  <c r="L2877" i="7" s="1"/>
  <c r="G2877" i="7"/>
  <c r="H2877" i="7" s="1"/>
  <c r="B2877" i="7"/>
  <c r="M2876" i="7"/>
  <c r="J2876" i="7"/>
  <c r="K2876" i="7" s="1"/>
  <c r="L2876" i="7" s="1"/>
  <c r="G2876" i="7"/>
  <c r="H2876" i="7" s="1"/>
  <c r="B2876" i="7"/>
  <c r="M2875" i="7"/>
  <c r="J2875" i="7"/>
  <c r="K2875" i="7" s="1"/>
  <c r="L2875" i="7" s="1"/>
  <c r="G2875" i="7"/>
  <c r="H2875" i="7" s="1"/>
  <c r="B2875" i="7"/>
  <c r="M2874" i="7"/>
  <c r="J2874" i="7"/>
  <c r="K2874" i="7" s="1"/>
  <c r="L2874" i="7" s="1"/>
  <c r="G2874" i="7"/>
  <c r="H2874" i="7" s="1"/>
  <c r="B2874" i="7"/>
  <c r="M2873" i="7"/>
  <c r="J2873" i="7"/>
  <c r="K2873" i="7" s="1"/>
  <c r="L2873" i="7" s="1"/>
  <c r="G2873" i="7"/>
  <c r="H2873" i="7" s="1"/>
  <c r="B2873" i="7"/>
  <c r="M2872" i="7"/>
  <c r="J2872" i="7"/>
  <c r="K2872" i="7" s="1"/>
  <c r="L2872" i="7" s="1"/>
  <c r="G2872" i="7"/>
  <c r="H2872" i="7" s="1"/>
  <c r="B2872" i="7"/>
  <c r="M2871" i="7"/>
  <c r="J2871" i="7"/>
  <c r="K2871" i="7" s="1"/>
  <c r="L2871" i="7" s="1"/>
  <c r="G2871" i="7"/>
  <c r="H2871" i="7" s="1"/>
  <c r="B2871" i="7"/>
  <c r="M2870" i="7"/>
  <c r="J2870" i="7"/>
  <c r="K2870" i="7" s="1"/>
  <c r="L2870" i="7" s="1"/>
  <c r="G2870" i="7"/>
  <c r="H2870" i="7" s="1"/>
  <c r="B2870" i="7"/>
  <c r="M2869" i="7"/>
  <c r="J2869" i="7"/>
  <c r="K2869" i="7" s="1"/>
  <c r="L2869" i="7" s="1"/>
  <c r="G2869" i="7"/>
  <c r="H2869" i="7" s="1"/>
  <c r="B2869" i="7"/>
  <c r="M2868" i="7"/>
  <c r="J2868" i="7"/>
  <c r="K2868" i="7" s="1"/>
  <c r="L2868" i="7" s="1"/>
  <c r="G2868" i="7"/>
  <c r="H2868" i="7" s="1"/>
  <c r="B2868" i="7"/>
  <c r="M2867" i="7"/>
  <c r="J2867" i="7"/>
  <c r="K2867" i="7" s="1"/>
  <c r="L2867" i="7" s="1"/>
  <c r="G2867" i="7"/>
  <c r="H2867" i="7" s="1"/>
  <c r="B2867" i="7"/>
  <c r="M2866" i="7"/>
  <c r="J2866" i="7"/>
  <c r="K2866" i="7" s="1"/>
  <c r="L2866" i="7" s="1"/>
  <c r="G2866" i="7"/>
  <c r="H2866" i="7" s="1"/>
  <c r="B2866" i="7"/>
  <c r="M2865" i="7"/>
  <c r="J2865" i="7"/>
  <c r="K2865" i="7" s="1"/>
  <c r="L2865" i="7" s="1"/>
  <c r="G2865" i="7"/>
  <c r="H2865" i="7" s="1"/>
  <c r="B2865" i="7"/>
  <c r="M2864" i="7"/>
  <c r="J2864" i="7"/>
  <c r="K2864" i="7" s="1"/>
  <c r="L2864" i="7" s="1"/>
  <c r="G2864" i="7"/>
  <c r="H2864" i="7" s="1"/>
  <c r="B2864" i="7"/>
  <c r="M2863" i="7"/>
  <c r="J2863" i="7"/>
  <c r="K2863" i="7" s="1"/>
  <c r="L2863" i="7" s="1"/>
  <c r="G2863" i="7"/>
  <c r="H2863" i="7" s="1"/>
  <c r="B2863" i="7"/>
  <c r="M2862" i="7"/>
  <c r="J2862" i="7"/>
  <c r="K2862" i="7" s="1"/>
  <c r="L2862" i="7" s="1"/>
  <c r="G2862" i="7"/>
  <c r="H2862" i="7" s="1"/>
  <c r="B2862" i="7"/>
  <c r="M2861" i="7"/>
  <c r="J2861" i="7"/>
  <c r="K2861" i="7" s="1"/>
  <c r="L2861" i="7" s="1"/>
  <c r="G2861" i="7"/>
  <c r="H2861" i="7" s="1"/>
  <c r="B2861" i="7"/>
  <c r="M2860" i="7"/>
  <c r="J2860" i="7"/>
  <c r="K2860" i="7" s="1"/>
  <c r="L2860" i="7" s="1"/>
  <c r="G2860" i="7"/>
  <c r="H2860" i="7" s="1"/>
  <c r="B2860" i="7"/>
  <c r="M2859" i="7"/>
  <c r="J2859" i="7"/>
  <c r="K2859" i="7" s="1"/>
  <c r="L2859" i="7" s="1"/>
  <c r="G2859" i="7"/>
  <c r="H2859" i="7" s="1"/>
  <c r="B2859" i="7"/>
  <c r="M2858" i="7"/>
  <c r="J2858" i="7"/>
  <c r="K2858" i="7" s="1"/>
  <c r="L2858" i="7" s="1"/>
  <c r="G2858" i="7"/>
  <c r="H2858" i="7" s="1"/>
  <c r="B2858" i="7"/>
  <c r="M2857" i="7"/>
  <c r="J2857" i="7"/>
  <c r="K2857" i="7" s="1"/>
  <c r="L2857" i="7" s="1"/>
  <c r="G2857" i="7"/>
  <c r="H2857" i="7" s="1"/>
  <c r="B2857" i="7"/>
  <c r="M2856" i="7"/>
  <c r="J2856" i="7"/>
  <c r="K2856" i="7" s="1"/>
  <c r="L2856" i="7" s="1"/>
  <c r="G2856" i="7"/>
  <c r="H2856" i="7" s="1"/>
  <c r="B2856" i="7"/>
  <c r="M2855" i="7"/>
  <c r="J2855" i="7"/>
  <c r="K2855" i="7" s="1"/>
  <c r="L2855" i="7" s="1"/>
  <c r="G2855" i="7"/>
  <c r="H2855" i="7" s="1"/>
  <c r="B2855" i="7"/>
  <c r="M2854" i="7"/>
  <c r="J2854" i="7"/>
  <c r="K2854" i="7" s="1"/>
  <c r="L2854" i="7" s="1"/>
  <c r="G2854" i="7"/>
  <c r="H2854" i="7" s="1"/>
  <c r="B2854" i="7"/>
  <c r="M2853" i="7"/>
  <c r="J2853" i="7"/>
  <c r="K2853" i="7" s="1"/>
  <c r="L2853" i="7" s="1"/>
  <c r="G2853" i="7"/>
  <c r="H2853" i="7" s="1"/>
  <c r="B2853" i="7"/>
  <c r="M2852" i="7"/>
  <c r="J2852" i="7"/>
  <c r="K2852" i="7" s="1"/>
  <c r="L2852" i="7" s="1"/>
  <c r="G2852" i="7"/>
  <c r="H2852" i="7" s="1"/>
  <c r="B2852" i="7"/>
  <c r="M2851" i="7"/>
  <c r="J2851" i="7"/>
  <c r="K2851" i="7" s="1"/>
  <c r="L2851" i="7" s="1"/>
  <c r="G2851" i="7"/>
  <c r="H2851" i="7" s="1"/>
  <c r="B2851" i="7"/>
  <c r="M2850" i="7"/>
  <c r="J2850" i="7"/>
  <c r="K2850" i="7" s="1"/>
  <c r="L2850" i="7" s="1"/>
  <c r="G2850" i="7"/>
  <c r="H2850" i="7" s="1"/>
  <c r="B2850" i="7"/>
  <c r="M2849" i="7"/>
  <c r="J2849" i="7"/>
  <c r="K2849" i="7" s="1"/>
  <c r="L2849" i="7" s="1"/>
  <c r="G2849" i="7"/>
  <c r="H2849" i="7" s="1"/>
  <c r="B2849" i="7"/>
  <c r="M2848" i="7"/>
  <c r="J2848" i="7"/>
  <c r="K2848" i="7" s="1"/>
  <c r="L2848" i="7" s="1"/>
  <c r="G2848" i="7"/>
  <c r="H2848" i="7" s="1"/>
  <c r="B2848" i="7"/>
  <c r="M2847" i="7"/>
  <c r="J2847" i="7"/>
  <c r="K2847" i="7" s="1"/>
  <c r="L2847" i="7" s="1"/>
  <c r="G2847" i="7"/>
  <c r="H2847" i="7" s="1"/>
  <c r="B2847" i="7"/>
  <c r="M2846" i="7"/>
  <c r="J2846" i="7"/>
  <c r="K2846" i="7" s="1"/>
  <c r="L2846" i="7" s="1"/>
  <c r="G2846" i="7"/>
  <c r="H2846" i="7" s="1"/>
  <c r="B2846" i="7"/>
  <c r="M2845" i="7"/>
  <c r="J2845" i="7"/>
  <c r="K2845" i="7" s="1"/>
  <c r="L2845" i="7" s="1"/>
  <c r="G2845" i="7"/>
  <c r="H2845" i="7" s="1"/>
  <c r="B2845" i="7"/>
  <c r="M2844" i="7"/>
  <c r="J2844" i="7"/>
  <c r="K2844" i="7" s="1"/>
  <c r="L2844" i="7" s="1"/>
  <c r="G2844" i="7"/>
  <c r="H2844" i="7" s="1"/>
  <c r="B2844" i="7"/>
  <c r="M2843" i="7"/>
  <c r="J2843" i="7"/>
  <c r="K2843" i="7" s="1"/>
  <c r="L2843" i="7" s="1"/>
  <c r="G2843" i="7"/>
  <c r="H2843" i="7" s="1"/>
  <c r="B2843" i="7"/>
  <c r="M2842" i="7"/>
  <c r="J2842" i="7"/>
  <c r="K2842" i="7" s="1"/>
  <c r="L2842" i="7" s="1"/>
  <c r="G2842" i="7"/>
  <c r="H2842" i="7" s="1"/>
  <c r="B2842" i="7"/>
  <c r="M2841" i="7"/>
  <c r="J2841" i="7"/>
  <c r="K2841" i="7" s="1"/>
  <c r="L2841" i="7" s="1"/>
  <c r="G2841" i="7"/>
  <c r="H2841" i="7" s="1"/>
  <c r="B2841" i="7"/>
  <c r="M2840" i="7"/>
  <c r="J2840" i="7"/>
  <c r="K2840" i="7" s="1"/>
  <c r="L2840" i="7" s="1"/>
  <c r="G2840" i="7"/>
  <c r="H2840" i="7" s="1"/>
  <c r="B2840" i="7"/>
  <c r="M2839" i="7"/>
  <c r="J2839" i="7"/>
  <c r="K2839" i="7" s="1"/>
  <c r="L2839" i="7" s="1"/>
  <c r="G2839" i="7"/>
  <c r="H2839" i="7" s="1"/>
  <c r="B2839" i="7"/>
  <c r="M2838" i="7"/>
  <c r="J2838" i="7"/>
  <c r="K2838" i="7" s="1"/>
  <c r="L2838" i="7" s="1"/>
  <c r="G2838" i="7"/>
  <c r="H2838" i="7" s="1"/>
  <c r="B2838" i="7"/>
  <c r="M2837" i="7"/>
  <c r="J2837" i="7"/>
  <c r="K2837" i="7" s="1"/>
  <c r="L2837" i="7" s="1"/>
  <c r="G2837" i="7"/>
  <c r="H2837" i="7" s="1"/>
  <c r="B2837" i="7"/>
  <c r="M2836" i="7"/>
  <c r="J2836" i="7"/>
  <c r="K2836" i="7" s="1"/>
  <c r="L2836" i="7" s="1"/>
  <c r="G2836" i="7"/>
  <c r="H2836" i="7" s="1"/>
  <c r="B2836" i="7"/>
  <c r="M2835" i="7"/>
  <c r="J2835" i="7"/>
  <c r="K2835" i="7" s="1"/>
  <c r="L2835" i="7" s="1"/>
  <c r="G2835" i="7"/>
  <c r="H2835" i="7" s="1"/>
  <c r="B2835" i="7"/>
  <c r="M2834" i="7"/>
  <c r="J2834" i="7"/>
  <c r="K2834" i="7" s="1"/>
  <c r="L2834" i="7" s="1"/>
  <c r="G2834" i="7"/>
  <c r="H2834" i="7" s="1"/>
  <c r="B2834" i="7"/>
  <c r="M2833" i="7"/>
  <c r="J2833" i="7"/>
  <c r="K2833" i="7" s="1"/>
  <c r="L2833" i="7" s="1"/>
  <c r="G2833" i="7"/>
  <c r="H2833" i="7" s="1"/>
  <c r="B2833" i="7"/>
  <c r="M2832" i="7"/>
  <c r="J2832" i="7"/>
  <c r="K2832" i="7" s="1"/>
  <c r="L2832" i="7" s="1"/>
  <c r="G2832" i="7"/>
  <c r="H2832" i="7" s="1"/>
  <c r="B2832" i="7"/>
  <c r="M2831" i="7"/>
  <c r="J2831" i="7"/>
  <c r="K2831" i="7" s="1"/>
  <c r="L2831" i="7" s="1"/>
  <c r="G2831" i="7"/>
  <c r="H2831" i="7" s="1"/>
  <c r="B2831" i="7"/>
  <c r="M2830" i="7"/>
  <c r="J2830" i="7"/>
  <c r="K2830" i="7" s="1"/>
  <c r="L2830" i="7" s="1"/>
  <c r="G2830" i="7"/>
  <c r="H2830" i="7" s="1"/>
  <c r="B2830" i="7"/>
  <c r="M2829" i="7"/>
  <c r="J2829" i="7"/>
  <c r="K2829" i="7" s="1"/>
  <c r="L2829" i="7" s="1"/>
  <c r="G2829" i="7"/>
  <c r="H2829" i="7" s="1"/>
  <c r="B2829" i="7"/>
  <c r="M2828" i="7"/>
  <c r="J2828" i="7"/>
  <c r="K2828" i="7" s="1"/>
  <c r="L2828" i="7" s="1"/>
  <c r="G2828" i="7"/>
  <c r="H2828" i="7" s="1"/>
  <c r="B2828" i="7"/>
  <c r="M2827" i="7"/>
  <c r="J2827" i="7"/>
  <c r="K2827" i="7" s="1"/>
  <c r="L2827" i="7" s="1"/>
  <c r="G2827" i="7"/>
  <c r="H2827" i="7" s="1"/>
  <c r="B2827" i="7"/>
  <c r="M2826" i="7"/>
  <c r="J2826" i="7"/>
  <c r="K2826" i="7" s="1"/>
  <c r="L2826" i="7" s="1"/>
  <c r="G2826" i="7"/>
  <c r="H2826" i="7" s="1"/>
  <c r="B2826" i="7"/>
  <c r="M2825" i="7"/>
  <c r="J2825" i="7"/>
  <c r="K2825" i="7" s="1"/>
  <c r="L2825" i="7" s="1"/>
  <c r="G2825" i="7"/>
  <c r="H2825" i="7" s="1"/>
  <c r="B2825" i="7"/>
  <c r="M2824" i="7"/>
  <c r="J2824" i="7"/>
  <c r="K2824" i="7" s="1"/>
  <c r="L2824" i="7" s="1"/>
  <c r="G2824" i="7"/>
  <c r="H2824" i="7" s="1"/>
  <c r="B2824" i="7"/>
  <c r="M2823" i="7"/>
  <c r="J2823" i="7"/>
  <c r="K2823" i="7" s="1"/>
  <c r="L2823" i="7" s="1"/>
  <c r="G2823" i="7"/>
  <c r="H2823" i="7" s="1"/>
  <c r="B2823" i="7"/>
  <c r="M2822" i="7"/>
  <c r="J2822" i="7"/>
  <c r="K2822" i="7" s="1"/>
  <c r="L2822" i="7" s="1"/>
  <c r="G2822" i="7"/>
  <c r="H2822" i="7" s="1"/>
  <c r="B2822" i="7"/>
  <c r="M2821" i="7"/>
  <c r="J2821" i="7"/>
  <c r="K2821" i="7" s="1"/>
  <c r="L2821" i="7" s="1"/>
  <c r="G2821" i="7"/>
  <c r="H2821" i="7" s="1"/>
  <c r="B2821" i="7"/>
  <c r="M2820" i="7"/>
  <c r="J2820" i="7"/>
  <c r="K2820" i="7" s="1"/>
  <c r="L2820" i="7" s="1"/>
  <c r="G2820" i="7"/>
  <c r="H2820" i="7" s="1"/>
  <c r="B2820" i="7"/>
  <c r="M2819" i="7"/>
  <c r="J2819" i="7"/>
  <c r="K2819" i="7" s="1"/>
  <c r="L2819" i="7" s="1"/>
  <c r="G2819" i="7"/>
  <c r="H2819" i="7" s="1"/>
  <c r="B2819" i="7"/>
  <c r="M2818" i="7"/>
  <c r="J2818" i="7"/>
  <c r="K2818" i="7" s="1"/>
  <c r="L2818" i="7" s="1"/>
  <c r="G2818" i="7"/>
  <c r="H2818" i="7" s="1"/>
  <c r="B2818" i="7"/>
  <c r="M2817" i="7"/>
  <c r="J2817" i="7"/>
  <c r="K2817" i="7" s="1"/>
  <c r="L2817" i="7" s="1"/>
  <c r="G2817" i="7"/>
  <c r="H2817" i="7" s="1"/>
  <c r="B2817" i="7"/>
  <c r="M2816" i="7"/>
  <c r="J2816" i="7"/>
  <c r="K2816" i="7" s="1"/>
  <c r="L2816" i="7" s="1"/>
  <c r="G2816" i="7"/>
  <c r="H2816" i="7" s="1"/>
  <c r="B2816" i="7"/>
  <c r="M2815" i="7"/>
  <c r="J2815" i="7"/>
  <c r="K2815" i="7" s="1"/>
  <c r="L2815" i="7" s="1"/>
  <c r="G2815" i="7"/>
  <c r="H2815" i="7" s="1"/>
  <c r="B2815" i="7"/>
  <c r="M2814" i="7"/>
  <c r="J2814" i="7"/>
  <c r="K2814" i="7" s="1"/>
  <c r="L2814" i="7" s="1"/>
  <c r="G2814" i="7"/>
  <c r="H2814" i="7" s="1"/>
  <c r="B2814" i="7"/>
  <c r="M2813" i="7"/>
  <c r="J2813" i="7"/>
  <c r="K2813" i="7" s="1"/>
  <c r="L2813" i="7" s="1"/>
  <c r="G2813" i="7"/>
  <c r="H2813" i="7" s="1"/>
  <c r="B2813" i="7"/>
  <c r="M2812" i="7"/>
  <c r="J2812" i="7"/>
  <c r="K2812" i="7" s="1"/>
  <c r="L2812" i="7" s="1"/>
  <c r="G2812" i="7"/>
  <c r="H2812" i="7" s="1"/>
  <c r="B2812" i="7"/>
  <c r="M2811" i="7"/>
  <c r="J2811" i="7"/>
  <c r="K2811" i="7" s="1"/>
  <c r="L2811" i="7" s="1"/>
  <c r="G2811" i="7"/>
  <c r="H2811" i="7" s="1"/>
  <c r="B2811" i="7"/>
  <c r="M2810" i="7"/>
  <c r="J2810" i="7"/>
  <c r="K2810" i="7" s="1"/>
  <c r="L2810" i="7" s="1"/>
  <c r="G2810" i="7"/>
  <c r="H2810" i="7" s="1"/>
  <c r="B2810" i="7"/>
  <c r="M2809" i="7"/>
  <c r="J2809" i="7"/>
  <c r="K2809" i="7" s="1"/>
  <c r="L2809" i="7" s="1"/>
  <c r="G2809" i="7"/>
  <c r="H2809" i="7" s="1"/>
  <c r="B2809" i="7"/>
  <c r="M2808" i="7"/>
  <c r="J2808" i="7"/>
  <c r="K2808" i="7" s="1"/>
  <c r="L2808" i="7" s="1"/>
  <c r="G2808" i="7"/>
  <c r="H2808" i="7" s="1"/>
  <c r="B2808" i="7"/>
  <c r="M2807" i="7"/>
  <c r="J2807" i="7"/>
  <c r="K2807" i="7" s="1"/>
  <c r="L2807" i="7" s="1"/>
  <c r="G2807" i="7"/>
  <c r="H2807" i="7" s="1"/>
  <c r="B2807" i="7"/>
  <c r="M2806" i="7"/>
  <c r="J2806" i="7"/>
  <c r="K2806" i="7" s="1"/>
  <c r="L2806" i="7" s="1"/>
  <c r="G2806" i="7"/>
  <c r="H2806" i="7" s="1"/>
  <c r="B2806" i="7"/>
  <c r="M2805" i="7"/>
  <c r="J2805" i="7"/>
  <c r="K2805" i="7" s="1"/>
  <c r="L2805" i="7" s="1"/>
  <c r="G2805" i="7"/>
  <c r="H2805" i="7" s="1"/>
  <c r="B2805" i="7"/>
  <c r="M2804" i="7"/>
  <c r="J2804" i="7"/>
  <c r="K2804" i="7" s="1"/>
  <c r="L2804" i="7" s="1"/>
  <c r="G2804" i="7"/>
  <c r="H2804" i="7" s="1"/>
  <c r="B2804" i="7"/>
  <c r="M2803" i="7"/>
  <c r="J2803" i="7"/>
  <c r="K2803" i="7" s="1"/>
  <c r="L2803" i="7" s="1"/>
  <c r="G2803" i="7"/>
  <c r="H2803" i="7" s="1"/>
  <c r="B2803" i="7"/>
  <c r="M2802" i="7"/>
  <c r="J2802" i="7"/>
  <c r="K2802" i="7" s="1"/>
  <c r="L2802" i="7" s="1"/>
  <c r="G2802" i="7"/>
  <c r="H2802" i="7" s="1"/>
  <c r="B2802" i="7"/>
  <c r="M2801" i="7"/>
  <c r="J2801" i="7"/>
  <c r="K2801" i="7" s="1"/>
  <c r="L2801" i="7" s="1"/>
  <c r="G2801" i="7"/>
  <c r="H2801" i="7" s="1"/>
  <c r="B2801" i="7"/>
  <c r="M2800" i="7"/>
  <c r="J2800" i="7"/>
  <c r="K2800" i="7" s="1"/>
  <c r="L2800" i="7" s="1"/>
  <c r="G2800" i="7"/>
  <c r="H2800" i="7" s="1"/>
  <c r="B2800" i="7"/>
  <c r="M2799" i="7"/>
  <c r="J2799" i="7"/>
  <c r="K2799" i="7" s="1"/>
  <c r="L2799" i="7" s="1"/>
  <c r="G2799" i="7"/>
  <c r="H2799" i="7" s="1"/>
  <c r="B2799" i="7"/>
  <c r="M2798" i="7"/>
  <c r="J2798" i="7"/>
  <c r="K2798" i="7" s="1"/>
  <c r="L2798" i="7" s="1"/>
  <c r="G2798" i="7"/>
  <c r="H2798" i="7" s="1"/>
  <c r="B2798" i="7"/>
  <c r="M2797" i="7"/>
  <c r="J2797" i="7"/>
  <c r="K2797" i="7" s="1"/>
  <c r="L2797" i="7" s="1"/>
  <c r="G2797" i="7"/>
  <c r="H2797" i="7" s="1"/>
  <c r="B2797" i="7"/>
  <c r="M2796" i="7"/>
  <c r="J2796" i="7"/>
  <c r="K2796" i="7" s="1"/>
  <c r="L2796" i="7" s="1"/>
  <c r="G2796" i="7"/>
  <c r="H2796" i="7" s="1"/>
  <c r="B2796" i="7"/>
  <c r="M2795" i="7"/>
  <c r="J2795" i="7"/>
  <c r="K2795" i="7" s="1"/>
  <c r="L2795" i="7" s="1"/>
  <c r="G2795" i="7"/>
  <c r="H2795" i="7" s="1"/>
  <c r="B2795" i="7"/>
  <c r="M2794" i="7"/>
  <c r="J2794" i="7"/>
  <c r="K2794" i="7" s="1"/>
  <c r="L2794" i="7" s="1"/>
  <c r="G2794" i="7"/>
  <c r="H2794" i="7" s="1"/>
  <c r="B2794" i="7"/>
  <c r="M2793" i="7"/>
  <c r="J2793" i="7"/>
  <c r="K2793" i="7" s="1"/>
  <c r="L2793" i="7" s="1"/>
  <c r="G2793" i="7"/>
  <c r="H2793" i="7" s="1"/>
  <c r="B2793" i="7"/>
  <c r="M2792" i="7"/>
  <c r="J2792" i="7"/>
  <c r="K2792" i="7" s="1"/>
  <c r="L2792" i="7" s="1"/>
  <c r="G2792" i="7"/>
  <c r="H2792" i="7" s="1"/>
  <c r="B2792" i="7"/>
  <c r="M2791" i="7"/>
  <c r="J2791" i="7"/>
  <c r="K2791" i="7" s="1"/>
  <c r="L2791" i="7" s="1"/>
  <c r="G2791" i="7"/>
  <c r="H2791" i="7" s="1"/>
  <c r="B2791" i="7"/>
  <c r="M2790" i="7"/>
  <c r="J2790" i="7"/>
  <c r="K2790" i="7" s="1"/>
  <c r="L2790" i="7" s="1"/>
  <c r="G2790" i="7"/>
  <c r="H2790" i="7" s="1"/>
  <c r="B2790" i="7"/>
  <c r="M2789" i="7"/>
  <c r="J2789" i="7"/>
  <c r="K2789" i="7" s="1"/>
  <c r="L2789" i="7" s="1"/>
  <c r="G2789" i="7"/>
  <c r="H2789" i="7" s="1"/>
  <c r="B2789" i="7"/>
  <c r="M2788" i="7"/>
  <c r="J2788" i="7"/>
  <c r="K2788" i="7" s="1"/>
  <c r="L2788" i="7" s="1"/>
  <c r="G2788" i="7"/>
  <c r="H2788" i="7" s="1"/>
  <c r="B2788" i="7"/>
  <c r="M2787" i="7"/>
  <c r="J2787" i="7"/>
  <c r="K2787" i="7" s="1"/>
  <c r="L2787" i="7" s="1"/>
  <c r="G2787" i="7"/>
  <c r="H2787" i="7" s="1"/>
  <c r="B2787" i="7"/>
  <c r="M2786" i="7"/>
  <c r="J2786" i="7"/>
  <c r="K2786" i="7" s="1"/>
  <c r="L2786" i="7" s="1"/>
  <c r="G2786" i="7"/>
  <c r="H2786" i="7" s="1"/>
  <c r="B2786" i="7"/>
  <c r="M2785" i="7"/>
  <c r="J2785" i="7"/>
  <c r="K2785" i="7" s="1"/>
  <c r="L2785" i="7" s="1"/>
  <c r="G2785" i="7"/>
  <c r="H2785" i="7" s="1"/>
  <c r="B2785" i="7"/>
  <c r="M2784" i="7"/>
  <c r="J2784" i="7"/>
  <c r="K2784" i="7" s="1"/>
  <c r="L2784" i="7" s="1"/>
  <c r="G2784" i="7"/>
  <c r="H2784" i="7" s="1"/>
  <c r="B2784" i="7"/>
  <c r="M2783" i="7"/>
  <c r="J2783" i="7"/>
  <c r="K2783" i="7" s="1"/>
  <c r="L2783" i="7" s="1"/>
  <c r="G2783" i="7"/>
  <c r="H2783" i="7" s="1"/>
  <c r="B2783" i="7"/>
  <c r="M2782" i="7"/>
  <c r="J2782" i="7"/>
  <c r="K2782" i="7" s="1"/>
  <c r="L2782" i="7" s="1"/>
  <c r="G2782" i="7"/>
  <c r="H2782" i="7" s="1"/>
  <c r="B2782" i="7"/>
  <c r="M2781" i="7"/>
  <c r="J2781" i="7"/>
  <c r="K2781" i="7" s="1"/>
  <c r="L2781" i="7" s="1"/>
  <c r="G2781" i="7"/>
  <c r="H2781" i="7" s="1"/>
  <c r="B2781" i="7"/>
  <c r="M2780" i="7"/>
  <c r="J2780" i="7"/>
  <c r="K2780" i="7" s="1"/>
  <c r="L2780" i="7" s="1"/>
  <c r="G2780" i="7"/>
  <c r="H2780" i="7" s="1"/>
  <c r="B2780" i="7"/>
  <c r="M2779" i="7"/>
  <c r="J2779" i="7"/>
  <c r="K2779" i="7" s="1"/>
  <c r="L2779" i="7" s="1"/>
  <c r="G2779" i="7"/>
  <c r="H2779" i="7" s="1"/>
  <c r="B2779" i="7"/>
  <c r="M2778" i="7"/>
  <c r="J2778" i="7"/>
  <c r="K2778" i="7" s="1"/>
  <c r="L2778" i="7" s="1"/>
  <c r="G2778" i="7"/>
  <c r="H2778" i="7" s="1"/>
  <c r="B2778" i="7"/>
  <c r="M2777" i="7"/>
  <c r="J2777" i="7"/>
  <c r="K2777" i="7" s="1"/>
  <c r="L2777" i="7" s="1"/>
  <c r="G2777" i="7"/>
  <c r="H2777" i="7" s="1"/>
  <c r="B2777" i="7"/>
  <c r="M2776" i="7"/>
  <c r="J2776" i="7"/>
  <c r="K2776" i="7" s="1"/>
  <c r="L2776" i="7" s="1"/>
  <c r="G2776" i="7"/>
  <c r="H2776" i="7" s="1"/>
  <c r="B2776" i="7"/>
  <c r="M2775" i="7"/>
  <c r="J2775" i="7"/>
  <c r="K2775" i="7" s="1"/>
  <c r="L2775" i="7" s="1"/>
  <c r="G2775" i="7"/>
  <c r="H2775" i="7" s="1"/>
  <c r="B2775" i="7"/>
  <c r="M2774" i="7"/>
  <c r="J2774" i="7"/>
  <c r="K2774" i="7" s="1"/>
  <c r="L2774" i="7" s="1"/>
  <c r="G2774" i="7"/>
  <c r="H2774" i="7" s="1"/>
  <c r="B2774" i="7"/>
  <c r="M2773" i="7"/>
  <c r="J2773" i="7"/>
  <c r="K2773" i="7" s="1"/>
  <c r="L2773" i="7" s="1"/>
  <c r="G2773" i="7"/>
  <c r="H2773" i="7" s="1"/>
  <c r="B2773" i="7"/>
  <c r="M2772" i="7"/>
  <c r="J2772" i="7"/>
  <c r="K2772" i="7" s="1"/>
  <c r="L2772" i="7" s="1"/>
  <c r="G2772" i="7"/>
  <c r="H2772" i="7" s="1"/>
  <c r="B2772" i="7"/>
  <c r="M2771" i="7"/>
  <c r="J2771" i="7"/>
  <c r="K2771" i="7" s="1"/>
  <c r="L2771" i="7" s="1"/>
  <c r="G2771" i="7"/>
  <c r="H2771" i="7" s="1"/>
  <c r="B2771" i="7"/>
  <c r="M2770" i="7"/>
  <c r="J2770" i="7"/>
  <c r="K2770" i="7" s="1"/>
  <c r="L2770" i="7" s="1"/>
  <c r="G2770" i="7"/>
  <c r="H2770" i="7" s="1"/>
  <c r="B2770" i="7"/>
  <c r="M2769" i="7"/>
  <c r="J2769" i="7"/>
  <c r="K2769" i="7" s="1"/>
  <c r="L2769" i="7" s="1"/>
  <c r="G2769" i="7"/>
  <c r="H2769" i="7" s="1"/>
  <c r="B2769" i="7"/>
  <c r="M2768" i="7"/>
  <c r="J2768" i="7"/>
  <c r="K2768" i="7" s="1"/>
  <c r="L2768" i="7" s="1"/>
  <c r="G2768" i="7"/>
  <c r="H2768" i="7" s="1"/>
  <c r="B2768" i="7"/>
  <c r="M2767" i="7"/>
  <c r="J2767" i="7"/>
  <c r="K2767" i="7" s="1"/>
  <c r="L2767" i="7" s="1"/>
  <c r="G2767" i="7"/>
  <c r="H2767" i="7" s="1"/>
  <c r="B2767" i="7"/>
  <c r="M2766" i="7"/>
  <c r="J2766" i="7"/>
  <c r="K2766" i="7" s="1"/>
  <c r="L2766" i="7" s="1"/>
  <c r="G2766" i="7"/>
  <c r="H2766" i="7" s="1"/>
  <c r="B2766" i="7"/>
  <c r="M2765" i="7"/>
  <c r="J2765" i="7"/>
  <c r="K2765" i="7" s="1"/>
  <c r="L2765" i="7" s="1"/>
  <c r="G2765" i="7"/>
  <c r="H2765" i="7" s="1"/>
  <c r="B2765" i="7"/>
  <c r="M2764" i="7"/>
  <c r="J2764" i="7"/>
  <c r="K2764" i="7" s="1"/>
  <c r="L2764" i="7" s="1"/>
  <c r="G2764" i="7"/>
  <c r="H2764" i="7" s="1"/>
  <c r="B2764" i="7"/>
  <c r="M2763" i="7"/>
  <c r="J2763" i="7"/>
  <c r="K2763" i="7" s="1"/>
  <c r="L2763" i="7" s="1"/>
  <c r="G2763" i="7"/>
  <c r="H2763" i="7" s="1"/>
  <c r="B2763" i="7"/>
  <c r="M2762" i="7"/>
  <c r="J2762" i="7"/>
  <c r="K2762" i="7" s="1"/>
  <c r="L2762" i="7" s="1"/>
  <c r="G2762" i="7"/>
  <c r="H2762" i="7" s="1"/>
  <c r="B2762" i="7"/>
  <c r="M2761" i="7"/>
  <c r="J2761" i="7"/>
  <c r="K2761" i="7" s="1"/>
  <c r="L2761" i="7" s="1"/>
  <c r="G2761" i="7"/>
  <c r="H2761" i="7" s="1"/>
  <c r="B2761" i="7"/>
  <c r="M2760" i="7"/>
  <c r="J2760" i="7"/>
  <c r="K2760" i="7" s="1"/>
  <c r="L2760" i="7" s="1"/>
  <c r="G2760" i="7"/>
  <c r="H2760" i="7" s="1"/>
  <c r="B2760" i="7"/>
  <c r="M2759" i="7"/>
  <c r="J2759" i="7"/>
  <c r="K2759" i="7" s="1"/>
  <c r="L2759" i="7" s="1"/>
  <c r="G2759" i="7"/>
  <c r="H2759" i="7" s="1"/>
  <c r="B2759" i="7"/>
  <c r="M2758" i="7"/>
  <c r="J2758" i="7"/>
  <c r="K2758" i="7" s="1"/>
  <c r="L2758" i="7" s="1"/>
  <c r="G2758" i="7"/>
  <c r="H2758" i="7" s="1"/>
  <c r="B2758" i="7"/>
  <c r="M2757" i="7"/>
  <c r="J2757" i="7"/>
  <c r="K2757" i="7" s="1"/>
  <c r="L2757" i="7" s="1"/>
  <c r="G2757" i="7"/>
  <c r="H2757" i="7" s="1"/>
  <c r="B2757" i="7"/>
  <c r="M2756" i="7"/>
  <c r="J2756" i="7"/>
  <c r="K2756" i="7" s="1"/>
  <c r="L2756" i="7" s="1"/>
  <c r="G2756" i="7"/>
  <c r="H2756" i="7" s="1"/>
  <c r="B2756" i="7"/>
  <c r="M2755" i="7"/>
  <c r="J2755" i="7"/>
  <c r="K2755" i="7" s="1"/>
  <c r="L2755" i="7" s="1"/>
  <c r="G2755" i="7"/>
  <c r="H2755" i="7" s="1"/>
  <c r="B2755" i="7"/>
  <c r="M2754" i="7"/>
  <c r="J2754" i="7"/>
  <c r="K2754" i="7" s="1"/>
  <c r="L2754" i="7" s="1"/>
  <c r="G2754" i="7"/>
  <c r="H2754" i="7" s="1"/>
  <c r="B2754" i="7"/>
  <c r="M2753" i="7"/>
  <c r="J2753" i="7"/>
  <c r="K2753" i="7" s="1"/>
  <c r="L2753" i="7" s="1"/>
  <c r="G2753" i="7"/>
  <c r="H2753" i="7" s="1"/>
  <c r="B2753" i="7"/>
  <c r="M2752" i="7"/>
  <c r="J2752" i="7"/>
  <c r="K2752" i="7" s="1"/>
  <c r="L2752" i="7" s="1"/>
  <c r="G2752" i="7"/>
  <c r="H2752" i="7" s="1"/>
  <c r="B2752" i="7"/>
  <c r="M2751" i="7"/>
  <c r="J2751" i="7"/>
  <c r="K2751" i="7" s="1"/>
  <c r="L2751" i="7" s="1"/>
  <c r="G2751" i="7"/>
  <c r="H2751" i="7" s="1"/>
  <c r="B2751" i="7"/>
  <c r="M2750" i="7"/>
  <c r="J2750" i="7"/>
  <c r="K2750" i="7" s="1"/>
  <c r="L2750" i="7" s="1"/>
  <c r="G2750" i="7"/>
  <c r="H2750" i="7" s="1"/>
  <c r="B2750" i="7"/>
  <c r="M2749" i="7"/>
  <c r="J2749" i="7"/>
  <c r="K2749" i="7" s="1"/>
  <c r="L2749" i="7" s="1"/>
  <c r="G2749" i="7"/>
  <c r="H2749" i="7" s="1"/>
  <c r="B2749" i="7"/>
  <c r="M2748" i="7"/>
  <c r="J2748" i="7"/>
  <c r="K2748" i="7" s="1"/>
  <c r="L2748" i="7" s="1"/>
  <c r="G2748" i="7"/>
  <c r="H2748" i="7" s="1"/>
  <c r="B2748" i="7"/>
  <c r="M2747" i="7"/>
  <c r="J2747" i="7"/>
  <c r="K2747" i="7" s="1"/>
  <c r="L2747" i="7" s="1"/>
  <c r="G2747" i="7"/>
  <c r="H2747" i="7" s="1"/>
  <c r="B2747" i="7"/>
  <c r="M2746" i="7"/>
  <c r="J2746" i="7"/>
  <c r="K2746" i="7" s="1"/>
  <c r="L2746" i="7" s="1"/>
  <c r="G2746" i="7"/>
  <c r="H2746" i="7" s="1"/>
  <c r="B2746" i="7"/>
  <c r="M2745" i="7"/>
  <c r="J2745" i="7"/>
  <c r="K2745" i="7" s="1"/>
  <c r="L2745" i="7" s="1"/>
  <c r="G2745" i="7"/>
  <c r="H2745" i="7" s="1"/>
  <c r="B2745" i="7"/>
  <c r="M2744" i="7"/>
  <c r="J2744" i="7"/>
  <c r="K2744" i="7" s="1"/>
  <c r="L2744" i="7" s="1"/>
  <c r="G2744" i="7"/>
  <c r="H2744" i="7" s="1"/>
  <c r="B2744" i="7"/>
  <c r="M2743" i="7"/>
  <c r="J2743" i="7"/>
  <c r="K2743" i="7" s="1"/>
  <c r="L2743" i="7" s="1"/>
  <c r="G2743" i="7"/>
  <c r="H2743" i="7" s="1"/>
  <c r="B2743" i="7"/>
  <c r="M2742" i="7"/>
  <c r="J2742" i="7"/>
  <c r="K2742" i="7" s="1"/>
  <c r="L2742" i="7" s="1"/>
  <c r="G2742" i="7"/>
  <c r="H2742" i="7" s="1"/>
  <c r="B2742" i="7"/>
  <c r="M2741" i="7"/>
  <c r="J2741" i="7"/>
  <c r="K2741" i="7" s="1"/>
  <c r="L2741" i="7" s="1"/>
  <c r="G2741" i="7"/>
  <c r="H2741" i="7" s="1"/>
  <c r="B2741" i="7"/>
  <c r="M2740" i="7"/>
  <c r="J2740" i="7"/>
  <c r="K2740" i="7" s="1"/>
  <c r="L2740" i="7" s="1"/>
  <c r="G2740" i="7"/>
  <c r="H2740" i="7" s="1"/>
  <c r="B2740" i="7"/>
  <c r="M2739" i="7"/>
  <c r="J2739" i="7"/>
  <c r="K2739" i="7" s="1"/>
  <c r="L2739" i="7" s="1"/>
  <c r="G2739" i="7"/>
  <c r="H2739" i="7" s="1"/>
  <c r="B2739" i="7"/>
  <c r="M2738" i="7"/>
  <c r="J2738" i="7"/>
  <c r="K2738" i="7" s="1"/>
  <c r="L2738" i="7" s="1"/>
  <c r="G2738" i="7"/>
  <c r="H2738" i="7" s="1"/>
  <c r="B2738" i="7"/>
  <c r="M2737" i="7"/>
  <c r="J2737" i="7"/>
  <c r="K2737" i="7" s="1"/>
  <c r="L2737" i="7" s="1"/>
  <c r="G2737" i="7"/>
  <c r="H2737" i="7" s="1"/>
  <c r="B2737" i="7"/>
  <c r="M2736" i="7"/>
  <c r="J2736" i="7"/>
  <c r="K2736" i="7" s="1"/>
  <c r="L2736" i="7" s="1"/>
  <c r="G2736" i="7"/>
  <c r="H2736" i="7" s="1"/>
  <c r="B2736" i="7"/>
  <c r="M2735" i="7"/>
  <c r="J2735" i="7"/>
  <c r="K2735" i="7" s="1"/>
  <c r="L2735" i="7" s="1"/>
  <c r="G2735" i="7"/>
  <c r="H2735" i="7" s="1"/>
  <c r="B2735" i="7"/>
  <c r="M2734" i="7"/>
  <c r="J2734" i="7"/>
  <c r="K2734" i="7" s="1"/>
  <c r="L2734" i="7" s="1"/>
  <c r="G2734" i="7"/>
  <c r="H2734" i="7" s="1"/>
  <c r="B2734" i="7"/>
  <c r="M2733" i="7"/>
  <c r="J2733" i="7"/>
  <c r="K2733" i="7" s="1"/>
  <c r="L2733" i="7" s="1"/>
  <c r="G2733" i="7"/>
  <c r="H2733" i="7" s="1"/>
  <c r="B2733" i="7"/>
  <c r="M2732" i="7"/>
  <c r="J2732" i="7"/>
  <c r="K2732" i="7" s="1"/>
  <c r="L2732" i="7" s="1"/>
  <c r="G2732" i="7"/>
  <c r="H2732" i="7" s="1"/>
  <c r="B2732" i="7"/>
  <c r="M2731" i="7"/>
  <c r="J2731" i="7"/>
  <c r="K2731" i="7" s="1"/>
  <c r="L2731" i="7" s="1"/>
  <c r="G2731" i="7"/>
  <c r="H2731" i="7" s="1"/>
  <c r="B2731" i="7"/>
  <c r="M2730" i="7"/>
  <c r="J2730" i="7"/>
  <c r="K2730" i="7" s="1"/>
  <c r="L2730" i="7" s="1"/>
  <c r="G2730" i="7"/>
  <c r="H2730" i="7" s="1"/>
  <c r="B2730" i="7"/>
  <c r="M2729" i="7"/>
  <c r="J2729" i="7"/>
  <c r="K2729" i="7" s="1"/>
  <c r="L2729" i="7" s="1"/>
  <c r="G2729" i="7"/>
  <c r="H2729" i="7" s="1"/>
  <c r="B2729" i="7"/>
  <c r="M2728" i="7"/>
  <c r="J2728" i="7"/>
  <c r="K2728" i="7" s="1"/>
  <c r="L2728" i="7" s="1"/>
  <c r="G2728" i="7"/>
  <c r="H2728" i="7" s="1"/>
  <c r="B2728" i="7"/>
  <c r="M2727" i="7"/>
  <c r="J2727" i="7"/>
  <c r="K2727" i="7" s="1"/>
  <c r="L2727" i="7" s="1"/>
  <c r="G2727" i="7"/>
  <c r="H2727" i="7" s="1"/>
  <c r="B2727" i="7"/>
  <c r="M2726" i="7"/>
  <c r="J2726" i="7"/>
  <c r="K2726" i="7" s="1"/>
  <c r="L2726" i="7" s="1"/>
  <c r="G2726" i="7"/>
  <c r="H2726" i="7" s="1"/>
  <c r="B2726" i="7"/>
  <c r="M2725" i="7"/>
  <c r="J2725" i="7"/>
  <c r="K2725" i="7" s="1"/>
  <c r="L2725" i="7" s="1"/>
  <c r="G2725" i="7"/>
  <c r="H2725" i="7" s="1"/>
  <c r="B2725" i="7"/>
  <c r="M2724" i="7"/>
  <c r="J2724" i="7"/>
  <c r="K2724" i="7" s="1"/>
  <c r="L2724" i="7" s="1"/>
  <c r="G2724" i="7"/>
  <c r="H2724" i="7" s="1"/>
  <c r="B2724" i="7"/>
  <c r="M2723" i="7"/>
  <c r="J2723" i="7"/>
  <c r="K2723" i="7" s="1"/>
  <c r="L2723" i="7" s="1"/>
  <c r="G2723" i="7"/>
  <c r="H2723" i="7" s="1"/>
  <c r="B2723" i="7"/>
  <c r="M2722" i="7"/>
  <c r="J2722" i="7"/>
  <c r="K2722" i="7" s="1"/>
  <c r="L2722" i="7" s="1"/>
  <c r="G2722" i="7"/>
  <c r="H2722" i="7" s="1"/>
  <c r="B2722" i="7"/>
  <c r="M2721" i="7"/>
  <c r="J2721" i="7"/>
  <c r="K2721" i="7" s="1"/>
  <c r="L2721" i="7" s="1"/>
  <c r="G2721" i="7"/>
  <c r="H2721" i="7" s="1"/>
  <c r="B2721" i="7"/>
  <c r="M2720" i="7"/>
  <c r="J2720" i="7"/>
  <c r="K2720" i="7" s="1"/>
  <c r="L2720" i="7" s="1"/>
  <c r="G2720" i="7"/>
  <c r="H2720" i="7" s="1"/>
  <c r="B2720" i="7"/>
  <c r="M2719" i="7"/>
  <c r="J2719" i="7"/>
  <c r="K2719" i="7" s="1"/>
  <c r="L2719" i="7" s="1"/>
  <c r="G2719" i="7"/>
  <c r="H2719" i="7" s="1"/>
  <c r="B2719" i="7"/>
  <c r="M2718" i="7"/>
  <c r="J2718" i="7"/>
  <c r="K2718" i="7" s="1"/>
  <c r="L2718" i="7" s="1"/>
  <c r="G2718" i="7"/>
  <c r="H2718" i="7" s="1"/>
  <c r="B2718" i="7"/>
  <c r="M2717" i="7"/>
  <c r="J2717" i="7"/>
  <c r="K2717" i="7" s="1"/>
  <c r="L2717" i="7" s="1"/>
  <c r="G2717" i="7"/>
  <c r="H2717" i="7" s="1"/>
  <c r="B2717" i="7"/>
  <c r="M2716" i="7"/>
  <c r="J2716" i="7"/>
  <c r="K2716" i="7" s="1"/>
  <c r="L2716" i="7" s="1"/>
  <c r="G2716" i="7"/>
  <c r="H2716" i="7" s="1"/>
  <c r="B2716" i="7"/>
  <c r="M2715" i="7"/>
  <c r="J2715" i="7"/>
  <c r="K2715" i="7" s="1"/>
  <c r="L2715" i="7" s="1"/>
  <c r="G2715" i="7"/>
  <c r="H2715" i="7" s="1"/>
  <c r="B2715" i="7"/>
  <c r="M2714" i="7"/>
  <c r="J2714" i="7"/>
  <c r="K2714" i="7" s="1"/>
  <c r="L2714" i="7" s="1"/>
  <c r="G2714" i="7"/>
  <c r="H2714" i="7" s="1"/>
  <c r="B2714" i="7"/>
  <c r="M2713" i="7"/>
  <c r="J2713" i="7"/>
  <c r="K2713" i="7" s="1"/>
  <c r="L2713" i="7" s="1"/>
  <c r="G2713" i="7"/>
  <c r="H2713" i="7" s="1"/>
  <c r="B2713" i="7"/>
  <c r="M2712" i="7"/>
  <c r="J2712" i="7"/>
  <c r="K2712" i="7" s="1"/>
  <c r="L2712" i="7" s="1"/>
  <c r="G2712" i="7"/>
  <c r="H2712" i="7" s="1"/>
  <c r="B2712" i="7"/>
  <c r="M2711" i="7"/>
  <c r="J2711" i="7"/>
  <c r="K2711" i="7" s="1"/>
  <c r="L2711" i="7" s="1"/>
  <c r="G2711" i="7"/>
  <c r="H2711" i="7" s="1"/>
  <c r="B2711" i="7"/>
  <c r="M2710" i="7"/>
  <c r="J2710" i="7"/>
  <c r="K2710" i="7" s="1"/>
  <c r="L2710" i="7" s="1"/>
  <c r="G2710" i="7"/>
  <c r="H2710" i="7" s="1"/>
  <c r="B2710" i="7"/>
  <c r="M2709" i="7"/>
  <c r="J2709" i="7"/>
  <c r="K2709" i="7" s="1"/>
  <c r="L2709" i="7" s="1"/>
  <c r="G2709" i="7"/>
  <c r="H2709" i="7" s="1"/>
  <c r="B2709" i="7"/>
  <c r="M2708" i="7"/>
  <c r="J2708" i="7"/>
  <c r="K2708" i="7" s="1"/>
  <c r="L2708" i="7" s="1"/>
  <c r="G2708" i="7"/>
  <c r="H2708" i="7" s="1"/>
  <c r="B2708" i="7"/>
  <c r="M2707" i="7"/>
  <c r="J2707" i="7"/>
  <c r="K2707" i="7" s="1"/>
  <c r="L2707" i="7" s="1"/>
  <c r="G2707" i="7"/>
  <c r="H2707" i="7" s="1"/>
  <c r="B2707" i="7"/>
  <c r="M2706" i="7"/>
  <c r="J2706" i="7"/>
  <c r="K2706" i="7" s="1"/>
  <c r="L2706" i="7" s="1"/>
  <c r="G2706" i="7"/>
  <c r="H2706" i="7" s="1"/>
  <c r="B2706" i="7"/>
  <c r="M2705" i="7"/>
  <c r="J2705" i="7"/>
  <c r="K2705" i="7" s="1"/>
  <c r="L2705" i="7" s="1"/>
  <c r="G2705" i="7"/>
  <c r="H2705" i="7" s="1"/>
  <c r="B2705" i="7"/>
  <c r="M2704" i="7"/>
  <c r="J2704" i="7"/>
  <c r="K2704" i="7" s="1"/>
  <c r="L2704" i="7" s="1"/>
  <c r="G2704" i="7"/>
  <c r="H2704" i="7" s="1"/>
  <c r="B2704" i="7"/>
  <c r="M2703" i="7"/>
  <c r="J2703" i="7"/>
  <c r="K2703" i="7" s="1"/>
  <c r="L2703" i="7" s="1"/>
  <c r="G2703" i="7"/>
  <c r="H2703" i="7" s="1"/>
  <c r="B2703" i="7"/>
  <c r="M2702" i="7"/>
  <c r="J2702" i="7"/>
  <c r="K2702" i="7" s="1"/>
  <c r="L2702" i="7" s="1"/>
  <c r="G2702" i="7"/>
  <c r="H2702" i="7" s="1"/>
  <c r="B2702" i="7"/>
  <c r="M2701" i="7"/>
  <c r="J2701" i="7"/>
  <c r="K2701" i="7" s="1"/>
  <c r="L2701" i="7" s="1"/>
  <c r="G2701" i="7"/>
  <c r="H2701" i="7" s="1"/>
  <c r="B2701" i="7"/>
  <c r="M2700" i="7"/>
  <c r="J2700" i="7"/>
  <c r="K2700" i="7" s="1"/>
  <c r="L2700" i="7" s="1"/>
  <c r="G2700" i="7"/>
  <c r="H2700" i="7" s="1"/>
  <c r="B2700" i="7"/>
  <c r="M2699" i="7"/>
  <c r="J2699" i="7"/>
  <c r="K2699" i="7" s="1"/>
  <c r="L2699" i="7" s="1"/>
  <c r="G2699" i="7"/>
  <c r="H2699" i="7" s="1"/>
  <c r="B2699" i="7"/>
  <c r="M2698" i="7"/>
  <c r="J2698" i="7"/>
  <c r="K2698" i="7" s="1"/>
  <c r="L2698" i="7" s="1"/>
  <c r="G2698" i="7"/>
  <c r="H2698" i="7" s="1"/>
  <c r="B2698" i="7"/>
  <c r="M2697" i="7"/>
  <c r="J2697" i="7"/>
  <c r="K2697" i="7" s="1"/>
  <c r="L2697" i="7" s="1"/>
  <c r="G2697" i="7"/>
  <c r="H2697" i="7" s="1"/>
  <c r="B2697" i="7"/>
  <c r="M2696" i="7"/>
  <c r="J2696" i="7"/>
  <c r="K2696" i="7" s="1"/>
  <c r="L2696" i="7" s="1"/>
  <c r="G2696" i="7"/>
  <c r="H2696" i="7" s="1"/>
  <c r="B2696" i="7"/>
  <c r="M2695" i="7"/>
  <c r="J2695" i="7"/>
  <c r="K2695" i="7" s="1"/>
  <c r="L2695" i="7" s="1"/>
  <c r="G2695" i="7"/>
  <c r="H2695" i="7" s="1"/>
  <c r="B2695" i="7"/>
  <c r="M2694" i="7"/>
  <c r="J2694" i="7"/>
  <c r="K2694" i="7" s="1"/>
  <c r="L2694" i="7" s="1"/>
  <c r="G2694" i="7"/>
  <c r="H2694" i="7" s="1"/>
  <c r="B2694" i="7"/>
  <c r="M2693" i="7"/>
  <c r="J2693" i="7"/>
  <c r="K2693" i="7" s="1"/>
  <c r="L2693" i="7" s="1"/>
  <c r="G2693" i="7"/>
  <c r="H2693" i="7" s="1"/>
  <c r="B2693" i="7"/>
  <c r="M2692" i="7"/>
  <c r="J2692" i="7"/>
  <c r="K2692" i="7" s="1"/>
  <c r="L2692" i="7" s="1"/>
  <c r="G2692" i="7"/>
  <c r="H2692" i="7" s="1"/>
  <c r="B2692" i="7"/>
  <c r="M2691" i="7"/>
  <c r="J2691" i="7"/>
  <c r="K2691" i="7" s="1"/>
  <c r="L2691" i="7" s="1"/>
  <c r="G2691" i="7"/>
  <c r="H2691" i="7" s="1"/>
  <c r="B2691" i="7"/>
  <c r="M2690" i="7"/>
  <c r="J2690" i="7"/>
  <c r="K2690" i="7" s="1"/>
  <c r="L2690" i="7" s="1"/>
  <c r="G2690" i="7"/>
  <c r="H2690" i="7" s="1"/>
  <c r="B2690" i="7"/>
  <c r="M2689" i="7"/>
  <c r="J2689" i="7"/>
  <c r="K2689" i="7" s="1"/>
  <c r="L2689" i="7" s="1"/>
  <c r="G2689" i="7"/>
  <c r="H2689" i="7" s="1"/>
  <c r="B2689" i="7"/>
  <c r="M2688" i="7"/>
  <c r="J2688" i="7"/>
  <c r="K2688" i="7" s="1"/>
  <c r="L2688" i="7" s="1"/>
  <c r="G2688" i="7"/>
  <c r="H2688" i="7" s="1"/>
  <c r="B2688" i="7"/>
  <c r="M2687" i="7"/>
  <c r="J2687" i="7"/>
  <c r="K2687" i="7" s="1"/>
  <c r="L2687" i="7" s="1"/>
  <c r="G2687" i="7"/>
  <c r="H2687" i="7" s="1"/>
  <c r="B2687" i="7"/>
  <c r="M2686" i="7"/>
  <c r="J2686" i="7"/>
  <c r="K2686" i="7" s="1"/>
  <c r="L2686" i="7" s="1"/>
  <c r="G2686" i="7"/>
  <c r="H2686" i="7" s="1"/>
  <c r="B2686" i="7"/>
  <c r="M2685" i="7"/>
  <c r="J2685" i="7"/>
  <c r="K2685" i="7" s="1"/>
  <c r="L2685" i="7" s="1"/>
  <c r="G2685" i="7"/>
  <c r="H2685" i="7" s="1"/>
  <c r="B2685" i="7"/>
  <c r="M2684" i="7"/>
  <c r="J2684" i="7"/>
  <c r="K2684" i="7" s="1"/>
  <c r="L2684" i="7" s="1"/>
  <c r="G2684" i="7"/>
  <c r="H2684" i="7" s="1"/>
  <c r="B2684" i="7"/>
  <c r="M2683" i="7"/>
  <c r="J2683" i="7"/>
  <c r="K2683" i="7" s="1"/>
  <c r="L2683" i="7" s="1"/>
  <c r="G2683" i="7"/>
  <c r="H2683" i="7" s="1"/>
  <c r="B2683" i="7"/>
  <c r="M2682" i="7"/>
  <c r="J2682" i="7"/>
  <c r="K2682" i="7" s="1"/>
  <c r="L2682" i="7" s="1"/>
  <c r="G2682" i="7"/>
  <c r="H2682" i="7" s="1"/>
  <c r="B2682" i="7"/>
  <c r="M2681" i="7"/>
  <c r="J2681" i="7"/>
  <c r="K2681" i="7" s="1"/>
  <c r="L2681" i="7" s="1"/>
  <c r="G2681" i="7"/>
  <c r="H2681" i="7" s="1"/>
  <c r="B2681" i="7"/>
  <c r="M2680" i="7"/>
  <c r="J2680" i="7"/>
  <c r="K2680" i="7" s="1"/>
  <c r="L2680" i="7" s="1"/>
  <c r="G2680" i="7"/>
  <c r="H2680" i="7" s="1"/>
  <c r="B2680" i="7"/>
  <c r="M2679" i="7"/>
  <c r="J2679" i="7"/>
  <c r="K2679" i="7" s="1"/>
  <c r="L2679" i="7" s="1"/>
  <c r="G2679" i="7"/>
  <c r="H2679" i="7" s="1"/>
  <c r="B2679" i="7"/>
  <c r="M2678" i="7"/>
  <c r="J2678" i="7"/>
  <c r="K2678" i="7" s="1"/>
  <c r="L2678" i="7" s="1"/>
  <c r="G2678" i="7"/>
  <c r="H2678" i="7" s="1"/>
  <c r="B2678" i="7"/>
  <c r="M2677" i="7"/>
  <c r="J2677" i="7"/>
  <c r="K2677" i="7" s="1"/>
  <c r="L2677" i="7" s="1"/>
  <c r="G2677" i="7"/>
  <c r="H2677" i="7" s="1"/>
  <c r="B2677" i="7"/>
  <c r="M2676" i="7"/>
  <c r="J2676" i="7"/>
  <c r="K2676" i="7" s="1"/>
  <c r="L2676" i="7" s="1"/>
  <c r="G2676" i="7"/>
  <c r="H2676" i="7" s="1"/>
  <c r="B2676" i="7"/>
  <c r="M2675" i="7"/>
  <c r="J2675" i="7"/>
  <c r="K2675" i="7" s="1"/>
  <c r="L2675" i="7" s="1"/>
  <c r="G2675" i="7"/>
  <c r="H2675" i="7" s="1"/>
  <c r="B2675" i="7"/>
  <c r="M2674" i="7"/>
  <c r="J2674" i="7"/>
  <c r="K2674" i="7" s="1"/>
  <c r="L2674" i="7" s="1"/>
  <c r="G2674" i="7"/>
  <c r="H2674" i="7" s="1"/>
  <c r="B2674" i="7"/>
  <c r="M2673" i="7"/>
  <c r="J2673" i="7"/>
  <c r="K2673" i="7" s="1"/>
  <c r="L2673" i="7" s="1"/>
  <c r="G2673" i="7"/>
  <c r="H2673" i="7" s="1"/>
  <c r="B2673" i="7"/>
  <c r="M2672" i="7"/>
  <c r="J2672" i="7"/>
  <c r="K2672" i="7" s="1"/>
  <c r="L2672" i="7" s="1"/>
  <c r="G2672" i="7"/>
  <c r="H2672" i="7" s="1"/>
  <c r="B2672" i="7"/>
  <c r="M2671" i="7"/>
  <c r="J2671" i="7"/>
  <c r="K2671" i="7" s="1"/>
  <c r="L2671" i="7" s="1"/>
  <c r="G2671" i="7"/>
  <c r="H2671" i="7" s="1"/>
  <c r="B2671" i="7"/>
  <c r="M2670" i="7"/>
  <c r="J2670" i="7"/>
  <c r="K2670" i="7" s="1"/>
  <c r="L2670" i="7" s="1"/>
  <c r="G2670" i="7"/>
  <c r="H2670" i="7" s="1"/>
  <c r="B2670" i="7"/>
  <c r="M2669" i="7"/>
  <c r="J2669" i="7"/>
  <c r="K2669" i="7" s="1"/>
  <c r="L2669" i="7" s="1"/>
  <c r="G2669" i="7"/>
  <c r="H2669" i="7" s="1"/>
  <c r="B2669" i="7"/>
  <c r="M2668" i="7"/>
  <c r="J2668" i="7"/>
  <c r="K2668" i="7" s="1"/>
  <c r="L2668" i="7" s="1"/>
  <c r="G2668" i="7"/>
  <c r="H2668" i="7" s="1"/>
  <c r="B2668" i="7"/>
  <c r="M2667" i="7"/>
  <c r="J2667" i="7"/>
  <c r="K2667" i="7" s="1"/>
  <c r="L2667" i="7" s="1"/>
  <c r="G2667" i="7"/>
  <c r="H2667" i="7" s="1"/>
  <c r="B2667" i="7"/>
  <c r="M2666" i="7"/>
  <c r="J2666" i="7"/>
  <c r="K2666" i="7" s="1"/>
  <c r="L2666" i="7" s="1"/>
  <c r="G2666" i="7"/>
  <c r="H2666" i="7" s="1"/>
  <c r="B2666" i="7"/>
  <c r="M2665" i="7"/>
  <c r="J2665" i="7"/>
  <c r="K2665" i="7" s="1"/>
  <c r="L2665" i="7" s="1"/>
  <c r="G2665" i="7"/>
  <c r="H2665" i="7" s="1"/>
  <c r="B2665" i="7"/>
  <c r="M2664" i="7"/>
  <c r="J2664" i="7"/>
  <c r="K2664" i="7" s="1"/>
  <c r="L2664" i="7" s="1"/>
  <c r="G2664" i="7"/>
  <c r="H2664" i="7" s="1"/>
  <c r="B2664" i="7"/>
  <c r="M2663" i="7"/>
  <c r="J2663" i="7"/>
  <c r="K2663" i="7" s="1"/>
  <c r="L2663" i="7" s="1"/>
  <c r="G2663" i="7"/>
  <c r="H2663" i="7" s="1"/>
  <c r="B2663" i="7"/>
  <c r="M2662" i="7"/>
  <c r="J2662" i="7"/>
  <c r="K2662" i="7" s="1"/>
  <c r="L2662" i="7" s="1"/>
  <c r="G2662" i="7"/>
  <c r="H2662" i="7" s="1"/>
  <c r="B2662" i="7"/>
  <c r="M2661" i="7"/>
  <c r="J2661" i="7"/>
  <c r="K2661" i="7" s="1"/>
  <c r="L2661" i="7" s="1"/>
  <c r="G2661" i="7"/>
  <c r="H2661" i="7" s="1"/>
  <c r="B2661" i="7"/>
  <c r="M2660" i="7"/>
  <c r="J2660" i="7"/>
  <c r="K2660" i="7" s="1"/>
  <c r="L2660" i="7" s="1"/>
  <c r="G2660" i="7"/>
  <c r="H2660" i="7" s="1"/>
  <c r="B2660" i="7"/>
  <c r="M2659" i="7"/>
  <c r="J2659" i="7"/>
  <c r="K2659" i="7" s="1"/>
  <c r="L2659" i="7" s="1"/>
  <c r="G2659" i="7"/>
  <c r="H2659" i="7" s="1"/>
  <c r="B2659" i="7"/>
  <c r="M2658" i="7"/>
  <c r="J2658" i="7"/>
  <c r="K2658" i="7" s="1"/>
  <c r="L2658" i="7" s="1"/>
  <c r="G2658" i="7"/>
  <c r="H2658" i="7" s="1"/>
  <c r="B2658" i="7"/>
  <c r="M2657" i="7"/>
  <c r="J2657" i="7"/>
  <c r="K2657" i="7" s="1"/>
  <c r="L2657" i="7" s="1"/>
  <c r="G2657" i="7"/>
  <c r="H2657" i="7" s="1"/>
  <c r="B2657" i="7"/>
  <c r="M2656" i="7"/>
  <c r="J2656" i="7"/>
  <c r="K2656" i="7" s="1"/>
  <c r="L2656" i="7" s="1"/>
  <c r="G2656" i="7"/>
  <c r="H2656" i="7" s="1"/>
  <c r="B2656" i="7"/>
  <c r="M2655" i="7"/>
  <c r="J2655" i="7"/>
  <c r="K2655" i="7" s="1"/>
  <c r="L2655" i="7" s="1"/>
  <c r="G2655" i="7"/>
  <c r="H2655" i="7" s="1"/>
  <c r="B2655" i="7"/>
  <c r="M2654" i="7"/>
  <c r="J2654" i="7"/>
  <c r="K2654" i="7" s="1"/>
  <c r="L2654" i="7" s="1"/>
  <c r="G2654" i="7"/>
  <c r="H2654" i="7" s="1"/>
  <c r="B2654" i="7"/>
  <c r="M2653" i="7"/>
  <c r="J2653" i="7"/>
  <c r="K2653" i="7" s="1"/>
  <c r="L2653" i="7" s="1"/>
  <c r="G2653" i="7"/>
  <c r="H2653" i="7" s="1"/>
  <c r="B2653" i="7"/>
  <c r="M2652" i="7"/>
  <c r="J2652" i="7"/>
  <c r="K2652" i="7" s="1"/>
  <c r="L2652" i="7" s="1"/>
  <c r="G2652" i="7"/>
  <c r="H2652" i="7" s="1"/>
  <c r="B2652" i="7"/>
  <c r="M2651" i="7"/>
  <c r="J2651" i="7"/>
  <c r="K2651" i="7" s="1"/>
  <c r="L2651" i="7" s="1"/>
  <c r="G2651" i="7"/>
  <c r="H2651" i="7" s="1"/>
  <c r="B2651" i="7"/>
  <c r="M2650" i="7"/>
  <c r="J2650" i="7"/>
  <c r="K2650" i="7" s="1"/>
  <c r="L2650" i="7" s="1"/>
  <c r="G2650" i="7"/>
  <c r="H2650" i="7" s="1"/>
  <c r="B2650" i="7"/>
  <c r="M2649" i="7"/>
  <c r="J2649" i="7"/>
  <c r="K2649" i="7" s="1"/>
  <c r="L2649" i="7" s="1"/>
  <c r="G2649" i="7"/>
  <c r="H2649" i="7" s="1"/>
  <c r="B2649" i="7"/>
  <c r="M2648" i="7"/>
  <c r="J2648" i="7"/>
  <c r="K2648" i="7" s="1"/>
  <c r="L2648" i="7" s="1"/>
  <c r="G2648" i="7"/>
  <c r="H2648" i="7" s="1"/>
  <c r="B2648" i="7"/>
  <c r="M2647" i="7"/>
  <c r="J2647" i="7"/>
  <c r="K2647" i="7" s="1"/>
  <c r="L2647" i="7" s="1"/>
  <c r="G2647" i="7"/>
  <c r="H2647" i="7" s="1"/>
  <c r="B2647" i="7"/>
  <c r="M2646" i="7"/>
  <c r="J2646" i="7"/>
  <c r="K2646" i="7" s="1"/>
  <c r="L2646" i="7" s="1"/>
  <c r="G2646" i="7"/>
  <c r="H2646" i="7" s="1"/>
  <c r="B2646" i="7"/>
  <c r="M2645" i="7"/>
  <c r="J2645" i="7"/>
  <c r="K2645" i="7" s="1"/>
  <c r="L2645" i="7" s="1"/>
  <c r="G2645" i="7"/>
  <c r="H2645" i="7" s="1"/>
  <c r="B2645" i="7"/>
  <c r="M2644" i="7"/>
  <c r="J2644" i="7"/>
  <c r="K2644" i="7" s="1"/>
  <c r="L2644" i="7" s="1"/>
  <c r="G2644" i="7"/>
  <c r="H2644" i="7" s="1"/>
  <c r="B2644" i="7"/>
  <c r="M2643" i="7"/>
  <c r="J2643" i="7"/>
  <c r="K2643" i="7" s="1"/>
  <c r="L2643" i="7" s="1"/>
  <c r="G2643" i="7"/>
  <c r="H2643" i="7" s="1"/>
  <c r="B2643" i="7"/>
  <c r="M2642" i="7"/>
  <c r="J2642" i="7"/>
  <c r="K2642" i="7" s="1"/>
  <c r="L2642" i="7" s="1"/>
  <c r="G2642" i="7"/>
  <c r="H2642" i="7" s="1"/>
  <c r="B2642" i="7"/>
  <c r="M2641" i="7"/>
  <c r="J2641" i="7"/>
  <c r="K2641" i="7" s="1"/>
  <c r="L2641" i="7" s="1"/>
  <c r="G2641" i="7"/>
  <c r="H2641" i="7" s="1"/>
  <c r="B2641" i="7"/>
  <c r="M2640" i="7"/>
  <c r="J2640" i="7"/>
  <c r="K2640" i="7" s="1"/>
  <c r="L2640" i="7" s="1"/>
  <c r="G2640" i="7"/>
  <c r="H2640" i="7" s="1"/>
  <c r="B2640" i="7"/>
  <c r="M2639" i="7"/>
  <c r="J2639" i="7"/>
  <c r="K2639" i="7" s="1"/>
  <c r="L2639" i="7" s="1"/>
  <c r="G2639" i="7"/>
  <c r="H2639" i="7" s="1"/>
  <c r="B2639" i="7"/>
  <c r="M2638" i="7"/>
  <c r="J2638" i="7"/>
  <c r="K2638" i="7" s="1"/>
  <c r="L2638" i="7" s="1"/>
  <c r="G2638" i="7"/>
  <c r="H2638" i="7" s="1"/>
  <c r="B2638" i="7"/>
  <c r="M2637" i="7"/>
  <c r="J2637" i="7"/>
  <c r="K2637" i="7" s="1"/>
  <c r="L2637" i="7" s="1"/>
  <c r="G2637" i="7"/>
  <c r="H2637" i="7" s="1"/>
  <c r="B2637" i="7"/>
  <c r="M2636" i="7"/>
  <c r="J2636" i="7"/>
  <c r="K2636" i="7" s="1"/>
  <c r="L2636" i="7" s="1"/>
  <c r="G2636" i="7"/>
  <c r="H2636" i="7" s="1"/>
  <c r="B2636" i="7"/>
  <c r="M2635" i="7"/>
  <c r="J2635" i="7"/>
  <c r="K2635" i="7" s="1"/>
  <c r="L2635" i="7" s="1"/>
  <c r="G2635" i="7"/>
  <c r="H2635" i="7" s="1"/>
  <c r="B2635" i="7"/>
  <c r="M2634" i="7"/>
  <c r="J2634" i="7"/>
  <c r="K2634" i="7" s="1"/>
  <c r="L2634" i="7" s="1"/>
  <c r="G2634" i="7"/>
  <c r="H2634" i="7" s="1"/>
  <c r="B2634" i="7"/>
  <c r="M2633" i="7"/>
  <c r="J2633" i="7"/>
  <c r="K2633" i="7" s="1"/>
  <c r="L2633" i="7" s="1"/>
  <c r="G2633" i="7"/>
  <c r="H2633" i="7" s="1"/>
  <c r="B2633" i="7"/>
  <c r="M2632" i="7"/>
  <c r="J2632" i="7"/>
  <c r="K2632" i="7" s="1"/>
  <c r="L2632" i="7" s="1"/>
  <c r="G2632" i="7"/>
  <c r="H2632" i="7" s="1"/>
  <c r="B2632" i="7"/>
  <c r="M2631" i="7"/>
  <c r="J2631" i="7"/>
  <c r="K2631" i="7" s="1"/>
  <c r="L2631" i="7" s="1"/>
  <c r="G2631" i="7"/>
  <c r="H2631" i="7" s="1"/>
  <c r="B2631" i="7"/>
  <c r="M2630" i="7"/>
  <c r="J2630" i="7"/>
  <c r="K2630" i="7" s="1"/>
  <c r="L2630" i="7" s="1"/>
  <c r="G2630" i="7"/>
  <c r="H2630" i="7" s="1"/>
  <c r="B2630" i="7"/>
  <c r="M2629" i="7"/>
  <c r="J2629" i="7"/>
  <c r="K2629" i="7" s="1"/>
  <c r="L2629" i="7" s="1"/>
  <c r="G2629" i="7"/>
  <c r="H2629" i="7" s="1"/>
  <c r="B2629" i="7"/>
  <c r="M2628" i="7"/>
  <c r="J2628" i="7"/>
  <c r="K2628" i="7" s="1"/>
  <c r="L2628" i="7" s="1"/>
  <c r="G2628" i="7"/>
  <c r="H2628" i="7" s="1"/>
  <c r="B2628" i="7"/>
  <c r="M2627" i="7"/>
  <c r="J2627" i="7"/>
  <c r="K2627" i="7" s="1"/>
  <c r="L2627" i="7" s="1"/>
  <c r="G2627" i="7"/>
  <c r="H2627" i="7" s="1"/>
  <c r="B2627" i="7"/>
  <c r="M2626" i="7"/>
  <c r="J2626" i="7"/>
  <c r="K2626" i="7" s="1"/>
  <c r="L2626" i="7" s="1"/>
  <c r="G2626" i="7"/>
  <c r="H2626" i="7" s="1"/>
  <c r="B2626" i="7"/>
  <c r="M2625" i="7"/>
  <c r="J2625" i="7"/>
  <c r="K2625" i="7" s="1"/>
  <c r="L2625" i="7" s="1"/>
  <c r="G2625" i="7"/>
  <c r="H2625" i="7" s="1"/>
  <c r="B2625" i="7"/>
  <c r="M2624" i="7"/>
  <c r="J2624" i="7"/>
  <c r="K2624" i="7" s="1"/>
  <c r="L2624" i="7" s="1"/>
  <c r="G2624" i="7"/>
  <c r="H2624" i="7" s="1"/>
  <c r="B2624" i="7"/>
  <c r="M2623" i="7"/>
  <c r="J2623" i="7"/>
  <c r="K2623" i="7" s="1"/>
  <c r="L2623" i="7" s="1"/>
  <c r="G2623" i="7"/>
  <c r="H2623" i="7" s="1"/>
  <c r="B2623" i="7"/>
  <c r="M2622" i="7"/>
  <c r="J2622" i="7"/>
  <c r="K2622" i="7" s="1"/>
  <c r="L2622" i="7" s="1"/>
  <c r="G2622" i="7"/>
  <c r="H2622" i="7" s="1"/>
  <c r="B2622" i="7"/>
  <c r="M2621" i="7"/>
  <c r="J2621" i="7"/>
  <c r="K2621" i="7" s="1"/>
  <c r="L2621" i="7" s="1"/>
  <c r="G2621" i="7"/>
  <c r="H2621" i="7" s="1"/>
  <c r="B2621" i="7"/>
  <c r="M2620" i="7"/>
  <c r="J2620" i="7"/>
  <c r="K2620" i="7" s="1"/>
  <c r="L2620" i="7" s="1"/>
  <c r="G2620" i="7"/>
  <c r="H2620" i="7" s="1"/>
  <c r="B2620" i="7"/>
  <c r="M2619" i="7"/>
  <c r="J2619" i="7"/>
  <c r="K2619" i="7" s="1"/>
  <c r="L2619" i="7" s="1"/>
  <c r="G2619" i="7"/>
  <c r="H2619" i="7" s="1"/>
  <c r="B2619" i="7"/>
  <c r="M2618" i="7"/>
  <c r="J2618" i="7"/>
  <c r="K2618" i="7" s="1"/>
  <c r="L2618" i="7" s="1"/>
  <c r="G2618" i="7"/>
  <c r="H2618" i="7" s="1"/>
  <c r="B2618" i="7"/>
  <c r="M2617" i="7"/>
  <c r="J2617" i="7"/>
  <c r="K2617" i="7" s="1"/>
  <c r="L2617" i="7" s="1"/>
  <c r="G2617" i="7"/>
  <c r="H2617" i="7" s="1"/>
  <c r="B2617" i="7"/>
  <c r="M2616" i="7"/>
  <c r="J2616" i="7"/>
  <c r="K2616" i="7" s="1"/>
  <c r="L2616" i="7" s="1"/>
  <c r="G2616" i="7"/>
  <c r="H2616" i="7" s="1"/>
  <c r="B2616" i="7"/>
  <c r="M2615" i="7"/>
  <c r="J2615" i="7"/>
  <c r="K2615" i="7" s="1"/>
  <c r="L2615" i="7" s="1"/>
  <c r="G2615" i="7"/>
  <c r="H2615" i="7" s="1"/>
  <c r="B2615" i="7"/>
  <c r="M2614" i="7"/>
  <c r="J2614" i="7"/>
  <c r="K2614" i="7" s="1"/>
  <c r="L2614" i="7" s="1"/>
  <c r="G2614" i="7"/>
  <c r="H2614" i="7" s="1"/>
  <c r="B2614" i="7"/>
  <c r="M2613" i="7"/>
  <c r="J2613" i="7"/>
  <c r="K2613" i="7" s="1"/>
  <c r="L2613" i="7" s="1"/>
  <c r="G2613" i="7"/>
  <c r="H2613" i="7" s="1"/>
  <c r="B2613" i="7"/>
  <c r="M2612" i="7"/>
  <c r="J2612" i="7"/>
  <c r="K2612" i="7" s="1"/>
  <c r="L2612" i="7" s="1"/>
  <c r="G2612" i="7"/>
  <c r="H2612" i="7" s="1"/>
  <c r="B2612" i="7"/>
  <c r="M2611" i="7"/>
  <c r="J2611" i="7"/>
  <c r="K2611" i="7" s="1"/>
  <c r="L2611" i="7" s="1"/>
  <c r="G2611" i="7"/>
  <c r="H2611" i="7" s="1"/>
  <c r="B2611" i="7"/>
  <c r="M2610" i="7"/>
  <c r="J2610" i="7"/>
  <c r="K2610" i="7" s="1"/>
  <c r="L2610" i="7" s="1"/>
  <c r="G2610" i="7"/>
  <c r="H2610" i="7" s="1"/>
  <c r="B2610" i="7"/>
  <c r="M2609" i="7"/>
  <c r="J2609" i="7"/>
  <c r="K2609" i="7" s="1"/>
  <c r="L2609" i="7" s="1"/>
  <c r="G2609" i="7"/>
  <c r="H2609" i="7" s="1"/>
  <c r="B2609" i="7"/>
  <c r="M2608" i="7"/>
  <c r="J2608" i="7"/>
  <c r="K2608" i="7" s="1"/>
  <c r="L2608" i="7" s="1"/>
  <c r="G2608" i="7"/>
  <c r="H2608" i="7" s="1"/>
  <c r="B2608" i="7"/>
  <c r="M2607" i="7"/>
  <c r="J2607" i="7"/>
  <c r="K2607" i="7" s="1"/>
  <c r="L2607" i="7" s="1"/>
  <c r="G2607" i="7"/>
  <c r="H2607" i="7" s="1"/>
  <c r="B2607" i="7"/>
  <c r="M2606" i="7"/>
  <c r="J2606" i="7"/>
  <c r="K2606" i="7" s="1"/>
  <c r="L2606" i="7" s="1"/>
  <c r="G2606" i="7"/>
  <c r="H2606" i="7" s="1"/>
  <c r="B2606" i="7"/>
  <c r="M2605" i="7"/>
  <c r="J2605" i="7"/>
  <c r="K2605" i="7" s="1"/>
  <c r="L2605" i="7" s="1"/>
  <c r="G2605" i="7"/>
  <c r="H2605" i="7" s="1"/>
  <c r="B2605" i="7"/>
  <c r="M2604" i="7"/>
  <c r="J2604" i="7"/>
  <c r="K2604" i="7" s="1"/>
  <c r="L2604" i="7" s="1"/>
  <c r="G2604" i="7"/>
  <c r="H2604" i="7" s="1"/>
  <c r="B2604" i="7"/>
  <c r="M2603" i="7"/>
  <c r="J2603" i="7"/>
  <c r="K2603" i="7" s="1"/>
  <c r="L2603" i="7" s="1"/>
  <c r="G2603" i="7"/>
  <c r="H2603" i="7" s="1"/>
  <c r="B2603" i="7"/>
  <c r="M2602" i="7"/>
  <c r="J2602" i="7"/>
  <c r="K2602" i="7" s="1"/>
  <c r="L2602" i="7" s="1"/>
  <c r="G2602" i="7"/>
  <c r="H2602" i="7" s="1"/>
  <c r="B2602" i="7"/>
  <c r="M2601" i="7"/>
  <c r="J2601" i="7"/>
  <c r="K2601" i="7" s="1"/>
  <c r="L2601" i="7" s="1"/>
  <c r="G2601" i="7"/>
  <c r="H2601" i="7" s="1"/>
  <c r="B2601" i="7"/>
  <c r="M2600" i="7"/>
  <c r="J2600" i="7"/>
  <c r="K2600" i="7" s="1"/>
  <c r="L2600" i="7" s="1"/>
  <c r="G2600" i="7"/>
  <c r="H2600" i="7" s="1"/>
  <c r="B2600" i="7"/>
  <c r="M2599" i="7"/>
  <c r="J2599" i="7"/>
  <c r="K2599" i="7" s="1"/>
  <c r="L2599" i="7" s="1"/>
  <c r="G2599" i="7"/>
  <c r="H2599" i="7" s="1"/>
  <c r="B2599" i="7"/>
  <c r="M2598" i="7"/>
  <c r="J2598" i="7"/>
  <c r="K2598" i="7" s="1"/>
  <c r="L2598" i="7" s="1"/>
  <c r="G2598" i="7"/>
  <c r="H2598" i="7" s="1"/>
  <c r="B2598" i="7"/>
  <c r="M2597" i="7"/>
  <c r="J2597" i="7"/>
  <c r="K2597" i="7" s="1"/>
  <c r="L2597" i="7" s="1"/>
  <c r="G2597" i="7"/>
  <c r="H2597" i="7" s="1"/>
  <c r="B2597" i="7"/>
  <c r="M2596" i="7"/>
  <c r="J2596" i="7"/>
  <c r="K2596" i="7" s="1"/>
  <c r="L2596" i="7" s="1"/>
  <c r="G2596" i="7"/>
  <c r="H2596" i="7" s="1"/>
  <c r="B2596" i="7"/>
  <c r="M2595" i="7"/>
  <c r="J2595" i="7"/>
  <c r="K2595" i="7" s="1"/>
  <c r="L2595" i="7" s="1"/>
  <c r="G2595" i="7"/>
  <c r="H2595" i="7" s="1"/>
  <c r="B2595" i="7"/>
  <c r="M2594" i="7"/>
  <c r="J2594" i="7"/>
  <c r="K2594" i="7" s="1"/>
  <c r="L2594" i="7" s="1"/>
  <c r="G2594" i="7"/>
  <c r="H2594" i="7" s="1"/>
  <c r="B2594" i="7"/>
  <c r="M2593" i="7"/>
  <c r="J2593" i="7"/>
  <c r="K2593" i="7" s="1"/>
  <c r="L2593" i="7" s="1"/>
  <c r="G2593" i="7"/>
  <c r="H2593" i="7" s="1"/>
  <c r="B2593" i="7"/>
  <c r="M2592" i="7"/>
  <c r="J2592" i="7"/>
  <c r="K2592" i="7" s="1"/>
  <c r="L2592" i="7" s="1"/>
  <c r="G2592" i="7"/>
  <c r="H2592" i="7" s="1"/>
  <c r="B2592" i="7"/>
  <c r="M2591" i="7"/>
  <c r="J2591" i="7"/>
  <c r="K2591" i="7" s="1"/>
  <c r="L2591" i="7" s="1"/>
  <c r="G2591" i="7"/>
  <c r="H2591" i="7" s="1"/>
  <c r="B2591" i="7"/>
  <c r="M2590" i="7"/>
  <c r="J2590" i="7"/>
  <c r="K2590" i="7" s="1"/>
  <c r="L2590" i="7" s="1"/>
  <c r="G2590" i="7"/>
  <c r="H2590" i="7" s="1"/>
  <c r="B2590" i="7"/>
  <c r="M2589" i="7"/>
  <c r="J2589" i="7"/>
  <c r="K2589" i="7" s="1"/>
  <c r="L2589" i="7" s="1"/>
  <c r="G2589" i="7"/>
  <c r="H2589" i="7" s="1"/>
  <c r="B2589" i="7"/>
  <c r="M2588" i="7"/>
  <c r="J2588" i="7"/>
  <c r="K2588" i="7" s="1"/>
  <c r="L2588" i="7" s="1"/>
  <c r="G2588" i="7"/>
  <c r="H2588" i="7" s="1"/>
  <c r="B2588" i="7"/>
  <c r="M2587" i="7"/>
  <c r="J2587" i="7"/>
  <c r="K2587" i="7" s="1"/>
  <c r="L2587" i="7" s="1"/>
  <c r="G2587" i="7"/>
  <c r="H2587" i="7" s="1"/>
  <c r="B2587" i="7"/>
  <c r="M2586" i="7"/>
  <c r="J2586" i="7"/>
  <c r="K2586" i="7" s="1"/>
  <c r="L2586" i="7" s="1"/>
  <c r="G2586" i="7"/>
  <c r="H2586" i="7" s="1"/>
  <c r="B2586" i="7"/>
  <c r="M2585" i="7"/>
  <c r="J2585" i="7"/>
  <c r="K2585" i="7" s="1"/>
  <c r="L2585" i="7" s="1"/>
  <c r="G2585" i="7"/>
  <c r="H2585" i="7" s="1"/>
  <c r="B2585" i="7"/>
  <c r="M2584" i="7"/>
  <c r="J2584" i="7"/>
  <c r="K2584" i="7" s="1"/>
  <c r="L2584" i="7" s="1"/>
  <c r="G2584" i="7"/>
  <c r="H2584" i="7" s="1"/>
  <c r="B2584" i="7"/>
  <c r="M2583" i="7"/>
  <c r="J2583" i="7"/>
  <c r="K2583" i="7" s="1"/>
  <c r="L2583" i="7" s="1"/>
  <c r="G2583" i="7"/>
  <c r="H2583" i="7" s="1"/>
  <c r="B2583" i="7"/>
  <c r="M2582" i="7"/>
  <c r="J2582" i="7"/>
  <c r="K2582" i="7" s="1"/>
  <c r="L2582" i="7" s="1"/>
  <c r="G2582" i="7"/>
  <c r="H2582" i="7" s="1"/>
  <c r="B2582" i="7"/>
  <c r="M2581" i="7"/>
  <c r="J2581" i="7"/>
  <c r="K2581" i="7" s="1"/>
  <c r="L2581" i="7" s="1"/>
  <c r="G2581" i="7"/>
  <c r="H2581" i="7" s="1"/>
  <c r="B2581" i="7"/>
  <c r="M2580" i="7"/>
  <c r="J2580" i="7"/>
  <c r="K2580" i="7" s="1"/>
  <c r="L2580" i="7" s="1"/>
  <c r="G2580" i="7"/>
  <c r="H2580" i="7" s="1"/>
  <c r="B2580" i="7"/>
  <c r="M2579" i="7"/>
  <c r="J2579" i="7"/>
  <c r="K2579" i="7" s="1"/>
  <c r="L2579" i="7" s="1"/>
  <c r="G2579" i="7"/>
  <c r="H2579" i="7" s="1"/>
  <c r="B2579" i="7"/>
  <c r="M2578" i="7"/>
  <c r="J2578" i="7"/>
  <c r="K2578" i="7" s="1"/>
  <c r="L2578" i="7" s="1"/>
  <c r="G2578" i="7"/>
  <c r="H2578" i="7" s="1"/>
  <c r="B2578" i="7"/>
  <c r="M2577" i="7"/>
  <c r="J2577" i="7"/>
  <c r="K2577" i="7" s="1"/>
  <c r="L2577" i="7" s="1"/>
  <c r="G2577" i="7"/>
  <c r="H2577" i="7" s="1"/>
  <c r="B2577" i="7"/>
  <c r="M2576" i="7"/>
  <c r="J2576" i="7"/>
  <c r="K2576" i="7" s="1"/>
  <c r="L2576" i="7" s="1"/>
  <c r="G2576" i="7"/>
  <c r="H2576" i="7" s="1"/>
  <c r="B2576" i="7"/>
  <c r="M2575" i="7"/>
  <c r="J2575" i="7"/>
  <c r="K2575" i="7" s="1"/>
  <c r="L2575" i="7" s="1"/>
  <c r="G2575" i="7"/>
  <c r="H2575" i="7" s="1"/>
  <c r="B2575" i="7"/>
  <c r="M2574" i="7"/>
  <c r="J2574" i="7"/>
  <c r="K2574" i="7" s="1"/>
  <c r="L2574" i="7" s="1"/>
  <c r="G2574" i="7"/>
  <c r="H2574" i="7" s="1"/>
  <c r="B2574" i="7"/>
  <c r="M2573" i="7"/>
  <c r="J2573" i="7"/>
  <c r="K2573" i="7" s="1"/>
  <c r="L2573" i="7" s="1"/>
  <c r="G2573" i="7"/>
  <c r="H2573" i="7" s="1"/>
  <c r="B2573" i="7"/>
  <c r="M2572" i="7"/>
  <c r="J2572" i="7"/>
  <c r="K2572" i="7" s="1"/>
  <c r="L2572" i="7" s="1"/>
  <c r="G2572" i="7"/>
  <c r="H2572" i="7" s="1"/>
  <c r="B2572" i="7"/>
  <c r="M2571" i="7"/>
  <c r="J2571" i="7"/>
  <c r="K2571" i="7" s="1"/>
  <c r="L2571" i="7" s="1"/>
  <c r="G2571" i="7"/>
  <c r="H2571" i="7" s="1"/>
  <c r="B2571" i="7"/>
  <c r="M2570" i="7"/>
  <c r="J2570" i="7"/>
  <c r="K2570" i="7" s="1"/>
  <c r="L2570" i="7" s="1"/>
  <c r="G2570" i="7"/>
  <c r="H2570" i="7" s="1"/>
  <c r="B2570" i="7"/>
  <c r="M2569" i="7"/>
  <c r="J2569" i="7"/>
  <c r="K2569" i="7" s="1"/>
  <c r="L2569" i="7" s="1"/>
  <c r="G2569" i="7"/>
  <c r="H2569" i="7" s="1"/>
  <c r="B2569" i="7"/>
  <c r="M2568" i="7"/>
  <c r="J2568" i="7"/>
  <c r="K2568" i="7" s="1"/>
  <c r="L2568" i="7" s="1"/>
  <c r="G2568" i="7"/>
  <c r="H2568" i="7" s="1"/>
  <c r="B2568" i="7"/>
  <c r="M2567" i="7"/>
  <c r="J2567" i="7"/>
  <c r="K2567" i="7" s="1"/>
  <c r="L2567" i="7" s="1"/>
  <c r="G2567" i="7"/>
  <c r="H2567" i="7" s="1"/>
  <c r="B2567" i="7"/>
  <c r="M2566" i="7"/>
  <c r="J2566" i="7"/>
  <c r="K2566" i="7" s="1"/>
  <c r="L2566" i="7" s="1"/>
  <c r="G2566" i="7"/>
  <c r="H2566" i="7" s="1"/>
  <c r="B2566" i="7"/>
  <c r="M2565" i="7"/>
  <c r="J2565" i="7"/>
  <c r="K2565" i="7" s="1"/>
  <c r="L2565" i="7" s="1"/>
  <c r="G2565" i="7"/>
  <c r="H2565" i="7" s="1"/>
  <c r="B2565" i="7"/>
  <c r="M2564" i="7"/>
  <c r="J2564" i="7"/>
  <c r="K2564" i="7" s="1"/>
  <c r="L2564" i="7" s="1"/>
  <c r="G2564" i="7"/>
  <c r="H2564" i="7" s="1"/>
  <c r="B2564" i="7"/>
  <c r="M2563" i="7"/>
  <c r="J2563" i="7"/>
  <c r="K2563" i="7" s="1"/>
  <c r="L2563" i="7" s="1"/>
  <c r="G2563" i="7"/>
  <c r="H2563" i="7" s="1"/>
  <c r="B2563" i="7"/>
  <c r="M2562" i="7"/>
  <c r="J2562" i="7"/>
  <c r="K2562" i="7" s="1"/>
  <c r="L2562" i="7" s="1"/>
  <c r="G2562" i="7"/>
  <c r="H2562" i="7" s="1"/>
  <c r="B2562" i="7"/>
  <c r="M2561" i="7"/>
  <c r="J2561" i="7"/>
  <c r="K2561" i="7" s="1"/>
  <c r="L2561" i="7" s="1"/>
  <c r="G2561" i="7"/>
  <c r="H2561" i="7" s="1"/>
  <c r="B2561" i="7"/>
  <c r="M2560" i="7"/>
  <c r="J2560" i="7"/>
  <c r="K2560" i="7" s="1"/>
  <c r="L2560" i="7" s="1"/>
  <c r="G2560" i="7"/>
  <c r="H2560" i="7" s="1"/>
  <c r="B2560" i="7"/>
  <c r="M2559" i="7"/>
  <c r="J2559" i="7"/>
  <c r="K2559" i="7" s="1"/>
  <c r="L2559" i="7" s="1"/>
  <c r="G2559" i="7"/>
  <c r="H2559" i="7" s="1"/>
  <c r="B2559" i="7"/>
  <c r="M2558" i="7"/>
  <c r="J2558" i="7"/>
  <c r="K2558" i="7" s="1"/>
  <c r="L2558" i="7" s="1"/>
  <c r="G2558" i="7"/>
  <c r="H2558" i="7" s="1"/>
  <c r="B2558" i="7"/>
  <c r="M2557" i="7"/>
  <c r="J2557" i="7"/>
  <c r="K2557" i="7" s="1"/>
  <c r="L2557" i="7" s="1"/>
  <c r="G2557" i="7"/>
  <c r="H2557" i="7" s="1"/>
  <c r="B2557" i="7"/>
  <c r="M2556" i="7"/>
  <c r="J2556" i="7"/>
  <c r="K2556" i="7" s="1"/>
  <c r="L2556" i="7" s="1"/>
  <c r="G2556" i="7"/>
  <c r="H2556" i="7" s="1"/>
  <c r="B2556" i="7"/>
  <c r="M2555" i="7"/>
  <c r="J2555" i="7"/>
  <c r="K2555" i="7" s="1"/>
  <c r="L2555" i="7" s="1"/>
  <c r="G2555" i="7"/>
  <c r="H2555" i="7" s="1"/>
  <c r="B2555" i="7"/>
  <c r="M2554" i="7"/>
  <c r="J2554" i="7"/>
  <c r="K2554" i="7" s="1"/>
  <c r="L2554" i="7" s="1"/>
  <c r="G2554" i="7"/>
  <c r="H2554" i="7" s="1"/>
  <c r="B2554" i="7"/>
  <c r="M2553" i="7"/>
  <c r="J2553" i="7"/>
  <c r="K2553" i="7" s="1"/>
  <c r="L2553" i="7" s="1"/>
  <c r="G2553" i="7"/>
  <c r="H2553" i="7" s="1"/>
  <c r="B2553" i="7"/>
  <c r="M2552" i="7"/>
  <c r="J2552" i="7"/>
  <c r="K2552" i="7" s="1"/>
  <c r="L2552" i="7" s="1"/>
  <c r="G2552" i="7"/>
  <c r="H2552" i="7" s="1"/>
  <c r="B2552" i="7"/>
  <c r="M2551" i="7"/>
  <c r="J2551" i="7"/>
  <c r="K2551" i="7" s="1"/>
  <c r="L2551" i="7" s="1"/>
  <c r="G2551" i="7"/>
  <c r="H2551" i="7" s="1"/>
  <c r="B2551" i="7"/>
  <c r="M2550" i="7"/>
  <c r="J2550" i="7"/>
  <c r="K2550" i="7" s="1"/>
  <c r="L2550" i="7" s="1"/>
  <c r="G2550" i="7"/>
  <c r="H2550" i="7" s="1"/>
  <c r="B2550" i="7"/>
  <c r="M2549" i="7"/>
  <c r="J2549" i="7"/>
  <c r="K2549" i="7" s="1"/>
  <c r="L2549" i="7" s="1"/>
  <c r="G2549" i="7"/>
  <c r="H2549" i="7" s="1"/>
  <c r="B2549" i="7"/>
  <c r="M2548" i="7"/>
  <c r="J2548" i="7"/>
  <c r="K2548" i="7" s="1"/>
  <c r="L2548" i="7" s="1"/>
  <c r="G2548" i="7"/>
  <c r="H2548" i="7" s="1"/>
  <c r="B2548" i="7"/>
  <c r="M2547" i="7"/>
  <c r="J2547" i="7"/>
  <c r="K2547" i="7" s="1"/>
  <c r="L2547" i="7" s="1"/>
  <c r="G2547" i="7"/>
  <c r="H2547" i="7" s="1"/>
  <c r="B2547" i="7"/>
  <c r="M2546" i="7"/>
  <c r="J2546" i="7"/>
  <c r="K2546" i="7" s="1"/>
  <c r="L2546" i="7" s="1"/>
  <c r="G2546" i="7"/>
  <c r="H2546" i="7" s="1"/>
  <c r="B2546" i="7"/>
  <c r="M2545" i="7"/>
  <c r="J2545" i="7"/>
  <c r="K2545" i="7" s="1"/>
  <c r="L2545" i="7" s="1"/>
  <c r="G2545" i="7"/>
  <c r="H2545" i="7" s="1"/>
  <c r="B2545" i="7"/>
  <c r="M2544" i="7"/>
  <c r="J2544" i="7"/>
  <c r="K2544" i="7" s="1"/>
  <c r="L2544" i="7" s="1"/>
  <c r="G2544" i="7"/>
  <c r="H2544" i="7" s="1"/>
  <c r="B2544" i="7"/>
  <c r="M2543" i="7"/>
  <c r="J2543" i="7"/>
  <c r="K2543" i="7" s="1"/>
  <c r="L2543" i="7" s="1"/>
  <c r="G2543" i="7"/>
  <c r="H2543" i="7" s="1"/>
  <c r="B2543" i="7"/>
  <c r="M2542" i="7"/>
  <c r="J2542" i="7"/>
  <c r="K2542" i="7" s="1"/>
  <c r="L2542" i="7" s="1"/>
  <c r="G2542" i="7"/>
  <c r="H2542" i="7" s="1"/>
  <c r="B2542" i="7"/>
  <c r="M2541" i="7"/>
  <c r="J2541" i="7"/>
  <c r="K2541" i="7" s="1"/>
  <c r="L2541" i="7" s="1"/>
  <c r="G2541" i="7"/>
  <c r="H2541" i="7" s="1"/>
  <c r="B2541" i="7"/>
  <c r="M2540" i="7"/>
  <c r="J2540" i="7"/>
  <c r="K2540" i="7" s="1"/>
  <c r="L2540" i="7" s="1"/>
  <c r="G2540" i="7"/>
  <c r="H2540" i="7" s="1"/>
  <c r="B2540" i="7"/>
  <c r="M2539" i="7"/>
  <c r="J2539" i="7"/>
  <c r="K2539" i="7" s="1"/>
  <c r="L2539" i="7" s="1"/>
  <c r="G2539" i="7"/>
  <c r="H2539" i="7" s="1"/>
  <c r="B2539" i="7"/>
  <c r="M2538" i="7"/>
  <c r="J2538" i="7"/>
  <c r="K2538" i="7" s="1"/>
  <c r="L2538" i="7" s="1"/>
  <c r="G2538" i="7"/>
  <c r="H2538" i="7" s="1"/>
  <c r="B2538" i="7"/>
  <c r="M2537" i="7"/>
  <c r="J2537" i="7"/>
  <c r="K2537" i="7" s="1"/>
  <c r="L2537" i="7" s="1"/>
  <c r="G2537" i="7"/>
  <c r="H2537" i="7" s="1"/>
  <c r="B2537" i="7"/>
  <c r="M2536" i="7"/>
  <c r="J2536" i="7"/>
  <c r="K2536" i="7" s="1"/>
  <c r="L2536" i="7" s="1"/>
  <c r="G2536" i="7"/>
  <c r="H2536" i="7" s="1"/>
  <c r="B2536" i="7"/>
  <c r="M2535" i="7"/>
  <c r="J2535" i="7"/>
  <c r="K2535" i="7" s="1"/>
  <c r="L2535" i="7" s="1"/>
  <c r="G2535" i="7"/>
  <c r="H2535" i="7" s="1"/>
  <c r="B2535" i="7"/>
  <c r="M2534" i="7"/>
  <c r="J2534" i="7"/>
  <c r="K2534" i="7" s="1"/>
  <c r="L2534" i="7" s="1"/>
  <c r="G2534" i="7"/>
  <c r="H2534" i="7" s="1"/>
  <c r="B2534" i="7"/>
  <c r="M2533" i="7"/>
  <c r="J2533" i="7"/>
  <c r="K2533" i="7" s="1"/>
  <c r="L2533" i="7" s="1"/>
  <c r="G2533" i="7"/>
  <c r="H2533" i="7" s="1"/>
  <c r="B2533" i="7"/>
  <c r="M2532" i="7"/>
  <c r="J2532" i="7"/>
  <c r="K2532" i="7" s="1"/>
  <c r="L2532" i="7" s="1"/>
  <c r="G2532" i="7"/>
  <c r="H2532" i="7" s="1"/>
  <c r="B2532" i="7"/>
  <c r="M2531" i="7"/>
  <c r="J2531" i="7"/>
  <c r="K2531" i="7" s="1"/>
  <c r="L2531" i="7" s="1"/>
  <c r="G2531" i="7"/>
  <c r="H2531" i="7" s="1"/>
  <c r="B2531" i="7"/>
  <c r="M2530" i="7"/>
  <c r="J2530" i="7"/>
  <c r="K2530" i="7" s="1"/>
  <c r="L2530" i="7" s="1"/>
  <c r="G2530" i="7"/>
  <c r="H2530" i="7" s="1"/>
  <c r="B2530" i="7"/>
  <c r="M2529" i="7"/>
  <c r="J2529" i="7"/>
  <c r="K2529" i="7" s="1"/>
  <c r="L2529" i="7" s="1"/>
  <c r="G2529" i="7"/>
  <c r="H2529" i="7" s="1"/>
  <c r="B2529" i="7"/>
  <c r="M2528" i="7"/>
  <c r="J2528" i="7"/>
  <c r="K2528" i="7" s="1"/>
  <c r="L2528" i="7" s="1"/>
  <c r="G2528" i="7"/>
  <c r="H2528" i="7" s="1"/>
  <c r="B2528" i="7"/>
  <c r="M2527" i="7"/>
  <c r="J2527" i="7"/>
  <c r="K2527" i="7" s="1"/>
  <c r="L2527" i="7" s="1"/>
  <c r="G2527" i="7"/>
  <c r="H2527" i="7" s="1"/>
  <c r="B2527" i="7"/>
  <c r="M2526" i="7"/>
  <c r="J2526" i="7"/>
  <c r="K2526" i="7" s="1"/>
  <c r="L2526" i="7" s="1"/>
  <c r="G2526" i="7"/>
  <c r="H2526" i="7" s="1"/>
  <c r="B2526" i="7"/>
  <c r="M2525" i="7"/>
  <c r="J2525" i="7"/>
  <c r="K2525" i="7" s="1"/>
  <c r="L2525" i="7" s="1"/>
  <c r="G2525" i="7"/>
  <c r="H2525" i="7" s="1"/>
  <c r="B2525" i="7"/>
  <c r="M2524" i="7"/>
  <c r="J2524" i="7"/>
  <c r="K2524" i="7" s="1"/>
  <c r="L2524" i="7" s="1"/>
  <c r="G2524" i="7"/>
  <c r="H2524" i="7" s="1"/>
  <c r="B2524" i="7"/>
  <c r="M2523" i="7"/>
  <c r="J2523" i="7"/>
  <c r="K2523" i="7" s="1"/>
  <c r="L2523" i="7" s="1"/>
  <c r="G2523" i="7"/>
  <c r="H2523" i="7" s="1"/>
  <c r="B2523" i="7"/>
  <c r="M2522" i="7"/>
  <c r="J2522" i="7"/>
  <c r="K2522" i="7" s="1"/>
  <c r="L2522" i="7" s="1"/>
  <c r="G2522" i="7"/>
  <c r="H2522" i="7" s="1"/>
  <c r="B2522" i="7"/>
  <c r="M2521" i="7"/>
  <c r="J2521" i="7"/>
  <c r="K2521" i="7" s="1"/>
  <c r="L2521" i="7" s="1"/>
  <c r="G2521" i="7"/>
  <c r="H2521" i="7" s="1"/>
  <c r="B2521" i="7"/>
  <c r="M2520" i="7"/>
  <c r="J2520" i="7"/>
  <c r="K2520" i="7" s="1"/>
  <c r="L2520" i="7" s="1"/>
  <c r="G2520" i="7"/>
  <c r="H2520" i="7" s="1"/>
  <c r="B2520" i="7"/>
  <c r="M2519" i="7"/>
  <c r="J2519" i="7"/>
  <c r="K2519" i="7" s="1"/>
  <c r="L2519" i="7" s="1"/>
  <c r="G2519" i="7"/>
  <c r="H2519" i="7" s="1"/>
  <c r="B2519" i="7"/>
  <c r="M2518" i="7"/>
  <c r="J2518" i="7"/>
  <c r="K2518" i="7" s="1"/>
  <c r="L2518" i="7" s="1"/>
  <c r="G2518" i="7"/>
  <c r="H2518" i="7" s="1"/>
  <c r="B2518" i="7"/>
  <c r="M2517" i="7"/>
  <c r="J2517" i="7"/>
  <c r="K2517" i="7" s="1"/>
  <c r="L2517" i="7" s="1"/>
  <c r="G2517" i="7"/>
  <c r="H2517" i="7" s="1"/>
  <c r="B2517" i="7"/>
  <c r="M2516" i="7"/>
  <c r="J2516" i="7"/>
  <c r="K2516" i="7" s="1"/>
  <c r="L2516" i="7" s="1"/>
  <c r="G2516" i="7"/>
  <c r="H2516" i="7" s="1"/>
  <c r="B2516" i="7"/>
  <c r="M2515" i="7"/>
  <c r="J2515" i="7"/>
  <c r="K2515" i="7" s="1"/>
  <c r="L2515" i="7" s="1"/>
  <c r="G2515" i="7"/>
  <c r="H2515" i="7" s="1"/>
  <c r="B2515" i="7"/>
  <c r="M2514" i="7"/>
  <c r="J2514" i="7"/>
  <c r="K2514" i="7" s="1"/>
  <c r="L2514" i="7" s="1"/>
  <c r="G2514" i="7"/>
  <c r="H2514" i="7" s="1"/>
  <c r="B2514" i="7"/>
  <c r="M2513" i="7"/>
  <c r="J2513" i="7"/>
  <c r="K2513" i="7" s="1"/>
  <c r="L2513" i="7" s="1"/>
  <c r="G2513" i="7"/>
  <c r="H2513" i="7" s="1"/>
  <c r="B2513" i="7"/>
  <c r="M2512" i="7"/>
  <c r="J2512" i="7"/>
  <c r="K2512" i="7" s="1"/>
  <c r="L2512" i="7" s="1"/>
  <c r="G2512" i="7"/>
  <c r="H2512" i="7" s="1"/>
  <c r="B2512" i="7"/>
  <c r="M2511" i="7"/>
  <c r="J2511" i="7"/>
  <c r="K2511" i="7" s="1"/>
  <c r="L2511" i="7" s="1"/>
  <c r="G2511" i="7"/>
  <c r="H2511" i="7" s="1"/>
  <c r="B2511" i="7"/>
  <c r="M2510" i="7"/>
  <c r="J2510" i="7"/>
  <c r="K2510" i="7" s="1"/>
  <c r="L2510" i="7" s="1"/>
  <c r="G2510" i="7"/>
  <c r="H2510" i="7" s="1"/>
  <c r="B2510" i="7"/>
  <c r="M2509" i="7"/>
  <c r="J2509" i="7"/>
  <c r="K2509" i="7" s="1"/>
  <c r="L2509" i="7" s="1"/>
  <c r="G2509" i="7"/>
  <c r="H2509" i="7" s="1"/>
  <c r="B2509" i="7"/>
  <c r="M2508" i="7"/>
  <c r="J2508" i="7"/>
  <c r="K2508" i="7" s="1"/>
  <c r="L2508" i="7" s="1"/>
  <c r="G2508" i="7"/>
  <c r="H2508" i="7" s="1"/>
  <c r="B2508" i="7"/>
  <c r="M2507" i="7"/>
  <c r="J2507" i="7"/>
  <c r="K2507" i="7" s="1"/>
  <c r="L2507" i="7" s="1"/>
  <c r="G2507" i="7"/>
  <c r="H2507" i="7" s="1"/>
  <c r="B2507" i="7"/>
  <c r="M2506" i="7"/>
  <c r="J2506" i="7"/>
  <c r="K2506" i="7" s="1"/>
  <c r="L2506" i="7" s="1"/>
  <c r="G2506" i="7"/>
  <c r="H2506" i="7" s="1"/>
  <c r="B2506" i="7"/>
  <c r="M2505" i="7"/>
  <c r="J2505" i="7"/>
  <c r="K2505" i="7" s="1"/>
  <c r="L2505" i="7" s="1"/>
  <c r="G2505" i="7"/>
  <c r="H2505" i="7" s="1"/>
  <c r="B2505" i="7"/>
  <c r="M2504" i="7"/>
  <c r="J2504" i="7"/>
  <c r="K2504" i="7" s="1"/>
  <c r="L2504" i="7" s="1"/>
  <c r="G2504" i="7"/>
  <c r="H2504" i="7" s="1"/>
  <c r="B2504" i="7"/>
  <c r="M2503" i="7"/>
  <c r="J2503" i="7"/>
  <c r="K2503" i="7" s="1"/>
  <c r="L2503" i="7" s="1"/>
  <c r="G2503" i="7"/>
  <c r="H2503" i="7" s="1"/>
  <c r="B2503" i="7"/>
  <c r="M2502" i="7"/>
  <c r="J2502" i="7"/>
  <c r="K2502" i="7" s="1"/>
  <c r="L2502" i="7" s="1"/>
  <c r="G2502" i="7"/>
  <c r="H2502" i="7" s="1"/>
  <c r="B2502" i="7"/>
  <c r="M2501" i="7"/>
  <c r="J2501" i="7"/>
  <c r="K2501" i="7" s="1"/>
  <c r="L2501" i="7" s="1"/>
  <c r="G2501" i="7"/>
  <c r="H2501" i="7" s="1"/>
  <c r="B2501" i="7"/>
  <c r="M2500" i="7"/>
  <c r="J2500" i="7"/>
  <c r="K2500" i="7" s="1"/>
  <c r="L2500" i="7" s="1"/>
  <c r="G2500" i="7"/>
  <c r="H2500" i="7" s="1"/>
  <c r="B2500" i="7"/>
  <c r="M2499" i="7"/>
  <c r="J2499" i="7"/>
  <c r="K2499" i="7" s="1"/>
  <c r="L2499" i="7" s="1"/>
  <c r="G2499" i="7"/>
  <c r="H2499" i="7" s="1"/>
  <c r="B2499" i="7"/>
  <c r="M2498" i="7"/>
  <c r="J2498" i="7"/>
  <c r="K2498" i="7" s="1"/>
  <c r="L2498" i="7" s="1"/>
  <c r="G2498" i="7"/>
  <c r="H2498" i="7" s="1"/>
  <c r="B2498" i="7"/>
  <c r="M2497" i="7"/>
  <c r="J2497" i="7"/>
  <c r="K2497" i="7" s="1"/>
  <c r="L2497" i="7" s="1"/>
  <c r="G2497" i="7"/>
  <c r="H2497" i="7" s="1"/>
  <c r="B2497" i="7"/>
  <c r="M2496" i="7"/>
  <c r="J2496" i="7"/>
  <c r="K2496" i="7" s="1"/>
  <c r="L2496" i="7" s="1"/>
  <c r="G2496" i="7"/>
  <c r="H2496" i="7" s="1"/>
  <c r="B2496" i="7"/>
  <c r="M2495" i="7"/>
  <c r="J2495" i="7"/>
  <c r="K2495" i="7" s="1"/>
  <c r="L2495" i="7" s="1"/>
  <c r="G2495" i="7"/>
  <c r="H2495" i="7" s="1"/>
  <c r="B2495" i="7"/>
  <c r="M2494" i="7"/>
  <c r="J2494" i="7"/>
  <c r="K2494" i="7" s="1"/>
  <c r="L2494" i="7" s="1"/>
  <c r="G2494" i="7"/>
  <c r="H2494" i="7" s="1"/>
  <c r="B2494" i="7"/>
  <c r="M2493" i="7"/>
  <c r="J2493" i="7"/>
  <c r="K2493" i="7" s="1"/>
  <c r="L2493" i="7" s="1"/>
  <c r="G2493" i="7"/>
  <c r="H2493" i="7" s="1"/>
  <c r="B2493" i="7"/>
  <c r="M2492" i="7"/>
  <c r="J2492" i="7"/>
  <c r="K2492" i="7" s="1"/>
  <c r="L2492" i="7" s="1"/>
  <c r="G2492" i="7"/>
  <c r="H2492" i="7" s="1"/>
  <c r="B2492" i="7"/>
  <c r="M2491" i="7"/>
  <c r="J2491" i="7"/>
  <c r="K2491" i="7" s="1"/>
  <c r="L2491" i="7" s="1"/>
  <c r="G2491" i="7"/>
  <c r="H2491" i="7" s="1"/>
  <c r="B2491" i="7"/>
  <c r="M2490" i="7"/>
  <c r="J2490" i="7"/>
  <c r="K2490" i="7" s="1"/>
  <c r="L2490" i="7" s="1"/>
  <c r="G2490" i="7"/>
  <c r="H2490" i="7" s="1"/>
  <c r="B2490" i="7"/>
  <c r="M2489" i="7"/>
  <c r="J2489" i="7"/>
  <c r="K2489" i="7" s="1"/>
  <c r="L2489" i="7" s="1"/>
  <c r="G2489" i="7"/>
  <c r="H2489" i="7" s="1"/>
  <c r="B2489" i="7"/>
  <c r="M2488" i="7"/>
  <c r="J2488" i="7"/>
  <c r="K2488" i="7" s="1"/>
  <c r="L2488" i="7" s="1"/>
  <c r="G2488" i="7"/>
  <c r="H2488" i="7" s="1"/>
  <c r="B2488" i="7"/>
  <c r="M2487" i="7"/>
  <c r="J2487" i="7"/>
  <c r="K2487" i="7" s="1"/>
  <c r="L2487" i="7" s="1"/>
  <c r="G2487" i="7"/>
  <c r="H2487" i="7" s="1"/>
  <c r="B2487" i="7"/>
  <c r="M2486" i="7"/>
  <c r="J2486" i="7"/>
  <c r="K2486" i="7" s="1"/>
  <c r="L2486" i="7" s="1"/>
  <c r="G2486" i="7"/>
  <c r="H2486" i="7" s="1"/>
  <c r="B2486" i="7"/>
  <c r="M2485" i="7"/>
  <c r="J2485" i="7"/>
  <c r="K2485" i="7" s="1"/>
  <c r="L2485" i="7" s="1"/>
  <c r="G2485" i="7"/>
  <c r="H2485" i="7" s="1"/>
  <c r="B2485" i="7"/>
  <c r="M2484" i="7"/>
  <c r="J2484" i="7"/>
  <c r="K2484" i="7" s="1"/>
  <c r="L2484" i="7" s="1"/>
  <c r="G2484" i="7"/>
  <c r="H2484" i="7" s="1"/>
  <c r="B2484" i="7"/>
  <c r="M2483" i="7"/>
  <c r="J2483" i="7"/>
  <c r="K2483" i="7" s="1"/>
  <c r="L2483" i="7" s="1"/>
  <c r="G2483" i="7"/>
  <c r="H2483" i="7" s="1"/>
  <c r="B2483" i="7"/>
  <c r="M2482" i="7"/>
  <c r="J2482" i="7"/>
  <c r="K2482" i="7" s="1"/>
  <c r="L2482" i="7" s="1"/>
  <c r="G2482" i="7"/>
  <c r="H2482" i="7" s="1"/>
  <c r="B2482" i="7"/>
  <c r="M2481" i="7"/>
  <c r="J2481" i="7"/>
  <c r="K2481" i="7" s="1"/>
  <c r="L2481" i="7" s="1"/>
  <c r="G2481" i="7"/>
  <c r="H2481" i="7" s="1"/>
  <c r="B2481" i="7"/>
  <c r="M2480" i="7"/>
  <c r="J2480" i="7"/>
  <c r="K2480" i="7" s="1"/>
  <c r="L2480" i="7" s="1"/>
  <c r="G2480" i="7"/>
  <c r="H2480" i="7" s="1"/>
  <c r="B2480" i="7"/>
  <c r="M2479" i="7"/>
  <c r="J2479" i="7"/>
  <c r="K2479" i="7" s="1"/>
  <c r="L2479" i="7" s="1"/>
  <c r="G2479" i="7"/>
  <c r="H2479" i="7" s="1"/>
  <c r="B2479" i="7"/>
  <c r="M2478" i="7"/>
  <c r="J2478" i="7"/>
  <c r="K2478" i="7" s="1"/>
  <c r="L2478" i="7" s="1"/>
  <c r="G2478" i="7"/>
  <c r="H2478" i="7" s="1"/>
  <c r="B2478" i="7"/>
  <c r="M2477" i="7"/>
  <c r="J2477" i="7"/>
  <c r="K2477" i="7" s="1"/>
  <c r="L2477" i="7" s="1"/>
  <c r="G2477" i="7"/>
  <c r="H2477" i="7" s="1"/>
  <c r="B2477" i="7"/>
  <c r="M2476" i="7"/>
  <c r="J2476" i="7"/>
  <c r="K2476" i="7" s="1"/>
  <c r="L2476" i="7" s="1"/>
  <c r="G2476" i="7"/>
  <c r="H2476" i="7" s="1"/>
  <c r="B2476" i="7"/>
  <c r="M2475" i="7"/>
  <c r="J2475" i="7"/>
  <c r="K2475" i="7" s="1"/>
  <c r="L2475" i="7" s="1"/>
  <c r="G2475" i="7"/>
  <c r="H2475" i="7" s="1"/>
  <c r="B2475" i="7"/>
  <c r="M2474" i="7"/>
  <c r="J2474" i="7"/>
  <c r="K2474" i="7" s="1"/>
  <c r="L2474" i="7" s="1"/>
  <c r="G2474" i="7"/>
  <c r="H2474" i="7" s="1"/>
  <c r="B2474" i="7"/>
  <c r="M2473" i="7"/>
  <c r="J2473" i="7"/>
  <c r="K2473" i="7" s="1"/>
  <c r="L2473" i="7" s="1"/>
  <c r="G2473" i="7"/>
  <c r="H2473" i="7" s="1"/>
  <c r="B2473" i="7"/>
  <c r="M2472" i="7"/>
  <c r="J2472" i="7"/>
  <c r="K2472" i="7" s="1"/>
  <c r="L2472" i="7" s="1"/>
  <c r="G2472" i="7"/>
  <c r="H2472" i="7" s="1"/>
  <c r="B2472" i="7"/>
  <c r="M2471" i="7"/>
  <c r="J2471" i="7"/>
  <c r="K2471" i="7" s="1"/>
  <c r="L2471" i="7" s="1"/>
  <c r="G2471" i="7"/>
  <c r="H2471" i="7" s="1"/>
  <c r="B2471" i="7"/>
  <c r="M2470" i="7"/>
  <c r="J2470" i="7"/>
  <c r="K2470" i="7" s="1"/>
  <c r="L2470" i="7" s="1"/>
  <c r="G2470" i="7"/>
  <c r="H2470" i="7" s="1"/>
  <c r="B2470" i="7"/>
  <c r="M2469" i="7"/>
  <c r="J2469" i="7"/>
  <c r="K2469" i="7" s="1"/>
  <c r="L2469" i="7" s="1"/>
  <c r="G2469" i="7"/>
  <c r="H2469" i="7" s="1"/>
  <c r="B2469" i="7"/>
  <c r="M2468" i="7"/>
  <c r="J2468" i="7"/>
  <c r="K2468" i="7" s="1"/>
  <c r="L2468" i="7" s="1"/>
  <c r="G2468" i="7"/>
  <c r="H2468" i="7" s="1"/>
  <c r="B2468" i="7"/>
  <c r="M2467" i="7"/>
  <c r="J2467" i="7"/>
  <c r="K2467" i="7" s="1"/>
  <c r="L2467" i="7" s="1"/>
  <c r="G2467" i="7"/>
  <c r="H2467" i="7" s="1"/>
  <c r="B2467" i="7"/>
  <c r="M2466" i="7"/>
  <c r="J2466" i="7"/>
  <c r="K2466" i="7" s="1"/>
  <c r="L2466" i="7" s="1"/>
  <c r="G2466" i="7"/>
  <c r="H2466" i="7" s="1"/>
  <c r="B2466" i="7"/>
  <c r="M2465" i="7"/>
  <c r="J2465" i="7"/>
  <c r="K2465" i="7" s="1"/>
  <c r="L2465" i="7" s="1"/>
  <c r="G2465" i="7"/>
  <c r="H2465" i="7" s="1"/>
  <c r="B2465" i="7"/>
  <c r="M2464" i="7"/>
  <c r="J2464" i="7"/>
  <c r="K2464" i="7" s="1"/>
  <c r="L2464" i="7" s="1"/>
  <c r="G2464" i="7"/>
  <c r="H2464" i="7" s="1"/>
  <c r="B2464" i="7"/>
  <c r="M2463" i="7"/>
  <c r="J2463" i="7"/>
  <c r="K2463" i="7" s="1"/>
  <c r="L2463" i="7" s="1"/>
  <c r="G2463" i="7"/>
  <c r="H2463" i="7" s="1"/>
  <c r="B2463" i="7"/>
  <c r="M2462" i="7"/>
  <c r="J2462" i="7"/>
  <c r="K2462" i="7" s="1"/>
  <c r="L2462" i="7" s="1"/>
  <c r="G2462" i="7"/>
  <c r="H2462" i="7" s="1"/>
  <c r="B2462" i="7"/>
  <c r="M2461" i="7"/>
  <c r="J2461" i="7"/>
  <c r="K2461" i="7" s="1"/>
  <c r="L2461" i="7" s="1"/>
  <c r="G2461" i="7"/>
  <c r="H2461" i="7" s="1"/>
  <c r="B2461" i="7"/>
  <c r="M2460" i="7"/>
  <c r="J2460" i="7"/>
  <c r="K2460" i="7" s="1"/>
  <c r="L2460" i="7" s="1"/>
  <c r="G2460" i="7"/>
  <c r="H2460" i="7" s="1"/>
  <c r="B2460" i="7"/>
  <c r="M2459" i="7"/>
  <c r="J2459" i="7"/>
  <c r="K2459" i="7" s="1"/>
  <c r="L2459" i="7" s="1"/>
  <c r="G2459" i="7"/>
  <c r="H2459" i="7" s="1"/>
  <c r="B2459" i="7"/>
  <c r="M2458" i="7"/>
  <c r="J2458" i="7"/>
  <c r="K2458" i="7" s="1"/>
  <c r="L2458" i="7" s="1"/>
  <c r="G2458" i="7"/>
  <c r="H2458" i="7" s="1"/>
  <c r="B2458" i="7"/>
  <c r="M2457" i="7"/>
  <c r="J2457" i="7"/>
  <c r="K2457" i="7" s="1"/>
  <c r="L2457" i="7" s="1"/>
  <c r="G2457" i="7"/>
  <c r="H2457" i="7" s="1"/>
  <c r="B2457" i="7"/>
  <c r="M2456" i="7"/>
  <c r="J2456" i="7"/>
  <c r="K2456" i="7" s="1"/>
  <c r="L2456" i="7" s="1"/>
  <c r="G2456" i="7"/>
  <c r="H2456" i="7" s="1"/>
  <c r="B2456" i="7"/>
  <c r="M2455" i="7"/>
  <c r="J2455" i="7"/>
  <c r="K2455" i="7" s="1"/>
  <c r="L2455" i="7" s="1"/>
  <c r="G2455" i="7"/>
  <c r="H2455" i="7" s="1"/>
  <c r="B2455" i="7"/>
  <c r="M2454" i="7"/>
  <c r="J2454" i="7"/>
  <c r="K2454" i="7" s="1"/>
  <c r="L2454" i="7" s="1"/>
  <c r="G2454" i="7"/>
  <c r="H2454" i="7" s="1"/>
  <c r="B2454" i="7"/>
  <c r="M2453" i="7"/>
  <c r="J2453" i="7"/>
  <c r="K2453" i="7" s="1"/>
  <c r="L2453" i="7" s="1"/>
  <c r="G2453" i="7"/>
  <c r="H2453" i="7" s="1"/>
  <c r="B2453" i="7"/>
  <c r="M2452" i="7"/>
  <c r="J2452" i="7"/>
  <c r="K2452" i="7" s="1"/>
  <c r="L2452" i="7" s="1"/>
  <c r="G2452" i="7"/>
  <c r="H2452" i="7" s="1"/>
  <c r="B2452" i="7"/>
  <c r="M2451" i="7"/>
  <c r="J2451" i="7"/>
  <c r="K2451" i="7" s="1"/>
  <c r="L2451" i="7" s="1"/>
  <c r="G2451" i="7"/>
  <c r="H2451" i="7" s="1"/>
  <c r="B2451" i="7"/>
  <c r="M2450" i="7"/>
  <c r="J2450" i="7"/>
  <c r="K2450" i="7" s="1"/>
  <c r="L2450" i="7" s="1"/>
  <c r="G2450" i="7"/>
  <c r="H2450" i="7" s="1"/>
  <c r="B2450" i="7"/>
  <c r="M2449" i="7"/>
  <c r="J2449" i="7"/>
  <c r="K2449" i="7" s="1"/>
  <c r="L2449" i="7" s="1"/>
  <c r="G2449" i="7"/>
  <c r="H2449" i="7" s="1"/>
  <c r="B2449" i="7"/>
  <c r="M2448" i="7"/>
  <c r="J2448" i="7"/>
  <c r="K2448" i="7" s="1"/>
  <c r="L2448" i="7" s="1"/>
  <c r="G2448" i="7"/>
  <c r="H2448" i="7" s="1"/>
  <c r="B2448" i="7"/>
  <c r="M2447" i="7"/>
  <c r="J2447" i="7"/>
  <c r="K2447" i="7" s="1"/>
  <c r="L2447" i="7" s="1"/>
  <c r="G2447" i="7"/>
  <c r="H2447" i="7" s="1"/>
  <c r="B2447" i="7"/>
  <c r="M2446" i="7"/>
  <c r="J2446" i="7"/>
  <c r="K2446" i="7" s="1"/>
  <c r="L2446" i="7" s="1"/>
  <c r="G2446" i="7"/>
  <c r="H2446" i="7" s="1"/>
  <c r="B2446" i="7"/>
  <c r="M2445" i="7"/>
  <c r="J2445" i="7"/>
  <c r="K2445" i="7" s="1"/>
  <c r="L2445" i="7" s="1"/>
  <c r="G2445" i="7"/>
  <c r="H2445" i="7" s="1"/>
  <c r="B2445" i="7"/>
  <c r="M2444" i="7"/>
  <c r="J2444" i="7"/>
  <c r="K2444" i="7" s="1"/>
  <c r="L2444" i="7" s="1"/>
  <c r="G2444" i="7"/>
  <c r="H2444" i="7" s="1"/>
  <c r="B2444" i="7"/>
  <c r="M2443" i="7"/>
  <c r="J2443" i="7"/>
  <c r="K2443" i="7" s="1"/>
  <c r="L2443" i="7" s="1"/>
  <c r="G2443" i="7"/>
  <c r="H2443" i="7" s="1"/>
  <c r="B2443" i="7"/>
  <c r="M2442" i="7"/>
  <c r="J2442" i="7"/>
  <c r="K2442" i="7" s="1"/>
  <c r="L2442" i="7" s="1"/>
  <c r="G2442" i="7"/>
  <c r="H2442" i="7" s="1"/>
  <c r="B2442" i="7"/>
  <c r="M2441" i="7"/>
  <c r="J2441" i="7"/>
  <c r="K2441" i="7" s="1"/>
  <c r="L2441" i="7" s="1"/>
  <c r="G2441" i="7"/>
  <c r="H2441" i="7" s="1"/>
  <c r="B2441" i="7"/>
  <c r="M2440" i="7"/>
  <c r="J2440" i="7"/>
  <c r="K2440" i="7" s="1"/>
  <c r="L2440" i="7" s="1"/>
  <c r="G2440" i="7"/>
  <c r="H2440" i="7" s="1"/>
  <c r="B2440" i="7"/>
  <c r="M2439" i="7"/>
  <c r="J2439" i="7"/>
  <c r="K2439" i="7" s="1"/>
  <c r="L2439" i="7" s="1"/>
  <c r="G2439" i="7"/>
  <c r="H2439" i="7" s="1"/>
  <c r="B2439" i="7"/>
  <c r="M2438" i="7"/>
  <c r="J2438" i="7"/>
  <c r="K2438" i="7" s="1"/>
  <c r="L2438" i="7" s="1"/>
  <c r="G2438" i="7"/>
  <c r="H2438" i="7" s="1"/>
  <c r="B2438" i="7"/>
  <c r="M2437" i="7"/>
  <c r="J2437" i="7"/>
  <c r="K2437" i="7" s="1"/>
  <c r="L2437" i="7" s="1"/>
  <c r="G2437" i="7"/>
  <c r="H2437" i="7" s="1"/>
  <c r="B2437" i="7"/>
  <c r="M2436" i="7"/>
  <c r="J2436" i="7"/>
  <c r="K2436" i="7" s="1"/>
  <c r="L2436" i="7" s="1"/>
  <c r="G2436" i="7"/>
  <c r="H2436" i="7" s="1"/>
  <c r="B2436" i="7"/>
  <c r="M2435" i="7"/>
  <c r="J2435" i="7"/>
  <c r="K2435" i="7" s="1"/>
  <c r="L2435" i="7" s="1"/>
  <c r="G2435" i="7"/>
  <c r="H2435" i="7" s="1"/>
  <c r="B2435" i="7"/>
  <c r="M2434" i="7"/>
  <c r="J2434" i="7"/>
  <c r="K2434" i="7" s="1"/>
  <c r="L2434" i="7" s="1"/>
  <c r="G2434" i="7"/>
  <c r="H2434" i="7" s="1"/>
  <c r="B2434" i="7"/>
  <c r="M2433" i="7"/>
  <c r="J2433" i="7"/>
  <c r="K2433" i="7" s="1"/>
  <c r="L2433" i="7" s="1"/>
  <c r="G2433" i="7"/>
  <c r="H2433" i="7" s="1"/>
  <c r="B2433" i="7"/>
  <c r="M2432" i="7"/>
  <c r="J2432" i="7"/>
  <c r="K2432" i="7" s="1"/>
  <c r="L2432" i="7" s="1"/>
  <c r="G2432" i="7"/>
  <c r="H2432" i="7" s="1"/>
  <c r="B2432" i="7"/>
  <c r="M2431" i="7"/>
  <c r="J2431" i="7"/>
  <c r="K2431" i="7" s="1"/>
  <c r="L2431" i="7" s="1"/>
  <c r="G2431" i="7"/>
  <c r="H2431" i="7" s="1"/>
  <c r="B2431" i="7"/>
  <c r="M2430" i="7"/>
  <c r="J2430" i="7"/>
  <c r="K2430" i="7" s="1"/>
  <c r="L2430" i="7" s="1"/>
  <c r="G2430" i="7"/>
  <c r="H2430" i="7" s="1"/>
  <c r="B2430" i="7"/>
  <c r="M2429" i="7"/>
  <c r="J2429" i="7"/>
  <c r="K2429" i="7" s="1"/>
  <c r="L2429" i="7" s="1"/>
  <c r="G2429" i="7"/>
  <c r="H2429" i="7" s="1"/>
  <c r="B2429" i="7"/>
  <c r="M2428" i="7"/>
  <c r="J2428" i="7"/>
  <c r="K2428" i="7" s="1"/>
  <c r="L2428" i="7" s="1"/>
  <c r="G2428" i="7"/>
  <c r="H2428" i="7" s="1"/>
  <c r="B2428" i="7"/>
  <c r="M2427" i="7"/>
  <c r="J2427" i="7"/>
  <c r="K2427" i="7" s="1"/>
  <c r="L2427" i="7" s="1"/>
  <c r="G2427" i="7"/>
  <c r="H2427" i="7" s="1"/>
  <c r="B2427" i="7"/>
  <c r="M2426" i="7"/>
  <c r="J2426" i="7"/>
  <c r="K2426" i="7" s="1"/>
  <c r="L2426" i="7" s="1"/>
  <c r="G2426" i="7"/>
  <c r="H2426" i="7" s="1"/>
  <c r="B2426" i="7"/>
  <c r="M2425" i="7"/>
  <c r="J2425" i="7"/>
  <c r="K2425" i="7" s="1"/>
  <c r="L2425" i="7" s="1"/>
  <c r="G2425" i="7"/>
  <c r="H2425" i="7" s="1"/>
  <c r="B2425" i="7"/>
  <c r="M2424" i="7"/>
  <c r="J2424" i="7"/>
  <c r="K2424" i="7" s="1"/>
  <c r="L2424" i="7" s="1"/>
  <c r="G2424" i="7"/>
  <c r="H2424" i="7" s="1"/>
  <c r="B2424" i="7"/>
  <c r="M2423" i="7"/>
  <c r="J2423" i="7"/>
  <c r="K2423" i="7" s="1"/>
  <c r="L2423" i="7" s="1"/>
  <c r="G2423" i="7"/>
  <c r="H2423" i="7" s="1"/>
  <c r="B2423" i="7"/>
  <c r="M2422" i="7"/>
  <c r="J2422" i="7"/>
  <c r="K2422" i="7" s="1"/>
  <c r="L2422" i="7" s="1"/>
  <c r="G2422" i="7"/>
  <c r="H2422" i="7" s="1"/>
  <c r="B2422" i="7"/>
  <c r="M2421" i="7"/>
  <c r="J2421" i="7"/>
  <c r="K2421" i="7" s="1"/>
  <c r="L2421" i="7" s="1"/>
  <c r="G2421" i="7"/>
  <c r="H2421" i="7" s="1"/>
  <c r="B2421" i="7"/>
  <c r="M2420" i="7"/>
  <c r="J2420" i="7"/>
  <c r="K2420" i="7" s="1"/>
  <c r="L2420" i="7" s="1"/>
  <c r="G2420" i="7"/>
  <c r="H2420" i="7" s="1"/>
  <c r="B2420" i="7"/>
  <c r="M2419" i="7"/>
  <c r="J2419" i="7"/>
  <c r="K2419" i="7" s="1"/>
  <c r="L2419" i="7" s="1"/>
  <c r="G2419" i="7"/>
  <c r="H2419" i="7" s="1"/>
  <c r="B2419" i="7"/>
  <c r="M2418" i="7"/>
  <c r="J2418" i="7"/>
  <c r="K2418" i="7" s="1"/>
  <c r="L2418" i="7" s="1"/>
  <c r="G2418" i="7"/>
  <c r="H2418" i="7" s="1"/>
  <c r="B2418" i="7"/>
  <c r="M2417" i="7"/>
  <c r="J2417" i="7"/>
  <c r="K2417" i="7" s="1"/>
  <c r="L2417" i="7" s="1"/>
  <c r="G2417" i="7"/>
  <c r="H2417" i="7" s="1"/>
  <c r="B2417" i="7"/>
  <c r="M2416" i="7"/>
  <c r="J2416" i="7"/>
  <c r="K2416" i="7" s="1"/>
  <c r="L2416" i="7" s="1"/>
  <c r="G2416" i="7"/>
  <c r="H2416" i="7" s="1"/>
  <c r="B2416" i="7"/>
  <c r="M2415" i="7"/>
  <c r="J2415" i="7"/>
  <c r="K2415" i="7" s="1"/>
  <c r="L2415" i="7" s="1"/>
  <c r="G2415" i="7"/>
  <c r="H2415" i="7" s="1"/>
  <c r="B2415" i="7"/>
  <c r="M2414" i="7"/>
  <c r="J2414" i="7"/>
  <c r="K2414" i="7" s="1"/>
  <c r="L2414" i="7" s="1"/>
  <c r="G2414" i="7"/>
  <c r="H2414" i="7" s="1"/>
  <c r="B2414" i="7"/>
  <c r="M2413" i="7"/>
  <c r="J2413" i="7"/>
  <c r="K2413" i="7" s="1"/>
  <c r="L2413" i="7" s="1"/>
  <c r="G2413" i="7"/>
  <c r="H2413" i="7" s="1"/>
  <c r="B2413" i="7"/>
  <c r="M2412" i="7"/>
  <c r="J2412" i="7"/>
  <c r="K2412" i="7" s="1"/>
  <c r="L2412" i="7" s="1"/>
  <c r="G2412" i="7"/>
  <c r="H2412" i="7" s="1"/>
  <c r="B2412" i="7"/>
  <c r="M2411" i="7"/>
  <c r="J2411" i="7"/>
  <c r="K2411" i="7" s="1"/>
  <c r="L2411" i="7" s="1"/>
  <c r="G2411" i="7"/>
  <c r="H2411" i="7" s="1"/>
  <c r="B2411" i="7"/>
  <c r="M2410" i="7"/>
  <c r="J2410" i="7"/>
  <c r="K2410" i="7" s="1"/>
  <c r="L2410" i="7" s="1"/>
  <c r="G2410" i="7"/>
  <c r="H2410" i="7" s="1"/>
  <c r="B2410" i="7"/>
  <c r="M2409" i="7"/>
  <c r="J2409" i="7"/>
  <c r="K2409" i="7" s="1"/>
  <c r="L2409" i="7" s="1"/>
  <c r="G2409" i="7"/>
  <c r="H2409" i="7" s="1"/>
  <c r="B2409" i="7"/>
  <c r="M2408" i="7"/>
  <c r="J2408" i="7"/>
  <c r="K2408" i="7" s="1"/>
  <c r="L2408" i="7" s="1"/>
  <c r="G2408" i="7"/>
  <c r="H2408" i="7" s="1"/>
  <c r="B2408" i="7"/>
  <c r="M2407" i="7"/>
  <c r="J2407" i="7"/>
  <c r="K2407" i="7" s="1"/>
  <c r="L2407" i="7" s="1"/>
  <c r="G2407" i="7"/>
  <c r="H2407" i="7" s="1"/>
  <c r="B2407" i="7"/>
  <c r="M2406" i="7"/>
  <c r="J2406" i="7"/>
  <c r="K2406" i="7" s="1"/>
  <c r="L2406" i="7" s="1"/>
  <c r="G2406" i="7"/>
  <c r="H2406" i="7" s="1"/>
  <c r="B2406" i="7"/>
  <c r="M2405" i="7"/>
  <c r="J2405" i="7"/>
  <c r="K2405" i="7" s="1"/>
  <c r="L2405" i="7" s="1"/>
  <c r="G2405" i="7"/>
  <c r="H2405" i="7" s="1"/>
  <c r="B2405" i="7"/>
  <c r="M2404" i="7"/>
  <c r="J2404" i="7"/>
  <c r="K2404" i="7" s="1"/>
  <c r="L2404" i="7" s="1"/>
  <c r="G2404" i="7"/>
  <c r="H2404" i="7" s="1"/>
  <c r="B2404" i="7"/>
  <c r="M2403" i="7"/>
  <c r="J2403" i="7"/>
  <c r="K2403" i="7" s="1"/>
  <c r="L2403" i="7" s="1"/>
  <c r="G2403" i="7"/>
  <c r="H2403" i="7" s="1"/>
  <c r="B2403" i="7"/>
  <c r="M2402" i="7"/>
  <c r="J2402" i="7"/>
  <c r="K2402" i="7" s="1"/>
  <c r="L2402" i="7" s="1"/>
  <c r="G2402" i="7"/>
  <c r="H2402" i="7" s="1"/>
  <c r="B2402" i="7"/>
  <c r="M2401" i="7"/>
  <c r="J2401" i="7"/>
  <c r="K2401" i="7" s="1"/>
  <c r="L2401" i="7" s="1"/>
  <c r="G2401" i="7"/>
  <c r="H2401" i="7" s="1"/>
  <c r="B2401" i="7"/>
  <c r="M2400" i="7"/>
  <c r="J2400" i="7"/>
  <c r="K2400" i="7" s="1"/>
  <c r="L2400" i="7" s="1"/>
  <c r="G2400" i="7"/>
  <c r="H2400" i="7" s="1"/>
  <c r="B2400" i="7"/>
  <c r="M2399" i="7"/>
  <c r="J2399" i="7"/>
  <c r="K2399" i="7" s="1"/>
  <c r="L2399" i="7" s="1"/>
  <c r="G2399" i="7"/>
  <c r="H2399" i="7" s="1"/>
  <c r="B2399" i="7"/>
  <c r="M2398" i="7"/>
  <c r="J2398" i="7"/>
  <c r="K2398" i="7" s="1"/>
  <c r="L2398" i="7" s="1"/>
  <c r="G2398" i="7"/>
  <c r="H2398" i="7" s="1"/>
  <c r="B2398" i="7"/>
  <c r="M2397" i="7"/>
  <c r="J2397" i="7"/>
  <c r="K2397" i="7" s="1"/>
  <c r="L2397" i="7" s="1"/>
  <c r="G2397" i="7"/>
  <c r="H2397" i="7" s="1"/>
  <c r="B2397" i="7"/>
  <c r="M2396" i="7"/>
  <c r="J2396" i="7"/>
  <c r="K2396" i="7" s="1"/>
  <c r="L2396" i="7" s="1"/>
  <c r="G2396" i="7"/>
  <c r="H2396" i="7" s="1"/>
  <c r="B2396" i="7"/>
  <c r="M2395" i="7"/>
  <c r="J2395" i="7"/>
  <c r="K2395" i="7" s="1"/>
  <c r="L2395" i="7" s="1"/>
  <c r="G2395" i="7"/>
  <c r="H2395" i="7" s="1"/>
  <c r="B2395" i="7"/>
  <c r="M2394" i="7"/>
  <c r="J2394" i="7"/>
  <c r="K2394" i="7" s="1"/>
  <c r="L2394" i="7" s="1"/>
  <c r="G2394" i="7"/>
  <c r="H2394" i="7" s="1"/>
  <c r="B2394" i="7"/>
  <c r="M2393" i="7"/>
  <c r="J2393" i="7"/>
  <c r="K2393" i="7" s="1"/>
  <c r="L2393" i="7" s="1"/>
  <c r="G2393" i="7"/>
  <c r="H2393" i="7" s="1"/>
  <c r="B2393" i="7"/>
  <c r="M2392" i="7"/>
  <c r="J2392" i="7"/>
  <c r="K2392" i="7" s="1"/>
  <c r="L2392" i="7" s="1"/>
  <c r="G2392" i="7"/>
  <c r="H2392" i="7" s="1"/>
  <c r="B2392" i="7"/>
  <c r="M2391" i="7"/>
  <c r="J2391" i="7"/>
  <c r="K2391" i="7" s="1"/>
  <c r="L2391" i="7" s="1"/>
  <c r="G2391" i="7"/>
  <c r="H2391" i="7" s="1"/>
  <c r="B2391" i="7"/>
  <c r="M2390" i="7"/>
  <c r="J2390" i="7"/>
  <c r="K2390" i="7" s="1"/>
  <c r="L2390" i="7" s="1"/>
  <c r="G2390" i="7"/>
  <c r="H2390" i="7" s="1"/>
  <c r="B2390" i="7"/>
  <c r="M2389" i="7"/>
  <c r="J2389" i="7"/>
  <c r="K2389" i="7" s="1"/>
  <c r="L2389" i="7" s="1"/>
  <c r="G2389" i="7"/>
  <c r="H2389" i="7" s="1"/>
  <c r="B2389" i="7"/>
  <c r="M2388" i="7"/>
  <c r="J2388" i="7"/>
  <c r="K2388" i="7" s="1"/>
  <c r="L2388" i="7" s="1"/>
  <c r="G2388" i="7"/>
  <c r="H2388" i="7" s="1"/>
  <c r="B2388" i="7"/>
  <c r="M2387" i="7"/>
  <c r="J2387" i="7"/>
  <c r="K2387" i="7" s="1"/>
  <c r="L2387" i="7" s="1"/>
  <c r="G2387" i="7"/>
  <c r="H2387" i="7" s="1"/>
  <c r="B2387" i="7"/>
  <c r="M2386" i="7"/>
  <c r="J2386" i="7"/>
  <c r="K2386" i="7" s="1"/>
  <c r="L2386" i="7" s="1"/>
  <c r="G2386" i="7"/>
  <c r="H2386" i="7" s="1"/>
  <c r="B2386" i="7"/>
  <c r="M2385" i="7"/>
  <c r="J2385" i="7"/>
  <c r="K2385" i="7" s="1"/>
  <c r="L2385" i="7" s="1"/>
  <c r="G2385" i="7"/>
  <c r="H2385" i="7" s="1"/>
  <c r="B2385" i="7"/>
  <c r="M2384" i="7"/>
  <c r="J2384" i="7"/>
  <c r="K2384" i="7" s="1"/>
  <c r="L2384" i="7" s="1"/>
  <c r="G2384" i="7"/>
  <c r="H2384" i="7" s="1"/>
  <c r="B2384" i="7"/>
  <c r="M2383" i="7"/>
  <c r="J2383" i="7"/>
  <c r="K2383" i="7" s="1"/>
  <c r="L2383" i="7" s="1"/>
  <c r="G2383" i="7"/>
  <c r="H2383" i="7" s="1"/>
  <c r="B2383" i="7"/>
  <c r="M2382" i="7"/>
  <c r="J2382" i="7"/>
  <c r="K2382" i="7" s="1"/>
  <c r="L2382" i="7" s="1"/>
  <c r="G2382" i="7"/>
  <c r="H2382" i="7" s="1"/>
  <c r="B2382" i="7"/>
  <c r="M2381" i="7"/>
  <c r="J2381" i="7"/>
  <c r="K2381" i="7" s="1"/>
  <c r="L2381" i="7" s="1"/>
  <c r="G2381" i="7"/>
  <c r="H2381" i="7" s="1"/>
  <c r="B2381" i="7"/>
  <c r="M2380" i="7"/>
  <c r="J2380" i="7"/>
  <c r="K2380" i="7" s="1"/>
  <c r="L2380" i="7" s="1"/>
  <c r="G2380" i="7"/>
  <c r="H2380" i="7" s="1"/>
  <c r="B2380" i="7"/>
  <c r="M2379" i="7"/>
  <c r="J2379" i="7"/>
  <c r="K2379" i="7" s="1"/>
  <c r="L2379" i="7" s="1"/>
  <c r="G2379" i="7"/>
  <c r="H2379" i="7" s="1"/>
  <c r="B2379" i="7"/>
  <c r="M2378" i="7"/>
  <c r="J2378" i="7"/>
  <c r="K2378" i="7" s="1"/>
  <c r="L2378" i="7" s="1"/>
  <c r="G2378" i="7"/>
  <c r="H2378" i="7" s="1"/>
  <c r="B2378" i="7"/>
  <c r="M2377" i="7"/>
  <c r="J2377" i="7"/>
  <c r="K2377" i="7" s="1"/>
  <c r="L2377" i="7" s="1"/>
  <c r="G2377" i="7"/>
  <c r="H2377" i="7" s="1"/>
  <c r="B2377" i="7"/>
  <c r="M2376" i="7"/>
  <c r="J2376" i="7"/>
  <c r="K2376" i="7" s="1"/>
  <c r="L2376" i="7" s="1"/>
  <c r="G2376" i="7"/>
  <c r="H2376" i="7" s="1"/>
  <c r="B2376" i="7"/>
  <c r="M2375" i="7"/>
  <c r="J2375" i="7"/>
  <c r="K2375" i="7" s="1"/>
  <c r="L2375" i="7" s="1"/>
  <c r="G2375" i="7"/>
  <c r="H2375" i="7" s="1"/>
  <c r="B2375" i="7"/>
  <c r="M2374" i="7"/>
  <c r="J2374" i="7"/>
  <c r="K2374" i="7" s="1"/>
  <c r="L2374" i="7" s="1"/>
  <c r="G2374" i="7"/>
  <c r="H2374" i="7" s="1"/>
  <c r="B2374" i="7"/>
  <c r="M2373" i="7"/>
  <c r="J2373" i="7"/>
  <c r="K2373" i="7" s="1"/>
  <c r="L2373" i="7" s="1"/>
  <c r="G2373" i="7"/>
  <c r="H2373" i="7" s="1"/>
  <c r="B2373" i="7"/>
  <c r="M2372" i="7"/>
  <c r="J2372" i="7"/>
  <c r="K2372" i="7" s="1"/>
  <c r="L2372" i="7" s="1"/>
  <c r="G2372" i="7"/>
  <c r="H2372" i="7" s="1"/>
  <c r="B2372" i="7"/>
  <c r="M2371" i="7"/>
  <c r="J2371" i="7"/>
  <c r="K2371" i="7" s="1"/>
  <c r="L2371" i="7" s="1"/>
  <c r="G2371" i="7"/>
  <c r="H2371" i="7" s="1"/>
  <c r="B2371" i="7"/>
  <c r="M2370" i="7"/>
  <c r="J2370" i="7"/>
  <c r="K2370" i="7" s="1"/>
  <c r="L2370" i="7" s="1"/>
  <c r="G2370" i="7"/>
  <c r="H2370" i="7" s="1"/>
  <c r="B2370" i="7"/>
  <c r="M2369" i="7"/>
  <c r="J2369" i="7"/>
  <c r="K2369" i="7" s="1"/>
  <c r="L2369" i="7" s="1"/>
  <c r="G2369" i="7"/>
  <c r="H2369" i="7" s="1"/>
  <c r="B2369" i="7"/>
  <c r="M2368" i="7"/>
  <c r="J2368" i="7"/>
  <c r="K2368" i="7" s="1"/>
  <c r="L2368" i="7" s="1"/>
  <c r="G2368" i="7"/>
  <c r="H2368" i="7" s="1"/>
  <c r="B2368" i="7"/>
  <c r="M2367" i="7"/>
  <c r="J2367" i="7"/>
  <c r="K2367" i="7" s="1"/>
  <c r="L2367" i="7" s="1"/>
  <c r="G2367" i="7"/>
  <c r="H2367" i="7" s="1"/>
  <c r="B2367" i="7"/>
  <c r="M2366" i="7"/>
  <c r="J2366" i="7"/>
  <c r="K2366" i="7" s="1"/>
  <c r="L2366" i="7" s="1"/>
  <c r="G2366" i="7"/>
  <c r="H2366" i="7" s="1"/>
  <c r="B2366" i="7"/>
  <c r="M2365" i="7"/>
  <c r="J2365" i="7"/>
  <c r="K2365" i="7" s="1"/>
  <c r="L2365" i="7" s="1"/>
  <c r="G2365" i="7"/>
  <c r="H2365" i="7" s="1"/>
  <c r="B2365" i="7"/>
  <c r="M2364" i="7"/>
  <c r="J2364" i="7"/>
  <c r="K2364" i="7" s="1"/>
  <c r="L2364" i="7" s="1"/>
  <c r="G2364" i="7"/>
  <c r="H2364" i="7" s="1"/>
  <c r="B2364" i="7"/>
  <c r="M2363" i="7"/>
  <c r="J2363" i="7"/>
  <c r="K2363" i="7" s="1"/>
  <c r="L2363" i="7" s="1"/>
  <c r="G2363" i="7"/>
  <c r="H2363" i="7" s="1"/>
  <c r="B2363" i="7"/>
  <c r="M2362" i="7"/>
  <c r="J2362" i="7"/>
  <c r="K2362" i="7" s="1"/>
  <c r="L2362" i="7" s="1"/>
  <c r="G2362" i="7"/>
  <c r="H2362" i="7" s="1"/>
  <c r="B2362" i="7"/>
  <c r="M2361" i="7"/>
  <c r="J2361" i="7"/>
  <c r="K2361" i="7" s="1"/>
  <c r="L2361" i="7" s="1"/>
  <c r="G2361" i="7"/>
  <c r="H2361" i="7" s="1"/>
  <c r="B2361" i="7"/>
  <c r="M2360" i="7"/>
  <c r="J2360" i="7"/>
  <c r="K2360" i="7" s="1"/>
  <c r="L2360" i="7" s="1"/>
  <c r="G2360" i="7"/>
  <c r="H2360" i="7" s="1"/>
  <c r="B2360" i="7"/>
  <c r="M2359" i="7"/>
  <c r="J2359" i="7"/>
  <c r="K2359" i="7" s="1"/>
  <c r="L2359" i="7" s="1"/>
  <c r="G2359" i="7"/>
  <c r="H2359" i="7" s="1"/>
  <c r="B2359" i="7"/>
  <c r="M2358" i="7"/>
  <c r="J2358" i="7"/>
  <c r="K2358" i="7" s="1"/>
  <c r="L2358" i="7" s="1"/>
  <c r="G2358" i="7"/>
  <c r="H2358" i="7" s="1"/>
  <c r="B2358" i="7"/>
  <c r="M2357" i="7"/>
  <c r="J2357" i="7"/>
  <c r="K2357" i="7" s="1"/>
  <c r="L2357" i="7" s="1"/>
  <c r="G2357" i="7"/>
  <c r="H2357" i="7" s="1"/>
  <c r="B2357" i="7"/>
  <c r="M2356" i="7"/>
  <c r="J2356" i="7"/>
  <c r="K2356" i="7" s="1"/>
  <c r="L2356" i="7" s="1"/>
  <c r="G2356" i="7"/>
  <c r="H2356" i="7" s="1"/>
  <c r="B2356" i="7"/>
  <c r="M2355" i="7"/>
  <c r="J2355" i="7"/>
  <c r="K2355" i="7" s="1"/>
  <c r="L2355" i="7" s="1"/>
  <c r="G2355" i="7"/>
  <c r="H2355" i="7" s="1"/>
  <c r="B2355" i="7"/>
  <c r="M2354" i="7"/>
  <c r="J2354" i="7"/>
  <c r="K2354" i="7" s="1"/>
  <c r="L2354" i="7" s="1"/>
  <c r="G2354" i="7"/>
  <c r="H2354" i="7" s="1"/>
  <c r="B2354" i="7"/>
  <c r="M2353" i="7"/>
  <c r="J2353" i="7"/>
  <c r="K2353" i="7" s="1"/>
  <c r="L2353" i="7" s="1"/>
  <c r="G2353" i="7"/>
  <c r="H2353" i="7" s="1"/>
  <c r="B2353" i="7"/>
  <c r="M2352" i="7"/>
  <c r="J2352" i="7"/>
  <c r="K2352" i="7" s="1"/>
  <c r="L2352" i="7" s="1"/>
  <c r="G2352" i="7"/>
  <c r="H2352" i="7" s="1"/>
  <c r="B2352" i="7"/>
  <c r="M2351" i="7"/>
  <c r="J2351" i="7"/>
  <c r="K2351" i="7" s="1"/>
  <c r="L2351" i="7" s="1"/>
  <c r="G2351" i="7"/>
  <c r="H2351" i="7" s="1"/>
  <c r="B2351" i="7"/>
  <c r="M2350" i="7"/>
  <c r="J2350" i="7"/>
  <c r="K2350" i="7" s="1"/>
  <c r="L2350" i="7" s="1"/>
  <c r="G2350" i="7"/>
  <c r="H2350" i="7" s="1"/>
  <c r="B2350" i="7"/>
  <c r="M2349" i="7"/>
  <c r="J2349" i="7"/>
  <c r="K2349" i="7" s="1"/>
  <c r="L2349" i="7" s="1"/>
  <c r="G2349" i="7"/>
  <c r="H2349" i="7" s="1"/>
  <c r="B2349" i="7"/>
  <c r="M2348" i="7"/>
  <c r="J2348" i="7"/>
  <c r="K2348" i="7" s="1"/>
  <c r="L2348" i="7" s="1"/>
  <c r="G2348" i="7"/>
  <c r="H2348" i="7" s="1"/>
  <c r="B2348" i="7"/>
  <c r="M2347" i="7"/>
  <c r="J2347" i="7"/>
  <c r="K2347" i="7" s="1"/>
  <c r="L2347" i="7" s="1"/>
  <c r="G2347" i="7"/>
  <c r="H2347" i="7" s="1"/>
  <c r="B2347" i="7"/>
  <c r="M2346" i="7"/>
  <c r="J2346" i="7"/>
  <c r="K2346" i="7" s="1"/>
  <c r="L2346" i="7" s="1"/>
  <c r="G2346" i="7"/>
  <c r="H2346" i="7" s="1"/>
  <c r="B2346" i="7"/>
  <c r="M2345" i="7"/>
  <c r="J2345" i="7"/>
  <c r="K2345" i="7" s="1"/>
  <c r="L2345" i="7" s="1"/>
  <c r="G2345" i="7"/>
  <c r="H2345" i="7" s="1"/>
  <c r="B2345" i="7"/>
  <c r="M2344" i="7"/>
  <c r="J2344" i="7"/>
  <c r="K2344" i="7" s="1"/>
  <c r="L2344" i="7" s="1"/>
  <c r="G2344" i="7"/>
  <c r="H2344" i="7" s="1"/>
  <c r="B2344" i="7"/>
  <c r="M2343" i="7"/>
  <c r="J2343" i="7"/>
  <c r="K2343" i="7" s="1"/>
  <c r="L2343" i="7" s="1"/>
  <c r="G2343" i="7"/>
  <c r="H2343" i="7" s="1"/>
  <c r="B2343" i="7"/>
  <c r="M2342" i="7"/>
  <c r="J2342" i="7"/>
  <c r="K2342" i="7" s="1"/>
  <c r="L2342" i="7" s="1"/>
  <c r="G2342" i="7"/>
  <c r="H2342" i="7" s="1"/>
  <c r="B2342" i="7"/>
  <c r="M2341" i="7"/>
  <c r="J2341" i="7"/>
  <c r="K2341" i="7" s="1"/>
  <c r="L2341" i="7" s="1"/>
  <c r="G2341" i="7"/>
  <c r="H2341" i="7" s="1"/>
  <c r="B2341" i="7"/>
  <c r="M2340" i="7"/>
  <c r="J2340" i="7"/>
  <c r="K2340" i="7" s="1"/>
  <c r="L2340" i="7" s="1"/>
  <c r="G2340" i="7"/>
  <c r="H2340" i="7" s="1"/>
  <c r="B2340" i="7"/>
  <c r="M2339" i="7"/>
  <c r="J2339" i="7"/>
  <c r="K2339" i="7" s="1"/>
  <c r="L2339" i="7" s="1"/>
  <c r="G2339" i="7"/>
  <c r="H2339" i="7" s="1"/>
  <c r="B2339" i="7"/>
  <c r="M2338" i="7"/>
  <c r="J2338" i="7"/>
  <c r="K2338" i="7" s="1"/>
  <c r="L2338" i="7" s="1"/>
  <c r="G2338" i="7"/>
  <c r="H2338" i="7" s="1"/>
  <c r="B2338" i="7"/>
  <c r="M2337" i="7"/>
  <c r="J2337" i="7"/>
  <c r="K2337" i="7" s="1"/>
  <c r="L2337" i="7" s="1"/>
  <c r="G2337" i="7"/>
  <c r="H2337" i="7" s="1"/>
  <c r="B2337" i="7"/>
  <c r="M2336" i="7"/>
  <c r="J2336" i="7"/>
  <c r="K2336" i="7" s="1"/>
  <c r="L2336" i="7" s="1"/>
  <c r="G2336" i="7"/>
  <c r="H2336" i="7" s="1"/>
  <c r="B2336" i="7"/>
  <c r="M2335" i="7"/>
  <c r="J2335" i="7"/>
  <c r="K2335" i="7" s="1"/>
  <c r="L2335" i="7" s="1"/>
  <c r="G2335" i="7"/>
  <c r="H2335" i="7" s="1"/>
  <c r="B2335" i="7"/>
  <c r="M2334" i="7"/>
  <c r="J2334" i="7"/>
  <c r="K2334" i="7" s="1"/>
  <c r="L2334" i="7" s="1"/>
  <c r="G2334" i="7"/>
  <c r="H2334" i="7" s="1"/>
  <c r="B2334" i="7"/>
  <c r="M2333" i="7"/>
  <c r="J2333" i="7"/>
  <c r="K2333" i="7" s="1"/>
  <c r="L2333" i="7" s="1"/>
  <c r="G2333" i="7"/>
  <c r="H2333" i="7" s="1"/>
  <c r="B2333" i="7"/>
  <c r="M2332" i="7"/>
  <c r="J2332" i="7"/>
  <c r="K2332" i="7" s="1"/>
  <c r="L2332" i="7" s="1"/>
  <c r="G2332" i="7"/>
  <c r="H2332" i="7" s="1"/>
  <c r="B2332" i="7"/>
  <c r="M2331" i="7"/>
  <c r="J2331" i="7"/>
  <c r="K2331" i="7" s="1"/>
  <c r="L2331" i="7" s="1"/>
  <c r="G2331" i="7"/>
  <c r="H2331" i="7" s="1"/>
  <c r="B2331" i="7"/>
  <c r="M2330" i="7"/>
  <c r="J2330" i="7"/>
  <c r="K2330" i="7" s="1"/>
  <c r="L2330" i="7" s="1"/>
  <c r="G2330" i="7"/>
  <c r="H2330" i="7" s="1"/>
  <c r="B2330" i="7"/>
  <c r="M2329" i="7"/>
  <c r="J2329" i="7"/>
  <c r="K2329" i="7" s="1"/>
  <c r="L2329" i="7" s="1"/>
  <c r="G2329" i="7"/>
  <c r="H2329" i="7" s="1"/>
  <c r="B2329" i="7"/>
  <c r="M2328" i="7"/>
  <c r="J2328" i="7"/>
  <c r="K2328" i="7" s="1"/>
  <c r="L2328" i="7" s="1"/>
  <c r="G2328" i="7"/>
  <c r="H2328" i="7" s="1"/>
  <c r="B2328" i="7"/>
  <c r="M2327" i="7"/>
  <c r="J2327" i="7"/>
  <c r="K2327" i="7" s="1"/>
  <c r="L2327" i="7" s="1"/>
  <c r="G2327" i="7"/>
  <c r="H2327" i="7" s="1"/>
  <c r="B2327" i="7"/>
  <c r="M2326" i="7"/>
  <c r="J2326" i="7"/>
  <c r="K2326" i="7" s="1"/>
  <c r="L2326" i="7" s="1"/>
  <c r="G2326" i="7"/>
  <c r="H2326" i="7" s="1"/>
  <c r="B2326" i="7"/>
  <c r="M2325" i="7"/>
  <c r="J2325" i="7"/>
  <c r="K2325" i="7" s="1"/>
  <c r="L2325" i="7" s="1"/>
  <c r="G2325" i="7"/>
  <c r="H2325" i="7" s="1"/>
  <c r="B2325" i="7"/>
  <c r="M2324" i="7"/>
  <c r="J2324" i="7"/>
  <c r="K2324" i="7" s="1"/>
  <c r="L2324" i="7" s="1"/>
  <c r="G2324" i="7"/>
  <c r="H2324" i="7" s="1"/>
  <c r="B2324" i="7"/>
  <c r="M2323" i="7"/>
  <c r="J2323" i="7"/>
  <c r="K2323" i="7" s="1"/>
  <c r="L2323" i="7" s="1"/>
  <c r="G2323" i="7"/>
  <c r="H2323" i="7" s="1"/>
  <c r="B2323" i="7"/>
  <c r="M2322" i="7"/>
  <c r="J2322" i="7"/>
  <c r="K2322" i="7" s="1"/>
  <c r="L2322" i="7" s="1"/>
  <c r="G2322" i="7"/>
  <c r="H2322" i="7" s="1"/>
  <c r="B2322" i="7"/>
  <c r="M2321" i="7"/>
  <c r="J2321" i="7"/>
  <c r="K2321" i="7" s="1"/>
  <c r="L2321" i="7" s="1"/>
  <c r="G2321" i="7"/>
  <c r="H2321" i="7" s="1"/>
  <c r="B2321" i="7"/>
  <c r="M2320" i="7"/>
  <c r="J2320" i="7"/>
  <c r="K2320" i="7" s="1"/>
  <c r="L2320" i="7" s="1"/>
  <c r="G2320" i="7"/>
  <c r="H2320" i="7" s="1"/>
  <c r="B2320" i="7"/>
  <c r="M2319" i="7"/>
  <c r="J2319" i="7"/>
  <c r="K2319" i="7" s="1"/>
  <c r="L2319" i="7" s="1"/>
  <c r="G2319" i="7"/>
  <c r="H2319" i="7" s="1"/>
  <c r="B2319" i="7"/>
  <c r="M2318" i="7"/>
  <c r="J2318" i="7"/>
  <c r="K2318" i="7" s="1"/>
  <c r="L2318" i="7" s="1"/>
  <c r="G2318" i="7"/>
  <c r="H2318" i="7" s="1"/>
  <c r="B2318" i="7"/>
  <c r="M2317" i="7"/>
  <c r="J2317" i="7"/>
  <c r="K2317" i="7" s="1"/>
  <c r="L2317" i="7" s="1"/>
  <c r="G2317" i="7"/>
  <c r="H2317" i="7" s="1"/>
  <c r="B2317" i="7"/>
  <c r="M2316" i="7"/>
  <c r="J2316" i="7"/>
  <c r="K2316" i="7" s="1"/>
  <c r="L2316" i="7" s="1"/>
  <c r="G2316" i="7"/>
  <c r="H2316" i="7" s="1"/>
  <c r="B2316" i="7"/>
  <c r="M2315" i="7"/>
  <c r="J2315" i="7"/>
  <c r="K2315" i="7" s="1"/>
  <c r="L2315" i="7" s="1"/>
  <c r="G2315" i="7"/>
  <c r="H2315" i="7" s="1"/>
  <c r="B2315" i="7"/>
  <c r="M2314" i="7"/>
  <c r="J2314" i="7"/>
  <c r="K2314" i="7" s="1"/>
  <c r="L2314" i="7" s="1"/>
  <c r="G2314" i="7"/>
  <c r="H2314" i="7" s="1"/>
  <c r="B2314" i="7"/>
  <c r="M2313" i="7"/>
  <c r="J2313" i="7"/>
  <c r="K2313" i="7" s="1"/>
  <c r="L2313" i="7" s="1"/>
  <c r="G2313" i="7"/>
  <c r="H2313" i="7" s="1"/>
  <c r="B2313" i="7"/>
  <c r="M2312" i="7"/>
  <c r="J2312" i="7"/>
  <c r="K2312" i="7" s="1"/>
  <c r="L2312" i="7" s="1"/>
  <c r="G2312" i="7"/>
  <c r="H2312" i="7" s="1"/>
  <c r="B2312" i="7"/>
  <c r="M2311" i="7"/>
  <c r="J2311" i="7"/>
  <c r="K2311" i="7" s="1"/>
  <c r="L2311" i="7" s="1"/>
  <c r="G2311" i="7"/>
  <c r="H2311" i="7" s="1"/>
  <c r="B2311" i="7"/>
  <c r="M2310" i="7"/>
  <c r="J2310" i="7"/>
  <c r="K2310" i="7" s="1"/>
  <c r="L2310" i="7" s="1"/>
  <c r="G2310" i="7"/>
  <c r="H2310" i="7" s="1"/>
  <c r="B2310" i="7"/>
  <c r="M2309" i="7"/>
  <c r="J2309" i="7"/>
  <c r="K2309" i="7" s="1"/>
  <c r="L2309" i="7" s="1"/>
  <c r="G2309" i="7"/>
  <c r="H2309" i="7" s="1"/>
  <c r="B2309" i="7"/>
  <c r="M2308" i="7"/>
  <c r="J2308" i="7"/>
  <c r="K2308" i="7" s="1"/>
  <c r="L2308" i="7" s="1"/>
  <c r="G2308" i="7"/>
  <c r="H2308" i="7" s="1"/>
  <c r="B2308" i="7"/>
  <c r="M2307" i="7"/>
  <c r="J2307" i="7"/>
  <c r="K2307" i="7" s="1"/>
  <c r="L2307" i="7" s="1"/>
  <c r="G2307" i="7"/>
  <c r="H2307" i="7" s="1"/>
  <c r="B2307" i="7"/>
  <c r="M2306" i="7"/>
  <c r="J2306" i="7"/>
  <c r="K2306" i="7" s="1"/>
  <c r="L2306" i="7" s="1"/>
  <c r="G2306" i="7"/>
  <c r="H2306" i="7" s="1"/>
  <c r="B2306" i="7"/>
  <c r="M2305" i="7"/>
  <c r="J2305" i="7"/>
  <c r="K2305" i="7" s="1"/>
  <c r="L2305" i="7" s="1"/>
  <c r="G2305" i="7"/>
  <c r="H2305" i="7" s="1"/>
  <c r="B2305" i="7"/>
  <c r="M2304" i="7"/>
  <c r="J2304" i="7"/>
  <c r="K2304" i="7" s="1"/>
  <c r="L2304" i="7" s="1"/>
  <c r="G2304" i="7"/>
  <c r="H2304" i="7" s="1"/>
  <c r="B2304" i="7"/>
  <c r="M2303" i="7"/>
  <c r="J2303" i="7"/>
  <c r="K2303" i="7" s="1"/>
  <c r="L2303" i="7" s="1"/>
  <c r="G2303" i="7"/>
  <c r="H2303" i="7" s="1"/>
  <c r="B2303" i="7"/>
  <c r="M2302" i="7"/>
  <c r="J2302" i="7"/>
  <c r="K2302" i="7" s="1"/>
  <c r="L2302" i="7" s="1"/>
  <c r="G2302" i="7"/>
  <c r="H2302" i="7" s="1"/>
  <c r="B2302" i="7"/>
  <c r="M2301" i="7"/>
  <c r="J2301" i="7"/>
  <c r="K2301" i="7" s="1"/>
  <c r="L2301" i="7" s="1"/>
  <c r="G2301" i="7"/>
  <c r="H2301" i="7" s="1"/>
  <c r="B2301" i="7"/>
  <c r="M2300" i="7"/>
  <c r="J2300" i="7"/>
  <c r="K2300" i="7" s="1"/>
  <c r="L2300" i="7" s="1"/>
  <c r="G2300" i="7"/>
  <c r="H2300" i="7" s="1"/>
  <c r="B2300" i="7"/>
  <c r="M2299" i="7"/>
  <c r="J2299" i="7"/>
  <c r="K2299" i="7" s="1"/>
  <c r="L2299" i="7" s="1"/>
  <c r="G2299" i="7"/>
  <c r="H2299" i="7" s="1"/>
  <c r="B2299" i="7"/>
  <c r="M2298" i="7"/>
  <c r="J2298" i="7"/>
  <c r="K2298" i="7" s="1"/>
  <c r="L2298" i="7" s="1"/>
  <c r="G2298" i="7"/>
  <c r="H2298" i="7" s="1"/>
  <c r="B2298" i="7"/>
  <c r="M2297" i="7"/>
  <c r="J2297" i="7"/>
  <c r="K2297" i="7" s="1"/>
  <c r="L2297" i="7" s="1"/>
  <c r="G2297" i="7"/>
  <c r="H2297" i="7" s="1"/>
  <c r="B2297" i="7"/>
  <c r="M2296" i="7"/>
  <c r="J2296" i="7"/>
  <c r="K2296" i="7" s="1"/>
  <c r="L2296" i="7" s="1"/>
  <c r="G2296" i="7"/>
  <c r="H2296" i="7" s="1"/>
  <c r="B2296" i="7"/>
  <c r="M2295" i="7"/>
  <c r="J2295" i="7"/>
  <c r="K2295" i="7" s="1"/>
  <c r="L2295" i="7" s="1"/>
  <c r="G2295" i="7"/>
  <c r="H2295" i="7" s="1"/>
  <c r="B2295" i="7"/>
  <c r="M2294" i="7"/>
  <c r="J2294" i="7"/>
  <c r="K2294" i="7" s="1"/>
  <c r="L2294" i="7" s="1"/>
  <c r="G2294" i="7"/>
  <c r="H2294" i="7" s="1"/>
  <c r="B2294" i="7"/>
  <c r="M2293" i="7"/>
  <c r="J2293" i="7"/>
  <c r="K2293" i="7" s="1"/>
  <c r="L2293" i="7" s="1"/>
  <c r="G2293" i="7"/>
  <c r="H2293" i="7" s="1"/>
  <c r="B2293" i="7"/>
  <c r="M2292" i="7"/>
  <c r="J2292" i="7"/>
  <c r="K2292" i="7" s="1"/>
  <c r="L2292" i="7" s="1"/>
  <c r="G2292" i="7"/>
  <c r="H2292" i="7" s="1"/>
  <c r="B2292" i="7"/>
  <c r="M2291" i="7"/>
  <c r="J2291" i="7"/>
  <c r="K2291" i="7" s="1"/>
  <c r="L2291" i="7" s="1"/>
  <c r="G2291" i="7"/>
  <c r="H2291" i="7" s="1"/>
  <c r="B2291" i="7"/>
  <c r="M2290" i="7"/>
  <c r="J2290" i="7"/>
  <c r="K2290" i="7" s="1"/>
  <c r="L2290" i="7" s="1"/>
  <c r="G2290" i="7"/>
  <c r="H2290" i="7" s="1"/>
  <c r="B2290" i="7"/>
  <c r="M2289" i="7"/>
  <c r="J2289" i="7"/>
  <c r="K2289" i="7" s="1"/>
  <c r="L2289" i="7" s="1"/>
  <c r="G2289" i="7"/>
  <c r="H2289" i="7" s="1"/>
  <c r="B2289" i="7"/>
  <c r="M2288" i="7"/>
  <c r="J2288" i="7"/>
  <c r="K2288" i="7" s="1"/>
  <c r="L2288" i="7" s="1"/>
  <c r="G2288" i="7"/>
  <c r="H2288" i="7" s="1"/>
  <c r="B2288" i="7"/>
  <c r="M2287" i="7"/>
  <c r="J2287" i="7"/>
  <c r="K2287" i="7" s="1"/>
  <c r="L2287" i="7" s="1"/>
  <c r="G2287" i="7"/>
  <c r="H2287" i="7" s="1"/>
  <c r="B2287" i="7"/>
  <c r="M2286" i="7"/>
  <c r="J2286" i="7"/>
  <c r="K2286" i="7" s="1"/>
  <c r="L2286" i="7" s="1"/>
  <c r="G2286" i="7"/>
  <c r="H2286" i="7" s="1"/>
  <c r="B2286" i="7"/>
  <c r="M2285" i="7"/>
  <c r="J2285" i="7"/>
  <c r="K2285" i="7" s="1"/>
  <c r="L2285" i="7" s="1"/>
  <c r="G2285" i="7"/>
  <c r="H2285" i="7" s="1"/>
  <c r="B2285" i="7"/>
  <c r="M2284" i="7"/>
  <c r="J2284" i="7"/>
  <c r="K2284" i="7" s="1"/>
  <c r="L2284" i="7" s="1"/>
  <c r="G2284" i="7"/>
  <c r="H2284" i="7" s="1"/>
  <c r="B2284" i="7"/>
  <c r="M2283" i="7"/>
  <c r="J2283" i="7"/>
  <c r="K2283" i="7" s="1"/>
  <c r="L2283" i="7" s="1"/>
  <c r="G2283" i="7"/>
  <c r="H2283" i="7" s="1"/>
  <c r="B2283" i="7"/>
  <c r="M2282" i="7"/>
  <c r="J2282" i="7"/>
  <c r="K2282" i="7" s="1"/>
  <c r="L2282" i="7" s="1"/>
  <c r="G2282" i="7"/>
  <c r="H2282" i="7" s="1"/>
  <c r="B2282" i="7"/>
  <c r="M2281" i="7"/>
  <c r="J2281" i="7"/>
  <c r="K2281" i="7" s="1"/>
  <c r="L2281" i="7" s="1"/>
  <c r="G2281" i="7"/>
  <c r="H2281" i="7" s="1"/>
  <c r="B2281" i="7"/>
  <c r="M2280" i="7"/>
  <c r="J2280" i="7"/>
  <c r="K2280" i="7" s="1"/>
  <c r="L2280" i="7" s="1"/>
  <c r="G2280" i="7"/>
  <c r="H2280" i="7" s="1"/>
  <c r="B2280" i="7"/>
  <c r="M2279" i="7"/>
  <c r="J2279" i="7"/>
  <c r="K2279" i="7" s="1"/>
  <c r="L2279" i="7" s="1"/>
  <c r="G2279" i="7"/>
  <c r="H2279" i="7" s="1"/>
  <c r="B2279" i="7"/>
  <c r="M2278" i="7"/>
  <c r="J2278" i="7"/>
  <c r="K2278" i="7" s="1"/>
  <c r="L2278" i="7" s="1"/>
  <c r="G2278" i="7"/>
  <c r="H2278" i="7" s="1"/>
  <c r="B2278" i="7"/>
  <c r="M2277" i="7"/>
  <c r="J2277" i="7"/>
  <c r="K2277" i="7" s="1"/>
  <c r="L2277" i="7" s="1"/>
  <c r="G2277" i="7"/>
  <c r="H2277" i="7" s="1"/>
  <c r="B2277" i="7"/>
  <c r="M2276" i="7"/>
  <c r="J2276" i="7"/>
  <c r="K2276" i="7" s="1"/>
  <c r="L2276" i="7" s="1"/>
  <c r="G2276" i="7"/>
  <c r="H2276" i="7" s="1"/>
  <c r="B2276" i="7"/>
  <c r="M2275" i="7"/>
  <c r="J2275" i="7"/>
  <c r="K2275" i="7" s="1"/>
  <c r="L2275" i="7" s="1"/>
  <c r="G2275" i="7"/>
  <c r="H2275" i="7" s="1"/>
  <c r="B2275" i="7"/>
  <c r="M2274" i="7"/>
  <c r="J2274" i="7"/>
  <c r="K2274" i="7" s="1"/>
  <c r="L2274" i="7" s="1"/>
  <c r="G2274" i="7"/>
  <c r="H2274" i="7" s="1"/>
  <c r="B2274" i="7"/>
  <c r="M2273" i="7"/>
  <c r="J2273" i="7"/>
  <c r="K2273" i="7" s="1"/>
  <c r="L2273" i="7" s="1"/>
  <c r="G2273" i="7"/>
  <c r="H2273" i="7" s="1"/>
  <c r="B2273" i="7"/>
  <c r="M2272" i="7"/>
  <c r="J2272" i="7"/>
  <c r="K2272" i="7" s="1"/>
  <c r="L2272" i="7" s="1"/>
  <c r="G2272" i="7"/>
  <c r="H2272" i="7" s="1"/>
  <c r="B2272" i="7"/>
  <c r="M2271" i="7"/>
  <c r="J2271" i="7"/>
  <c r="K2271" i="7" s="1"/>
  <c r="L2271" i="7" s="1"/>
  <c r="G2271" i="7"/>
  <c r="H2271" i="7" s="1"/>
  <c r="B2271" i="7"/>
  <c r="M2270" i="7"/>
  <c r="J2270" i="7"/>
  <c r="K2270" i="7" s="1"/>
  <c r="L2270" i="7" s="1"/>
  <c r="G2270" i="7"/>
  <c r="H2270" i="7" s="1"/>
  <c r="B2270" i="7"/>
  <c r="M2269" i="7"/>
  <c r="J2269" i="7"/>
  <c r="K2269" i="7" s="1"/>
  <c r="L2269" i="7" s="1"/>
  <c r="G2269" i="7"/>
  <c r="H2269" i="7" s="1"/>
  <c r="B2269" i="7"/>
  <c r="M2268" i="7"/>
  <c r="J2268" i="7"/>
  <c r="K2268" i="7" s="1"/>
  <c r="L2268" i="7" s="1"/>
  <c r="G2268" i="7"/>
  <c r="H2268" i="7" s="1"/>
  <c r="B2268" i="7"/>
  <c r="M2267" i="7"/>
  <c r="J2267" i="7"/>
  <c r="K2267" i="7" s="1"/>
  <c r="L2267" i="7" s="1"/>
  <c r="G2267" i="7"/>
  <c r="H2267" i="7" s="1"/>
  <c r="B2267" i="7"/>
  <c r="M2266" i="7"/>
  <c r="J2266" i="7"/>
  <c r="K2266" i="7" s="1"/>
  <c r="L2266" i="7" s="1"/>
  <c r="G2266" i="7"/>
  <c r="H2266" i="7" s="1"/>
  <c r="B2266" i="7"/>
  <c r="M2265" i="7"/>
  <c r="J2265" i="7"/>
  <c r="K2265" i="7" s="1"/>
  <c r="L2265" i="7" s="1"/>
  <c r="G2265" i="7"/>
  <c r="H2265" i="7" s="1"/>
  <c r="B2265" i="7"/>
  <c r="M2264" i="7"/>
  <c r="J2264" i="7"/>
  <c r="K2264" i="7" s="1"/>
  <c r="L2264" i="7" s="1"/>
  <c r="G2264" i="7"/>
  <c r="H2264" i="7" s="1"/>
  <c r="B2264" i="7"/>
  <c r="M2263" i="7"/>
  <c r="J2263" i="7"/>
  <c r="K2263" i="7" s="1"/>
  <c r="L2263" i="7" s="1"/>
  <c r="G2263" i="7"/>
  <c r="H2263" i="7" s="1"/>
  <c r="B2263" i="7"/>
  <c r="M2262" i="7"/>
  <c r="J2262" i="7"/>
  <c r="K2262" i="7" s="1"/>
  <c r="L2262" i="7" s="1"/>
  <c r="G2262" i="7"/>
  <c r="H2262" i="7" s="1"/>
  <c r="B2262" i="7"/>
  <c r="M2261" i="7"/>
  <c r="J2261" i="7"/>
  <c r="K2261" i="7" s="1"/>
  <c r="L2261" i="7" s="1"/>
  <c r="G2261" i="7"/>
  <c r="H2261" i="7" s="1"/>
  <c r="B2261" i="7"/>
  <c r="M2260" i="7"/>
  <c r="J2260" i="7"/>
  <c r="K2260" i="7" s="1"/>
  <c r="L2260" i="7" s="1"/>
  <c r="G2260" i="7"/>
  <c r="H2260" i="7" s="1"/>
  <c r="B2260" i="7"/>
  <c r="M2259" i="7"/>
  <c r="J2259" i="7"/>
  <c r="K2259" i="7" s="1"/>
  <c r="L2259" i="7" s="1"/>
  <c r="G2259" i="7"/>
  <c r="H2259" i="7" s="1"/>
  <c r="B2259" i="7"/>
  <c r="M2258" i="7"/>
  <c r="J2258" i="7"/>
  <c r="K2258" i="7" s="1"/>
  <c r="L2258" i="7" s="1"/>
  <c r="G2258" i="7"/>
  <c r="H2258" i="7" s="1"/>
  <c r="B2258" i="7"/>
  <c r="M2257" i="7"/>
  <c r="J2257" i="7"/>
  <c r="K2257" i="7" s="1"/>
  <c r="L2257" i="7" s="1"/>
  <c r="G2257" i="7"/>
  <c r="H2257" i="7" s="1"/>
  <c r="B2257" i="7"/>
  <c r="M2256" i="7"/>
  <c r="J2256" i="7"/>
  <c r="K2256" i="7" s="1"/>
  <c r="L2256" i="7" s="1"/>
  <c r="G2256" i="7"/>
  <c r="H2256" i="7" s="1"/>
  <c r="B2256" i="7"/>
  <c r="M2255" i="7"/>
  <c r="J2255" i="7"/>
  <c r="K2255" i="7" s="1"/>
  <c r="L2255" i="7" s="1"/>
  <c r="G2255" i="7"/>
  <c r="H2255" i="7" s="1"/>
  <c r="B2255" i="7"/>
  <c r="M2254" i="7"/>
  <c r="J2254" i="7"/>
  <c r="K2254" i="7" s="1"/>
  <c r="L2254" i="7" s="1"/>
  <c r="G2254" i="7"/>
  <c r="H2254" i="7" s="1"/>
  <c r="B2254" i="7"/>
  <c r="M2253" i="7"/>
  <c r="J2253" i="7"/>
  <c r="K2253" i="7" s="1"/>
  <c r="L2253" i="7" s="1"/>
  <c r="G2253" i="7"/>
  <c r="H2253" i="7" s="1"/>
  <c r="B2253" i="7"/>
  <c r="M2252" i="7"/>
  <c r="J2252" i="7"/>
  <c r="K2252" i="7" s="1"/>
  <c r="L2252" i="7" s="1"/>
  <c r="G2252" i="7"/>
  <c r="H2252" i="7" s="1"/>
  <c r="B2252" i="7"/>
  <c r="M2251" i="7"/>
  <c r="J2251" i="7"/>
  <c r="K2251" i="7" s="1"/>
  <c r="L2251" i="7" s="1"/>
  <c r="G2251" i="7"/>
  <c r="H2251" i="7" s="1"/>
  <c r="B2251" i="7"/>
  <c r="M2250" i="7"/>
  <c r="J2250" i="7"/>
  <c r="K2250" i="7" s="1"/>
  <c r="L2250" i="7" s="1"/>
  <c r="G2250" i="7"/>
  <c r="H2250" i="7" s="1"/>
  <c r="B2250" i="7"/>
  <c r="M2249" i="7"/>
  <c r="J2249" i="7"/>
  <c r="K2249" i="7" s="1"/>
  <c r="L2249" i="7" s="1"/>
  <c r="G2249" i="7"/>
  <c r="H2249" i="7" s="1"/>
  <c r="B2249" i="7"/>
  <c r="M2248" i="7"/>
  <c r="J2248" i="7"/>
  <c r="K2248" i="7" s="1"/>
  <c r="L2248" i="7" s="1"/>
  <c r="G2248" i="7"/>
  <c r="H2248" i="7" s="1"/>
  <c r="B2248" i="7"/>
  <c r="M2247" i="7"/>
  <c r="J2247" i="7"/>
  <c r="K2247" i="7" s="1"/>
  <c r="L2247" i="7" s="1"/>
  <c r="G2247" i="7"/>
  <c r="H2247" i="7" s="1"/>
  <c r="B2247" i="7"/>
  <c r="M2246" i="7"/>
  <c r="J2246" i="7"/>
  <c r="K2246" i="7" s="1"/>
  <c r="L2246" i="7" s="1"/>
  <c r="G2246" i="7"/>
  <c r="H2246" i="7" s="1"/>
  <c r="B2246" i="7"/>
  <c r="M2245" i="7"/>
  <c r="J2245" i="7"/>
  <c r="K2245" i="7" s="1"/>
  <c r="L2245" i="7" s="1"/>
  <c r="G2245" i="7"/>
  <c r="H2245" i="7" s="1"/>
  <c r="B2245" i="7"/>
  <c r="M2244" i="7"/>
  <c r="J2244" i="7"/>
  <c r="K2244" i="7" s="1"/>
  <c r="L2244" i="7" s="1"/>
  <c r="G2244" i="7"/>
  <c r="H2244" i="7" s="1"/>
  <c r="B2244" i="7"/>
  <c r="M2243" i="7"/>
  <c r="J2243" i="7"/>
  <c r="K2243" i="7" s="1"/>
  <c r="L2243" i="7" s="1"/>
  <c r="G2243" i="7"/>
  <c r="H2243" i="7" s="1"/>
  <c r="B2243" i="7"/>
  <c r="M2242" i="7"/>
  <c r="J2242" i="7"/>
  <c r="K2242" i="7" s="1"/>
  <c r="L2242" i="7" s="1"/>
  <c r="G2242" i="7"/>
  <c r="H2242" i="7" s="1"/>
  <c r="B2242" i="7"/>
  <c r="M2241" i="7"/>
  <c r="J2241" i="7"/>
  <c r="K2241" i="7" s="1"/>
  <c r="L2241" i="7" s="1"/>
  <c r="G2241" i="7"/>
  <c r="H2241" i="7" s="1"/>
  <c r="B2241" i="7"/>
  <c r="M2240" i="7"/>
  <c r="J2240" i="7"/>
  <c r="K2240" i="7" s="1"/>
  <c r="L2240" i="7" s="1"/>
  <c r="G2240" i="7"/>
  <c r="H2240" i="7" s="1"/>
  <c r="B2240" i="7"/>
  <c r="M2239" i="7"/>
  <c r="J2239" i="7"/>
  <c r="K2239" i="7" s="1"/>
  <c r="L2239" i="7" s="1"/>
  <c r="G2239" i="7"/>
  <c r="H2239" i="7" s="1"/>
  <c r="B2239" i="7"/>
  <c r="M2238" i="7"/>
  <c r="J2238" i="7"/>
  <c r="K2238" i="7" s="1"/>
  <c r="L2238" i="7" s="1"/>
  <c r="G2238" i="7"/>
  <c r="H2238" i="7" s="1"/>
  <c r="B2238" i="7"/>
  <c r="M2237" i="7"/>
  <c r="J2237" i="7"/>
  <c r="K2237" i="7" s="1"/>
  <c r="L2237" i="7" s="1"/>
  <c r="G2237" i="7"/>
  <c r="H2237" i="7" s="1"/>
  <c r="B2237" i="7"/>
  <c r="M2236" i="7"/>
  <c r="J2236" i="7"/>
  <c r="K2236" i="7" s="1"/>
  <c r="L2236" i="7" s="1"/>
  <c r="G2236" i="7"/>
  <c r="H2236" i="7" s="1"/>
  <c r="B2236" i="7"/>
  <c r="M2235" i="7"/>
  <c r="J2235" i="7"/>
  <c r="K2235" i="7" s="1"/>
  <c r="L2235" i="7" s="1"/>
  <c r="G2235" i="7"/>
  <c r="H2235" i="7" s="1"/>
  <c r="B2235" i="7"/>
  <c r="M2234" i="7"/>
  <c r="J2234" i="7"/>
  <c r="K2234" i="7" s="1"/>
  <c r="L2234" i="7" s="1"/>
  <c r="G2234" i="7"/>
  <c r="H2234" i="7" s="1"/>
  <c r="B2234" i="7"/>
  <c r="M2233" i="7"/>
  <c r="J2233" i="7"/>
  <c r="K2233" i="7" s="1"/>
  <c r="L2233" i="7" s="1"/>
  <c r="G2233" i="7"/>
  <c r="H2233" i="7" s="1"/>
  <c r="B2233" i="7"/>
  <c r="M2232" i="7"/>
  <c r="J2232" i="7"/>
  <c r="K2232" i="7" s="1"/>
  <c r="L2232" i="7" s="1"/>
  <c r="G2232" i="7"/>
  <c r="H2232" i="7" s="1"/>
  <c r="B2232" i="7"/>
  <c r="M2231" i="7"/>
  <c r="J2231" i="7"/>
  <c r="K2231" i="7" s="1"/>
  <c r="L2231" i="7" s="1"/>
  <c r="G2231" i="7"/>
  <c r="H2231" i="7" s="1"/>
  <c r="B2231" i="7"/>
  <c r="M2230" i="7"/>
  <c r="J2230" i="7"/>
  <c r="K2230" i="7" s="1"/>
  <c r="L2230" i="7" s="1"/>
  <c r="G2230" i="7"/>
  <c r="H2230" i="7" s="1"/>
  <c r="B2230" i="7"/>
  <c r="M2229" i="7"/>
  <c r="J2229" i="7"/>
  <c r="K2229" i="7" s="1"/>
  <c r="L2229" i="7" s="1"/>
  <c r="G2229" i="7"/>
  <c r="H2229" i="7" s="1"/>
  <c r="B2229" i="7"/>
  <c r="M2228" i="7"/>
  <c r="J2228" i="7"/>
  <c r="K2228" i="7" s="1"/>
  <c r="L2228" i="7" s="1"/>
  <c r="G2228" i="7"/>
  <c r="H2228" i="7" s="1"/>
  <c r="B2228" i="7"/>
  <c r="M2227" i="7"/>
  <c r="J2227" i="7"/>
  <c r="K2227" i="7" s="1"/>
  <c r="L2227" i="7" s="1"/>
  <c r="G2227" i="7"/>
  <c r="H2227" i="7" s="1"/>
  <c r="B2227" i="7"/>
  <c r="M2226" i="7"/>
  <c r="J2226" i="7"/>
  <c r="K2226" i="7" s="1"/>
  <c r="L2226" i="7" s="1"/>
  <c r="G2226" i="7"/>
  <c r="H2226" i="7" s="1"/>
  <c r="B2226" i="7"/>
  <c r="M2225" i="7"/>
  <c r="J2225" i="7"/>
  <c r="K2225" i="7" s="1"/>
  <c r="L2225" i="7" s="1"/>
  <c r="G2225" i="7"/>
  <c r="H2225" i="7" s="1"/>
  <c r="B2225" i="7"/>
  <c r="M2224" i="7"/>
  <c r="J2224" i="7"/>
  <c r="K2224" i="7" s="1"/>
  <c r="L2224" i="7" s="1"/>
  <c r="G2224" i="7"/>
  <c r="H2224" i="7" s="1"/>
  <c r="B2224" i="7"/>
  <c r="M2223" i="7"/>
  <c r="J2223" i="7"/>
  <c r="K2223" i="7" s="1"/>
  <c r="L2223" i="7" s="1"/>
  <c r="G2223" i="7"/>
  <c r="H2223" i="7" s="1"/>
  <c r="B2223" i="7"/>
  <c r="M2222" i="7"/>
  <c r="J2222" i="7"/>
  <c r="K2222" i="7" s="1"/>
  <c r="L2222" i="7" s="1"/>
  <c r="G2222" i="7"/>
  <c r="H2222" i="7" s="1"/>
  <c r="B2222" i="7"/>
  <c r="M2221" i="7"/>
  <c r="J2221" i="7"/>
  <c r="K2221" i="7" s="1"/>
  <c r="L2221" i="7" s="1"/>
  <c r="G2221" i="7"/>
  <c r="H2221" i="7" s="1"/>
  <c r="B2221" i="7"/>
  <c r="M2220" i="7"/>
  <c r="J2220" i="7"/>
  <c r="K2220" i="7" s="1"/>
  <c r="L2220" i="7" s="1"/>
  <c r="G2220" i="7"/>
  <c r="H2220" i="7" s="1"/>
  <c r="B2220" i="7"/>
  <c r="M2219" i="7"/>
  <c r="J2219" i="7"/>
  <c r="K2219" i="7" s="1"/>
  <c r="L2219" i="7" s="1"/>
  <c r="G2219" i="7"/>
  <c r="H2219" i="7" s="1"/>
  <c r="B2219" i="7"/>
  <c r="M2218" i="7"/>
  <c r="J2218" i="7"/>
  <c r="K2218" i="7" s="1"/>
  <c r="L2218" i="7" s="1"/>
  <c r="G2218" i="7"/>
  <c r="H2218" i="7" s="1"/>
  <c r="B2218" i="7"/>
  <c r="M2217" i="7"/>
  <c r="J2217" i="7"/>
  <c r="K2217" i="7" s="1"/>
  <c r="L2217" i="7" s="1"/>
  <c r="G2217" i="7"/>
  <c r="H2217" i="7" s="1"/>
  <c r="B2217" i="7"/>
  <c r="M2216" i="7"/>
  <c r="J2216" i="7"/>
  <c r="K2216" i="7" s="1"/>
  <c r="L2216" i="7" s="1"/>
  <c r="G2216" i="7"/>
  <c r="H2216" i="7" s="1"/>
  <c r="B2216" i="7"/>
  <c r="M2215" i="7"/>
  <c r="J2215" i="7"/>
  <c r="K2215" i="7" s="1"/>
  <c r="L2215" i="7" s="1"/>
  <c r="G2215" i="7"/>
  <c r="H2215" i="7" s="1"/>
  <c r="B2215" i="7"/>
  <c r="M2214" i="7"/>
  <c r="J2214" i="7"/>
  <c r="K2214" i="7" s="1"/>
  <c r="L2214" i="7" s="1"/>
  <c r="G2214" i="7"/>
  <c r="H2214" i="7" s="1"/>
  <c r="B2214" i="7"/>
  <c r="M2213" i="7"/>
  <c r="J2213" i="7"/>
  <c r="K2213" i="7" s="1"/>
  <c r="L2213" i="7" s="1"/>
  <c r="G2213" i="7"/>
  <c r="H2213" i="7" s="1"/>
  <c r="B2213" i="7"/>
  <c r="M2212" i="7"/>
  <c r="J2212" i="7"/>
  <c r="K2212" i="7" s="1"/>
  <c r="L2212" i="7" s="1"/>
  <c r="G2212" i="7"/>
  <c r="H2212" i="7" s="1"/>
  <c r="B2212" i="7"/>
  <c r="M2211" i="7"/>
  <c r="J2211" i="7"/>
  <c r="K2211" i="7" s="1"/>
  <c r="L2211" i="7" s="1"/>
  <c r="G2211" i="7"/>
  <c r="H2211" i="7" s="1"/>
  <c r="B2211" i="7"/>
  <c r="M2210" i="7"/>
  <c r="J2210" i="7"/>
  <c r="K2210" i="7" s="1"/>
  <c r="L2210" i="7" s="1"/>
  <c r="G2210" i="7"/>
  <c r="H2210" i="7" s="1"/>
  <c r="B2210" i="7"/>
  <c r="M2209" i="7"/>
  <c r="J2209" i="7"/>
  <c r="K2209" i="7" s="1"/>
  <c r="L2209" i="7" s="1"/>
  <c r="G2209" i="7"/>
  <c r="H2209" i="7" s="1"/>
  <c r="B2209" i="7"/>
  <c r="M2208" i="7"/>
  <c r="J2208" i="7"/>
  <c r="K2208" i="7" s="1"/>
  <c r="L2208" i="7" s="1"/>
  <c r="G2208" i="7"/>
  <c r="H2208" i="7" s="1"/>
  <c r="B2208" i="7"/>
  <c r="M2207" i="7"/>
  <c r="J2207" i="7"/>
  <c r="K2207" i="7" s="1"/>
  <c r="L2207" i="7" s="1"/>
  <c r="G2207" i="7"/>
  <c r="H2207" i="7" s="1"/>
  <c r="B2207" i="7"/>
  <c r="M2206" i="7"/>
  <c r="J2206" i="7"/>
  <c r="K2206" i="7" s="1"/>
  <c r="L2206" i="7" s="1"/>
  <c r="G2206" i="7"/>
  <c r="H2206" i="7" s="1"/>
  <c r="B2206" i="7"/>
  <c r="M2205" i="7"/>
  <c r="J2205" i="7"/>
  <c r="K2205" i="7" s="1"/>
  <c r="L2205" i="7" s="1"/>
  <c r="G2205" i="7"/>
  <c r="H2205" i="7" s="1"/>
  <c r="B2205" i="7"/>
  <c r="M2204" i="7"/>
  <c r="J2204" i="7"/>
  <c r="K2204" i="7" s="1"/>
  <c r="L2204" i="7" s="1"/>
  <c r="G2204" i="7"/>
  <c r="H2204" i="7" s="1"/>
  <c r="B2204" i="7"/>
  <c r="M2203" i="7"/>
  <c r="J2203" i="7"/>
  <c r="K2203" i="7" s="1"/>
  <c r="L2203" i="7" s="1"/>
  <c r="G2203" i="7"/>
  <c r="H2203" i="7" s="1"/>
  <c r="B2203" i="7"/>
  <c r="M2202" i="7"/>
  <c r="J2202" i="7"/>
  <c r="K2202" i="7" s="1"/>
  <c r="L2202" i="7" s="1"/>
  <c r="G2202" i="7"/>
  <c r="H2202" i="7" s="1"/>
  <c r="B2202" i="7"/>
  <c r="M2201" i="7"/>
  <c r="J2201" i="7"/>
  <c r="K2201" i="7" s="1"/>
  <c r="L2201" i="7" s="1"/>
  <c r="G2201" i="7"/>
  <c r="H2201" i="7" s="1"/>
  <c r="B2201" i="7"/>
  <c r="M2200" i="7"/>
  <c r="J2200" i="7"/>
  <c r="K2200" i="7" s="1"/>
  <c r="L2200" i="7" s="1"/>
  <c r="G2200" i="7"/>
  <c r="H2200" i="7" s="1"/>
  <c r="B2200" i="7"/>
  <c r="M2199" i="7"/>
  <c r="J2199" i="7"/>
  <c r="K2199" i="7" s="1"/>
  <c r="L2199" i="7" s="1"/>
  <c r="G2199" i="7"/>
  <c r="H2199" i="7" s="1"/>
  <c r="B2199" i="7"/>
  <c r="M2198" i="7"/>
  <c r="J2198" i="7"/>
  <c r="K2198" i="7" s="1"/>
  <c r="L2198" i="7" s="1"/>
  <c r="G2198" i="7"/>
  <c r="H2198" i="7" s="1"/>
  <c r="B2198" i="7"/>
  <c r="M2197" i="7"/>
  <c r="J2197" i="7"/>
  <c r="K2197" i="7" s="1"/>
  <c r="L2197" i="7" s="1"/>
  <c r="G2197" i="7"/>
  <c r="H2197" i="7" s="1"/>
  <c r="B2197" i="7"/>
  <c r="M2196" i="7"/>
  <c r="J2196" i="7"/>
  <c r="K2196" i="7" s="1"/>
  <c r="L2196" i="7" s="1"/>
  <c r="G2196" i="7"/>
  <c r="H2196" i="7" s="1"/>
  <c r="B2196" i="7"/>
  <c r="M2195" i="7"/>
  <c r="J2195" i="7"/>
  <c r="K2195" i="7" s="1"/>
  <c r="L2195" i="7" s="1"/>
  <c r="G2195" i="7"/>
  <c r="H2195" i="7" s="1"/>
  <c r="B2195" i="7"/>
  <c r="M2194" i="7"/>
  <c r="J2194" i="7"/>
  <c r="K2194" i="7" s="1"/>
  <c r="L2194" i="7" s="1"/>
  <c r="G2194" i="7"/>
  <c r="H2194" i="7" s="1"/>
  <c r="B2194" i="7"/>
  <c r="M2193" i="7"/>
  <c r="J2193" i="7"/>
  <c r="K2193" i="7" s="1"/>
  <c r="L2193" i="7" s="1"/>
  <c r="G2193" i="7"/>
  <c r="H2193" i="7" s="1"/>
  <c r="B2193" i="7"/>
  <c r="M2192" i="7"/>
  <c r="J2192" i="7"/>
  <c r="K2192" i="7" s="1"/>
  <c r="L2192" i="7" s="1"/>
  <c r="G2192" i="7"/>
  <c r="H2192" i="7" s="1"/>
  <c r="B2192" i="7"/>
  <c r="M2191" i="7"/>
  <c r="J2191" i="7"/>
  <c r="K2191" i="7" s="1"/>
  <c r="L2191" i="7" s="1"/>
  <c r="G2191" i="7"/>
  <c r="H2191" i="7" s="1"/>
  <c r="B2191" i="7"/>
  <c r="M2190" i="7"/>
  <c r="J2190" i="7"/>
  <c r="K2190" i="7" s="1"/>
  <c r="L2190" i="7" s="1"/>
  <c r="G2190" i="7"/>
  <c r="H2190" i="7" s="1"/>
  <c r="B2190" i="7"/>
  <c r="M2189" i="7"/>
  <c r="J2189" i="7"/>
  <c r="K2189" i="7" s="1"/>
  <c r="L2189" i="7" s="1"/>
  <c r="G2189" i="7"/>
  <c r="H2189" i="7" s="1"/>
  <c r="B2189" i="7"/>
  <c r="M2188" i="7"/>
  <c r="J2188" i="7"/>
  <c r="K2188" i="7" s="1"/>
  <c r="L2188" i="7" s="1"/>
  <c r="G2188" i="7"/>
  <c r="H2188" i="7" s="1"/>
  <c r="B2188" i="7"/>
  <c r="M2187" i="7"/>
  <c r="J2187" i="7"/>
  <c r="K2187" i="7" s="1"/>
  <c r="L2187" i="7" s="1"/>
  <c r="G2187" i="7"/>
  <c r="H2187" i="7" s="1"/>
  <c r="B2187" i="7"/>
  <c r="M2186" i="7"/>
  <c r="J2186" i="7"/>
  <c r="K2186" i="7" s="1"/>
  <c r="L2186" i="7" s="1"/>
  <c r="G2186" i="7"/>
  <c r="H2186" i="7" s="1"/>
  <c r="B2186" i="7"/>
  <c r="M2185" i="7"/>
  <c r="J2185" i="7"/>
  <c r="K2185" i="7" s="1"/>
  <c r="L2185" i="7" s="1"/>
  <c r="G2185" i="7"/>
  <c r="H2185" i="7" s="1"/>
  <c r="B2185" i="7"/>
  <c r="M2184" i="7"/>
  <c r="J2184" i="7"/>
  <c r="K2184" i="7" s="1"/>
  <c r="L2184" i="7" s="1"/>
  <c r="G2184" i="7"/>
  <c r="H2184" i="7" s="1"/>
  <c r="B2184" i="7"/>
  <c r="M2183" i="7"/>
  <c r="J2183" i="7"/>
  <c r="K2183" i="7" s="1"/>
  <c r="L2183" i="7" s="1"/>
  <c r="G2183" i="7"/>
  <c r="H2183" i="7" s="1"/>
  <c r="B2183" i="7"/>
  <c r="M2182" i="7"/>
  <c r="J2182" i="7"/>
  <c r="K2182" i="7" s="1"/>
  <c r="L2182" i="7" s="1"/>
  <c r="G2182" i="7"/>
  <c r="H2182" i="7" s="1"/>
  <c r="B2182" i="7"/>
  <c r="M2181" i="7"/>
  <c r="J2181" i="7"/>
  <c r="K2181" i="7" s="1"/>
  <c r="L2181" i="7" s="1"/>
  <c r="G2181" i="7"/>
  <c r="H2181" i="7" s="1"/>
  <c r="B2181" i="7"/>
  <c r="M2180" i="7"/>
  <c r="J2180" i="7"/>
  <c r="K2180" i="7" s="1"/>
  <c r="L2180" i="7" s="1"/>
  <c r="G2180" i="7"/>
  <c r="H2180" i="7" s="1"/>
  <c r="B2180" i="7"/>
  <c r="M2179" i="7"/>
  <c r="J2179" i="7"/>
  <c r="K2179" i="7" s="1"/>
  <c r="L2179" i="7" s="1"/>
  <c r="G2179" i="7"/>
  <c r="H2179" i="7" s="1"/>
  <c r="B2179" i="7"/>
  <c r="M2178" i="7"/>
  <c r="J2178" i="7"/>
  <c r="K2178" i="7" s="1"/>
  <c r="L2178" i="7" s="1"/>
  <c r="G2178" i="7"/>
  <c r="H2178" i="7" s="1"/>
  <c r="B2178" i="7"/>
  <c r="M2177" i="7"/>
  <c r="J2177" i="7"/>
  <c r="K2177" i="7" s="1"/>
  <c r="L2177" i="7" s="1"/>
  <c r="G2177" i="7"/>
  <c r="H2177" i="7" s="1"/>
  <c r="B2177" i="7"/>
  <c r="M2176" i="7"/>
  <c r="J2176" i="7"/>
  <c r="K2176" i="7" s="1"/>
  <c r="L2176" i="7" s="1"/>
  <c r="G2176" i="7"/>
  <c r="H2176" i="7" s="1"/>
  <c r="B2176" i="7"/>
  <c r="M2175" i="7"/>
  <c r="J2175" i="7"/>
  <c r="K2175" i="7" s="1"/>
  <c r="L2175" i="7" s="1"/>
  <c r="G2175" i="7"/>
  <c r="H2175" i="7" s="1"/>
  <c r="B2175" i="7"/>
  <c r="M2174" i="7"/>
  <c r="J2174" i="7"/>
  <c r="K2174" i="7" s="1"/>
  <c r="L2174" i="7" s="1"/>
  <c r="G2174" i="7"/>
  <c r="H2174" i="7" s="1"/>
  <c r="B2174" i="7"/>
  <c r="M2173" i="7"/>
  <c r="J2173" i="7"/>
  <c r="K2173" i="7" s="1"/>
  <c r="L2173" i="7" s="1"/>
  <c r="G2173" i="7"/>
  <c r="H2173" i="7" s="1"/>
  <c r="B2173" i="7"/>
  <c r="M2172" i="7"/>
  <c r="J2172" i="7"/>
  <c r="K2172" i="7" s="1"/>
  <c r="L2172" i="7" s="1"/>
  <c r="G2172" i="7"/>
  <c r="H2172" i="7" s="1"/>
  <c r="B2172" i="7"/>
  <c r="M2171" i="7"/>
  <c r="J2171" i="7"/>
  <c r="K2171" i="7" s="1"/>
  <c r="L2171" i="7" s="1"/>
  <c r="G2171" i="7"/>
  <c r="H2171" i="7" s="1"/>
  <c r="B2171" i="7"/>
  <c r="M2170" i="7"/>
  <c r="J2170" i="7"/>
  <c r="K2170" i="7" s="1"/>
  <c r="L2170" i="7" s="1"/>
  <c r="G2170" i="7"/>
  <c r="H2170" i="7" s="1"/>
  <c r="B2170" i="7"/>
  <c r="M2169" i="7"/>
  <c r="J2169" i="7"/>
  <c r="K2169" i="7" s="1"/>
  <c r="L2169" i="7" s="1"/>
  <c r="G2169" i="7"/>
  <c r="H2169" i="7" s="1"/>
  <c r="B2169" i="7"/>
  <c r="M2168" i="7"/>
  <c r="J2168" i="7"/>
  <c r="K2168" i="7" s="1"/>
  <c r="L2168" i="7" s="1"/>
  <c r="G2168" i="7"/>
  <c r="H2168" i="7" s="1"/>
  <c r="B2168" i="7"/>
  <c r="M2167" i="7"/>
  <c r="J2167" i="7"/>
  <c r="K2167" i="7" s="1"/>
  <c r="L2167" i="7" s="1"/>
  <c r="G2167" i="7"/>
  <c r="H2167" i="7" s="1"/>
  <c r="B2167" i="7"/>
  <c r="M2166" i="7"/>
  <c r="J2166" i="7"/>
  <c r="K2166" i="7" s="1"/>
  <c r="L2166" i="7" s="1"/>
  <c r="G2166" i="7"/>
  <c r="H2166" i="7" s="1"/>
  <c r="B2166" i="7"/>
  <c r="M2165" i="7"/>
  <c r="J2165" i="7"/>
  <c r="K2165" i="7" s="1"/>
  <c r="L2165" i="7" s="1"/>
  <c r="G2165" i="7"/>
  <c r="H2165" i="7" s="1"/>
  <c r="B2165" i="7"/>
  <c r="M2164" i="7"/>
  <c r="J2164" i="7"/>
  <c r="K2164" i="7" s="1"/>
  <c r="L2164" i="7" s="1"/>
  <c r="G2164" i="7"/>
  <c r="H2164" i="7" s="1"/>
  <c r="B2164" i="7"/>
  <c r="M2163" i="7"/>
  <c r="J2163" i="7"/>
  <c r="K2163" i="7" s="1"/>
  <c r="L2163" i="7" s="1"/>
  <c r="G2163" i="7"/>
  <c r="H2163" i="7" s="1"/>
  <c r="B2163" i="7"/>
  <c r="M2162" i="7"/>
  <c r="J2162" i="7"/>
  <c r="K2162" i="7" s="1"/>
  <c r="L2162" i="7" s="1"/>
  <c r="G2162" i="7"/>
  <c r="H2162" i="7" s="1"/>
  <c r="B2162" i="7"/>
  <c r="M2161" i="7"/>
  <c r="J2161" i="7"/>
  <c r="K2161" i="7" s="1"/>
  <c r="L2161" i="7" s="1"/>
  <c r="G2161" i="7"/>
  <c r="H2161" i="7" s="1"/>
  <c r="B2161" i="7"/>
  <c r="M2160" i="7"/>
  <c r="J2160" i="7"/>
  <c r="K2160" i="7" s="1"/>
  <c r="L2160" i="7" s="1"/>
  <c r="G2160" i="7"/>
  <c r="H2160" i="7" s="1"/>
  <c r="B2160" i="7"/>
  <c r="M2159" i="7"/>
  <c r="J2159" i="7"/>
  <c r="K2159" i="7" s="1"/>
  <c r="L2159" i="7" s="1"/>
  <c r="G2159" i="7"/>
  <c r="H2159" i="7" s="1"/>
  <c r="B2159" i="7"/>
  <c r="M2158" i="7"/>
  <c r="J2158" i="7"/>
  <c r="K2158" i="7" s="1"/>
  <c r="L2158" i="7" s="1"/>
  <c r="G2158" i="7"/>
  <c r="H2158" i="7" s="1"/>
  <c r="B2158" i="7"/>
  <c r="M2157" i="7"/>
  <c r="J2157" i="7"/>
  <c r="K2157" i="7" s="1"/>
  <c r="L2157" i="7" s="1"/>
  <c r="G2157" i="7"/>
  <c r="H2157" i="7" s="1"/>
  <c r="B2157" i="7"/>
  <c r="M2156" i="7"/>
  <c r="J2156" i="7"/>
  <c r="K2156" i="7" s="1"/>
  <c r="L2156" i="7" s="1"/>
  <c r="G2156" i="7"/>
  <c r="H2156" i="7" s="1"/>
  <c r="B2156" i="7"/>
  <c r="M2155" i="7"/>
  <c r="J2155" i="7"/>
  <c r="K2155" i="7" s="1"/>
  <c r="L2155" i="7" s="1"/>
  <c r="G2155" i="7"/>
  <c r="H2155" i="7" s="1"/>
  <c r="B2155" i="7"/>
  <c r="M2154" i="7"/>
  <c r="J2154" i="7"/>
  <c r="K2154" i="7" s="1"/>
  <c r="L2154" i="7" s="1"/>
  <c r="G2154" i="7"/>
  <c r="H2154" i="7" s="1"/>
  <c r="B2154" i="7"/>
  <c r="M2153" i="7"/>
  <c r="J2153" i="7"/>
  <c r="K2153" i="7" s="1"/>
  <c r="L2153" i="7" s="1"/>
  <c r="G2153" i="7"/>
  <c r="H2153" i="7" s="1"/>
  <c r="B2153" i="7"/>
  <c r="M2152" i="7"/>
  <c r="J2152" i="7"/>
  <c r="K2152" i="7" s="1"/>
  <c r="L2152" i="7" s="1"/>
  <c r="G2152" i="7"/>
  <c r="H2152" i="7" s="1"/>
  <c r="B2152" i="7"/>
  <c r="M2151" i="7"/>
  <c r="J2151" i="7"/>
  <c r="K2151" i="7" s="1"/>
  <c r="L2151" i="7" s="1"/>
  <c r="G2151" i="7"/>
  <c r="H2151" i="7" s="1"/>
  <c r="B2151" i="7"/>
  <c r="M2150" i="7"/>
  <c r="J2150" i="7"/>
  <c r="K2150" i="7" s="1"/>
  <c r="L2150" i="7" s="1"/>
  <c r="G2150" i="7"/>
  <c r="H2150" i="7" s="1"/>
  <c r="B2150" i="7"/>
  <c r="M2149" i="7"/>
  <c r="J2149" i="7"/>
  <c r="K2149" i="7" s="1"/>
  <c r="L2149" i="7" s="1"/>
  <c r="G2149" i="7"/>
  <c r="H2149" i="7" s="1"/>
  <c r="B2149" i="7"/>
  <c r="M2148" i="7"/>
  <c r="J2148" i="7"/>
  <c r="K2148" i="7" s="1"/>
  <c r="L2148" i="7" s="1"/>
  <c r="G2148" i="7"/>
  <c r="H2148" i="7" s="1"/>
  <c r="B2148" i="7"/>
  <c r="M2147" i="7"/>
  <c r="J2147" i="7"/>
  <c r="K2147" i="7" s="1"/>
  <c r="L2147" i="7" s="1"/>
  <c r="G2147" i="7"/>
  <c r="H2147" i="7" s="1"/>
  <c r="B2147" i="7"/>
  <c r="M2146" i="7"/>
  <c r="J2146" i="7"/>
  <c r="K2146" i="7" s="1"/>
  <c r="L2146" i="7" s="1"/>
  <c r="G2146" i="7"/>
  <c r="H2146" i="7" s="1"/>
  <c r="B2146" i="7"/>
  <c r="M2145" i="7"/>
  <c r="J2145" i="7"/>
  <c r="K2145" i="7" s="1"/>
  <c r="L2145" i="7" s="1"/>
  <c r="G2145" i="7"/>
  <c r="H2145" i="7" s="1"/>
  <c r="B2145" i="7"/>
  <c r="M2144" i="7"/>
  <c r="J2144" i="7"/>
  <c r="K2144" i="7" s="1"/>
  <c r="L2144" i="7" s="1"/>
  <c r="G2144" i="7"/>
  <c r="H2144" i="7" s="1"/>
  <c r="B2144" i="7"/>
  <c r="M2143" i="7"/>
  <c r="J2143" i="7"/>
  <c r="K2143" i="7" s="1"/>
  <c r="L2143" i="7" s="1"/>
  <c r="G2143" i="7"/>
  <c r="H2143" i="7" s="1"/>
  <c r="B2143" i="7"/>
  <c r="M2142" i="7"/>
  <c r="J2142" i="7"/>
  <c r="K2142" i="7" s="1"/>
  <c r="L2142" i="7" s="1"/>
  <c r="G2142" i="7"/>
  <c r="H2142" i="7" s="1"/>
  <c r="B2142" i="7"/>
  <c r="M2141" i="7"/>
  <c r="J2141" i="7"/>
  <c r="K2141" i="7" s="1"/>
  <c r="L2141" i="7" s="1"/>
  <c r="G2141" i="7"/>
  <c r="H2141" i="7" s="1"/>
  <c r="B2141" i="7"/>
  <c r="M2140" i="7"/>
  <c r="J2140" i="7"/>
  <c r="K2140" i="7" s="1"/>
  <c r="L2140" i="7" s="1"/>
  <c r="G2140" i="7"/>
  <c r="H2140" i="7" s="1"/>
  <c r="B2140" i="7"/>
  <c r="M2139" i="7"/>
  <c r="J2139" i="7"/>
  <c r="K2139" i="7" s="1"/>
  <c r="L2139" i="7" s="1"/>
  <c r="G2139" i="7"/>
  <c r="H2139" i="7" s="1"/>
  <c r="B2139" i="7"/>
  <c r="M2138" i="7"/>
  <c r="J2138" i="7"/>
  <c r="K2138" i="7" s="1"/>
  <c r="L2138" i="7" s="1"/>
  <c r="G2138" i="7"/>
  <c r="H2138" i="7" s="1"/>
  <c r="B2138" i="7"/>
  <c r="M2137" i="7"/>
  <c r="J2137" i="7"/>
  <c r="K2137" i="7" s="1"/>
  <c r="L2137" i="7" s="1"/>
  <c r="G2137" i="7"/>
  <c r="H2137" i="7" s="1"/>
  <c r="B2137" i="7"/>
  <c r="M2136" i="7"/>
  <c r="J2136" i="7"/>
  <c r="K2136" i="7" s="1"/>
  <c r="L2136" i="7" s="1"/>
  <c r="G2136" i="7"/>
  <c r="H2136" i="7" s="1"/>
  <c r="B2136" i="7"/>
  <c r="M2135" i="7"/>
  <c r="J2135" i="7"/>
  <c r="K2135" i="7" s="1"/>
  <c r="L2135" i="7" s="1"/>
  <c r="G2135" i="7"/>
  <c r="H2135" i="7" s="1"/>
  <c r="B2135" i="7"/>
  <c r="M2134" i="7"/>
  <c r="J2134" i="7"/>
  <c r="K2134" i="7" s="1"/>
  <c r="L2134" i="7" s="1"/>
  <c r="G2134" i="7"/>
  <c r="H2134" i="7" s="1"/>
  <c r="B2134" i="7"/>
  <c r="M2133" i="7"/>
  <c r="J2133" i="7"/>
  <c r="K2133" i="7" s="1"/>
  <c r="L2133" i="7" s="1"/>
  <c r="G2133" i="7"/>
  <c r="H2133" i="7" s="1"/>
  <c r="B2133" i="7"/>
  <c r="M2132" i="7"/>
  <c r="J2132" i="7"/>
  <c r="K2132" i="7" s="1"/>
  <c r="L2132" i="7" s="1"/>
  <c r="G2132" i="7"/>
  <c r="H2132" i="7" s="1"/>
  <c r="B2132" i="7"/>
  <c r="M2131" i="7"/>
  <c r="J2131" i="7"/>
  <c r="K2131" i="7" s="1"/>
  <c r="L2131" i="7" s="1"/>
  <c r="G2131" i="7"/>
  <c r="H2131" i="7" s="1"/>
  <c r="B2131" i="7"/>
  <c r="M2130" i="7"/>
  <c r="J2130" i="7"/>
  <c r="K2130" i="7" s="1"/>
  <c r="L2130" i="7" s="1"/>
  <c r="G2130" i="7"/>
  <c r="H2130" i="7" s="1"/>
  <c r="B2130" i="7"/>
  <c r="M2129" i="7"/>
  <c r="J2129" i="7"/>
  <c r="K2129" i="7" s="1"/>
  <c r="L2129" i="7" s="1"/>
  <c r="G2129" i="7"/>
  <c r="H2129" i="7" s="1"/>
  <c r="B2129" i="7"/>
  <c r="M2128" i="7"/>
  <c r="J2128" i="7"/>
  <c r="K2128" i="7" s="1"/>
  <c r="L2128" i="7" s="1"/>
  <c r="G2128" i="7"/>
  <c r="H2128" i="7" s="1"/>
  <c r="B2128" i="7"/>
  <c r="M2127" i="7"/>
  <c r="J2127" i="7"/>
  <c r="K2127" i="7" s="1"/>
  <c r="L2127" i="7" s="1"/>
  <c r="G2127" i="7"/>
  <c r="H2127" i="7" s="1"/>
  <c r="B2127" i="7"/>
  <c r="M2126" i="7"/>
  <c r="J2126" i="7"/>
  <c r="K2126" i="7" s="1"/>
  <c r="L2126" i="7" s="1"/>
  <c r="G2126" i="7"/>
  <c r="H2126" i="7" s="1"/>
  <c r="B2126" i="7"/>
  <c r="M2125" i="7"/>
  <c r="J2125" i="7"/>
  <c r="K2125" i="7" s="1"/>
  <c r="L2125" i="7" s="1"/>
  <c r="G2125" i="7"/>
  <c r="H2125" i="7" s="1"/>
  <c r="B2125" i="7"/>
  <c r="M2124" i="7"/>
  <c r="J2124" i="7"/>
  <c r="K2124" i="7" s="1"/>
  <c r="L2124" i="7" s="1"/>
  <c r="G2124" i="7"/>
  <c r="H2124" i="7" s="1"/>
  <c r="B2124" i="7"/>
  <c r="M2123" i="7"/>
  <c r="J2123" i="7"/>
  <c r="K2123" i="7" s="1"/>
  <c r="L2123" i="7" s="1"/>
  <c r="G2123" i="7"/>
  <c r="H2123" i="7" s="1"/>
  <c r="B2123" i="7"/>
  <c r="M2122" i="7"/>
  <c r="J2122" i="7"/>
  <c r="K2122" i="7" s="1"/>
  <c r="L2122" i="7" s="1"/>
  <c r="G2122" i="7"/>
  <c r="H2122" i="7" s="1"/>
  <c r="B2122" i="7"/>
  <c r="M2121" i="7"/>
  <c r="J2121" i="7"/>
  <c r="K2121" i="7" s="1"/>
  <c r="L2121" i="7" s="1"/>
  <c r="G2121" i="7"/>
  <c r="H2121" i="7" s="1"/>
  <c r="B2121" i="7"/>
  <c r="M2120" i="7"/>
  <c r="J2120" i="7"/>
  <c r="K2120" i="7" s="1"/>
  <c r="L2120" i="7" s="1"/>
  <c r="G2120" i="7"/>
  <c r="H2120" i="7" s="1"/>
  <c r="B2120" i="7"/>
  <c r="M2119" i="7"/>
  <c r="J2119" i="7"/>
  <c r="K2119" i="7" s="1"/>
  <c r="L2119" i="7" s="1"/>
  <c r="G2119" i="7"/>
  <c r="H2119" i="7" s="1"/>
  <c r="B2119" i="7"/>
  <c r="M2118" i="7"/>
  <c r="J2118" i="7"/>
  <c r="K2118" i="7" s="1"/>
  <c r="L2118" i="7" s="1"/>
  <c r="G2118" i="7"/>
  <c r="H2118" i="7" s="1"/>
  <c r="B2118" i="7"/>
  <c r="M2117" i="7"/>
  <c r="J2117" i="7"/>
  <c r="K2117" i="7" s="1"/>
  <c r="L2117" i="7" s="1"/>
  <c r="G2117" i="7"/>
  <c r="H2117" i="7" s="1"/>
  <c r="B2117" i="7"/>
  <c r="M2116" i="7"/>
  <c r="J2116" i="7"/>
  <c r="K2116" i="7" s="1"/>
  <c r="L2116" i="7" s="1"/>
  <c r="G2116" i="7"/>
  <c r="H2116" i="7" s="1"/>
  <c r="B2116" i="7"/>
  <c r="M2115" i="7"/>
  <c r="J2115" i="7"/>
  <c r="K2115" i="7" s="1"/>
  <c r="L2115" i="7" s="1"/>
  <c r="G2115" i="7"/>
  <c r="H2115" i="7" s="1"/>
  <c r="B2115" i="7"/>
  <c r="M2114" i="7"/>
  <c r="J2114" i="7"/>
  <c r="K2114" i="7" s="1"/>
  <c r="L2114" i="7" s="1"/>
  <c r="G2114" i="7"/>
  <c r="H2114" i="7" s="1"/>
  <c r="B2114" i="7"/>
  <c r="M2113" i="7"/>
  <c r="J2113" i="7"/>
  <c r="K2113" i="7" s="1"/>
  <c r="L2113" i="7" s="1"/>
  <c r="G2113" i="7"/>
  <c r="H2113" i="7" s="1"/>
  <c r="B2113" i="7"/>
  <c r="M2112" i="7"/>
  <c r="J2112" i="7"/>
  <c r="K2112" i="7" s="1"/>
  <c r="L2112" i="7" s="1"/>
  <c r="G2112" i="7"/>
  <c r="H2112" i="7" s="1"/>
  <c r="B2112" i="7"/>
  <c r="M2111" i="7"/>
  <c r="J2111" i="7"/>
  <c r="K2111" i="7" s="1"/>
  <c r="L2111" i="7" s="1"/>
  <c r="G2111" i="7"/>
  <c r="H2111" i="7" s="1"/>
  <c r="B2111" i="7"/>
  <c r="M2110" i="7"/>
  <c r="J2110" i="7"/>
  <c r="K2110" i="7" s="1"/>
  <c r="L2110" i="7" s="1"/>
  <c r="G2110" i="7"/>
  <c r="H2110" i="7" s="1"/>
  <c r="B2110" i="7"/>
  <c r="M2109" i="7"/>
  <c r="J2109" i="7"/>
  <c r="K2109" i="7" s="1"/>
  <c r="L2109" i="7" s="1"/>
  <c r="G2109" i="7"/>
  <c r="H2109" i="7" s="1"/>
  <c r="B2109" i="7"/>
  <c r="M2108" i="7"/>
  <c r="J2108" i="7"/>
  <c r="K2108" i="7" s="1"/>
  <c r="L2108" i="7" s="1"/>
  <c r="G2108" i="7"/>
  <c r="H2108" i="7" s="1"/>
  <c r="B2108" i="7"/>
  <c r="M2107" i="7"/>
  <c r="J2107" i="7"/>
  <c r="K2107" i="7" s="1"/>
  <c r="L2107" i="7" s="1"/>
  <c r="G2107" i="7"/>
  <c r="H2107" i="7" s="1"/>
  <c r="B2107" i="7"/>
  <c r="M2106" i="7"/>
  <c r="J2106" i="7"/>
  <c r="K2106" i="7" s="1"/>
  <c r="L2106" i="7" s="1"/>
  <c r="G2106" i="7"/>
  <c r="H2106" i="7" s="1"/>
  <c r="B2106" i="7"/>
  <c r="M2105" i="7"/>
  <c r="J2105" i="7"/>
  <c r="K2105" i="7" s="1"/>
  <c r="L2105" i="7" s="1"/>
  <c r="G2105" i="7"/>
  <c r="H2105" i="7" s="1"/>
  <c r="B2105" i="7"/>
  <c r="M2104" i="7"/>
  <c r="J2104" i="7"/>
  <c r="K2104" i="7" s="1"/>
  <c r="L2104" i="7" s="1"/>
  <c r="G2104" i="7"/>
  <c r="H2104" i="7" s="1"/>
  <c r="B2104" i="7"/>
  <c r="M2103" i="7"/>
  <c r="J2103" i="7"/>
  <c r="K2103" i="7" s="1"/>
  <c r="L2103" i="7" s="1"/>
  <c r="G2103" i="7"/>
  <c r="H2103" i="7" s="1"/>
  <c r="B2103" i="7"/>
  <c r="M2102" i="7"/>
  <c r="J2102" i="7"/>
  <c r="K2102" i="7" s="1"/>
  <c r="L2102" i="7" s="1"/>
  <c r="G2102" i="7"/>
  <c r="H2102" i="7" s="1"/>
  <c r="B2102" i="7"/>
  <c r="M2101" i="7"/>
  <c r="J2101" i="7"/>
  <c r="K2101" i="7" s="1"/>
  <c r="L2101" i="7" s="1"/>
  <c r="G2101" i="7"/>
  <c r="H2101" i="7" s="1"/>
  <c r="B2101" i="7"/>
  <c r="M2100" i="7"/>
  <c r="J2100" i="7"/>
  <c r="K2100" i="7" s="1"/>
  <c r="L2100" i="7" s="1"/>
  <c r="G2100" i="7"/>
  <c r="H2100" i="7" s="1"/>
  <c r="B2100" i="7"/>
  <c r="M2099" i="7"/>
  <c r="J2099" i="7"/>
  <c r="K2099" i="7" s="1"/>
  <c r="L2099" i="7" s="1"/>
  <c r="G2099" i="7"/>
  <c r="H2099" i="7" s="1"/>
  <c r="B2099" i="7"/>
  <c r="M2098" i="7"/>
  <c r="J2098" i="7"/>
  <c r="K2098" i="7" s="1"/>
  <c r="L2098" i="7" s="1"/>
  <c r="G2098" i="7"/>
  <c r="H2098" i="7" s="1"/>
  <c r="B2098" i="7"/>
  <c r="M2097" i="7"/>
  <c r="J2097" i="7"/>
  <c r="K2097" i="7" s="1"/>
  <c r="L2097" i="7" s="1"/>
  <c r="G2097" i="7"/>
  <c r="H2097" i="7" s="1"/>
  <c r="B2097" i="7"/>
  <c r="M2096" i="7"/>
  <c r="J2096" i="7"/>
  <c r="K2096" i="7" s="1"/>
  <c r="L2096" i="7" s="1"/>
  <c r="G2096" i="7"/>
  <c r="H2096" i="7" s="1"/>
  <c r="B2096" i="7"/>
  <c r="M2095" i="7"/>
  <c r="J2095" i="7"/>
  <c r="K2095" i="7" s="1"/>
  <c r="L2095" i="7" s="1"/>
  <c r="G2095" i="7"/>
  <c r="H2095" i="7" s="1"/>
  <c r="B2095" i="7"/>
  <c r="M2094" i="7"/>
  <c r="J2094" i="7"/>
  <c r="K2094" i="7" s="1"/>
  <c r="L2094" i="7" s="1"/>
  <c r="G2094" i="7"/>
  <c r="H2094" i="7" s="1"/>
  <c r="B2094" i="7"/>
  <c r="M2093" i="7"/>
  <c r="J2093" i="7"/>
  <c r="K2093" i="7" s="1"/>
  <c r="L2093" i="7" s="1"/>
  <c r="G2093" i="7"/>
  <c r="H2093" i="7" s="1"/>
  <c r="B2093" i="7"/>
  <c r="M2092" i="7"/>
  <c r="J2092" i="7"/>
  <c r="K2092" i="7" s="1"/>
  <c r="L2092" i="7" s="1"/>
  <c r="G2092" i="7"/>
  <c r="H2092" i="7" s="1"/>
  <c r="B2092" i="7"/>
  <c r="M2091" i="7"/>
  <c r="J2091" i="7"/>
  <c r="K2091" i="7" s="1"/>
  <c r="L2091" i="7" s="1"/>
  <c r="G2091" i="7"/>
  <c r="H2091" i="7" s="1"/>
  <c r="B2091" i="7"/>
  <c r="M2090" i="7"/>
  <c r="J2090" i="7"/>
  <c r="K2090" i="7" s="1"/>
  <c r="L2090" i="7" s="1"/>
  <c r="G2090" i="7"/>
  <c r="H2090" i="7" s="1"/>
  <c r="B2090" i="7"/>
  <c r="M2089" i="7"/>
  <c r="J2089" i="7"/>
  <c r="K2089" i="7" s="1"/>
  <c r="L2089" i="7" s="1"/>
  <c r="G2089" i="7"/>
  <c r="H2089" i="7" s="1"/>
  <c r="B2089" i="7"/>
  <c r="M2088" i="7"/>
  <c r="J2088" i="7"/>
  <c r="K2088" i="7" s="1"/>
  <c r="L2088" i="7" s="1"/>
  <c r="G2088" i="7"/>
  <c r="H2088" i="7" s="1"/>
  <c r="B2088" i="7"/>
  <c r="M2087" i="7"/>
  <c r="J2087" i="7"/>
  <c r="K2087" i="7" s="1"/>
  <c r="L2087" i="7" s="1"/>
  <c r="G2087" i="7"/>
  <c r="H2087" i="7" s="1"/>
  <c r="B2087" i="7"/>
  <c r="M2086" i="7"/>
  <c r="J2086" i="7"/>
  <c r="K2086" i="7" s="1"/>
  <c r="L2086" i="7" s="1"/>
  <c r="G2086" i="7"/>
  <c r="H2086" i="7" s="1"/>
  <c r="B2086" i="7"/>
  <c r="M2085" i="7"/>
  <c r="J2085" i="7"/>
  <c r="K2085" i="7" s="1"/>
  <c r="L2085" i="7" s="1"/>
  <c r="G2085" i="7"/>
  <c r="H2085" i="7" s="1"/>
  <c r="B2085" i="7"/>
  <c r="M2084" i="7"/>
  <c r="J2084" i="7"/>
  <c r="K2084" i="7" s="1"/>
  <c r="L2084" i="7" s="1"/>
  <c r="G2084" i="7"/>
  <c r="H2084" i="7" s="1"/>
  <c r="B2084" i="7"/>
  <c r="M2083" i="7"/>
  <c r="J2083" i="7"/>
  <c r="K2083" i="7" s="1"/>
  <c r="L2083" i="7" s="1"/>
  <c r="G2083" i="7"/>
  <c r="H2083" i="7" s="1"/>
  <c r="B2083" i="7"/>
  <c r="M2082" i="7"/>
  <c r="J2082" i="7"/>
  <c r="K2082" i="7" s="1"/>
  <c r="L2082" i="7" s="1"/>
  <c r="G2082" i="7"/>
  <c r="H2082" i="7" s="1"/>
  <c r="B2082" i="7"/>
  <c r="M2081" i="7"/>
  <c r="J2081" i="7"/>
  <c r="K2081" i="7" s="1"/>
  <c r="L2081" i="7" s="1"/>
  <c r="G2081" i="7"/>
  <c r="H2081" i="7" s="1"/>
  <c r="B2081" i="7"/>
  <c r="M2080" i="7"/>
  <c r="J2080" i="7"/>
  <c r="K2080" i="7" s="1"/>
  <c r="L2080" i="7" s="1"/>
  <c r="G2080" i="7"/>
  <c r="H2080" i="7" s="1"/>
  <c r="B2080" i="7"/>
  <c r="M2079" i="7"/>
  <c r="J2079" i="7"/>
  <c r="K2079" i="7" s="1"/>
  <c r="L2079" i="7" s="1"/>
  <c r="G2079" i="7"/>
  <c r="H2079" i="7" s="1"/>
  <c r="B2079" i="7"/>
  <c r="M2078" i="7"/>
  <c r="J2078" i="7"/>
  <c r="K2078" i="7" s="1"/>
  <c r="L2078" i="7" s="1"/>
  <c r="G2078" i="7"/>
  <c r="H2078" i="7" s="1"/>
  <c r="B2078" i="7"/>
  <c r="M2077" i="7"/>
  <c r="J2077" i="7"/>
  <c r="K2077" i="7" s="1"/>
  <c r="L2077" i="7" s="1"/>
  <c r="G2077" i="7"/>
  <c r="H2077" i="7" s="1"/>
  <c r="B2077" i="7"/>
  <c r="M2076" i="7"/>
  <c r="J2076" i="7"/>
  <c r="K2076" i="7" s="1"/>
  <c r="L2076" i="7" s="1"/>
  <c r="G2076" i="7"/>
  <c r="H2076" i="7" s="1"/>
  <c r="B2076" i="7"/>
  <c r="M2075" i="7"/>
  <c r="J2075" i="7"/>
  <c r="K2075" i="7" s="1"/>
  <c r="L2075" i="7" s="1"/>
  <c r="G2075" i="7"/>
  <c r="H2075" i="7" s="1"/>
  <c r="B2075" i="7"/>
  <c r="M2074" i="7"/>
  <c r="J2074" i="7"/>
  <c r="K2074" i="7" s="1"/>
  <c r="L2074" i="7" s="1"/>
  <c r="G2074" i="7"/>
  <c r="H2074" i="7" s="1"/>
  <c r="B2074" i="7"/>
  <c r="M2073" i="7"/>
  <c r="J2073" i="7"/>
  <c r="K2073" i="7" s="1"/>
  <c r="L2073" i="7" s="1"/>
  <c r="G2073" i="7"/>
  <c r="H2073" i="7" s="1"/>
  <c r="B2073" i="7"/>
  <c r="M2072" i="7"/>
  <c r="J2072" i="7"/>
  <c r="K2072" i="7" s="1"/>
  <c r="L2072" i="7" s="1"/>
  <c r="G2072" i="7"/>
  <c r="H2072" i="7" s="1"/>
  <c r="B2072" i="7"/>
  <c r="M2071" i="7"/>
  <c r="J2071" i="7"/>
  <c r="K2071" i="7" s="1"/>
  <c r="L2071" i="7" s="1"/>
  <c r="G2071" i="7"/>
  <c r="H2071" i="7" s="1"/>
  <c r="B2071" i="7"/>
  <c r="M2070" i="7"/>
  <c r="J2070" i="7"/>
  <c r="K2070" i="7" s="1"/>
  <c r="L2070" i="7" s="1"/>
  <c r="G2070" i="7"/>
  <c r="H2070" i="7" s="1"/>
  <c r="B2070" i="7"/>
  <c r="M2069" i="7"/>
  <c r="J2069" i="7"/>
  <c r="K2069" i="7" s="1"/>
  <c r="L2069" i="7" s="1"/>
  <c r="G2069" i="7"/>
  <c r="H2069" i="7" s="1"/>
  <c r="B2069" i="7"/>
  <c r="M2068" i="7"/>
  <c r="J2068" i="7"/>
  <c r="K2068" i="7" s="1"/>
  <c r="L2068" i="7" s="1"/>
  <c r="G2068" i="7"/>
  <c r="H2068" i="7" s="1"/>
  <c r="B2068" i="7"/>
  <c r="M2067" i="7"/>
  <c r="J2067" i="7"/>
  <c r="K2067" i="7" s="1"/>
  <c r="L2067" i="7" s="1"/>
  <c r="G2067" i="7"/>
  <c r="H2067" i="7" s="1"/>
  <c r="B2067" i="7"/>
  <c r="M2066" i="7"/>
  <c r="J2066" i="7"/>
  <c r="K2066" i="7" s="1"/>
  <c r="L2066" i="7" s="1"/>
  <c r="G2066" i="7"/>
  <c r="H2066" i="7" s="1"/>
  <c r="B2066" i="7"/>
  <c r="M2065" i="7"/>
  <c r="J2065" i="7"/>
  <c r="K2065" i="7" s="1"/>
  <c r="L2065" i="7" s="1"/>
  <c r="G2065" i="7"/>
  <c r="H2065" i="7" s="1"/>
  <c r="B2065" i="7"/>
  <c r="M2064" i="7"/>
  <c r="J2064" i="7"/>
  <c r="K2064" i="7" s="1"/>
  <c r="L2064" i="7" s="1"/>
  <c r="G2064" i="7"/>
  <c r="H2064" i="7" s="1"/>
  <c r="B2064" i="7"/>
  <c r="M2063" i="7"/>
  <c r="J2063" i="7"/>
  <c r="K2063" i="7" s="1"/>
  <c r="L2063" i="7" s="1"/>
  <c r="G2063" i="7"/>
  <c r="H2063" i="7" s="1"/>
  <c r="B2063" i="7"/>
  <c r="M2062" i="7"/>
  <c r="J2062" i="7"/>
  <c r="K2062" i="7" s="1"/>
  <c r="L2062" i="7" s="1"/>
  <c r="G2062" i="7"/>
  <c r="H2062" i="7" s="1"/>
  <c r="B2062" i="7"/>
  <c r="M2061" i="7"/>
  <c r="J2061" i="7"/>
  <c r="K2061" i="7" s="1"/>
  <c r="L2061" i="7" s="1"/>
  <c r="G2061" i="7"/>
  <c r="H2061" i="7" s="1"/>
  <c r="B2061" i="7"/>
  <c r="M2060" i="7"/>
  <c r="J2060" i="7"/>
  <c r="K2060" i="7" s="1"/>
  <c r="L2060" i="7" s="1"/>
  <c r="G2060" i="7"/>
  <c r="H2060" i="7" s="1"/>
  <c r="B2060" i="7"/>
  <c r="M2059" i="7"/>
  <c r="J2059" i="7"/>
  <c r="K2059" i="7" s="1"/>
  <c r="L2059" i="7" s="1"/>
  <c r="G2059" i="7"/>
  <c r="H2059" i="7" s="1"/>
  <c r="B2059" i="7"/>
  <c r="M2058" i="7"/>
  <c r="J2058" i="7"/>
  <c r="K2058" i="7" s="1"/>
  <c r="L2058" i="7" s="1"/>
  <c r="G2058" i="7"/>
  <c r="H2058" i="7" s="1"/>
  <c r="B2058" i="7"/>
  <c r="M2057" i="7"/>
  <c r="J2057" i="7"/>
  <c r="K2057" i="7" s="1"/>
  <c r="L2057" i="7" s="1"/>
  <c r="G2057" i="7"/>
  <c r="H2057" i="7" s="1"/>
  <c r="B2057" i="7"/>
  <c r="M2056" i="7"/>
  <c r="J2056" i="7"/>
  <c r="K2056" i="7" s="1"/>
  <c r="L2056" i="7" s="1"/>
  <c r="G2056" i="7"/>
  <c r="H2056" i="7" s="1"/>
  <c r="B2056" i="7"/>
  <c r="M2055" i="7"/>
  <c r="J2055" i="7"/>
  <c r="K2055" i="7" s="1"/>
  <c r="L2055" i="7" s="1"/>
  <c r="G2055" i="7"/>
  <c r="H2055" i="7" s="1"/>
  <c r="B2055" i="7"/>
  <c r="M2054" i="7"/>
  <c r="J2054" i="7"/>
  <c r="K2054" i="7" s="1"/>
  <c r="L2054" i="7" s="1"/>
  <c r="G2054" i="7"/>
  <c r="H2054" i="7" s="1"/>
  <c r="B2054" i="7"/>
  <c r="M2053" i="7"/>
  <c r="J2053" i="7"/>
  <c r="K2053" i="7" s="1"/>
  <c r="L2053" i="7" s="1"/>
  <c r="G2053" i="7"/>
  <c r="H2053" i="7" s="1"/>
  <c r="B2053" i="7"/>
  <c r="M2052" i="7"/>
  <c r="J2052" i="7"/>
  <c r="K2052" i="7" s="1"/>
  <c r="L2052" i="7" s="1"/>
  <c r="G2052" i="7"/>
  <c r="H2052" i="7" s="1"/>
  <c r="B2052" i="7"/>
  <c r="M2051" i="7"/>
  <c r="J2051" i="7"/>
  <c r="K2051" i="7" s="1"/>
  <c r="L2051" i="7" s="1"/>
  <c r="G2051" i="7"/>
  <c r="H2051" i="7" s="1"/>
  <c r="B2051" i="7"/>
  <c r="M2050" i="7"/>
  <c r="J2050" i="7"/>
  <c r="K2050" i="7" s="1"/>
  <c r="L2050" i="7" s="1"/>
  <c r="G2050" i="7"/>
  <c r="H2050" i="7" s="1"/>
  <c r="B2050" i="7"/>
  <c r="M2049" i="7"/>
  <c r="J2049" i="7"/>
  <c r="K2049" i="7" s="1"/>
  <c r="L2049" i="7" s="1"/>
  <c r="G2049" i="7"/>
  <c r="H2049" i="7" s="1"/>
  <c r="B2049" i="7"/>
  <c r="M2048" i="7"/>
  <c r="J2048" i="7"/>
  <c r="K2048" i="7" s="1"/>
  <c r="L2048" i="7" s="1"/>
  <c r="G2048" i="7"/>
  <c r="H2048" i="7" s="1"/>
  <c r="B2048" i="7"/>
  <c r="M2047" i="7"/>
  <c r="J2047" i="7"/>
  <c r="K2047" i="7" s="1"/>
  <c r="L2047" i="7" s="1"/>
  <c r="G2047" i="7"/>
  <c r="H2047" i="7" s="1"/>
  <c r="B2047" i="7"/>
  <c r="M2046" i="7"/>
  <c r="J2046" i="7"/>
  <c r="K2046" i="7" s="1"/>
  <c r="L2046" i="7" s="1"/>
  <c r="G2046" i="7"/>
  <c r="H2046" i="7" s="1"/>
  <c r="B2046" i="7"/>
  <c r="M2045" i="7"/>
  <c r="J2045" i="7"/>
  <c r="K2045" i="7" s="1"/>
  <c r="L2045" i="7" s="1"/>
  <c r="G2045" i="7"/>
  <c r="H2045" i="7" s="1"/>
  <c r="B2045" i="7"/>
  <c r="M2044" i="7"/>
  <c r="J2044" i="7"/>
  <c r="K2044" i="7" s="1"/>
  <c r="L2044" i="7" s="1"/>
  <c r="G2044" i="7"/>
  <c r="H2044" i="7" s="1"/>
  <c r="B2044" i="7"/>
  <c r="M2043" i="7"/>
  <c r="J2043" i="7"/>
  <c r="K2043" i="7" s="1"/>
  <c r="L2043" i="7" s="1"/>
  <c r="G2043" i="7"/>
  <c r="H2043" i="7" s="1"/>
  <c r="B2043" i="7"/>
  <c r="M2042" i="7"/>
  <c r="J2042" i="7"/>
  <c r="K2042" i="7" s="1"/>
  <c r="L2042" i="7" s="1"/>
  <c r="G2042" i="7"/>
  <c r="H2042" i="7" s="1"/>
  <c r="B2042" i="7"/>
  <c r="M2041" i="7"/>
  <c r="J2041" i="7"/>
  <c r="K2041" i="7" s="1"/>
  <c r="L2041" i="7" s="1"/>
  <c r="G2041" i="7"/>
  <c r="H2041" i="7" s="1"/>
  <c r="B2041" i="7"/>
  <c r="M2040" i="7"/>
  <c r="J2040" i="7"/>
  <c r="K2040" i="7" s="1"/>
  <c r="L2040" i="7" s="1"/>
  <c r="G2040" i="7"/>
  <c r="H2040" i="7" s="1"/>
  <c r="B2040" i="7"/>
  <c r="M2039" i="7"/>
  <c r="J2039" i="7"/>
  <c r="K2039" i="7" s="1"/>
  <c r="L2039" i="7" s="1"/>
  <c r="G2039" i="7"/>
  <c r="H2039" i="7" s="1"/>
  <c r="B2039" i="7"/>
  <c r="M2038" i="7"/>
  <c r="J2038" i="7"/>
  <c r="K2038" i="7" s="1"/>
  <c r="L2038" i="7" s="1"/>
  <c r="G2038" i="7"/>
  <c r="H2038" i="7" s="1"/>
  <c r="B2038" i="7"/>
  <c r="M2037" i="7"/>
  <c r="J2037" i="7"/>
  <c r="K2037" i="7" s="1"/>
  <c r="L2037" i="7" s="1"/>
  <c r="G2037" i="7"/>
  <c r="H2037" i="7" s="1"/>
  <c r="B2037" i="7"/>
  <c r="M2036" i="7"/>
  <c r="J2036" i="7"/>
  <c r="K2036" i="7" s="1"/>
  <c r="L2036" i="7" s="1"/>
  <c r="G2036" i="7"/>
  <c r="H2036" i="7" s="1"/>
  <c r="B2036" i="7"/>
  <c r="M2035" i="7"/>
  <c r="J2035" i="7"/>
  <c r="K2035" i="7" s="1"/>
  <c r="L2035" i="7" s="1"/>
  <c r="G2035" i="7"/>
  <c r="H2035" i="7" s="1"/>
  <c r="B2035" i="7"/>
  <c r="M2034" i="7"/>
  <c r="J2034" i="7"/>
  <c r="K2034" i="7" s="1"/>
  <c r="L2034" i="7" s="1"/>
  <c r="G2034" i="7"/>
  <c r="H2034" i="7" s="1"/>
  <c r="B2034" i="7"/>
  <c r="M2033" i="7"/>
  <c r="J2033" i="7"/>
  <c r="K2033" i="7" s="1"/>
  <c r="L2033" i="7" s="1"/>
  <c r="G2033" i="7"/>
  <c r="H2033" i="7" s="1"/>
  <c r="B2033" i="7"/>
  <c r="M2032" i="7"/>
  <c r="J2032" i="7"/>
  <c r="K2032" i="7" s="1"/>
  <c r="L2032" i="7" s="1"/>
  <c r="G2032" i="7"/>
  <c r="H2032" i="7" s="1"/>
  <c r="B2032" i="7"/>
  <c r="M2031" i="7"/>
  <c r="J2031" i="7"/>
  <c r="K2031" i="7" s="1"/>
  <c r="L2031" i="7" s="1"/>
  <c r="G2031" i="7"/>
  <c r="H2031" i="7" s="1"/>
  <c r="B2031" i="7"/>
  <c r="M2030" i="7"/>
  <c r="J2030" i="7"/>
  <c r="K2030" i="7" s="1"/>
  <c r="L2030" i="7" s="1"/>
  <c r="G2030" i="7"/>
  <c r="H2030" i="7" s="1"/>
  <c r="B2030" i="7"/>
  <c r="M2029" i="7"/>
  <c r="J2029" i="7"/>
  <c r="K2029" i="7" s="1"/>
  <c r="L2029" i="7" s="1"/>
  <c r="G2029" i="7"/>
  <c r="H2029" i="7" s="1"/>
  <c r="B2029" i="7"/>
  <c r="M2028" i="7"/>
  <c r="J2028" i="7"/>
  <c r="K2028" i="7" s="1"/>
  <c r="L2028" i="7" s="1"/>
  <c r="G2028" i="7"/>
  <c r="H2028" i="7" s="1"/>
  <c r="B2028" i="7"/>
  <c r="M2027" i="7"/>
  <c r="J2027" i="7"/>
  <c r="K2027" i="7" s="1"/>
  <c r="L2027" i="7" s="1"/>
  <c r="G2027" i="7"/>
  <c r="H2027" i="7" s="1"/>
  <c r="B2027" i="7"/>
  <c r="M2026" i="7"/>
  <c r="J2026" i="7"/>
  <c r="K2026" i="7" s="1"/>
  <c r="L2026" i="7" s="1"/>
  <c r="G2026" i="7"/>
  <c r="H2026" i="7" s="1"/>
  <c r="B2026" i="7"/>
  <c r="M2025" i="7"/>
  <c r="J2025" i="7"/>
  <c r="K2025" i="7" s="1"/>
  <c r="L2025" i="7" s="1"/>
  <c r="G2025" i="7"/>
  <c r="H2025" i="7" s="1"/>
  <c r="B2025" i="7"/>
  <c r="M2024" i="7"/>
  <c r="J2024" i="7"/>
  <c r="K2024" i="7" s="1"/>
  <c r="L2024" i="7" s="1"/>
  <c r="G2024" i="7"/>
  <c r="H2024" i="7" s="1"/>
  <c r="B2024" i="7"/>
  <c r="M2023" i="7"/>
  <c r="J2023" i="7"/>
  <c r="K2023" i="7" s="1"/>
  <c r="L2023" i="7" s="1"/>
  <c r="G2023" i="7"/>
  <c r="H2023" i="7" s="1"/>
  <c r="B2023" i="7"/>
  <c r="M2022" i="7"/>
  <c r="J2022" i="7"/>
  <c r="K2022" i="7" s="1"/>
  <c r="L2022" i="7" s="1"/>
  <c r="G2022" i="7"/>
  <c r="H2022" i="7" s="1"/>
  <c r="B2022" i="7"/>
  <c r="M2021" i="7"/>
  <c r="J2021" i="7"/>
  <c r="K2021" i="7" s="1"/>
  <c r="L2021" i="7" s="1"/>
  <c r="G2021" i="7"/>
  <c r="H2021" i="7" s="1"/>
  <c r="B2021" i="7"/>
  <c r="M2020" i="7"/>
  <c r="J2020" i="7"/>
  <c r="K2020" i="7" s="1"/>
  <c r="L2020" i="7" s="1"/>
  <c r="G2020" i="7"/>
  <c r="H2020" i="7" s="1"/>
  <c r="B2020" i="7"/>
  <c r="M2019" i="7"/>
  <c r="J2019" i="7"/>
  <c r="K2019" i="7" s="1"/>
  <c r="L2019" i="7" s="1"/>
  <c r="G2019" i="7"/>
  <c r="H2019" i="7" s="1"/>
  <c r="B2019" i="7"/>
  <c r="M2018" i="7"/>
  <c r="J2018" i="7"/>
  <c r="K2018" i="7" s="1"/>
  <c r="L2018" i="7" s="1"/>
  <c r="G2018" i="7"/>
  <c r="H2018" i="7" s="1"/>
  <c r="B2018" i="7"/>
  <c r="M2017" i="7"/>
  <c r="J2017" i="7"/>
  <c r="K2017" i="7" s="1"/>
  <c r="L2017" i="7" s="1"/>
  <c r="G2017" i="7"/>
  <c r="H2017" i="7" s="1"/>
  <c r="B2017" i="7"/>
  <c r="M2016" i="7"/>
  <c r="J2016" i="7"/>
  <c r="K2016" i="7" s="1"/>
  <c r="L2016" i="7" s="1"/>
  <c r="G2016" i="7"/>
  <c r="H2016" i="7" s="1"/>
  <c r="B2016" i="7"/>
  <c r="M2015" i="7"/>
  <c r="J2015" i="7"/>
  <c r="K2015" i="7" s="1"/>
  <c r="L2015" i="7" s="1"/>
  <c r="G2015" i="7"/>
  <c r="H2015" i="7" s="1"/>
  <c r="B2015" i="7"/>
  <c r="M2014" i="7"/>
  <c r="J2014" i="7"/>
  <c r="K2014" i="7" s="1"/>
  <c r="L2014" i="7" s="1"/>
  <c r="G2014" i="7"/>
  <c r="H2014" i="7" s="1"/>
  <c r="B2014" i="7"/>
  <c r="M2013" i="7"/>
  <c r="J2013" i="7"/>
  <c r="K2013" i="7" s="1"/>
  <c r="L2013" i="7" s="1"/>
  <c r="G2013" i="7"/>
  <c r="H2013" i="7" s="1"/>
  <c r="B2013" i="7"/>
  <c r="M2012" i="7"/>
  <c r="J2012" i="7"/>
  <c r="K2012" i="7" s="1"/>
  <c r="L2012" i="7" s="1"/>
  <c r="G2012" i="7"/>
  <c r="H2012" i="7" s="1"/>
  <c r="B2012" i="7"/>
  <c r="M2011" i="7"/>
  <c r="J2011" i="7"/>
  <c r="K2011" i="7" s="1"/>
  <c r="L2011" i="7" s="1"/>
  <c r="G2011" i="7"/>
  <c r="H2011" i="7" s="1"/>
  <c r="B2011" i="7"/>
  <c r="M2010" i="7"/>
  <c r="J2010" i="7"/>
  <c r="K2010" i="7" s="1"/>
  <c r="L2010" i="7" s="1"/>
  <c r="G2010" i="7"/>
  <c r="H2010" i="7" s="1"/>
  <c r="B2010" i="7"/>
  <c r="M2009" i="7"/>
  <c r="J2009" i="7"/>
  <c r="K2009" i="7" s="1"/>
  <c r="L2009" i="7" s="1"/>
  <c r="G2009" i="7"/>
  <c r="H2009" i="7" s="1"/>
  <c r="B2009" i="7"/>
  <c r="M2008" i="7"/>
  <c r="J2008" i="7"/>
  <c r="K2008" i="7" s="1"/>
  <c r="L2008" i="7" s="1"/>
  <c r="G2008" i="7"/>
  <c r="H2008" i="7" s="1"/>
  <c r="B2008" i="7"/>
  <c r="M2007" i="7"/>
  <c r="J2007" i="7"/>
  <c r="K2007" i="7" s="1"/>
  <c r="L2007" i="7" s="1"/>
  <c r="G2007" i="7"/>
  <c r="H2007" i="7" s="1"/>
  <c r="B2007" i="7"/>
  <c r="M2006" i="7"/>
  <c r="J2006" i="7"/>
  <c r="K2006" i="7" s="1"/>
  <c r="L2006" i="7" s="1"/>
  <c r="G2006" i="7"/>
  <c r="H2006" i="7" s="1"/>
  <c r="B2006" i="7"/>
  <c r="M2005" i="7"/>
  <c r="J2005" i="7"/>
  <c r="K2005" i="7" s="1"/>
  <c r="L2005" i="7" s="1"/>
  <c r="G2005" i="7"/>
  <c r="H2005" i="7" s="1"/>
  <c r="B2005" i="7"/>
  <c r="M2004" i="7"/>
  <c r="J2004" i="7"/>
  <c r="K2004" i="7" s="1"/>
  <c r="L2004" i="7" s="1"/>
  <c r="G2004" i="7"/>
  <c r="H2004" i="7" s="1"/>
  <c r="B2004" i="7"/>
  <c r="M2003" i="7"/>
  <c r="J2003" i="7"/>
  <c r="K2003" i="7" s="1"/>
  <c r="L2003" i="7" s="1"/>
  <c r="G2003" i="7"/>
  <c r="H2003" i="7" s="1"/>
  <c r="B2003" i="7"/>
  <c r="M2002" i="7"/>
  <c r="J2002" i="7"/>
  <c r="K2002" i="7" s="1"/>
  <c r="L2002" i="7" s="1"/>
  <c r="G2002" i="7"/>
  <c r="H2002" i="7" s="1"/>
  <c r="B2002" i="7"/>
  <c r="M2001" i="7"/>
  <c r="J2001" i="7"/>
  <c r="K2001" i="7" s="1"/>
  <c r="L2001" i="7" s="1"/>
  <c r="G2001" i="7"/>
  <c r="H2001" i="7" s="1"/>
  <c r="B2001" i="7"/>
  <c r="M2000" i="7"/>
  <c r="J2000" i="7"/>
  <c r="K2000" i="7" s="1"/>
  <c r="L2000" i="7" s="1"/>
  <c r="G2000" i="7"/>
  <c r="H2000" i="7" s="1"/>
  <c r="B2000" i="7"/>
  <c r="M1999" i="7"/>
  <c r="J1999" i="7"/>
  <c r="K1999" i="7" s="1"/>
  <c r="L1999" i="7" s="1"/>
  <c r="G1999" i="7"/>
  <c r="H1999" i="7" s="1"/>
  <c r="B1999" i="7"/>
  <c r="M1998" i="7"/>
  <c r="J1998" i="7"/>
  <c r="K1998" i="7" s="1"/>
  <c r="L1998" i="7" s="1"/>
  <c r="G1998" i="7"/>
  <c r="H1998" i="7" s="1"/>
  <c r="B1998" i="7"/>
  <c r="M1997" i="7"/>
  <c r="J1997" i="7"/>
  <c r="K1997" i="7" s="1"/>
  <c r="L1997" i="7" s="1"/>
  <c r="G1997" i="7"/>
  <c r="H1997" i="7" s="1"/>
  <c r="B1997" i="7"/>
  <c r="M1996" i="7"/>
  <c r="J1996" i="7"/>
  <c r="K1996" i="7" s="1"/>
  <c r="L1996" i="7" s="1"/>
  <c r="G1996" i="7"/>
  <c r="H1996" i="7" s="1"/>
  <c r="B1996" i="7"/>
  <c r="M1995" i="7"/>
  <c r="J1995" i="7"/>
  <c r="K1995" i="7" s="1"/>
  <c r="L1995" i="7" s="1"/>
  <c r="G1995" i="7"/>
  <c r="H1995" i="7" s="1"/>
  <c r="B1995" i="7"/>
  <c r="M1994" i="7"/>
  <c r="J1994" i="7"/>
  <c r="K1994" i="7" s="1"/>
  <c r="L1994" i="7" s="1"/>
  <c r="G1994" i="7"/>
  <c r="H1994" i="7" s="1"/>
  <c r="B1994" i="7"/>
  <c r="M1993" i="7"/>
  <c r="J1993" i="7"/>
  <c r="K1993" i="7" s="1"/>
  <c r="L1993" i="7" s="1"/>
  <c r="G1993" i="7"/>
  <c r="H1993" i="7" s="1"/>
  <c r="B1993" i="7"/>
  <c r="M1992" i="7"/>
  <c r="J1992" i="7"/>
  <c r="K1992" i="7" s="1"/>
  <c r="L1992" i="7" s="1"/>
  <c r="G1992" i="7"/>
  <c r="H1992" i="7" s="1"/>
  <c r="B1992" i="7"/>
  <c r="M1991" i="7"/>
  <c r="J1991" i="7"/>
  <c r="K1991" i="7" s="1"/>
  <c r="L1991" i="7" s="1"/>
  <c r="G1991" i="7"/>
  <c r="H1991" i="7" s="1"/>
  <c r="B1991" i="7"/>
  <c r="M1990" i="7"/>
  <c r="J1990" i="7"/>
  <c r="K1990" i="7" s="1"/>
  <c r="L1990" i="7" s="1"/>
  <c r="G1990" i="7"/>
  <c r="H1990" i="7" s="1"/>
  <c r="B1990" i="7"/>
  <c r="M1989" i="7"/>
  <c r="J1989" i="7"/>
  <c r="K1989" i="7" s="1"/>
  <c r="L1989" i="7" s="1"/>
  <c r="G1989" i="7"/>
  <c r="H1989" i="7" s="1"/>
  <c r="B1989" i="7"/>
  <c r="M1988" i="7"/>
  <c r="J1988" i="7"/>
  <c r="K1988" i="7" s="1"/>
  <c r="L1988" i="7" s="1"/>
  <c r="G1988" i="7"/>
  <c r="H1988" i="7" s="1"/>
  <c r="B1988" i="7"/>
  <c r="M1987" i="7"/>
  <c r="J1987" i="7"/>
  <c r="K1987" i="7" s="1"/>
  <c r="L1987" i="7" s="1"/>
  <c r="G1987" i="7"/>
  <c r="H1987" i="7" s="1"/>
  <c r="B1987" i="7"/>
  <c r="M1986" i="7"/>
  <c r="J1986" i="7"/>
  <c r="K1986" i="7" s="1"/>
  <c r="L1986" i="7" s="1"/>
  <c r="G1986" i="7"/>
  <c r="H1986" i="7" s="1"/>
  <c r="B1986" i="7"/>
  <c r="M1985" i="7"/>
  <c r="J1985" i="7"/>
  <c r="K1985" i="7" s="1"/>
  <c r="L1985" i="7" s="1"/>
  <c r="G1985" i="7"/>
  <c r="H1985" i="7" s="1"/>
  <c r="B1985" i="7"/>
  <c r="M1984" i="7"/>
  <c r="J1984" i="7"/>
  <c r="K1984" i="7" s="1"/>
  <c r="L1984" i="7" s="1"/>
  <c r="G1984" i="7"/>
  <c r="H1984" i="7" s="1"/>
  <c r="B1984" i="7"/>
  <c r="M1983" i="7"/>
  <c r="J1983" i="7"/>
  <c r="K1983" i="7" s="1"/>
  <c r="L1983" i="7" s="1"/>
  <c r="G1983" i="7"/>
  <c r="H1983" i="7" s="1"/>
  <c r="B1983" i="7"/>
  <c r="M1982" i="7"/>
  <c r="J1982" i="7"/>
  <c r="K1982" i="7" s="1"/>
  <c r="L1982" i="7" s="1"/>
  <c r="G1982" i="7"/>
  <c r="H1982" i="7" s="1"/>
  <c r="B1982" i="7"/>
  <c r="M1981" i="7"/>
  <c r="J1981" i="7"/>
  <c r="K1981" i="7" s="1"/>
  <c r="L1981" i="7" s="1"/>
  <c r="G1981" i="7"/>
  <c r="H1981" i="7" s="1"/>
  <c r="B1981" i="7"/>
  <c r="M1980" i="7"/>
  <c r="J1980" i="7"/>
  <c r="K1980" i="7" s="1"/>
  <c r="L1980" i="7" s="1"/>
  <c r="G1980" i="7"/>
  <c r="H1980" i="7" s="1"/>
  <c r="B1980" i="7"/>
  <c r="M1979" i="7"/>
  <c r="J1979" i="7"/>
  <c r="K1979" i="7" s="1"/>
  <c r="L1979" i="7" s="1"/>
  <c r="G1979" i="7"/>
  <c r="H1979" i="7" s="1"/>
  <c r="B1979" i="7"/>
  <c r="M1978" i="7"/>
  <c r="J1978" i="7"/>
  <c r="K1978" i="7" s="1"/>
  <c r="L1978" i="7" s="1"/>
  <c r="G1978" i="7"/>
  <c r="H1978" i="7" s="1"/>
  <c r="B1978" i="7"/>
  <c r="M1977" i="7"/>
  <c r="J1977" i="7"/>
  <c r="K1977" i="7" s="1"/>
  <c r="L1977" i="7" s="1"/>
  <c r="G1977" i="7"/>
  <c r="H1977" i="7" s="1"/>
  <c r="B1977" i="7"/>
  <c r="M1976" i="7"/>
  <c r="J1976" i="7"/>
  <c r="K1976" i="7" s="1"/>
  <c r="L1976" i="7" s="1"/>
  <c r="G1976" i="7"/>
  <c r="H1976" i="7" s="1"/>
  <c r="B1976" i="7"/>
  <c r="M1975" i="7"/>
  <c r="J1975" i="7"/>
  <c r="K1975" i="7" s="1"/>
  <c r="L1975" i="7" s="1"/>
  <c r="G1975" i="7"/>
  <c r="H1975" i="7" s="1"/>
  <c r="B1975" i="7"/>
  <c r="M1974" i="7"/>
  <c r="J1974" i="7"/>
  <c r="K1974" i="7" s="1"/>
  <c r="L1974" i="7" s="1"/>
  <c r="G1974" i="7"/>
  <c r="H1974" i="7" s="1"/>
  <c r="B1974" i="7"/>
  <c r="M1973" i="7"/>
  <c r="J1973" i="7"/>
  <c r="K1973" i="7" s="1"/>
  <c r="L1973" i="7" s="1"/>
  <c r="G1973" i="7"/>
  <c r="H1973" i="7" s="1"/>
  <c r="B1973" i="7"/>
  <c r="M1972" i="7"/>
  <c r="J1972" i="7"/>
  <c r="K1972" i="7" s="1"/>
  <c r="L1972" i="7" s="1"/>
  <c r="G1972" i="7"/>
  <c r="H1972" i="7" s="1"/>
  <c r="B1972" i="7"/>
  <c r="M1971" i="7"/>
  <c r="J1971" i="7"/>
  <c r="K1971" i="7" s="1"/>
  <c r="L1971" i="7" s="1"/>
  <c r="G1971" i="7"/>
  <c r="H1971" i="7" s="1"/>
  <c r="B1971" i="7"/>
  <c r="M1970" i="7"/>
  <c r="J1970" i="7"/>
  <c r="K1970" i="7" s="1"/>
  <c r="L1970" i="7" s="1"/>
  <c r="G1970" i="7"/>
  <c r="H1970" i="7" s="1"/>
  <c r="B1970" i="7"/>
  <c r="M1969" i="7"/>
  <c r="J1969" i="7"/>
  <c r="K1969" i="7" s="1"/>
  <c r="L1969" i="7" s="1"/>
  <c r="G1969" i="7"/>
  <c r="H1969" i="7" s="1"/>
  <c r="B1969" i="7"/>
  <c r="M1968" i="7"/>
  <c r="J1968" i="7"/>
  <c r="K1968" i="7" s="1"/>
  <c r="L1968" i="7" s="1"/>
  <c r="G1968" i="7"/>
  <c r="H1968" i="7" s="1"/>
  <c r="B1968" i="7"/>
  <c r="M1967" i="7"/>
  <c r="J1967" i="7"/>
  <c r="K1967" i="7" s="1"/>
  <c r="L1967" i="7" s="1"/>
  <c r="G1967" i="7"/>
  <c r="H1967" i="7" s="1"/>
  <c r="B1967" i="7"/>
  <c r="M1966" i="7"/>
  <c r="J1966" i="7"/>
  <c r="K1966" i="7" s="1"/>
  <c r="L1966" i="7" s="1"/>
  <c r="G1966" i="7"/>
  <c r="H1966" i="7" s="1"/>
  <c r="B1966" i="7"/>
  <c r="M1965" i="7"/>
  <c r="J1965" i="7"/>
  <c r="K1965" i="7" s="1"/>
  <c r="L1965" i="7" s="1"/>
  <c r="G1965" i="7"/>
  <c r="H1965" i="7" s="1"/>
  <c r="B1965" i="7"/>
  <c r="M1964" i="7"/>
  <c r="J1964" i="7"/>
  <c r="K1964" i="7" s="1"/>
  <c r="L1964" i="7" s="1"/>
  <c r="G1964" i="7"/>
  <c r="H1964" i="7" s="1"/>
  <c r="B1964" i="7"/>
  <c r="M1963" i="7"/>
  <c r="J1963" i="7"/>
  <c r="K1963" i="7" s="1"/>
  <c r="L1963" i="7" s="1"/>
  <c r="G1963" i="7"/>
  <c r="H1963" i="7" s="1"/>
  <c r="B1963" i="7"/>
  <c r="M1962" i="7"/>
  <c r="J1962" i="7"/>
  <c r="K1962" i="7" s="1"/>
  <c r="L1962" i="7" s="1"/>
  <c r="G1962" i="7"/>
  <c r="H1962" i="7" s="1"/>
  <c r="B1962" i="7"/>
  <c r="M1961" i="7"/>
  <c r="J1961" i="7"/>
  <c r="K1961" i="7" s="1"/>
  <c r="L1961" i="7" s="1"/>
  <c r="G1961" i="7"/>
  <c r="H1961" i="7" s="1"/>
  <c r="B1961" i="7"/>
  <c r="M1960" i="7"/>
  <c r="J1960" i="7"/>
  <c r="K1960" i="7" s="1"/>
  <c r="L1960" i="7" s="1"/>
  <c r="G1960" i="7"/>
  <c r="H1960" i="7" s="1"/>
  <c r="B1960" i="7"/>
  <c r="M1959" i="7"/>
  <c r="J1959" i="7"/>
  <c r="K1959" i="7" s="1"/>
  <c r="L1959" i="7" s="1"/>
  <c r="G1959" i="7"/>
  <c r="H1959" i="7" s="1"/>
  <c r="B1959" i="7"/>
  <c r="M1958" i="7"/>
  <c r="J1958" i="7"/>
  <c r="K1958" i="7" s="1"/>
  <c r="L1958" i="7" s="1"/>
  <c r="G1958" i="7"/>
  <c r="H1958" i="7" s="1"/>
  <c r="B1958" i="7"/>
  <c r="M1957" i="7"/>
  <c r="J1957" i="7"/>
  <c r="K1957" i="7" s="1"/>
  <c r="L1957" i="7" s="1"/>
  <c r="G1957" i="7"/>
  <c r="H1957" i="7" s="1"/>
  <c r="B1957" i="7"/>
  <c r="M1956" i="7"/>
  <c r="J1956" i="7"/>
  <c r="K1956" i="7" s="1"/>
  <c r="L1956" i="7" s="1"/>
  <c r="G1956" i="7"/>
  <c r="H1956" i="7" s="1"/>
  <c r="B1956" i="7"/>
  <c r="M1955" i="7"/>
  <c r="J1955" i="7"/>
  <c r="K1955" i="7" s="1"/>
  <c r="L1955" i="7" s="1"/>
  <c r="G1955" i="7"/>
  <c r="H1955" i="7" s="1"/>
  <c r="B1955" i="7"/>
  <c r="M1954" i="7"/>
  <c r="J1954" i="7"/>
  <c r="K1954" i="7" s="1"/>
  <c r="L1954" i="7" s="1"/>
  <c r="G1954" i="7"/>
  <c r="H1954" i="7" s="1"/>
  <c r="B1954" i="7"/>
  <c r="M1953" i="7"/>
  <c r="J1953" i="7"/>
  <c r="K1953" i="7" s="1"/>
  <c r="L1953" i="7" s="1"/>
  <c r="G1953" i="7"/>
  <c r="H1953" i="7" s="1"/>
  <c r="B1953" i="7"/>
  <c r="M1952" i="7"/>
  <c r="J1952" i="7"/>
  <c r="K1952" i="7" s="1"/>
  <c r="L1952" i="7" s="1"/>
  <c r="G1952" i="7"/>
  <c r="H1952" i="7" s="1"/>
  <c r="B1952" i="7"/>
  <c r="M1951" i="7"/>
  <c r="J1951" i="7"/>
  <c r="K1951" i="7" s="1"/>
  <c r="L1951" i="7" s="1"/>
  <c r="G1951" i="7"/>
  <c r="H1951" i="7" s="1"/>
  <c r="B1951" i="7"/>
  <c r="M1950" i="7"/>
  <c r="J1950" i="7"/>
  <c r="K1950" i="7" s="1"/>
  <c r="L1950" i="7" s="1"/>
  <c r="G1950" i="7"/>
  <c r="H1950" i="7" s="1"/>
  <c r="B1950" i="7"/>
  <c r="M1949" i="7"/>
  <c r="J1949" i="7"/>
  <c r="K1949" i="7" s="1"/>
  <c r="L1949" i="7" s="1"/>
  <c r="G1949" i="7"/>
  <c r="H1949" i="7" s="1"/>
  <c r="B1949" i="7"/>
  <c r="M1948" i="7"/>
  <c r="J1948" i="7"/>
  <c r="K1948" i="7" s="1"/>
  <c r="L1948" i="7" s="1"/>
  <c r="G1948" i="7"/>
  <c r="H1948" i="7" s="1"/>
  <c r="B1948" i="7"/>
  <c r="M1947" i="7"/>
  <c r="J1947" i="7"/>
  <c r="K1947" i="7" s="1"/>
  <c r="L1947" i="7" s="1"/>
  <c r="G1947" i="7"/>
  <c r="H1947" i="7" s="1"/>
  <c r="B1947" i="7"/>
  <c r="M1946" i="7"/>
  <c r="J1946" i="7"/>
  <c r="K1946" i="7" s="1"/>
  <c r="L1946" i="7" s="1"/>
  <c r="G1946" i="7"/>
  <c r="H1946" i="7" s="1"/>
  <c r="B1946" i="7"/>
  <c r="M1945" i="7"/>
  <c r="J1945" i="7"/>
  <c r="K1945" i="7" s="1"/>
  <c r="L1945" i="7" s="1"/>
  <c r="G1945" i="7"/>
  <c r="H1945" i="7" s="1"/>
  <c r="B1945" i="7"/>
  <c r="M1944" i="7"/>
  <c r="J1944" i="7"/>
  <c r="K1944" i="7" s="1"/>
  <c r="L1944" i="7" s="1"/>
  <c r="G1944" i="7"/>
  <c r="H1944" i="7" s="1"/>
  <c r="B1944" i="7"/>
  <c r="M1943" i="7"/>
  <c r="J1943" i="7"/>
  <c r="K1943" i="7" s="1"/>
  <c r="L1943" i="7" s="1"/>
  <c r="G1943" i="7"/>
  <c r="H1943" i="7" s="1"/>
  <c r="B1943" i="7"/>
  <c r="M1942" i="7"/>
  <c r="J1942" i="7"/>
  <c r="K1942" i="7" s="1"/>
  <c r="L1942" i="7" s="1"/>
  <c r="G1942" i="7"/>
  <c r="H1942" i="7" s="1"/>
  <c r="B1942" i="7"/>
  <c r="M1941" i="7"/>
  <c r="J1941" i="7"/>
  <c r="K1941" i="7" s="1"/>
  <c r="L1941" i="7" s="1"/>
  <c r="G1941" i="7"/>
  <c r="H1941" i="7" s="1"/>
  <c r="B1941" i="7"/>
  <c r="M1940" i="7"/>
  <c r="J1940" i="7"/>
  <c r="K1940" i="7" s="1"/>
  <c r="L1940" i="7" s="1"/>
  <c r="G1940" i="7"/>
  <c r="H1940" i="7" s="1"/>
  <c r="B1940" i="7"/>
  <c r="M1939" i="7"/>
  <c r="J1939" i="7"/>
  <c r="K1939" i="7" s="1"/>
  <c r="L1939" i="7" s="1"/>
  <c r="G1939" i="7"/>
  <c r="H1939" i="7" s="1"/>
  <c r="B1939" i="7"/>
  <c r="M1938" i="7"/>
  <c r="J1938" i="7"/>
  <c r="K1938" i="7" s="1"/>
  <c r="L1938" i="7" s="1"/>
  <c r="G1938" i="7"/>
  <c r="H1938" i="7" s="1"/>
  <c r="B1938" i="7"/>
  <c r="M1937" i="7"/>
  <c r="J1937" i="7"/>
  <c r="K1937" i="7" s="1"/>
  <c r="L1937" i="7" s="1"/>
  <c r="G1937" i="7"/>
  <c r="H1937" i="7" s="1"/>
  <c r="B1937" i="7"/>
  <c r="M1936" i="7"/>
  <c r="J1936" i="7"/>
  <c r="K1936" i="7" s="1"/>
  <c r="L1936" i="7" s="1"/>
  <c r="G1936" i="7"/>
  <c r="H1936" i="7" s="1"/>
  <c r="B1936" i="7"/>
  <c r="M1935" i="7"/>
  <c r="J1935" i="7"/>
  <c r="K1935" i="7" s="1"/>
  <c r="L1935" i="7" s="1"/>
  <c r="G1935" i="7"/>
  <c r="H1935" i="7" s="1"/>
  <c r="B1935" i="7"/>
  <c r="M1934" i="7"/>
  <c r="J1934" i="7"/>
  <c r="K1934" i="7" s="1"/>
  <c r="L1934" i="7" s="1"/>
  <c r="G1934" i="7"/>
  <c r="H1934" i="7" s="1"/>
  <c r="B1934" i="7"/>
  <c r="M1933" i="7"/>
  <c r="J1933" i="7"/>
  <c r="K1933" i="7" s="1"/>
  <c r="L1933" i="7" s="1"/>
  <c r="G1933" i="7"/>
  <c r="H1933" i="7" s="1"/>
  <c r="B1933" i="7"/>
  <c r="M1932" i="7"/>
  <c r="J1932" i="7"/>
  <c r="K1932" i="7" s="1"/>
  <c r="L1932" i="7" s="1"/>
  <c r="G1932" i="7"/>
  <c r="H1932" i="7" s="1"/>
  <c r="B1932" i="7"/>
  <c r="M1931" i="7"/>
  <c r="J1931" i="7"/>
  <c r="K1931" i="7" s="1"/>
  <c r="L1931" i="7" s="1"/>
  <c r="G1931" i="7"/>
  <c r="H1931" i="7" s="1"/>
  <c r="B1931" i="7"/>
  <c r="M1930" i="7"/>
  <c r="J1930" i="7"/>
  <c r="K1930" i="7" s="1"/>
  <c r="L1930" i="7" s="1"/>
  <c r="G1930" i="7"/>
  <c r="H1930" i="7" s="1"/>
  <c r="B1930" i="7"/>
  <c r="M1929" i="7"/>
  <c r="J1929" i="7"/>
  <c r="K1929" i="7" s="1"/>
  <c r="L1929" i="7" s="1"/>
  <c r="G1929" i="7"/>
  <c r="H1929" i="7" s="1"/>
  <c r="B1929" i="7"/>
  <c r="M1928" i="7"/>
  <c r="J1928" i="7"/>
  <c r="K1928" i="7" s="1"/>
  <c r="L1928" i="7" s="1"/>
  <c r="G1928" i="7"/>
  <c r="H1928" i="7" s="1"/>
  <c r="B1928" i="7"/>
  <c r="M1927" i="7"/>
  <c r="J1927" i="7"/>
  <c r="K1927" i="7" s="1"/>
  <c r="L1927" i="7" s="1"/>
  <c r="G1927" i="7"/>
  <c r="H1927" i="7" s="1"/>
  <c r="B1927" i="7"/>
  <c r="M1926" i="7"/>
  <c r="J1926" i="7"/>
  <c r="K1926" i="7" s="1"/>
  <c r="L1926" i="7" s="1"/>
  <c r="G1926" i="7"/>
  <c r="H1926" i="7" s="1"/>
  <c r="B1926" i="7"/>
  <c r="M1925" i="7"/>
  <c r="J1925" i="7"/>
  <c r="K1925" i="7" s="1"/>
  <c r="L1925" i="7" s="1"/>
  <c r="G1925" i="7"/>
  <c r="H1925" i="7" s="1"/>
  <c r="B1925" i="7"/>
  <c r="M1924" i="7"/>
  <c r="J1924" i="7"/>
  <c r="K1924" i="7" s="1"/>
  <c r="L1924" i="7" s="1"/>
  <c r="G1924" i="7"/>
  <c r="H1924" i="7" s="1"/>
  <c r="B1924" i="7"/>
  <c r="M1923" i="7"/>
  <c r="J1923" i="7"/>
  <c r="K1923" i="7" s="1"/>
  <c r="L1923" i="7" s="1"/>
  <c r="G1923" i="7"/>
  <c r="H1923" i="7" s="1"/>
  <c r="B1923" i="7"/>
  <c r="M1922" i="7"/>
  <c r="J1922" i="7"/>
  <c r="K1922" i="7" s="1"/>
  <c r="L1922" i="7" s="1"/>
  <c r="G1922" i="7"/>
  <c r="H1922" i="7" s="1"/>
  <c r="B1922" i="7"/>
  <c r="M1921" i="7"/>
  <c r="J1921" i="7"/>
  <c r="K1921" i="7" s="1"/>
  <c r="L1921" i="7" s="1"/>
  <c r="G1921" i="7"/>
  <c r="H1921" i="7" s="1"/>
  <c r="B1921" i="7"/>
  <c r="M1920" i="7"/>
  <c r="J1920" i="7"/>
  <c r="K1920" i="7" s="1"/>
  <c r="L1920" i="7" s="1"/>
  <c r="G1920" i="7"/>
  <c r="H1920" i="7" s="1"/>
  <c r="B1920" i="7"/>
  <c r="M1919" i="7"/>
  <c r="J1919" i="7"/>
  <c r="K1919" i="7" s="1"/>
  <c r="L1919" i="7" s="1"/>
  <c r="G1919" i="7"/>
  <c r="H1919" i="7" s="1"/>
  <c r="B1919" i="7"/>
  <c r="M1918" i="7"/>
  <c r="J1918" i="7"/>
  <c r="K1918" i="7" s="1"/>
  <c r="L1918" i="7" s="1"/>
  <c r="G1918" i="7"/>
  <c r="H1918" i="7" s="1"/>
  <c r="B1918" i="7"/>
  <c r="M1917" i="7"/>
  <c r="J1917" i="7"/>
  <c r="K1917" i="7" s="1"/>
  <c r="L1917" i="7" s="1"/>
  <c r="G1917" i="7"/>
  <c r="H1917" i="7" s="1"/>
  <c r="B1917" i="7"/>
  <c r="M1916" i="7"/>
  <c r="J1916" i="7"/>
  <c r="K1916" i="7" s="1"/>
  <c r="L1916" i="7" s="1"/>
  <c r="G1916" i="7"/>
  <c r="H1916" i="7" s="1"/>
  <c r="B1916" i="7"/>
  <c r="M1915" i="7"/>
  <c r="J1915" i="7"/>
  <c r="K1915" i="7" s="1"/>
  <c r="L1915" i="7" s="1"/>
  <c r="G1915" i="7"/>
  <c r="H1915" i="7" s="1"/>
  <c r="B1915" i="7"/>
  <c r="M1914" i="7"/>
  <c r="J1914" i="7"/>
  <c r="K1914" i="7" s="1"/>
  <c r="L1914" i="7" s="1"/>
  <c r="G1914" i="7"/>
  <c r="H1914" i="7" s="1"/>
  <c r="B1914" i="7"/>
  <c r="M1913" i="7"/>
  <c r="J1913" i="7"/>
  <c r="K1913" i="7" s="1"/>
  <c r="L1913" i="7" s="1"/>
  <c r="G1913" i="7"/>
  <c r="H1913" i="7" s="1"/>
  <c r="B1913" i="7"/>
  <c r="M1912" i="7"/>
  <c r="J1912" i="7"/>
  <c r="K1912" i="7" s="1"/>
  <c r="L1912" i="7" s="1"/>
  <c r="G1912" i="7"/>
  <c r="H1912" i="7" s="1"/>
  <c r="B1912" i="7"/>
  <c r="M1911" i="7"/>
  <c r="J1911" i="7"/>
  <c r="K1911" i="7" s="1"/>
  <c r="L1911" i="7" s="1"/>
  <c r="G1911" i="7"/>
  <c r="H1911" i="7" s="1"/>
  <c r="B1911" i="7"/>
  <c r="M1910" i="7"/>
  <c r="J1910" i="7"/>
  <c r="K1910" i="7" s="1"/>
  <c r="L1910" i="7" s="1"/>
  <c r="G1910" i="7"/>
  <c r="H1910" i="7" s="1"/>
  <c r="B1910" i="7"/>
  <c r="M1909" i="7"/>
  <c r="J1909" i="7"/>
  <c r="K1909" i="7" s="1"/>
  <c r="L1909" i="7" s="1"/>
  <c r="G1909" i="7"/>
  <c r="H1909" i="7" s="1"/>
  <c r="B1909" i="7"/>
  <c r="M1908" i="7"/>
  <c r="J1908" i="7"/>
  <c r="K1908" i="7" s="1"/>
  <c r="L1908" i="7" s="1"/>
  <c r="G1908" i="7"/>
  <c r="H1908" i="7" s="1"/>
  <c r="B1908" i="7"/>
  <c r="M1907" i="7"/>
  <c r="J1907" i="7"/>
  <c r="K1907" i="7" s="1"/>
  <c r="L1907" i="7" s="1"/>
  <c r="G1907" i="7"/>
  <c r="H1907" i="7" s="1"/>
  <c r="B1907" i="7"/>
  <c r="M1906" i="7"/>
  <c r="J1906" i="7"/>
  <c r="K1906" i="7" s="1"/>
  <c r="L1906" i="7" s="1"/>
  <c r="G1906" i="7"/>
  <c r="H1906" i="7" s="1"/>
  <c r="B1906" i="7"/>
  <c r="M1905" i="7"/>
  <c r="J1905" i="7"/>
  <c r="K1905" i="7" s="1"/>
  <c r="L1905" i="7" s="1"/>
  <c r="G1905" i="7"/>
  <c r="H1905" i="7" s="1"/>
  <c r="B1905" i="7"/>
  <c r="M1904" i="7"/>
  <c r="J1904" i="7"/>
  <c r="K1904" i="7" s="1"/>
  <c r="L1904" i="7" s="1"/>
  <c r="G1904" i="7"/>
  <c r="H1904" i="7" s="1"/>
  <c r="B1904" i="7"/>
  <c r="M1903" i="7"/>
  <c r="J1903" i="7"/>
  <c r="K1903" i="7" s="1"/>
  <c r="L1903" i="7" s="1"/>
  <c r="G1903" i="7"/>
  <c r="H1903" i="7" s="1"/>
  <c r="B1903" i="7"/>
  <c r="M1902" i="7"/>
  <c r="J1902" i="7"/>
  <c r="K1902" i="7" s="1"/>
  <c r="L1902" i="7" s="1"/>
  <c r="G1902" i="7"/>
  <c r="H1902" i="7" s="1"/>
  <c r="B1902" i="7"/>
  <c r="M1901" i="7"/>
  <c r="J1901" i="7"/>
  <c r="K1901" i="7" s="1"/>
  <c r="L1901" i="7" s="1"/>
  <c r="G1901" i="7"/>
  <c r="H1901" i="7" s="1"/>
  <c r="B1901" i="7"/>
  <c r="M1900" i="7"/>
  <c r="J1900" i="7"/>
  <c r="K1900" i="7" s="1"/>
  <c r="L1900" i="7" s="1"/>
  <c r="G1900" i="7"/>
  <c r="H1900" i="7" s="1"/>
  <c r="B1900" i="7"/>
  <c r="M1899" i="7"/>
  <c r="J1899" i="7"/>
  <c r="K1899" i="7" s="1"/>
  <c r="L1899" i="7" s="1"/>
  <c r="G1899" i="7"/>
  <c r="H1899" i="7" s="1"/>
  <c r="B1899" i="7"/>
  <c r="M1898" i="7"/>
  <c r="J1898" i="7"/>
  <c r="K1898" i="7" s="1"/>
  <c r="L1898" i="7" s="1"/>
  <c r="G1898" i="7"/>
  <c r="H1898" i="7" s="1"/>
  <c r="B1898" i="7"/>
  <c r="M1897" i="7"/>
  <c r="J1897" i="7"/>
  <c r="K1897" i="7" s="1"/>
  <c r="L1897" i="7" s="1"/>
  <c r="G1897" i="7"/>
  <c r="H1897" i="7" s="1"/>
  <c r="B1897" i="7"/>
  <c r="M1896" i="7"/>
  <c r="J1896" i="7"/>
  <c r="K1896" i="7" s="1"/>
  <c r="L1896" i="7" s="1"/>
  <c r="G1896" i="7"/>
  <c r="H1896" i="7" s="1"/>
  <c r="B1896" i="7"/>
  <c r="M1895" i="7"/>
  <c r="J1895" i="7"/>
  <c r="K1895" i="7" s="1"/>
  <c r="L1895" i="7" s="1"/>
  <c r="G1895" i="7"/>
  <c r="H1895" i="7" s="1"/>
  <c r="B1895" i="7"/>
  <c r="M1894" i="7"/>
  <c r="J1894" i="7"/>
  <c r="K1894" i="7" s="1"/>
  <c r="L1894" i="7" s="1"/>
  <c r="G1894" i="7"/>
  <c r="H1894" i="7" s="1"/>
  <c r="B1894" i="7"/>
  <c r="M1893" i="7"/>
  <c r="J1893" i="7"/>
  <c r="K1893" i="7" s="1"/>
  <c r="L1893" i="7" s="1"/>
  <c r="G1893" i="7"/>
  <c r="H1893" i="7" s="1"/>
  <c r="B1893" i="7"/>
  <c r="M1892" i="7"/>
  <c r="J1892" i="7"/>
  <c r="K1892" i="7" s="1"/>
  <c r="L1892" i="7" s="1"/>
  <c r="G1892" i="7"/>
  <c r="H1892" i="7" s="1"/>
  <c r="B1892" i="7"/>
  <c r="M1891" i="7"/>
  <c r="J1891" i="7"/>
  <c r="K1891" i="7" s="1"/>
  <c r="L1891" i="7" s="1"/>
  <c r="G1891" i="7"/>
  <c r="H1891" i="7" s="1"/>
  <c r="B1891" i="7"/>
  <c r="M1890" i="7"/>
  <c r="J1890" i="7"/>
  <c r="K1890" i="7" s="1"/>
  <c r="L1890" i="7" s="1"/>
  <c r="G1890" i="7"/>
  <c r="H1890" i="7" s="1"/>
  <c r="B1890" i="7"/>
  <c r="M1889" i="7"/>
  <c r="J1889" i="7"/>
  <c r="K1889" i="7" s="1"/>
  <c r="L1889" i="7" s="1"/>
  <c r="G1889" i="7"/>
  <c r="H1889" i="7" s="1"/>
  <c r="B1889" i="7"/>
  <c r="M1888" i="7"/>
  <c r="J1888" i="7"/>
  <c r="K1888" i="7" s="1"/>
  <c r="L1888" i="7" s="1"/>
  <c r="G1888" i="7"/>
  <c r="H1888" i="7" s="1"/>
  <c r="B1888" i="7"/>
  <c r="M1887" i="7"/>
  <c r="J1887" i="7"/>
  <c r="K1887" i="7" s="1"/>
  <c r="L1887" i="7" s="1"/>
  <c r="G1887" i="7"/>
  <c r="H1887" i="7" s="1"/>
  <c r="B1887" i="7"/>
  <c r="M1886" i="7"/>
  <c r="J1886" i="7"/>
  <c r="K1886" i="7" s="1"/>
  <c r="L1886" i="7" s="1"/>
  <c r="G1886" i="7"/>
  <c r="H1886" i="7" s="1"/>
  <c r="B1886" i="7"/>
  <c r="M1885" i="7"/>
  <c r="J1885" i="7"/>
  <c r="K1885" i="7" s="1"/>
  <c r="L1885" i="7" s="1"/>
  <c r="G1885" i="7"/>
  <c r="H1885" i="7" s="1"/>
  <c r="B1885" i="7"/>
  <c r="M1884" i="7"/>
  <c r="J1884" i="7"/>
  <c r="K1884" i="7" s="1"/>
  <c r="L1884" i="7" s="1"/>
  <c r="G1884" i="7"/>
  <c r="H1884" i="7" s="1"/>
  <c r="B1884" i="7"/>
  <c r="M1883" i="7"/>
  <c r="J1883" i="7"/>
  <c r="K1883" i="7" s="1"/>
  <c r="L1883" i="7" s="1"/>
  <c r="G1883" i="7"/>
  <c r="H1883" i="7" s="1"/>
  <c r="B1883" i="7"/>
  <c r="M1882" i="7"/>
  <c r="J1882" i="7"/>
  <c r="K1882" i="7" s="1"/>
  <c r="L1882" i="7" s="1"/>
  <c r="G1882" i="7"/>
  <c r="H1882" i="7" s="1"/>
  <c r="B1882" i="7"/>
  <c r="M1881" i="7"/>
  <c r="J1881" i="7"/>
  <c r="K1881" i="7" s="1"/>
  <c r="L1881" i="7" s="1"/>
  <c r="G1881" i="7"/>
  <c r="H1881" i="7" s="1"/>
  <c r="B1881" i="7"/>
  <c r="M1880" i="7"/>
  <c r="J1880" i="7"/>
  <c r="K1880" i="7" s="1"/>
  <c r="L1880" i="7" s="1"/>
  <c r="G1880" i="7"/>
  <c r="H1880" i="7" s="1"/>
  <c r="B1880" i="7"/>
  <c r="M1879" i="7"/>
  <c r="J1879" i="7"/>
  <c r="K1879" i="7" s="1"/>
  <c r="L1879" i="7" s="1"/>
  <c r="G1879" i="7"/>
  <c r="H1879" i="7" s="1"/>
  <c r="B1879" i="7"/>
  <c r="M1878" i="7"/>
  <c r="J1878" i="7"/>
  <c r="K1878" i="7" s="1"/>
  <c r="L1878" i="7" s="1"/>
  <c r="G1878" i="7"/>
  <c r="H1878" i="7" s="1"/>
  <c r="B1878" i="7"/>
  <c r="M1877" i="7"/>
  <c r="J1877" i="7"/>
  <c r="K1877" i="7" s="1"/>
  <c r="L1877" i="7" s="1"/>
  <c r="G1877" i="7"/>
  <c r="H1877" i="7" s="1"/>
  <c r="B1877" i="7"/>
  <c r="M1876" i="7"/>
  <c r="J1876" i="7"/>
  <c r="K1876" i="7" s="1"/>
  <c r="L1876" i="7" s="1"/>
  <c r="G1876" i="7"/>
  <c r="H1876" i="7" s="1"/>
  <c r="B1876" i="7"/>
  <c r="M1875" i="7"/>
  <c r="J1875" i="7"/>
  <c r="K1875" i="7" s="1"/>
  <c r="L1875" i="7" s="1"/>
  <c r="G1875" i="7"/>
  <c r="H1875" i="7" s="1"/>
  <c r="B1875" i="7"/>
  <c r="M1874" i="7"/>
  <c r="J1874" i="7"/>
  <c r="K1874" i="7" s="1"/>
  <c r="L1874" i="7" s="1"/>
  <c r="G1874" i="7"/>
  <c r="H1874" i="7" s="1"/>
  <c r="B1874" i="7"/>
  <c r="M1873" i="7"/>
  <c r="J1873" i="7"/>
  <c r="K1873" i="7" s="1"/>
  <c r="L1873" i="7" s="1"/>
  <c r="G1873" i="7"/>
  <c r="H1873" i="7" s="1"/>
  <c r="B1873" i="7"/>
  <c r="M1872" i="7"/>
  <c r="J1872" i="7"/>
  <c r="K1872" i="7" s="1"/>
  <c r="L1872" i="7" s="1"/>
  <c r="G1872" i="7"/>
  <c r="H1872" i="7" s="1"/>
  <c r="B1872" i="7"/>
  <c r="M1871" i="7"/>
  <c r="J1871" i="7"/>
  <c r="K1871" i="7" s="1"/>
  <c r="L1871" i="7" s="1"/>
  <c r="G1871" i="7"/>
  <c r="H1871" i="7" s="1"/>
  <c r="B1871" i="7"/>
  <c r="M1870" i="7"/>
  <c r="J1870" i="7"/>
  <c r="K1870" i="7" s="1"/>
  <c r="L1870" i="7" s="1"/>
  <c r="G1870" i="7"/>
  <c r="H1870" i="7" s="1"/>
  <c r="B1870" i="7"/>
  <c r="M1869" i="7"/>
  <c r="J1869" i="7"/>
  <c r="K1869" i="7" s="1"/>
  <c r="L1869" i="7" s="1"/>
  <c r="G1869" i="7"/>
  <c r="H1869" i="7" s="1"/>
  <c r="B1869" i="7"/>
  <c r="M1868" i="7"/>
  <c r="J1868" i="7"/>
  <c r="K1868" i="7" s="1"/>
  <c r="L1868" i="7" s="1"/>
  <c r="G1868" i="7"/>
  <c r="H1868" i="7" s="1"/>
  <c r="B1868" i="7"/>
  <c r="M1867" i="7"/>
  <c r="J1867" i="7"/>
  <c r="K1867" i="7" s="1"/>
  <c r="L1867" i="7" s="1"/>
  <c r="G1867" i="7"/>
  <c r="H1867" i="7" s="1"/>
  <c r="B1867" i="7"/>
  <c r="M1866" i="7"/>
  <c r="J1866" i="7"/>
  <c r="K1866" i="7" s="1"/>
  <c r="L1866" i="7" s="1"/>
  <c r="G1866" i="7"/>
  <c r="H1866" i="7" s="1"/>
  <c r="B1866" i="7"/>
  <c r="M1865" i="7"/>
  <c r="J1865" i="7"/>
  <c r="K1865" i="7" s="1"/>
  <c r="L1865" i="7" s="1"/>
  <c r="G1865" i="7"/>
  <c r="H1865" i="7" s="1"/>
  <c r="B1865" i="7"/>
  <c r="M1864" i="7"/>
  <c r="J1864" i="7"/>
  <c r="K1864" i="7" s="1"/>
  <c r="L1864" i="7" s="1"/>
  <c r="G1864" i="7"/>
  <c r="H1864" i="7" s="1"/>
  <c r="B1864" i="7"/>
  <c r="M1863" i="7"/>
  <c r="J1863" i="7"/>
  <c r="K1863" i="7" s="1"/>
  <c r="L1863" i="7" s="1"/>
  <c r="G1863" i="7"/>
  <c r="H1863" i="7" s="1"/>
  <c r="B1863" i="7"/>
  <c r="M1862" i="7"/>
  <c r="J1862" i="7"/>
  <c r="K1862" i="7" s="1"/>
  <c r="L1862" i="7" s="1"/>
  <c r="G1862" i="7"/>
  <c r="H1862" i="7" s="1"/>
  <c r="B1862" i="7"/>
  <c r="M1861" i="7"/>
  <c r="J1861" i="7"/>
  <c r="K1861" i="7" s="1"/>
  <c r="L1861" i="7" s="1"/>
  <c r="G1861" i="7"/>
  <c r="H1861" i="7" s="1"/>
  <c r="B1861" i="7"/>
  <c r="M1860" i="7"/>
  <c r="J1860" i="7"/>
  <c r="K1860" i="7" s="1"/>
  <c r="L1860" i="7" s="1"/>
  <c r="G1860" i="7"/>
  <c r="H1860" i="7" s="1"/>
  <c r="B1860" i="7"/>
  <c r="M1859" i="7"/>
  <c r="J1859" i="7"/>
  <c r="K1859" i="7" s="1"/>
  <c r="L1859" i="7" s="1"/>
  <c r="G1859" i="7"/>
  <c r="H1859" i="7" s="1"/>
  <c r="B1859" i="7"/>
  <c r="M1858" i="7"/>
  <c r="J1858" i="7"/>
  <c r="K1858" i="7" s="1"/>
  <c r="L1858" i="7" s="1"/>
  <c r="G1858" i="7"/>
  <c r="H1858" i="7" s="1"/>
  <c r="B1858" i="7"/>
  <c r="M1857" i="7"/>
  <c r="J1857" i="7"/>
  <c r="K1857" i="7" s="1"/>
  <c r="L1857" i="7" s="1"/>
  <c r="G1857" i="7"/>
  <c r="H1857" i="7" s="1"/>
  <c r="B1857" i="7"/>
  <c r="M1856" i="7"/>
  <c r="J1856" i="7"/>
  <c r="K1856" i="7" s="1"/>
  <c r="L1856" i="7" s="1"/>
  <c r="G1856" i="7"/>
  <c r="H1856" i="7" s="1"/>
  <c r="B1856" i="7"/>
  <c r="M1855" i="7"/>
  <c r="J1855" i="7"/>
  <c r="K1855" i="7" s="1"/>
  <c r="L1855" i="7" s="1"/>
  <c r="G1855" i="7"/>
  <c r="H1855" i="7" s="1"/>
  <c r="B1855" i="7"/>
  <c r="M1854" i="7"/>
  <c r="J1854" i="7"/>
  <c r="K1854" i="7" s="1"/>
  <c r="L1854" i="7" s="1"/>
  <c r="G1854" i="7"/>
  <c r="H1854" i="7" s="1"/>
  <c r="B1854" i="7"/>
  <c r="M1853" i="7"/>
  <c r="J1853" i="7"/>
  <c r="K1853" i="7" s="1"/>
  <c r="L1853" i="7" s="1"/>
  <c r="G1853" i="7"/>
  <c r="H1853" i="7" s="1"/>
  <c r="B1853" i="7"/>
  <c r="M1852" i="7"/>
  <c r="J1852" i="7"/>
  <c r="K1852" i="7" s="1"/>
  <c r="L1852" i="7" s="1"/>
  <c r="G1852" i="7"/>
  <c r="H1852" i="7" s="1"/>
  <c r="B1852" i="7"/>
  <c r="M1851" i="7"/>
  <c r="J1851" i="7"/>
  <c r="K1851" i="7" s="1"/>
  <c r="L1851" i="7" s="1"/>
  <c r="G1851" i="7"/>
  <c r="H1851" i="7" s="1"/>
  <c r="B1851" i="7"/>
  <c r="M1850" i="7"/>
  <c r="J1850" i="7"/>
  <c r="K1850" i="7" s="1"/>
  <c r="L1850" i="7" s="1"/>
  <c r="G1850" i="7"/>
  <c r="H1850" i="7" s="1"/>
  <c r="B1850" i="7"/>
  <c r="M1849" i="7"/>
  <c r="J1849" i="7"/>
  <c r="K1849" i="7" s="1"/>
  <c r="L1849" i="7" s="1"/>
  <c r="G1849" i="7"/>
  <c r="H1849" i="7" s="1"/>
  <c r="B1849" i="7"/>
  <c r="M1848" i="7"/>
  <c r="J1848" i="7"/>
  <c r="K1848" i="7" s="1"/>
  <c r="L1848" i="7" s="1"/>
  <c r="G1848" i="7"/>
  <c r="H1848" i="7" s="1"/>
  <c r="B1848" i="7"/>
  <c r="M1847" i="7"/>
  <c r="J1847" i="7"/>
  <c r="K1847" i="7" s="1"/>
  <c r="L1847" i="7" s="1"/>
  <c r="G1847" i="7"/>
  <c r="H1847" i="7" s="1"/>
  <c r="B1847" i="7"/>
  <c r="M1846" i="7"/>
  <c r="J1846" i="7"/>
  <c r="K1846" i="7" s="1"/>
  <c r="L1846" i="7" s="1"/>
  <c r="G1846" i="7"/>
  <c r="H1846" i="7" s="1"/>
  <c r="B1846" i="7"/>
  <c r="M1845" i="7"/>
  <c r="J1845" i="7"/>
  <c r="K1845" i="7" s="1"/>
  <c r="L1845" i="7" s="1"/>
  <c r="G1845" i="7"/>
  <c r="H1845" i="7" s="1"/>
  <c r="B1845" i="7"/>
  <c r="M1844" i="7"/>
  <c r="J1844" i="7"/>
  <c r="K1844" i="7" s="1"/>
  <c r="L1844" i="7" s="1"/>
  <c r="G1844" i="7"/>
  <c r="H1844" i="7" s="1"/>
  <c r="B1844" i="7"/>
  <c r="M1843" i="7"/>
  <c r="J1843" i="7"/>
  <c r="K1843" i="7" s="1"/>
  <c r="L1843" i="7" s="1"/>
  <c r="G1843" i="7"/>
  <c r="H1843" i="7" s="1"/>
  <c r="B1843" i="7"/>
  <c r="M1842" i="7"/>
  <c r="J1842" i="7"/>
  <c r="K1842" i="7" s="1"/>
  <c r="L1842" i="7" s="1"/>
  <c r="G1842" i="7"/>
  <c r="H1842" i="7" s="1"/>
  <c r="B1842" i="7"/>
  <c r="M1841" i="7"/>
  <c r="J1841" i="7"/>
  <c r="K1841" i="7" s="1"/>
  <c r="L1841" i="7" s="1"/>
  <c r="G1841" i="7"/>
  <c r="H1841" i="7" s="1"/>
  <c r="B1841" i="7"/>
  <c r="M1840" i="7"/>
  <c r="J1840" i="7"/>
  <c r="K1840" i="7" s="1"/>
  <c r="L1840" i="7" s="1"/>
  <c r="G1840" i="7"/>
  <c r="H1840" i="7" s="1"/>
  <c r="B1840" i="7"/>
  <c r="M1839" i="7"/>
  <c r="J1839" i="7"/>
  <c r="K1839" i="7" s="1"/>
  <c r="L1839" i="7" s="1"/>
  <c r="G1839" i="7"/>
  <c r="H1839" i="7" s="1"/>
  <c r="B1839" i="7"/>
  <c r="M1838" i="7"/>
  <c r="J1838" i="7"/>
  <c r="K1838" i="7" s="1"/>
  <c r="L1838" i="7" s="1"/>
  <c r="G1838" i="7"/>
  <c r="H1838" i="7" s="1"/>
  <c r="B1838" i="7"/>
  <c r="M1837" i="7"/>
  <c r="J1837" i="7"/>
  <c r="K1837" i="7" s="1"/>
  <c r="L1837" i="7" s="1"/>
  <c r="G1837" i="7"/>
  <c r="H1837" i="7" s="1"/>
  <c r="B1837" i="7"/>
  <c r="M1836" i="7"/>
  <c r="J1836" i="7"/>
  <c r="K1836" i="7" s="1"/>
  <c r="L1836" i="7" s="1"/>
  <c r="G1836" i="7"/>
  <c r="H1836" i="7" s="1"/>
  <c r="B1836" i="7"/>
  <c r="M1835" i="7"/>
  <c r="J1835" i="7"/>
  <c r="K1835" i="7" s="1"/>
  <c r="L1835" i="7" s="1"/>
  <c r="G1835" i="7"/>
  <c r="H1835" i="7" s="1"/>
  <c r="B1835" i="7"/>
  <c r="M1834" i="7"/>
  <c r="J1834" i="7"/>
  <c r="K1834" i="7" s="1"/>
  <c r="L1834" i="7" s="1"/>
  <c r="G1834" i="7"/>
  <c r="H1834" i="7" s="1"/>
  <c r="B1834" i="7"/>
  <c r="M1833" i="7"/>
  <c r="J1833" i="7"/>
  <c r="K1833" i="7" s="1"/>
  <c r="L1833" i="7" s="1"/>
  <c r="G1833" i="7"/>
  <c r="H1833" i="7" s="1"/>
  <c r="B1833" i="7"/>
  <c r="M1832" i="7"/>
  <c r="J1832" i="7"/>
  <c r="K1832" i="7" s="1"/>
  <c r="L1832" i="7" s="1"/>
  <c r="G1832" i="7"/>
  <c r="H1832" i="7" s="1"/>
  <c r="B1832" i="7"/>
  <c r="M1831" i="7"/>
  <c r="J1831" i="7"/>
  <c r="K1831" i="7" s="1"/>
  <c r="L1831" i="7" s="1"/>
  <c r="G1831" i="7"/>
  <c r="H1831" i="7" s="1"/>
  <c r="B1831" i="7"/>
  <c r="M1830" i="7"/>
  <c r="J1830" i="7"/>
  <c r="K1830" i="7" s="1"/>
  <c r="L1830" i="7" s="1"/>
  <c r="G1830" i="7"/>
  <c r="H1830" i="7" s="1"/>
  <c r="B1830" i="7"/>
  <c r="M1829" i="7"/>
  <c r="J1829" i="7"/>
  <c r="K1829" i="7" s="1"/>
  <c r="L1829" i="7" s="1"/>
  <c r="G1829" i="7"/>
  <c r="H1829" i="7" s="1"/>
  <c r="B1829" i="7"/>
  <c r="M1828" i="7"/>
  <c r="J1828" i="7"/>
  <c r="K1828" i="7" s="1"/>
  <c r="L1828" i="7" s="1"/>
  <c r="G1828" i="7"/>
  <c r="H1828" i="7" s="1"/>
  <c r="B1828" i="7"/>
  <c r="M1827" i="7"/>
  <c r="J1827" i="7"/>
  <c r="K1827" i="7" s="1"/>
  <c r="L1827" i="7" s="1"/>
  <c r="G1827" i="7"/>
  <c r="H1827" i="7" s="1"/>
  <c r="B1827" i="7"/>
  <c r="M1826" i="7"/>
  <c r="J1826" i="7"/>
  <c r="K1826" i="7" s="1"/>
  <c r="L1826" i="7" s="1"/>
  <c r="G1826" i="7"/>
  <c r="H1826" i="7" s="1"/>
  <c r="B1826" i="7"/>
  <c r="M1825" i="7"/>
  <c r="J1825" i="7"/>
  <c r="K1825" i="7" s="1"/>
  <c r="L1825" i="7" s="1"/>
  <c r="G1825" i="7"/>
  <c r="H1825" i="7" s="1"/>
  <c r="B1825" i="7"/>
  <c r="M1824" i="7"/>
  <c r="J1824" i="7"/>
  <c r="K1824" i="7" s="1"/>
  <c r="L1824" i="7" s="1"/>
  <c r="G1824" i="7"/>
  <c r="H1824" i="7" s="1"/>
  <c r="B1824" i="7"/>
  <c r="M1823" i="7"/>
  <c r="J1823" i="7"/>
  <c r="K1823" i="7" s="1"/>
  <c r="L1823" i="7" s="1"/>
  <c r="G1823" i="7"/>
  <c r="H1823" i="7" s="1"/>
  <c r="B1823" i="7"/>
  <c r="M1822" i="7"/>
  <c r="J1822" i="7"/>
  <c r="K1822" i="7" s="1"/>
  <c r="L1822" i="7" s="1"/>
  <c r="G1822" i="7"/>
  <c r="H1822" i="7" s="1"/>
  <c r="B1822" i="7"/>
  <c r="M1821" i="7"/>
  <c r="J1821" i="7"/>
  <c r="K1821" i="7" s="1"/>
  <c r="L1821" i="7" s="1"/>
  <c r="G1821" i="7"/>
  <c r="H1821" i="7" s="1"/>
  <c r="B1821" i="7"/>
  <c r="M1820" i="7"/>
  <c r="J1820" i="7"/>
  <c r="K1820" i="7" s="1"/>
  <c r="L1820" i="7" s="1"/>
  <c r="G1820" i="7"/>
  <c r="H1820" i="7" s="1"/>
  <c r="B1820" i="7"/>
  <c r="M1819" i="7"/>
  <c r="J1819" i="7"/>
  <c r="K1819" i="7" s="1"/>
  <c r="L1819" i="7" s="1"/>
  <c r="G1819" i="7"/>
  <c r="H1819" i="7" s="1"/>
  <c r="B1819" i="7"/>
  <c r="M1818" i="7"/>
  <c r="J1818" i="7"/>
  <c r="K1818" i="7" s="1"/>
  <c r="L1818" i="7" s="1"/>
  <c r="G1818" i="7"/>
  <c r="H1818" i="7" s="1"/>
  <c r="B1818" i="7"/>
  <c r="M1817" i="7"/>
  <c r="J1817" i="7"/>
  <c r="K1817" i="7" s="1"/>
  <c r="L1817" i="7" s="1"/>
  <c r="G1817" i="7"/>
  <c r="H1817" i="7" s="1"/>
  <c r="B1817" i="7"/>
  <c r="M1816" i="7"/>
  <c r="J1816" i="7"/>
  <c r="K1816" i="7" s="1"/>
  <c r="L1816" i="7" s="1"/>
  <c r="G1816" i="7"/>
  <c r="H1816" i="7" s="1"/>
  <c r="B1816" i="7"/>
  <c r="M1815" i="7"/>
  <c r="J1815" i="7"/>
  <c r="K1815" i="7" s="1"/>
  <c r="L1815" i="7" s="1"/>
  <c r="G1815" i="7"/>
  <c r="H1815" i="7" s="1"/>
  <c r="B1815" i="7"/>
  <c r="M1814" i="7"/>
  <c r="J1814" i="7"/>
  <c r="K1814" i="7" s="1"/>
  <c r="L1814" i="7" s="1"/>
  <c r="G1814" i="7"/>
  <c r="H1814" i="7" s="1"/>
  <c r="B1814" i="7"/>
  <c r="M1813" i="7"/>
  <c r="J1813" i="7"/>
  <c r="K1813" i="7" s="1"/>
  <c r="L1813" i="7" s="1"/>
  <c r="G1813" i="7"/>
  <c r="H1813" i="7" s="1"/>
  <c r="B1813" i="7"/>
  <c r="M1812" i="7"/>
  <c r="J1812" i="7"/>
  <c r="K1812" i="7" s="1"/>
  <c r="L1812" i="7" s="1"/>
  <c r="G1812" i="7"/>
  <c r="H1812" i="7" s="1"/>
  <c r="B1812" i="7"/>
  <c r="M1811" i="7"/>
  <c r="J1811" i="7"/>
  <c r="K1811" i="7" s="1"/>
  <c r="L1811" i="7" s="1"/>
  <c r="G1811" i="7"/>
  <c r="H1811" i="7" s="1"/>
  <c r="B1811" i="7"/>
  <c r="M1810" i="7"/>
  <c r="J1810" i="7"/>
  <c r="K1810" i="7" s="1"/>
  <c r="L1810" i="7" s="1"/>
  <c r="G1810" i="7"/>
  <c r="H1810" i="7" s="1"/>
  <c r="B1810" i="7"/>
  <c r="M1809" i="7"/>
  <c r="J1809" i="7"/>
  <c r="K1809" i="7" s="1"/>
  <c r="L1809" i="7" s="1"/>
  <c r="G1809" i="7"/>
  <c r="H1809" i="7" s="1"/>
  <c r="B1809" i="7"/>
  <c r="M1808" i="7"/>
  <c r="J1808" i="7"/>
  <c r="K1808" i="7" s="1"/>
  <c r="L1808" i="7" s="1"/>
  <c r="G1808" i="7"/>
  <c r="H1808" i="7" s="1"/>
  <c r="B1808" i="7"/>
  <c r="M1807" i="7"/>
  <c r="J1807" i="7"/>
  <c r="K1807" i="7" s="1"/>
  <c r="L1807" i="7" s="1"/>
  <c r="G1807" i="7"/>
  <c r="H1807" i="7" s="1"/>
  <c r="B1807" i="7"/>
  <c r="M1806" i="7"/>
  <c r="J1806" i="7"/>
  <c r="K1806" i="7" s="1"/>
  <c r="L1806" i="7" s="1"/>
  <c r="G1806" i="7"/>
  <c r="H1806" i="7" s="1"/>
  <c r="B1806" i="7"/>
  <c r="M1805" i="7"/>
  <c r="J1805" i="7"/>
  <c r="K1805" i="7" s="1"/>
  <c r="L1805" i="7" s="1"/>
  <c r="G1805" i="7"/>
  <c r="H1805" i="7" s="1"/>
  <c r="B1805" i="7"/>
  <c r="M1804" i="7"/>
  <c r="J1804" i="7"/>
  <c r="K1804" i="7" s="1"/>
  <c r="L1804" i="7" s="1"/>
  <c r="G1804" i="7"/>
  <c r="H1804" i="7" s="1"/>
  <c r="B1804" i="7"/>
  <c r="M1803" i="7"/>
  <c r="J1803" i="7"/>
  <c r="K1803" i="7" s="1"/>
  <c r="L1803" i="7" s="1"/>
  <c r="G1803" i="7"/>
  <c r="H1803" i="7" s="1"/>
  <c r="B1803" i="7"/>
  <c r="M1802" i="7"/>
  <c r="J1802" i="7"/>
  <c r="K1802" i="7" s="1"/>
  <c r="L1802" i="7" s="1"/>
  <c r="G1802" i="7"/>
  <c r="H1802" i="7" s="1"/>
  <c r="B1802" i="7"/>
  <c r="M1801" i="7"/>
  <c r="J1801" i="7"/>
  <c r="K1801" i="7" s="1"/>
  <c r="L1801" i="7" s="1"/>
  <c r="G1801" i="7"/>
  <c r="H1801" i="7" s="1"/>
  <c r="B1801" i="7"/>
  <c r="M1800" i="7"/>
  <c r="J1800" i="7"/>
  <c r="K1800" i="7" s="1"/>
  <c r="L1800" i="7" s="1"/>
  <c r="G1800" i="7"/>
  <c r="H1800" i="7" s="1"/>
  <c r="B1800" i="7"/>
  <c r="M1799" i="7"/>
  <c r="J1799" i="7"/>
  <c r="K1799" i="7" s="1"/>
  <c r="L1799" i="7" s="1"/>
  <c r="G1799" i="7"/>
  <c r="H1799" i="7" s="1"/>
  <c r="B1799" i="7"/>
  <c r="M1798" i="7"/>
  <c r="J1798" i="7"/>
  <c r="K1798" i="7" s="1"/>
  <c r="L1798" i="7" s="1"/>
  <c r="G1798" i="7"/>
  <c r="H1798" i="7" s="1"/>
  <c r="B1798" i="7"/>
  <c r="M1797" i="7"/>
  <c r="J1797" i="7"/>
  <c r="K1797" i="7" s="1"/>
  <c r="L1797" i="7" s="1"/>
  <c r="G1797" i="7"/>
  <c r="H1797" i="7" s="1"/>
  <c r="B1797" i="7"/>
  <c r="M1796" i="7"/>
  <c r="J1796" i="7"/>
  <c r="K1796" i="7" s="1"/>
  <c r="L1796" i="7" s="1"/>
  <c r="G1796" i="7"/>
  <c r="H1796" i="7" s="1"/>
  <c r="B1796" i="7"/>
  <c r="M1795" i="7"/>
  <c r="J1795" i="7"/>
  <c r="K1795" i="7" s="1"/>
  <c r="L1795" i="7" s="1"/>
  <c r="G1795" i="7"/>
  <c r="H1795" i="7" s="1"/>
  <c r="B1795" i="7"/>
  <c r="M1794" i="7"/>
  <c r="J1794" i="7"/>
  <c r="K1794" i="7" s="1"/>
  <c r="L1794" i="7" s="1"/>
  <c r="G1794" i="7"/>
  <c r="H1794" i="7" s="1"/>
  <c r="B1794" i="7"/>
  <c r="M1793" i="7"/>
  <c r="J1793" i="7"/>
  <c r="K1793" i="7" s="1"/>
  <c r="L1793" i="7" s="1"/>
  <c r="G1793" i="7"/>
  <c r="H1793" i="7" s="1"/>
  <c r="B1793" i="7"/>
  <c r="M1792" i="7"/>
  <c r="J1792" i="7"/>
  <c r="K1792" i="7" s="1"/>
  <c r="L1792" i="7" s="1"/>
  <c r="G1792" i="7"/>
  <c r="H1792" i="7" s="1"/>
  <c r="B1792" i="7"/>
  <c r="M1791" i="7"/>
  <c r="J1791" i="7"/>
  <c r="K1791" i="7" s="1"/>
  <c r="L1791" i="7" s="1"/>
  <c r="G1791" i="7"/>
  <c r="H1791" i="7" s="1"/>
  <c r="B1791" i="7"/>
  <c r="M1790" i="7"/>
  <c r="J1790" i="7"/>
  <c r="K1790" i="7" s="1"/>
  <c r="L1790" i="7" s="1"/>
  <c r="G1790" i="7"/>
  <c r="H1790" i="7" s="1"/>
  <c r="B1790" i="7"/>
  <c r="M1789" i="7"/>
  <c r="J1789" i="7"/>
  <c r="K1789" i="7" s="1"/>
  <c r="L1789" i="7" s="1"/>
  <c r="G1789" i="7"/>
  <c r="H1789" i="7" s="1"/>
  <c r="B1789" i="7"/>
  <c r="M1788" i="7"/>
  <c r="J1788" i="7"/>
  <c r="K1788" i="7" s="1"/>
  <c r="L1788" i="7" s="1"/>
  <c r="G1788" i="7"/>
  <c r="H1788" i="7" s="1"/>
  <c r="B1788" i="7"/>
  <c r="M1787" i="7"/>
  <c r="J1787" i="7"/>
  <c r="K1787" i="7" s="1"/>
  <c r="L1787" i="7" s="1"/>
  <c r="G1787" i="7"/>
  <c r="H1787" i="7" s="1"/>
  <c r="B1787" i="7"/>
  <c r="M1786" i="7"/>
  <c r="J1786" i="7"/>
  <c r="K1786" i="7" s="1"/>
  <c r="L1786" i="7" s="1"/>
  <c r="G1786" i="7"/>
  <c r="H1786" i="7" s="1"/>
  <c r="B1786" i="7"/>
  <c r="M1785" i="7"/>
  <c r="J1785" i="7"/>
  <c r="K1785" i="7" s="1"/>
  <c r="L1785" i="7" s="1"/>
  <c r="G1785" i="7"/>
  <c r="H1785" i="7" s="1"/>
  <c r="B1785" i="7"/>
  <c r="M1784" i="7"/>
  <c r="J1784" i="7"/>
  <c r="K1784" i="7" s="1"/>
  <c r="L1784" i="7" s="1"/>
  <c r="G1784" i="7"/>
  <c r="H1784" i="7" s="1"/>
  <c r="B1784" i="7"/>
  <c r="M1783" i="7"/>
  <c r="J1783" i="7"/>
  <c r="K1783" i="7" s="1"/>
  <c r="L1783" i="7" s="1"/>
  <c r="G1783" i="7"/>
  <c r="H1783" i="7" s="1"/>
  <c r="B1783" i="7"/>
  <c r="M1782" i="7"/>
  <c r="J1782" i="7"/>
  <c r="K1782" i="7" s="1"/>
  <c r="L1782" i="7" s="1"/>
  <c r="G1782" i="7"/>
  <c r="H1782" i="7" s="1"/>
  <c r="B1782" i="7"/>
  <c r="M1781" i="7"/>
  <c r="J1781" i="7"/>
  <c r="K1781" i="7" s="1"/>
  <c r="L1781" i="7" s="1"/>
  <c r="G1781" i="7"/>
  <c r="H1781" i="7" s="1"/>
  <c r="B1781" i="7"/>
  <c r="M1780" i="7"/>
  <c r="J1780" i="7"/>
  <c r="K1780" i="7" s="1"/>
  <c r="L1780" i="7" s="1"/>
  <c r="G1780" i="7"/>
  <c r="H1780" i="7" s="1"/>
  <c r="B1780" i="7"/>
  <c r="M1779" i="7"/>
  <c r="J1779" i="7"/>
  <c r="K1779" i="7" s="1"/>
  <c r="L1779" i="7" s="1"/>
  <c r="G1779" i="7"/>
  <c r="H1779" i="7" s="1"/>
  <c r="B1779" i="7"/>
  <c r="M1778" i="7"/>
  <c r="J1778" i="7"/>
  <c r="K1778" i="7" s="1"/>
  <c r="L1778" i="7" s="1"/>
  <c r="G1778" i="7"/>
  <c r="H1778" i="7" s="1"/>
  <c r="B1778" i="7"/>
  <c r="M1777" i="7"/>
  <c r="J1777" i="7"/>
  <c r="K1777" i="7" s="1"/>
  <c r="L1777" i="7" s="1"/>
  <c r="G1777" i="7"/>
  <c r="H1777" i="7" s="1"/>
  <c r="B1777" i="7"/>
  <c r="M1776" i="7"/>
  <c r="J1776" i="7"/>
  <c r="K1776" i="7" s="1"/>
  <c r="L1776" i="7" s="1"/>
  <c r="G1776" i="7"/>
  <c r="H1776" i="7" s="1"/>
  <c r="B1776" i="7"/>
  <c r="M1775" i="7"/>
  <c r="J1775" i="7"/>
  <c r="K1775" i="7" s="1"/>
  <c r="L1775" i="7" s="1"/>
  <c r="G1775" i="7"/>
  <c r="H1775" i="7" s="1"/>
  <c r="B1775" i="7"/>
  <c r="M1774" i="7"/>
  <c r="J1774" i="7"/>
  <c r="K1774" i="7" s="1"/>
  <c r="L1774" i="7" s="1"/>
  <c r="G1774" i="7"/>
  <c r="H1774" i="7" s="1"/>
  <c r="B1774" i="7"/>
  <c r="M1773" i="7"/>
  <c r="J1773" i="7"/>
  <c r="K1773" i="7" s="1"/>
  <c r="L1773" i="7" s="1"/>
  <c r="G1773" i="7"/>
  <c r="H1773" i="7" s="1"/>
  <c r="B1773" i="7"/>
  <c r="M1772" i="7"/>
  <c r="J1772" i="7"/>
  <c r="K1772" i="7" s="1"/>
  <c r="L1772" i="7" s="1"/>
  <c r="G1772" i="7"/>
  <c r="H1772" i="7" s="1"/>
  <c r="B1772" i="7"/>
  <c r="M1771" i="7"/>
  <c r="J1771" i="7"/>
  <c r="K1771" i="7" s="1"/>
  <c r="L1771" i="7" s="1"/>
  <c r="G1771" i="7"/>
  <c r="H1771" i="7" s="1"/>
  <c r="B1771" i="7"/>
  <c r="M1770" i="7"/>
  <c r="J1770" i="7"/>
  <c r="K1770" i="7" s="1"/>
  <c r="L1770" i="7" s="1"/>
  <c r="G1770" i="7"/>
  <c r="H1770" i="7" s="1"/>
  <c r="B1770" i="7"/>
  <c r="M1769" i="7"/>
  <c r="J1769" i="7"/>
  <c r="K1769" i="7" s="1"/>
  <c r="L1769" i="7" s="1"/>
  <c r="G1769" i="7"/>
  <c r="H1769" i="7" s="1"/>
  <c r="B1769" i="7"/>
  <c r="M1768" i="7"/>
  <c r="J1768" i="7"/>
  <c r="K1768" i="7" s="1"/>
  <c r="L1768" i="7" s="1"/>
  <c r="G1768" i="7"/>
  <c r="H1768" i="7" s="1"/>
  <c r="B1768" i="7"/>
  <c r="M1767" i="7"/>
  <c r="J1767" i="7"/>
  <c r="K1767" i="7" s="1"/>
  <c r="L1767" i="7" s="1"/>
  <c r="G1767" i="7"/>
  <c r="H1767" i="7" s="1"/>
  <c r="B1767" i="7"/>
  <c r="M1766" i="7"/>
  <c r="J1766" i="7"/>
  <c r="K1766" i="7" s="1"/>
  <c r="L1766" i="7" s="1"/>
  <c r="G1766" i="7"/>
  <c r="H1766" i="7" s="1"/>
  <c r="B1766" i="7"/>
  <c r="M1765" i="7"/>
  <c r="J1765" i="7"/>
  <c r="K1765" i="7" s="1"/>
  <c r="L1765" i="7" s="1"/>
  <c r="G1765" i="7"/>
  <c r="H1765" i="7" s="1"/>
  <c r="B1765" i="7"/>
  <c r="M1764" i="7"/>
  <c r="J1764" i="7"/>
  <c r="K1764" i="7" s="1"/>
  <c r="L1764" i="7" s="1"/>
  <c r="G1764" i="7"/>
  <c r="H1764" i="7" s="1"/>
  <c r="B1764" i="7"/>
  <c r="M1763" i="7"/>
  <c r="J1763" i="7"/>
  <c r="K1763" i="7" s="1"/>
  <c r="L1763" i="7" s="1"/>
  <c r="G1763" i="7"/>
  <c r="H1763" i="7" s="1"/>
  <c r="B1763" i="7"/>
  <c r="M1762" i="7"/>
  <c r="J1762" i="7"/>
  <c r="K1762" i="7" s="1"/>
  <c r="L1762" i="7" s="1"/>
  <c r="G1762" i="7"/>
  <c r="H1762" i="7" s="1"/>
  <c r="B1762" i="7"/>
  <c r="M1761" i="7"/>
  <c r="J1761" i="7"/>
  <c r="K1761" i="7" s="1"/>
  <c r="L1761" i="7" s="1"/>
  <c r="G1761" i="7"/>
  <c r="H1761" i="7" s="1"/>
  <c r="B1761" i="7"/>
  <c r="M1760" i="7"/>
  <c r="J1760" i="7"/>
  <c r="K1760" i="7" s="1"/>
  <c r="L1760" i="7" s="1"/>
  <c r="G1760" i="7"/>
  <c r="H1760" i="7" s="1"/>
  <c r="B1760" i="7"/>
  <c r="M1759" i="7"/>
  <c r="J1759" i="7"/>
  <c r="K1759" i="7" s="1"/>
  <c r="L1759" i="7" s="1"/>
  <c r="G1759" i="7"/>
  <c r="H1759" i="7" s="1"/>
  <c r="B1759" i="7"/>
  <c r="M1758" i="7"/>
  <c r="J1758" i="7"/>
  <c r="K1758" i="7" s="1"/>
  <c r="L1758" i="7" s="1"/>
  <c r="G1758" i="7"/>
  <c r="H1758" i="7" s="1"/>
  <c r="B1758" i="7"/>
  <c r="M1757" i="7"/>
  <c r="J1757" i="7"/>
  <c r="K1757" i="7" s="1"/>
  <c r="L1757" i="7" s="1"/>
  <c r="G1757" i="7"/>
  <c r="H1757" i="7" s="1"/>
  <c r="B1757" i="7"/>
  <c r="M1756" i="7"/>
  <c r="J1756" i="7"/>
  <c r="K1756" i="7" s="1"/>
  <c r="L1756" i="7" s="1"/>
  <c r="G1756" i="7"/>
  <c r="H1756" i="7" s="1"/>
  <c r="B1756" i="7"/>
  <c r="M1755" i="7"/>
  <c r="J1755" i="7"/>
  <c r="K1755" i="7" s="1"/>
  <c r="L1755" i="7" s="1"/>
  <c r="G1755" i="7"/>
  <c r="H1755" i="7" s="1"/>
  <c r="B1755" i="7"/>
  <c r="M1754" i="7"/>
  <c r="J1754" i="7"/>
  <c r="K1754" i="7" s="1"/>
  <c r="L1754" i="7" s="1"/>
  <c r="G1754" i="7"/>
  <c r="H1754" i="7" s="1"/>
  <c r="B1754" i="7"/>
  <c r="M1753" i="7"/>
  <c r="J1753" i="7"/>
  <c r="K1753" i="7" s="1"/>
  <c r="L1753" i="7" s="1"/>
  <c r="G1753" i="7"/>
  <c r="H1753" i="7" s="1"/>
  <c r="B1753" i="7"/>
  <c r="M1752" i="7"/>
  <c r="J1752" i="7"/>
  <c r="K1752" i="7" s="1"/>
  <c r="L1752" i="7" s="1"/>
  <c r="G1752" i="7"/>
  <c r="H1752" i="7" s="1"/>
  <c r="B1752" i="7"/>
  <c r="M1751" i="7"/>
  <c r="J1751" i="7"/>
  <c r="K1751" i="7" s="1"/>
  <c r="L1751" i="7" s="1"/>
  <c r="G1751" i="7"/>
  <c r="H1751" i="7" s="1"/>
  <c r="B1751" i="7"/>
  <c r="M1750" i="7"/>
  <c r="J1750" i="7"/>
  <c r="K1750" i="7" s="1"/>
  <c r="L1750" i="7" s="1"/>
  <c r="G1750" i="7"/>
  <c r="H1750" i="7" s="1"/>
  <c r="B1750" i="7"/>
  <c r="M1749" i="7"/>
  <c r="J1749" i="7"/>
  <c r="K1749" i="7" s="1"/>
  <c r="L1749" i="7" s="1"/>
  <c r="G1749" i="7"/>
  <c r="H1749" i="7" s="1"/>
  <c r="B1749" i="7"/>
  <c r="M1748" i="7"/>
  <c r="J1748" i="7"/>
  <c r="K1748" i="7" s="1"/>
  <c r="L1748" i="7" s="1"/>
  <c r="G1748" i="7"/>
  <c r="H1748" i="7" s="1"/>
  <c r="B1748" i="7"/>
  <c r="M1747" i="7"/>
  <c r="J1747" i="7"/>
  <c r="K1747" i="7" s="1"/>
  <c r="L1747" i="7" s="1"/>
  <c r="G1747" i="7"/>
  <c r="H1747" i="7" s="1"/>
  <c r="B1747" i="7"/>
  <c r="M1746" i="7"/>
  <c r="J1746" i="7"/>
  <c r="K1746" i="7" s="1"/>
  <c r="L1746" i="7" s="1"/>
  <c r="G1746" i="7"/>
  <c r="H1746" i="7" s="1"/>
  <c r="B1746" i="7"/>
  <c r="M1745" i="7"/>
  <c r="J1745" i="7"/>
  <c r="K1745" i="7" s="1"/>
  <c r="L1745" i="7" s="1"/>
  <c r="G1745" i="7"/>
  <c r="H1745" i="7" s="1"/>
  <c r="B1745" i="7"/>
  <c r="M1744" i="7"/>
  <c r="J1744" i="7"/>
  <c r="K1744" i="7" s="1"/>
  <c r="L1744" i="7" s="1"/>
  <c r="G1744" i="7"/>
  <c r="H1744" i="7" s="1"/>
  <c r="B1744" i="7"/>
  <c r="M1743" i="7"/>
  <c r="J1743" i="7"/>
  <c r="K1743" i="7" s="1"/>
  <c r="L1743" i="7" s="1"/>
  <c r="G1743" i="7"/>
  <c r="H1743" i="7" s="1"/>
  <c r="B1743" i="7"/>
  <c r="M1742" i="7"/>
  <c r="J1742" i="7"/>
  <c r="K1742" i="7" s="1"/>
  <c r="L1742" i="7" s="1"/>
  <c r="G1742" i="7"/>
  <c r="H1742" i="7" s="1"/>
  <c r="B1742" i="7"/>
  <c r="M1741" i="7"/>
  <c r="J1741" i="7"/>
  <c r="K1741" i="7" s="1"/>
  <c r="L1741" i="7" s="1"/>
  <c r="G1741" i="7"/>
  <c r="H1741" i="7" s="1"/>
  <c r="B1741" i="7"/>
  <c r="M1740" i="7"/>
  <c r="J1740" i="7"/>
  <c r="K1740" i="7" s="1"/>
  <c r="L1740" i="7" s="1"/>
  <c r="G1740" i="7"/>
  <c r="H1740" i="7" s="1"/>
  <c r="B1740" i="7"/>
  <c r="M1739" i="7"/>
  <c r="J1739" i="7"/>
  <c r="K1739" i="7" s="1"/>
  <c r="L1739" i="7" s="1"/>
  <c r="G1739" i="7"/>
  <c r="H1739" i="7" s="1"/>
  <c r="B1739" i="7"/>
  <c r="M1738" i="7"/>
  <c r="J1738" i="7"/>
  <c r="K1738" i="7" s="1"/>
  <c r="L1738" i="7" s="1"/>
  <c r="G1738" i="7"/>
  <c r="H1738" i="7" s="1"/>
  <c r="B1738" i="7"/>
  <c r="M1737" i="7"/>
  <c r="J1737" i="7"/>
  <c r="K1737" i="7" s="1"/>
  <c r="L1737" i="7" s="1"/>
  <c r="G1737" i="7"/>
  <c r="H1737" i="7" s="1"/>
  <c r="B1737" i="7"/>
  <c r="M1736" i="7"/>
  <c r="J1736" i="7"/>
  <c r="K1736" i="7" s="1"/>
  <c r="L1736" i="7" s="1"/>
  <c r="G1736" i="7"/>
  <c r="H1736" i="7" s="1"/>
  <c r="B1736" i="7"/>
  <c r="M1735" i="7"/>
  <c r="J1735" i="7"/>
  <c r="K1735" i="7" s="1"/>
  <c r="L1735" i="7" s="1"/>
  <c r="G1735" i="7"/>
  <c r="H1735" i="7" s="1"/>
  <c r="B1735" i="7"/>
  <c r="M1734" i="7"/>
  <c r="J1734" i="7"/>
  <c r="K1734" i="7" s="1"/>
  <c r="L1734" i="7" s="1"/>
  <c r="G1734" i="7"/>
  <c r="H1734" i="7" s="1"/>
  <c r="B1734" i="7"/>
  <c r="M1733" i="7"/>
  <c r="J1733" i="7"/>
  <c r="K1733" i="7" s="1"/>
  <c r="L1733" i="7" s="1"/>
  <c r="G1733" i="7"/>
  <c r="H1733" i="7" s="1"/>
  <c r="B1733" i="7"/>
  <c r="M1732" i="7"/>
  <c r="J1732" i="7"/>
  <c r="K1732" i="7" s="1"/>
  <c r="L1732" i="7" s="1"/>
  <c r="G1732" i="7"/>
  <c r="H1732" i="7" s="1"/>
  <c r="B1732" i="7"/>
  <c r="M1731" i="7"/>
  <c r="J1731" i="7"/>
  <c r="K1731" i="7" s="1"/>
  <c r="L1731" i="7" s="1"/>
  <c r="G1731" i="7"/>
  <c r="H1731" i="7" s="1"/>
  <c r="B1731" i="7"/>
  <c r="M1730" i="7"/>
  <c r="J1730" i="7"/>
  <c r="K1730" i="7" s="1"/>
  <c r="L1730" i="7" s="1"/>
  <c r="G1730" i="7"/>
  <c r="H1730" i="7" s="1"/>
  <c r="B1730" i="7"/>
  <c r="M1729" i="7"/>
  <c r="J1729" i="7"/>
  <c r="K1729" i="7" s="1"/>
  <c r="L1729" i="7" s="1"/>
  <c r="G1729" i="7"/>
  <c r="H1729" i="7" s="1"/>
  <c r="B1729" i="7"/>
  <c r="M1728" i="7"/>
  <c r="J1728" i="7"/>
  <c r="K1728" i="7" s="1"/>
  <c r="L1728" i="7" s="1"/>
  <c r="G1728" i="7"/>
  <c r="H1728" i="7" s="1"/>
  <c r="B1728" i="7"/>
  <c r="M1727" i="7"/>
  <c r="J1727" i="7"/>
  <c r="K1727" i="7" s="1"/>
  <c r="L1727" i="7" s="1"/>
  <c r="G1727" i="7"/>
  <c r="H1727" i="7" s="1"/>
  <c r="B1727" i="7"/>
  <c r="M1726" i="7"/>
  <c r="J1726" i="7"/>
  <c r="K1726" i="7" s="1"/>
  <c r="L1726" i="7" s="1"/>
  <c r="G1726" i="7"/>
  <c r="H1726" i="7" s="1"/>
  <c r="B1726" i="7"/>
  <c r="M1725" i="7"/>
  <c r="J1725" i="7"/>
  <c r="K1725" i="7" s="1"/>
  <c r="L1725" i="7" s="1"/>
  <c r="G1725" i="7"/>
  <c r="H1725" i="7" s="1"/>
  <c r="B1725" i="7"/>
  <c r="M1724" i="7"/>
  <c r="J1724" i="7"/>
  <c r="K1724" i="7" s="1"/>
  <c r="L1724" i="7" s="1"/>
  <c r="G1724" i="7"/>
  <c r="H1724" i="7" s="1"/>
  <c r="B1724" i="7"/>
  <c r="M1723" i="7"/>
  <c r="J1723" i="7"/>
  <c r="K1723" i="7" s="1"/>
  <c r="L1723" i="7" s="1"/>
  <c r="G1723" i="7"/>
  <c r="H1723" i="7" s="1"/>
  <c r="B1723" i="7"/>
  <c r="M1722" i="7"/>
  <c r="J1722" i="7"/>
  <c r="K1722" i="7" s="1"/>
  <c r="L1722" i="7" s="1"/>
  <c r="G1722" i="7"/>
  <c r="H1722" i="7" s="1"/>
  <c r="B1722" i="7"/>
  <c r="M1721" i="7"/>
  <c r="J1721" i="7"/>
  <c r="K1721" i="7" s="1"/>
  <c r="L1721" i="7" s="1"/>
  <c r="G1721" i="7"/>
  <c r="H1721" i="7" s="1"/>
  <c r="B1721" i="7"/>
  <c r="M1720" i="7"/>
  <c r="J1720" i="7"/>
  <c r="K1720" i="7" s="1"/>
  <c r="L1720" i="7" s="1"/>
  <c r="G1720" i="7"/>
  <c r="H1720" i="7" s="1"/>
  <c r="B1720" i="7"/>
  <c r="M1719" i="7"/>
  <c r="J1719" i="7"/>
  <c r="K1719" i="7" s="1"/>
  <c r="L1719" i="7" s="1"/>
  <c r="G1719" i="7"/>
  <c r="H1719" i="7" s="1"/>
  <c r="B1719" i="7"/>
  <c r="M1718" i="7"/>
  <c r="J1718" i="7"/>
  <c r="K1718" i="7" s="1"/>
  <c r="L1718" i="7" s="1"/>
  <c r="G1718" i="7"/>
  <c r="H1718" i="7" s="1"/>
  <c r="B1718" i="7"/>
  <c r="M1717" i="7"/>
  <c r="J1717" i="7"/>
  <c r="K1717" i="7" s="1"/>
  <c r="L1717" i="7" s="1"/>
  <c r="G1717" i="7"/>
  <c r="H1717" i="7" s="1"/>
  <c r="B1717" i="7"/>
  <c r="M1716" i="7"/>
  <c r="J1716" i="7"/>
  <c r="K1716" i="7" s="1"/>
  <c r="L1716" i="7" s="1"/>
  <c r="G1716" i="7"/>
  <c r="H1716" i="7" s="1"/>
  <c r="B1716" i="7"/>
  <c r="M1715" i="7"/>
  <c r="J1715" i="7"/>
  <c r="K1715" i="7" s="1"/>
  <c r="L1715" i="7" s="1"/>
  <c r="G1715" i="7"/>
  <c r="H1715" i="7" s="1"/>
  <c r="B1715" i="7"/>
  <c r="M1714" i="7"/>
  <c r="J1714" i="7"/>
  <c r="K1714" i="7" s="1"/>
  <c r="L1714" i="7" s="1"/>
  <c r="G1714" i="7"/>
  <c r="H1714" i="7" s="1"/>
  <c r="B1714" i="7"/>
  <c r="M1713" i="7"/>
  <c r="J1713" i="7"/>
  <c r="K1713" i="7" s="1"/>
  <c r="L1713" i="7" s="1"/>
  <c r="G1713" i="7"/>
  <c r="H1713" i="7" s="1"/>
  <c r="B1713" i="7"/>
  <c r="M1712" i="7"/>
  <c r="J1712" i="7"/>
  <c r="K1712" i="7" s="1"/>
  <c r="L1712" i="7" s="1"/>
  <c r="G1712" i="7"/>
  <c r="H1712" i="7" s="1"/>
  <c r="B1712" i="7"/>
  <c r="M1711" i="7"/>
  <c r="J1711" i="7"/>
  <c r="K1711" i="7" s="1"/>
  <c r="L1711" i="7" s="1"/>
  <c r="G1711" i="7"/>
  <c r="H1711" i="7" s="1"/>
  <c r="B1711" i="7"/>
  <c r="M1710" i="7"/>
  <c r="J1710" i="7"/>
  <c r="K1710" i="7" s="1"/>
  <c r="L1710" i="7" s="1"/>
  <c r="G1710" i="7"/>
  <c r="H1710" i="7" s="1"/>
  <c r="B1710" i="7"/>
  <c r="M1709" i="7"/>
  <c r="J1709" i="7"/>
  <c r="K1709" i="7" s="1"/>
  <c r="L1709" i="7" s="1"/>
  <c r="G1709" i="7"/>
  <c r="H1709" i="7" s="1"/>
  <c r="B1709" i="7"/>
  <c r="M1708" i="7"/>
  <c r="J1708" i="7"/>
  <c r="K1708" i="7" s="1"/>
  <c r="L1708" i="7" s="1"/>
  <c r="G1708" i="7"/>
  <c r="H1708" i="7" s="1"/>
  <c r="B1708" i="7"/>
  <c r="M1707" i="7"/>
  <c r="J1707" i="7"/>
  <c r="K1707" i="7" s="1"/>
  <c r="L1707" i="7" s="1"/>
  <c r="G1707" i="7"/>
  <c r="H1707" i="7" s="1"/>
  <c r="B1707" i="7"/>
  <c r="M1706" i="7"/>
  <c r="J1706" i="7"/>
  <c r="K1706" i="7" s="1"/>
  <c r="L1706" i="7" s="1"/>
  <c r="G1706" i="7"/>
  <c r="H1706" i="7" s="1"/>
  <c r="B1706" i="7"/>
  <c r="M1705" i="7"/>
  <c r="J1705" i="7"/>
  <c r="K1705" i="7" s="1"/>
  <c r="L1705" i="7" s="1"/>
  <c r="G1705" i="7"/>
  <c r="H1705" i="7" s="1"/>
  <c r="B1705" i="7"/>
  <c r="M1704" i="7"/>
  <c r="J1704" i="7"/>
  <c r="K1704" i="7" s="1"/>
  <c r="L1704" i="7" s="1"/>
  <c r="G1704" i="7"/>
  <c r="H1704" i="7" s="1"/>
  <c r="B1704" i="7"/>
  <c r="M1703" i="7"/>
  <c r="J1703" i="7"/>
  <c r="K1703" i="7" s="1"/>
  <c r="L1703" i="7" s="1"/>
  <c r="G1703" i="7"/>
  <c r="H1703" i="7" s="1"/>
  <c r="B1703" i="7"/>
  <c r="M1702" i="7"/>
  <c r="J1702" i="7"/>
  <c r="K1702" i="7" s="1"/>
  <c r="L1702" i="7" s="1"/>
  <c r="G1702" i="7"/>
  <c r="H1702" i="7" s="1"/>
  <c r="B1702" i="7"/>
  <c r="M1701" i="7"/>
  <c r="J1701" i="7"/>
  <c r="K1701" i="7" s="1"/>
  <c r="L1701" i="7" s="1"/>
  <c r="G1701" i="7"/>
  <c r="H1701" i="7" s="1"/>
  <c r="B1701" i="7"/>
  <c r="M1700" i="7"/>
  <c r="J1700" i="7"/>
  <c r="K1700" i="7" s="1"/>
  <c r="L1700" i="7" s="1"/>
  <c r="G1700" i="7"/>
  <c r="H1700" i="7" s="1"/>
  <c r="B1700" i="7"/>
  <c r="M1699" i="7"/>
  <c r="J1699" i="7"/>
  <c r="K1699" i="7" s="1"/>
  <c r="L1699" i="7" s="1"/>
  <c r="G1699" i="7"/>
  <c r="H1699" i="7" s="1"/>
  <c r="B1699" i="7"/>
  <c r="M1698" i="7"/>
  <c r="J1698" i="7"/>
  <c r="K1698" i="7" s="1"/>
  <c r="L1698" i="7" s="1"/>
  <c r="G1698" i="7"/>
  <c r="H1698" i="7" s="1"/>
  <c r="B1698" i="7"/>
  <c r="M1697" i="7"/>
  <c r="J1697" i="7"/>
  <c r="K1697" i="7" s="1"/>
  <c r="L1697" i="7" s="1"/>
  <c r="G1697" i="7"/>
  <c r="H1697" i="7" s="1"/>
  <c r="B1697" i="7"/>
  <c r="M1696" i="7"/>
  <c r="J1696" i="7"/>
  <c r="K1696" i="7" s="1"/>
  <c r="L1696" i="7" s="1"/>
  <c r="G1696" i="7"/>
  <c r="H1696" i="7" s="1"/>
  <c r="B1696" i="7"/>
  <c r="M1695" i="7"/>
  <c r="J1695" i="7"/>
  <c r="K1695" i="7" s="1"/>
  <c r="L1695" i="7" s="1"/>
  <c r="G1695" i="7"/>
  <c r="H1695" i="7" s="1"/>
  <c r="B1695" i="7"/>
  <c r="M1694" i="7"/>
  <c r="J1694" i="7"/>
  <c r="K1694" i="7" s="1"/>
  <c r="L1694" i="7" s="1"/>
  <c r="G1694" i="7"/>
  <c r="H1694" i="7" s="1"/>
  <c r="B1694" i="7"/>
  <c r="M1693" i="7"/>
  <c r="J1693" i="7"/>
  <c r="K1693" i="7" s="1"/>
  <c r="L1693" i="7" s="1"/>
  <c r="G1693" i="7"/>
  <c r="H1693" i="7" s="1"/>
  <c r="B1693" i="7"/>
  <c r="M1692" i="7"/>
  <c r="J1692" i="7"/>
  <c r="K1692" i="7" s="1"/>
  <c r="L1692" i="7" s="1"/>
  <c r="G1692" i="7"/>
  <c r="H1692" i="7" s="1"/>
  <c r="B1692" i="7"/>
  <c r="M1691" i="7"/>
  <c r="J1691" i="7"/>
  <c r="K1691" i="7" s="1"/>
  <c r="L1691" i="7" s="1"/>
  <c r="G1691" i="7"/>
  <c r="H1691" i="7" s="1"/>
  <c r="B1691" i="7"/>
  <c r="M1690" i="7"/>
  <c r="J1690" i="7"/>
  <c r="K1690" i="7" s="1"/>
  <c r="L1690" i="7" s="1"/>
  <c r="G1690" i="7"/>
  <c r="H1690" i="7" s="1"/>
  <c r="B1690" i="7"/>
  <c r="M1689" i="7"/>
  <c r="J1689" i="7"/>
  <c r="K1689" i="7" s="1"/>
  <c r="L1689" i="7" s="1"/>
  <c r="G1689" i="7"/>
  <c r="H1689" i="7" s="1"/>
  <c r="B1689" i="7"/>
  <c r="M1688" i="7"/>
  <c r="J1688" i="7"/>
  <c r="K1688" i="7" s="1"/>
  <c r="L1688" i="7" s="1"/>
  <c r="G1688" i="7"/>
  <c r="H1688" i="7" s="1"/>
  <c r="B1688" i="7"/>
  <c r="M1687" i="7"/>
  <c r="J1687" i="7"/>
  <c r="K1687" i="7" s="1"/>
  <c r="L1687" i="7" s="1"/>
  <c r="G1687" i="7"/>
  <c r="H1687" i="7" s="1"/>
  <c r="B1687" i="7"/>
  <c r="M1686" i="7"/>
  <c r="J1686" i="7"/>
  <c r="K1686" i="7" s="1"/>
  <c r="L1686" i="7" s="1"/>
  <c r="G1686" i="7"/>
  <c r="H1686" i="7" s="1"/>
  <c r="B1686" i="7"/>
  <c r="M1685" i="7"/>
  <c r="J1685" i="7"/>
  <c r="K1685" i="7" s="1"/>
  <c r="L1685" i="7" s="1"/>
  <c r="G1685" i="7"/>
  <c r="H1685" i="7" s="1"/>
  <c r="B1685" i="7"/>
  <c r="M1684" i="7"/>
  <c r="J1684" i="7"/>
  <c r="K1684" i="7" s="1"/>
  <c r="L1684" i="7" s="1"/>
  <c r="G1684" i="7"/>
  <c r="H1684" i="7" s="1"/>
  <c r="B1684" i="7"/>
  <c r="M1683" i="7"/>
  <c r="J1683" i="7"/>
  <c r="K1683" i="7" s="1"/>
  <c r="L1683" i="7" s="1"/>
  <c r="G1683" i="7"/>
  <c r="H1683" i="7" s="1"/>
  <c r="B1683" i="7"/>
  <c r="M1682" i="7"/>
  <c r="J1682" i="7"/>
  <c r="K1682" i="7" s="1"/>
  <c r="L1682" i="7" s="1"/>
  <c r="G1682" i="7"/>
  <c r="H1682" i="7" s="1"/>
  <c r="B1682" i="7"/>
  <c r="M1681" i="7"/>
  <c r="J1681" i="7"/>
  <c r="K1681" i="7" s="1"/>
  <c r="L1681" i="7" s="1"/>
  <c r="G1681" i="7"/>
  <c r="H1681" i="7" s="1"/>
  <c r="B1681" i="7"/>
  <c r="M1680" i="7"/>
  <c r="J1680" i="7"/>
  <c r="K1680" i="7" s="1"/>
  <c r="L1680" i="7" s="1"/>
  <c r="G1680" i="7"/>
  <c r="H1680" i="7" s="1"/>
  <c r="B1680" i="7"/>
  <c r="M1679" i="7"/>
  <c r="J1679" i="7"/>
  <c r="K1679" i="7" s="1"/>
  <c r="L1679" i="7" s="1"/>
  <c r="G1679" i="7"/>
  <c r="H1679" i="7" s="1"/>
  <c r="B1679" i="7"/>
  <c r="M1678" i="7"/>
  <c r="J1678" i="7"/>
  <c r="K1678" i="7" s="1"/>
  <c r="L1678" i="7" s="1"/>
  <c r="G1678" i="7"/>
  <c r="H1678" i="7" s="1"/>
  <c r="B1678" i="7"/>
  <c r="M1677" i="7"/>
  <c r="J1677" i="7"/>
  <c r="K1677" i="7" s="1"/>
  <c r="L1677" i="7" s="1"/>
  <c r="G1677" i="7"/>
  <c r="H1677" i="7" s="1"/>
  <c r="B1677" i="7"/>
  <c r="M1676" i="7"/>
  <c r="J1676" i="7"/>
  <c r="K1676" i="7" s="1"/>
  <c r="L1676" i="7" s="1"/>
  <c r="G1676" i="7"/>
  <c r="H1676" i="7" s="1"/>
  <c r="B1676" i="7"/>
  <c r="M1675" i="7"/>
  <c r="J1675" i="7"/>
  <c r="K1675" i="7" s="1"/>
  <c r="L1675" i="7" s="1"/>
  <c r="G1675" i="7"/>
  <c r="H1675" i="7" s="1"/>
  <c r="B1675" i="7"/>
  <c r="M1674" i="7"/>
  <c r="J1674" i="7"/>
  <c r="K1674" i="7" s="1"/>
  <c r="L1674" i="7" s="1"/>
  <c r="G1674" i="7"/>
  <c r="H1674" i="7" s="1"/>
  <c r="B1674" i="7"/>
  <c r="M1673" i="7"/>
  <c r="J1673" i="7"/>
  <c r="K1673" i="7" s="1"/>
  <c r="L1673" i="7" s="1"/>
  <c r="G1673" i="7"/>
  <c r="H1673" i="7" s="1"/>
  <c r="B1673" i="7"/>
  <c r="M1672" i="7"/>
  <c r="J1672" i="7"/>
  <c r="K1672" i="7" s="1"/>
  <c r="L1672" i="7" s="1"/>
  <c r="G1672" i="7"/>
  <c r="H1672" i="7" s="1"/>
  <c r="B1672" i="7"/>
  <c r="M1671" i="7"/>
  <c r="J1671" i="7"/>
  <c r="K1671" i="7" s="1"/>
  <c r="L1671" i="7" s="1"/>
  <c r="G1671" i="7"/>
  <c r="H1671" i="7" s="1"/>
  <c r="B1671" i="7"/>
  <c r="M1670" i="7"/>
  <c r="J1670" i="7"/>
  <c r="K1670" i="7" s="1"/>
  <c r="L1670" i="7" s="1"/>
  <c r="G1670" i="7"/>
  <c r="H1670" i="7" s="1"/>
  <c r="B1670" i="7"/>
  <c r="M1669" i="7"/>
  <c r="J1669" i="7"/>
  <c r="K1669" i="7" s="1"/>
  <c r="L1669" i="7" s="1"/>
  <c r="G1669" i="7"/>
  <c r="H1669" i="7" s="1"/>
  <c r="B1669" i="7"/>
  <c r="M1668" i="7"/>
  <c r="J1668" i="7"/>
  <c r="K1668" i="7" s="1"/>
  <c r="L1668" i="7" s="1"/>
  <c r="G1668" i="7"/>
  <c r="H1668" i="7" s="1"/>
  <c r="B1668" i="7"/>
  <c r="M1667" i="7"/>
  <c r="J1667" i="7"/>
  <c r="K1667" i="7" s="1"/>
  <c r="L1667" i="7" s="1"/>
  <c r="G1667" i="7"/>
  <c r="H1667" i="7" s="1"/>
  <c r="B1667" i="7"/>
  <c r="M1666" i="7"/>
  <c r="J1666" i="7"/>
  <c r="K1666" i="7" s="1"/>
  <c r="L1666" i="7" s="1"/>
  <c r="G1666" i="7"/>
  <c r="H1666" i="7" s="1"/>
  <c r="B1666" i="7"/>
  <c r="M1665" i="7"/>
  <c r="J1665" i="7"/>
  <c r="K1665" i="7" s="1"/>
  <c r="L1665" i="7" s="1"/>
  <c r="G1665" i="7"/>
  <c r="H1665" i="7" s="1"/>
  <c r="B1665" i="7"/>
  <c r="M1664" i="7"/>
  <c r="J1664" i="7"/>
  <c r="K1664" i="7" s="1"/>
  <c r="L1664" i="7" s="1"/>
  <c r="G1664" i="7"/>
  <c r="H1664" i="7" s="1"/>
  <c r="B1664" i="7"/>
  <c r="M1663" i="7"/>
  <c r="J1663" i="7"/>
  <c r="K1663" i="7" s="1"/>
  <c r="L1663" i="7" s="1"/>
  <c r="G1663" i="7"/>
  <c r="H1663" i="7" s="1"/>
  <c r="B1663" i="7"/>
  <c r="M1662" i="7"/>
  <c r="J1662" i="7"/>
  <c r="K1662" i="7" s="1"/>
  <c r="L1662" i="7" s="1"/>
  <c r="G1662" i="7"/>
  <c r="H1662" i="7" s="1"/>
  <c r="B1662" i="7"/>
  <c r="M1661" i="7"/>
  <c r="J1661" i="7"/>
  <c r="K1661" i="7" s="1"/>
  <c r="L1661" i="7" s="1"/>
  <c r="G1661" i="7"/>
  <c r="H1661" i="7" s="1"/>
  <c r="B1661" i="7"/>
  <c r="M1660" i="7"/>
  <c r="J1660" i="7"/>
  <c r="K1660" i="7" s="1"/>
  <c r="L1660" i="7" s="1"/>
  <c r="G1660" i="7"/>
  <c r="H1660" i="7" s="1"/>
  <c r="B1660" i="7"/>
  <c r="M1659" i="7"/>
  <c r="J1659" i="7"/>
  <c r="K1659" i="7" s="1"/>
  <c r="L1659" i="7" s="1"/>
  <c r="G1659" i="7"/>
  <c r="H1659" i="7" s="1"/>
  <c r="B1659" i="7"/>
  <c r="M1658" i="7"/>
  <c r="J1658" i="7"/>
  <c r="K1658" i="7" s="1"/>
  <c r="L1658" i="7" s="1"/>
  <c r="G1658" i="7"/>
  <c r="H1658" i="7" s="1"/>
  <c r="B1658" i="7"/>
  <c r="M1657" i="7"/>
  <c r="J1657" i="7"/>
  <c r="K1657" i="7" s="1"/>
  <c r="L1657" i="7" s="1"/>
  <c r="G1657" i="7"/>
  <c r="H1657" i="7" s="1"/>
  <c r="B1657" i="7"/>
  <c r="M1656" i="7"/>
  <c r="J1656" i="7"/>
  <c r="K1656" i="7" s="1"/>
  <c r="L1656" i="7" s="1"/>
  <c r="G1656" i="7"/>
  <c r="H1656" i="7" s="1"/>
  <c r="B1656" i="7"/>
  <c r="M1655" i="7"/>
  <c r="J1655" i="7"/>
  <c r="K1655" i="7" s="1"/>
  <c r="L1655" i="7" s="1"/>
  <c r="G1655" i="7"/>
  <c r="H1655" i="7" s="1"/>
  <c r="B1655" i="7"/>
  <c r="M1654" i="7"/>
  <c r="J1654" i="7"/>
  <c r="K1654" i="7" s="1"/>
  <c r="L1654" i="7" s="1"/>
  <c r="G1654" i="7"/>
  <c r="H1654" i="7" s="1"/>
  <c r="B1654" i="7"/>
  <c r="M1653" i="7"/>
  <c r="J1653" i="7"/>
  <c r="K1653" i="7" s="1"/>
  <c r="L1653" i="7" s="1"/>
  <c r="G1653" i="7"/>
  <c r="H1653" i="7" s="1"/>
  <c r="B1653" i="7"/>
  <c r="M1652" i="7"/>
  <c r="J1652" i="7"/>
  <c r="K1652" i="7" s="1"/>
  <c r="L1652" i="7" s="1"/>
  <c r="G1652" i="7"/>
  <c r="H1652" i="7" s="1"/>
  <c r="B1652" i="7"/>
  <c r="M1651" i="7"/>
  <c r="J1651" i="7"/>
  <c r="K1651" i="7" s="1"/>
  <c r="L1651" i="7" s="1"/>
  <c r="G1651" i="7"/>
  <c r="H1651" i="7" s="1"/>
  <c r="B1651" i="7"/>
  <c r="M1650" i="7"/>
  <c r="J1650" i="7"/>
  <c r="K1650" i="7" s="1"/>
  <c r="L1650" i="7" s="1"/>
  <c r="G1650" i="7"/>
  <c r="H1650" i="7" s="1"/>
  <c r="B1650" i="7"/>
  <c r="M1649" i="7"/>
  <c r="J1649" i="7"/>
  <c r="K1649" i="7" s="1"/>
  <c r="L1649" i="7" s="1"/>
  <c r="G1649" i="7"/>
  <c r="H1649" i="7" s="1"/>
  <c r="B1649" i="7"/>
  <c r="M1648" i="7"/>
  <c r="J1648" i="7"/>
  <c r="K1648" i="7" s="1"/>
  <c r="L1648" i="7" s="1"/>
  <c r="G1648" i="7"/>
  <c r="H1648" i="7" s="1"/>
  <c r="B1648" i="7"/>
  <c r="M1647" i="7"/>
  <c r="J1647" i="7"/>
  <c r="K1647" i="7" s="1"/>
  <c r="L1647" i="7" s="1"/>
  <c r="G1647" i="7"/>
  <c r="H1647" i="7" s="1"/>
  <c r="B1647" i="7"/>
  <c r="M1646" i="7"/>
  <c r="J1646" i="7"/>
  <c r="K1646" i="7" s="1"/>
  <c r="L1646" i="7" s="1"/>
  <c r="G1646" i="7"/>
  <c r="H1646" i="7" s="1"/>
  <c r="B1646" i="7"/>
  <c r="M1645" i="7"/>
  <c r="J1645" i="7"/>
  <c r="K1645" i="7" s="1"/>
  <c r="L1645" i="7" s="1"/>
  <c r="G1645" i="7"/>
  <c r="H1645" i="7" s="1"/>
  <c r="B1645" i="7"/>
  <c r="M1644" i="7"/>
  <c r="J1644" i="7"/>
  <c r="K1644" i="7" s="1"/>
  <c r="L1644" i="7" s="1"/>
  <c r="G1644" i="7"/>
  <c r="H1644" i="7" s="1"/>
  <c r="B1644" i="7"/>
  <c r="M1643" i="7"/>
  <c r="J1643" i="7"/>
  <c r="K1643" i="7" s="1"/>
  <c r="L1643" i="7" s="1"/>
  <c r="G1643" i="7"/>
  <c r="H1643" i="7" s="1"/>
  <c r="B1643" i="7"/>
  <c r="M1642" i="7"/>
  <c r="J1642" i="7"/>
  <c r="K1642" i="7" s="1"/>
  <c r="L1642" i="7" s="1"/>
  <c r="G1642" i="7"/>
  <c r="H1642" i="7" s="1"/>
  <c r="B1642" i="7"/>
  <c r="M1641" i="7"/>
  <c r="J1641" i="7"/>
  <c r="K1641" i="7" s="1"/>
  <c r="L1641" i="7" s="1"/>
  <c r="G1641" i="7"/>
  <c r="H1641" i="7" s="1"/>
  <c r="B1641" i="7"/>
  <c r="M1640" i="7"/>
  <c r="J1640" i="7"/>
  <c r="K1640" i="7" s="1"/>
  <c r="L1640" i="7" s="1"/>
  <c r="G1640" i="7"/>
  <c r="H1640" i="7" s="1"/>
  <c r="B1640" i="7"/>
  <c r="M1639" i="7"/>
  <c r="J1639" i="7"/>
  <c r="K1639" i="7" s="1"/>
  <c r="L1639" i="7" s="1"/>
  <c r="G1639" i="7"/>
  <c r="H1639" i="7" s="1"/>
  <c r="B1639" i="7"/>
  <c r="M1638" i="7"/>
  <c r="J1638" i="7"/>
  <c r="K1638" i="7" s="1"/>
  <c r="L1638" i="7" s="1"/>
  <c r="G1638" i="7"/>
  <c r="H1638" i="7" s="1"/>
  <c r="B1638" i="7"/>
  <c r="M1637" i="7"/>
  <c r="J1637" i="7"/>
  <c r="K1637" i="7" s="1"/>
  <c r="L1637" i="7" s="1"/>
  <c r="G1637" i="7"/>
  <c r="H1637" i="7" s="1"/>
  <c r="B1637" i="7"/>
  <c r="M1636" i="7"/>
  <c r="J1636" i="7"/>
  <c r="K1636" i="7" s="1"/>
  <c r="L1636" i="7" s="1"/>
  <c r="G1636" i="7"/>
  <c r="H1636" i="7" s="1"/>
  <c r="B1636" i="7"/>
  <c r="M1635" i="7"/>
  <c r="J1635" i="7"/>
  <c r="K1635" i="7" s="1"/>
  <c r="L1635" i="7" s="1"/>
  <c r="G1635" i="7"/>
  <c r="H1635" i="7" s="1"/>
  <c r="B1635" i="7"/>
  <c r="M1634" i="7"/>
  <c r="J1634" i="7"/>
  <c r="K1634" i="7" s="1"/>
  <c r="L1634" i="7" s="1"/>
  <c r="G1634" i="7"/>
  <c r="H1634" i="7" s="1"/>
  <c r="B1634" i="7"/>
  <c r="M1633" i="7"/>
  <c r="J1633" i="7"/>
  <c r="K1633" i="7" s="1"/>
  <c r="L1633" i="7" s="1"/>
  <c r="G1633" i="7"/>
  <c r="H1633" i="7" s="1"/>
  <c r="B1633" i="7"/>
  <c r="M1632" i="7"/>
  <c r="J1632" i="7"/>
  <c r="K1632" i="7" s="1"/>
  <c r="L1632" i="7" s="1"/>
  <c r="G1632" i="7"/>
  <c r="H1632" i="7" s="1"/>
  <c r="B1632" i="7"/>
  <c r="M1631" i="7"/>
  <c r="J1631" i="7"/>
  <c r="K1631" i="7" s="1"/>
  <c r="L1631" i="7" s="1"/>
  <c r="G1631" i="7"/>
  <c r="H1631" i="7" s="1"/>
  <c r="B1631" i="7"/>
  <c r="M1630" i="7"/>
  <c r="J1630" i="7"/>
  <c r="K1630" i="7" s="1"/>
  <c r="L1630" i="7" s="1"/>
  <c r="G1630" i="7"/>
  <c r="H1630" i="7" s="1"/>
  <c r="B1630" i="7"/>
  <c r="M1629" i="7"/>
  <c r="J1629" i="7"/>
  <c r="K1629" i="7" s="1"/>
  <c r="L1629" i="7" s="1"/>
  <c r="G1629" i="7"/>
  <c r="H1629" i="7" s="1"/>
  <c r="B1629" i="7"/>
  <c r="M1628" i="7"/>
  <c r="J1628" i="7"/>
  <c r="K1628" i="7" s="1"/>
  <c r="L1628" i="7" s="1"/>
  <c r="G1628" i="7"/>
  <c r="H1628" i="7" s="1"/>
  <c r="B1628" i="7"/>
  <c r="M1627" i="7"/>
  <c r="J1627" i="7"/>
  <c r="K1627" i="7" s="1"/>
  <c r="L1627" i="7" s="1"/>
  <c r="G1627" i="7"/>
  <c r="H1627" i="7" s="1"/>
  <c r="B1627" i="7"/>
  <c r="M1626" i="7"/>
  <c r="J1626" i="7"/>
  <c r="K1626" i="7" s="1"/>
  <c r="L1626" i="7" s="1"/>
  <c r="G1626" i="7"/>
  <c r="H1626" i="7" s="1"/>
  <c r="B1626" i="7"/>
  <c r="M1625" i="7"/>
  <c r="J1625" i="7"/>
  <c r="K1625" i="7" s="1"/>
  <c r="L1625" i="7" s="1"/>
  <c r="G1625" i="7"/>
  <c r="H1625" i="7" s="1"/>
  <c r="B1625" i="7"/>
  <c r="M1624" i="7"/>
  <c r="J1624" i="7"/>
  <c r="K1624" i="7" s="1"/>
  <c r="L1624" i="7" s="1"/>
  <c r="G1624" i="7"/>
  <c r="H1624" i="7" s="1"/>
  <c r="B1624" i="7"/>
  <c r="M1623" i="7"/>
  <c r="J1623" i="7"/>
  <c r="K1623" i="7" s="1"/>
  <c r="L1623" i="7" s="1"/>
  <c r="G1623" i="7"/>
  <c r="H1623" i="7" s="1"/>
  <c r="B1623" i="7"/>
  <c r="M1622" i="7"/>
  <c r="J1622" i="7"/>
  <c r="K1622" i="7" s="1"/>
  <c r="L1622" i="7" s="1"/>
  <c r="G1622" i="7"/>
  <c r="H1622" i="7" s="1"/>
  <c r="B1622" i="7"/>
  <c r="M1621" i="7"/>
  <c r="J1621" i="7"/>
  <c r="K1621" i="7" s="1"/>
  <c r="L1621" i="7" s="1"/>
  <c r="G1621" i="7"/>
  <c r="H1621" i="7" s="1"/>
  <c r="B1621" i="7"/>
  <c r="M1620" i="7"/>
  <c r="J1620" i="7"/>
  <c r="K1620" i="7" s="1"/>
  <c r="L1620" i="7" s="1"/>
  <c r="G1620" i="7"/>
  <c r="H1620" i="7" s="1"/>
  <c r="B1620" i="7"/>
  <c r="M1619" i="7"/>
  <c r="J1619" i="7"/>
  <c r="K1619" i="7" s="1"/>
  <c r="L1619" i="7" s="1"/>
  <c r="G1619" i="7"/>
  <c r="H1619" i="7" s="1"/>
  <c r="B1619" i="7"/>
  <c r="M1618" i="7"/>
  <c r="J1618" i="7"/>
  <c r="K1618" i="7" s="1"/>
  <c r="L1618" i="7" s="1"/>
  <c r="G1618" i="7"/>
  <c r="H1618" i="7" s="1"/>
  <c r="B1618" i="7"/>
  <c r="M1617" i="7"/>
  <c r="J1617" i="7"/>
  <c r="K1617" i="7" s="1"/>
  <c r="L1617" i="7" s="1"/>
  <c r="G1617" i="7"/>
  <c r="H1617" i="7" s="1"/>
  <c r="B1617" i="7"/>
  <c r="M1616" i="7"/>
  <c r="J1616" i="7"/>
  <c r="K1616" i="7" s="1"/>
  <c r="L1616" i="7" s="1"/>
  <c r="G1616" i="7"/>
  <c r="H1616" i="7" s="1"/>
  <c r="B1616" i="7"/>
  <c r="M1615" i="7"/>
  <c r="J1615" i="7"/>
  <c r="K1615" i="7" s="1"/>
  <c r="L1615" i="7" s="1"/>
  <c r="G1615" i="7"/>
  <c r="H1615" i="7" s="1"/>
  <c r="B1615" i="7"/>
  <c r="M1614" i="7"/>
  <c r="J1614" i="7"/>
  <c r="K1614" i="7" s="1"/>
  <c r="L1614" i="7" s="1"/>
  <c r="G1614" i="7"/>
  <c r="H1614" i="7" s="1"/>
  <c r="B1614" i="7"/>
  <c r="M1613" i="7"/>
  <c r="J1613" i="7"/>
  <c r="K1613" i="7" s="1"/>
  <c r="L1613" i="7" s="1"/>
  <c r="G1613" i="7"/>
  <c r="H1613" i="7" s="1"/>
  <c r="B1613" i="7"/>
  <c r="M1612" i="7"/>
  <c r="J1612" i="7"/>
  <c r="K1612" i="7" s="1"/>
  <c r="L1612" i="7" s="1"/>
  <c r="G1612" i="7"/>
  <c r="H1612" i="7" s="1"/>
  <c r="B1612" i="7"/>
  <c r="M1611" i="7"/>
  <c r="J1611" i="7"/>
  <c r="K1611" i="7" s="1"/>
  <c r="L1611" i="7" s="1"/>
  <c r="G1611" i="7"/>
  <c r="H1611" i="7" s="1"/>
  <c r="B1611" i="7"/>
  <c r="M1610" i="7"/>
  <c r="J1610" i="7"/>
  <c r="K1610" i="7" s="1"/>
  <c r="L1610" i="7" s="1"/>
  <c r="G1610" i="7"/>
  <c r="H1610" i="7" s="1"/>
  <c r="B1610" i="7"/>
  <c r="M1609" i="7"/>
  <c r="J1609" i="7"/>
  <c r="K1609" i="7" s="1"/>
  <c r="L1609" i="7" s="1"/>
  <c r="G1609" i="7"/>
  <c r="H1609" i="7" s="1"/>
  <c r="B1609" i="7"/>
  <c r="M1608" i="7"/>
  <c r="J1608" i="7"/>
  <c r="K1608" i="7" s="1"/>
  <c r="L1608" i="7" s="1"/>
  <c r="G1608" i="7"/>
  <c r="H1608" i="7" s="1"/>
  <c r="B1608" i="7"/>
  <c r="M1607" i="7"/>
  <c r="J1607" i="7"/>
  <c r="K1607" i="7" s="1"/>
  <c r="L1607" i="7" s="1"/>
  <c r="G1607" i="7"/>
  <c r="H1607" i="7" s="1"/>
  <c r="B1607" i="7"/>
  <c r="M1606" i="7"/>
  <c r="J1606" i="7"/>
  <c r="K1606" i="7" s="1"/>
  <c r="L1606" i="7" s="1"/>
  <c r="G1606" i="7"/>
  <c r="H1606" i="7" s="1"/>
  <c r="B1606" i="7"/>
  <c r="M1605" i="7"/>
  <c r="J1605" i="7"/>
  <c r="K1605" i="7" s="1"/>
  <c r="L1605" i="7" s="1"/>
  <c r="G1605" i="7"/>
  <c r="H1605" i="7" s="1"/>
  <c r="B1605" i="7"/>
  <c r="M1604" i="7"/>
  <c r="J1604" i="7"/>
  <c r="K1604" i="7" s="1"/>
  <c r="L1604" i="7" s="1"/>
  <c r="G1604" i="7"/>
  <c r="H1604" i="7" s="1"/>
  <c r="B1604" i="7"/>
  <c r="M1603" i="7"/>
  <c r="J1603" i="7"/>
  <c r="K1603" i="7" s="1"/>
  <c r="L1603" i="7" s="1"/>
  <c r="G1603" i="7"/>
  <c r="H1603" i="7" s="1"/>
  <c r="B1603" i="7"/>
  <c r="M1602" i="7"/>
  <c r="J1602" i="7"/>
  <c r="K1602" i="7" s="1"/>
  <c r="L1602" i="7" s="1"/>
  <c r="G1602" i="7"/>
  <c r="H1602" i="7" s="1"/>
  <c r="B1602" i="7"/>
  <c r="M1601" i="7"/>
  <c r="J1601" i="7"/>
  <c r="K1601" i="7" s="1"/>
  <c r="L1601" i="7" s="1"/>
  <c r="G1601" i="7"/>
  <c r="H1601" i="7" s="1"/>
  <c r="B1601" i="7"/>
  <c r="M1600" i="7"/>
  <c r="J1600" i="7"/>
  <c r="K1600" i="7" s="1"/>
  <c r="L1600" i="7" s="1"/>
  <c r="G1600" i="7"/>
  <c r="H1600" i="7" s="1"/>
  <c r="B1600" i="7"/>
  <c r="M1599" i="7"/>
  <c r="J1599" i="7"/>
  <c r="K1599" i="7" s="1"/>
  <c r="L1599" i="7" s="1"/>
  <c r="G1599" i="7"/>
  <c r="H1599" i="7" s="1"/>
  <c r="B1599" i="7"/>
  <c r="M1598" i="7"/>
  <c r="J1598" i="7"/>
  <c r="K1598" i="7" s="1"/>
  <c r="L1598" i="7" s="1"/>
  <c r="G1598" i="7"/>
  <c r="H1598" i="7" s="1"/>
  <c r="B1598" i="7"/>
  <c r="M1597" i="7"/>
  <c r="J1597" i="7"/>
  <c r="K1597" i="7" s="1"/>
  <c r="L1597" i="7" s="1"/>
  <c r="G1597" i="7"/>
  <c r="H1597" i="7" s="1"/>
  <c r="B1597" i="7"/>
  <c r="M1596" i="7"/>
  <c r="J1596" i="7"/>
  <c r="K1596" i="7" s="1"/>
  <c r="L1596" i="7" s="1"/>
  <c r="G1596" i="7"/>
  <c r="H1596" i="7" s="1"/>
  <c r="B1596" i="7"/>
  <c r="M1595" i="7"/>
  <c r="J1595" i="7"/>
  <c r="K1595" i="7" s="1"/>
  <c r="L1595" i="7" s="1"/>
  <c r="G1595" i="7"/>
  <c r="H1595" i="7" s="1"/>
  <c r="B1595" i="7"/>
  <c r="M1594" i="7"/>
  <c r="J1594" i="7"/>
  <c r="K1594" i="7" s="1"/>
  <c r="L1594" i="7" s="1"/>
  <c r="G1594" i="7"/>
  <c r="H1594" i="7" s="1"/>
  <c r="B1594" i="7"/>
  <c r="M1593" i="7"/>
  <c r="J1593" i="7"/>
  <c r="K1593" i="7" s="1"/>
  <c r="L1593" i="7" s="1"/>
  <c r="G1593" i="7"/>
  <c r="H1593" i="7" s="1"/>
  <c r="B1593" i="7"/>
  <c r="M1592" i="7"/>
  <c r="J1592" i="7"/>
  <c r="K1592" i="7" s="1"/>
  <c r="L1592" i="7" s="1"/>
  <c r="G1592" i="7"/>
  <c r="H1592" i="7" s="1"/>
  <c r="B1592" i="7"/>
  <c r="M1591" i="7"/>
  <c r="J1591" i="7"/>
  <c r="K1591" i="7" s="1"/>
  <c r="L1591" i="7" s="1"/>
  <c r="G1591" i="7"/>
  <c r="H1591" i="7" s="1"/>
  <c r="B1591" i="7"/>
  <c r="M1590" i="7"/>
  <c r="J1590" i="7"/>
  <c r="K1590" i="7" s="1"/>
  <c r="L1590" i="7" s="1"/>
  <c r="G1590" i="7"/>
  <c r="H1590" i="7" s="1"/>
  <c r="B1590" i="7"/>
  <c r="M1589" i="7"/>
  <c r="J1589" i="7"/>
  <c r="K1589" i="7" s="1"/>
  <c r="L1589" i="7" s="1"/>
  <c r="G1589" i="7"/>
  <c r="H1589" i="7" s="1"/>
  <c r="B1589" i="7"/>
  <c r="M1588" i="7"/>
  <c r="J1588" i="7"/>
  <c r="K1588" i="7" s="1"/>
  <c r="L1588" i="7" s="1"/>
  <c r="G1588" i="7"/>
  <c r="H1588" i="7" s="1"/>
  <c r="B1588" i="7"/>
  <c r="M1587" i="7"/>
  <c r="J1587" i="7"/>
  <c r="K1587" i="7" s="1"/>
  <c r="L1587" i="7" s="1"/>
  <c r="G1587" i="7"/>
  <c r="H1587" i="7" s="1"/>
  <c r="B1587" i="7"/>
  <c r="M1586" i="7"/>
  <c r="J1586" i="7"/>
  <c r="K1586" i="7" s="1"/>
  <c r="L1586" i="7" s="1"/>
  <c r="G1586" i="7"/>
  <c r="H1586" i="7" s="1"/>
  <c r="B1586" i="7"/>
  <c r="M1585" i="7"/>
  <c r="J1585" i="7"/>
  <c r="K1585" i="7" s="1"/>
  <c r="L1585" i="7" s="1"/>
  <c r="G1585" i="7"/>
  <c r="H1585" i="7" s="1"/>
  <c r="B1585" i="7"/>
  <c r="M1584" i="7"/>
  <c r="J1584" i="7"/>
  <c r="K1584" i="7" s="1"/>
  <c r="L1584" i="7" s="1"/>
  <c r="G1584" i="7"/>
  <c r="H1584" i="7" s="1"/>
  <c r="B1584" i="7"/>
  <c r="M1583" i="7"/>
  <c r="J1583" i="7"/>
  <c r="K1583" i="7" s="1"/>
  <c r="L1583" i="7" s="1"/>
  <c r="G1583" i="7"/>
  <c r="H1583" i="7" s="1"/>
  <c r="B1583" i="7"/>
  <c r="M1582" i="7"/>
  <c r="J1582" i="7"/>
  <c r="K1582" i="7" s="1"/>
  <c r="L1582" i="7" s="1"/>
  <c r="G1582" i="7"/>
  <c r="H1582" i="7" s="1"/>
  <c r="B1582" i="7"/>
  <c r="M1581" i="7"/>
  <c r="J1581" i="7"/>
  <c r="K1581" i="7" s="1"/>
  <c r="L1581" i="7" s="1"/>
  <c r="G1581" i="7"/>
  <c r="H1581" i="7" s="1"/>
  <c r="B1581" i="7"/>
  <c r="M1580" i="7"/>
  <c r="J1580" i="7"/>
  <c r="K1580" i="7" s="1"/>
  <c r="L1580" i="7" s="1"/>
  <c r="G1580" i="7"/>
  <c r="H1580" i="7" s="1"/>
  <c r="B1580" i="7"/>
  <c r="M1579" i="7"/>
  <c r="J1579" i="7"/>
  <c r="K1579" i="7" s="1"/>
  <c r="L1579" i="7" s="1"/>
  <c r="G1579" i="7"/>
  <c r="H1579" i="7" s="1"/>
  <c r="B1579" i="7"/>
  <c r="M1578" i="7"/>
  <c r="J1578" i="7"/>
  <c r="K1578" i="7" s="1"/>
  <c r="L1578" i="7" s="1"/>
  <c r="G1578" i="7"/>
  <c r="H1578" i="7" s="1"/>
  <c r="B1578" i="7"/>
  <c r="M1577" i="7"/>
  <c r="J1577" i="7"/>
  <c r="K1577" i="7" s="1"/>
  <c r="L1577" i="7" s="1"/>
  <c r="G1577" i="7"/>
  <c r="H1577" i="7" s="1"/>
  <c r="B1577" i="7"/>
  <c r="M1576" i="7"/>
  <c r="J1576" i="7"/>
  <c r="K1576" i="7" s="1"/>
  <c r="L1576" i="7" s="1"/>
  <c r="G1576" i="7"/>
  <c r="H1576" i="7" s="1"/>
  <c r="B1576" i="7"/>
  <c r="M1575" i="7"/>
  <c r="J1575" i="7"/>
  <c r="K1575" i="7" s="1"/>
  <c r="L1575" i="7" s="1"/>
  <c r="G1575" i="7"/>
  <c r="H1575" i="7" s="1"/>
  <c r="B1575" i="7"/>
  <c r="M1574" i="7"/>
  <c r="J1574" i="7"/>
  <c r="K1574" i="7" s="1"/>
  <c r="L1574" i="7" s="1"/>
  <c r="G1574" i="7"/>
  <c r="H1574" i="7" s="1"/>
  <c r="B1574" i="7"/>
  <c r="M1573" i="7"/>
  <c r="J1573" i="7"/>
  <c r="K1573" i="7" s="1"/>
  <c r="L1573" i="7" s="1"/>
  <c r="G1573" i="7"/>
  <c r="H1573" i="7" s="1"/>
  <c r="B1573" i="7"/>
  <c r="M1572" i="7"/>
  <c r="J1572" i="7"/>
  <c r="K1572" i="7" s="1"/>
  <c r="L1572" i="7" s="1"/>
  <c r="G1572" i="7"/>
  <c r="H1572" i="7" s="1"/>
  <c r="B1572" i="7"/>
  <c r="M1571" i="7"/>
  <c r="J1571" i="7"/>
  <c r="K1571" i="7" s="1"/>
  <c r="L1571" i="7" s="1"/>
  <c r="G1571" i="7"/>
  <c r="H1571" i="7" s="1"/>
  <c r="B1571" i="7"/>
  <c r="M1570" i="7"/>
  <c r="J1570" i="7"/>
  <c r="K1570" i="7" s="1"/>
  <c r="L1570" i="7" s="1"/>
  <c r="G1570" i="7"/>
  <c r="H1570" i="7" s="1"/>
  <c r="B1570" i="7"/>
  <c r="M1569" i="7"/>
  <c r="J1569" i="7"/>
  <c r="K1569" i="7" s="1"/>
  <c r="L1569" i="7" s="1"/>
  <c r="G1569" i="7"/>
  <c r="H1569" i="7" s="1"/>
  <c r="B1569" i="7"/>
  <c r="M1568" i="7"/>
  <c r="J1568" i="7"/>
  <c r="K1568" i="7" s="1"/>
  <c r="L1568" i="7" s="1"/>
  <c r="G1568" i="7"/>
  <c r="H1568" i="7" s="1"/>
  <c r="B1568" i="7"/>
  <c r="M1567" i="7"/>
  <c r="J1567" i="7"/>
  <c r="K1567" i="7" s="1"/>
  <c r="L1567" i="7" s="1"/>
  <c r="G1567" i="7"/>
  <c r="H1567" i="7" s="1"/>
  <c r="B1567" i="7"/>
  <c r="M1566" i="7"/>
  <c r="J1566" i="7"/>
  <c r="K1566" i="7" s="1"/>
  <c r="L1566" i="7" s="1"/>
  <c r="G1566" i="7"/>
  <c r="H1566" i="7" s="1"/>
  <c r="B1566" i="7"/>
  <c r="M1565" i="7"/>
  <c r="J1565" i="7"/>
  <c r="K1565" i="7" s="1"/>
  <c r="L1565" i="7" s="1"/>
  <c r="G1565" i="7"/>
  <c r="H1565" i="7" s="1"/>
  <c r="B1565" i="7"/>
  <c r="M1564" i="7"/>
  <c r="J1564" i="7"/>
  <c r="K1564" i="7" s="1"/>
  <c r="L1564" i="7" s="1"/>
  <c r="G1564" i="7"/>
  <c r="H1564" i="7" s="1"/>
  <c r="B1564" i="7"/>
  <c r="M1563" i="7"/>
  <c r="J1563" i="7"/>
  <c r="K1563" i="7" s="1"/>
  <c r="L1563" i="7" s="1"/>
  <c r="G1563" i="7"/>
  <c r="H1563" i="7" s="1"/>
  <c r="B1563" i="7"/>
  <c r="M1562" i="7"/>
  <c r="J1562" i="7"/>
  <c r="K1562" i="7" s="1"/>
  <c r="L1562" i="7" s="1"/>
  <c r="G1562" i="7"/>
  <c r="H1562" i="7" s="1"/>
  <c r="B1562" i="7"/>
  <c r="M1561" i="7"/>
  <c r="J1561" i="7"/>
  <c r="K1561" i="7" s="1"/>
  <c r="L1561" i="7" s="1"/>
  <c r="G1561" i="7"/>
  <c r="H1561" i="7" s="1"/>
  <c r="B1561" i="7"/>
  <c r="M1560" i="7"/>
  <c r="J1560" i="7"/>
  <c r="K1560" i="7" s="1"/>
  <c r="L1560" i="7" s="1"/>
  <c r="G1560" i="7"/>
  <c r="H1560" i="7" s="1"/>
  <c r="B1560" i="7"/>
  <c r="M1559" i="7"/>
  <c r="J1559" i="7"/>
  <c r="K1559" i="7" s="1"/>
  <c r="L1559" i="7" s="1"/>
  <c r="G1559" i="7"/>
  <c r="H1559" i="7" s="1"/>
  <c r="B1559" i="7"/>
  <c r="M1558" i="7"/>
  <c r="J1558" i="7"/>
  <c r="K1558" i="7" s="1"/>
  <c r="L1558" i="7" s="1"/>
  <c r="G1558" i="7"/>
  <c r="H1558" i="7" s="1"/>
  <c r="B1558" i="7"/>
  <c r="M1557" i="7"/>
  <c r="J1557" i="7"/>
  <c r="K1557" i="7" s="1"/>
  <c r="L1557" i="7" s="1"/>
  <c r="G1557" i="7"/>
  <c r="H1557" i="7" s="1"/>
  <c r="B1557" i="7"/>
  <c r="M1556" i="7"/>
  <c r="J1556" i="7"/>
  <c r="K1556" i="7" s="1"/>
  <c r="L1556" i="7" s="1"/>
  <c r="G1556" i="7"/>
  <c r="H1556" i="7" s="1"/>
  <c r="B1556" i="7"/>
  <c r="M1555" i="7"/>
  <c r="J1555" i="7"/>
  <c r="K1555" i="7" s="1"/>
  <c r="L1555" i="7" s="1"/>
  <c r="G1555" i="7"/>
  <c r="H1555" i="7" s="1"/>
  <c r="B1555" i="7"/>
  <c r="M1554" i="7"/>
  <c r="J1554" i="7"/>
  <c r="K1554" i="7" s="1"/>
  <c r="L1554" i="7" s="1"/>
  <c r="G1554" i="7"/>
  <c r="H1554" i="7" s="1"/>
  <c r="B1554" i="7"/>
  <c r="M1553" i="7"/>
  <c r="J1553" i="7"/>
  <c r="K1553" i="7" s="1"/>
  <c r="L1553" i="7" s="1"/>
  <c r="G1553" i="7"/>
  <c r="H1553" i="7" s="1"/>
  <c r="B1553" i="7"/>
  <c r="M1552" i="7"/>
  <c r="J1552" i="7"/>
  <c r="K1552" i="7" s="1"/>
  <c r="L1552" i="7" s="1"/>
  <c r="G1552" i="7"/>
  <c r="H1552" i="7" s="1"/>
  <c r="B1552" i="7"/>
  <c r="M1551" i="7"/>
  <c r="J1551" i="7"/>
  <c r="K1551" i="7" s="1"/>
  <c r="L1551" i="7" s="1"/>
  <c r="G1551" i="7"/>
  <c r="H1551" i="7" s="1"/>
  <c r="B1551" i="7"/>
  <c r="M1550" i="7"/>
  <c r="J1550" i="7"/>
  <c r="K1550" i="7" s="1"/>
  <c r="L1550" i="7" s="1"/>
  <c r="G1550" i="7"/>
  <c r="H1550" i="7" s="1"/>
  <c r="B1550" i="7"/>
  <c r="M1549" i="7"/>
  <c r="J1549" i="7"/>
  <c r="K1549" i="7" s="1"/>
  <c r="L1549" i="7" s="1"/>
  <c r="G1549" i="7"/>
  <c r="H1549" i="7" s="1"/>
  <c r="B1549" i="7"/>
  <c r="M1548" i="7"/>
  <c r="J1548" i="7"/>
  <c r="K1548" i="7" s="1"/>
  <c r="L1548" i="7" s="1"/>
  <c r="G1548" i="7"/>
  <c r="H1548" i="7" s="1"/>
  <c r="B1548" i="7"/>
  <c r="M1547" i="7"/>
  <c r="J1547" i="7"/>
  <c r="K1547" i="7" s="1"/>
  <c r="L1547" i="7" s="1"/>
  <c r="G1547" i="7"/>
  <c r="H1547" i="7" s="1"/>
  <c r="B1547" i="7"/>
  <c r="M1546" i="7"/>
  <c r="J1546" i="7"/>
  <c r="K1546" i="7" s="1"/>
  <c r="L1546" i="7" s="1"/>
  <c r="G1546" i="7"/>
  <c r="H1546" i="7" s="1"/>
  <c r="B1546" i="7"/>
  <c r="M1545" i="7"/>
  <c r="J1545" i="7"/>
  <c r="K1545" i="7" s="1"/>
  <c r="L1545" i="7" s="1"/>
  <c r="G1545" i="7"/>
  <c r="H1545" i="7" s="1"/>
  <c r="B1545" i="7"/>
  <c r="M1544" i="7"/>
  <c r="J1544" i="7"/>
  <c r="K1544" i="7" s="1"/>
  <c r="L1544" i="7" s="1"/>
  <c r="G1544" i="7"/>
  <c r="H1544" i="7" s="1"/>
  <c r="B1544" i="7"/>
  <c r="M1543" i="7"/>
  <c r="J1543" i="7"/>
  <c r="K1543" i="7" s="1"/>
  <c r="L1543" i="7" s="1"/>
  <c r="G1543" i="7"/>
  <c r="H1543" i="7" s="1"/>
  <c r="B1543" i="7"/>
  <c r="M1542" i="7"/>
  <c r="J1542" i="7"/>
  <c r="K1542" i="7" s="1"/>
  <c r="L1542" i="7" s="1"/>
  <c r="G1542" i="7"/>
  <c r="H1542" i="7" s="1"/>
  <c r="B1542" i="7"/>
  <c r="M1541" i="7"/>
  <c r="J1541" i="7"/>
  <c r="K1541" i="7" s="1"/>
  <c r="L1541" i="7" s="1"/>
  <c r="G1541" i="7"/>
  <c r="H1541" i="7" s="1"/>
  <c r="B1541" i="7"/>
  <c r="M1540" i="7"/>
  <c r="J1540" i="7"/>
  <c r="K1540" i="7" s="1"/>
  <c r="L1540" i="7" s="1"/>
  <c r="G1540" i="7"/>
  <c r="H1540" i="7" s="1"/>
  <c r="B1540" i="7"/>
  <c r="M1539" i="7"/>
  <c r="J1539" i="7"/>
  <c r="K1539" i="7" s="1"/>
  <c r="L1539" i="7" s="1"/>
  <c r="G1539" i="7"/>
  <c r="H1539" i="7" s="1"/>
  <c r="B1539" i="7"/>
  <c r="M1538" i="7"/>
  <c r="J1538" i="7"/>
  <c r="K1538" i="7" s="1"/>
  <c r="L1538" i="7" s="1"/>
  <c r="G1538" i="7"/>
  <c r="H1538" i="7" s="1"/>
  <c r="B1538" i="7"/>
  <c r="M1537" i="7"/>
  <c r="J1537" i="7"/>
  <c r="K1537" i="7" s="1"/>
  <c r="L1537" i="7" s="1"/>
  <c r="G1537" i="7"/>
  <c r="H1537" i="7" s="1"/>
  <c r="B1537" i="7"/>
  <c r="M1536" i="7"/>
  <c r="J1536" i="7"/>
  <c r="K1536" i="7" s="1"/>
  <c r="L1536" i="7" s="1"/>
  <c r="G1536" i="7"/>
  <c r="H1536" i="7" s="1"/>
  <c r="B1536" i="7"/>
  <c r="M1535" i="7"/>
  <c r="J1535" i="7"/>
  <c r="K1535" i="7" s="1"/>
  <c r="L1535" i="7" s="1"/>
  <c r="G1535" i="7"/>
  <c r="H1535" i="7" s="1"/>
  <c r="B1535" i="7"/>
  <c r="M1534" i="7"/>
  <c r="J1534" i="7"/>
  <c r="K1534" i="7" s="1"/>
  <c r="L1534" i="7" s="1"/>
  <c r="G1534" i="7"/>
  <c r="H1534" i="7" s="1"/>
  <c r="B1534" i="7"/>
  <c r="M1533" i="7"/>
  <c r="J1533" i="7"/>
  <c r="K1533" i="7" s="1"/>
  <c r="L1533" i="7" s="1"/>
  <c r="G1533" i="7"/>
  <c r="H1533" i="7" s="1"/>
  <c r="B1533" i="7"/>
  <c r="M1532" i="7"/>
  <c r="J1532" i="7"/>
  <c r="K1532" i="7" s="1"/>
  <c r="L1532" i="7" s="1"/>
  <c r="G1532" i="7"/>
  <c r="H1532" i="7" s="1"/>
  <c r="B1532" i="7"/>
  <c r="M1531" i="7"/>
  <c r="J1531" i="7"/>
  <c r="K1531" i="7" s="1"/>
  <c r="L1531" i="7" s="1"/>
  <c r="G1531" i="7"/>
  <c r="H1531" i="7" s="1"/>
  <c r="B1531" i="7"/>
  <c r="M1530" i="7"/>
  <c r="J1530" i="7"/>
  <c r="K1530" i="7" s="1"/>
  <c r="L1530" i="7" s="1"/>
  <c r="G1530" i="7"/>
  <c r="H1530" i="7" s="1"/>
  <c r="B1530" i="7"/>
  <c r="M1529" i="7"/>
  <c r="J1529" i="7"/>
  <c r="K1529" i="7" s="1"/>
  <c r="L1529" i="7" s="1"/>
  <c r="G1529" i="7"/>
  <c r="H1529" i="7" s="1"/>
  <c r="B1529" i="7"/>
  <c r="M1528" i="7"/>
  <c r="J1528" i="7"/>
  <c r="K1528" i="7" s="1"/>
  <c r="L1528" i="7" s="1"/>
  <c r="G1528" i="7"/>
  <c r="H1528" i="7" s="1"/>
  <c r="B1528" i="7"/>
  <c r="M1527" i="7"/>
  <c r="J1527" i="7"/>
  <c r="K1527" i="7" s="1"/>
  <c r="L1527" i="7" s="1"/>
  <c r="G1527" i="7"/>
  <c r="H1527" i="7" s="1"/>
  <c r="B1527" i="7"/>
  <c r="M1526" i="7"/>
  <c r="J1526" i="7"/>
  <c r="K1526" i="7" s="1"/>
  <c r="L1526" i="7" s="1"/>
  <c r="G1526" i="7"/>
  <c r="H1526" i="7" s="1"/>
  <c r="B1526" i="7"/>
  <c r="M1525" i="7"/>
  <c r="J1525" i="7"/>
  <c r="K1525" i="7" s="1"/>
  <c r="L1525" i="7" s="1"/>
  <c r="G1525" i="7"/>
  <c r="H1525" i="7" s="1"/>
  <c r="B1525" i="7"/>
  <c r="M1524" i="7"/>
  <c r="J1524" i="7"/>
  <c r="K1524" i="7" s="1"/>
  <c r="L1524" i="7" s="1"/>
  <c r="G1524" i="7"/>
  <c r="H1524" i="7" s="1"/>
  <c r="B1524" i="7"/>
  <c r="M1523" i="7"/>
  <c r="J1523" i="7"/>
  <c r="K1523" i="7" s="1"/>
  <c r="L1523" i="7" s="1"/>
  <c r="G1523" i="7"/>
  <c r="H1523" i="7" s="1"/>
  <c r="B1523" i="7"/>
  <c r="M1522" i="7"/>
  <c r="J1522" i="7"/>
  <c r="K1522" i="7" s="1"/>
  <c r="L1522" i="7" s="1"/>
  <c r="G1522" i="7"/>
  <c r="H1522" i="7" s="1"/>
  <c r="B1522" i="7"/>
  <c r="M1521" i="7"/>
  <c r="J1521" i="7"/>
  <c r="K1521" i="7" s="1"/>
  <c r="L1521" i="7" s="1"/>
  <c r="G1521" i="7"/>
  <c r="H1521" i="7" s="1"/>
  <c r="B1521" i="7"/>
  <c r="M1520" i="7"/>
  <c r="J1520" i="7"/>
  <c r="K1520" i="7" s="1"/>
  <c r="L1520" i="7" s="1"/>
  <c r="G1520" i="7"/>
  <c r="H1520" i="7" s="1"/>
  <c r="B1520" i="7"/>
  <c r="M1519" i="7"/>
  <c r="J1519" i="7"/>
  <c r="K1519" i="7" s="1"/>
  <c r="L1519" i="7" s="1"/>
  <c r="G1519" i="7"/>
  <c r="H1519" i="7" s="1"/>
  <c r="B1519" i="7"/>
  <c r="M1518" i="7"/>
  <c r="J1518" i="7"/>
  <c r="K1518" i="7" s="1"/>
  <c r="L1518" i="7" s="1"/>
  <c r="G1518" i="7"/>
  <c r="H1518" i="7" s="1"/>
  <c r="B1518" i="7"/>
  <c r="M1517" i="7"/>
  <c r="J1517" i="7"/>
  <c r="K1517" i="7" s="1"/>
  <c r="L1517" i="7" s="1"/>
  <c r="G1517" i="7"/>
  <c r="H1517" i="7" s="1"/>
  <c r="B1517" i="7"/>
  <c r="M1516" i="7"/>
  <c r="J1516" i="7"/>
  <c r="K1516" i="7" s="1"/>
  <c r="L1516" i="7" s="1"/>
  <c r="G1516" i="7"/>
  <c r="H1516" i="7" s="1"/>
  <c r="B1516" i="7"/>
  <c r="M1515" i="7"/>
  <c r="J1515" i="7"/>
  <c r="K1515" i="7" s="1"/>
  <c r="L1515" i="7" s="1"/>
  <c r="G1515" i="7"/>
  <c r="H1515" i="7" s="1"/>
  <c r="B1515" i="7"/>
  <c r="M1514" i="7"/>
  <c r="J1514" i="7"/>
  <c r="K1514" i="7" s="1"/>
  <c r="L1514" i="7" s="1"/>
  <c r="G1514" i="7"/>
  <c r="H1514" i="7" s="1"/>
  <c r="B1514" i="7"/>
  <c r="M1513" i="7"/>
  <c r="J1513" i="7"/>
  <c r="K1513" i="7" s="1"/>
  <c r="L1513" i="7" s="1"/>
  <c r="G1513" i="7"/>
  <c r="H1513" i="7" s="1"/>
  <c r="B1513" i="7"/>
  <c r="M1512" i="7"/>
  <c r="J1512" i="7"/>
  <c r="K1512" i="7" s="1"/>
  <c r="L1512" i="7" s="1"/>
  <c r="G1512" i="7"/>
  <c r="H1512" i="7" s="1"/>
  <c r="B1512" i="7"/>
  <c r="M1511" i="7"/>
  <c r="J1511" i="7"/>
  <c r="K1511" i="7" s="1"/>
  <c r="L1511" i="7" s="1"/>
  <c r="G1511" i="7"/>
  <c r="H1511" i="7" s="1"/>
  <c r="B1511" i="7"/>
  <c r="M1510" i="7"/>
  <c r="J1510" i="7"/>
  <c r="K1510" i="7" s="1"/>
  <c r="L1510" i="7" s="1"/>
  <c r="G1510" i="7"/>
  <c r="H1510" i="7" s="1"/>
  <c r="B1510" i="7"/>
  <c r="M1509" i="7"/>
  <c r="J1509" i="7"/>
  <c r="K1509" i="7" s="1"/>
  <c r="L1509" i="7" s="1"/>
  <c r="G1509" i="7"/>
  <c r="H1509" i="7" s="1"/>
  <c r="B1509" i="7"/>
  <c r="M1508" i="7"/>
  <c r="J1508" i="7"/>
  <c r="K1508" i="7" s="1"/>
  <c r="L1508" i="7" s="1"/>
  <c r="G1508" i="7"/>
  <c r="H1508" i="7" s="1"/>
  <c r="B1508" i="7"/>
  <c r="M1507" i="7"/>
  <c r="J1507" i="7"/>
  <c r="K1507" i="7" s="1"/>
  <c r="L1507" i="7" s="1"/>
  <c r="G1507" i="7"/>
  <c r="H1507" i="7" s="1"/>
  <c r="B1507" i="7"/>
  <c r="M1506" i="7"/>
  <c r="J1506" i="7"/>
  <c r="K1506" i="7" s="1"/>
  <c r="L1506" i="7" s="1"/>
  <c r="G1506" i="7"/>
  <c r="H1506" i="7" s="1"/>
  <c r="B1506" i="7"/>
  <c r="M1505" i="7"/>
  <c r="J1505" i="7"/>
  <c r="K1505" i="7" s="1"/>
  <c r="L1505" i="7" s="1"/>
  <c r="G1505" i="7"/>
  <c r="H1505" i="7" s="1"/>
  <c r="B1505" i="7"/>
  <c r="M1504" i="7"/>
  <c r="J1504" i="7"/>
  <c r="K1504" i="7" s="1"/>
  <c r="L1504" i="7" s="1"/>
  <c r="G1504" i="7"/>
  <c r="H1504" i="7" s="1"/>
  <c r="B1504" i="7"/>
  <c r="M1503" i="7"/>
  <c r="J1503" i="7"/>
  <c r="K1503" i="7" s="1"/>
  <c r="L1503" i="7" s="1"/>
  <c r="G1503" i="7"/>
  <c r="H1503" i="7" s="1"/>
  <c r="B1503" i="7"/>
  <c r="M1502" i="7"/>
  <c r="J1502" i="7"/>
  <c r="K1502" i="7" s="1"/>
  <c r="L1502" i="7" s="1"/>
  <c r="G1502" i="7"/>
  <c r="H1502" i="7" s="1"/>
  <c r="B1502" i="7"/>
  <c r="M1501" i="7"/>
  <c r="J1501" i="7"/>
  <c r="K1501" i="7" s="1"/>
  <c r="L1501" i="7" s="1"/>
  <c r="G1501" i="7"/>
  <c r="H1501" i="7" s="1"/>
  <c r="B1501" i="7"/>
  <c r="M1500" i="7"/>
  <c r="J1500" i="7"/>
  <c r="K1500" i="7" s="1"/>
  <c r="L1500" i="7" s="1"/>
  <c r="G1500" i="7"/>
  <c r="H1500" i="7" s="1"/>
  <c r="B1500" i="7"/>
  <c r="M1499" i="7"/>
  <c r="J1499" i="7"/>
  <c r="K1499" i="7" s="1"/>
  <c r="L1499" i="7" s="1"/>
  <c r="G1499" i="7"/>
  <c r="H1499" i="7" s="1"/>
  <c r="B1499" i="7"/>
  <c r="M1498" i="7"/>
  <c r="J1498" i="7"/>
  <c r="K1498" i="7" s="1"/>
  <c r="L1498" i="7" s="1"/>
  <c r="G1498" i="7"/>
  <c r="H1498" i="7" s="1"/>
  <c r="B1498" i="7"/>
  <c r="M1497" i="7"/>
  <c r="J1497" i="7"/>
  <c r="K1497" i="7" s="1"/>
  <c r="L1497" i="7" s="1"/>
  <c r="G1497" i="7"/>
  <c r="H1497" i="7" s="1"/>
  <c r="B1497" i="7"/>
  <c r="M1496" i="7"/>
  <c r="J1496" i="7"/>
  <c r="K1496" i="7" s="1"/>
  <c r="L1496" i="7" s="1"/>
  <c r="G1496" i="7"/>
  <c r="H1496" i="7" s="1"/>
  <c r="B1496" i="7"/>
  <c r="M1495" i="7"/>
  <c r="J1495" i="7"/>
  <c r="K1495" i="7" s="1"/>
  <c r="L1495" i="7" s="1"/>
  <c r="G1495" i="7"/>
  <c r="H1495" i="7" s="1"/>
  <c r="B1495" i="7"/>
  <c r="M1494" i="7"/>
  <c r="J1494" i="7"/>
  <c r="K1494" i="7" s="1"/>
  <c r="L1494" i="7" s="1"/>
  <c r="G1494" i="7"/>
  <c r="H1494" i="7" s="1"/>
  <c r="B1494" i="7"/>
  <c r="M1493" i="7"/>
  <c r="J1493" i="7"/>
  <c r="K1493" i="7" s="1"/>
  <c r="L1493" i="7" s="1"/>
  <c r="G1493" i="7"/>
  <c r="H1493" i="7" s="1"/>
  <c r="B1493" i="7"/>
  <c r="M1492" i="7"/>
  <c r="J1492" i="7"/>
  <c r="K1492" i="7" s="1"/>
  <c r="L1492" i="7" s="1"/>
  <c r="G1492" i="7"/>
  <c r="H1492" i="7" s="1"/>
  <c r="B1492" i="7"/>
  <c r="M1491" i="7"/>
  <c r="J1491" i="7"/>
  <c r="K1491" i="7" s="1"/>
  <c r="L1491" i="7" s="1"/>
  <c r="G1491" i="7"/>
  <c r="H1491" i="7" s="1"/>
  <c r="B1491" i="7"/>
  <c r="M1490" i="7"/>
  <c r="J1490" i="7"/>
  <c r="K1490" i="7" s="1"/>
  <c r="L1490" i="7" s="1"/>
  <c r="G1490" i="7"/>
  <c r="H1490" i="7" s="1"/>
  <c r="B1490" i="7"/>
  <c r="M1489" i="7"/>
  <c r="J1489" i="7"/>
  <c r="K1489" i="7" s="1"/>
  <c r="L1489" i="7" s="1"/>
  <c r="G1489" i="7"/>
  <c r="H1489" i="7" s="1"/>
  <c r="B1489" i="7"/>
  <c r="M1488" i="7"/>
  <c r="J1488" i="7"/>
  <c r="K1488" i="7" s="1"/>
  <c r="L1488" i="7" s="1"/>
  <c r="G1488" i="7"/>
  <c r="H1488" i="7" s="1"/>
  <c r="B1488" i="7"/>
  <c r="M1487" i="7"/>
  <c r="J1487" i="7"/>
  <c r="K1487" i="7" s="1"/>
  <c r="L1487" i="7" s="1"/>
  <c r="G1487" i="7"/>
  <c r="H1487" i="7" s="1"/>
  <c r="B1487" i="7"/>
  <c r="M1486" i="7"/>
  <c r="J1486" i="7"/>
  <c r="K1486" i="7" s="1"/>
  <c r="L1486" i="7" s="1"/>
  <c r="G1486" i="7"/>
  <c r="H1486" i="7" s="1"/>
  <c r="B1486" i="7"/>
  <c r="M1485" i="7"/>
  <c r="J1485" i="7"/>
  <c r="K1485" i="7" s="1"/>
  <c r="L1485" i="7" s="1"/>
  <c r="G1485" i="7"/>
  <c r="H1485" i="7" s="1"/>
  <c r="B1485" i="7"/>
  <c r="M1484" i="7"/>
  <c r="J1484" i="7"/>
  <c r="K1484" i="7" s="1"/>
  <c r="L1484" i="7" s="1"/>
  <c r="G1484" i="7"/>
  <c r="H1484" i="7" s="1"/>
  <c r="B1484" i="7"/>
  <c r="M1483" i="7"/>
  <c r="J1483" i="7"/>
  <c r="K1483" i="7" s="1"/>
  <c r="L1483" i="7" s="1"/>
  <c r="G1483" i="7"/>
  <c r="H1483" i="7" s="1"/>
  <c r="B1483" i="7"/>
  <c r="M1482" i="7"/>
  <c r="J1482" i="7"/>
  <c r="K1482" i="7" s="1"/>
  <c r="L1482" i="7" s="1"/>
  <c r="G1482" i="7"/>
  <c r="H1482" i="7" s="1"/>
  <c r="B1482" i="7"/>
  <c r="M1481" i="7"/>
  <c r="J1481" i="7"/>
  <c r="K1481" i="7" s="1"/>
  <c r="L1481" i="7" s="1"/>
  <c r="G1481" i="7"/>
  <c r="H1481" i="7" s="1"/>
  <c r="B1481" i="7"/>
  <c r="M1480" i="7"/>
  <c r="J1480" i="7"/>
  <c r="K1480" i="7" s="1"/>
  <c r="L1480" i="7" s="1"/>
  <c r="G1480" i="7"/>
  <c r="H1480" i="7" s="1"/>
  <c r="B1480" i="7"/>
  <c r="M1479" i="7"/>
  <c r="J1479" i="7"/>
  <c r="K1479" i="7" s="1"/>
  <c r="L1479" i="7" s="1"/>
  <c r="G1479" i="7"/>
  <c r="H1479" i="7" s="1"/>
  <c r="B1479" i="7"/>
  <c r="M1478" i="7"/>
  <c r="J1478" i="7"/>
  <c r="K1478" i="7" s="1"/>
  <c r="L1478" i="7" s="1"/>
  <c r="G1478" i="7"/>
  <c r="H1478" i="7" s="1"/>
  <c r="B1478" i="7"/>
  <c r="M1477" i="7"/>
  <c r="J1477" i="7"/>
  <c r="K1477" i="7" s="1"/>
  <c r="L1477" i="7" s="1"/>
  <c r="G1477" i="7"/>
  <c r="H1477" i="7" s="1"/>
  <c r="B1477" i="7"/>
  <c r="M1476" i="7"/>
  <c r="J1476" i="7"/>
  <c r="K1476" i="7" s="1"/>
  <c r="L1476" i="7" s="1"/>
  <c r="G1476" i="7"/>
  <c r="H1476" i="7" s="1"/>
  <c r="B1476" i="7"/>
  <c r="M1475" i="7"/>
  <c r="J1475" i="7"/>
  <c r="K1475" i="7" s="1"/>
  <c r="L1475" i="7" s="1"/>
  <c r="G1475" i="7"/>
  <c r="H1475" i="7" s="1"/>
  <c r="B1475" i="7"/>
  <c r="M1474" i="7"/>
  <c r="J1474" i="7"/>
  <c r="K1474" i="7" s="1"/>
  <c r="L1474" i="7" s="1"/>
  <c r="G1474" i="7"/>
  <c r="H1474" i="7" s="1"/>
  <c r="B1474" i="7"/>
  <c r="M1473" i="7"/>
  <c r="J1473" i="7"/>
  <c r="K1473" i="7" s="1"/>
  <c r="L1473" i="7" s="1"/>
  <c r="G1473" i="7"/>
  <c r="H1473" i="7" s="1"/>
  <c r="B1473" i="7"/>
  <c r="M1472" i="7"/>
  <c r="J1472" i="7"/>
  <c r="K1472" i="7" s="1"/>
  <c r="L1472" i="7" s="1"/>
  <c r="G1472" i="7"/>
  <c r="H1472" i="7" s="1"/>
  <c r="B1472" i="7"/>
  <c r="M1471" i="7"/>
  <c r="J1471" i="7"/>
  <c r="K1471" i="7" s="1"/>
  <c r="L1471" i="7" s="1"/>
  <c r="G1471" i="7"/>
  <c r="H1471" i="7" s="1"/>
  <c r="B1471" i="7"/>
  <c r="M1470" i="7"/>
  <c r="J1470" i="7"/>
  <c r="K1470" i="7" s="1"/>
  <c r="L1470" i="7" s="1"/>
  <c r="G1470" i="7"/>
  <c r="H1470" i="7" s="1"/>
  <c r="B1470" i="7"/>
  <c r="M1469" i="7"/>
  <c r="J1469" i="7"/>
  <c r="K1469" i="7" s="1"/>
  <c r="L1469" i="7" s="1"/>
  <c r="G1469" i="7"/>
  <c r="H1469" i="7" s="1"/>
  <c r="B1469" i="7"/>
  <c r="M1468" i="7"/>
  <c r="J1468" i="7"/>
  <c r="K1468" i="7" s="1"/>
  <c r="L1468" i="7" s="1"/>
  <c r="G1468" i="7"/>
  <c r="H1468" i="7" s="1"/>
  <c r="B1468" i="7"/>
  <c r="M1467" i="7"/>
  <c r="J1467" i="7"/>
  <c r="K1467" i="7" s="1"/>
  <c r="L1467" i="7" s="1"/>
  <c r="G1467" i="7"/>
  <c r="H1467" i="7" s="1"/>
  <c r="B1467" i="7"/>
  <c r="M1466" i="7"/>
  <c r="J1466" i="7"/>
  <c r="K1466" i="7" s="1"/>
  <c r="L1466" i="7" s="1"/>
  <c r="G1466" i="7"/>
  <c r="H1466" i="7" s="1"/>
  <c r="B1466" i="7"/>
  <c r="M1465" i="7"/>
  <c r="J1465" i="7"/>
  <c r="K1465" i="7" s="1"/>
  <c r="L1465" i="7" s="1"/>
  <c r="G1465" i="7"/>
  <c r="H1465" i="7" s="1"/>
  <c r="B1465" i="7"/>
  <c r="M1464" i="7"/>
  <c r="J1464" i="7"/>
  <c r="K1464" i="7" s="1"/>
  <c r="L1464" i="7" s="1"/>
  <c r="G1464" i="7"/>
  <c r="H1464" i="7" s="1"/>
  <c r="B1464" i="7"/>
  <c r="M1463" i="7"/>
  <c r="J1463" i="7"/>
  <c r="K1463" i="7" s="1"/>
  <c r="L1463" i="7" s="1"/>
  <c r="G1463" i="7"/>
  <c r="H1463" i="7" s="1"/>
  <c r="B1463" i="7"/>
  <c r="M1462" i="7"/>
  <c r="J1462" i="7"/>
  <c r="K1462" i="7" s="1"/>
  <c r="L1462" i="7" s="1"/>
  <c r="G1462" i="7"/>
  <c r="H1462" i="7" s="1"/>
  <c r="B1462" i="7"/>
  <c r="M1461" i="7"/>
  <c r="J1461" i="7"/>
  <c r="K1461" i="7" s="1"/>
  <c r="L1461" i="7" s="1"/>
  <c r="G1461" i="7"/>
  <c r="H1461" i="7" s="1"/>
  <c r="B1461" i="7"/>
  <c r="M1460" i="7"/>
  <c r="J1460" i="7"/>
  <c r="K1460" i="7" s="1"/>
  <c r="L1460" i="7" s="1"/>
  <c r="G1460" i="7"/>
  <c r="H1460" i="7" s="1"/>
  <c r="B1460" i="7"/>
  <c r="M1459" i="7"/>
  <c r="J1459" i="7"/>
  <c r="K1459" i="7" s="1"/>
  <c r="L1459" i="7" s="1"/>
  <c r="G1459" i="7"/>
  <c r="H1459" i="7" s="1"/>
  <c r="B1459" i="7"/>
  <c r="M1458" i="7"/>
  <c r="J1458" i="7"/>
  <c r="K1458" i="7" s="1"/>
  <c r="L1458" i="7" s="1"/>
  <c r="G1458" i="7"/>
  <c r="H1458" i="7" s="1"/>
  <c r="B1458" i="7"/>
  <c r="M1457" i="7"/>
  <c r="J1457" i="7"/>
  <c r="K1457" i="7" s="1"/>
  <c r="L1457" i="7" s="1"/>
  <c r="G1457" i="7"/>
  <c r="H1457" i="7" s="1"/>
  <c r="B1457" i="7"/>
  <c r="M1456" i="7"/>
  <c r="J1456" i="7"/>
  <c r="K1456" i="7" s="1"/>
  <c r="L1456" i="7" s="1"/>
  <c r="G1456" i="7"/>
  <c r="H1456" i="7" s="1"/>
  <c r="B1456" i="7"/>
  <c r="M1455" i="7"/>
  <c r="J1455" i="7"/>
  <c r="K1455" i="7" s="1"/>
  <c r="L1455" i="7" s="1"/>
  <c r="G1455" i="7"/>
  <c r="H1455" i="7" s="1"/>
  <c r="B1455" i="7"/>
  <c r="M1454" i="7"/>
  <c r="J1454" i="7"/>
  <c r="K1454" i="7" s="1"/>
  <c r="L1454" i="7" s="1"/>
  <c r="G1454" i="7"/>
  <c r="H1454" i="7" s="1"/>
  <c r="B1454" i="7"/>
  <c r="M1453" i="7"/>
  <c r="J1453" i="7"/>
  <c r="K1453" i="7" s="1"/>
  <c r="L1453" i="7" s="1"/>
  <c r="G1453" i="7"/>
  <c r="H1453" i="7" s="1"/>
  <c r="B1453" i="7"/>
  <c r="M1452" i="7"/>
  <c r="J1452" i="7"/>
  <c r="K1452" i="7" s="1"/>
  <c r="L1452" i="7" s="1"/>
  <c r="G1452" i="7"/>
  <c r="H1452" i="7" s="1"/>
  <c r="B1452" i="7"/>
  <c r="M1451" i="7"/>
  <c r="J1451" i="7"/>
  <c r="K1451" i="7" s="1"/>
  <c r="L1451" i="7" s="1"/>
  <c r="G1451" i="7"/>
  <c r="H1451" i="7" s="1"/>
  <c r="B1451" i="7"/>
  <c r="M1450" i="7"/>
  <c r="J1450" i="7"/>
  <c r="K1450" i="7" s="1"/>
  <c r="L1450" i="7" s="1"/>
  <c r="G1450" i="7"/>
  <c r="H1450" i="7" s="1"/>
  <c r="B1450" i="7"/>
  <c r="M1449" i="7"/>
  <c r="J1449" i="7"/>
  <c r="K1449" i="7" s="1"/>
  <c r="L1449" i="7" s="1"/>
  <c r="G1449" i="7"/>
  <c r="H1449" i="7" s="1"/>
  <c r="B1449" i="7"/>
  <c r="M1448" i="7"/>
  <c r="J1448" i="7"/>
  <c r="K1448" i="7" s="1"/>
  <c r="L1448" i="7" s="1"/>
  <c r="G1448" i="7"/>
  <c r="H1448" i="7" s="1"/>
  <c r="B1448" i="7"/>
  <c r="M1447" i="7"/>
  <c r="J1447" i="7"/>
  <c r="K1447" i="7" s="1"/>
  <c r="L1447" i="7" s="1"/>
  <c r="G1447" i="7"/>
  <c r="H1447" i="7" s="1"/>
  <c r="B1447" i="7"/>
  <c r="M1446" i="7"/>
  <c r="J1446" i="7"/>
  <c r="K1446" i="7" s="1"/>
  <c r="L1446" i="7" s="1"/>
  <c r="G1446" i="7"/>
  <c r="H1446" i="7" s="1"/>
  <c r="B1446" i="7"/>
  <c r="M1445" i="7"/>
  <c r="J1445" i="7"/>
  <c r="K1445" i="7" s="1"/>
  <c r="L1445" i="7" s="1"/>
  <c r="G1445" i="7"/>
  <c r="H1445" i="7" s="1"/>
  <c r="B1445" i="7"/>
  <c r="M1444" i="7"/>
  <c r="J1444" i="7"/>
  <c r="K1444" i="7" s="1"/>
  <c r="L1444" i="7" s="1"/>
  <c r="G1444" i="7"/>
  <c r="H1444" i="7" s="1"/>
  <c r="B1444" i="7"/>
  <c r="M1443" i="7"/>
  <c r="J1443" i="7"/>
  <c r="K1443" i="7" s="1"/>
  <c r="L1443" i="7" s="1"/>
  <c r="G1443" i="7"/>
  <c r="H1443" i="7" s="1"/>
  <c r="B1443" i="7"/>
  <c r="M1442" i="7"/>
  <c r="J1442" i="7"/>
  <c r="K1442" i="7" s="1"/>
  <c r="L1442" i="7" s="1"/>
  <c r="G1442" i="7"/>
  <c r="H1442" i="7" s="1"/>
  <c r="B1442" i="7"/>
  <c r="M1441" i="7"/>
  <c r="J1441" i="7"/>
  <c r="K1441" i="7" s="1"/>
  <c r="L1441" i="7" s="1"/>
  <c r="G1441" i="7"/>
  <c r="H1441" i="7" s="1"/>
  <c r="B1441" i="7"/>
  <c r="M1440" i="7"/>
  <c r="J1440" i="7"/>
  <c r="K1440" i="7" s="1"/>
  <c r="L1440" i="7" s="1"/>
  <c r="G1440" i="7"/>
  <c r="H1440" i="7" s="1"/>
  <c r="B1440" i="7"/>
  <c r="M1439" i="7"/>
  <c r="J1439" i="7"/>
  <c r="K1439" i="7" s="1"/>
  <c r="L1439" i="7" s="1"/>
  <c r="G1439" i="7"/>
  <c r="H1439" i="7" s="1"/>
  <c r="B1439" i="7"/>
  <c r="M1438" i="7"/>
  <c r="J1438" i="7"/>
  <c r="K1438" i="7" s="1"/>
  <c r="L1438" i="7" s="1"/>
  <c r="G1438" i="7"/>
  <c r="H1438" i="7" s="1"/>
  <c r="B1438" i="7"/>
  <c r="M1437" i="7"/>
  <c r="J1437" i="7"/>
  <c r="K1437" i="7" s="1"/>
  <c r="L1437" i="7" s="1"/>
  <c r="G1437" i="7"/>
  <c r="H1437" i="7" s="1"/>
  <c r="B1437" i="7"/>
  <c r="M1436" i="7"/>
  <c r="J1436" i="7"/>
  <c r="K1436" i="7" s="1"/>
  <c r="L1436" i="7" s="1"/>
  <c r="G1436" i="7"/>
  <c r="H1436" i="7" s="1"/>
  <c r="B1436" i="7"/>
  <c r="M1435" i="7"/>
  <c r="J1435" i="7"/>
  <c r="K1435" i="7" s="1"/>
  <c r="L1435" i="7" s="1"/>
  <c r="G1435" i="7"/>
  <c r="H1435" i="7" s="1"/>
  <c r="B1435" i="7"/>
  <c r="M1434" i="7"/>
  <c r="J1434" i="7"/>
  <c r="K1434" i="7" s="1"/>
  <c r="L1434" i="7" s="1"/>
  <c r="G1434" i="7"/>
  <c r="H1434" i="7" s="1"/>
  <c r="B1434" i="7"/>
  <c r="M1433" i="7"/>
  <c r="J1433" i="7"/>
  <c r="K1433" i="7" s="1"/>
  <c r="L1433" i="7" s="1"/>
  <c r="G1433" i="7"/>
  <c r="H1433" i="7" s="1"/>
  <c r="B1433" i="7"/>
  <c r="M1432" i="7"/>
  <c r="J1432" i="7"/>
  <c r="K1432" i="7" s="1"/>
  <c r="L1432" i="7" s="1"/>
  <c r="G1432" i="7"/>
  <c r="H1432" i="7" s="1"/>
  <c r="B1432" i="7"/>
  <c r="M1431" i="7"/>
  <c r="J1431" i="7"/>
  <c r="K1431" i="7" s="1"/>
  <c r="L1431" i="7" s="1"/>
  <c r="G1431" i="7"/>
  <c r="H1431" i="7" s="1"/>
  <c r="B1431" i="7"/>
  <c r="M1430" i="7"/>
  <c r="J1430" i="7"/>
  <c r="K1430" i="7" s="1"/>
  <c r="L1430" i="7" s="1"/>
  <c r="G1430" i="7"/>
  <c r="H1430" i="7" s="1"/>
  <c r="B1430" i="7"/>
  <c r="M1429" i="7"/>
  <c r="J1429" i="7"/>
  <c r="K1429" i="7" s="1"/>
  <c r="L1429" i="7" s="1"/>
  <c r="G1429" i="7"/>
  <c r="H1429" i="7" s="1"/>
  <c r="B1429" i="7"/>
  <c r="M1428" i="7"/>
  <c r="J1428" i="7"/>
  <c r="K1428" i="7" s="1"/>
  <c r="L1428" i="7" s="1"/>
  <c r="G1428" i="7"/>
  <c r="H1428" i="7" s="1"/>
  <c r="B1428" i="7"/>
  <c r="M1427" i="7"/>
  <c r="J1427" i="7"/>
  <c r="K1427" i="7" s="1"/>
  <c r="L1427" i="7" s="1"/>
  <c r="G1427" i="7"/>
  <c r="H1427" i="7" s="1"/>
  <c r="B1427" i="7"/>
  <c r="M1426" i="7"/>
  <c r="J1426" i="7"/>
  <c r="K1426" i="7" s="1"/>
  <c r="L1426" i="7" s="1"/>
  <c r="G1426" i="7"/>
  <c r="H1426" i="7" s="1"/>
  <c r="B1426" i="7"/>
  <c r="M1425" i="7"/>
  <c r="J1425" i="7"/>
  <c r="K1425" i="7" s="1"/>
  <c r="L1425" i="7" s="1"/>
  <c r="G1425" i="7"/>
  <c r="H1425" i="7" s="1"/>
  <c r="B1425" i="7"/>
  <c r="M1424" i="7"/>
  <c r="J1424" i="7"/>
  <c r="K1424" i="7" s="1"/>
  <c r="L1424" i="7" s="1"/>
  <c r="G1424" i="7"/>
  <c r="H1424" i="7" s="1"/>
  <c r="B1424" i="7"/>
  <c r="M1423" i="7"/>
  <c r="J1423" i="7"/>
  <c r="K1423" i="7" s="1"/>
  <c r="L1423" i="7" s="1"/>
  <c r="G1423" i="7"/>
  <c r="H1423" i="7" s="1"/>
  <c r="B1423" i="7"/>
  <c r="M1422" i="7"/>
  <c r="J1422" i="7"/>
  <c r="K1422" i="7" s="1"/>
  <c r="L1422" i="7" s="1"/>
  <c r="G1422" i="7"/>
  <c r="H1422" i="7" s="1"/>
  <c r="B1422" i="7"/>
  <c r="M1421" i="7"/>
  <c r="J1421" i="7"/>
  <c r="K1421" i="7" s="1"/>
  <c r="L1421" i="7" s="1"/>
  <c r="G1421" i="7"/>
  <c r="H1421" i="7" s="1"/>
  <c r="B1421" i="7"/>
  <c r="M1420" i="7"/>
  <c r="J1420" i="7"/>
  <c r="K1420" i="7" s="1"/>
  <c r="L1420" i="7" s="1"/>
  <c r="G1420" i="7"/>
  <c r="H1420" i="7" s="1"/>
  <c r="B1420" i="7"/>
  <c r="M1419" i="7"/>
  <c r="J1419" i="7"/>
  <c r="K1419" i="7" s="1"/>
  <c r="L1419" i="7" s="1"/>
  <c r="G1419" i="7"/>
  <c r="H1419" i="7" s="1"/>
  <c r="B1419" i="7"/>
  <c r="M1418" i="7"/>
  <c r="J1418" i="7"/>
  <c r="K1418" i="7" s="1"/>
  <c r="L1418" i="7" s="1"/>
  <c r="G1418" i="7"/>
  <c r="H1418" i="7" s="1"/>
  <c r="B1418" i="7"/>
  <c r="M1417" i="7"/>
  <c r="J1417" i="7"/>
  <c r="K1417" i="7" s="1"/>
  <c r="L1417" i="7" s="1"/>
  <c r="G1417" i="7"/>
  <c r="H1417" i="7" s="1"/>
  <c r="B1417" i="7"/>
  <c r="M1416" i="7"/>
  <c r="J1416" i="7"/>
  <c r="K1416" i="7" s="1"/>
  <c r="L1416" i="7" s="1"/>
  <c r="G1416" i="7"/>
  <c r="H1416" i="7" s="1"/>
  <c r="B1416" i="7"/>
  <c r="M1415" i="7"/>
  <c r="J1415" i="7"/>
  <c r="K1415" i="7" s="1"/>
  <c r="L1415" i="7" s="1"/>
  <c r="G1415" i="7"/>
  <c r="H1415" i="7" s="1"/>
  <c r="B1415" i="7"/>
  <c r="M1414" i="7"/>
  <c r="J1414" i="7"/>
  <c r="K1414" i="7" s="1"/>
  <c r="L1414" i="7" s="1"/>
  <c r="G1414" i="7"/>
  <c r="H1414" i="7" s="1"/>
  <c r="B1414" i="7"/>
  <c r="M1413" i="7"/>
  <c r="J1413" i="7"/>
  <c r="K1413" i="7" s="1"/>
  <c r="L1413" i="7" s="1"/>
  <c r="G1413" i="7"/>
  <c r="H1413" i="7" s="1"/>
  <c r="B1413" i="7"/>
  <c r="M1412" i="7"/>
  <c r="J1412" i="7"/>
  <c r="K1412" i="7" s="1"/>
  <c r="L1412" i="7" s="1"/>
  <c r="G1412" i="7"/>
  <c r="H1412" i="7" s="1"/>
  <c r="B1412" i="7"/>
  <c r="M1411" i="7"/>
  <c r="J1411" i="7"/>
  <c r="K1411" i="7" s="1"/>
  <c r="L1411" i="7" s="1"/>
  <c r="G1411" i="7"/>
  <c r="H1411" i="7" s="1"/>
  <c r="B1411" i="7"/>
  <c r="M1410" i="7"/>
  <c r="J1410" i="7"/>
  <c r="K1410" i="7" s="1"/>
  <c r="L1410" i="7" s="1"/>
  <c r="G1410" i="7"/>
  <c r="H1410" i="7" s="1"/>
  <c r="B1410" i="7"/>
  <c r="M1409" i="7"/>
  <c r="J1409" i="7"/>
  <c r="K1409" i="7" s="1"/>
  <c r="L1409" i="7" s="1"/>
  <c r="G1409" i="7"/>
  <c r="H1409" i="7" s="1"/>
  <c r="B1409" i="7"/>
  <c r="M1408" i="7"/>
  <c r="J1408" i="7"/>
  <c r="K1408" i="7" s="1"/>
  <c r="L1408" i="7" s="1"/>
  <c r="G1408" i="7"/>
  <c r="H1408" i="7" s="1"/>
  <c r="B1408" i="7"/>
  <c r="M1407" i="7"/>
  <c r="J1407" i="7"/>
  <c r="K1407" i="7" s="1"/>
  <c r="L1407" i="7" s="1"/>
  <c r="G1407" i="7"/>
  <c r="H1407" i="7" s="1"/>
  <c r="B1407" i="7"/>
  <c r="M1406" i="7"/>
  <c r="J1406" i="7"/>
  <c r="K1406" i="7" s="1"/>
  <c r="L1406" i="7" s="1"/>
  <c r="G1406" i="7"/>
  <c r="H1406" i="7" s="1"/>
  <c r="B1406" i="7"/>
  <c r="M1405" i="7"/>
  <c r="J1405" i="7"/>
  <c r="K1405" i="7" s="1"/>
  <c r="L1405" i="7" s="1"/>
  <c r="G1405" i="7"/>
  <c r="H1405" i="7" s="1"/>
  <c r="B1405" i="7"/>
  <c r="M1404" i="7"/>
  <c r="J1404" i="7"/>
  <c r="K1404" i="7" s="1"/>
  <c r="L1404" i="7" s="1"/>
  <c r="G1404" i="7"/>
  <c r="H1404" i="7" s="1"/>
  <c r="B1404" i="7"/>
  <c r="M1403" i="7"/>
  <c r="J1403" i="7"/>
  <c r="K1403" i="7" s="1"/>
  <c r="L1403" i="7" s="1"/>
  <c r="G1403" i="7"/>
  <c r="H1403" i="7" s="1"/>
  <c r="B1403" i="7"/>
  <c r="M1402" i="7"/>
  <c r="J1402" i="7"/>
  <c r="K1402" i="7" s="1"/>
  <c r="L1402" i="7" s="1"/>
  <c r="G1402" i="7"/>
  <c r="H1402" i="7" s="1"/>
  <c r="B1402" i="7"/>
  <c r="M1401" i="7"/>
  <c r="J1401" i="7"/>
  <c r="K1401" i="7" s="1"/>
  <c r="L1401" i="7" s="1"/>
  <c r="G1401" i="7"/>
  <c r="H1401" i="7" s="1"/>
  <c r="B1401" i="7"/>
  <c r="M1400" i="7"/>
  <c r="J1400" i="7"/>
  <c r="K1400" i="7" s="1"/>
  <c r="L1400" i="7" s="1"/>
  <c r="G1400" i="7"/>
  <c r="H1400" i="7" s="1"/>
  <c r="B1400" i="7"/>
  <c r="M1399" i="7"/>
  <c r="J1399" i="7"/>
  <c r="K1399" i="7" s="1"/>
  <c r="L1399" i="7" s="1"/>
  <c r="G1399" i="7"/>
  <c r="H1399" i="7" s="1"/>
  <c r="B1399" i="7"/>
  <c r="M1398" i="7"/>
  <c r="J1398" i="7"/>
  <c r="K1398" i="7" s="1"/>
  <c r="L1398" i="7" s="1"/>
  <c r="G1398" i="7"/>
  <c r="H1398" i="7" s="1"/>
  <c r="B1398" i="7"/>
  <c r="M1397" i="7"/>
  <c r="J1397" i="7"/>
  <c r="K1397" i="7" s="1"/>
  <c r="L1397" i="7" s="1"/>
  <c r="G1397" i="7"/>
  <c r="H1397" i="7" s="1"/>
  <c r="B1397" i="7"/>
  <c r="M1396" i="7"/>
  <c r="J1396" i="7"/>
  <c r="K1396" i="7" s="1"/>
  <c r="L1396" i="7" s="1"/>
  <c r="G1396" i="7"/>
  <c r="H1396" i="7" s="1"/>
  <c r="B1396" i="7"/>
  <c r="M1395" i="7"/>
  <c r="J1395" i="7"/>
  <c r="K1395" i="7" s="1"/>
  <c r="L1395" i="7" s="1"/>
  <c r="G1395" i="7"/>
  <c r="H1395" i="7" s="1"/>
  <c r="B1395" i="7"/>
  <c r="M1394" i="7"/>
  <c r="J1394" i="7"/>
  <c r="K1394" i="7" s="1"/>
  <c r="L1394" i="7" s="1"/>
  <c r="G1394" i="7"/>
  <c r="H1394" i="7" s="1"/>
  <c r="B1394" i="7"/>
  <c r="M1393" i="7"/>
  <c r="J1393" i="7"/>
  <c r="K1393" i="7" s="1"/>
  <c r="L1393" i="7" s="1"/>
  <c r="G1393" i="7"/>
  <c r="H1393" i="7" s="1"/>
  <c r="B1393" i="7"/>
  <c r="M1392" i="7"/>
  <c r="J1392" i="7"/>
  <c r="K1392" i="7" s="1"/>
  <c r="L1392" i="7" s="1"/>
  <c r="G1392" i="7"/>
  <c r="H1392" i="7" s="1"/>
  <c r="B1392" i="7"/>
  <c r="M1391" i="7"/>
  <c r="J1391" i="7"/>
  <c r="K1391" i="7" s="1"/>
  <c r="L1391" i="7" s="1"/>
  <c r="G1391" i="7"/>
  <c r="H1391" i="7" s="1"/>
  <c r="B1391" i="7"/>
  <c r="M1390" i="7"/>
  <c r="J1390" i="7"/>
  <c r="K1390" i="7" s="1"/>
  <c r="L1390" i="7" s="1"/>
  <c r="G1390" i="7"/>
  <c r="H1390" i="7" s="1"/>
  <c r="B1390" i="7"/>
  <c r="M1389" i="7"/>
  <c r="J1389" i="7"/>
  <c r="K1389" i="7" s="1"/>
  <c r="L1389" i="7" s="1"/>
  <c r="G1389" i="7"/>
  <c r="H1389" i="7" s="1"/>
  <c r="B1389" i="7"/>
  <c r="M1388" i="7"/>
  <c r="J1388" i="7"/>
  <c r="K1388" i="7" s="1"/>
  <c r="L1388" i="7" s="1"/>
  <c r="G1388" i="7"/>
  <c r="H1388" i="7" s="1"/>
  <c r="B1388" i="7"/>
  <c r="M1387" i="7"/>
  <c r="J1387" i="7"/>
  <c r="K1387" i="7" s="1"/>
  <c r="L1387" i="7" s="1"/>
  <c r="G1387" i="7"/>
  <c r="H1387" i="7" s="1"/>
  <c r="B1387" i="7"/>
  <c r="M1386" i="7"/>
  <c r="J1386" i="7"/>
  <c r="K1386" i="7" s="1"/>
  <c r="L1386" i="7" s="1"/>
  <c r="G1386" i="7"/>
  <c r="H1386" i="7" s="1"/>
  <c r="B1386" i="7"/>
  <c r="M1385" i="7"/>
  <c r="J1385" i="7"/>
  <c r="K1385" i="7" s="1"/>
  <c r="L1385" i="7" s="1"/>
  <c r="G1385" i="7"/>
  <c r="H1385" i="7" s="1"/>
  <c r="B1385" i="7"/>
  <c r="M1384" i="7"/>
  <c r="J1384" i="7"/>
  <c r="K1384" i="7" s="1"/>
  <c r="L1384" i="7" s="1"/>
  <c r="G1384" i="7"/>
  <c r="H1384" i="7" s="1"/>
  <c r="B1384" i="7"/>
  <c r="M1383" i="7"/>
  <c r="J1383" i="7"/>
  <c r="K1383" i="7" s="1"/>
  <c r="L1383" i="7" s="1"/>
  <c r="G1383" i="7"/>
  <c r="H1383" i="7" s="1"/>
  <c r="B1383" i="7"/>
  <c r="M1382" i="7"/>
  <c r="J1382" i="7"/>
  <c r="K1382" i="7" s="1"/>
  <c r="L1382" i="7" s="1"/>
  <c r="G1382" i="7"/>
  <c r="H1382" i="7" s="1"/>
  <c r="B1382" i="7"/>
  <c r="M1381" i="7"/>
  <c r="J1381" i="7"/>
  <c r="K1381" i="7" s="1"/>
  <c r="L1381" i="7" s="1"/>
  <c r="G1381" i="7"/>
  <c r="H1381" i="7" s="1"/>
  <c r="B1381" i="7"/>
  <c r="M1380" i="7"/>
  <c r="J1380" i="7"/>
  <c r="K1380" i="7" s="1"/>
  <c r="L1380" i="7" s="1"/>
  <c r="G1380" i="7"/>
  <c r="H1380" i="7" s="1"/>
  <c r="B1380" i="7"/>
  <c r="M1379" i="7"/>
  <c r="J1379" i="7"/>
  <c r="K1379" i="7" s="1"/>
  <c r="L1379" i="7" s="1"/>
  <c r="G1379" i="7"/>
  <c r="H1379" i="7" s="1"/>
  <c r="B1379" i="7"/>
  <c r="M1378" i="7"/>
  <c r="J1378" i="7"/>
  <c r="K1378" i="7" s="1"/>
  <c r="L1378" i="7" s="1"/>
  <c r="G1378" i="7"/>
  <c r="H1378" i="7" s="1"/>
  <c r="B1378" i="7"/>
  <c r="M1377" i="7"/>
  <c r="J1377" i="7"/>
  <c r="K1377" i="7" s="1"/>
  <c r="L1377" i="7" s="1"/>
  <c r="G1377" i="7"/>
  <c r="H1377" i="7" s="1"/>
  <c r="B1377" i="7"/>
  <c r="M1376" i="7"/>
  <c r="J1376" i="7"/>
  <c r="K1376" i="7" s="1"/>
  <c r="L1376" i="7" s="1"/>
  <c r="G1376" i="7"/>
  <c r="H1376" i="7" s="1"/>
  <c r="B1376" i="7"/>
  <c r="M1375" i="7"/>
  <c r="J1375" i="7"/>
  <c r="K1375" i="7" s="1"/>
  <c r="L1375" i="7" s="1"/>
  <c r="G1375" i="7"/>
  <c r="H1375" i="7" s="1"/>
  <c r="B1375" i="7"/>
  <c r="M1374" i="7"/>
  <c r="J1374" i="7"/>
  <c r="K1374" i="7" s="1"/>
  <c r="L1374" i="7" s="1"/>
  <c r="G1374" i="7"/>
  <c r="H1374" i="7" s="1"/>
  <c r="B1374" i="7"/>
  <c r="M1373" i="7"/>
  <c r="J1373" i="7"/>
  <c r="K1373" i="7" s="1"/>
  <c r="L1373" i="7" s="1"/>
  <c r="G1373" i="7"/>
  <c r="H1373" i="7" s="1"/>
  <c r="B1373" i="7"/>
  <c r="M1372" i="7"/>
  <c r="J1372" i="7"/>
  <c r="K1372" i="7" s="1"/>
  <c r="L1372" i="7" s="1"/>
  <c r="G1372" i="7"/>
  <c r="H1372" i="7" s="1"/>
  <c r="B1372" i="7"/>
  <c r="M1371" i="7"/>
  <c r="J1371" i="7"/>
  <c r="K1371" i="7" s="1"/>
  <c r="L1371" i="7" s="1"/>
  <c r="G1371" i="7"/>
  <c r="H1371" i="7" s="1"/>
  <c r="B1371" i="7"/>
  <c r="M1370" i="7"/>
  <c r="J1370" i="7"/>
  <c r="K1370" i="7" s="1"/>
  <c r="L1370" i="7" s="1"/>
  <c r="G1370" i="7"/>
  <c r="H1370" i="7" s="1"/>
  <c r="B1370" i="7"/>
  <c r="M1369" i="7"/>
  <c r="J1369" i="7"/>
  <c r="K1369" i="7" s="1"/>
  <c r="L1369" i="7" s="1"/>
  <c r="G1369" i="7"/>
  <c r="H1369" i="7" s="1"/>
  <c r="B1369" i="7"/>
  <c r="M1368" i="7"/>
  <c r="J1368" i="7"/>
  <c r="K1368" i="7" s="1"/>
  <c r="L1368" i="7" s="1"/>
  <c r="G1368" i="7"/>
  <c r="H1368" i="7" s="1"/>
  <c r="B1368" i="7"/>
  <c r="M1367" i="7"/>
  <c r="J1367" i="7"/>
  <c r="K1367" i="7" s="1"/>
  <c r="L1367" i="7" s="1"/>
  <c r="G1367" i="7"/>
  <c r="H1367" i="7" s="1"/>
  <c r="B1367" i="7"/>
  <c r="M1366" i="7"/>
  <c r="J1366" i="7"/>
  <c r="K1366" i="7" s="1"/>
  <c r="L1366" i="7" s="1"/>
  <c r="G1366" i="7"/>
  <c r="H1366" i="7" s="1"/>
  <c r="B1366" i="7"/>
  <c r="M1365" i="7"/>
  <c r="J1365" i="7"/>
  <c r="K1365" i="7" s="1"/>
  <c r="L1365" i="7" s="1"/>
  <c r="G1365" i="7"/>
  <c r="H1365" i="7" s="1"/>
  <c r="B1365" i="7"/>
  <c r="M1364" i="7"/>
  <c r="J1364" i="7"/>
  <c r="K1364" i="7" s="1"/>
  <c r="L1364" i="7" s="1"/>
  <c r="G1364" i="7"/>
  <c r="H1364" i="7" s="1"/>
  <c r="B1364" i="7"/>
  <c r="M1363" i="7"/>
  <c r="J1363" i="7"/>
  <c r="K1363" i="7" s="1"/>
  <c r="L1363" i="7" s="1"/>
  <c r="G1363" i="7"/>
  <c r="H1363" i="7" s="1"/>
  <c r="B1363" i="7"/>
  <c r="M1362" i="7"/>
  <c r="J1362" i="7"/>
  <c r="K1362" i="7" s="1"/>
  <c r="L1362" i="7" s="1"/>
  <c r="G1362" i="7"/>
  <c r="H1362" i="7" s="1"/>
  <c r="B1362" i="7"/>
  <c r="M1361" i="7"/>
  <c r="J1361" i="7"/>
  <c r="K1361" i="7" s="1"/>
  <c r="L1361" i="7" s="1"/>
  <c r="G1361" i="7"/>
  <c r="H1361" i="7" s="1"/>
  <c r="B1361" i="7"/>
  <c r="M1360" i="7"/>
  <c r="J1360" i="7"/>
  <c r="K1360" i="7" s="1"/>
  <c r="L1360" i="7" s="1"/>
  <c r="G1360" i="7"/>
  <c r="H1360" i="7" s="1"/>
  <c r="B1360" i="7"/>
  <c r="M1359" i="7"/>
  <c r="J1359" i="7"/>
  <c r="K1359" i="7" s="1"/>
  <c r="L1359" i="7" s="1"/>
  <c r="G1359" i="7"/>
  <c r="H1359" i="7" s="1"/>
  <c r="B1359" i="7"/>
  <c r="M1358" i="7"/>
  <c r="J1358" i="7"/>
  <c r="K1358" i="7" s="1"/>
  <c r="L1358" i="7" s="1"/>
  <c r="G1358" i="7"/>
  <c r="H1358" i="7" s="1"/>
  <c r="B1358" i="7"/>
  <c r="M1357" i="7"/>
  <c r="J1357" i="7"/>
  <c r="K1357" i="7" s="1"/>
  <c r="L1357" i="7" s="1"/>
  <c r="G1357" i="7"/>
  <c r="H1357" i="7" s="1"/>
  <c r="B1357" i="7"/>
  <c r="M1356" i="7"/>
  <c r="J1356" i="7"/>
  <c r="K1356" i="7" s="1"/>
  <c r="L1356" i="7" s="1"/>
  <c r="G1356" i="7"/>
  <c r="H1356" i="7" s="1"/>
  <c r="B1356" i="7"/>
  <c r="M1355" i="7"/>
  <c r="J1355" i="7"/>
  <c r="K1355" i="7" s="1"/>
  <c r="L1355" i="7" s="1"/>
  <c r="G1355" i="7"/>
  <c r="H1355" i="7" s="1"/>
  <c r="B1355" i="7"/>
  <c r="M1354" i="7"/>
  <c r="J1354" i="7"/>
  <c r="K1354" i="7" s="1"/>
  <c r="L1354" i="7" s="1"/>
  <c r="G1354" i="7"/>
  <c r="H1354" i="7" s="1"/>
  <c r="B1354" i="7"/>
  <c r="M1353" i="7"/>
  <c r="J1353" i="7"/>
  <c r="K1353" i="7" s="1"/>
  <c r="L1353" i="7" s="1"/>
  <c r="G1353" i="7"/>
  <c r="H1353" i="7" s="1"/>
  <c r="B1353" i="7"/>
  <c r="M1352" i="7"/>
  <c r="J1352" i="7"/>
  <c r="K1352" i="7" s="1"/>
  <c r="L1352" i="7" s="1"/>
  <c r="G1352" i="7"/>
  <c r="H1352" i="7" s="1"/>
  <c r="B1352" i="7"/>
  <c r="M1351" i="7"/>
  <c r="J1351" i="7"/>
  <c r="K1351" i="7" s="1"/>
  <c r="L1351" i="7" s="1"/>
  <c r="G1351" i="7"/>
  <c r="H1351" i="7" s="1"/>
  <c r="B1351" i="7"/>
  <c r="M1350" i="7"/>
  <c r="J1350" i="7"/>
  <c r="K1350" i="7" s="1"/>
  <c r="L1350" i="7" s="1"/>
  <c r="G1350" i="7"/>
  <c r="H1350" i="7" s="1"/>
  <c r="B1350" i="7"/>
  <c r="M1349" i="7"/>
  <c r="J1349" i="7"/>
  <c r="K1349" i="7" s="1"/>
  <c r="L1349" i="7" s="1"/>
  <c r="G1349" i="7"/>
  <c r="H1349" i="7" s="1"/>
  <c r="B1349" i="7"/>
  <c r="M1348" i="7"/>
  <c r="J1348" i="7"/>
  <c r="K1348" i="7" s="1"/>
  <c r="L1348" i="7" s="1"/>
  <c r="G1348" i="7"/>
  <c r="H1348" i="7" s="1"/>
  <c r="B1348" i="7"/>
  <c r="M1347" i="7"/>
  <c r="J1347" i="7"/>
  <c r="K1347" i="7" s="1"/>
  <c r="L1347" i="7" s="1"/>
  <c r="G1347" i="7"/>
  <c r="H1347" i="7" s="1"/>
  <c r="B1347" i="7"/>
  <c r="M1346" i="7"/>
  <c r="J1346" i="7"/>
  <c r="K1346" i="7" s="1"/>
  <c r="L1346" i="7" s="1"/>
  <c r="G1346" i="7"/>
  <c r="H1346" i="7" s="1"/>
  <c r="B1346" i="7"/>
  <c r="M1345" i="7"/>
  <c r="J1345" i="7"/>
  <c r="K1345" i="7" s="1"/>
  <c r="L1345" i="7" s="1"/>
  <c r="G1345" i="7"/>
  <c r="H1345" i="7" s="1"/>
  <c r="B1345" i="7"/>
  <c r="M1344" i="7"/>
  <c r="J1344" i="7"/>
  <c r="K1344" i="7" s="1"/>
  <c r="L1344" i="7" s="1"/>
  <c r="G1344" i="7"/>
  <c r="H1344" i="7" s="1"/>
  <c r="B1344" i="7"/>
  <c r="M1343" i="7"/>
  <c r="J1343" i="7"/>
  <c r="K1343" i="7" s="1"/>
  <c r="L1343" i="7" s="1"/>
  <c r="G1343" i="7"/>
  <c r="H1343" i="7" s="1"/>
  <c r="B1343" i="7"/>
  <c r="M1342" i="7"/>
  <c r="J1342" i="7"/>
  <c r="K1342" i="7" s="1"/>
  <c r="L1342" i="7" s="1"/>
  <c r="G1342" i="7"/>
  <c r="H1342" i="7" s="1"/>
  <c r="B1342" i="7"/>
  <c r="M1341" i="7"/>
  <c r="J1341" i="7"/>
  <c r="K1341" i="7" s="1"/>
  <c r="L1341" i="7" s="1"/>
  <c r="G1341" i="7"/>
  <c r="H1341" i="7" s="1"/>
  <c r="B1341" i="7"/>
  <c r="M1340" i="7"/>
  <c r="J1340" i="7"/>
  <c r="K1340" i="7" s="1"/>
  <c r="L1340" i="7" s="1"/>
  <c r="G1340" i="7"/>
  <c r="H1340" i="7" s="1"/>
  <c r="B1340" i="7"/>
  <c r="M1339" i="7"/>
  <c r="J1339" i="7"/>
  <c r="K1339" i="7" s="1"/>
  <c r="L1339" i="7" s="1"/>
  <c r="G1339" i="7"/>
  <c r="H1339" i="7" s="1"/>
  <c r="B1339" i="7"/>
  <c r="M1338" i="7"/>
  <c r="J1338" i="7"/>
  <c r="K1338" i="7" s="1"/>
  <c r="L1338" i="7" s="1"/>
  <c r="G1338" i="7"/>
  <c r="H1338" i="7" s="1"/>
  <c r="B1338" i="7"/>
  <c r="M1337" i="7"/>
  <c r="J1337" i="7"/>
  <c r="K1337" i="7" s="1"/>
  <c r="L1337" i="7" s="1"/>
  <c r="G1337" i="7"/>
  <c r="H1337" i="7" s="1"/>
  <c r="B1337" i="7"/>
  <c r="M1336" i="7"/>
  <c r="J1336" i="7"/>
  <c r="K1336" i="7" s="1"/>
  <c r="L1336" i="7" s="1"/>
  <c r="G1336" i="7"/>
  <c r="H1336" i="7" s="1"/>
  <c r="B1336" i="7"/>
  <c r="M1335" i="7"/>
  <c r="J1335" i="7"/>
  <c r="K1335" i="7" s="1"/>
  <c r="L1335" i="7" s="1"/>
  <c r="G1335" i="7"/>
  <c r="H1335" i="7" s="1"/>
  <c r="B1335" i="7"/>
  <c r="M1334" i="7"/>
  <c r="J1334" i="7"/>
  <c r="K1334" i="7" s="1"/>
  <c r="L1334" i="7" s="1"/>
  <c r="G1334" i="7"/>
  <c r="H1334" i="7" s="1"/>
  <c r="B1334" i="7"/>
  <c r="M1333" i="7"/>
  <c r="J1333" i="7"/>
  <c r="K1333" i="7" s="1"/>
  <c r="L1333" i="7" s="1"/>
  <c r="G1333" i="7"/>
  <c r="H1333" i="7" s="1"/>
  <c r="B1333" i="7"/>
  <c r="M1332" i="7"/>
  <c r="J1332" i="7"/>
  <c r="K1332" i="7" s="1"/>
  <c r="L1332" i="7" s="1"/>
  <c r="G1332" i="7"/>
  <c r="H1332" i="7" s="1"/>
  <c r="B1332" i="7"/>
  <c r="M1331" i="7"/>
  <c r="J1331" i="7"/>
  <c r="K1331" i="7" s="1"/>
  <c r="L1331" i="7" s="1"/>
  <c r="G1331" i="7"/>
  <c r="H1331" i="7" s="1"/>
  <c r="B1331" i="7"/>
  <c r="M1330" i="7"/>
  <c r="J1330" i="7"/>
  <c r="K1330" i="7" s="1"/>
  <c r="L1330" i="7" s="1"/>
  <c r="G1330" i="7"/>
  <c r="H1330" i="7" s="1"/>
  <c r="B1330" i="7"/>
  <c r="M1329" i="7"/>
  <c r="J1329" i="7"/>
  <c r="K1329" i="7" s="1"/>
  <c r="L1329" i="7" s="1"/>
  <c r="G1329" i="7"/>
  <c r="H1329" i="7" s="1"/>
  <c r="B1329" i="7"/>
  <c r="M1328" i="7"/>
  <c r="J1328" i="7"/>
  <c r="K1328" i="7" s="1"/>
  <c r="L1328" i="7" s="1"/>
  <c r="G1328" i="7"/>
  <c r="H1328" i="7" s="1"/>
  <c r="B1328" i="7"/>
  <c r="M1327" i="7"/>
  <c r="J1327" i="7"/>
  <c r="K1327" i="7" s="1"/>
  <c r="L1327" i="7" s="1"/>
  <c r="G1327" i="7"/>
  <c r="H1327" i="7" s="1"/>
  <c r="B1327" i="7"/>
  <c r="M1326" i="7"/>
  <c r="J1326" i="7"/>
  <c r="K1326" i="7" s="1"/>
  <c r="L1326" i="7" s="1"/>
  <c r="G1326" i="7"/>
  <c r="H1326" i="7" s="1"/>
  <c r="B1326" i="7"/>
  <c r="M1325" i="7"/>
  <c r="J1325" i="7"/>
  <c r="K1325" i="7" s="1"/>
  <c r="L1325" i="7" s="1"/>
  <c r="G1325" i="7"/>
  <c r="H1325" i="7" s="1"/>
  <c r="B1325" i="7"/>
  <c r="M1324" i="7"/>
  <c r="J1324" i="7"/>
  <c r="K1324" i="7" s="1"/>
  <c r="L1324" i="7" s="1"/>
  <c r="G1324" i="7"/>
  <c r="H1324" i="7" s="1"/>
  <c r="B1324" i="7"/>
  <c r="M1323" i="7"/>
  <c r="J1323" i="7"/>
  <c r="K1323" i="7" s="1"/>
  <c r="L1323" i="7" s="1"/>
  <c r="G1323" i="7"/>
  <c r="H1323" i="7" s="1"/>
  <c r="B1323" i="7"/>
  <c r="M1322" i="7"/>
  <c r="J1322" i="7"/>
  <c r="K1322" i="7" s="1"/>
  <c r="L1322" i="7" s="1"/>
  <c r="G1322" i="7"/>
  <c r="H1322" i="7" s="1"/>
  <c r="B1322" i="7"/>
  <c r="M1321" i="7"/>
  <c r="J1321" i="7"/>
  <c r="K1321" i="7" s="1"/>
  <c r="L1321" i="7" s="1"/>
  <c r="G1321" i="7"/>
  <c r="H1321" i="7" s="1"/>
  <c r="B1321" i="7"/>
  <c r="M1320" i="7"/>
  <c r="J1320" i="7"/>
  <c r="K1320" i="7" s="1"/>
  <c r="L1320" i="7" s="1"/>
  <c r="G1320" i="7"/>
  <c r="H1320" i="7" s="1"/>
  <c r="B1320" i="7"/>
  <c r="M1319" i="7"/>
  <c r="J1319" i="7"/>
  <c r="K1319" i="7" s="1"/>
  <c r="L1319" i="7" s="1"/>
  <c r="G1319" i="7"/>
  <c r="H1319" i="7" s="1"/>
  <c r="B1319" i="7"/>
  <c r="M1318" i="7"/>
  <c r="J1318" i="7"/>
  <c r="K1318" i="7" s="1"/>
  <c r="L1318" i="7" s="1"/>
  <c r="G1318" i="7"/>
  <c r="H1318" i="7" s="1"/>
  <c r="B1318" i="7"/>
  <c r="M1317" i="7"/>
  <c r="J1317" i="7"/>
  <c r="K1317" i="7" s="1"/>
  <c r="L1317" i="7" s="1"/>
  <c r="G1317" i="7"/>
  <c r="H1317" i="7" s="1"/>
  <c r="B1317" i="7"/>
  <c r="M1316" i="7"/>
  <c r="J1316" i="7"/>
  <c r="K1316" i="7" s="1"/>
  <c r="L1316" i="7" s="1"/>
  <c r="G1316" i="7"/>
  <c r="H1316" i="7" s="1"/>
  <c r="B1316" i="7"/>
  <c r="M1315" i="7"/>
  <c r="J1315" i="7"/>
  <c r="K1315" i="7" s="1"/>
  <c r="L1315" i="7" s="1"/>
  <c r="G1315" i="7"/>
  <c r="H1315" i="7" s="1"/>
  <c r="B1315" i="7"/>
  <c r="M1314" i="7"/>
  <c r="J1314" i="7"/>
  <c r="K1314" i="7" s="1"/>
  <c r="L1314" i="7" s="1"/>
  <c r="G1314" i="7"/>
  <c r="H1314" i="7" s="1"/>
  <c r="B1314" i="7"/>
  <c r="M1313" i="7"/>
  <c r="J1313" i="7"/>
  <c r="K1313" i="7" s="1"/>
  <c r="L1313" i="7" s="1"/>
  <c r="G1313" i="7"/>
  <c r="H1313" i="7" s="1"/>
  <c r="B1313" i="7"/>
  <c r="M1312" i="7"/>
  <c r="J1312" i="7"/>
  <c r="K1312" i="7" s="1"/>
  <c r="L1312" i="7" s="1"/>
  <c r="G1312" i="7"/>
  <c r="H1312" i="7" s="1"/>
  <c r="B1312" i="7"/>
  <c r="M1311" i="7"/>
  <c r="J1311" i="7"/>
  <c r="K1311" i="7" s="1"/>
  <c r="L1311" i="7" s="1"/>
  <c r="G1311" i="7"/>
  <c r="H1311" i="7" s="1"/>
  <c r="B1311" i="7"/>
  <c r="M1310" i="7"/>
  <c r="J1310" i="7"/>
  <c r="K1310" i="7" s="1"/>
  <c r="L1310" i="7" s="1"/>
  <c r="G1310" i="7"/>
  <c r="H1310" i="7" s="1"/>
  <c r="B1310" i="7"/>
  <c r="M1309" i="7"/>
  <c r="J1309" i="7"/>
  <c r="K1309" i="7" s="1"/>
  <c r="L1309" i="7" s="1"/>
  <c r="G1309" i="7"/>
  <c r="H1309" i="7" s="1"/>
  <c r="B1309" i="7"/>
  <c r="M1308" i="7"/>
  <c r="J1308" i="7"/>
  <c r="K1308" i="7" s="1"/>
  <c r="L1308" i="7" s="1"/>
  <c r="G1308" i="7"/>
  <c r="H1308" i="7" s="1"/>
  <c r="B1308" i="7"/>
  <c r="M1307" i="7"/>
  <c r="J1307" i="7"/>
  <c r="K1307" i="7" s="1"/>
  <c r="L1307" i="7" s="1"/>
  <c r="G1307" i="7"/>
  <c r="H1307" i="7" s="1"/>
  <c r="B1307" i="7"/>
  <c r="M1306" i="7"/>
  <c r="J1306" i="7"/>
  <c r="K1306" i="7" s="1"/>
  <c r="L1306" i="7" s="1"/>
  <c r="G1306" i="7"/>
  <c r="H1306" i="7" s="1"/>
  <c r="B1306" i="7"/>
  <c r="M1305" i="7"/>
  <c r="J1305" i="7"/>
  <c r="K1305" i="7" s="1"/>
  <c r="L1305" i="7" s="1"/>
  <c r="G1305" i="7"/>
  <c r="H1305" i="7" s="1"/>
  <c r="B1305" i="7"/>
  <c r="M1304" i="7"/>
  <c r="J1304" i="7"/>
  <c r="K1304" i="7" s="1"/>
  <c r="L1304" i="7" s="1"/>
  <c r="G1304" i="7"/>
  <c r="H1304" i="7" s="1"/>
  <c r="B1304" i="7"/>
  <c r="M1303" i="7"/>
  <c r="J1303" i="7"/>
  <c r="K1303" i="7" s="1"/>
  <c r="L1303" i="7" s="1"/>
  <c r="G1303" i="7"/>
  <c r="H1303" i="7" s="1"/>
  <c r="B1303" i="7"/>
  <c r="M1302" i="7"/>
  <c r="J1302" i="7"/>
  <c r="K1302" i="7" s="1"/>
  <c r="L1302" i="7" s="1"/>
  <c r="G1302" i="7"/>
  <c r="H1302" i="7" s="1"/>
  <c r="B1302" i="7"/>
  <c r="M1301" i="7"/>
  <c r="J1301" i="7"/>
  <c r="K1301" i="7" s="1"/>
  <c r="L1301" i="7" s="1"/>
  <c r="G1301" i="7"/>
  <c r="H1301" i="7" s="1"/>
  <c r="B1301" i="7"/>
  <c r="M1300" i="7"/>
  <c r="J1300" i="7"/>
  <c r="K1300" i="7" s="1"/>
  <c r="L1300" i="7" s="1"/>
  <c r="G1300" i="7"/>
  <c r="H1300" i="7" s="1"/>
  <c r="B1300" i="7"/>
  <c r="M1299" i="7"/>
  <c r="J1299" i="7"/>
  <c r="K1299" i="7" s="1"/>
  <c r="L1299" i="7" s="1"/>
  <c r="G1299" i="7"/>
  <c r="H1299" i="7" s="1"/>
  <c r="B1299" i="7"/>
  <c r="M1298" i="7"/>
  <c r="J1298" i="7"/>
  <c r="K1298" i="7" s="1"/>
  <c r="L1298" i="7" s="1"/>
  <c r="G1298" i="7"/>
  <c r="H1298" i="7" s="1"/>
  <c r="B1298" i="7"/>
  <c r="M1297" i="7"/>
  <c r="J1297" i="7"/>
  <c r="K1297" i="7" s="1"/>
  <c r="L1297" i="7" s="1"/>
  <c r="G1297" i="7"/>
  <c r="H1297" i="7" s="1"/>
  <c r="B1297" i="7"/>
  <c r="M1296" i="7"/>
  <c r="J1296" i="7"/>
  <c r="K1296" i="7" s="1"/>
  <c r="L1296" i="7" s="1"/>
  <c r="G1296" i="7"/>
  <c r="H1296" i="7" s="1"/>
  <c r="B1296" i="7"/>
  <c r="M1295" i="7"/>
  <c r="J1295" i="7"/>
  <c r="K1295" i="7" s="1"/>
  <c r="L1295" i="7" s="1"/>
  <c r="G1295" i="7"/>
  <c r="H1295" i="7" s="1"/>
  <c r="B1295" i="7"/>
  <c r="M1294" i="7"/>
  <c r="J1294" i="7"/>
  <c r="K1294" i="7" s="1"/>
  <c r="L1294" i="7" s="1"/>
  <c r="G1294" i="7"/>
  <c r="H1294" i="7" s="1"/>
  <c r="B1294" i="7"/>
  <c r="M1293" i="7"/>
  <c r="J1293" i="7"/>
  <c r="K1293" i="7" s="1"/>
  <c r="L1293" i="7" s="1"/>
  <c r="G1293" i="7"/>
  <c r="H1293" i="7" s="1"/>
  <c r="B1293" i="7"/>
  <c r="M1292" i="7"/>
  <c r="J1292" i="7"/>
  <c r="K1292" i="7" s="1"/>
  <c r="L1292" i="7" s="1"/>
  <c r="G1292" i="7"/>
  <c r="H1292" i="7" s="1"/>
  <c r="B1292" i="7"/>
  <c r="M1291" i="7"/>
  <c r="J1291" i="7"/>
  <c r="K1291" i="7" s="1"/>
  <c r="L1291" i="7" s="1"/>
  <c r="G1291" i="7"/>
  <c r="H1291" i="7" s="1"/>
  <c r="B1291" i="7"/>
  <c r="M1290" i="7"/>
  <c r="J1290" i="7"/>
  <c r="K1290" i="7" s="1"/>
  <c r="L1290" i="7" s="1"/>
  <c r="G1290" i="7"/>
  <c r="H1290" i="7" s="1"/>
  <c r="B1290" i="7"/>
  <c r="M1289" i="7"/>
  <c r="J1289" i="7"/>
  <c r="K1289" i="7" s="1"/>
  <c r="L1289" i="7" s="1"/>
  <c r="G1289" i="7"/>
  <c r="H1289" i="7" s="1"/>
  <c r="B1289" i="7"/>
  <c r="M1288" i="7"/>
  <c r="J1288" i="7"/>
  <c r="K1288" i="7" s="1"/>
  <c r="L1288" i="7" s="1"/>
  <c r="G1288" i="7"/>
  <c r="H1288" i="7" s="1"/>
  <c r="B1288" i="7"/>
  <c r="M1287" i="7"/>
  <c r="J1287" i="7"/>
  <c r="K1287" i="7" s="1"/>
  <c r="L1287" i="7" s="1"/>
  <c r="G1287" i="7"/>
  <c r="H1287" i="7" s="1"/>
  <c r="B1287" i="7"/>
  <c r="M1286" i="7"/>
  <c r="J1286" i="7"/>
  <c r="K1286" i="7" s="1"/>
  <c r="L1286" i="7" s="1"/>
  <c r="G1286" i="7"/>
  <c r="H1286" i="7" s="1"/>
  <c r="B1286" i="7"/>
  <c r="M1285" i="7"/>
  <c r="J1285" i="7"/>
  <c r="K1285" i="7" s="1"/>
  <c r="L1285" i="7" s="1"/>
  <c r="G1285" i="7"/>
  <c r="H1285" i="7" s="1"/>
  <c r="B1285" i="7"/>
  <c r="M1284" i="7"/>
  <c r="J1284" i="7"/>
  <c r="K1284" i="7" s="1"/>
  <c r="L1284" i="7" s="1"/>
  <c r="G1284" i="7"/>
  <c r="H1284" i="7" s="1"/>
  <c r="B1284" i="7"/>
  <c r="M1283" i="7"/>
  <c r="J1283" i="7"/>
  <c r="K1283" i="7" s="1"/>
  <c r="L1283" i="7" s="1"/>
  <c r="G1283" i="7"/>
  <c r="H1283" i="7" s="1"/>
  <c r="B1283" i="7"/>
  <c r="M1282" i="7"/>
  <c r="J1282" i="7"/>
  <c r="K1282" i="7" s="1"/>
  <c r="L1282" i="7" s="1"/>
  <c r="G1282" i="7"/>
  <c r="H1282" i="7" s="1"/>
  <c r="B1282" i="7"/>
  <c r="M1281" i="7"/>
  <c r="J1281" i="7"/>
  <c r="K1281" i="7" s="1"/>
  <c r="L1281" i="7" s="1"/>
  <c r="G1281" i="7"/>
  <c r="H1281" i="7" s="1"/>
  <c r="B1281" i="7"/>
  <c r="M1280" i="7"/>
  <c r="J1280" i="7"/>
  <c r="K1280" i="7" s="1"/>
  <c r="L1280" i="7" s="1"/>
  <c r="G1280" i="7"/>
  <c r="H1280" i="7" s="1"/>
  <c r="B1280" i="7"/>
  <c r="M1279" i="7"/>
  <c r="J1279" i="7"/>
  <c r="K1279" i="7" s="1"/>
  <c r="L1279" i="7" s="1"/>
  <c r="G1279" i="7"/>
  <c r="H1279" i="7" s="1"/>
  <c r="B1279" i="7"/>
  <c r="M1278" i="7"/>
  <c r="J1278" i="7"/>
  <c r="K1278" i="7" s="1"/>
  <c r="L1278" i="7" s="1"/>
  <c r="G1278" i="7"/>
  <c r="H1278" i="7" s="1"/>
  <c r="B1278" i="7"/>
  <c r="M1277" i="7"/>
  <c r="J1277" i="7"/>
  <c r="K1277" i="7" s="1"/>
  <c r="L1277" i="7" s="1"/>
  <c r="G1277" i="7"/>
  <c r="H1277" i="7" s="1"/>
  <c r="B1277" i="7"/>
  <c r="M1276" i="7"/>
  <c r="J1276" i="7"/>
  <c r="K1276" i="7" s="1"/>
  <c r="L1276" i="7" s="1"/>
  <c r="G1276" i="7"/>
  <c r="H1276" i="7" s="1"/>
  <c r="B1276" i="7"/>
  <c r="M1275" i="7"/>
  <c r="J1275" i="7"/>
  <c r="K1275" i="7" s="1"/>
  <c r="L1275" i="7" s="1"/>
  <c r="G1275" i="7"/>
  <c r="H1275" i="7" s="1"/>
  <c r="B1275" i="7"/>
  <c r="M1274" i="7"/>
  <c r="J1274" i="7"/>
  <c r="K1274" i="7" s="1"/>
  <c r="L1274" i="7" s="1"/>
  <c r="G1274" i="7"/>
  <c r="H1274" i="7" s="1"/>
  <c r="B1274" i="7"/>
  <c r="M1273" i="7"/>
  <c r="J1273" i="7"/>
  <c r="K1273" i="7" s="1"/>
  <c r="L1273" i="7" s="1"/>
  <c r="G1273" i="7"/>
  <c r="H1273" i="7" s="1"/>
  <c r="B1273" i="7"/>
  <c r="M1272" i="7"/>
  <c r="J1272" i="7"/>
  <c r="K1272" i="7" s="1"/>
  <c r="L1272" i="7" s="1"/>
  <c r="G1272" i="7"/>
  <c r="H1272" i="7" s="1"/>
  <c r="B1272" i="7"/>
  <c r="M1271" i="7"/>
  <c r="J1271" i="7"/>
  <c r="K1271" i="7" s="1"/>
  <c r="L1271" i="7" s="1"/>
  <c r="G1271" i="7"/>
  <c r="H1271" i="7" s="1"/>
  <c r="B1271" i="7"/>
  <c r="M1270" i="7"/>
  <c r="J1270" i="7"/>
  <c r="K1270" i="7" s="1"/>
  <c r="L1270" i="7" s="1"/>
  <c r="G1270" i="7"/>
  <c r="H1270" i="7" s="1"/>
  <c r="B1270" i="7"/>
  <c r="M1269" i="7"/>
  <c r="J1269" i="7"/>
  <c r="K1269" i="7" s="1"/>
  <c r="L1269" i="7" s="1"/>
  <c r="G1269" i="7"/>
  <c r="H1269" i="7" s="1"/>
  <c r="B1269" i="7"/>
  <c r="M1268" i="7"/>
  <c r="J1268" i="7"/>
  <c r="K1268" i="7" s="1"/>
  <c r="L1268" i="7" s="1"/>
  <c r="G1268" i="7"/>
  <c r="H1268" i="7" s="1"/>
  <c r="B1268" i="7"/>
  <c r="M1267" i="7"/>
  <c r="J1267" i="7"/>
  <c r="K1267" i="7" s="1"/>
  <c r="L1267" i="7" s="1"/>
  <c r="G1267" i="7"/>
  <c r="H1267" i="7" s="1"/>
  <c r="B1267" i="7"/>
  <c r="M1266" i="7"/>
  <c r="J1266" i="7"/>
  <c r="K1266" i="7" s="1"/>
  <c r="L1266" i="7" s="1"/>
  <c r="G1266" i="7"/>
  <c r="H1266" i="7" s="1"/>
  <c r="B1266" i="7"/>
  <c r="M1265" i="7"/>
  <c r="J1265" i="7"/>
  <c r="K1265" i="7" s="1"/>
  <c r="L1265" i="7" s="1"/>
  <c r="G1265" i="7"/>
  <c r="H1265" i="7" s="1"/>
  <c r="B1265" i="7"/>
  <c r="M1264" i="7"/>
  <c r="J1264" i="7"/>
  <c r="K1264" i="7" s="1"/>
  <c r="L1264" i="7" s="1"/>
  <c r="G1264" i="7"/>
  <c r="H1264" i="7" s="1"/>
  <c r="B1264" i="7"/>
  <c r="M1263" i="7"/>
  <c r="J1263" i="7"/>
  <c r="K1263" i="7" s="1"/>
  <c r="L1263" i="7" s="1"/>
  <c r="G1263" i="7"/>
  <c r="H1263" i="7" s="1"/>
  <c r="B1263" i="7"/>
  <c r="M1262" i="7"/>
  <c r="J1262" i="7"/>
  <c r="K1262" i="7" s="1"/>
  <c r="L1262" i="7" s="1"/>
  <c r="G1262" i="7"/>
  <c r="H1262" i="7" s="1"/>
  <c r="B1262" i="7"/>
  <c r="M1261" i="7"/>
  <c r="J1261" i="7"/>
  <c r="K1261" i="7" s="1"/>
  <c r="L1261" i="7" s="1"/>
  <c r="G1261" i="7"/>
  <c r="H1261" i="7" s="1"/>
  <c r="B1261" i="7"/>
  <c r="M1260" i="7"/>
  <c r="J1260" i="7"/>
  <c r="K1260" i="7" s="1"/>
  <c r="L1260" i="7" s="1"/>
  <c r="G1260" i="7"/>
  <c r="H1260" i="7" s="1"/>
  <c r="B1260" i="7"/>
  <c r="M1259" i="7"/>
  <c r="J1259" i="7"/>
  <c r="K1259" i="7" s="1"/>
  <c r="L1259" i="7" s="1"/>
  <c r="G1259" i="7"/>
  <c r="H1259" i="7" s="1"/>
  <c r="B1259" i="7"/>
  <c r="M1258" i="7"/>
  <c r="J1258" i="7"/>
  <c r="K1258" i="7" s="1"/>
  <c r="L1258" i="7" s="1"/>
  <c r="G1258" i="7"/>
  <c r="H1258" i="7" s="1"/>
  <c r="B1258" i="7"/>
  <c r="M1257" i="7"/>
  <c r="J1257" i="7"/>
  <c r="K1257" i="7" s="1"/>
  <c r="L1257" i="7" s="1"/>
  <c r="G1257" i="7"/>
  <c r="H1257" i="7" s="1"/>
  <c r="B1257" i="7"/>
  <c r="M1256" i="7"/>
  <c r="J1256" i="7"/>
  <c r="K1256" i="7" s="1"/>
  <c r="L1256" i="7" s="1"/>
  <c r="G1256" i="7"/>
  <c r="H1256" i="7" s="1"/>
  <c r="B1256" i="7"/>
  <c r="M1255" i="7"/>
  <c r="J1255" i="7"/>
  <c r="K1255" i="7" s="1"/>
  <c r="L1255" i="7" s="1"/>
  <c r="G1255" i="7"/>
  <c r="H1255" i="7" s="1"/>
  <c r="B1255" i="7"/>
  <c r="M1254" i="7"/>
  <c r="J1254" i="7"/>
  <c r="K1254" i="7" s="1"/>
  <c r="L1254" i="7" s="1"/>
  <c r="G1254" i="7"/>
  <c r="H1254" i="7" s="1"/>
  <c r="B1254" i="7"/>
  <c r="M1253" i="7"/>
  <c r="J1253" i="7"/>
  <c r="K1253" i="7" s="1"/>
  <c r="L1253" i="7" s="1"/>
  <c r="G1253" i="7"/>
  <c r="H1253" i="7" s="1"/>
  <c r="B1253" i="7"/>
  <c r="M1252" i="7"/>
  <c r="J1252" i="7"/>
  <c r="K1252" i="7" s="1"/>
  <c r="L1252" i="7" s="1"/>
  <c r="G1252" i="7"/>
  <c r="H1252" i="7" s="1"/>
  <c r="B1252" i="7"/>
  <c r="M1251" i="7"/>
  <c r="J1251" i="7"/>
  <c r="K1251" i="7" s="1"/>
  <c r="L1251" i="7" s="1"/>
  <c r="G1251" i="7"/>
  <c r="H1251" i="7" s="1"/>
  <c r="B1251" i="7"/>
  <c r="M1250" i="7"/>
  <c r="J1250" i="7"/>
  <c r="K1250" i="7" s="1"/>
  <c r="L1250" i="7" s="1"/>
  <c r="G1250" i="7"/>
  <c r="H1250" i="7" s="1"/>
  <c r="B1250" i="7"/>
  <c r="M1249" i="7"/>
  <c r="J1249" i="7"/>
  <c r="K1249" i="7" s="1"/>
  <c r="L1249" i="7" s="1"/>
  <c r="G1249" i="7"/>
  <c r="H1249" i="7" s="1"/>
  <c r="B1249" i="7"/>
  <c r="M1248" i="7"/>
  <c r="J1248" i="7"/>
  <c r="K1248" i="7" s="1"/>
  <c r="L1248" i="7" s="1"/>
  <c r="G1248" i="7"/>
  <c r="H1248" i="7" s="1"/>
  <c r="B1248" i="7"/>
  <c r="M1247" i="7"/>
  <c r="J1247" i="7"/>
  <c r="K1247" i="7" s="1"/>
  <c r="L1247" i="7" s="1"/>
  <c r="G1247" i="7"/>
  <c r="H1247" i="7" s="1"/>
  <c r="B1247" i="7"/>
  <c r="M1246" i="7"/>
  <c r="J1246" i="7"/>
  <c r="K1246" i="7" s="1"/>
  <c r="L1246" i="7" s="1"/>
  <c r="G1246" i="7"/>
  <c r="H1246" i="7" s="1"/>
  <c r="B1246" i="7"/>
  <c r="M1245" i="7"/>
  <c r="J1245" i="7"/>
  <c r="K1245" i="7" s="1"/>
  <c r="L1245" i="7" s="1"/>
  <c r="G1245" i="7"/>
  <c r="H1245" i="7" s="1"/>
  <c r="B1245" i="7"/>
  <c r="M1244" i="7"/>
  <c r="J1244" i="7"/>
  <c r="K1244" i="7" s="1"/>
  <c r="L1244" i="7" s="1"/>
  <c r="G1244" i="7"/>
  <c r="H1244" i="7" s="1"/>
  <c r="B1244" i="7"/>
  <c r="M1243" i="7"/>
  <c r="J1243" i="7"/>
  <c r="K1243" i="7" s="1"/>
  <c r="L1243" i="7" s="1"/>
  <c r="G1243" i="7"/>
  <c r="H1243" i="7" s="1"/>
  <c r="B1243" i="7"/>
  <c r="M1242" i="7"/>
  <c r="J1242" i="7"/>
  <c r="K1242" i="7" s="1"/>
  <c r="L1242" i="7" s="1"/>
  <c r="G1242" i="7"/>
  <c r="H1242" i="7" s="1"/>
  <c r="B1242" i="7"/>
  <c r="M1241" i="7"/>
  <c r="J1241" i="7"/>
  <c r="K1241" i="7" s="1"/>
  <c r="L1241" i="7" s="1"/>
  <c r="G1241" i="7"/>
  <c r="H1241" i="7" s="1"/>
  <c r="B1241" i="7"/>
  <c r="M1240" i="7"/>
  <c r="J1240" i="7"/>
  <c r="K1240" i="7" s="1"/>
  <c r="L1240" i="7" s="1"/>
  <c r="G1240" i="7"/>
  <c r="H1240" i="7" s="1"/>
  <c r="B1240" i="7"/>
  <c r="M1239" i="7"/>
  <c r="J1239" i="7"/>
  <c r="K1239" i="7" s="1"/>
  <c r="L1239" i="7" s="1"/>
  <c r="G1239" i="7"/>
  <c r="H1239" i="7" s="1"/>
  <c r="B1239" i="7"/>
  <c r="M1238" i="7"/>
  <c r="J1238" i="7"/>
  <c r="K1238" i="7" s="1"/>
  <c r="L1238" i="7" s="1"/>
  <c r="G1238" i="7"/>
  <c r="H1238" i="7" s="1"/>
  <c r="B1238" i="7"/>
  <c r="M1237" i="7"/>
  <c r="J1237" i="7"/>
  <c r="K1237" i="7" s="1"/>
  <c r="L1237" i="7" s="1"/>
  <c r="G1237" i="7"/>
  <c r="H1237" i="7" s="1"/>
  <c r="B1237" i="7"/>
  <c r="M1236" i="7"/>
  <c r="J1236" i="7"/>
  <c r="K1236" i="7" s="1"/>
  <c r="L1236" i="7" s="1"/>
  <c r="G1236" i="7"/>
  <c r="H1236" i="7" s="1"/>
  <c r="B1236" i="7"/>
  <c r="M1235" i="7"/>
  <c r="J1235" i="7"/>
  <c r="K1235" i="7" s="1"/>
  <c r="L1235" i="7" s="1"/>
  <c r="G1235" i="7"/>
  <c r="H1235" i="7" s="1"/>
  <c r="B1235" i="7"/>
  <c r="M1234" i="7"/>
  <c r="J1234" i="7"/>
  <c r="K1234" i="7" s="1"/>
  <c r="L1234" i="7" s="1"/>
  <c r="G1234" i="7"/>
  <c r="H1234" i="7" s="1"/>
  <c r="B1234" i="7"/>
  <c r="M1233" i="7"/>
  <c r="J1233" i="7"/>
  <c r="K1233" i="7" s="1"/>
  <c r="L1233" i="7" s="1"/>
  <c r="G1233" i="7"/>
  <c r="H1233" i="7" s="1"/>
  <c r="B1233" i="7"/>
  <c r="M1232" i="7"/>
  <c r="J1232" i="7"/>
  <c r="K1232" i="7" s="1"/>
  <c r="L1232" i="7" s="1"/>
  <c r="G1232" i="7"/>
  <c r="H1232" i="7" s="1"/>
  <c r="B1232" i="7"/>
  <c r="M1231" i="7"/>
  <c r="J1231" i="7"/>
  <c r="K1231" i="7" s="1"/>
  <c r="L1231" i="7" s="1"/>
  <c r="G1231" i="7"/>
  <c r="H1231" i="7" s="1"/>
  <c r="B1231" i="7"/>
  <c r="M1230" i="7"/>
  <c r="J1230" i="7"/>
  <c r="K1230" i="7" s="1"/>
  <c r="L1230" i="7" s="1"/>
  <c r="G1230" i="7"/>
  <c r="H1230" i="7" s="1"/>
  <c r="B1230" i="7"/>
  <c r="M1229" i="7"/>
  <c r="J1229" i="7"/>
  <c r="K1229" i="7" s="1"/>
  <c r="L1229" i="7" s="1"/>
  <c r="G1229" i="7"/>
  <c r="H1229" i="7" s="1"/>
  <c r="B1229" i="7"/>
  <c r="M1228" i="7"/>
  <c r="J1228" i="7"/>
  <c r="K1228" i="7" s="1"/>
  <c r="L1228" i="7" s="1"/>
  <c r="G1228" i="7"/>
  <c r="H1228" i="7" s="1"/>
  <c r="B1228" i="7"/>
  <c r="M1227" i="7"/>
  <c r="J1227" i="7"/>
  <c r="K1227" i="7" s="1"/>
  <c r="L1227" i="7" s="1"/>
  <c r="G1227" i="7"/>
  <c r="H1227" i="7" s="1"/>
  <c r="B1227" i="7"/>
  <c r="M1226" i="7"/>
  <c r="J1226" i="7"/>
  <c r="K1226" i="7" s="1"/>
  <c r="L1226" i="7" s="1"/>
  <c r="G1226" i="7"/>
  <c r="H1226" i="7" s="1"/>
  <c r="B1226" i="7"/>
  <c r="M1225" i="7"/>
  <c r="J1225" i="7"/>
  <c r="K1225" i="7" s="1"/>
  <c r="L1225" i="7" s="1"/>
  <c r="G1225" i="7"/>
  <c r="H1225" i="7" s="1"/>
  <c r="B1225" i="7"/>
  <c r="M1224" i="7"/>
  <c r="J1224" i="7"/>
  <c r="K1224" i="7" s="1"/>
  <c r="L1224" i="7" s="1"/>
  <c r="G1224" i="7"/>
  <c r="H1224" i="7" s="1"/>
  <c r="B1224" i="7"/>
  <c r="M1223" i="7"/>
  <c r="J1223" i="7"/>
  <c r="K1223" i="7" s="1"/>
  <c r="L1223" i="7" s="1"/>
  <c r="G1223" i="7"/>
  <c r="H1223" i="7" s="1"/>
  <c r="B1223" i="7"/>
  <c r="M1222" i="7"/>
  <c r="J1222" i="7"/>
  <c r="K1222" i="7" s="1"/>
  <c r="L1222" i="7" s="1"/>
  <c r="G1222" i="7"/>
  <c r="H1222" i="7" s="1"/>
  <c r="B1222" i="7"/>
  <c r="M1221" i="7"/>
  <c r="J1221" i="7"/>
  <c r="K1221" i="7" s="1"/>
  <c r="L1221" i="7" s="1"/>
  <c r="G1221" i="7"/>
  <c r="H1221" i="7" s="1"/>
  <c r="B1221" i="7"/>
  <c r="M1220" i="7"/>
  <c r="J1220" i="7"/>
  <c r="K1220" i="7" s="1"/>
  <c r="L1220" i="7" s="1"/>
  <c r="G1220" i="7"/>
  <c r="H1220" i="7" s="1"/>
  <c r="B1220" i="7"/>
  <c r="M1219" i="7"/>
  <c r="J1219" i="7"/>
  <c r="K1219" i="7" s="1"/>
  <c r="L1219" i="7" s="1"/>
  <c r="G1219" i="7"/>
  <c r="H1219" i="7" s="1"/>
  <c r="B1219" i="7"/>
  <c r="M1218" i="7"/>
  <c r="J1218" i="7"/>
  <c r="K1218" i="7" s="1"/>
  <c r="L1218" i="7" s="1"/>
  <c r="G1218" i="7"/>
  <c r="H1218" i="7" s="1"/>
  <c r="B1218" i="7"/>
  <c r="M1217" i="7"/>
  <c r="J1217" i="7"/>
  <c r="K1217" i="7" s="1"/>
  <c r="L1217" i="7" s="1"/>
  <c r="G1217" i="7"/>
  <c r="H1217" i="7" s="1"/>
  <c r="B1217" i="7"/>
  <c r="M1216" i="7"/>
  <c r="J1216" i="7"/>
  <c r="K1216" i="7" s="1"/>
  <c r="L1216" i="7" s="1"/>
  <c r="G1216" i="7"/>
  <c r="H1216" i="7" s="1"/>
  <c r="B1216" i="7"/>
  <c r="M1215" i="7"/>
  <c r="J1215" i="7"/>
  <c r="K1215" i="7" s="1"/>
  <c r="L1215" i="7" s="1"/>
  <c r="G1215" i="7"/>
  <c r="H1215" i="7" s="1"/>
  <c r="B1215" i="7"/>
  <c r="M1214" i="7"/>
  <c r="J1214" i="7"/>
  <c r="K1214" i="7" s="1"/>
  <c r="L1214" i="7" s="1"/>
  <c r="G1214" i="7"/>
  <c r="H1214" i="7" s="1"/>
  <c r="B1214" i="7"/>
  <c r="M1213" i="7"/>
  <c r="J1213" i="7"/>
  <c r="K1213" i="7" s="1"/>
  <c r="L1213" i="7" s="1"/>
  <c r="G1213" i="7"/>
  <c r="H1213" i="7" s="1"/>
  <c r="B1213" i="7"/>
  <c r="M1212" i="7"/>
  <c r="J1212" i="7"/>
  <c r="K1212" i="7" s="1"/>
  <c r="L1212" i="7" s="1"/>
  <c r="G1212" i="7"/>
  <c r="H1212" i="7" s="1"/>
  <c r="B1212" i="7"/>
  <c r="M1211" i="7"/>
  <c r="J1211" i="7"/>
  <c r="K1211" i="7" s="1"/>
  <c r="L1211" i="7" s="1"/>
  <c r="G1211" i="7"/>
  <c r="H1211" i="7" s="1"/>
  <c r="B1211" i="7"/>
  <c r="M1210" i="7"/>
  <c r="J1210" i="7"/>
  <c r="K1210" i="7" s="1"/>
  <c r="L1210" i="7" s="1"/>
  <c r="G1210" i="7"/>
  <c r="H1210" i="7" s="1"/>
  <c r="B1210" i="7"/>
  <c r="M1209" i="7"/>
  <c r="J1209" i="7"/>
  <c r="K1209" i="7" s="1"/>
  <c r="L1209" i="7" s="1"/>
  <c r="G1209" i="7"/>
  <c r="H1209" i="7" s="1"/>
  <c r="B1209" i="7"/>
  <c r="M1208" i="7"/>
  <c r="J1208" i="7"/>
  <c r="K1208" i="7" s="1"/>
  <c r="L1208" i="7" s="1"/>
  <c r="G1208" i="7"/>
  <c r="H1208" i="7" s="1"/>
  <c r="B1208" i="7"/>
  <c r="M1207" i="7"/>
  <c r="J1207" i="7"/>
  <c r="K1207" i="7" s="1"/>
  <c r="L1207" i="7" s="1"/>
  <c r="G1207" i="7"/>
  <c r="H1207" i="7" s="1"/>
  <c r="B1207" i="7"/>
  <c r="M1206" i="7"/>
  <c r="J1206" i="7"/>
  <c r="K1206" i="7" s="1"/>
  <c r="L1206" i="7" s="1"/>
  <c r="G1206" i="7"/>
  <c r="H1206" i="7" s="1"/>
  <c r="B1206" i="7"/>
  <c r="M1205" i="7"/>
  <c r="J1205" i="7"/>
  <c r="K1205" i="7" s="1"/>
  <c r="L1205" i="7" s="1"/>
  <c r="G1205" i="7"/>
  <c r="H1205" i="7" s="1"/>
  <c r="B1205" i="7"/>
  <c r="M1204" i="7"/>
  <c r="J1204" i="7"/>
  <c r="K1204" i="7" s="1"/>
  <c r="L1204" i="7" s="1"/>
  <c r="G1204" i="7"/>
  <c r="H1204" i="7" s="1"/>
  <c r="B1204" i="7"/>
  <c r="M1203" i="7"/>
  <c r="J1203" i="7"/>
  <c r="K1203" i="7" s="1"/>
  <c r="L1203" i="7" s="1"/>
  <c r="G1203" i="7"/>
  <c r="H1203" i="7" s="1"/>
  <c r="B1203" i="7"/>
  <c r="M1202" i="7"/>
  <c r="J1202" i="7"/>
  <c r="K1202" i="7" s="1"/>
  <c r="L1202" i="7" s="1"/>
  <c r="G1202" i="7"/>
  <c r="H1202" i="7" s="1"/>
  <c r="B1202" i="7"/>
  <c r="M1201" i="7"/>
  <c r="J1201" i="7"/>
  <c r="K1201" i="7" s="1"/>
  <c r="L1201" i="7" s="1"/>
  <c r="G1201" i="7"/>
  <c r="H1201" i="7" s="1"/>
  <c r="B1201" i="7"/>
  <c r="M1200" i="7"/>
  <c r="J1200" i="7"/>
  <c r="K1200" i="7" s="1"/>
  <c r="L1200" i="7" s="1"/>
  <c r="G1200" i="7"/>
  <c r="H1200" i="7" s="1"/>
  <c r="B1200" i="7"/>
  <c r="M1199" i="7"/>
  <c r="J1199" i="7"/>
  <c r="K1199" i="7" s="1"/>
  <c r="L1199" i="7" s="1"/>
  <c r="G1199" i="7"/>
  <c r="H1199" i="7" s="1"/>
  <c r="B1199" i="7"/>
  <c r="M1198" i="7"/>
  <c r="J1198" i="7"/>
  <c r="K1198" i="7" s="1"/>
  <c r="L1198" i="7" s="1"/>
  <c r="G1198" i="7"/>
  <c r="H1198" i="7" s="1"/>
  <c r="B1198" i="7"/>
  <c r="M1197" i="7"/>
  <c r="J1197" i="7"/>
  <c r="K1197" i="7" s="1"/>
  <c r="L1197" i="7" s="1"/>
  <c r="G1197" i="7"/>
  <c r="H1197" i="7" s="1"/>
  <c r="B1197" i="7"/>
  <c r="M1196" i="7"/>
  <c r="J1196" i="7"/>
  <c r="K1196" i="7" s="1"/>
  <c r="L1196" i="7" s="1"/>
  <c r="G1196" i="7"/>
  <c r="H1196" i="7" s="1"/>
  <c r="B1196" i="7"/>
  <c r="M1195" i="7"/>
  <c r="J1195" i="7"/>
  <c r="K1195" i="7" s="1"/>
  <c r="L1195" i="7" s="1"/>
  <c r="G1195" i="7"/>
  <c r="H1195" i="7" s="1"/>
  <c r="B1195" i="7"/>
  <c r="M1194" i="7"/>
  <c r="J1194" i="7"/>
  <c r="K1194" i="7" s="1"/>
  <c r="L1194" i="7" s="1"/>
  <c r="G1194" i="7"/>
  <c r="H1194" i="7" s="1"/>
  <c r="B1194" i="7"/>
  <c r="M1193" i="7"/>
  <c r="J1193" i="7"/>
  <c r="K1193" i="7" s="1"/>
  <c r="L1193" i="7" s="1"/>
  <c r="G1193" i="7"/>
  <c r="H1193" i="7" s="1"/>
  <c r="B1193" i="7"/>
  <c r="M1192" i="7"/>
  <c r="J1192" i="7"/>
  <c r="K1192" i="7" s="1"/>
  <c r="L1192" i="7" s="1"/>
  <c r="G1192" i="7"/>
  <c r="H1192" i="7" s="1"/>
  <c r="B1192" i="7"/>
  <c r="M1191" i="7"/>
  <c r="J1191" i="7"/>
  <c r="K1191" i="7" s="1"/>
  <c r="L1191" i="7" s="1"/>
  <c r="G1191" i="7"/>
  <c r="H1191" i="7" s="1"/>
  <c r="B1191" i="7"/>
  <c r="M1190" i="7"/>
  <c r="J1190" i="7"/>
  <c r="K1190" i="7" s="1"/>
  <c r="L1190" i="7" s="1"/>
  <c r="G1190" i="7"/>
  <c r="H1190" i="7" s="1"/>
  <c r="B1190" i="7"/>
  <c r="M1189" i="7"/>
  <c r="J1189" i="7"/>
  <c r="K1189" i="7" s="1"/>
  <c r="L1189" i="7" s="1"/>
  <c r="G1189" i="7"/>
  <c r="H1189" i="7" s="1"/>
  <c r="B1189" i="7"/>
  <c r="M1188" i="7"/>
  <c r="J1188" i="7"/>
  <c r="K1188" i="7" s="1"/>
  <c r="L1188" i="7" s="1"/>
  <c r="G1188" i="7"/>
  <c r="H1188" i="7" s="1"/>
  <c r="B1188" i="7"/>
  <c r="M1187" i="7"/>
  <c r="J1187" i="7"/>
  <c r="K1187" i="7" s="1"/>
  <c r="L1187" i="7" s="1"/>
  <c r="G1187" i="7"/>
  <c r="H1187" i="7" s="1"/>
  <c r="B1187" i="7"/>
  <c r="M1186" i="7"/>
  <c r="J1186" i="7"/>
  <c r="K1186" i="7" s="1"/>
  <c r="L1186" i="7" s="1"/>
  <c r="G1186" i="7"/>
  <c r="H1186" i="7" s="1"/>
  <c r="B1186" i="7"/>
  <c r="M1185" i="7"/>
  <c r="J1185" i="7"/>
  <c r="K1185" i="7" s="1"/>
  <c r="L1185" i="7" s="1"/>
  <c r="G1185" i="7"/>
  <c r="H1185" i="7" s="1"/>
  <c r="B1185" i="7"/>
  <c r="M1184" i="7"/>
  <c r="J1184" i="7"/>
  <c r="K1184" i="7" s="1"/>
  <c r="L1184" i="7" s="1"/>
  <c r="G1184" i="7"/>
  <c r="H1184" i="7" s="1"/>
  <c r="B1184" i="7"/>
  <c r="M1183" i="7"/>
  <c r="J1183" i="7"/>
  <c r="K1183" i="7" s="1"/>
  <c r="L1183" i="7" s="1"/>
  <c r="G1183" i="7"/>
  <c r="H1183" i="7" s="1"/>
  <c r="B1183" i="7"/>
  <c r="M1182" i="7"/>
  <c r="J1182" i="7"/>
  <c r="K1182" i="7" s="1"/>
  <c r="L1182" i="7" s="1"/>
  <c r="G1182" i="7"/>
  <c r="H1182" i="7" s="1"/>
  <c r="B1182" i="7"/>
  <c r="M1181" i="7"/>
  <c r="J1181" i="7"/>
  <c r="K1181" i="7" s="1"/>
  <c r="L1181" i="7" s="1"/>
  <c r="G1181" i="7"/>
  <c r="H1181" i="7" s="1"/>
  <c r="B1181" i="7"/>
  <c r="M1180" i="7"/>
  <c r="J1180" i="7"/>
  <c r="K1180" i="7" s="1"/>
  <c r="L1180" i="7" s="1"/>
  <c r="G1180" i="7"/>
  <c r="H1180" i="7" s="1"/>
  <c r="B1180" i="7"/>
  <c r="M1179" i="7"/>
  <c r="J1179" i="7"/>
  <c r="K1179" i="7" s="1"/>
  <c r="L1179" i="7" s="1"/>
  <c r="G1179" i="7"/>
  <c r="H1179" i="7" s="1"/>
  <c r="B1179" i="7"/>
  <c r="M1178" i="7"/>
  <c r="J1178" i="7"/>
  <c r="K1178" i="7" s="1"/>
  <c r="L1178" i="7" s="1"/>
  <c r="G1178" i="7"/>
  <c r="H1178" i="7" s="1"/>
  <c r="B1178" i="7"/>
  <c r="M1177" i="7"/>
  <c r="J1177" i="7"/>
  <c r="K1177" i="7" s="1"/>
  <c r="L1177" i="7" s="1"/>
  <c r="G1177" i="7"/>
  <c r="H1177" i="7" s="1"/>
  <c r="B1177" i="7"/>
  <c r="M1176" i="7"/>
  <c r="J1176" i="7"/>
  <c r="K1176" i="7" s="1"/>
  <c r="L1176" i="7" s="1"/>
  <c r="G1176" i="7"/>
  <c r="H1176" i="7" s="1"/>
  <c r="B1176" i="7"/>
  <c r="M1175" i="7"/>
  <c r="J1175" i="7"/>
  <c r="K1175" i="7" s="1"/>
  <c r="L1175" i="7" s="1"/>
  <c r="G1175" i="7"/>
  <c r="H1175" i="7" s="1"/>
  <c r="B1175" i="7"/>
  <c r="M1174" i="7"/>
  <c r="J1174" i="7"/>
  <c r="K1174" i="7" s="1"/>
  <c r="L1174" i="7" s="1"/>
  <c r="G1174" i="7"/>
  <c r="H1174" i="7" s="1"/>
  <c r="B1174" i="7"/>
  <c r="M1173" i="7"/>
  <c r="J1173" i="7"/>
  <c r="K1173" i="7" s="1"/>
  <c r="L1173" i="7" s="1"/>
  <c r="G1173" i="7"/>
  <c r="H1173" i="7" s="1"/>
  <c r="B1173" i="7"/>
  <c r="M1172" i="7"/>
  <c r="J1172" i="7"/>
  <c r="K1172" i="7" s="1"/>
  <c r="L1172" i="7" s="1"/>
  <c r="G1172" i="7"/>
  <c r="H1172" i="7" s="1"/>
  <c r="B1172" i="7"/>
  <c r="M1171" i="7"/>
  <c r="J1171" i="7"/>
  <c r="K1171" i="7" s="1"/>
  <c r="L1171" i="7" s="1"/>
  <c r="G1171" i="7"/>
  <c r="H1171" i="7" s="1"/>
  <c r="B1171" i="7"/>
  <c r="M1170" i="7"/>
  <c r="J1170" i="7"/>
  <c r="K1170" i="7" s="1"/>
  <c r="L1170" i="7" s="1"/>
  <c r="G1170" i="7"/>
  <c r="H1170" i="7" s="1"/>
  <c r="B1170" i="7"/>
  <c r="M1169" i="7"/>
  <c r="J1169" i="7"/>
  <c r="K1169" i="7" s="1"/>
  <c r="L1169" i="7" s="1"/>
  <c r="G1169" i="7"/>
  <c r="H1169" i="7" s="1"/>
  <c r="B1169" i="7"/>
  <c r="M1168" i="7"/>
  <c r="J1168" i="7"/>
  <c r="K1168" i="7" s="1"/>
  <c r="L1168" i="7" s="1"/>
  <c r="G1168" i="7"/>
  <c r="H1168" i="7" s="1"/>
  <c r="B1168" i="7"/>
  <c r="M1167" i="7"/>
  <c r="J1167" i="7"/>
  <c r="K1167" i="7" s="1"/>
  <c r="L1167" i="7" s="1"/>
  <c r="G1167" i="7"/>
  <c r="H1167" i="7" s="1"/>
  <c r="B1167" i="7"/>
  <c r="M1166" i="7"/>
  <c r="J1166" i="7"/>
  <c r="K1166" i="7" s="1"/>
  <c r="L1166" i="7" s="1"/>
  <c r="G1166" i="7"/>
  <c r="H1166" i="7" s="1"/>
  <c r="B1166" i="7"/>
  <c r="M1165" i="7"/>
  <c r="J1165" i="7"/>
  <c r="K1165" i="7" s="1"/>
  <c r="L1165" i="7" s="1"/>
  <c r="G1165" i="7"/>
  <c r="H1165" i="7" s="1"/>
  <c r="B1165" i="7"/>
  <c r="M1164" i="7"/>
  <c r="J1164" i="7"/>
  <c r="K1164" i="7" s="1"/>
  <c r="L1164" i="7" s="1"/>
  <c r="G1164" i="7"/>
  <c r="H1164" i="7" s="1"/>
  <c r="B1164" i="7"/>
  <c r="M1163" i="7"/>
  <c r="J1163" i="7"/>
  <c r="K1163" i="7" s="1"/>
  <c r="L1163" i="7" s="1"/>
  <c r="G1163" i="7"/>
  <c r="H1163" i="7" s="1"/>
  <c r="B1163" i="7"/>
  <c r="M1162" i="7"/>
  <c r="J1162" i="7"/>
  <c r="K1162" i="7" s="1"/>
  <c r="L1162" i="7" s="1"/>
  <c r="G1162" i="7"/>
  <c r="H1162" i="7" s="1"/>
  <c r="B1162" i="7"/>
  <c r="M1161" i="7"/>
  <c r="J1161" i="7"/>
  <c r="K1161" i="7" s="1"/>
  <c r="L1161" i="7" s="1"/>
  <c r="G1161" i="7"/>
  <c r="H1161" i="7" s="1"/>
  <c r="B1161" i="7"/>
  <c r="M1160" i="7"/>
  <c r="J1160" i="7"/>
  <c r="K1160" i="7" s="1"/>
  <c r="L1160" i="7" s="1"/>
  <c r="G1160" i="7"/>
  <c r="H1160" i="7" s="1"/>
  <c r="B1160" i="7"/>
  <c r="M1159" i="7"/>
  <c r="J1159" i="7"/>
  <c r="K1159" i="7" s="1"/>
  <c r="L1159" i="7" s="1"/>
  <c r="G1159" i="7"/>
  <c r="H1159" i="7" s="1"/>
  <c r="B1159" i="7"/>
  <c r="M1158" i="7"/>
  <c r="J1158" i="7"/>
  <c r="K1158" i="7" s="1"/>
  <c r="L1158" i="7" s="1"/>
  <c r="G1158" i="7"/>
  <c r="H1158" i="7" s="1"/>
  <c r="B1158" i="7"/>
  <c r="M1157" i="7"/>
  <c r="J1157" i="7"/>
  <c r="K1157" i="7" s="1"/>
  <c r="L1157" i="7" s="1"/>
  <c r="G1157" i="7"/>
  <c r="H1157" i="7" s="1"/>
  <c r="B1157" i="7"/>
  <c r="M1156" i="7"/>
  <c r="J1156" i="7"/>
  <c r="K1156" i="7" s="1"/>
  <c r="L1156" i="7" s="1"/>
  <c r="G1156" i="7"/>
  <c r="H1156" i="7" s="1"/>
  <c r="B1156" i="7"/>
  <c r="M1155" i="7"/>
  <c r="J1155" i="7"/>
  <c r="K1155" i="7" s="1"/>
  <c r="L1155" i="7" s="1"/>
  <c r="G1155" i="7"/>
  <c r="H1155" i="7" s="1"/>
  <c r="B1155" i="7"/>
  <c r="M1154" i="7"/>
  <c r="J1154" i="7"/>
  <c r="K1154" i="7" s="1"/>
  <c r="L1154" i="7" s="1"/>
  <c r="G1154" i="7"/>
  <c r="H1154" i="7" s="1"/>
  <c r="B1154" i="7"/>
  <c r="M1153" i="7"/>
  <c r="J1153" i="7"/>
  <c r="K1153" i="7" s="1"/>
  <c r="L1153" i="7" s="1"/>
  <c r="G1153" i="7"/>
  <c r="H1153" i="7" s="1"/>
  <c r="B1153" i="7"/>
  <c r="M1152" i="7"/>
  <c r="J1152" i="7"/>
  <c r="K1152" i="7" s="1"/>
  <c r="L1152" i="7" s="1"/>
  <c r="G1152" i="7"/>
  <c r="H1152" i="7" s="1"/>
  <c r="B1152" i="7"/>
  <c r="M1151" i="7"/>
  <c r="J1151" i="7"/>
  <c r="K1151" i="7" s="1"/>
  <c r="L1151" i="7" s="1"/>
  <c r="G1151" i="7"/>
  <c r="H1151" i="7" s="1"/>
  <c r="B1151" i="7"/>
  <c r="M1150" i="7"/>
  <c r="J1150" i="7"/>
  <c r="K1150" i="7" s="1"/>
  <c r="L1150" i="7" s="1"/>
  <c r="G1150" i="7"/>
  <c r="H1150" i="7" s="1"/>
  <c r="B1150" i="7"/>
  <c r="M1149" i="7"/>
  <c r="J1149" i="7"/>
  <c r="K1149" i="7" s="1"/>
  <c r="L1149" i="7" s="1"/>
  <c r="G1149" i="7"/>
  <c r="H1149" i="7" s="1"/>
  <c r="B1149" i="7"/>
  <c r="M1148" i="7"/>
  <c r="J1148" i="7"/>
  <c r="K1148" i="7" s="1"/>
  <c r="L1148" i="7" s="1"/>
  <c r="G1148" i="7"/>
  <c r="H1148" i="7" s="1"/>
  <c r="B1148" i="7"/>
  <c r="M1147" i="7"/>
  <c r="J1147" i="7"/>
  <c r="K1147" i="7" s="1"/>
  <c r="L1147" i="7" s="1"/>
  <c r="G1147" i="7"/>
  <c r="H1147" i="7" s="1"/>
  <c r="B1147" i="7"/>
  <c r="M1146" i="7"/>
  <c r="J1146" i="7"/>
  <c r="K1146" i="7" s="1"/>
  <c r="L1146" i="7" s="1"/>
  <c r="G1146" i="7"/>
  <c r="H1146" i="7" s="1"/>
  <c r="B1146" i="7"/>
  <c r="M1145" i="7"/>
  <c r="J1145" i="7"/>
  <c r="K1145" i="7" s="1"/>
  <c r="L1145" i="7" s="1"/>
  <c r="G1145" i="7"/>
  <c r="H1145" i="7" s="1"/>
  <c r="B1145" i="7"/>
  <c r="M1144" i="7"/>
  <c r="J1144" i="7"/>
  <c r="K1144" i="7" s="1"/>
  <c r="L1144" i="7" s="1"/>
  <c r="G1144" i="7"/>
  <c r="H1144" i="7" s="1"/>
  <c r="B1144" i="7"/>
  <c r="M1143" i="7"/>
  <c r="J1143" i="7"/>
  <c r="K1143" i="7" s="1"/>
  <c r="L1143" i="7" s="1"/>
  <c r="G1143" i="7"/>
  <c r="H1143" i="7" s="1"/>
  <c r="B1143" i="7"/>
  <c r="M1142" i="7"/>
  <c r="J1142" i="7"/>
  <c r="K1142" i="7" s="1"/>
  <c r="L1142" i="7" s="1"/>
  <c r="G1142" i="7"/>
  <c r="H1142" i="7" s="1"/>
  <c r="B1142" i="7"/>
  <c r="M1141" i="7"/>
  <c r="J1141" i="7"/>
  <c r="K1141" i="7" s="1"/>
  <c r="L1141" i="7" s="1"/>
  <c r="G1141" i="7"/>
  <c r="H1141" i="7" s="1"/>
  <c r="B1141" i="7"/>
  <c r="M1140" i="7"/>
  <c r="J1140" i="7"/>
  <c r="K1140" i="7" s="1"/>
  <c r="L1140" i="7" s="1"/>
  <c r="G1140" i="7"/>
  <c r="H1140" i="7" s="1"/>
  <c r="B1140" i="7"/>
  <c r="M1139" i="7"/>
  <c r="J1139" i="7"/>
  <c r="K1139" i="7" s="1"/>
  <c r="L1139" i="7" s="1"/>
  <c r="G1139" i="7"/>
  <c r="H1139" i="7" s="1"/>
  <c r="B1139" i="7"/>
  <c r="M1138" i="7"/>
  <c r="J1138" i="7"/>
  <c r="K1138" i="7" s="1"/>
  <c r="L1138" i="7" s="1"/>
  <c r="G1138" i="7"/>
  <c r="H1138" i="7" s="1"/>
  <c r="B1138" i="7"/>
  <c r="M1137" i="7"/>
  <c r="J1137" i="7"/>
  <c r="K1137" i="7" s="1"/>
  <c r="L1137" i="7" s="1"/>
  <c r="G1137" i="7"/>
  <c r="H1137" i="7" s="1"/>
  <c r="B1137" i="7"/>
  <c r="M1136" i="7"/>
  <c r="J1136" i="7"/>
  <c r="K1136" i="7" s="1"/>
  <c r="L1136" i="7" s="1"/>
  <c r="G1136" i="7"/>
  <c r="H1136" i="7" s="1"/>
  <c r="B1136" i="7"/>
  <c r="M1135" i="7"/>
  <c r="J1135" i="7"/>
  <c r="K1135" i="7" s="1"/>
  <c r="L1135" i="7" s="1"/>
  <c r="G1135" i="7"/>
  <c r="H1135" i="7" s="1"/>
  <c r="B1135" i="7"/>
  <c r="M1134" i="7"/>
  <c r="J1134" i="7"/>
  <c r="K1134" i="7" s="1"/>
  <c r="L1134" i="7" s="1"/>
  <c r="G1134" i="7"/>
  <c r="H1134" i="7" s="1"/>
  <c r="B1134" i="7"/>
  <c r="M1133" i="7"/>
  <c r="J1133" i="7"/>
  <c r="K1133" i="7" s="1"/>
  <c r="L1133" i="7" s="1"/>
  <c r="G1133" i="7"/>
  <c r="H1133" i="7" s="1"/>
  <c r="B1133" i="7"/>
  <c r="M1132" i="7"/>
  <c r="J1132" i="7"/>
  <c r="K1132" i="7" s="1"/>
  <c r="L1132" i="7" s="1"/>
  <c r="G1132" i="7"/>
  <c r="H1132" i="7" s="1"/>
  <c r="B1132" i="7"/>
  <c r="M1131" i="7"/>
  <c r="J1131" i="7"/>
  <c r="K1131" i="7" s="1"/>
  <c r="L1131" i="7" s="1"/>
  <c r="G1131" i="7"/>
  <c r="H1131" i="7" s="1"/>
  <c r="B1131" i="7"/>
  <c r="M1130" i="7"/>
  <c r="J1130" i="7"/>
  <c r="K1130" i="7" s="1"/>
  <c r="L1130" i="7" s="1"/>
  <c r="G1130" i="7"/>
  <c r="H1130" i="7" s="1"/>
  <c r="B1130" i="7"/>
  <c r="M1129" i="7"/>
  <c r="J1129" i="7"/>
  <c r="K1129" i="7" s="1"/>
  <c r="L1129" i="7" s="1"/>
  <c r="G1129" i="7"/>
  <c r="H1129" i="7" s="1"/>
  <c r="B1129" i="7"/>
  <c r="M1128" i="7"/>
  <c r="J1128" i="7"/>
  <c r="K1128" i="7" s="1"/>
  <c r="L1128" i="7" s="1"/>
  <c r="G1128" i="7"/>
  <c r="H1128" i="7" s="1"/>
  <c r="B1128" i="7"/>
  <c r="M1127" i="7"/>
  <c r="J1127" i="7"/>
  <c r="K1127" i="7" s="1"/>
  <c r="L1127" i="7" s="1"/>
  <c r="G1127" i="7"/>
  <c r="H1127" i="7" s="1"/>
  <c r="B1127" i="7"/>
  <c r="M1126" i="7"/>
  <c r="J1126" i="7"/>
  <c r="K1126" i="7" s="1"/>
  <c r="L1126" i="7" s="1"/>
  <c r="G1126" i="7"/>
  <c r="H1126" i="7" s="1"/>
  <c r="B1126" i="7"/>
  <c r="M1125" i="7"/>
  <c r="J1125" i="7"/>
  <c r="K1125" i="7" s="1"/>
  <c r="L1125" i="7" s="1"/>
  <c r="G1125" i="7"/>
  <c r="H1125" i="7" s="1"/>
  <c r="B1125" i="7"/>
  <c r="M1124" i="7"/>
  <c r="J1124" i="7"/>
  <c r="K1124" i="7" s="1"/>
  <c r="L1124" i="7" s="1"/>
  <c r="G1124" i="7"/>
  <c r="H1124" i="7" s="1"/>
  <c r="B1124" i="7"/>
  <c r="M1123" i="7"/>
  <c r="J1123" i="7"/>
  <c r="K1123" i="7" s="1"/>
  <c r="L1123" i="7" s="1"/>
  <c r="G1123" i="7"/>
  <c r="H1123" i="7" s="1"/>
  <c r="B1123" i="7"/>
  <c r="M1122" i="7"/>
  <c r="J1122" i="7"/>
  <c r="K1122" i="7" s="1"/>
  <c r="L1122" i="7" s="1"/>
  <c r="G1122" i="7"/>
  <c r="H1122" i="7" s="1"/>
  <c r="B1122" i="7"/>
  <c r="M1121" i="7"/>
  <c r="J1121" i="7"/>
  <c r="K1121" i="7" s="1"/>
  <c r="L1121" i="7" s="1"/>
  <c r="G1121" i="7"/>
  <c r="H1121" i="7" s="1"/>
  <c r="B1121" i="7"/>
  <c r="M1120" i="7"/>
  <c r="J1120" i="7"/>
  <c r="K1120" i="7" s="1"/>
  <c r="L1120" i="7" s="1"/>
  <c r="G1120" i="7"/>
  <c r="H1120" i="7" s="1"/>
  <c r="B1120" i="7"/>
  <c r="M1119" i="7"/>
  <c r="J1119" i="7"/>
  <c r="K1119" i="7" s="1"/>
  <c r="L1119" i="7" s="1"/>
  <c r="G1119" i="7"/>
  <c r="H1119" i="7" s="1"/>
  <c r="B1119" i="7"/>
  <c r="M1118" i="7"/>
  <c r="J1118" i="7"/>
  <c r="K1118" i="7" s="1"/>
  <c r="L1118" i="7" s="1"/>
  <c r="G1118" i="7"/>
  <c r="H1118" i="7" s="1"/>
  <c r="B1118" i="7"/>
  <c r="M1117" i="7"/>
  <c r="J1117" i="7"/>
  <c r="K1117" i="7" s="1"/>
  <c r="L1117" i="7" s="1"/>
  <c r="G1117" i="7"/>
  <c r="H1117" i="7" s="1"/>
  <c r="B1117" i="7"/>
  <c r="M1116" i="7"/>
  <c r="J1116" i="7"/>
  <c r="K1116" i="7" s="1"/>
  <c r="L1116" i="7" s="1"/>
  <c r="G1116" i="7"/>
  <c r="H1116" i="7" s="1"/>
  <c r="B1116" i="7"/>
  <c r="M1115" i="7"/>
  <c r="J1115" i="7"/>
  <c r="K1115" i="7" s="1"/>
  <c r="L1115" i="7" s="1"/>
  <c r="G1115" i="7"/>
  <c r="H1115" i="7" s="1"/>
  <c r="B1115" i="7"/>
  <c r="M1114" i="7"/>
  <c r="J1114" i="7"/>
  <c r="K1114" i="7" s="1"/>
  <c r="L1114" i="7" s="1"/>
  <c r="G1114" i="7"/>
  <c r="H1114" i="7" s="1"/>
  <c r="B1114" i="7"/>
  <c r="M1113" i="7"/>
  <c r="J1113" i="7"/>
  <c r="K1113" i="7" s="1"/>
  <c r="L1113" i="7" s="1"/>
  <c r="G1113" i="7"/>
  <c r="H1113" i="7" s="1"/>
  <c r="B1113" i="7"/>
  <c r="M1112" i="7"/>
  <c r="J1112" i="7"/>
  <c r="K1112" i="7" s="1"/>
  <c r="L1112" i="7" s="1"/>
  <c r="G1112" i="7"/>
  <c r="H1112" i="7" s="1"/>
  <c r="B1112" i="7"/>
  <c r="M1111" i="7"/>
  <c r="J1111" i="7"/>
  <c r="K1111" i="7" s="1"/>
  <c r="L1111" i="7" s="1"/>
  <c r="G1111" i="7"/>
  <c r="H1111" i="7" s="1"/>
  <c r="B1111" i="7"/>
  <c r="M1110" i="7"/>
  <c r="J1110" i="7"/>
  <c r="K1110" i="7" s="1"/>
  <c r="L1110" i="7" s="1"/>
  <c r="G1110" i="7"/>
  <c r="H1110" i="7" s="1"/>
  <c r="B1110" i="7"/>
  <c r="M1109" i="7"/>
  <c r="J1109" i="7"/>
  <c r="K1109" i="7" s="1"/>
  <c r="L1109" i="7" s="1"/>
  <c r="G1109" i="7"/>
  <c r="H1109" i="7" s="1"/>
  <c r="B1109" i="7"/>
  <c r="M1108" i="7"/>
  <c r="J1108" i="7"/>
  <c r="K1108" i="7" s="1"/>
  <c r="L1108" i="7" s="1"/>
  <c r="G1108" i="7"/>
  <c r="H1108" i="7" s="1"/>
  <c r="B1108" i="7"/>
  <c r="M1107" i="7"/>
  <c r="J1107" i="7"/>
  <c r="K1107" i="7" s="1"/>
  <c r="L1107" i="7" s="1"/>
  <c r="G1107" i="7"/>
  <c r="H1107" i="7" s="1"/>
  <c r="B1107" i="7"/>
  <c r="M1106" i="7"/>
  <c r="J1106" i="7"/>
  <c r="K1106" i="7" s="1"/>
  <c r="L1106" i="7" s="1"/>
  <c r="G1106" i="7"/>
  <c r="H1106" i="7" s="1"/>
  <c r="B1106" i="7"/>
  <c r="M1105" i="7"/>
  <c r="J1105" i="7"/>
  <c r="K1105" i="7" s="1"/>
  <c r="L1105" i="7" s="1"/>
  <c r="G1105" i="7"/>
  <c r="H1105" i="7" s="1"/>
  <c r="B1105" i="7"/>
  <c r="M1104" i="7"/>
  <c r="J1104" i="7"/>
  <c r="K1104" i="7" s="1"/>
  <c r="L1104" i="7" s="1"/>
  <c r="G1104" i="7"/>
  <c r="H1104" i="7" s="1"/>
  <c r="B1104" i="7"/>
  <c r="M1103" i="7"/>
  <c r="J1103" i="7"/>
  <c r="K1103" i="7" s="1"/>
  <c r="L1103" i="7" s="1"/>
  <c r="G1103" i="7"/>
  <c r="H1103" i="7" s="1"/>
  <c r="B1103" i="7"/>
  <c r="M1102" i="7"/>
  <c r="J1102" i="7"/>
  <c r="K1102" i="7" s="1"/>
  <c r="L1102" i="7" s="1"/>
  <c r="G1102" i="7"/>
  <c r="H1102" i="7" s="1"/>
  <c r="B1102" i="7"/>
  <c r="M1101" i="7"/>
  <c r="J1101" i="7"/>
  <c r="K1101" i="7" s="1"/>
  <c r="L1101" i="7" s="1"/>
  <c r="G1101" i="7"/>
  <c r="H1101" i="7" s="1"/>
  <c r="B1101" i="7"/>
  <c r="M1100" i="7"/>
  <c r="J1100" i="7"/>
  <c r="K1100" i="7" s="1"/>
  <c r="L1100" i="7" s="1"/>
  <c r="G1100" i="7"/>
  <c r="H1100" i="7" s="1"/>
  <c r="B1100" i="7"/>
  <c r="M1099" i="7"/>
  <c r="J1099" i="7"/>
  <c r="K1099" i="7" s="1"/>
  <c r="L1099" i="7" s="1"/>
  <c r="G1099" i="7"/>
  <c r="H1099" i="7" s="1"/>
  <c r="B1099" i="7"/>
  <c r="M1098" i="7"/>
  <c r="J1098" i="7"/>
  <c r="K1098" i="7" s="1"/>
  <c r="L1098" i="7" s="1"/>
  <c r="G1098" i="7"/>
  <c r="H1098" i="7" s="1"/>
  <c r="B1098" i="7"/>
  <c r="M1097" i="7"/>
  <c r="J1097" i="7"/>
  <c r="K1097" i="7" s="1"/>
  <c r="L1097" i="7" s="1"/>
  <c r="G1097" i="7"/>
  <c r="H1097" i="7" s="1"/>
  <c r="B1097" i="7"/>
  <c r="M1096" i="7"/>
  <c r="J1096" i="7"/>
  <c r="K1096" i="7" s="1"/>
  <c r="L1096" i="7" s="1"/>
  <c r="G1096" i="7"/>
  <c r="H1096" i="7" s="1"/>
  <c r="B1096" i="7"/>
  <c r="M1095" i="7"/>
  <c r="J1095" i="7"/>
  <c r="K1095" i="7" s="1"/>
  <c r="L1095" i="7" s="1"/>
  <c r="G1095" i="7"/>
  <c r="H1095" i="7" s="1"/>
  <c r="B1095" i="7"/>
  <c r="M1094" i="7"/>
  <c r="J1094" i="7"/>
  <c r="K1094" i="7" s="1"/>
  <c r="L1094" i="7" s="1"/>
  <c r="G1094" i="7"/>
  <c r="H1094" i="7" s="1"/>
  <c r="B1094" i="7"/>
  <c r="M1093" i="7"/>
  <c r="J1093" i="7"/>
  <c r="K1093" i="7" s="1"/>
  <c r="L1093" i="7" s="1"/>
  <c r="G1093" i="7"/>
  <c r="H1093" i="7" s="1"/>
  <c r="B1093" i="7"/>
  <c r="M1092" i="7"/>
  <c r="J1092" i="7"/>
  <c r="K1092" i="7" s="1"/>
  <c r="L1092" i="7" s="1"/>
  <c r="G1092" i="7"/>
  <c r="H1092" i="7" s="1"/>
  <c r="B1092" i="7"/>
  <c r="M1091" i="7"/>
  <c r="J1091" i="7"/>
  <c r="K1091" i="7" s="1"/>
  <c r="L1091" i="7" s="1"/>
  <c r="G1091" i="7"/>
  <c r="H1091" i="7" s="1"/>
  <c r="B1091" i="7"/>
  <c r="M1090" i="7"/>
  <c r="J1090" i="7"/>
  <c r="K1090" i="7" s="1"/>
  <c r="L1090" i="7" s="1"/>
  <c r="G1090" i="7"/>
  <c r="H1090" i="7" s="1"/>
  <c r="B1090" i="7"/>
  <c r="M1089" i="7"/>
  <c r="J1089" i="7"/>
  <c r="K1089" i="7" s="1"/>
  <c r="L1089" i="7" s="1"/>
  <c r="G1089" i="7"/>
  <c r="H1089" i="7" s="1"/>
  <c r="B1089" i="7"/>
  <c r="M1088" i="7"/>
  <c r="J1088" i="7"/>
  <c r="K1088" i="7" s="1"/>
  <c r="L1088" i="7" s="1"/>
  <c r="G1088" i="7"/>
  <c r="H1088" i="7" s="1"/>
  <c r="B1088" i="7"/>
  <c r="M1087" i="7"/>
  <c r="J1087" i="7"/>
  <c r="K1087" i="7" s="1"/>
  <c r="L1087" i="7" s="1"/>
  <c r="G1087" i="7"/>
  <c r="H1087" i="7" s="1"/>
  <c r="B1087" i="7"/>
  <c r="M1086" i="7"/>
  <c r="J1086" i="7"/>
  <c r="K1086" i="7" s="1"/>
  <c r="L1086" i="7" s="1"/>
  <c r="G1086" i="7"/>
  <c r="H1086" i="7" s="1"/>
  <c r="B1086" i="7"/>
  <c r="M1085" i="7"/>
  <c r="J1085" i="7"/>
  <c r="K1085" i="7" s="1"/>
  <c r="L1085" i="7" s="1"/>
  <c r="G1085" i="7"/>
  <c r="H1085" i="7" s="1"/>
  <c r="B1085" i="7"/>
  <c r="M1084" i="7"/>
  <c r="J1084" i="7"/>
  <c r="K1084" i="7" s="1"/>
  <c r="L1084" i="7" s="1"/>
  <c r="G1084" i="7"/>
  <c r="H1084" i="7" s="1"/>
  <c r="B1084" i="7"/>
  <c r="M1083" i="7"/>
  <c r="J1083" i="7"/>
  <c r="K1083" i="7" s="1"/>
  <c r="L1083" i="7" s="1"/>
  <c r="G1083" i="7"/>
  <c r="H1083" i="7" s="1"/>
  <c r="B1083" i="7"/>
  <c r="M1082" i="7"/>
  <c r="J1082" i="7"/>
  <c r="K1082" i="7" s="1"/>
  <c r="L1082" i="7" s="1"/>
  <c r="G1082" i="7"/>
  <c r="H1082" i="7" s="1"/>
  <c r="B1082" i="7"/>
  <c r="M1081" i="7"/>
  <c r="J1081" i="7"/>
  <c r="K1081" i="7" s="1"/>
  <c r="L1081" i="7" s="1"/>
  <c r="G1081" i="7"/>
  <c r="H1081" i="7" s="1"/>
  <c r="B1081" i="7"/>
  <c r="M1080" i="7"/>
  <c r="J1080" i="7"/>
  <c r="K1080" i="7" s="1"/>
  <c r="L1080" i="7" s="1"/>
  <c r="G1080" i="7"/>
  <c r="H1080" i="7" s="1"/>
  <c r="B1080" i="7"/>
  <c r="M1079" i="7"/>
  <c r="J1079" i="7"/>
  <c r="K1079" i="7" s="1"/>
  <c r="L1079" i="7" s="1"/>
  <c r="G1079" i="7"/>
  <c r="H1079" i="7" s="1"/>
  <c r="B1079" i="7"/>
  <c r="M1078" i="7"/>
  <c r="J1078" i="7"/>
  <c r="K1078" i="7" s="1"/>
  <c r="L1078" i="7" s="1"/>
  <c r="G1078" i="7"/>
  <c r="H1078" i="7" s="1"/>
  <c r="B1078" i="7"/>
  <c r="M1077" i="7"/>
  <c r="J1077" i="7"/>
  <c r="K1077" i="7" s="1"/>
  <c r="L1077" i="7" s="1"/>
  <c r="G1077" i="7"/>
  <c r="H1077" i="7" s="1"/>
  <c r="B1077" i="7"/>
  <c r="M1076" i="7"/>
  <c r="J1076" i="7"/>
  <c r="K1076" i="7" s="1"/>
  <c r="L1076" i="7" s="1"/>
  <c r="G1076" i="7"/>
  <c r="H1076" i="7" s="1"/>
  <c r="B1076" i="7"/>
  <c r="M1075" i="7"/>
  <c r="J1075" i="7"/>
  <c r="K1075" i="7" s="1"/>
  <c r="L1075" i="7" s="1"/>
  <c r="G1075" i="7"/>
  <c r="H1075" i="7" s="1"/>
  <c r="B1075" i="7"/>
  <c r="M1074" i="7"/>
  <c r="J1074" i="7"/>
  <c r="K1074" i="7" s="1"/>
  <c r="L1074" i="7" s="1"/>
  <c r="G1074" i="7"/>
  <c r="H1074" i="7" s="1"/>
  <c r="B1074" i="7"/>
  <c r="M1073" i="7"/>
  <c r="J1073" i="7"/>
  <c r="K1073" i="7" s="1"/>
  <c r="L1073" i="7" s="1"/>
  <c r="G1073" i="7"/>
  <c r="H1073" i="7" s="1"/>
  <c r="B1073" i="7"/>
  <c r="M1072" i="7"/>
  <c r="J1072" i="7"/>
  <c r="K1072" i="7" s="1"/>
  <c r="L1072" i="7" s="1"/>
  <c r="G1072" i="7"/>
  <c r="H1072" i="7" s="1"/>
  <c r="B1072" i="7"/>
  <c r="M1071" i="7"/>
  <c r="J1071" i="7"/>
  <c r="K1071" i="7" s="1"/>
  <c r="L1071" i="7" s="1"/>
  <c r="G1071" i="7"/>
  <c r="H1071" i="7" s="1"/>
  <c r="B1071" i="7"/>
  <c r="M1070" i="7"/>
  <c r="J1070" i="7"/>
  <c r="K1070" i="7" s="1"/>
  <c r="L1070" i="7" s="1"/>
  <c r="G1070" i="7"/>
  <c r="H1070" i="7" s="1"/>
  <c r="B1070" i="7"/>
  <c r="M1069" i="7"/>
  <c r="J1069" i="7"/>
  <c r="K1069" i="7" s="1"/>
  <c r="L1069" i="7" s="1"/>
  <c r="G1069" i="7"/>
  <c r="H1069" i="7" s="1"/>
  <c r="B1069" i="7"/>
  <c r="M1068" i="7"/>
  <c r="J1068" i="7"/>
  <c r="K1068" i="7" s="1"/>
  <c r="L1068" i="7" s="1"/>
  <c r="G1068" i="7"/>
  <c r="H1068" i="7" s="1"/>
  <c r="B1068" i="7"/>
  <c r="M1067" i="7"/>
  <c r="J1067" i="7"/>
  <c r="K1067" i="7" s="1"/>
  <c r="L1067" i="7" s="1"/>
  <c r="G1067" i="7"/>
  <c r="H1067" i="7" s="1"/>
  <c r="B1067" i="7"/>
  <c r="M1066" i="7"/>
  <c r="J1066" i="7"/>
  <c r="K1066" i="7" s="1"/>
  <c r="L1066" i="7" s="1"/>
  <c r="G1066" i="7"/>
  <c r="H1066" i="7" s="1"/>
  <c r="B1066" i="7"/>
  <c r="M1065" i="7"/>
  <c r="J1065" i="7"/>
  <c r="K1065" i="7" s="1"/>
  <c r="L1065" i="7" s="1"/>
  <c r="G1065" i="7"/>
  <c r="H1065" i="7" s="1"/>
  <c r="B1065" i="7"/>
  <c r="M1064" i="7"/>
  <c r="J1064" i="7"/>
  <c r="K1064" i="7" s="1"/>
  <c r="L1064" i="7" s="1"/>
  <c r="G1064" i="7"/>
  <c r="H1064" i="7" s="1"/>
  <c r="B1064" i="7"/>
  <c r="M1063" i="7"/>
  <c r="J1063" i="7"/>
  <c r="K1063" i="7" s="1"/>
  <c r="L1063" i="7" s="1"/>
  <c r="G1063" i="7"/>
  <c r="H1063" i="7" s="1"/>
  <c r="B1063" i="7"/>
  <c r="M1062" i="7"/>
  <c r="J1062" i="7"/>
  <c r="K1062" i="7" s="1"/>
  <c r="L1062" i="7" s="1"/>
  <c r="G1062" i="7"/>
  <c r="H1062" i="7" s="1"/>
  <c r="B1062" i="7"/>
  <c r="M1061" i="7"/>
  <c r="J1061" i="7"/>
  <c r="K1061" i="7" s="1"/>
  <c r="L1061" i="7" s="1"/>
  <c r="G1061" i="7"/>
  <c r="H1061" i="7" s="1"/>
  <c r="B1061" i="7"/>
  <c r="M1060" i="7"/>
  <c r="J1060" i="7"/>
  <c r="K1060" i="7" s="1"/>
  <c r="L1060" i="7" s="1"/>
  <c r="G1060" i="7"/>
  <c r="H1060" i="7" s="1"/>
  <c r="B1060" i="7"/>
  <c r="M1059" i="7"/>
  <c r="J1059" i="7"/>
  <c r="K1059" i="7" s="1"/>
  <c r="L1059" i="7" s="1"/>
  <c r="G1059" i="7"/>
  <c r="H1059" i="7" s="1"/>
  <c r="B1059" i="7"/>
  <c r="M1058" i="7"/>
  <c r="J1058" i="7"/>
  <c r="K1058" i="7" s="1"/>
  <c r="L1058" i="7" s="1"/>
  <c r="G1058" i="7"/>
  <c r="H1058" i="7" s="1"/>
  <c r="B1058" i="7"/>
  <c r="M1057" i="7"/>
  <c r="J1057" i="7"/>
  <c r="K1057" i="7" s="1"/>
  <c r="L1057" i="7" s="1"/>
  <c r="G1057" i="7"/>
  <c r="H1057" i="7" s="1"/>
  <c r="B1057" i="7"/>
  <c r="M1056" i="7"/>
  <c r="J1056" i="7"/>
  <c r="K1056" i="7" s="1"/>
  <c r="L1056" i="7" s="1"/>
  <c r="G1056" i="7"/>
  <c r="H1056" i="7" s="1"/>
  <c r="B1056" i="7"/>
  <c r="M1055" i="7"/>
  <c r="J1055" i="7"/>
  <c r="K1055" i="7" s="1"/>
  <c r="L1055" i="7" s="1"/>
  <c r="G1055" i="7"/>
  <c r="H1055" i="7" s="1"/>
  <c r="B1055" i="7"/>
  <c r="M1054" i="7"/>
  <c r="J1054" i="7"/>
  <c r="K1054" i="7" s="1"/>
  <c r="L1054" i="7" s="1"/>
  <c r="G1054" i="7"/>
  <c r="H1054" i="7" s="1"/>
  <c r="B1054" i="7"/>
  <c r="M1053" i="7"/>
  <c r="J1053" i="7"/>
  <c r="K1053" i="7" s="1"/>
  <c r="L1053" i="7" s="1"/>
  <c r="G1053" i="7"/>
  <c r="H1053" i="7" s="1"/>
  <c r="B1053" i="7"/>
  <c r="M1052" i="7"/>
  <c r="J1052" i="7"/>
  <c r="K1052" i="7" s="1"/>
  <c r="L1052" i="7" s="1"/>
  <c r="G1052" i="7"/>
  <c r="H1052" i="7" s="1"/>
  <c r="B1052" i="7"/>
  <c r="M1051" i="7"/>
  <c r="J1051" i="7"/>
  <c r="K1051" i="7" s="1"/>
  <c r="L1051" i="7" s="1"/>
  <c r="G1051" i="7"/>
  <c r="H1051" i="7" s="1"/>
  <c r="B1051" i="7"/>
  <c r="M1050" i="7"/>
  <c r="J1050" i="7"/>
  <c r="K1050" i="7" s="1"/>
  <c r="L1050" i="7" s="1"/>
  <c r="G1050" i="7"/>
  <c r="H1050" i="7" s="1"/>
  <c r="B1050" i="7"/>
  <c r="M1049" i="7"/>
  <c r="J1049" i="7"/>
  <c r="K1049" i="7" s="1"/>
  <c r="L1049" i="7" s="1"/>
  <c r="G1049" i="7"/>
  <c r="H1049" i="7" s="1"/>
  <c r="B1049" i="7"/>
  <c r="M1048" i="7"/>
  <c r="J1048" i="7"/>
  <c r="K1048" i="7" s="1"/>
  <c r="L1048" i="7" s="1"/>
  <c r="G1048" i="7"/>
  <c r="H1048" i="7" s="1"/>
  <c r="B1048" i="7"/>
  <c r="M1047" i="7"/>
  <c r="J1047" i="7"/>
  <c r="K1047" i="7" s="1"/>
  <c r="L1047" i="7" s="1"/>
  <c r="G1047" i="7"/>
  <c r="H1047" i="7" s="1"/>
  <c r="B1047" i="7"/>
  <c r="M1046" i="7"/>
  <c r="J1046" i="7"/>
  <c r="K1046" i="7" s="1"/>
  <c r="L1046" i="7" s="1"/>
  <c r="G1046" i="7"/>
  <c r="H1046" i="7" s="1"/>
  <c r="B1046" i="7"/>
  <c r="M1045" i="7"/>
  <c r="J1045" i="7"/>
  <c r="K1045" i="7" s="1"/>
  <c r="L1045" i="7" s="1"/>
  <c r="G1045" i="7"/>
  <c r="H1045" i="7" s="1"/>
  <c r="B1045" i="7"/>
  <c r="M1044" i="7"/>
  <c r="J1044" i="7"/>
  <c r="K1044" i="7" s="1"/>
  <c r="L1044" i="7" s="1"/>
  <c r="G1044" i="7"/>
  <c r="H1044" i="7" s="1"/>
  <c r="B1044" i="7"/>
  <c r="M1043" i="7"/>
  <c r="J1043" i="7"/>
  <c r="K1043" i="7" s="1"/>
  <c r="L1043" i="7" s="1"/>
  <c r="G1043" i="7"/>
  <c r="H1043" i="7" s="1"/>
  <c r="B1043" i="7"/>
  <c r="M1042" i="7"/>
  <c r="J1042" i="7"/>
  <c r="K1042" i="7" s="1"/>
  <c r="L1042" i="7" s="1"/>
  <c r="G1042" i="7"/>
  <c r="H1042" i="7" s="1"/>
  <c r="B1042" i="7"/>
  <c r="M1041" i="7"/>
  <c r="J1041" i="7"/>
  <c r="K1041" i="7" s="1"/>
  <c r="L1041" i="7" s="1"/>
  <c r="G1041" i="7"/>
  <c r="H1041" i="7" s="1"/>
  <c r="B1041" i="7"/>
  <c r="M1040" i="7"/>
  <c r="J1040" i="7"/>
  <c r="K1040" i="7" s="1"/>
  <c r="L1040" i="7" s="1"/>
  <c r="G1040" i="7"/>
  <c r="H1040" i="7" s="1"/>
  <c r="B1040" i="7"/>
  <c r="M1039" i="7"/>
  <c r="J1039" i="7"/>
  <c r="K1039" i="7" s="1"/>
  <c r="L1039" i="7" s="1"/>
  <c r="G1039" i="7"/>
  <c r="H1039" i="7" s="1"/>
  <c r="B1039" i="7"/>
  <c r="M1038" i="7"/>
  <c r="J1038" i="7"/>
  <c r="K1038" i="7" s="1"/>
  <c r="L1038" i="7" s="1"/>
  <c r="G1038" i="7"/>
  <c r="H1038" i="7" s="1"/>
  <c r="B1038" i="7"/>
  <c r="M1037" i="7"/>
  <c r="J1037" i="7"/>
  <c r="K1037" i="7" s="1"/>
  <c r="L1037" i="7" s="1"/>
  <c r="G1037" i="7"/>
  <c r="H1037" i="7" s="1"/>
  <c r="B1037" i="7"/>
  <c r="M1036" i="7"/>
  <c r="J1036" i="7"/>
  <c r="K1036" i="7" s="1"/>
  <c r="L1036" i="7" s="1"/>
  <c r="G1036" i="7"/>
  <c r="H1036" i="7" s="1"/>
  <c r="B1036" i="7"/>
  <c r="M1035" i="7"/>
  <c r="J1035" i="7"/>
  <c r="K1035" i="7" s="1"/>
  <c r="L1035" i="7" s="1"/>
  <c r="G1035" i="7"/>
  <c r="H1035" i="7" s="1"/>
  <c r="B1035" i="7"/>
  <c r="M1034" i="7"/>
  <c r="J1034" i="7"/>
  <c r="K1034" i="7" s="1"/>
  <c r="L1034" i="7" s="1"/>
  <c r="G1034" i="7"/>
  <c r="H1034" i="7" s="1"/>
  <c r="B1034" i="7"/>
  <c r="M1033" i="7"/>
  <c r="J1033" i="7"/>
  <c r="K1033" i="7" s="1"/>
  <c r="L1033" i="7" s="1"/>
  <c r="G1033" i="7"/>
  <c r="H1033" i="7" s="1"/>
  <c r="B1033" i="7"/>
  <c r="M1032" i="7"/>
  <c r="J1032" i="7"/>
  <c r="K1032" i="7" s="1"/>
  <c r="L1032" i="7" s="1"/>
  <c r="G1032" i="7"/>
  <c r="H1032" i="7" s="1"/>
  <c r="B1032" i="7"/>
  <c r="M1031" i="7"/>
  <c r="J1031" i="7"/>
  <c r="K1031" i="7" s="1"/>
  <c r="L1031" i="7" s="1"/>
  <c r="G1031" i="7"/>
  <c r="H1031" i="7" s="1"/>
  <c r="B1031" i="7"/>
  <c r="M1030" i="7"/>
  <c r="J1030" i="7"/>
  <c r="K1030" i="7" s="1"/>
  <c r="L1030" i="7" s="1"/>
  <c r="G1030" i="7"/>
  <c r="H1030" i="7" s="1"/>
  <c r="B1030" i="7"/>
  <c r="M1029" i="7"/>
  <c r="J1029" i="7"/>
  <c r="K1029" i="7" s="1"/>
  <c r="L1029" i="7" s="1"/>
  <c r="G1029" i="7"/>
  <c r="H1029" i="7" s="1"/>
  <c r="B1029" i="7"/>
  <c r="M1028" i="7"/>
  <c r="J1028" i="7"/>
  <c r="K1028" i="7" s="1"/>
  <c r="L1028" i="7" s="1"/>
  <c r="G1028" i="7"/>
  <c r="H1028" i="7" s="1"/>
  <c r="B1028" i="7"/>
  <c r="M1027" i="7"/>
  <c r="J1027" i="7"/>
  <c r="K1027" i="7" s="1"/>
  <c r="L1027" i="7" s="1"/>
  <c r="G1027" i="7"/>
  <c r="H1027" i="7" s="1"/>
  <c r="B1027" i="7"/>
  <c r="M1026" i="7"/>
  <c r="J1026" i="7"/>
  <c r="K1026" i="7" s="1"/>
  <c r="L1026" i="7" s="1"/>
  <c r="G1026" i="7"/>
  <c r="H1026" i="7" s="1"/>
  <c r="B1026" i="7"/>
  <c r="M1025" i="7"/>
  <c r="J1025" i="7"/>
  <c r="K1025" i="7" s="1"/>
  <c r="L1025" i="7" s="1"/>
  <c r="G1025" i="7"/>
  <c r="H1025" i="7" s="1"/>
  <c r="B1025" i="7"/>
  <c r="M1024" i="7"/>
  <c r="J1024" i="7"/>
  <c r="K1024" i="7" s="1"/>
  <c r="L1024" i="7" s="1"/>
  <c r="G1024" i="7"/>
  <c r="H1024" i="7" s="1"/>
  <c r="B1024" i="7"/>
  <c r="M1023" i="7"/>
  <c r="J1023" i="7"/>
  <c r="K1023" i="7" s="1"/>
  <c r="L1023" i="7" s="1"/>
  <c r="G1023" i="7"/>
  <c r="H1023" i="7" s="1"/>
  <c r="B1023" i="7"/>
  <c r="M1022" i="7"/>
  <c r="J1022" i="7"/>
  <c r="K1022" i="7" s="1"/>
  <c r="L1022" i="7" s="1"/>
  <c r="G1022" i="7"/>
  <c r="H1022" i="7" s="1"/>
  <c r="B1022" i="7"/>
  <c r="M1021" i="7"/>
  <c r="J1021" i="7"/>
  <c r="K1021" i="7" s="1"/>
  <c r="L1021" i="7" s="1"/>
  <c r="G1021" i="7"/>
  <c r="H1021" i="7" s="1"/>
  <c r="B1021" i="7"/>
  <c r="M1020" i="7"/>
  <c r="J1020" i="7"/>
  <c r="K1020" i="7" s="1"/>
  <c r="L1020" i="7" s="1"/>
  <c r="G1020" i="7"/>
  <c r="H1020" i="7" s="1"/>
  <c r="B1020" i="7"/>
  <c r="M1019" i="7"/>
  <c r="J1019" i="7"/>
  <c r="K1019" i="7" s="1"/>
  <c r="L1019" i="7" s="1"/>
  <c r="G1019" i="7"/>
  <c r="H1019" i="7" s="1"/>
  <c r="B1019" i="7"/>
  <c r="M1018" i="7"/>
  <c r="J1018" i="7"/>
  <c r="K1018" i="7" s="1"/>
  <c r="L1018" i="7" s="1"/>
  <c r="G1018" i="7"/>
  <c r="H1018" i="7" s="1"/>
  <c r="B1018" i="7"/>
  <c r="M1017" i="7"/>
  <c r="J1017" i="7"/>
  <c r="K1017" i="7" s="1"/>
  <c r="L1017" i="7" s="1"/>
  <c r="G1017" i="7"/>
  <c r="H1017" i="7" s="1"/>
  <c r="B1017" i="7"/>
  <c r="M1016" i="7"/>
  <c r="J1016" i="7"/>
  <c r="K1016" i="7" s="1"/>
  <c r="L1016" i="7" s="1"/>
  <c r="G1016" i="7"/>
  <c r="H1016" i="7" s="1"/>
  <c r="B1016" i="7"/>
  <c r="M1015" i="7"/>
  <c r="J1015" i="7"/>
  <c r="K1015" i="7" s="1"/>
  <c r="L1015" i="7" s="1"/>
  <c r="G1015" i="7"/>
  <c r="H1015" i="7" s="1"/>
  <c r="B1015" i="7"/>
  <c r="M1014" i="7"/>
  <c r="J1014" i="7"/>
  <c r="K1014" i="7" s="1"/>
  <c r="L1014" i="7" s="1"/>
  <c r="G1014" i="7"/>
  <c r="H1014" i="7" s="1"/>
  <c r="B1014" i="7"/>
  <c r="M1013" i="7"/>
  <c r="J1013" i="7"/>
  <c r="K1013" i="7" s="1"/>
  <c r="L1013" i="7" s="1"/>
  <c r="G1013" i="7"/>
  <c r="H1013" i="7" s="1"/>
  <c r="B1013" i="7"/>
  <c r="M1012" i="7"/>
  <c r="J1012" i="7"/>
  <c r="K1012" i="7" s="1"/>
  <c r="L1012" i="7" s="1"/>
  <c r="G1012" i="7"/>
  <c r="H1012" i="7" s="1"/>
  <c r="B1012" i="7"/>
  <c r="M1011" i="7"/>
  <c r="J1011" i="7"/>
  <c r="K1011" i="7" s="1"/>
  <c r="L1011" i="7" s="1"/>
  <c r="G1011" i="7"/>
  <c r="H1011" i="7" s="1"/>
  <c r="B1011" i="7"/>
  <c r="M1010" i="7"/>
  <c r="J1010" i="7"/>
  <c r="K1010" i="7" s="1"/>
  <c r="L1010" i="7" s="1"/>
  <c r="G1010" i="7"/>
  <c r="H1010" i="7" s="1"/>
  <c r="B1010" i="7"/>
  <c r="M1009" i="7"/>
  <c r="J1009" i="7"/>
  <c r="K1009" i="7" s="1"/>
  <c r="L1009" i="7" s="1"/>
  <c r="G1009" i="7"/>
  <c r="H1009" i="7" s="1"/>
  <c r="B1009" i="7"/>
  <c r="M1008" i="7"/>
  <c r="J1008" i="7"/>
  <c r="K1008" i="7" s="1"/>
  <c r="L1008" i="7" s="1"/>
  <c r="G1008" i="7"/>
  <c r="H1008" i="7" s="1"/>
  <c r="B1008" i="7"/>
  <c r="M1007" i="7"/>
  <c r="J1007" i="7"/>
  <c r="K1007" i="7" s="1"/>
  <c r="L1007" i="7" s="1"/>
  <c r="G1007" i="7"/>
  <c r="H1007" i="7" s="1"/>
  <c r="B1007" i="7"/>
  <c r="M1006" i="7"/>
  <c r="J1006" i="7"/>
  <c r="K1006" i="7" s="1"/>
  <c r="L1006" i="7" s="1"/>
  <c r="G1006" i="7"/>
  <c r="H1006" i="7" s="1"/>
  <c r="B1006" i="7"/>
  <c r="M1005" i="7"/>
  <c r="J1005" i="7"/>
  <c r="K1005" i="7" s="1"/>
  <c r="L1005" i="7" s="1"/>
  <c r="G1005" i="7"/>
  <c r="H1005" i="7" s="1"/>
  <c r="B1005" i="7"/>
  <c r="M1004" i="7"/>
  <c r="J1004" i="7"/>
  <c r="K1004" i="7" s="1"/>
  <c r="L1004" i="7" s="1"/>
  <c r="G1004" i="7"/>
  <c r="H1004" i="7" s="1"/>
  <c r="B1004" i="7"/>
  <c r="M1003" i="7"/>
  <c r="J1003" i="7"/>
  <c r="K1003" i="7" s="1"/>
  <c r="L1003" i="7" s="1"/>
  <c r="G1003" i="7"/>
  <c r="H1003" i="7" s="1"/>
  <c r="B1003" i="7"/>
  <c r="M1002" i="7"/>
  <c r="J1002" i="7"/>
  <c r="K1002" i="7" s="1"/>
  <c r="L1002" i="7" s="1"/>
  <c r="G1002" i="7"/>
  <c r="H1002" i="7" s="1"/>
  <c r="B1002" i="7"/>
  <c r="M1001" i="7"/>
  <c r="J1001" i="7"/>
  <c r="K1001" i="7" s="1"/>
  <c r="L1001" i="7" s="1"/>
  <c r="G1001" i="7"/>
  <c r="H1001" i="7" s="1"/>
  <c r="B1001" i="7"/>
  <c r="M1000" i="7"/>
  <c r="J1000" i="7"/>
  <c r="K1000" i="7" s="1"/>
  <c r="L1000" i="7" s="1"/>
  <c r="G1000" i="7"/>
  <c r="H1000" i="7" s="1"/>
  <c r="B1000" i="7"/>
  <c r="M999" i="7"/>
  <c r="J999" i="7"/>
  <c r="K999" i="7" s="1"/>
  <c r="L999" i="7" s="1"/>
  <c r="G999" i="7"/>
  <c r="H999" i="7" s="1"/>
  <c r="B999" i="7"/>
  <c r="M998" i="7"/>
  <c r="J998" i="7"/>
  <c r="K998" i="7" s="1"/>
  <c r="L998" i="7" s="1"/>
  <c r="G998" i="7"/>
  <c r="H998" i="7" s="1"/>
  <c r="B998" i="7"/>
  <c r="M997" i="7"/>
  <c r="J997" i="7"/>
  <c r="K997" i="7" s="1"/>
  <c r="L997" i="7" s="1"/>
  <c r="G997" i="7"/>
  <c r="H997" i="7" s="1"/>
  <c r="B997" i="7"/>
  <c r="M996" i="7"/>
  <c r="J996" i="7"/>
  <c r="K996" i="7" s="1"/>
  <c r="L996" i="7" s="1"/>
  <c r="G996" i="7"/>
  <c r="H996" i="7" s="1"/>
  <c r="B996" i="7"/>
  <c r="M995" i="7"/>
  <c r="J995" i="7"/>
  <c r="K995" i="7" s="1"/>
  <c r="L995" i="7" s="1"/>
  <c r="G995" i="7"/>
  <c r="H995" i="7" s="1"/>
  <c r="B995" i="7"/>
  <c r="M994" i="7"/>
  <c r="J994" i="7"/>
  <c r="K994" i="7" s="1"/>
  <c r="L994" i="7" s="1"/>
  <c r="G994" i="7"/>
  <c r="H994" i="7" s="1"/>
  <c r="B994" i="7"/>
  <c r="M993" i="7"/>
  <c r="J993" i="7"/>
  <c r="K993" i="7" s="1"/>
  <c r="L993" i="7" s="1"/>
  <c r="G993" i="7"/>
  <c r="H993" i="7" s="1"/>
  <c r="B993" i="7"/>
  <c r="M992" i="7"/>
  <c r="J992" i="7"/>
  <c r="K992" i="7" s="1"/>
  <c r="L992" i="7" s="1"/>
  <c r="G992" i="7"/>
  <c r="H992" i="7" s="1"/>
  <c r="B992" i="7"/>
  <c r="M991" i="7"/>
  <c r="J991" i="7"/>
  <c r="K991" i="7" s="1"/>
  <c r="L991" i="7" s="1"/>
  <c r="G991" i="7"/>
  <c r="H991" i="7" s="1"/>
  <c r="B991" i="7"/>
  <c r="M990" i="7"/>
  <c r="J990" i="7"/>
  <c r="K990" i="7" s="1"/>
  <c r="L990" i="7" s="1"/>
  <c r="G990" i="7"/>
  <c r="H990" i="7" s="1"/>
  <c r="B990" i="7"/>
  <c r="M989" i="7"/>
  <c r="J989" i="7"/>
  <c r="K989" i="7" s="1"/>
  <c r="L989" i="7" s="1"/>
  <c r="G989" i="7"/>
  <c r="H989" i="7" s="1"/>
  <c r="B989" i="7"/>
  <c r="M988" i="7"/>
  <c r="J988" i="7"/>
  <c r="K988" i="7" s="1"/>
  <c r="L988" i="7" s="1"/>
  <c r="G988" i="7"/>
  <c r="H988" i="7" s="1"/>
  <c r="B988" i="7"/>
  <c r="M987" i="7"/>
  <c r="J987" i="7"/>
  <c r="K987" i="7" s="1"/>
  <c r="L987" i="7" s="1"/>
  <c r="G987" i="7"/>
  <c r="H987" i="7" s="1"/>
  <c r="B987" i="7"/>
  <c r="M986" i="7"/>
  <c r="J986" i="7"/>
  <c r="K986" i="7" s="1"/>
  <c r="L986" i="7" s="1"/>
  <c r="G986" i="7"/>
  <c r="H986" i="7" s="1"/>
  <c r="B986" i="7"/>
  <c r="M985" i="7"/>
  <c r="J985" i="7"/>
  <c r="K985" i="7" s="1"/>
  <c r="L985" i="7" s="1"/>
  <c r="G985" i="7"/>
  <c r="H985" i="7" s="1"/>
  <c r="B985" i="7"/>
  <c r="M984" i="7"/>
  <c r="J984" i="7"/>
  <c r="K984" i="7" s="1"/>
  <c r="L984" i="7" s="1"/>
  <c r="G984" i="7"/>
  <c r="H984" i="7" s="1"/>
  <c r="B984" i="7"/>
  <c r="M983" i="7"/>
  <c r="J983" i="7"/>
  <c r="K983" i="7" s="1"/>
  <c r="L983" i="7" s="1"/>
  <c r="G983" i="7"/>
  <c r="H983" i="7" s="1"/>
  <c r="B983" i="7"/>
  <c r="M982" i="7"/>
  <c r="J982" i="7"/>
  <c r="K982" i="7" s="1"/>
  <c r="L982" i="7" s="1"/>
  <c r="G982" i="7"/>
  <c r="H982" i="7" s="1"/>
  <c r="B982" i="7"/>
  <c r="M981" i="7"/>
  <c r="J981" i="7"/>
  <c r="K981" i="7" s="1"/>
  <c r="L981" i="7" s="1"/>
  <c r="G981" i="7"/>
  <c r="H981" i="7" s="1"/>
  <c r="B981" i="7"/>
  <c r="M980" i="7"/>
  <c r="J980" i="7"/>
  <c r="K980" i="7" s="1"/>
  <c r="L980" i="7" s="1"/>
  <c r="G980" i="7"/>
  <c r="H980" i="7" s="1"/>
  <c r="B980" i="7"/>
  <c r="M979" i="7"/>
  <c r="J979" i="7"/>
  <c r="K979" i="7" s="1"/>
  <c r="L979" i="7" s="1"/>
  <c r="G979" i="7"/>
  <c r="H979" i="7" s="1"/>
  <c r="B979" i="7"/>
  <c r="M978" i="7"/>
  <c r="J978" i="7"/>
  <c r="K978" i="7" s="1"/>
  <c r="L978" i="7" s="1"/>
  <c r="G978" i="7"/>
  <c r="H978" i="7" s="1"/>
  <c r="B978" i="7"/>
  <c r="M977" i="7"/>
  <c r="J977" i="7"/>
  <c r="K977" i="7" s="1"/>
  <c r="L977" i="7" s="1"/>
  <c r="G977" i="7"/>
  <c r="H977" i="7" s="1"/>
  <c r="B977" i="7"/>
  <c r="M976" i="7"/>
  <c r="J976" i="7"/>
  <c r="K976" i="7" s="1"/>
  <c r="L976" i="7" s="1"/>
  <c r="G976" i="7"/>
  <c r="H976" i="7" s="1"/>
  <c r="B976" i="7"/>
  <c r="M975" i="7"/>
  <c r="J975" i="7"/>
  <c r="K975" i="7" s="1"/>
  <c r="L975" i="7" s="1"/>
  <c r="G975" i="7"/>
  <c r="H975" i="7" s="1"/>
  <c r="B975" i="7"/>
  <c r="M974" i="7"/>
  <c r="J974" i="7"/>
  <c r="K974" i="7" s="1"/>
  <c r="L974" i="7" s="1"/>
  <c r="G974" i="7"/>
  <c r="H974" i="7" s="1"/>
  <c r="B974" i="7"/>
  <c r="M973" i="7"/>
  <c r="J973" i="7"/>
  <c r="K973" i="7" s="1"/>
  <c r="L973" i="7" s="1"/>
  <c r="G973" i="7"/>
  <c r="H973" i="7" s="1"/>
  <c r="B973" i="7"/>
  <c r="M972" i="7"/>
  <c r="J972" i="7"/>
  <c r="K972" i="7" s="1"/>
  <c r="L972" i="7" s="1"/>
  <c r="G972" i="7"/>
  <c r="H972" i="7" s="1"/>
  <c r="B972" i="7"/>
  <c r="M971" i="7"/>
  <c r="J971" i="7"/>
  <c r="K971" i="7" s="1"/>
  <c r="L971" i="7" s="1"/>
  <c r="G971" i="7"/>
  <c r="H971" i="7" s="1"/>
  <c r="B971" i="7"/>
  <c r="M970" i="7"/>
  <c r="J970" i="7"/>
  <c r="K970" i="7" s="1"/>
  <c r="L970" i="7" s="1"/>
  <c r="G970" i="7"/>
  <c r="H970" i="7" s="1"/>
  <c r="B970" i="7"/>
  <c r="M969" i="7"/>
  <c r="J969" i="7"/>
  <c r="K969" i="7" s="1"/>
  <c r="L969" i="7" s="1"/>
  <c r="G969" i="7"/>
  <c r="H969" i="7" s="1"/>
  <c r="B969" i="7"/>
  <c r="M968" i="7"/>
  <c r="J968" i="7"/>
  <c r="K968" i="7" s="1"/>
  <c r="L968" i="7" s="1"/>
  <c r="G968" i="7"/>
  <c r="H968" i="7" s="1"/>
  <c r="B968" i="7"/>
  <c r="M967" i="7"/>
  <c r="J967" i="7"/>
  <c r="K967" i="7" s="1"/>
  <c r="L967" i="7" s="1"/>
  <c r="G967" i="7"/>
  <c r="H967" i="7" s="1"/>
  <c r="B967" i="7"/>
  <c r="M966" i="7"/>
  <c r="J966" i="7"/>
  <c r="K966" i="7" s="1"/>
  <c r="L966" i="7" s="1"/>
  <c r="G966" i="7"/>
  <c r="H966" i="7" s="1"/>
  <c r="B966" i="7"/>
  <c r="M965" i="7"/>
  <c r="J965" i="7"/>
  <c r="K965" i="7" s="1"/>
  <c r="L965" i="7" s="1"/>
  <c r="G965" i="7"/>
  <c r="H965" i="7" s="1"/>
  <c r="B965" i="7"/>
  <c r="M964" i="7"/>
  <c r="J964" i="7"/>
  <c r="K964" i="7" s="1"/>
  <c r="L964" i="7" s="1"/>
  <c r="G964" i="7"/>
  <c r="H964" i="7" s="1"/>
  <c r="B964" i="7"/>
  <c r="M963" i="7"/>
  <c r="J963" i="7"/>
  <c r="K963" i="7" s="1"/>
  <c r="L963" i="7" s="1"/>
  <c r="G963" i="7"/>
  <c r="H963" i="7" s="1"/>
  <c r="B963" i="7"/>
  <c r="M962" i="7"/>
  <c r="J962" i="7"/>
  <c r="K962" i="7" s="1"/>
  <c r="L962" i="7" s="1"/>
  <c r="G962" i="7"/>
  <c r="H962" i="7" s="1"/>
  <c r="B962" i="7"/>
  <c r="M961" i="7"/>
  <c r="J961" i="7"/>
  <c r="K961" i="7" s="1"/>
  <c r="L961" i="7" s="1"/>
  <c r="G961" i="7"/>
  <c r="H961" i="7" s="1"/>
  <c r="B961" i="7"/>
  <c r="M960" i="7"/>
  <c r="J960" i="7"/>
  <c r="K960" i="7" s="1"/>
  <c r="L960" i="7" s="1"/>
  <c r="G960" i="7"/>
  <c r="H960" i="7" s="1"/>
  <c r="B960" i="7"/>
  <c r="M959" i="7"/>
  <c r="J959" i="7"/>
  <c r="K959" i="7" s="1"/>
  <c r="L959" i="7" s="1"/>
  <c r="G959" i="7"/>
  <c r="H959" i="7" s="1"/>
  <c r="B959" i="7"/>
  <c r="M958" i="7"/>
  <c r="J958" i="7"/>
  <c r="K958" i="7" s="1"/>
  <c r="L958" i="7" s="1"/>
  <c r="G958" i="7"/>
  <c r="H958" i="7" s="1"/>
  <c r="B958" i="7"/>
  <c r="M957" i="7"/>
  <c r="J957" i="7"/>
  <c r="K957" i="7" s="1"/>
  <c r="L957" i="7" s="1"/>
  <c r="G957" i="7"/>
  <c r="H957" i="7" s="1"/>
  <c r="B957" i="7"/>
  <c r="M956" i="7"/>
  <c r="J956" i="7"/>
  <c r="K956" i="7" s="1"/>
  <c r="L956" i="7" s="1"/>
  <c r="G956" i="7"/>
  <c r="H956" i="7" s="1"/>
  <c r="B956" i="7"/>
  <c r="M955" i="7"/>
  <c r="J955" i="7"/>
  <c r="K955" i="7" s="1"/>
  <c r="L955" i="7" s="1"/>
  <c r="G955" i="7"/>
  <c r="H955" i="7" s="1"/>
  <c r="B955" i="7"/>
  <c r="M954" i="7"/>
  <c r="J954" i="7"/>
  <c r="K954" i="7" s="1"/>
  <c r="L954" i="7" s="1"/>
  <c r="G954" i="7"/>
  <c r="H954" i="7" s="1"/>
  <c r="B954" i="7"/>
  <c r="M953" i="7"/>
  <c r="J953" i="7"/>
  <c r="K953" i="7" s="1"/>
  <c r="L953" i="7" s="1"/>
  <c r="G953" i="7"/>
  <c r="H953" i="7" s="1"/>
  <c r="B953" i="7"/>
  <c r="M952" i="7"/>
  <c r="J952" i="7"/>
  <c r="K952" i="7" s="1"/>
  <c r="L952" i="7" s="1"/>
  <c r="G952" i="7"/>
  <c r="H952" i="7" s="1"/>
  <c r="B952" i="7"/>
  <c r="M951" i="7"/>
  <c r="J951" i="7"/>
  <c r="K951" i="7" s="1"/>
  <c r="L951" i="7" s="1"/>
  <c r="G951" i="7"/>
  <c r="H951" i="7" s="1"/>
  <c r="B951" i="7"/>
  <c r="M950" i="7"/>
  <c r="J950" i="7"/>
  <c r="K950" i="7" s="1"/>
  <c r="L950" i="7" s="1"/>
  <c r="G950" i="7"/>
  <c r="H950" i="7" s="1"/>
  <c r="B950" i="7"/>
  <c r="M949" i="7"/>
  <c r="J949" i="7"/>
  <c r="K949" i="7" s="1"/>
  <c r="L949" i="7" s="1"/>
  <c r="G949" i="7"/>
  <c r="H949" i="7" s="1"/>
  <c r="B949" i="7"/>
  <c r="M948" i="7"/>
  <c r="J948" i="7"/>
  <c r="K948" i="7" s="1"/>
  <c r="L948" i="7" s="1"/>
  <c r="G948" i="7"/>
  <c r="H948" i="7" s="1"/>
  <c r="B948" i="7"/>
  <c r="M947" i="7"/>
  <c r="J947" i="7"/>
  <c r="K947" i="7" s="1"/>
  <c r="L947" i="7" s="1"/>
  <c r="G947" i="7"/>
  <c r="H947" i="7" s="1"/>
  <c r="B947" i="7"/>
  <c r="M946" i="7"/>
  <c r="J946" i="7"/>
  <c r="K946" i="7" s="1"/>
  <c r="L946" i="7" s="1"/>
  <c r="G946" i="7"/>
  <c r="H946" i="7" s="1"/>
  <c r="B946" i="7"/>
  <c r="M945" i="7"/>
  <c r="J945" i="7"/>
  <c r="K945" i="7" s="1"/>
  <c r="L945" i="7" s="1"/>
  <c r="G945" i="7"/>
  <c r="H945" i="7" s="1"/>
  <c r="B945" i="7"/>
  <c r="M944" i="7"/>
  <c r="J944" i="7"/>
  <c r="K944" i="7" s="1"/>
  <c r="L944" i="7" s="1"/>
  <c r="G944" i="7"/>
  <c r="H944" i="7" s="1"/>
  <c r="B944" i="7"/>
  <c r="M943" i="7"/>
  <c r="J943" i="7"/>
  <c r="K943" i="7" s="1"/>
  <c r="L943" i="7" s="1"/>
  <c r="G943" i="7"/>
  <c r="H943" i="7" s="1"/>
  <c r="B943" i="7"/>
  <c r="M942" i="7"/>
  <c r="J942" i="7"/>
  <c r="K942" i="7" s="1"/>
  <c r="L942" i="7" s="1"/>
  <c r="G942" i="7"/>
  <c r="H942" i="7" s="1"/>
  <c r="B942" i="7"/>
  <c r="M941" i="7"/>
  <c r="J941" i="7"/>
  <c r="K941" i="7" s="1"/>
  <c r="L941" i="7" s="1"/>
  <c r="G941" i="7"/>
  <c r="H941" i="7" s="1"/>
  <c r="B941" i="7"/>
  <c r="M940" i="7"/>
  <c r="J940" i="7"/>
  <c r="K940" i="7" s="1"/>
  <c r="L940" i="7" s="1"/>
  <c r="G940" i="7"/>
  <c r="H940" i="7" s="1"/>
  <c r="B940" i="7"/>
  <c r="M939" i="7"/>
  <c r="J939" i="7"/>
  <c r="K939" i="7" s="1"/>
  <c r="L939" i="7" s="1"/>
  <c r="G939" i="7"/>
  <c r="H939" i="7" s="1"/>
  <c r="B939" i="7"/>
  <c r="M938" i="7"/>
  <c r="J938" i="7"/>
  <c r="K938" i="7" s="1"/>
  <c r="L938" i="7" s="1"/>
  <c r="G938" i="7"/>
  <c r="H938" i="7" s="1"/>
  <c r="B938" i="7"/>
  <c r="M937" i="7"/>
  <c r="J937" i="7"/>
  <c r="K937" i="7" s="1"/>
  <c r="L937" i="7" s="1"/>
  <c r="G937" i="7"/>
  <c r="H937" i="7" s="1"/>
  <c r="B937" i="7"/>
  <c r="M936" i="7"/>
  <c r="J936" i="7"/>
  <c r="K936" i="7" s="1"/>
  <c r="L936" i="7" s="1"/>
  <c r="G936" i="7"/>
  <c r="H936" i="7" s="1"/>
  <c r="B936" i="7"/>
  <c r="M935" i="7"/>
  <c r="J935" i="7"/>
  <c r="K935" i="7" s="1"/>
  <c r="L935" i="7" s="1"/>
  <c r="G935" i="7"/>
  <c r="H935" i="7" s="1"/>
  <c r="B935" i="7"/>
  <c r="M934" i="7"/>
  <c r="J934" i="7"/>
  <c r="K934" i="7" s="1"/>
  <c r="L934" i="7" s="1"/>
  <c r="G934" i="7"/>
  <c r="H934" i="7" s="1"/>
  <c r="B934" i="7"/>
  <c r="M933" i="7"/>
  <c r="J933" i="7"/>
  <c r="K933" i="7" s="1"/>
  <c r="L933" i="7" s="1"/>
  <c r="G933" i="7"/>
  <c r="H933" i="7" s="1"/>
  <c r="B933" i="7"/>
  <c r="M932" i="7"/>
  <c r="J932" i="7"/>
  <c r="K932" i="7" s="1"/>
  <c r="L932" i="7" s="1"/>
  <c r="G932" i="7"/>
  <c r="H932" i="7" s="1"/>
  <c r="B932" i="7"/>
  <c r="M931" i="7"/>
  <c r="J931" i="7"/>
  <c r="K931" i="7" s="1"/>
  <c r="L931" i="7" s="1"/>
  <c r="G931" i="7"/>
  <c r="H931" i="7" s="1"/>
  <c r="B931" i="7"/>
  <c r="M930" i="7"/>
  <c r="J930" i="7"/>
  <c r="K930" i="7" s="1"/>
  <c r="L930" i="7" s="1"/>
  <c r="G930" i="7"/>
  <c r="H930" i="7" s="1"/>
  <c r="B930" i="7"/>
  <c r="M929" i="7"/>
  <c r="J929" i="7"/>
  <c r="K929" i="7" s="1"/>
  <c r="L929" i="7" s="1"/>
  <c r="G929" i="7"/>
  <c r="H929" i="7" s="1"/>
  <c r="B929" i="7"/>
  <c r="M928" i="7"/>
  <c r="J928" i="7"/>
  <c r="K928" i="7" s="1"/>
  <c r="L928" i="7" s="1"/>
  <c r="G928" i="7"/>
  <c r="H928" i="7" s="1"/>
  <c r="B928" i="7"/>
  <c r="M927" i="7"/>
  <c r="J927" i="7"/>
  <c r="K927" i="7" s="1"/>
  <c r="L927" i="7" s="1"/>
  <c r="G927" i="7"/>
  <c r="H927" i="7" s="1"/>
  <c r="B927" i="7"/>
  <c r="M926" i="7"/>
  <c r="J926" i="7"/>
  <c r="K926" i="7" s="1"/>
  <c r="L926" i="7" s="1"/>
  <c r="G926" i="7"/>
  <c r="H926" i="7" s="1"/>
  <c r="B926" i="7"/>
  <c r="M925" i="7"/>
  <c r="J925" i="7"/>
  <c r="K925" i="7" s="1"/>
  <c r="L925" i="7" s="1"/>
  <c r="G925" i="7"/>
  <c r="H925" i="7" s="1"/>
  <c r="B925" i="7"/>
  <c r="M924" i="7"/>
  <c r="J924" i="7"/>
  <c r="K924" i="7" s="1"/>
  <c r="L924" i="7" s="1"/>
  <c r="G924" i="7"/>
  <c r="H924" i="7" s="1"/>
  <c r="B924" i="7"/>
  <c r="M923" i="7"/>
  <c r="J923" i="7"/>
  <c r="K923" i="7" s="1"/>
  <c r="L923" i="7" s="1"/>
  <c r="G923" i="7"/>
  <c r="H923" i="7" s="1"/>
  <c r="B923" i="7"/>
  <c r="M922" i="7"/>
  <c r="J922" i="7"/>
  <c r="K922" i="7" s="1"/>
  <c r="L922" i="7" s="1"/>
  <c r="G922" i="7"/>
  <c r="H922" i="7" s="1"/>
  <c r="B922" i="7"/>
  <c r="M921" i="7"/>
  <c r="J921" i="7"/>
  <c r="K921" i="7" s="1"/>
  <c r="L921" i="7" s="1"/>
  <c r="G921" i="7"/>
  <c r="H921" i="7" s="1"/>
  <c r="B921" i="7"/>
  <c r="M920" i="7"/>
  <c r="J920" i="7"/>
  <c r="K920" i="7" s="1"/>
  <c r="L920" i="7" s="1"/>
  <c r="G920" i="7"/>
  <c r="H920" i="7" s="1"/>
  <c r="B920" i="7"/>
  <c r="M919" i="7"/>
  <c r="J919" i="7"/>
  <c r="K919" i="7" s="1"/>
  <c r="L919" i="7" s="1"/>
  <c r="G919" i="7"/>
  <c r="H919" i="7" s="1"/>
  <c r="B919" i="7"/>
  <c r="M918" i="7"/>
  <c r="J918" i="7"/>
  <c r="K918" i="7" s="1"/>
  <c r="L918" i="7" s="1"/>
  <c r="G918" i="7"/>
  <c r="H918" i="7" s="1"/>
  <c r="B918" i="7"/>
  <c r="M917" i="7"/>
  <c r="J917" i="7"/>
  <c r="K917" i="7" s="1"/>
  <c r="L917" i="7" s="1"/>
  <c r="G917" i="7"/>
  <c r="H917" i="7" s="1"/>
  <c r="B917" i="7"/>
  <c r="M916" i="7"/>
  <c r="J916" i="7"/>
  <c r="K916" i="7" s="1"/>
  <c r="L916" i="7" s="1"/>
  <c r="G916" i="7"/>
  <c r="H916" i="7" s="1"/>
  <c r="B916" i="7"/>
  <c r="M915" i="7"/>
  <c r="J915" i="7"/>
  <c r="K915" i="7" s="1"/>
  <c r="L915" i="7" s="1"/>
  <c r="G915" i="7"/>
  <c r="H915" i="7" s="1"/>
  <c r="B915" i="7"/>
  <c r="M914" i="7"/>
  <c r="J914" i="7"/>
  <c r="K914" i="7" s="1"/>
  <c r="L914" i="7" s="1"/>
  <c r="G914" i="7"/>
  <c r="H914" i="7" s="1"/>
  <c r="B914" i="7"/>
  <c r="M913" i="7"/>
  <c r="J913" i="7"/>
  <c r="K913" i="7" s="1"/>
  <c r="L913" i="7" s="1"/>
  <c r="G913" i="7"/>
  <c r="H913" i="7" s="1"/>
  <c r="B913" i="7"/>
  <c r="M912" i="7"/>
  <c r="J912" i="7"/>
  <c r="K912" i="7" s="1"/>
  <c r="L912" i="7" s="1"/>
  <c r="G912" i="7"/>
  <c r="H912" i="7" s="1"/>
  <c r="B912" i="7"/>
  <c r="M911" i="7"/>
  <c r="J911" i="7"/>
  <c r="K911" i="7" s="1"/>
  <c r="L911" i="7" s="1"/>
  <c r="G911" i="7"/>
  <c r="H911" i="7" s="1"/>
  <c r="B911" i="7"/>
  <c r="M910" i="7"/>
  <c r="J910" i="7"/>
  <c r="K910" i="7" s="1"/>
  <c r="L910" i="7" s="1"/>
  <c r="G910" i="7"/>
  <c r="H910" i="7" s="1"/>
  <c r="B910" i="7"/>
  <c r="M909" i="7"/>
  <c r="J909" i="7"/>
  <c r="K909" i="7" s="1"/>
  <c r="L909" i="7" s="1"/>
  <c r="G909" i="7"/>
  <c r="H909" i="7" s="1"/>
  <c r="B909" i="7"/>
  <c r="M908" i="7"/>
  <c r="J908" i="7"/>
  <c r="K908" i="7" s="1"/>
  <c r="L908" i="7" s="1"/>
  <c r="G908" i="7"/>
  <c r="H908" i="7" s="1"/>
  <c r="B908" i="7"/>
  <c r="M907" i="7"/>
  <c r="J907" i="7"/>
  <c r="K907" i="7" s="1"/>
  <c r="L907" i="7" s="1"/>
  <c r="G907" i="7"/>
  <c r="H907" i="7" s="1"/>
  <c r="B907" i="7"/>
  <c r="M906" i="7"/>
  <c r="J906" i="7"/>
  <c r="K906" i="7" s="1"/>
  <c r="L906" i="7" s="1"/>
  <c r="G906" i="7"/>
  <c r="H906" i="7" s="1"/>
  <c r="B906" i="7"/>
  <c r="M905" i="7"/>
  <c r="J905" i="7"/>
  <c r="K905" i="7" s="1"/>
  <c r="L905" i="7" s="1"/>
  <c r="G905" i="7"/>
  <c r="H905" i="7" s="1"/>
  <c r="B905" i="7"/>
  <c r="M904" i="7"/>
  <c r="J904" i="7"/>
  <c r="K904" i="7" s="1"/>
  <c r="L904" i="7" s="1"/>
  <c r="G904" i="7"/>
  <c r="H904" i="7" s="1"/>
  <c r="B904" i="7"/>
  <c r="M903" i="7"/>
  <c r="J903" i="7"/>
  <c r="K903" i="7" s="1"/>
  <c r="L903" i="7" s="1"/>
  <c r="G903" i="7"/>
  <c r="H903" i="7" s="1"/>
  <c r="B903" i="7"/>
  <c r="M902" i="7"/>
  <c r="J902" i="7"/>
  <c r="K902" i="7" s="1"/>
  <c r="L902" i="7" s="1"/>
  <c r="G902" i="7"/>
  <c r="H902" i="7" s="1"/>
  <c r="B902" i="7"/>
  <c r="M901" i="7"/>
  <c r="J901" i="7"/>
  <c r="K901" i="7" s="1"/>
  <c r="L901" i="7" s="1"/>
  <c r="G901" i="7"/>
  <c r="H901" i="7" s="1"/>
  <c r="B901" i="7"/>
  <c r="M900" i="7"/>
  <c r="J900" i="7"/>
  <c r="K900" i="7" s="1"/>
  <c r="L900" i="7" s="1"/>
  <c r="G900" i="7"/>
  <c r="H900" i="7" s="1"/>
  <c r="B900" i="7"/>
  <c r="M899" i="7"/>
  <c r="J899" i="7"/>
  <c r="K899" i="7" s="1"/>
  <c r="L899" i="7" s="1"/>
  <c r="G899" i="7"/>
  <c r="H899" i="7" s="1"/>
  <c r="B899" i="7"/>
  <c r="M898" i="7"/>
  <c r="J898" i="7"/>
  <c r="K898" i="7" s="1"/>
  <c r="L898" i="7" s="1"/>
  <c r="G898" i="7"/>
  <c r="H898" i="7" s="1"/>
  <c r="B898" i="7"/>
  <c r="M897" i="7"/>
  <c r="J897" i="7"/>
  <c r="K897" i="7" s="1"/>
  <c r="L897" i="7" s="1"/>
  <c r="G897" i="7"/>
  <c r="H897" i="7" s="1"/>
  <c r="B897" i="7"/>
  <c r="M896" i="7"/>
  <c r="J896" i="7"/>
  <c r="K896" i="7" s="1"/>
  <c r="L896" i="7" s="1"/>
  <c r="G896" i="7"/>
  <c r="H896" i="7" s="1"/>
  <c r="B896" i="7"/>
  <c r="M895" i="7"/>
  <c r="J895" i="7"/>
  <c r="K895" i="7" s="1"/>
  <c r="L895" i="7" s="1"/>
  <c r="G895" i="7"/>
  <c r="H895" i="7" s="1"/>
  <c r="B895" i="7"/>
  <c r="M894" i="7"/>
  <c r="J894" i="7"/>
  <c r="K894" i="7" s="1"/>
  <c r="L894" i="7" s="1"/>
  <c r="G894" i="7"/>
  <c r="H894" i="7" s="1"/>
  <c r="B894" i="7"/>
  <c r="M893" i="7"/>
  <c r="J893" i="7"/>
  <c r="K893" i="7" s="1"/>
  <c r="L893" i="7" s="1"/>
  <c r="G893" i="7"/>
  <c r="H893" i="7" s="1"/>
  <c r="B893" i="7"/>
  <c r="M892" i="7"/>
  <c r="J892" i="7"/>
  <c r="K892" i="7" s="1"/>
  <c r="L892" i="7" s="1"/>
  <c r="G892" i="7"/>
  <c r="H892" i="7" s="1"/>
  <c r="B892" i="7"/>
  <c r="M891" i="7"/>
  <c r="J891" i="7"/>
  <c r="K891" i="7" s="1"/>
  <c r="L891" i="7" s="1"/>
  <c r="G891" i="7"/>
  <c r="H891" i="7" s="1"/>
  <c r="B891" i="7"/>
  <c r="M890" i="7"/>
  <c r="J890" i="7"/>
  <c r="K890" i="7" s="1"/>
  <c r="L890" i="7" s="1"/>
  <c r="G890" i="7"/>
  <c r="H890" i="7" s="1"/>
  <c r="B890" i="7"/>
  <c r="M889" i="7"/>
  <c r="J889" i="7"/>
  <c r="K889" i="7" s="1"/>
  <c r="L889" i="7" s="1"/>
  <c r="G889" i="7"/>
  <c r="H889" i="7" s="1"/>
  <c r="B889" i="7"/>
  <c r="M888" i="7"/>
  <c r="J888" i="7"/>
  <c r="K888" i="7" s="1"/>
  <c r="L888" i="7" s="1"/>
  <c r="G888" i="7"/>
  <c r="H888" i="7" s="1"/>
  <c r="B888" i="7"/>
  <c r="M887" i="7"/>
  <c r="J887" i="7"/>
  <c r="K887" i="7" s="1"/>
  <c r="L887" i="7" s="1"/>
  <c r="G887" i="7"/>
  <c r="H887" i="7" s="1"/>
  <c r="B887" i="7"/>
  <c r="M886" i="7"/>
  <c r="J886" i="7"/>
  <c r="K886" i="7" s="1"/>
  <c r="L886" i="7" s="1"/>
  <c r="G886" i="7"/>
  <c r="H886" i="7" s="1"/>
  <c r="B886" i="7"/>
  <c r="M885" i="7"/>
  <c r="J885" i="7"/>
  <c r="K885" i="7" s="1"/>
  <c r="L885" i="7" s="1"/>
  <c r="G885" i="7"/>
  <c r="H885" i="7" s="1"/>
  <c r="B885" i="7"/>
  <c r="M884" i="7"/>
  <c r="J884" i="7"/>
  <c r="K884" i="7" s="1"/>
  <c r="L884" i="7" s="1"/>
  <c r="G884" i="7"/>
  <c r="H884" i="7" s="1"/>
  <c r="B884" i="7"/>
  <c r="M883" i="7"/>
  <c r="J883" i="7"/>
  <c r="K883" i="7" s="1"/>
  <c r="L883" i="7" s="1"/>
  <c r="G883" i="7"/>
  <c r="H883" i="7" s="1"/>
  <c r="B883" i="7"/>
  <c r="M882" i="7"/>
  <c r="J882" i="7"/>
  <c r="K882" i="7" s="1"/>
  <c r="L882" i="7" s="1"/>
  <c r="G882" i="7"/>
  <c r="H882" i="7" s="1"/>
  <c r="B882" i="7"/>
  <c r="M881" i="7"/>
  <c r="J881" i="7"/>
  <c r="K881" i="7" s="1"/>
  <c r="L881" i="7" s="1"/>
  <c r="G881" i="7"/>
  <c r="H881" i="7" s="1"/>
  <c r="B881" i="7"/>
  <c r="M880" i="7"/>
  <c r="J880" i="7"/>
  <c r="K880" i="7" s="1"/>
  <c r="L880" i="7" s="1"/>
  <c r="G880" i="7"/>
  <c r="H880" i="7" s="1"/>
  <c r="B880" i="7"/>
  <c r="M879" i="7"/>
  <c r="J879" i="7"/>
  <c r="K879" i="7" s="1"/>
  <c r="L879" i="7" s="1"/>
  <c r="G879" i="7"/>
  <c r="H879" i="7" s="1"/>
  <c r="B879" i="7"/>
  <c r="M878" i="7"/>
  <c r="J878" i="7"/>
  <c r="K878" i="7" s="1"/>
  <c r="L878" i="7" s="1"/>
  <c r="G878" i="7"/>
  <c r="H878" i="7" s="1"/>
  <c r="B878" i="7"/>
  <c r="M877" i="7"/>
  <c r="J877" i="7"/>
  <c r="K877" i="7" s="1"/>
  <c r="L877" i="7" s="1"/>
  <c r="G877" i="7"/>
  <c r="H877" i="7" s="1"/>
  <c r="B877" i="7"/>
  <c r="M876" i="7"/>
  <c r="J876" i="7"/>
  <c r="K876" i="7" s="1"/>
  <c r="L876" i="7" s="1"/>
  <c r="G876" i="7"/>
  <c r="H876" i="7" s="1"/>
  <c r="B876" i="7"/>
  <c r="M875" i="7"/>
  <c r="J875" i="7"/>
  <c r="K875" i="7" s="1"/>
  <c r="L875" i="7" s="1"/>
  <c r="G875" i="7"/>
  <c r="H875" i="7" s="1"/>
  <c r="B875" i="7"/>
  <c r="M874" i="7"/>
  <c r="J874" i="7"/>
  <c r="K874" i="7" s="1"/>
  <c r="L874" i="7" s="1"/>
  <c r="G874" i="7"/>
  <c r="H874" i="7" s="1"/>
  <c r="B874" i="7"/>
  <c r="M873" i="7"/>
  <c r="J873" i="7"/>
  <c r="K873" i="7" s="1"/>
  <c r="L873" i="7" s="1"/>
  <c r="G873" i="7"/>
  <c r="H873" i="7" s="1"/>
  <c r="B873" i="7"/>
  <c r="M872" i="7"/>
  <c r="J872" i="7"/>
  <c r="K872" i="7" s="1"/>
  <c r="L872" i="7" s="1"/>
  <c r="G872" i="7"/>
  <c r="H872" i="7" s="1"/>
  <c r="B872" i="7"/>
  <c r="M871" i="7"/>
  <c r="J871" i="7"/>
  <c r="K871" i="7" s="1"/>
  <c r="L871" i="7" s="1"/>
  <c r="G871" i="7"/>
  <c r="H871" i="7" s="1"/>
  <c r="B871" i="7"/>
  <c r="M870" i="7"/>
  <c r="J870" i="7"/>
  <c r="K870" i="7" s="1"/>
  <c r="L870" i="7" s="1"/>
  <c r="G870" i="7"/>
  <c r="H870" i="7" s="1"/>
  <c r="B870" i="7"/>
  <c r="M869" i="7"/>
  <c r="J869" i="7"/>
  <c r="K869" i="7" s="1"/>
  <c r="L869" i="7" s="1"/>
  <c r="G869" i="7"/>
  <c r="H869" i="7" s="1"/>
  <c r="B869" i="7"/>
  <c r="M868" i="7"/>
  <c r="J868" i="7"/>
  <c r="K868" i="7" s="1"/>
  <c r="L868" i="7" s="1"/>
  <c r="G868" i="7"/>
  <c r="H868" i="7" s="1"/>
  <c r="B868" i="7"/>
  <c r="M867" i="7"/>
  <c r="J867" i="7"/>
  <c r="K867" i="7" s="1"/>
  <c r="L867" i="7" s="1"/>
  <c r="G867" i="7"/>
  <c r="H867" i="7" s="1"/>
  <c r="B867" i="7"/>
  <c r="M866" i="7"/>
  <c r="J866" i="7"/>
  <c r="K866" i="7" s="1"/>
  <c r="L866" i="7" s="1"/>
  <c r="G866" i="7"/>
  <c r="H866" i="7" s="1"/>
  <c r="B866" i="7"/>
  <c r="M865" i="7"/>
  <c r="J865" i="7"/>
  <c r="K865" i="7" s="1"/>
  <c r="L865" i="7" s="1"/>
  <c r="G865" i="7"/>
  <c r="H865" i="7" s="1"/>
  <c r="B865" i="7"/>
  <c r="M864" i="7"/>
  <c r="J864" i="7"/>
  <c r="K864" i="7" s="1"/>
  <c r="L864" i="7" s="1"/>
  <c r="G864" i="7"/>
  <c r="H864" i="7" s="1"/>
  <c r="B864" i="7"/>
  <c r="M863" i="7"/>
  <c r="J863" i="7"/>
  <c r="K863" i="7" s="1"/>
  <c r="L863" i="7" s="1"/>
  <c r="G863" i="7"/>
  <c r="H863" i="7" s="1"/>
  <c r="B863" i="7"/>
  <c r="M862" i="7"/>
  <c r="J862" i="7"/>
  <c r="K862" i="7" s="1"/>
  <c r="L862" i="7" s="1"/>
  <c r="G862" i="7"/>
  <c r="H862" i="7" s="1"/>
  <c r="B862" i="7"/>
  <c r="M861" i="7"/>
  <c r="J861" i="7"/>
  <c r="K861" i="7" s="1"/>
  <c r="L861" i="7" s="1"/>
  <c r="G861" i="7"/>
  <c r="H861" i="7" s="1"/>
  <c r="B861" i="7"/>
  <c r="M860" i="7"/>
  <c r="J860" i="7"/>
  <c r="K860" i="7" s="1"/>
  <c r="L860" i="7" s="1"/>
  <c r="G860" i="7"/>
  <c r="H860" i="7" s="1"/>
  <c r="B860" i="7"/>
  <c r="M859" i="7"/>
  <c r="J859" i="7"/>
  <c r="K859" i="7" s="1"/>
  <c r="L859" i="7" s="1"/>
  <c r="G859" i="7"/>
  <c r="H859" i="7" s="1"/>
  <c r="B859" i="7"/>
  <c r="M858" i="7"/>
  <c r="J858" i="7"/>
  <c r="K858" i="7" s="1"/>
  <c r="L858" i="7" s="1"/>
  <c r="G858" i="7"/>
  <c r="H858" i="7" s="1"/>
  <c r="B858" i="7"/>
  <c r="M857" i="7"/>
  <c r="J857" i="7"/>
  <c r="K857" i="7" s="1"/>
  <c r="L857" i="7" s="1"/>
  <c r="G857" i="7"/>
  <c r="H857" i="7" s="1"/>
  <c r="B857" i="7"/>
  <c r="M856" i="7"/>
  <c r="J856" i="7"/>
  <c r="K856" i="7" s="1"/>
  <c r="L856" i="7" s="1"/>
  <c r="G856" i="7"/>
  <c r="H856" i="7" s="1"/>
  <c r="B856" i="7"/>
  <c r="M855" i="7"/>
  <c r="J855" i="7"/>
  <c r="K855" i="7" s="1"/>
  <c r="L855" i="7" s="1"/>
  <c r="G855" i="7"/>
  <c r="H855" i="7" s="1"/>
  <c r="B855" i="7"/>
  <c r="M854" i="7"/>
  <c r="J854" i="7"/>
  <c r="K854" i="7" s="1"/>
  <c r="L854" i="7" s="1"/>
  <c r="G854" i="7"/>
  <c r="H854" i="7" s="1"/>
  <c r="B854" i="7"/>
  <c r="M853" i="7"/>
  <c r="J853" i="7"/>
  <c r="K853" i="7" s="1"/>
  <c r="L853" i="7" s="1"/>
  <c r="G853" i="7"/>
  <c r="H853" i="7" s="1"/>
  <c r="B853" i="7"/>
  <c r="M852" i="7"/>
  <c r="J852" i="7"/>
  <c r="K852" i="7" s="1"/>
  <c r="L852" i="7" s="1"/>
  <c r="G852" i="7"/>
  <c r="H852" i="7" s="1"/>
  <c r="B852" i="7"/>
  <c r="M851" i="7"/>
  <c r="J851" i="7"/>
  <c r="K851" i="7" s="1"/>
  <c r="L851" i="7" s="1"/>
  <c r="G851" i="7"/>
  <c r="H851" i="7" s="1"/>
  <c r="B851" i="7"/>
  <c r="M850" i="7"/>
  <c r="J850" i="7"/>
  <c r="K850" i="7" s="1"/>
  <c r="L850" i="7" s="1"/>
  <c r="G850" i="7"/>
  <c r="H850" i="7" s="1"/>
  <c r="B850" i="7"/>
  <c r="M849" i="7"/>
  <c r="J849" i="7"/>
  <c r="K849" i="7" s="1"/>
  <c r="L849" i="7" s="1"/>
  <c r="G849" i="7"/>
  <c r="H849" i="7" s="1"/>
  <c r="B849" i="7"/>
  <c r="M848" i="7"/>
  <c r="J848" i="7"/>
  <c r="K848" i="7" s="1"/>
  <c r="L848" i="7" s="1"/>
  <c r="G848" i="7"/>
  <c r="H848" i="7" s="1"/>
  <c r="B848" i="7"/>
  <c r="M847" i="7"/>
  <c r="J847" i="7"/>
  <c r="K847" i="7" s="1"/>
  <c r="L847" i="7" s="1"/>
  <c r="G847" i="7"/>
  <c r="H847" i="7" s="1"/>
  <c r="B847" i="7"/>
  <c r="M846" i="7"/>
  <c r="J846" i="7"/>
  <c r="K846" i="7" s="1"/>
  <c r="L846" i="7" s="1"/>
  <c r="G846" i="7"/>
  <c r="H846" i="7" s="1"/>
  <c r="B846" i="7"/>
  <c r="M845" i="7"/>
  <c r="J845" i="7"/>
  <c r="K845" i="7" s="1"/>
  <c r="L845" i="7" s="1"/>
  <c r="G845" i="7"/>
  <c r="H845" i="7" s="1"/>
  <c r="B845" i="7"/>
  <c r="M844" i="7"/>
  <c r="J844" i="7"/>
  <c r="K844" i="7" s="1"/>
  <c r="L844" i="7" s="1"/>
  <c r="G844" i="7"/>
  <c r="H844" i="7" s="1"/>
  <c r="B844" i="7"/>
  <c r="M843" i="7"/>
  <c r="J843" i="7"/>
  <c r="K843" i="7" s="1"/>
  <c r="L843" i="7" s="1"/>
  <c r="G843" i="7"/>
  <c r="H843" i="7" s="1"/>
  <c r="B843" i="7"/>
  <c r="M842" i="7"/>
  <c r="J842" i="7"/>
  <c r="K842" i="7" s="1"/>
  <c r="L842" i="7" s="1"/>
  <c r="G842" i="7"/>
  <c r="H842" i="7" s="1"/>
  <c r="B842" i="7"/>
  <c r="M841" i="7"/>
  <c r="J841" i="7"/>
  <c r="K841" i="7" s="1"/>
  <c r="L841" i="7" s="1"/>
  <c r="G841" i="7"/>
  <c r="H841" i="7" s="1"/>
  <c r="B841" i="7"/>
  <c r="M840" i="7"/>
  <c r="J840" i="7"/>
  <c r="K840" i="7" s="1"/>
  <c r="L840" i="7" s="1"/>
  <c r="G840" i="7"/>
  <c r="H840" i="7" s="1"/>
  <c r="B840" i="7"/>
  <c r="M839" i="7"/>
  <c r="J839" i="7"/>
  <c r="K839" i="7" s="1"/>
  <c r="L839" i="7" s="1"/>
  <c r="G839" i="7"/>
  <c r="H839" i="7" s="1"/>
  <c r="B839" i="7"/>
  <c r="M838" i="7"/>
  <c r="J838" i="7"/>
  <c r="K838" i="7" s="1"/>
  <c r="L838" i="7" s="1"/>
  <c r="G838" i="7"/>
  <c r="H838" i="7" s="1"/>
  <c r="B838" i="7"/>
  <c r="M837" i="7"/>
  <c r="J837" i="7"/>
  <c r="K837" i="7" s="1"/>
  <c r="L837" i="7" s="1"/>
  <c r="G837" i="7"/>
  <c r="H837" i="7" s="1"/>
  <c r="B837" i="7"/>
  <c r="M836" i="7"/>
  <c r="J836" i="7"/>
  <c r="K836" i="7" s="1"/>
  <c r="L836" i="7" s="1"/>
  <c r="G836" i="7"/>
  <c r="H836" i="7" s="1"/>
  <c r="B836" i="7"/>
  <c r="M835" i="7"/>
  <c r="J835" i="7"/>
  <c r="K835" i="7" s="1"/>
  <c r="L835" i="7" s="1"/>
  <c r="G835" i="7"/>
  <c r="H835" i="7" s="1"/>
  <c r="B835" i="7"/>
  <c r="M834" i="7"/>
  <c r="J834" i="7"/>
  <c r="K834" i="7" s="1"/>
  <c r="L834" i="7" s="1"/>
  <c r="G834" i="7"/>
  <c r="H834" i="7" s="1"/>
  <c r="B834" i="7"/>
  <c r="M833" i="7"/>
  <c r="J833" i="7"/>
  <c r="K833" i="7" s="1"/>
  <c r="L833" i="7" s="1"/>
  <c r="G833" i="7"/>
  <c r="H833" i="7" s="1"/>
  <c r="B833" i="7"/>
  <c r="M832" i="7"/>
  <c r="J832" i="7"/>
  <c r="K832" i="7" s="1"/>
  <c r="L832" i="7" s="1"/>
  <c r="G832" i="7"/>
  <c r="H832" i="7" s="1"/>
  <c r="B832" i="7"/>
  <c r="M831" i="7"/>
  <c r="J831" i="7"/>
  <c r="K831" i="7" s="1"/>
  <c r="L831" i="7" s="1"/>
  <c r="G831" i="7"/>
  <c r="H831" i="7" s="1"/>
  <c r="B831" i="7"/>
  <c r="M830" i="7"/>
  <c r="J830" i="7"/>
  <c r="K830" i="7" s="1"/>
  <c r="L830" i="7" s="1"/>
  <c r="G830" i="7"/>
  <c r="H830" i="7" s="1"/>
  <c r="B830" i="7"/>
  <c r="M829" i="7"/>
  <c r="J829" i="7"/>
  <c r="K829" i="7" s="1"/>
  <c r="L829" i="7" s="1"/>
  <c r="G829" i="7"/>
  <c r="H829" i="7" s="1"/>
  <c r="B829" i="7"/>
  <c r="M828" i="7"/>
  <c r="J828" i="7"/>
  <c r="K828" i="7" s="1"/>
  <c r="L828" i="7" s="1"/>
  <c r="G828" i="7"/>
  <c r="H828" i="7" s="1"/>
  <c r="B828" i="7"/>
  <c r="M827" i="7"/>
  <c r="J827" i="7"/>
  <c r="K827" i="7" s="1"/>
  <c r="L827" i="7" s="1"/>
  <c r="G827" i="7"/>
  <c r="H827" i="7" s="1"/>
  <c r="B827" i="7"/>
  <c r="M826" i="7"/>
  <c r="J826" i="7"/>
  <c r="K826" i="7" s="1"/>
  <c r="L826" i="7" s="1"/>
  <c r="G826" i="7"/>
  <c r="H826" i="7" s="1"/>
  <c r="B826" i="7"/>
  <c r="M825" i="7"/>
  <c r="J825" i="7"/>
  <c r="K825" i="7" s="1"/>
  <c r="L825" i="7" s="1"/>
  <c r="G825" i="7"/>
  <c r="H825" i="7" s="1"/>
  <c r="B825" i="7"/>
  <c r="M824" i="7"/>
  <c r="J824" i="7"/>
  <c r="K824" i="7" s="1"/>
  <c r="L824" i="7" s="1"/>
  <c r="G824" i="7"/>
  <c r="H824" i="7" s="1"/>
  <c r="B824" i="7"/>
  <c r="M823" i="7"/>
  <c r="J823" i="7"/>
  <c r="K823" i="7" s="1"/>
  <c r="L823" i="7" s="1"/>
  <c r="G823" i="7"/>
  <c r="H823" i="7" s="1"/>
  <c r="B823" i="7"/>
  <c r="M822" i="7"/>
  <c r="J822" i="7"/>
  <c r="K822" i="7" s="1"/>
  <c r="L822" i="7" s="1"/>
  <c r="G822" i="7"/>
  <c r="H822" i="7" s="1"/>
  <c r="B822" i="7"/>
  <c r="M821" i="7"/>
  <c r="J821" i="7"/>
  <c r="K821" i="7" s="1"/>
  <c r="L821" i="7" s="1"/>
  <c r="G821" i="7"/>
  <c r="H821" i="7" s="1"/>
  <c r="B821" i="7"/>
  <c r="M820" i="7"/>
  <c r="J820" i="7"/>
  <c r="K820" i="7" s="1"/>
  <c r="L820" i="7" s="1"/>
  <c r="G820" i="7"/>
  <c r="H820" i="7" s="1"/>
  <c r="B820" i="7"/>
  <c r="M819" i="7"/>
  <c r="J819" i="7"/>
  <c r="K819" i="7" s="1"/>
  <c r="L819" i="7" s="1"/>
  <c r="G819" i="7"/>
  <c r="H819" i="7" s="1"/>
  <c r="B819" i="7"/>
  <c r="M818" i="7"/>
  <c r="J818" i="7"/>
  <c r="K818" i="7" s="1"/>
  <c r="L818" i="7" s="1"/>
  <c r="G818" i="7"/>
  <c r="H818" i="7" s="1"/>
  <c r="B818" i="7"/>
  <c r="M817" i="7"/>
  <c r="J817" i="7"/>
  <c r="K817" i="7" s="1"/>
  <c r="L817" i="7" s="1"/>
  <c r="G817" i="7"/>
  <c r="H817" i="7" s="1"/>
  <c r="B817" i="7"/>
  <c r="M816" i="7"/>
  <c r="J816" i="7"/>
  <c r="K816" i="7" s="1"/>
  <c r="L816" i="7" s="1"/>
  <c r="G816" i="7"/>
  <c r="H816" i="7" s="1"/>
  <c r="B816" i="7"/>
  <c r="M815" i="7"/>
  <c r="J815" i="7"/>
  <c r="K815" i="7" s="1"/>
  <c r="L815" i="7" s="1"/>
  <c r="G815" i="7"/>
  <c r="H815" i="7" s="1"/>
  <c r="B815" i="7"/>
  <c r="M814" i="7"/>
  <c r="J814" i="7"/>
  <c r="K814" i="7" s="1"/>
  <c r="L814" i="7" s="1"/>
  <c r="G814" i="7"/>
  <c r="H814" i="7" s="1"/>
  <c r="B814" i="7"/>
  <c r="M813" i="7"/>
  <c r="J813" i="7"/>
  <c r="K813" i="7" s="1"/>
  <c r="L813" i="7" s="1"/>
  <c r="G813" i="7"/>
  <c r="H813" i="7" s="1"/>
  <c r="B813" i="7"/>
  <c r="M812" i="7"/>
  <c r="J812" i="7"/>
  <c r="K812" i="7" s="1"/>
  <c r="L812" i="7" s="1"/>
  <c r="G812" i="7"/>
  <c r="H812" i="7" s="1"/>
  <c r="B812" i="7"/>
  <c r="M811" i="7"/>
  <c r="J811" i="7"/>
  <c r="K811" i="7" s="1"/>
  <c r="L811" i="7" s="1"/>
  <c r="G811" i="7"/>
  <c r="H811" i="7" s="1"/>
  <c r="B811" i="7"/>
  <c r="M810" i="7"/>
  <c r="J810" i="7"/>
  <c r="K810" i="7" s="1"/>
  <c r="L810" i="7" s="1"/>
  <c r="G810" i="7"/>
  <c r="H810" i="7" s="1"/>
  <c r="B810" i="7"/>
  <c r="M809" i="7"/>
  <c r="J809" i="7"/>
  <c r="K809" i="7" s="1"/>
  <c r="L809" i="7" s="1"/>
  <c r="G809" i="7"/>
  <c r="H809" i="7" s="1"/>
  <c r="B809" i="7"/>
  <c r="M808" i="7"/>
  <c r="J808" i="7"/>
  <c r="K808" i="7" s="1"/>
  <c r="L808" i="7" s="1"/>
  <c r="G808" i="7"/>
  <c r="H808" i="7" s="1"/>
  <c r="B808" i="7"/>
  <c r="M807" i="7"/>
  <c r="J807" i="7"/>
  <c r="K807" i="7" s="1"/>
  <c r="L807" i="7" s="1"/>
  <c r="G807" i="7"/>
  <c r="H807" i="7" s="1"/>
  <c r="B807" i="7"/>
  <c r="M806" i="7"/>
  <c r="J806" i="7"/>
  <c r="K806" i="7" s="1"/>
  <c r="L806" i="7" s="1"/>
  <c r="G806" i="7"/>
  <c r="H806" i="7" s="1"/>
  <c r="B806" i="7"/>
  <c r="M805" i="7"/>
  <c r="J805" i="7"/>
  <c r="K805" i="7" s="1"/>
  <c r="L805" i="7" s="1"/>
  <c r="G805" i="7"/>
  <c r="H805" i="7" s="1"/>
  <c r="B805" i="7"/>
  <c r="M804" i="7"/>
  <c r="J804" i="7"/>
  <c r="K804" i="7" s="1"/>
  <c r="L804" i="7" s="1"/>
  <c r="G804" i="7"/>
  <c r="H804" i="7" s="1"/>
  <c r="B804" i="7"/>
  <c r="M803" i="7"/>
  <c r="J803" i="7"/>
  <c r="K803" i="7" s="1"/>
  <c r="L803" i="7" s="1"/>
  <c r="G803" i="7"/>
  <c r="H803" i="7" s="1"/>
  <c r="B803" i="7"/>
  <c r="M802" i="7"/>
  <c r="J802" i="7"/>
  <c r="K802" i="7" s="1"/>
  <c r="L802" i="7" s="1"/>
  <c r="G802" i="7"/>
  <c r="H802" i="7" s="1"/>
  <c r="B802" i="7"/>
  <c r="M801" i="7"/>
  <c r="J801" i="7"/>
  <c r="K801" i="7" s="1"/>
  <c r="L801" i="7" s="1"/>
  <c r="G801" i="7"/>
  <c r="H801" i="7" s="1"/>
  <c r="B801" i="7"/>
  <c r="M800" i="7"/>
  <c r="J800" i="7"/>
  <c r="K800" i="7" s="1"/>
  <c r="L800" i="7" s="1"/>
  <c r="G800" i="7"/>
  <c r="H800" i="7" s="1"/>
  <c r="B800" i="7"/>
  <c r="M799" i="7"/>
  <c r="J799" i="7"/>
  <c r="K799" i="7" s="1"/>
  <c r="L799" i="7" s="1"/>
  <c r="G799" i="7"/>
  <c r="H799" i="7" s="1"/>
  <c r="B799" i="7"/>
  <c r="M798" i="7"/>
  <c r="J798" i="7"/>
  <c r="K798" i="7" s="1"/>
  <c r="L798" i="7" s="1"/>
  <c r="G798" i="7"/>
  <c r="H798" i="7" s="1"/>
  <c r="B798" i="7"/>
  <c r="M797" i="7"/>
  <c r="J797" i="7"/>
  <c r="K797" i="7" s="1"/>
  <c r="L797" i="7" s="1"/>
  <c r="G797" i="7"/>
  <c r="H797" i="7" s="1"/>
  <c r="B797" i="7"/>
  <c r="M796" i="7"/>
  <c r="J796" i="7"/>
  <c r="K796" i="7" s="1"/>
  <c r="L796" i="7" s="1"/>
  <c r="G796" i="7"/>
  <c r="H796" i="7" s="1"/>
  <c r="B796" i="7"/>
  <c r="M795" i="7"/>
  <c r="J795" i="7"/>
  <c r="K795" i="7" s="1"/>
  <c r="L795" i="7" s="1"/>
  <c r="G795" i="7"/>
  <c r="H795" i="7" s="1"/>
  <c r="B795" i="7"/>
  <c r="M794" i="7"/>
  <c r="J794" i="7"/>
  <c r="K794" i="7" s="1"/>
  <c r="L794" i="7" s="1"/>
  <c r="G794" i="7"/>
  <c r="H794" i="7" s="1"/>
  <c r="B794" i="7"/>
  <c r="M793" i="7"/>
  <c r="J793" i="7"/>
  <c r="K793" i="7" s="1"/>
  <c r="L793" i="7" s="1"/>
  <c r="G793" i="7"/>
  <c r="H793" i="7" s="1"/>
  <c r="B793" i="7"/>
  <c r="M792" i="7"/>
  <c r="J792" i="7"/>
  <c r="K792" i="7" s="1"/>
  <c r="L792" i="7" s="1"/>
  <c r="G792" i="7"/>
  <c r="H792" i="7" s="1"/>
  <c r="B792" i="7"/>
  <c r="M791" i="7"/>
  <c r="J791" i="7"/>
  <c r="K791" i="7" s="1"/>
  <c r="L791" i="7" s="1"/>
  <c r="G791" i="7"/>
  <c r="H791" i="7" s="1"/>
  <c r="B791" i="7"/>
  <c r="M790" i="7"/>
  <c r="J790" i="7"/>
  <c r="K790" i="7" s="1"/>
  <c r="L790" i="7" s="1"/>
  <c r="G790" i="7"/>
  <c r="H790" i="7" s="1"/>
  <c r="B790" i="7"/>
  <c r="M789" i="7"/>
  <c r="J789" i="7"/>
  <c r="K789" i="7" s="1"/>
  <c r="L789" i="7" s="1"/>
  <c r="G789" i="7"/>
  <c r="H789" i="7" s="1"/>
  <c r="B789" i="7"/>
  <c r="M788" i="7"/>
  <c r="J788" i="7"/>
  <c r="K788" i="7" s="1"/>
  <c r="L788" i="7" s="1"/>
  <c r="G788" i="7"/>
  <c r="H788" i="7" s="1"/>
  <c r="B788" i="7"/>
  <c r="M787" i="7"/>
  <c r="J787" i="7"/>
  <c r="K787" i="7" s="1"/>
  <c r="L787" i="7" s="1"/>
  <c r="G787" i="7"/>
  <c r="H787" i="7" s="1"/>
  <c r="B787" i="7"/>
  <c r="M786" i="7"/>
  <c r="J786" i="7"/>
  <c r="K786" i="7" s="1"/>
  <c r="L786" i="7" s="1"/>
  <c r="G786" i="7"/>
  <c r="H786" i="7" s="1"/>
  <c r="B786" i="7"/>
  <c r="M785" i="7"/>
  <c r="J785" i="7"/>
  <c r="K785" i="7" s="1"/>
  <c r="L785" i="7" s="1"/>
  <c r="G785" i="7"/>
  <c r="H785" i="7" s="1"/>
  <c r="B785" i="7"/>
  <c r="M784" i="7"/>
  <c r="J784" i="7"/>
  <c r="K784" i="7" s="1"/>
  <c r="L784" i="7" s="1"/>
  <c r="G784" i="7"/>
  <c r="H784" i="7" s="1"/>
  <c r="B784" i="7"/>
  <c r="M783" i="7"/>
  <c r="J783" i="7"/>
  <c r="K783" i="7" s="1"/>
  <c r="L783" i="7" s="1"/>
  <c r="G783" i="7"/>
  <c r="H783" i="7" s="1"/>
  <c r="B783" i="7"/>
  <c r="M782" i="7"/>
  <c r="J782" i="7"/>
  <c r="K782" i="7" s="1"/>
  <c r="L782" i="7" s="1"/>
  <c r="G782" i="7"/>
  <c r="H782" i="7" s="1"/>
  <c r="B782" i="7"/>
  <c r="M781" i="7"/>
  <c r="J781" i="7"/>
  <c r="K781" i="7" s="1"/>
  <c r="L781" i="7" s="1"/>
  <c r="G781" i="7"/>
  <c r="H781" i="7" s="1"/>
  <c r="B781" i="7"/>
  <c r="M780" i="7"/>
  <c r="J780" i="7"/>
  <c r="K780" i="7" s="1"/>
  <c r="L780" i="7" s="1"/>
  <c r="G780" i="7"/>
  <c r="H780" i="7" s="1"/>
  <c r="B780" i="7"/>
  <c r="M779" i="7"/>
  <c r="J779" i="7"/>
  <c r="K779" i="7" s="1"/>
  <c r="L779" i="7" s="1"/>
  <c r="G779" i="7"/>
  <c r="H779" i="7" s="1"/>
  <c r="B779" i="7"/>
  <c r="M778" i="7"/>
  <c r="J778" i="7"/>
  <c r="K778" i="7" s="1"/>
  <c r="L778" i="7" s="1"/>
  <c r="G778" i="7"/>
  <c r="H778" i="7" s="1"/>
  <c r="B778" i="7"/>
  <c r="M777" i="7"/>
  <c r="J777" i="7"/>
  <c r="K777" i="7" s="1"/>
  <c r="L777" i="7" s="1"/>
  <c r="G777" i="7"/>
  <c r="H777" i="7" s="1"/>
  <c r="B777" i="7"/>
  <c r="M776" i="7"/>
  <c r="J776" i="7"/>
  <c r="K776" i="7" s="1"/>
  <c r="L776" i="7" s="1"/>
  <c r="G776" i="7"/>
  <c r="H776" i="7" s="1"/>
  <c r="B776" i="7"/>
  <c r="M775" i="7"/>
  <c r="J775" i="7"/>
  <c r="K775" i="7" s="1"/>
  <c r="L775" i="7" s="1"/>
  <c r="G775" i="7"/>
  <c r="H775" i="7" s="1"/>
  <c r="B775" i="7"/>
  <c r="M774" i="7"/>
  <c r="J774" i="7"/>
  <c r="K774" i="7" s="1"/>
  <c r="L774" i="7" s="1"/>
  <c r="G774" i="7"/>
  <c r="H774" i="7" s="1"/>
  <c r="B774" i="7"/>
  <c r="M773" i="7"/>
  <c r="J773" i="7"/>
  <c r="K773" i="7" s="1"/>
  <c r="L773" i="7" s="1"/>
  <c r="G773" i="7"/>
  <c r="H773" i="7" s="1"/>
  <c r="B773" i="7"/>
  <c r="M772" i="7"/>
  <c r="J772" i="7"/>
  <c r="K772" i="7" s="1"/>
  <c r="L772" i="7" s="1"/>
  <c r="G772" i="7"/>
  <c r="H772" i="7" s="1"/>
  <c r="B772" i="7"/>
  <c r="M771" i="7"/>
  <c r="J771" i="7"/>
  <c r="K771" i="7" s="1"/>
  <c r="L771" i="7" s="1"/>
  <c r="G771" i="7"/>
  <c r="H771" i="7" s="1"/>
  <c r="B771" i="7"/>
  <c r="M770" i="7"/>
  <c r="J770" i="7"/>
  <c r="K770" i="7" s="1"/>
  <c r="L770" i="7" s="1"/>
  <c r="G770" i="7"/>
  <c r="H770" i="7" s="1"/>
  <c r="B770" i="7"/>
  <c r="M769" i="7"/>
  <c r="J769" i="7"/>
  <c r="K769" i="7" s="1"/>
  <c r="L769" i="7" s="1"/>
  <c r="G769" i="7"/>
  <c r="H769" i="7" s="1"/>
  <c r="B769" i="7"/>
  <c r="M768" i="7"/>
  <c r="J768" i="7"/>
  <c r="K768" i="7" s="1"/>
  <c r="L768" i="7" s="1"/>
  <c r="G768" i="7"/>
  <c r="H768" i="7" s="1"/>
  <c r="B768" i="7"/>
  <c r="M767" i="7"/>
  <c r="J767" i="7"/>
  <c r="K767" i="7" s="1"/>
  <c r="L767" i="7" s="1"/>
  <c r="G767" i="7"/>
  <c r="H767" i="7" s="1"/>
  <c r="B767" i="7"/>
  <c r="M766" i="7"/>
  <c r="J766" i="7"/>
  <c r="K766" i="7" s="1"/>
  <c r="L766" i="7" s="1"/>
  <c r="G766" i="7"/>
  <c r="H766" i="7" s="1"/>
  <c r="B766" i="7"/>
  <c r="M765" i="7"/>
  <c r="J765" i="7"/>
  <c r="K765" i="7" s="1"/>
  <c r="L765" i="7" s="1"/>
  <c r="G765" i="7"/>
  <c r="H765" i="7" s="1"/>
  <c r="B765" i="7"/>
  <c r="M764" i="7"/>
  <c r="J764" i="7"/>
  <c r="K764" i="7" s="1"/>
  <c r="L764" i="7" s="1"/>
  <c r="G764" i="7"/>
  <c r="H764" i="7" s="1"/>
  <c r="B764" i="7"/>
  <c r="M763" i="7"/>
  <c r="J763" i="7"/>
  <c r="K763" i="7" s="1"/>
  <c r="L763" i="7" s="1"/>
  <c r="G763" i="7"/>
  <c r="H763" i="7" s="1"/>
  <c r="B763" i="7"/>
  <c r="M762" i="7"/>
  <c r="J762" i="7"/>
  <c r="K762" i="7" s="1"/>
  <c r="L762" i="7" s="1"/>
  <c r="G762" i="7"/>
  <c r="H762" i="7" s="1"/>
  <c r="B762" i="7"/>
  <c r="M761" i="7"/>
  <c r="J761" i="7"/>
  <c r="K761" i="7" s="1"/>
  <c r="L761" i="7" s="1"/>
  <c r="G761" i="7"/>
  <c r="H761" i="7" s="1"/>
  <c r="B761" i="7"/>
  <c r="M760" i="7"/>
  <c r="J760" i="7"/>
  <c r="K760" i="7" s="1"/>
  <c r="L760" i="7" s="1"/>
  <c r="G760" i="7"/>
  <c r="H760" i="7" s="1"/>
  <c r="B760" i="7"/>
  <c r="M759" i="7"/>
  <c r="J759" i="7"/>
  <c r="K759" i="7" s="1"/>
  <c r="L759" i="7" s="1"/>
  <c r="G759" i="7"/>
  <c r="H759" i="7" s="1"/>
  <c r="B759" i="7"/>
  <c r="M758" i="7"/>
  <c r="J758" i="7"/>
  <c r="K758" i="7" s="1"/>
  <c r="L758" i="7" s="1"/>
  <c r="G758" i="7"/>
  <c r="H758" i="7" s="1"/>
  <c r="B758" i="7"/>
  <c r="M757" i="7"/>
  <c r="J757" i="7"/>
  <c r="K757" i="7" s="1"/>
  <c r="L757" i="7" s="1"/>
  <c r="G757" i="7"/>
  <c r="H757" i="7" s="1"/>
  <c r="B757" i="7"/>
  <c r="M756" i="7"/>
  <c r="J756" i="7"/>
  <c r="K756" i="7" s="1"/>
  <c r="L756" i="7" s="1"/>
  <c r="G756" i="7"/>
  <c r="H756" i="7" s="1"/>
  <c r="B756" i="7"/>
  <c r="M755" i="7"/>
  <c r="J755" i="7"/>
  <c r="K755" i="7" s="1"/>
  <c r="L755" i="7" s="1"/>
  <c r="G755" i="7"/>
  <c r="H755" i="7" s="1"/>
  <c r="B755" i="7"/>
  <c r="M754" i="7"/>
  <c r="J754" i="7"/>
  <c r="K754" i="7" s="1"/>
  <c r="L754" i="7" s="1"/>
  <c r="G754" i="7"/>
  <c r="H754" i="7" s="1"/>
  <c r="B754" i="7"/>
  <c r="M753" i="7"/>
  <c r="J753" i="7"/>
  <c r="K753" i="7" s="1"/>
  <c r="L753" i="7" s="1"/>
  <c r="G753" i="7"/>
  <c r="H753" i="7" s="1"/>
  <c r="B753" i="7"/>
  <c r="M752" i="7"/>
  <c r="J752" i="7"/>
  <c r="K752" i="7" s="1"/>
  <c r="L752" i="7" s="1"/>
  <c r="G752" i="7"/>
  <c r="H752" i="7" s="1"/>
  <c r="B752" i="7"/>
  <c r="M751" i="7"/>
  <c r="J751" i="7"/>
  <c r="K751" i="7" s="1"/>
  <c r="L751" i="7" s="1"/>
  <c r="G751" i="7"/>
  <c r="H751" i="7" s="1"/>
  <c r="B751" i="7"/>
  <c r="M750" i="7"/>
  <c r="J750" i="7"/>
  <c r="K750" i="7" s="1"/>
  <c r="L750" i="7" s="1"/>
  <c r="G750" i="7"/>
  <c r="H750" i="7" s="1"/>
  <c r="B750" i="7"/>
  <c r="M749" i="7"/>
  <c r="J749" i="7"/>
  <c r="K749" i="7" s="1"/>
  <c r="L749" i="7" s="1"/>
  <c r="G749" i="7"/>
  <c r="H749" i="7" s="1"/>
  <c r="B749" i="7"/>
  <c r="M748" i="7"/>
  <c r="J748" i="7"/>
  <c r="K748" i="7" s="1"/>
  <c r="L748" i="7" s="1"/>
  <c r="G748" i="7"/>
  <c r="H748" i="7" s="1"/>
  <c r="B748" i="7"/>
  <c r="M747" i="7"/>
  <c r="J747" i="7"/>
  <c r="K747" i="7" s="1"/>
  <c r="L747" i="7" s="1"/>
  <c r="G747" i="7"/>
  <c r="H747" i="7" s="1"/>
  <c r="B747" i="7"/>
  <c r="M746" i="7"/>
  <c r="J746" i="7"/>
  <c r="K746" i="7" s="1"/>
  <c r="L746" i="7" s="1"/>
  <c r="G746" i="7"/>
  <c r="H746" i="7" s="1"/>
  <c r="B746" i="7"/>
  <c r="M745" i="7"/>
  <c r="J745" i="7"/>
  <c r="K745" i="7" s="1"/>
  <c r="L745" i="7" s="1"/>
  <c r="G745" i="7"/>
  <c r="H745" i="7" s="1"/>
  <c r="B745" i="7"/>
  <c r="M744" i="7"/>
  <c r="J744" i="7"/>
  <c r="K744" i="7" s="1"/>
  <c r="L744" i="7" s="1"/>
  <c r="G744" i="7"/>
  <c r="H744" i="7" s="1"/>
  <c r="B744" i="7"/>
  <c r="M743" i="7"/>
  <c r="J743" i="7"/>
  <c r="K743" i="7" s="1"/>
  <c r="L743" i="7" s="1"/>
  <c r="G743" i="7"/>
  <c r="H743" i="7" s="1"/>
  <c r="B743" i="7"/>
  <c r="M742" i="7"/>
  <c r="J742" i="7"/>
  <c r="K742" i="7" s="1"/>
  <c r="L742" i="7" s="1"/>
  <c r="G742" i="7"/>
  <c r="H742" i="7" s="1"/>
  <c r="B742" i="7"/>
  <c r="M741" i="7"/>
  <c r="J741" i="7"/>
  <c r="K741" i="7" s="1"/>
  <c r="L741" i="7" s="1"/>
  <c r="G741" i="7"/>
  <c r="H741" i="7" s="1"/>
  <c r="B741" i="7"/>
  <c r="M740" i="7"/>
  <c r="J740" i="7"/>
  <c r="K740" i="7" s="1"/>
  <c r="L740" i="7" s="1"/>
  <c r="G740" i="7"/>
  <c r="H740" i="7" s="1"/>
  <c r="B740" i="7"/>
  <c r="M739" i="7"/>
  <c r="J739" i="7"/>
  <c r="K739" i="7" s="1"/>
  <c r="L739" i="7" s="1"/>
  <c r="G739" i="7"/>
  <c r="H739" i="7" s="1"/>
  <c r="B739" i="7"/>
  <c r="M738" i="7"/>
  <c r="J738" i="7"/>
  <c r="K738" i="7" s="1"/>
  <c r="L738" i="7" s="1"/>
  <c r="G738" i="7"/>
  <c r="H738" i="7" s="1"/>
  <c r="B738" i="7"/>
  <c r="M737" i="7"/>
  <c r="J737" i="7"/>
  <c r="K737" i="7" s="1"/>
  <c r="L737" i="7" s="1"/>
  <c r="G737" i="7"/>
  <c r="H737" i="7" s="1"/>
  <c r="B737" i="7"/>
  <c r="M736" i="7"/>
  <c r="J736" i="7"/>
  <c r="K736" i="7" s="1"/>
  <c r="L736" i="7" s="1"/>
  <c r="G736" i="7"/>
  <c r="H736" i="7" s="1"/>
  <c r="B736" i="7"/>
  <c r="M735" i="7"/>
  <c r="J735" i="7"/>
  <c r="K735" i="7" s="1"/>
  <c r="L735" i="7" s="1"/>
  <c r="G735" i="7"/>
  <c r="H735" i="7" s="1"/>
  <c r="B735" i="7"/>
  <c r="M734" i="7"/>
  <c r="J734" i="7"/>
  <c r="K734" i="7" s="1"/>
  <c r="L734" i="7" s="1"/>
  <c r="G734" i="7"/>
  <c r="H734" i="7" s="1"/>
  <c r="B734" i="7"/>
  <c r="M733" i="7"/>
  <c r="J733" i="7"/>
  <c r="K733" i="7" s="1"/>
  <c r="L733" i="7" s="1"/>
  <c r="G733" i="7"/>
  <c r="H733" i="7" s="1"/>
  <c r="B733" i="7"/>
  <c r="M732" i="7"/>
  <c r="J732" i="7"/>
  <c r="K732" i="7" s="1"/>
  <c r="L732" i="7" s="1"/>
  <c r="G732" i="7"/>
  <c r="H732" i="7" s="1"/>
  <c r="B732" i="7"/>
  <c r="M731" i="7"/>
  <c r="J731" i="7"/>
  <c r="K731" i="7" s="1"/>
  <c r="L731" i="7" s="1"/>
  <c r="G731" i="7"/>
  <c r="H731" i="7" s="1"/>
  <c r="B731" i="7"/>
  <c r="M730" i="7"/>
  <c r="J730" i="7"/>
  <c r="K730" i="7" s="1"/>
  <c r="L730" i="7" s="1"/>
  <c r="G730" i="7"/>
  <c r="H730" i="7" s="1"/>
  <c r="B730" i="7"/>
  <c r="M729" i="7"/>
  <c r="J729" i="7"/>
  <c r="K729" i="7" s="1"/>
  <c r="L729" i="7" s="1"/>
  <c r="G729" i="7"/>
  <c r="H729" i="7" s="1"/>
  <c r="B729" i="7"/>
  <c r="M728" i="7"/>
  <c r="J728" i="7"/>
  <c r="K728" i="7" s="1"/>
  <c r="L728" i="7" s="1"/>
  <c r="G728" i="7"/>
  <c r="H728" i="7" s="1"/>
  <c r="B728" i="7"/>
  <c r="M727" i="7"/>
  <c r="J727" i="7"/>
  <c r="K727" i="7" s="1"/>
  <c r="L727" i="7" s="1"/>
  <c r="G727" i="7"/>
  <c r="H727" i="7" s="1"/>
  <c r="B727" i="7"/>
  <c r="M726" i="7"/>
  <c r="J726" i="7"/>
  <c r="K726" i="7" s="1"/>
  <c r="L726" i="7" s="1"/>
  <c r="G726" i="7"/>
  <c r="H726" i="7" s="1"/>
  <c r="B726" i="7"/>
  <c r="M725" i="7"/>
  <c r="J725" i="7"/>
  <c r="K725" i="7" s="1"/>
  <c r="L725" i="7" s="1"/>
  <c r="G725" i="7"/>
  <c r="H725" i="7" s="1"/>
  <c r="B725" i="7"/>
  <c r="M724" i="7"/>
  <c r="J724" i="7"/>
  <c r="K724" i="7" s="1"/>
  <c r="L724" i="7" s="1"/>
  <c r="G724" i="7"/>
  <c r="H724" i="7" s="1"/>
  <c r="B724" i="7"/>
  <c r="M723" i="7"/>
  <c r="J723" i="7"/>
  <c r="K723" i="7" s="1"/>
  <c r="L723" i="7" s="1"/>
  <c r="G723" i="7"/>
  <c r="H723" i="7" s="1"/>
  <c r="B723" i="7"/>
  <c r="M722" i="7"/>
  <c r="J722" i="7"/>
  <c r="K722" i="7" s="1"/>
  <c r="L722" i="7" s="1"/>
  <c r="G722" i="7"/>
  <c r="H722" i="7" s="1"/>
  <c r="B722" i="7"/>
  <c r="M721" i="7"/>
  <c r="J721" i="7"/>
  <c r="K721" i="7" s="1"/>
  <c r="L721" i="7" s="1"/>
  <c r="G721" i="7"/>
  <c r="H721" i="7" s="1"/>
  <c r="B721" i="7"/>
  <c r="M720" i="7"/>
  <c r="J720" i="7"/>
  <c r="K720" i="7" s="1"/>
  <c r="L720" i="7" s="1"/>
  <c r="G720" i="7"/>
  <c r="H720" i="7" s="1"/>
  <c r="B720" i="7"/>
  <c r="M719" i="7"/>
  <c r="J719" i="7"/>
  <c r="K719" i="7" s="1"/>
  <c r="L719" i="7" s="1"/>
  <c r="G719" i="7"/>
  <c r="H719" i="7" s="1"/>
  <c r="B719" i="7"/>
  <c r="M718" i="7"/>
  <c r="J718" i="7"/>
  <c r="K718" i="7" s="1"/>
  <c r="L718" i="7" s="1"/>
  <c r="G718" i="7"/>
  <c r="H718" i="7" s="1"/>
  <c r="B718" i="7"/>
  <c r="M717" i="7"/>
  <c r="J717" i="7"/>
  <c r="K717" i="7" s="1"/>
  <c r="L717" i="7" s="1"/>
  <c r="G717" i="7"/>
  <c r="H717" i="7" s="1"/>
  <c r="B717" i="7"/>
  <c r="M716" i="7"/>
  <c r="J716" i="7"/>
  <c r="K716" i="7" s="1"/>
  <c r="L716" i="7" s="1"/>
  <c r="G716" i="7"/>
  <c r="H716" i="7" s="1"/>
  <c r="B716" i="7"/>
  <c r="M715" i="7"/>
  <c r="J715" i="7"/>
  <c r="K715" i="7" s="1"/>
  <c r="L715" i="7" s="1"/>
  <c r="G715" i="7"/>
  <c r="H715" i="7" s="1"/>
  <c r="B715" i="7"/>
  <c r="M714" i="7"/>
  <c r="J714" i="7"/>
  <c r="K714" i="7" s="1"/>
  <c r="L714" i="7" s="1"/>
  <c r="G714" i="7"/>
  <c r="H714" i="7" s="1"/>
  <c r="B714" i="7"/>
  <c r="M713" i="7"/>
  <c r="J713" i="7"/>
  <c r="K713" i="7" s="1"/>
  <c r="L713" i="7" s="1"/>
  <c r="G713" i="7"/>
  <c r="H713" i="7" s="1"/>
  <c r="B713" i="7"/>
  <c r="M712" i="7"/>
  <c r="J712" i="7"/>
  <c r="K712" i="7" s="1"/>
  <c r="L712" i="7" s="1"/>
  <c r="G712" i="7"/>
  <c r="H712" i="7" s="1"/>
  <c r="B712" i="7"/>
  <c r="M711" i="7"/>
  <c r="J711" i="7"/>
  <c r="K711" i="7" s="1"/>
  <c r="L711" i="7" s="1"/>
  <c r="G711" i="7"/>
  <c r="H711" i="7" s="1"/>
  <c r="B711" i="7"/>
  <c r="M710" i="7"/>
  <c r="J710" i="7"/>
  <c r="K710" i="7" s="1"/>
  <c r="L710" i="7" s="1"/>
  <c r="G710" i="7"/>
  <c r="H710" i="7" s="1"/>
  <c r="B710" i="7"/>
  <c r="M709" i="7"/>
  <c r="J709" i="7"/>
  <c r="K709" i="7" s="1"/>
  <c r="L709" i="7" s="1"/>
  <c r="G709" i="7"/>
  <c r="H709" i="7" s="1"/>
  <c r="B709" i="7"/>
  <c r="M708" i="7"/>
  <c r="J708" i="7"/>
  <c r="K708" i="7" s="1"/>
  <c r="L708" i="7" s="1"/>
  <c r="G708" i="7"/>
  <c r="H708" i="7" s="1"/>
  <c r="B708" i="7"/>
  <c r="M707" i="7"/>
  <c r="J707" i="7"/>
  <c r="K707" i="7" s="1"/>
  <c r="L707" i="7" s="1"/>
  <c r="G707" i="7"/>
  <c r="H707" i="7" s="1"/>
  <c r="B707" i="7"/>
  <c r="M706" i="7"/>
  <c r="J706" i="7"/>
  <c r="K706" i="7" s="1"/>
  <c r="L706" i="7" s="1"/>
  <c r="G706" i="7"/>
  <c r="H706" i="7" s="1"/>
  <c r="B706" i="7"/>
  <c r="M705" i="7"/>
  <c r="J705" i="7"/>
  <c r="K705" i="7" s="1"/>
  <c r="L705" i="7" s="1"/>
  <c r="G705" i="7"/>
  <c r="H705" i="7" s="1"/>
  <c r="B705" i="7"/>
  <c r="M704" i="7"/>
  <c r="J704" i="7"/>
  <c r="K704" i="7" s="1"/>
  <c r="L704" i="7" s="1"/>
  <c r="G704" i="7"/>
  <c r="H704" i="7" s="1"/>
  <c r="B704" i="7"/>
  <c r="M703" i="7"/>
  <c r="J703" i="7"/>
  <c r="K703" i="7" s="1"/>
  <c r="L703" i="7" s="1"/>
  <c r="G703" i="7"/>
  <c r="H703" i="7" s="1"/>
  <c r="B703" i="7"/>
  <c r="M702" i="7"/>
  <c r="J702" i="7"/>
  <c r="K702" i="7" s="1"/>
  <c r="L702" i="7" s="1"/>
  <c r="G702" i="7"/>
  <c r="H702" i="7" s="1"/>
  <c r="B702" i="7"/>
  <c r="M701" i="7"/>
  <c r="J701" i="7"/>
  <c r="K701" i="7" s="1"/>
  <c r="L701" i="7" s="1"/>
  <c r="G701" i="7"/>
  <c r="H701" i="7" s="1"/>
  <c r="B701" i="7"/>
  <c r="M700" i="7"/>
  <c r="J700" i="7"/>
  <c r="K700" i="7" s="1"/>
  <c r="L700" i="7" s="1"/>
  <c r="G700" i="7"/>
  <c r="H700" i="7" s="1"/>
  <c r="B700" i="7"/>
  <c r="M699" i="7"/>
  <c r="J699" i="7"/>
  <c r="K699" i="7" s="1"/>
  <c r="L699" i="7" s="1"/>
  <c r="G699" i="7"/>
  <c r="H699" i="7" s="1"/>
  <c r="B699" i="7"/>
  <c r="M698" i="7"/>
  <c r="J698" i="7"/>
  <c r="K698" i="7" s="1"/>
  <c r="L698" i="7" s="1"/>
  <c r="G698" i="7"/>
  <c r="H698" i="7" s="1"/>
  <c r="B698" i="7"/>
  <c r="M697" i="7"/>
  <c r="J697" i="7"/>
  <c r="K697" i="7" s="1"/>
  <c r="L697" i="7" s="1"/>
  <c r="G697" i="7"/>
  <c r="H697" i="7" s="1"/>
  <c r="B697" i="7"/>
  <c r="M696" i="7"/>
  <c r="J696" i="7"/>
  <c r="K696" i="7" s="1"/>
  <c r="L696" i="7" s="1"/>
  <c r="G696" i="7"/>
  <c r="H696" i="7" s="1"/>
  <c r="B696" i="7"/>
  <c r="M695" i="7"/>
  <c r="J695" i="7"/>
  <c r="K695" i="7" s="1"/>
  <c r="L695" i="7" s="1"/>
  <c r="G695" i="7"/>
  <c r="H695" i="7" s="1"/>
  <c r="B695" i="7"/>
  <c r="M694" i="7"/>
  <c r="J694" i="7"/>
  <c r="K694" i="7" s="1"/>
  <c r="L694" i="7" s="1"/>
  <c r="G694" i="7"/>
  <c r="H694" i="7" s="1"/>
  <c r="B694" i="7"/>
  <c r="M693" i="7"/>
  <c r="J693" i="7"/>
  <c r="K693" i="7" s="1"/>
  <c r="L693" i="7" s="1"/>
  <c r="G693" i="7"/>
  <c r="H693" i="7" s="1"/>
  <c r="B693" i="7"/>
  <c r="M692" i="7"/>
  <c r="J692" i="7"/>
  <c r="K692" i="7" s="1"/>
  <c r="L692" i="7" s="1"/>
  <c r="G692" i="7"/>
  <c r="H692" i="7" s="1"/>
  <c r="B692" i="7"/>
  <c r="M691" i="7"/>
  <c r="J691" i="7"/>
  <c r="K691" i="7" s="1"/>
  <c r="L691" i="7" s="1"/>
  <c r="G691" i="7"/>
  <c r="H691" i="7" s="1"/>
  <c r="B691" i="7"/>
  <c r="M690" i="7"/>
  <c r="J690" i="7"/>
  <c r="K690" i="7" s="1"/>
  <c r="L690" i="7" s="1"/>
  <c r="G690" i="7"/>
  <c r="H690" i="7" s="1"/>
  <c r="B690" i="7"/>
  <c r="M689" i="7"/>
  <c r="J689" i="7"/>
  <c r="K689" i="7" s="1"/>
  <c r="L689" i="7" s="1"/>
  <c r="G689" i="7"/>
  <c r="H689" i="7" s="1"/>
  <c r="B689" i="7"/>
  <c r="M688" i="7"/>
  <c r="J688" i="7"/>
  <c r="K688" i="7" s="1"/>
  <c r="L688" i="7" s="1"/>
  <c r="G688" i="7"/>
  <c r="H688" i="7" s="1"/>
  <c r="B688" i="7"/>
  <c r="M687" i="7"/>
  <c r="J687" i="7"/>
  <c r="K687" i="7" s="1"/>
  <c r="L687" i="7" s="1"/>
  <c r="G687" i="7"/>
  <c r="H687" i="7" s="1"/>
  <c r="B687" i="7"/>
  <c r="M686" i="7"/>
  <c r="J686" i="7"/>
  <c r="K686" i="7" s="1"/>
  <c r="L686" i="7" s="1"/>
  <c r="G686" i="7"/>
  <c r="H686" i="7" s="1"/>
  <c r="B686" i="7"/>
  <c r="M685" i="7"/>
  <c r="J685" i="7"/>
  <c r="K685" i="7" s="1"/>
  <c r="L685" i="7" s="1"/>
  <c r="G685" i="7"/>
  <c r="H685" i="7" s="1"/>
  <c r="B685" i="7"/>
  <c r="M684" i="7"/>
  <c r="J684" i="7"/>
  <c r="K684" i="7" s="1"/>
  <c r="L684" i="7" s="1"/>
  <c r="G684" i="7"/>
  <c r="H684" i="7" s="1"/>
  <c r="B684" i="7"/>
  <c r="M683" i="7"/>
  <c r="J683" i="7"/>
  <c r="K683" i="7" s="1"/>
  <c r="L683" i="7" s="1"/>
  <c r="G683" i="7"/>
  <c r="H683" i="7" s="1"/>
  <c r="B683" i="7"/>
  <c r="M682" i="7"/>
  <c r="J682" i="7"/>
  <c r="K682" i="7" s="1"/>
  <c r="L682" i="7" s="1"/>
  <c r="G682" i="7"/>
  <c r="H682" i="7" s="1"/>
  <c r="B682" i="7"/>
  <c r="M681" i="7"/>
  <c r="J681" i="7"/>
  <c r="K681" i="7" s="1"/>
  <c r="L681" i="7" s="1"/>
  <c r="G681" i="7"/>
  <c r="H681" i="7" s="1"/>
  <c r="B681" i="7"/>
  <c r="M680" i="7"/>
  <c r="J680" i="7"/>
  <c r="K680" i="7" s="1"/>
  <c r="L680" i="7" s="1"/>
  <c r="G680" i="7"/>
  <c r="H680" i="7" s="1"/>
  <c r="B680" i="7"/>
  <c r="M679" i="7"/>
  <c r="J679" i="7"/>
  <c r="K679" i="7" s="1"/>
  <c r="L679" i="7" s="1"/>
  <c r="G679" i="7"/>
  <c r="H679" i="7" s="1"/>
  <c r="B679" i="7"/>
  <c r="M678" i="7"/>
  <c r="J678" i="7"/>
  <c r="K678" i="7" s="1"/>
  <c r="L678" i="7" s="1"/>
  <c r="G678" i="7"/>
  <c r="H678" i="7" s="1"/>
  <c r="B678" i="7"/>
  <c r="M677" i="7"/>
  <c r="J677" i="7"/>
  <c r="K677" i="7" s="1"/>
  <c r="L677" i="7" s="1"/>
  <c r="G677" i="7"/>
  <c r="H677" i="7" s="1"/>
  <c r="B677" i="7"/>
  <c r="M676" i="7"/>
  <c r="J676" i="7"/>
  <c r="K676" i="7" s="1"/>
  <c r="L676" i="7" s="1"/>
  <c r="G676" i="7"/>
  <c r="H676" i="7" s="1"/>
  <c r="B676" i="7"/>
  <c r="M675" i="7"/>
  <c r="J675" i="7"/>
  <c r="K675" i="7" s="1"/>
  <c r="L675" i="7" s="1"/>
  <c r="G675" i="7"/>
  <c r="H675" i="7" s="1"/>
  <c r="B675" i="7"/>
  <c r="M674" i="7"/>
  <c r="J674" i="7"/>
  <c r="K674" i="7" s="1"/>
  <c r="L674" i="7" s="1"/>
  <c r="G674" i="7"/>
  <c r="H674" i="7" s="1"/>
  <c r="B674" i="7"/>
  <c r="M673" i="7"/>
  <c r="J673" i="7"/>
  <c r="K673" i="7" s="1"/>
  <c r="L673" i="7" s="1"/>
  <c r="G673" i="7"/>
  <c r="H673" i="7" s="1"/>
  <c r="B673" i="7"/>
  <c r="M672" i="7"/>
  <c r="J672" i="7"/>
  <c r="K672" i="7" s="1"/>
  <c r="L672" i="7" s="1"/>
  <c r="G672" i="7"/>
  <c r="H672" i="7" s="1"/>
  <c r="B672" i="7"/>
  <c r="M671" i="7"/>
  <c r="J671" i="7"/>
  <c r="K671" i="7" s="1"/>
  <c r="L671" i="7" s="1"/>
  <c r="G671" i="7"/>
  <c r="H671" i="7" s="1"/>
  <c r="B671" i="7"/>
  <c r="M670" i="7"/>
  <c r="J670" i="7"/>
  <c r="K670" i="7" s="1"/>
  <c r="L670" i="7" s="1"/>
  <c r="G670" i="7"/>
  <c r="H670" i="7" s="1"/>
  <c r="B670" i="7"/>
  <c r="M669" i="7"/>
  <c r="J669" i="7"/>
  <c r="K669" i="7" s="1"/>
  <c r="L669" i="7" s="1"/>
  <c r="G669" i="7"/>
  <c r="H669" i="7" s="1"/>
  <c r="B669" i="7"/>
  <c r="M668" i="7"/>
  <c r="J668" i="7"/>
  <c r="K668" i="7" s="1"/>
  <c r="L668" i="7" s="1"/>
  <c r="G668" i="7"/>
  <c r="H668" i="7" s="1"/>
  <c r="B668" i="7"/>
  <c r="M667" i="7"/>
  <c r="J667" i="7"/>
  <c r="K667" i="7" s="1"/>
  <c r="L667" i="7" s="1"/>
  <c r="G667" i="7"/>
  <c r="H667" i="7" s="1"/>
  <c r="B667" i="7"/>
  <c r="M666" i="7"/>
  <c r="J666" i="7"/>
  <c r="K666" i="7" s="1"/>
  <c r="L666" i="7" s="1"/>
  <c r="G666" i="7"/>
  <c r="H666" i="7" s="1"/>
  <c r="B666" i="7"/>
  <c r="M665" i="7"/>
  <c r="J665" i="7"/>
  <c r="K665" i="7" s="1"/>
  <c r="L665" i="7" s="1"/>
  <c r="G665" i="7"/>
  <c r="H665" i="7" s="1"/>
  <c r="B665" i="7"/>
  <c r="M664" i="7"/>
  <c r="J664" i="7"/>
  <c r="K664" i="7" s="1"/>
  <c r="L664" i="7" s="1"/>
  <c r="G664" i="7"/>
  <c r="H664" i="7" s="1"/>
  <c r="B664" i="7"/>
  <c r="M663" i="7"/>
  <c r="J663" i="7"/>
  <c r="K663" i="7" s="1"/>
  <c r="L663" i="7" s="1"/>
  <c r="G663" i="7"/>
  <c r="H663" i="7" s="1"/>
  <c r="B663" i="7"/>
  <c r="M662" i="7"/>
  <c r="J662" i="7"/>
  <c r="K662" i="7" s="1"/>
  <c r="L662" i="7" s="1"/>
  <c r="G662" i="7"/>
  <c r="H662" i="7" s="1"/>
  <c r="B662" i="7"/>
  <c r="M661" i="7"/>
  <c r="J661" i="7"/>
  <c r="K661" i="7" s="1"/>
  <c r="L661" i="7" s="1"/>
  <c r="G661" i="7"/>
  <c r="H661" i="7" s="1"/>
  <c r="B661" i="7"/>
  <c r="M660" i="7"/>
  <c r="J660" i="7"/>
  <c r="K660" i="7" s="1"/>
  <c r="L660" i="7" s="1"/>
  <c r="G660" i="7"/>
  <c r="H660" i="7" s="1"/>
  <c r="B660" i="7"/>
  <c r="M659" i="7"/>
  <c r="J659" i="7"/>
  <c r="K659" i="7" s="1"/>
  <c r="L659" i="7" s="1"/>
  <c r="G659" i="7"/>
  <c r="H659" i="7" s="1"/>
  <c r="B659" i="7"/>
  <c r="M658" i="7"/>
  <c r="J658" i="7"/>
  <c r="K658" i="7" s="1"/>
  <c r="L658" i="7" s="1"/>
  <c r="G658" i="7"/>
  <c r="H658" i="7" s="1"/>
  <c r="B658" i="7"/>
  <c r="M657" i="7"/>
  <c r="J657" i="7"/>
  <c r="K657" i="7" s="1"/>
  <c r="L657" i="7" s="1"/>
  <c r="G657" i="7"/>
  <c r="H657" i="7" s="1"/>
  <c r="B657" i="7"/>
  <c r="M656" i="7"/>
  <c r="J656" i="7"/>
  <c r="K656" i="7" s="1"/>
  <c r="L656" i="7" s="1"/>
  <c r="G656" i="7"/>
  <c r="H656" i="7" s="1"/>
  <c r="B656" i="7"/>
  <c r="M655" i="7"/>
  <c r="J655" i="7"/>
  <c r="K655" i="7" s="1"/>
  <c r="L655" i="7" s="1"/>
  <c r="G655" i="7"/>
  <c r="H655" i="7" s="1"/>
  <c r="B655" i="7"/>
  <c r="M654" i="7"/>
  <c r="J654" i="7"/>
  <c r="K654" i="7" s="1"/>
  <c r="L654" i="7" s="1"/>
  <c r="G654" i="7"/>
  <c r="H654" i="7" s="1"/>
  <c r="B654" i="7"/>
  <c r="M653" i="7"/>
  <c r="J653" i="7"/>
  <c r="K653" i="7" s="1"/>
  <c r="L653" i="7" s="1"/>
  <c r="G653" i="7"/>
  <c r="H653" i="7" s="1"/>
  <c r="B653" i="7"/>
  <c r="M652" i="7"/>
  <c r="J652" i="7"/>
  <c r="K652" i="7" s="1"/>
  <c r="L652" i="7" s="1"/>
  <c r="G652" i="7"/>
  <c r="H652" i="7" s="1"/>
  <c r="B652" i="7"/>
  <c r="M651" i="7"/>
  <c r="J651" i="7"/>
  <c r="K651" i="7" s="1"/>
  <c r="L651" i="7" s="1"/>
  <c r="G651" i="7"/>
  <c r="H651" i="7" s="1"/>
  <c r="B651" i="7"/>
  <c r="M650" i="7"/>
  <c r="J650" i="7"/>
  <c r="K650" i="7" s="1"/>
  <c r="L650" i="7" s="1"/>
  <c r="G650" i="7"/>
  <c r="H650" i="7" s="1"/>
  <c r="B650" i="7"/>
  <c r="M649" i="7"/>
  <c r="J649" i="7"/>
  <c r="K649" i="7" s="1"/>
  <c r="L649" i="7" s="1"/>
  <c r="G649" i="7"/>
  <c r="H649" i="7" s="1"/>
  <c r="B649" i="7"/>
  <c r="M648" i="7"/>
  <c r="J648" i="7"/>
  <c r="K648" i="7" s="1"/>
  <c r="L648" i="7" s="1"/>
  <c r="G648" i="7"/>
  <c r="H648" i="7" s="1"/>
  <c r="B648" i="7"/>
  <c r="M647" i="7"/>
  <c r="J647" i="7"/>
  <c r="K647" i="7" s="1"/>
  <c r="L647" i="7" s="1"/>
  <c r="G647" i="7"/>
  <c r="H647" i="7" s="1"/>
  <c r="B647" i="7"/>
  <c r="M646" i="7"/>
  <c r="J646" i="7"/>
  <c r="K646" i="7" s="1"/>
  <c r="L646" i="7" s="1"/>
  <c r="G646" i="7"/>
  <c r="H646" i="7" s="1"/>
  <c r="B646" i="7"/>
  <c r="M645" i="7"/>
  <c r="J645" i="7"/>
  <c r="K645" i="7" s="1"/>
  <c r="L645" i="7" s="1"/>
  <c r="G645" i="7"/>
  <c r="H645" i="7" s="1"/>
  <c r="B645" i="7"/>
  <c r="M644" i="7"/>
  <c r="J644" i="7"/>
  <c r="K644" i="7" s="1"/>
  <c r="L644" i="7" s="1"/>
  <c r="G644" i="7"/>
  <c r="H644" i="7" s="1"/>
  <c r="B644" i="7"/>
  <c r="M643" i="7"/>
  <c r="J643" i="7"/>
  <c r="K643" i="7" s="1"/>
  <c r="L643" i="7" s="1"/>
  <c r="G643" i="7"/>
  <c r="H643" i="7" s="1"/>
  <c r="B643" i="7"/>
  <c r="M642" i="7"/>
  <c r="J642" i="7"/>
  <c r="K642" i="7" s="1"/>
  <c r="L642" i="7" s="1"/>
  <c r="G642" i="7"/>
  <c r="H642" i="7" s="1"/>
  <c r="B642" i="7"/>
  <c r="M641" i="7"/>
  <c r="J641" i="7"/>
  <c r="K641" i="7" s="1"/>
  <c r="L641" i="7" s="1"/>
  <c r="G641" i="7"/>
  <c r="H641" i="7" s="1"/>
  <c r="B641" i="7"/>
  <c r="M640" i="7"/>
  <c r="J640" i="7"/>
  <c r="K640" i="7" s="1"/>
  <c r="L640" i="7" s="1"/>
  <c r="G640" i="7"/>
  <c r="H640" i="7" s="1"/>
  <c r="B640" i="7"/>
  <c r="M639" i="7"/>
  <c r="J639" i="7"/>
  <c r="K639" i="7" s="1"/>
  <c r="L639" i="7" s="1"/>
  <c r="G639" i="7"/>
  <c r="H639" i="7" s="1"/>
  <c r="B639" i="7"/>
  <c r="M638" i="7"/>
  <c r="J638" i="7"/>
  <c r="K638" i="7" s="1"/>
  <c r="L638" i="7" s="1"/>
  <c r="G638" i="7"/>
  <c r="H638" i="7" s="1"/>
  <c r="B638" i="7"/>
  <c r="M637" i="7"/>
  <c r="J637" i="7"/>
  <c r="K637" i="7" s="1"/>
  <c r="L637" i="7" s="1"/>
  <c r="G637" i="7"/>
  <c r="H637" i="7" s="1"/>
  <c r="B637" i="7"/>
  <c r="M636" i="7"/>
  <c r="J636" i="7"/>
  <c r="K636" i="7" s="1"/>
  <c r="L636" i="7" s="1"/>
  <c r="G636" i="7"/>
  <c r="H636" i="7" s="1"/>
  <c r="B636" i="7"/>
  <c r="M635" i="7"/>
  <c r="J635" i="7"/>
  <c r="K635" i="7" s="1"/>
  <c r="L635" i="7" s="1"/>
  <c r="G635" i="7"/>
  <c r="H635" i="7" s="1"/>
  <c r="B635" i="7"/>
  <c r="M634" i="7"/>
  <c r="J634" i="7"/>
  <c r="K634" i="7" s="1"/>
  <c r="L634" i="7" s="1"/>
  <c r="G634" i="7"/>
  <c r="H634" i="7" s="1"/>
  <c r="B634" i="7"/>
  <c r="M633" i="7"/>
  <c r="J633" i="7"/>
  <c r="K633" i="7" s="1"/>
  <c r="L633" i="7" s="1"/>
  <c r="G633" i="7"/>
  <c r="H633" i="7" s="1"/>
  <c r="B633" i="7"/>
  <c r="M632" i="7"/>
  <c r="J632" i="7"/>
  <c r="K632" i="7" s="1"/>
  <c r="L632" i="7" s="1"/>
  <c r="G632" i="7"/>
  <c r="H632" i="7" s="1"/>
  <c r="B632" i="7"/>
  <c r="M631" i="7"/>
  <c r="J631" i="7"/>
  <c r="K631" i="7" s="1"/>
  <c r="L631" i="7" s="1"/>
  <c r="G631" i="7"/>
  <c r="H631" i="7" s="1"/>
  <c r="B631" i="7"/>
  <c r="M630" i="7"/>
  <c r="J630" i="7"/>
  <c r="K630" i="7" s="1"/>
  <c r="L630" i="7" s="1"/>
  <c r="G630" i="7"/>
  <c r="H630" i="7" s="1"/>
  <c r="B630" i="7"/>
  <c r="M629" i="7"/>
  <c r="J629" i="7"/>
  <c r="K629" i="7" s="1"/>
  <c r="L629" i="7" s="1"/>
  <c r="G629" i="7"/>
  <c r="H629" i="7" s="1"/>
  <c r="B629" i="7"/>
  <c r="M628" i="7"/>
  <c r="J628" i="7"/>
  <c r="K628" i="7" s="1"/>
  <c r="L628" i="7" s="1"/>
  <c r="G628" i="7"/>
  <c r="H628" i="7" s="1"/>
  <c r="B628" i="7"/>
  <c r="M627" i="7"/>
  <c r="J627" i="7"/>
  <c r="K627" i="7" s="1"/>
  <c r="L627" i="7" s="1"/>
  <c r="G627" i="7"/>
  <c r="H627" i="7" s="1"/>
  <c r="B627" i="7"/>
  <c r="M626" i="7"/>
  <c r="J626" i="7"/>
  <c r="K626" i="7" s="1"/>
  <c r="L626" i="7" s="1"/>
  <c r="G626" i="7"/>
  <c r="H626" i="7" s="1"/>
  <c r="B626" i="7"/>
  <c r="M625" i="7"/>
  <c r="J625" i="7"/>
  <c r="K625" i="7" s="1"/>
  <c r="L625" i="7" s="1"/>
  <c r="G625" i="7"/>
  <c r="H625" i="7" s="1"/>
  <c r="B625" i="7"/>
  <c r="M624" i="7"/>
  <c r="J624" i="7"/>
  <c r="K624" i="7" s="1"/>
  <c r="L624" i="7" s="1"/>
  <c r="G624" i="7"/>
  <c r="H624" i="7" s="1"/>
  <c r="B624" i="7"/>
  <c r="M623" i="7"/>
  <c r="J623" i="7"/>
  <c r="K623" i="7" s="1"/>
  <c r="L623" i="7" s="1"/>
  <c r="G623" i="7"/>
  <c r="H623" i="7" s="1"/>
  <c r="B623" i="7"/>
  <c r="M622" i="7"/>
  <c r="J622" i="7"/>
  <c r="K622" i="7" s="1"/>
  <c r="L622" i="7" s="1"/>
  <c r="G622" i="7"/>
  <c r="H622" i="7" s="1"/>
  <c r="B622" i="7"/>
  <c r="M621" i="7"/>
  <c r="J621" i="7"/>
  <c r="K621" i="7" s="1"/>
  <c r="L621" i="7" s="1"/>
  <c r="G621" i="7"/>
  <c r="H621" i="7" s="1"/>
  <c r="B621" i="7"/>
  <c r="M620" i="7"/>
  <c r="J620" i="7"/>
  <c r="K620" i="7" s="1"/>
  <c r="L620" i="7" s="1"/>
  <c r="G620" i="7"/>
  <c r="H620" i="7" s="1"/>
  <c r="B620" i="7"/>
  <c r="M619" i="7"/>
  <c r="J619" i="7"/>
  <c r="K619" i="7" s="1"/>
  <c r="L619" i="7" s="1"/>
  <c r="G619" i="7"/>
  <c r="H619" i="7" s="1"/>
  <c r="B619" i="7"/>
  <c r="M618" i="7"/>
  <c r="J618" i="7"/>
  <c r="K618" i="7" s="1"/>
  <c r="L618" i="7" s="1"/>
  <c r="G618" i="7"/>
  <c r="H618" i="7" s="1"/>
  <c r="B618" i="7"/>
  <c r="M617" i="7"/>
  <c r="J617" i="7"/>
  <c r="K617" i="7" s="1"/>
  <c r="L617" i="7" s="1"/>
  <c r="G617" i="7"/>
  <c r="H617" i="7" s="1"/>
  <c r="B617" i="7"/>
  <c r="M616" i="7"/>
  <c r="J616" i="7"/>
  <c r="K616" i="7" s="1"/>
  <c r="L616" i="7" s="1"/>
  <c r="G616" i="7"/>
  <c r="H616" i="7" s="1"/>
  <c r="B616" i="7"/>
  <c r="M615" i="7"/>
  <c r="J615" i="7"/>
  <c r="K615" i="7" s="1"/>
  <c r="L615" i="7" s="1"/>
  <c r="G615" i="7"/>
  <c r="H615" i="7" s="1"/>
  <c r="B615" i="7"/>
  <c r="M614" i="7"/>
  <c r="J614" i="7"/>
  <c r="K614" i="7" s="1"/>
  <c r="L614" i="7" s="1"/>
  <c r="G614" i="7"/>
  <c r="H614" i="7" s="1"/>
  <c r="B614" i="7"/>
  <c r="M613" i="7"/>
  <c r="J613" i="7"/>
  <c r="K613" i="7" s="1"/>
  <c r="L613" i="7" s="1"/>
  <c r="G613" i="7"/>
  <c r="H613" i="7" s="1"/>
  <c r="B613" i="7"/>
  <c r="M612" i="7"/>
  <c r="J612" i="7"/>
  <c r="K612" i="7" s="1"/>
  <c r="L612" i="7" s="1"/>
  <c r="G612" i="7"/>
  <c r="H612" i="7" s="1"/>
  <c r="B612" i="7"/>
  <c r="M611" i="7"/>
  <c r="J611" i="7"/>
  <c r="K611" i="7" s="1"/>
  <c r="L611" i="7" s="1"/>
  <c r="G611" i="7"/>
  <c r="H611" i="7" s="1"/>
  <c r="B611" i="7"/>
  <c r="M610" i="7"/>
  <c r="J610" i="7"/>
  <c r="K610" i="7" s="1"/>
  <c r="L610" i="7" s="1"/>
  <c r="G610" i="7"/>
  <c r="H610" i="7" s="1"/>
  <c r="B610" i="7"/>
  <c r="M609" i="7"/>
  <c r="J609" i="7"/>
  <c r="K609" i="7" s="1"/>
  <c r="L609" i="7" s="1"/>
  <c r="G609" i="7"/>
  <c r="H609" i="7" s="1"/>
  <c r="B609" i="7"/>
  <c r="M608" i="7"/>
  <c r="J608" i="7"/>
  <c r="K608" i="7" s="1"/>
  <c r="L608" i="7" s="1"/>
  <c r="G608" i="7"/>
  <c r="H608" i="7" s="1"/>
  <c r="B608" i="7"/>
  <c r="M607" i="7"/>
  <c r="J607" i="7"/>
  <c r="K607" i="7" s="1"/>
  <c r="L607" i="7" s="1"/>
  <c r="G607" i="7"/>
  <c r="H607" i="7" s="1"/>
  <c r="B607" i="7"/>
  <c r="M606" i="7"/>
  <c r="J606" i="7"/>
  <c r="K606" i="7" s="1"/>
  <c r="L606" i="7" s="1"/>
  <c r="G606" i="7"/>
  <c r="H606" i="7" s="1"/>
  <c r="B606" i="7"/>
  <c r="M605" i="7"/>
  <c r="J605" i="7"/>
  <c r="K605" i="7" s="1"/>
  <c r="L605" i="7" s="1"/>
  <c r="G605" i="7"/>
  <c r="H605" i="7" s="1"/>
  <c r="B605" i="7"/>
  <c r="M604" i="7"/>
  <c r="J604" i="7"/>
  <c r="K604" i="7" s="1"/>
  <c r="L604" i="7" s="1"/>
  <c r="G604" i="7"/>
  <c r="H604" i="7" s="1"/>
  <c r="B604" i="7"/>
  <c r="M603" i="7"/>
  <c r="J603" i="7"/>
  <c r="K603" i="7" s="1"/>
  <c r="L603" i="7" s="1"/>
  <c r="G603" i="7"/>
  <c r="H603" i="7" s="1"/>
  <c r="B603" i="7"/>
  <c r="M602" i="7"/>
  <c r="J602" i="7"/>
  <c r="K602" i="7" s="1"/>
  <c r="L602" i="7" s="1"/>
  <c r="G602" i="7"/>
  <c r="H602" i="7" s="1"/>
  <c r="B602" i="7"/>
  <c r="M601" i="7"/>
  <c r="J601" i="7"/>
  <c r="K601" i="7" s="1"/>
  <c r="L601" i="7" s="1"/>
  <c r="G601" i="7"/>
  <c r="H601" i="7" s="1"/>
  <c r="B601" i="7"/>
  <c r="M600" i="7"/>
  <c r="J600" i="7"/>
  <c r="K600" i="7" s="1"/>
  <c r="L600" i="7" s="1"/>
  <c r="G600" i="7"/>
  <c r="H600" i="7" s="1"/>
  <c r="B600" i="7"/>
  <c r="M599" i="7"/>
  <c r="J599" i="7"/>
  <c r="K599" i="7" s="1"/>
  <c r="L599" i="7" s="1"/>
  <c r="G599" i="7"/>
  <c r="H599" i="7" s="1"/>
  <c r="B599" i="7"/>
  <c r="M598" i="7"/>
  <c r="J598" i="7"/>
  <c r="K598" i="7" s="1"/>
  <c r="L598" i="7" s="1"/>
  <c r="G598" i="7"/>
  <c r="H598" i="7" s="1"/>
  <c r="B598" i="7"/>
  <c r="M597" i="7"/>
  <c r="J597" i="7"/>
  <c r="K597" i="7" s="1"/>
  <c r="L597" i="7" s="1"/>
  <c r="G597" i="7"/>
  <c r="H597" i="7" s="1"/>
  <c r="B597" i="7"/>
  <c r="M596" i="7"/>
  <c r="J596" i="7"/>
  <c r="K596" i="7" s="1"/>
  <c r="L596" i="7" s="1"/>
  <c r="G596" i="7"/>
  <c r="H596" i="7" s="1"/>
  <c r="B596" i="7"/>
  <c r="M595" i="7"/>
  <c r="J595" i="7"/>
  <c r="K595" i="7" s="1"/>
  <c r="L595" i="7" s="1"/>
  <c r="G595" i="7"/>
  <c r="H595" i="7" s="1"/>
  <c r="B595" i="7"/>
  <c r="M594" i="7"/>
  <c r="J594" i="7"/>
  <c r="K594" i="7" s="1"/>
  <c r="L594" i="7" s="1"/>
  <c r="G594" i="7"/>
  <c r="H594" i="7" s="1"/>
  <c r="B594" i="7"/>
  <c r="M593" i="7"/>
  <c r="J593" i="7"/>
  <c r="K593" i="7" s="1"/>
  <c r="L593" i="7" s="1"/>
  <c r="G593" i="7"/>
  <c r="H593" i="7" s="1"/>
  <c r="B593" i="7"/>
  <c r="M592" i="7"/>
  <c r="J592" i="7"/>
  <c r="K592" i="7" s="1"/>
  <c r="L592" i="7" s="1"/>
  <c r="G592" i="7"/>
  <c r="H592" i="7" s="1"/>
  <c r="B592" i="7"/>
  <c r="M591" i="7"/>
  <c r="J591" i="7"/>
  <c r="K591" i="7" s="1"/>
  <c r="L591" i="7" s="1"/>
  <c r="G591" i="7"/>
  <c r="H591" i="7" s="1"/>
  <c r="B591" i="7"/>
  <c r="M590" i="7"/>
  <c r="J590" i="7"/>
  <c r="K590" i="7" s="1"/>
  <c r="L590" i="7" s="1"/>
  <c r="G590" i="7"/>
  <c r="H590" i="7" s="1"/>
  <c r="B590" i="7"/>
  <c r="M589" i="7"/>
  <c r="J589" i="7"/>
  <c r="K589" i="7" s="1"/>
  <c r="L589" i="7" s="1"/>
  <c r="G589" i="7"/>
  <c r="H589" i="7" s="1"/>
  <c r="B589" i="7"/>
  <c r="M588" i="7"/>
  <c r="J588" i="7"/>
  <c r="K588" i="7" s="1"/>
  <c r="L588" i="7" s="1"/>
  <c r="G588" i="7"/>
  <c r="H588" i="7" s="1"/>
  <c r="B588" i="7"/>
  <c r="M587" i="7"/>
  <c r="J587" i="7"/>
  <c r="K587" i="7" s="1"/>
  <c r="L587" i="7" s="1"/>
  <c r="G587" i="7"/>
  <c r="H587" i="7" s="1"/>
  <c r="B587" i="7"/>
  <c r="M586" i="7"/>
  <c r="J586" i="7"/>
  <c r="K586" i="7" s="1"/>
  <c r="L586" i="7" s="1"/>
  <c r="G586" i="7"/>
  <c r="H586" i="7" s="1"/>
  <c r="B586" i="7"/>
  <c r="M585" i="7"/>
  <c r="J585" i="7"/>
  <c r="K585" i="7" s="1"/>
  <c r="L585" i="7" s="1"/>
  <c r="G585" i="7"/>
  <c r="H585" i="7" s="1"/>
  <c r="B585" i="7"/>
  <c r="M584" i="7"/>
  <c r="J584" i="7"/>
  <c r="K584" i="7" s="1"/>
  <c r="L584" i="7" s="1"/>
  <c r="G584" i="7"/>
  <c r="H584" i="7" s="1"/>
  <c r="B584" i="7"/>
  <c r="M583" i="7"/>
  <c r="J583" i="7"/>
  <c r="K583" i="7" s="1"/>
  <c r="L583" i="7" s="1"/>
  <c r="G583" i="7"/>
  <c r="H583" i="7" s="1"/>
  <c r="B583" i="7"/>
  <c r="M582" i="7"/>
  <c r="J582" i="7"/>
  <c r="K582" i="7" s="1"/>
  <c r="L582" i="7" s="1"/>
  <c r="G582" i="7"/>
  <c r="H582" i="7" s="1"/>
  <c r="B582" i="7"/>
  <c r="M581" i="7"/>
  <c r="J581" i="7"/>
  <c r="K581" i="7" s="1"/>
  <c r="L581" i="7" s="1"/>
  <c r="G581" i="7"/>
  <c r="H581" i="7" s="1"/>
  <c r="B581" i="7"/>
  <c r="M580" i="7"/>
  <c r="J580" i="7"/>
  <c r="K580" i="7" s="1"/>
  <c r="L580" i="7" s="1"/>
  <c r="G580" i="7"/>
  <c r="H580" i="7" s="1"/>
  <c r="B580" i="7"/>
  <c r="M579" i="7"/>
  <c r="J579" i="7"/>
  <c r="K579" i="7" s="1"/>
  <c r="L579" i="7" s="1"/>
  <c r="G579" i="7"/>
  <c r="H579" i="7" s="1"/>
  <c r="B579" i="7"/>
  <c r="M578" i="7"/>
  <c r="J578" i="7"/>
  <c r="K578" i="7" s="1"/>
  <c r="L578" i="7" s="1"/>
  <c r="G578" i="7"/>
  <c r="H578" i="7" s="1"/>
  <c r="B578" i="7"/>
  <c r="M577" i="7"/>
  <c r="J577" i="7"/>
  <c r="K577" i="7" s="1"/>
  <c r="L577" i="7" s="1"/>
  <c r="G577" i="7"/>
  <c r="H577" i="7" s="1"/>
  <c r="B577" i="7"/>
  <c r="M576" i="7"/>
  <c r="J576" i="7"/>
  <c r="K576" i="7" s="1"/>
  <c r="L576" i="7" s="1"/>
  <c r="G576" i="7"/>
  <c r="H576" i="7" s="1"/>
  <c r="B576" i="7"/>
  <c r="M575" i="7"/>
  <c r="J575" i="7"/>
  <c r="K575" i="7" s="1"/>
  <c r="L575" i="7" s="1"/>
  <c r="G575" i="7"/>
  <c r="H575" i="7" s="1"/>
  <c r="B575" i="7"/>
  <c r="M574" i="7"/>
  <c r="J574" i="7"/>
  <c r="K574" i="7" s="1"/>
  <c r="L574" i="7" s="1"/>
  <c r="G574" i="7"/>
  <c r="H574" i="7" s="1"/>
  <c r="B574" i="7"/>
  <c r="M573" i="7"/>
  <c r="J573" i="7"/>
  <c r="K573" i="7" s="1"/>
  <c r="L573" i="7" s="1"/>
  <c r="G573" i="7"/>
  <c r="H573" i="7" s="1"/>
  <c r="B573" i="7"/>
  <c r="M572" i="7"/>
  <c r="J572" i="7"/>
  <c r="K572" i="7" s="1"/>
  <c r="L572" i="7" s="1"/>
  <c r="G572" i="7"/>
  <c r="H572" i="7" s="1"/>
  <c r="B572" i="7"/>
  <c r="M571" i="7"/>
  <c r="J571" i="7"/>
  <c r="K571" i="7" s="1"/>
  <c r="L571" i="7" s="1"/>
  <c r="G571" i="7"/>
  <c r="H571" i="7" s="1"/>
  <c r="B571" i="7"/>
  <c r="M570" i="7"/>
  <c r="J570" i="7"/>
  <c r="K570" i="7" s="1"/>
  <c r="L570" i="7" s="1"/>
  <c r="G570" i="7"/>
  <c r="H570" i="7" s="1"/>
  <c r="B570" i="7"/>
  <c r="M569" i="7"/>
  <c r="J569" i="7"/>
  <c r="K569" i="7" s="1"/>
  <c r="L569" i="7" s="1"/>
  <c r="G569" i="7"/>
  <c r="H569" i="7" s="1"/>
  <c r="B569" i="7"/>
  <c r="M568" i="7"/>
  <c r="J568" i="7"/>
  <c r="K568" i="7" s="1"/>
  <c r="L568" i="7" s="1"/>
  <c r="G568" i="7"/>
  <c r="H568" i="7" s="1"/>
  <c r="B568" i="7"/>
  <c r="M567" i="7"/>
  <c r="J567" i="7"/>
  <c r="K567" i="7" s="1"/>
  <c r="L567" i="7" s="1"/>
  <c r="G567" i="7"/>
  <c r="H567" i="7" s="1"/>
  <c r="B567" i="7"/>
  <c r="M566" i="7"/>
  <c r="J566" i="7"/>
  <c r="K566" i="7" s="1"/>
  <c r="L566" i="7" s="1"/>
  <c r="G566" i="7"/>
  <c r="H566" i="7" s="1"/>
  <c r="B566" i="7"/>
  <c r="M565" i="7"/>
  <c r="J565" i="7"/>
  <c r="K565" i="7" s="1"/>
  <c r="L565" i="7" s="1"/>
  <c r="G565" i="7"/>
  <c r="H565" i="7" s="1"/>
  <c r="B565" i="7"/>
  <c r="M564" i="7"/>
  <c r="J564" i="7"/>
  <c r="K564" i="7" s="1"/>
  <c r="L564" i="7" s="1"/>
  <c r="G564" i="7"/>
  <c r="H564" i="7" s="1"/>
  <c r="B564" i="7"/>
  <c r="M563" i="7"/>
  <c r="J563" i="7"/>
  <c r="K563" i="7" s="1"/>
  <c r="L563" i="7" s="1"/>
  <c r="G563" i="7"/>
  <c r="H563" i="7" s="1"/>
  <c r="B563" i="7"/>
  <c r="M562" i="7"/>
  <c r="J562" i="7"/>
  <c r="K562" i="7" s="1"/>
  <c r="L562" i="7" s="1"/>
  <c r="G562" i="7"/>
  <c r="H562" i="7" s="1"/>
  <c r="B562" i="7"/>
  <c r="M561" i="7"/>
  <c r="J561" i="7"/>
  <c r="K561" i="7" s="1"/>
  <c r="L561" i="7" s="1"/>
  <c r="G561" i="7"/>
  <c r="H561" i="7" s="1"/>
  <c r="B561" i="7"/>
  <c r="M560" i="7"/>
  <c r="J560" i="7"/>
  <c r="K560" i="7" s="1"/>
  <c r="L560" i="7" s="1"/>
  <c r="G560" i="7"/>
  <c r="H560" i="7" s="1"/>
  <c r="B560" i="7"/>
  <c r="M559" i="7"/>
  <c r="J559" i="7"/>
  <c r="K559" i="7" s="1"/>
  <c r="L559" i="7" s="1"/>
  <c r="G559" i="7"/>
  <c r="H559" i="7" s="1"/>
  <c r="B559" i="7"/>
  <c r="M558" i="7"/>
  <c r="J558" i="7"/>
  <c r="K558" i="7" s="1"/>
  <c r="L558" i="7" s="1"/>
  <c r="G558" i="7"/>
  <c r="H558" i="7" s="1"/>
  <c r="B558" i="7"/>
  <c r="M557" i="7"/>
  <c r="J557" i="7"/>
  <c r="K557" i="7" s="1"/>
  <c r="L557" i="7" s="1"/>
  <c r="G557" i="7"/>
  <c r="H557" i="7" s="1"/>
  <c r="B557" i="7"/>
  <c r="M556" i="7"/>
  <c r="J556" i="7"/>
  <c r="K556" i="7" s="1"/>
  <c r="L556" i="7" s="1"/>
  <c r="G556" i="7"/>
  <c r="H556" i="7" s="1"/>
  <c r="B556" i="7"/>
  <c r="M555" i="7"/>
  <c r="J555" i="7"/>
  <c r="K555" i="7" s="1"/>
  <c r="L555" i="7" s="1"/>
  <c r="G555" i="7"/>
  <c r="H555" i="7" s="1"/>
  <c r="B555" i="7"/>
  <c r="M554" i="7"/>
  <c r="J554" i="7"/>
  <c r="K554" i="7" s="1"/>
  <c r="L554" i="7" s="1"/>
  <c r="G554" i="7"/>
  <c r="H554" i="7" s="1"/>
  <c r="B554" i="7"/>
  <c r="M553" i="7"/>
  <c r="J553" i="7"/>
  <c r="K553" i="7" s="1"/>
  <c r="L553" i="7" s="1"/>
  <c r="G553" i="7"/>
  <c r="H553" i="7" s="1"/>
  <c r="B553" i="7"/>
  <c r="M552" i="7"/>
  <c r="J552" i="7"/>
  <c r="K552" i="7" s="1"/>
  <c r="L552" i="7" s="1"/>
  <c r="G552" i="7"/>
  <c r="H552" i="7" s="1"/>
  <c r="B552" i="7"/>
  <c r="M551" i="7"/>
  <c r="J551" i="7"/>
  <c r="K551" i="7" s="1"/>
  <c r="L551" i="7" s="1"/>
  <c r="G551" i="7"/>
  <c r="H551" i="7" s="1"/>
  <c r="B551" i="7"/>
  <c r="M550" i="7"/>
  <c r="J550" i="7"/>
  <c r="K550" i="7" s="1"/>
  <c r="L550" i="7" s="1"/>
  <c r="G550" i="7"/>
  <c r="H550" i="7" s="1"/>
  <c r="B550" i="7"/>
  <c r="M549" i="7"/>
  <c r="J549" i="7"/>
  <c r="K549" i="7" s="1"/>
  <c r="L549" i="7" s="1"/>
  <c r="G549" i="7"/>
  <c r="H549" i="7" s="1"/>
  <c r="B549" i="7"/>
  <c r="M548" i="7"/>
  <c r="J548" i="7"/>
  <c r="K548" i="7" s="1"/>
  <c r="L548" i="7" s="1"/>
  <c r="G548" i="7"/>
  <c r="H548" i="7" s="1"/>
  <c r="B548" i="7"/>
  <c r="M547" i="7"/>
  <c r="J547" i="7"/>
  <c r="K547" i="7" s="1"/>
  <c r="L547" i="7" s="1"/>
  <c r="G547" i="7"/>
  <c r="H547" i="7" s="1"/>
  <c r="B547" i="7"/>
  <c r="M546" i="7"/>
  <c r="J546" i="7"/>
  <c r="K546" i="7" s="1"/>
  <c r="L546" i="7" s="1"/>
  <c r="G546" i="7"/>
  <c r="H546" i="7" s="1"/>
  <c r="B546" i="7"/>
  <c r="M545" i="7"/>
  <c r="J545" i="7"/>
  <c r="K545" i="7" s="1"/>
  <c r="L545" i="7" s="1"/>
  <c r="G545" i="7"/>
  <c r="H545" i="7" s="1"/>
  <c r="B545" i="7"/>
  <c r="M544" i="7"/>
  <c r="J544" i="7"/>
  <c r="K544" i="7" s="1"/>
  <c r="L544" i="7" s="1"/>
  <c r="G544" i="7"/>
  <c r="H544" i="7" s="1"/>
  <c r="B544" i="7"/>
  <c r="M543" i="7"/>
  <c r="J543" i="7"/>
  <c r="K543" i="7" s="1"/>
  <c r="L543" i="7" s="1"/>
  <c r="G543" i="7"/>
  <c r="H543" i="7" s="1"/>
  <c r="B543" i="7"/>
  <c r="M542" i="7"/>
  <c r="J542" i="7"/>
  <c r="K542" i="7" s="1"/>
  <c r="L542" i="7" s="1"/>
  <c r="G542" i="7"/>
  <c r="H542" i="7" s="1"/>
  <c r="B542" i="7"/>
  <c r="M541" i="7"/>
  <c r="J541" i="7"/>
  <c r="K541" i="7" s="1"/>
  <c r="L541" i="7" s="1"/>
  <c r="G541" i="7"/>
  <c r="H541" i="7" s="1"/>
  <c r="B541" i="7"/>
  <c r="M540" i="7"/>
  <c r="J540" i="7"/>
  <c r="K540" i="7" s="1"/>
  <c r="L540" i="7" s="1"/>
  <c r="G540" i="7"/>
  <c r="H540" i="7" s="1"/>
  <c r="B540" i="7"/>
  <c r="M539" i="7"/>
  <c r="J539" i="7"/>
  <c r="K539" i="7" s="1"/>
  <c r="L539" i="7" s="1"/>
  <c r="G539" i="7"/>
  <c r="H539" i="7" s="1"/>
  <c r="B539" i="7"/>
  <c r="M538" i="7"/>
  <c r="J538" i="7"/>
  <c r="K538" i="7" s="1"/>
  <c r="L538" i="7" s="1"/>
  <c r="G538" i="7"/>
  <c r="H538" i="7" s="1"/>
  <c r="B538" i="7"/>
  <c r="M537" i="7"/>
  <c r="J537" i="7"/>
  <c r="K537" i="7" s="1"/>
  <c r="L537" i="7" s="1"/>
  <c r="G537" i="7"/>
  <c r="H537" i="7" s="1"/>
  <c r="B537" i="7"/>
  <c r="M536" i="7"/>
  <c r="J536" i="7"/>
  <c r="K536" i="7" s="1"/>
  <c r="L536" i="7" s="1"/>
  <c r="G536" i="7"/>
  <c r="H536" i="7" s="1"/>
  <c r="B536" i="7"/>
  <c r="M535" i="7"/>
  <c r="J535" i="7"/>
  <c r="K535" i="7" s="1"/>
  <c r="L535" i="7" s="1"/>
  <c r="G535" i="7"/>
  <c r="H535" i="7" s="1"/>
  <c r="B535" i="7"/>
  <c r="M534" i="7"/>
  <c r="J534" i="7"/>
  <c r="K534" i="7" s="1"/>
  <c r="L534" i="7" s="1"/>
  <c r="G534" i="7"/>
  <c r="H534" i="7" s="1"/>
  <c r="B534" i="7"/>
  <c r="M533" i="7"/>
  <c r="J533" i="7"/>
  <c r="K533" i="7" s="1"/>
  <c r="L533" i="7" s="1"/>
  <c r="G533" i="7"/>
  <c r="H533" i="7" s="1"/>
  <c r="B533" i="7"/>
  <c r="M532" i="7"/>
  <c r="J532" i="7"/>
  <c r="K532" i="7" s="1"/>
  <c r="L532" i="7" s="1"/>
  <c r="G532" i="7"/>
  <c r="H532" i="7" s="1"/>
  <c r="B532" i="7"/>
  <c r="M531" i="7"/>
  <c r="J531" i="7"/>
  <c r="K531" i="7" s="1"/>
  <c r="L531" i="7" s="1"/>
  <c r="G531" i="7"/>
  <c r="H531" i="7" s="1"/>
  <c r="B531" i="7"/>
  <c r="M530" i="7"/>
  <c r="J530" i="7"/>
  <c r="K530" i="7" s="1"/>
  <c r="L530" i="7" s="1"/>
  <c r="G530" i="7"/>
  <c r="H530" i="7" s="1"/>
  <c r="B530" i="7"/>
  <c r="M529" i="7"/>
  <c r="J529" i="7"/>
  <c r="K529" i="7" s="1"/>
  <c r="L529" i="7" s="1"/>
  <c r="G529" i="7"/>
  <c r="H529" i="7" s="1"/>
  <c r="B529" i="7"/>
  <c r="M528" i="7"/>
  <c r="J528" i="7"/>
  <c r="K528" i="7" s="1"/>
  <c r="L528" i="7" s="1"/>
  <c r="G528" i="7"/>
  <c r="H528" i="7" s="1"/>
  <c r="B528" i="7"/>
  <c r="M527" i="7"/>
  <c r="J527" i="7"/>
  <c r="K527" i="7" s="1"/>
  <c r="L527" i="7" s="1"/>
  <c r="G527" i="7"/>
  <c r="H527" i="7" s="1"/>
  <c r="B527" i="7"/>
  <c r="M526" i="7"/>
  <c r="J526" i="7"/>
  <c r="K526" i="7" s="1"/>
  <c r="L526" i="7" s="1"/>
  <c r="G526" i="7"/>
  <c r="H526" i="7" s="1"/>
  <c r="B526" i="7"/>
  <c r="M525" i="7"/>
  <c r="J525" i="7"/>
  <c r="K525" i="7" s="1"/>
  <c r="L525" i="7" s="1"/>
  <c r="G525" i="7"/>
  <c r="H525" i="7" s="1"/>
  <c r="B525" i="7"/>
  <c r="M524" i="7"/>
  <c r="J524" i="7"/>
  <c r="K524" i="7" s="1"/>
  <c r="L524" i="7" s="1"/>
  <c r="G524" i="7"/>
  <c r="H524" i="7" s="1"/>
  <c r="B524" i="7"/>
  <c r="M523" i="7"/>
  <c r="J523" i="7"/>
  <c r="K523" i="7" s="1"/>
  <c r="L523" i="7" s="1"/>
  <c r="G523" i="7"/>
  <c r="H523" i="7" s="1"/>
  <c r="B523" i="7"/>
  <c r="M522" i="7"/>
  <c r="J522" i="7"/>
  <c r="K522" i="7" s="1"/>
  <c r="L522" i="7" s="1"/>
  <c r="G522" i="7"/>
  <c r="H522" i="7" s="1"/>
  <c r="B522" i="7"/>
  <c r="M521" i="7"/>
  <c r="J521" i="7"/>
  <c r="K521" i="7" s="1"/>
  <c r="L521" i="7" s="1"/>
  <c r="G521" i="7"/>
  <c r="H521" i="7" s="1"/>
  <c r="B521" i="7"/>
  <c r="M520" i="7"/>
  <c r="J520" i="7"/>
  <c r="K520" i="7" s="1"/>
  <c r="L520" i="7" s="1"/>
  <c r="G520" i="7"/>
  <c r="H520" i="7" s="1"/>
  <c r="B520" i="7"/>
  <c r="M519" i="7"/>
  <c r="J519" i="7"/>
  <c r="K519" i="7" s="1"/>
  <c r="L519" i="7" s="1"/>
  <c r="G519" i="7"/>
  <c r="H519" i="7" s="1"/>
  <c r="B519" i="7"/>
  <c r="M518" i="7"/>
  <c r="J518" i="7"/>
  <c r="K518" i="7" s="1"/>
  <c r="L518" i="7" s="1"/>
  <c r="G518" i="7"/>
  <c r="H518" i="7" s="1"/>
  <c r="B518" i="7"/>
  <c r="M517" i="7"/>
  <c r="J517" i="7"/>
  <c r="K517" i="7" s="1"/>
  <c r="L517" i="7" s="1"/>
  <c r="G517" i="7"/>
  <c r="H517" i="7" s="1"/>
  <c r="B517" i="7"/>
  <c r="M516" i="7"/>
  <c r="J516" i="7"/>
  <c r="K516" i="7" s="1"/>
  <c r="L516" i="7" s="1"/>
  <c r="G516" i="7"/>
  <c r="H516" i="7" s="1"/>
  <c r="B516" i="7"/>
  <c r="M515" i="7"/>
  <c r="J515" i="7"/>
  <c r="K515" i="7" s="1"/>
  <c r="L515" i="7" s="1"/>
  <c r="G515" i="7"/>
  <c r="H515" i="7" s="1"/>
  <c r="B515" i="7"/>
  <c r="M514" i="7"/>
  <c r="J514" i="7"/>
  <c r="K514" i="7" s="1"/>
  <c r="L514" i="7" s="1"/>
  <c r="G514" i="7"/>
  <c r="H514" i="7" s="1"/>
  <c r="B514" i="7"/>
  <c r="M513" i="7"/>
  <c r="J513" i="7"/>
  <c r="K513" i="7" s="1"/>
  <c r="L513" i="7" s="1"/>
  <c r="G513" i="7"/>
  <c r="H513" i="7" s="1"/>
  <c r="B513" i="7"/>
  <c r="M512" i="7"/>
  <c r="J512" i="7"/>
  <c r="K512" i="7" s="1"/>
  <c r="L512" i="7" s="1"/>
  <c r="G512" i="7"/>
  <c r="H512" i="7" s="1"/>
  <c r="B512" i="7"/>
  <c r="M511" i="7"/>
  <c r="J511" i="7"/>
  <c r="K511" i="7" s="1"/>
  <c r="L511" i="7" s="1"/>
  <c r="G511" i="7"/>
  <c r="H511" i="7" s="1"/>
  <c r="B511" i="7"/>
  <c r="M510" i="7"/>
  <c r="J510" i="7"/>
  <c r="K510" i="7" s="1"/>
  <c r="L510" i="7" s="1"/>
  <c r="G510" i="7"/>
  <c r="H510" i="7" s="1"/>
  <c r="B510" i="7"/>
  <c r="M509" i="7"/>
  <c r="J509" i="7"/>
  <c r="K509" i="7" s="1"/>
  <c r="L509" i="7" s="1"/>
  <c r="G509" i="7"/>
  <c r="H509" i="7" s="1"/>
  <c r="B509" i="7"/>
  <c r="M508" i="7"/>
  <c r="J508" i="7"/>
  <c r="K508" i="7" s="1"/>
  <c r="L508" i="7" s="1"/>
  <c r="G508" i="7"/>
  <c r="H508" i="7" s="1"/>
  <c r="B508" i="7"/>
  <c r="M507" i="7"/>
  <c r="J507" i="7"/>
  <c r="K507" i="7" s="1"/>
  <c r="L507" i="7" s="1"/>
  <c r="G507" i="7"/>
  <c r="H507" i="7" s="1"/>
  <c r="B507" i="7"/>
  <c r="M506" i="7"/>
  <c r="J506" i="7"/>
  <c r="K506" i="7" s="1"/>
  <c r="L506" i="7" s="1"/>
  <c r="G506" i="7"/>
  <c r="H506" i="7" s="1"/>
  <c r="B506" i="7"/>
  <c r="M505" i="7"/>
  <c r="J505" i="7"/>
  <c r="K505" i="7" s="1"/>
  <c r="L505" i="7" s="1"/>
  <c r="G505" i="7"/>
  <c r="H505" i="7" s="1"/>
  <c r="B505" i="7"/>
  <c r="M504" i="7"/>
  <c r="J504" i="7"/>
  <c r="K504" i="7" s="1"/>
  <c r="L504" i="7" s="1"/>
  <c r="G504" i="7"/>
  <c r="H504" i="7" s="1"/>
  <c r="B504" i="7"/>
  <c r="M503" i="7"/>
  <c r="J503" i="7"/>
  <c r="K503" i="7" s="1"/>
  <c r="L503" i="7" s="1"/>
  <c r="G503" i="7"/>
  <c r="H503" i="7" s="1"/>
  <c r="B503" i="7"/>
  <c r="M502" i="7"/>
  <c r="J502" i="7"/>
  <c r="K502" i="7" s="1"/>
  <c r="L502" i="7" s="1"/>
  <c r="G502" i="7"/>
  <c r="H502" i="7" s="1"/>
  <c r="B502" i="7"/>
  <c r="M501" i="7"/>
  <c r="J501" i="7"/>
  <c r="K501" i="7" s="1"/>
  <c r="L501" i="7" s="1"/>
  <c r="G501" i="7"/>
  <c r="H501" i="7" s="1"/>
  <c r="B501" i="7"/>
  <c r="M500" i="7"/>
  <c r="J500" i="7"/>
  <c r="K500" i="7" s="1"/>
  <c r="L500" i="7" s="1"/>
  <c r="G500" i="7"/>
  <c r="H500" i="7" s="1"/>
  <c r="B500" i="7"/>
  <c r="M499" i="7"/>
  <c r="J499" i="7"/>
  <c r="K499" i="7" s="1"/>
  <c r="L499" i="7" s="1"/>
  <c r="G499" i="7"/>
  <c r="H499" i="7" s="1"/>
  <c r="B499" i="7"/>
  <c r="M498" i="7"/>
  <c r="J498" i="7"/>
  <c r="K498" i="7" s="1"/>
  <c r="L498" i="7" s="1"/>
  <c r="G498" i="7"/>
  <c r="H498" i="7" s="1"/>
  <c r="B498" i="7"/>
  <c r="M497" i="7"/>
  <c r="J497" i="7"/>
  <c r="K497" i="7" s="1"/>
  <c r="L497" i="7" s="1"/>
  <c r="G497" i="7"/>
  <c r="H497" i="7" s="1"/>
  <c r="B497" i="7"/>
  <c r="M496" i="7"/>
  <c r="J496" i="7"/>
  <c r="K496" i="7" s="1"/>
  <c r="L496" i="7" s="1"/>
  <c r="G496" i="7"/>
  <c r="H496" i="7" s="1"/>
  <c r="B496" i="7"/>
  <c r="M495" i="7"/>
  <c r="J495" i="7"/>
  <c r="K495" i="7" s="1"/>
  <c r="L495" i="7" s="1"/>
  <c r="G495" i="7"/>
  <c r="H495" i="7" s="1"/>
  <c r="B495" i="7"/>
  <c r="M494" i="7"/>
  <c r="J494" i="7"/>
  <c r="K494" i="7" s="1"/>
  <c r="L494" i="7" s="1"/>
  <c r="G494" i="7"/>
  <c r="H494" i="7" s="1"/>
  <c r="B494" i="7"/>
  <c r="M493" i="7"/>
  <c r="J493" i="7"/>
  <c r="K493" i="7" s="1"/>
  <c r="L493" i="7" s="1"/>
  <c r="G493" i="7"/>
  <c r="H493" i="7" s="1"/>
  <c r="B493" i="7"/>
  <c r="M492" i="7"/>
  <c r="J492" i="7"/>
  <c r="K492" i="7" s="1"/>
  <c r="L492" i="7" s="1"/>
  <c r="G492" i="7"/>
  <c r="H492" i="7" s="1"/>
  <c r="B492" i="7"/>
  <c r="M491" i="7"/>
  <c r="J491" i="7"/>
  <c r="K491" i="7" s="1"/>
  <c r="L491" i="7" s="1"/>
  <c r="G491" i="7"/>
  <c r="H491" i="7" s="1"/>
  <c r="B491" i="7"/>
  <c r="M490" i="7"/>
  <c r="J490" i="7"/>
  <c r="K490" i="7" s="1"/>
  <c r="L490" i="7" s="1"/>
  <c r="G490" i="7"/>
  <c r="H490" i="7" s="1"/>
  <c r="B490" i="7"/>
  <c r="M489" i="7"/>
  <c r="J489" i="7"/>
  <c r="K489" i="7" s="1"/>
  <c r="L489" i="7" s="1"/>
  <c r="G489" i="7"/>
  <c r="H489" i="7" s="1"/>
  <c r="B489" i="7"/>
  <c r="M488" i="7"/>
  <c r="J488" i="7"/>
  <c r="K488" i="7" s="1"/>
  <c r="L488" i="7" s="1"/>
  <c r="G488" i="7"/>
  <c r="H488" i="7" s="1"/>
  <c r="B488" i="7"/>
  <c r="M487" i="7"/>
  <c r="J487" i="7"/>
  <c r="K487" i="7" s="1"/>
  <c r="L487" i="7" s="1"/>
  <c r="G487" i="7"/>
  <c r="H487" i="7" s="1"/>
  <c r="B487" i="7"/>
  <c r="M486" i="7"/>
  <c r="J486" i="7"/>
  <c r="K486" i="7" s="1"/>
  <c r="L486" i="7" s="1"/>
  <c r="G486" i="7"/>
  <c r="H486" i="7" s="1"/>
  <c r="B486" i="7"/>
  <c r="M485" i="7"/>
  <c r="J485" i="7"/>
  <c r="K485" i="7" s="1"/>
  <c r="L485" i="7" s="1"/>
  <c r="G485" i="7"/>
  <c r="H485" i="7" s="1"/>
  <c r="B485" i="7"/>
  <c r="M484" i="7"/>
  <c r="J484" i="7"/>
  <c r="K484" i="7" s="1"/>
  <c r="L484" i="7" s="1"/>
  <c r="G484" i="7"/>
  <c r="H484" i="7" s="1"/>
  <c r="B484" i="7"/>
  <c r="M483" i="7"/>
  <c r="J483" i="7"/>
  <c r="K483" i="7" s="1"/>
  <c r="L483" i="7" s="1"/>
  <c r="G483" i="7"/>
  <c r="H483" i="7" s="1"/>
  <c r="B483" i="7"/>
  <c r="M482" i="7"/>
  <c r="J482" i="7"/>
  <c r="K482" i="7" s="1"/>
  <c r="L482" i="7" s="1"/>
  <c r="G482" i="7"/>
  <c r="H482" i="7" s="1"/>
  <c r="B482" i="7"/>
  <c r="M481" i="7"/>
  <c r="J481" i="7"/>
  <c r="K481" i="7" s="1"/>
  <c r="L481" i="7" s="1"/>
  <c r="G481" i="7"/>
  <c r="H481" i="7" s="1"/>
  <c r="B481" i="7"/>
  <c r="M480" i="7"/>
  <c r="J480" i="7"/>
  <c r="K480" i="7" s="1"/>
  <c r="L480" i="7" s="1"/>
  <c r="G480" i="7"/>
  <c r="H480" i="7" s="1"/>
  <c r="B480" i="7"/>
  <c r="M479" i="7"/>
  <c r="J479" i="7"/>
  <c r="K479" i="7" s="1"/>
  <c r="L479" i="7" s="1"/>
  <c r="G479" i="7"/>
  <c r="H479" i="7" s="1"/>
  <c r="B479" i="7"/>
  <c r="M478" i="7"/>
  <c r="J478" i="7"/>
  <c r="K478" i="7" s="1"/>
  <c r="L478" i="7" s="1"/>
  <c r="G478" i="7"/>
  <c r="H478" i="7" s="1"/>
  <c r="B478" i="7"/>
  <c r="M477" i="7"/>
  <c r="J477" i="7"/>
  <c r="K477" i="7" s="1"/>
  <c r="L477" i="7" s="1"/>
  <c r="G477" i="7"/>
  <c r="H477" i="7" s="1"/>
  <c r="B477" i="7"/>
  <c r="M476" i="7"/>
  <c r="J476" i="7"/>
  <c r="K476" i="7" s="1"/>
  <c r="L476" i="7" s="1"/>
  <c r="G476" i="7"/>
  <c r="H476" i="7" s="1"/>
  <c r="B476" i="7"/>
  <c r="M475" i="7"/>
  <c r="J475" i="7"/>
  <c r="K475" i="7" s="1"/>
  <c r="L475" i="7" s="1"/>
  <c r="G475" i="7"/>
  <c r="H475" i="7" s="1"/>
  <c r="B475" i="7"/>
  <c r="M474" i="7"/>
  <c r="J474" i="7"/>
  <c r="K474" i="7" s="1"/>
  <c r="L474" i="7" s="1"/>
  <c r="G474" i="7"/>
  <c r="H474" i="7" s="1"/>
  <c r="B474" i="7"/>
  <c r="M473" i="7"/>
  <c r="J473" i="7"/>
  <c r="K473" i="7" s="1"/>
  <c r="L473" i="7" s="1"/>
  <c r="G473" i="7"/>
  <c r="H473" i="7" s="1"/>
  <c r="B473" i="7"/>
  <c r="M472" i="7"/>
  <c r="J472" i="7"/>
  <c r="K472" i="7" s="1"/>
  <c r="L472" i="7" s="1"/>
  <c r="G472" i="7"/>
  <c r="H472" i="7" s="1"/>
  <c r="B472" i="7"/>
  <c r="M471" i="7"/>
  <c r="J471" i="7"/>
  <c r="K471" i="7" s="1"/>
  <c r="L471" i="7" s="1"/>
  <c r="G471" i="7"/>
  <c r="H471" i="7" s="1"/>
  <c r="B471" i="7"/>
  <c r="M470" i="7"/>
  <c r="J470" i="7"/>
  <c r="K470" i="7" s="1"/>
  <c r="L470" i="7" s="1"/>
  <c r="G470" i="7"/>
  <c r="H470" i="7" s="1"/>
  <c r="B470" i="7"/>
  <c r="M469" i="7"/>
  <c r="J469" i="7"/>
  <c r="K469" i="7" s="1"/>
  <c r="L469" i="7" s="1"/>
  <c r="G469" i="7"/>
  <c r="H469" i="7" s="1"/>
  <c r="B469" i="7"/>
  <c r="M468" i="7"/>
  <c r="J468" i="7"/>
  <c r="K468" i="7" s="1"/>
  <c r="L468" i="7" s="1"/>
  <c r="G468" i="7"/>
  <c r="H468" i="7" s="1"/>
  <c r="B468" i="7"/>
  <c r="M467" i="7"/>
  <c r="J467" i="7"/>
  <c r="K467" i="7" s="1"/>
  <c r="L467" i="7" s="1"/>
  <c r="G467" i="7"/>
  <c r="H467" i="7" s="1"/>
  <c r="B467" i="7"/>
  <c r="M466" i="7"/>
  <c r="J466" i="7"/>
  <c r="K466" i="7" s="1"/>
  <c r="L466" i="7" s="1"/>
  <c r="G466" i="7"/>
  <c r="H466" i="7" s="1"/>
  <c r="B466" i="7"/>
  <c r="M465" i="7"/>
  <c r="J465" i="7"/>
  <c r="K465" i="7" s="1"/>
  <c r="L465" i="7" s="1"/>
  <c r="G465" i="7"/>
  <c r="H465" i="7" s="1"/>
  <c r="B465" i="7"/>
  <c r="M464" i="7"/>
  <c r="J464" i="7"/>
  <c r="K464" i="7" s="1"/>
  <c r="L464" i="7" s="1"/>
  <c r="G464" i="7"/>
  <c r="H464" i="7" s="1"/>
  <c r="B464" i="7"/>
  <c r="M463" i="7"/>
  <c r="J463" i="7"/>
  <c r="K463" i="7" s="1"/>
  <c r="L463" i="7" s="1"/>
  <c r="G463" i="7"/>
  <c r="H463" i="7" s="1"/>
  <c r="B463" i="7"/>
  <c r="M462" i="7"/>
  <c r="J462" i="7"/>
  <c r="K462" i="7" s="1"/>
  <c r="L462" i="7" s="1"/>
  <c r="G462" i="7"/>
  <c r="H462" i="7" s="1"/>
  <c r="B462" i="7"/>
  <c r="M461" i="7"/>
  <c r="J461" i="7"/>
  <c r="K461" i="7" s="1"/>
  <c r="L461" i="7" s="1"/>
  <c r="G461" i="7"/>
  <c r="H461" i="7" s="1"/>
  <c r="B461" i="7"/>
  <c r="M460" i="7"/>
  <c r="J460" i="7"/>
  <c r="K460" i="7" s="1"/>
  <c r="L460" i="7" s="1"/>
  <c r="G460" i="7"/>
  <c r="H460" i="7" s="1"/>
  <c r="B460" i="7"/>
  <c r="M459" i="7"/>
  <c r="J459" i="7"/>
  <c r="K459" i="7" s="1"/>
  <c r="L459" i="7" s="1"/>
  <c r="G459" i="7"/>
  <c r="H459" i="7" s="1"/>
  <c r="B459" i="7"/>
  <c r="M458" i="7"/>
  <c r="J458" i="7"/>
  <c r="K458" i="7" s="1"/>
  <c r="L458" i="7" s="1"/>
  <c r="G458" i="7"/>
  <c r="H458" i="7" s="1"/>
  <c r="B458" i="7"/>
  <c r="M457" i="7"/>
  <c r="J457" i="7"/>
  <c r="K457" i="7" s="1"/>
  <c r="L457" i="7" s="1"/>
  <c r="G457" i="7"/>
  <c r="H457" i="7" s="1"/>
  <c r="B457" i="7"/>
  <c r="M456" i="7"/>
  <c r="J456" i="7"/>
  <c r="K456" i="7" s="1"/>
  <c r="L456" i="7" s="1"/>
  <c r="G456" i="7"/>
  <c r="H456" i="7" s="1"/>
  <c r="B456" i="7"/>
  <c r="M455" i="7"/>
  <c r="J455" i="7"/>
  <c r="K455" i="7" s="1"/>
  <c r="L455" i="7" s="1"/>
  <c r="G455" i="7"/>
  <c r="H455" i="7" s="1"/>
  <c r="B455" i="7"/>
  <c r="M454" i="7"/>
  <c r="J454" i="7"/>
  <c r="K454" i="7" s="1"/>
  <c r="L454" i="7" s="1"/>
  <c r="G454" i="7"/>
  <c r="H454" i="7" s="1"/>
  <c r="B454" i="7"/>
  <c r="M453" i="7"/>
  <c r="J453" i="7"/>
  <c r="K453" i="7" s="1"/>
  <c r="L453" i="7" s="1"/>
  <c r="G453" i="7"/>
  <c r="H453" i="7" s="1"/>
  <c r="B453" i="7"/>
  <c r="M452" i="7"/>
  <c r="J452" i="7"/>
  <c r="K452" i="7" s="1"/>
  <c r="L452" i="7" s="1"/>
  <c r="G452" i="7"/>
  <c r="H452" i="7" s="1"/>
  <c r="B452" i="7"/>
  <c r="M451" i="7"/>
  <c r="J451" i="7"/>
  <c r="K451" i="7" s="1"/>
  <c r="L451" i="7" s="1"/>
  <c r="G451" i="7"/>
  <c r="H451" i="7" s="1"/>
  <c r="B451" i="7"/>
  <c r="M450" i="7"/>
  <c r="J450" i="7"/>
  <c r="K450" i="7" s="1"/>
  <c r="L450" i="7" s="1"/>
  <c r="G450" i="7"/>
  <c r="H450" i="7" s="1"/>
  <c r="B450" i="7"/>
  <c r="M449" i="7"/>
  <c r="J449" i="7"/>
  <c r="K449" i="7" s="1"/>
  <c r="L449" i="7" s="1"/>
  <c r="G449" i="7"/>
  <c r="H449" i="7" s="1"/>
  <c r="B449" i="7"/>
  <c r="M448" i="7"/>
  <c r="J448" i="7"/>
  <c r="K448" i="7" s="1"/>
  <c r="L448" i="7" s="1"/>
  <c r="G448" i="7"/>
  <c r="H448" i="7" s="1"/>
  <c r="B448" i="7"/>
  <c r="M447" i="7"/>
  <c r="J447" i="7"/>
  <c r="K447" i="7" s="1"/>
  <c r="L447" i="7" s="1"/>
  <c r="G447" i="7"/>
  <c r="H447" i="7" s="1"/>
  <c r="B447" i="7"/>
  <c r="M446" i="7"/>
  <c r="J446" i="7"/>
  <c r="K446" i="7" s="1"/>
  <c r="L446" i="7" s="1"/>
  <c r="G446" i="7"/>
  <c r="H446" i="7" s="1"/>
  <c r="B446" i="7"/>
  <c r="M445" i="7"/>
  <c r="J445" i="7"/>
  <c r="K445" i="7" s="1"/>
  <c r="L445" i="7" s="1"/>
  <c r="G445" i="7"/>
  <c r="H445" i="7" s="1"/>
  <c r="B445" i="7"/>
  <c r="M444" i="7"/>
  <c r="J444" i="7"/>
  <c r="K444" i="7" s="1"/>
  <c r="L444" i="7" s="1"/>
  <c r="G444" i="7"/>
  <c r="H444" i="7" s="1"/>
  <c r="B444" i="7"/>
  <c r="M443" i="7"/>
  <c r="J443" i="7"/>
  <c r="K443" i="7" s="1"/>
  <c r="L443" i="7" s="1"/>
  <c r="G443" i="7"/>
  <c r="H443" i="7" s="1"/>
  <c r="B443" i="7"/>
  <c r="M442" i="7"/>
  <c r="J442" i="7"/>
  <c r="K442" i="7" s="1"/>
  <c r="L442" i="7" s="1"/>
  <c r="G442" i="7"/>
  <c r="H442" i="7" s="1"/>
  <c r="B442" i="7"/>
  <c r="M441" i="7"/>
  <c r="J441" i="7"/>
  <c r="K441" i="7" s="1"/>
  <c r="L441" i="7" s="1"/>
  <c r="G441" i="7"/>
  <c r="H441" i="7" s="1"/>
  <c r="B441" i="7"/>
  <c r="M440" i="7"/>
  <c r="J440" i="7"/>
  <c r="K440" i="7" s="1"/>
  <c r="L440" i="7" s="1"/>
  <c r="G440" i="7"/>
  <c r="H440" i="7" s="1"/>
  <c r="B440" i="7"/>
  <c r="M439" i="7"/>
  <c r="J439" i="7"/>
  <c r="K439" i="7" s="1"/>
  <c r="L439" i="7" s="1"/>
  <c r="G439" i="7"/>
  <c r="H439" i="7" s="1"/>
  <c r="B439" i="7"/>
  <c r="M438" i="7"/>
  <c r="J438" i="7"/>
  <c r="K438" i="7" s="1"/>
  <c r="L438" i="7" s="1"/>
  <c r="G438" i="7"/>
  <c r="H438" i="7" s="1"/>
  <c r="B438" i="7"/>
  <c r="M437" i="7"/>
  <c r="J437" i="7"/>
  <c r="K437" i="7" s="1"/>
  <c r="L437" i="7" s="1"/>
  <c r="G437" i="7"/>
  <c r="H437" i="7" s="1"/>
  <c r="B437" i="7"/>
  <c r="M436" i="7"/>
  <c r="J436" i="7"/>
  <c r="K436" i="7" s="1"/>
  <c r="L436" i="7" s="1"/>
  <c r="G436" i="7"/>
  <c r="H436" i="7" s="1"/>
  <c r="B436" i="7"/>
  <c r="M435" i="7"/>
  <c r="J435" i="7"/>
  <c r="K435" i="7" s="1"/>
  <c r="L435" i="7" s="1"/>
  <c r="G435" i="7"/>
  <c r="H435" i="7" s="1"/>
  <c r="B435" i="7"/>
  <c r="M434" i="7"/>
  <c r="J434" i="7"/>
  <c r="K434" i="7" s="1"/>
  <c r="L434" i="7" s="1"/>
  <c r="G434" i="7"/>
  <c r="H434" i="7" s="1"/>
  <c r="B434" i="7"/>
  <c r="M433" i="7"/>
  <c r="J433" i="7"/>
  <c r="K433" i="7" s="1"/>
  <c r="L433" i="7" s="1"/>
  <c r="G433" i="7"/>
  <c r="H433" i="7" s="1"/>
  <c r="B433" i="7"/>
  <c r="M432" i="7"/>
  <c r="J432" i="7"/>
  <c r="K432" i="7" s="1"/>
  <c r="L432" i="7" s="1"/>
  <c r="G432" i="7"/>
  <c r="H432" i="7" s="1"/>
  <c r="B432" i="7"/>
  <c r="M431" i="7"/>
  <c r="J431" i="7"/>
  <c r="K431" i="7" s="1"/>
  <c r="L431" i="7" s="1"/>
  <c r="G431" i="7"/>
  <c r="H431" i="7" s="1"/>
  <c r="B431" i="7"/>
  <c r="M430" i="7"/>
  <c r="J430" i="7"/>
  <c r="K430" i="7" s="1"/>
  <c r="L430" i="7" s="1"/>
  <c r="G430" i="7"/>
  <c r="H430" i="7" s="1"/>
  <c r="B430" i="7"/>
  <c r="M429" i="7"/>
  <c r="J429" i="7"/>
  <c r="K429" i="7" s="1"/>
  <c r="L429" i="7" s="1"/>
  <c r="G429" i="7"/>
  <c r="H429" i="7" s="1"/>
  <c r="B429" i="7"/>
  <c r="M428" i="7"/>
  <c r="J428" i="7"/>
  <c r="K428" i="7" s="1"/>
  <c r="L428" i="7" s="1"/>
  <c r="G428" i="7"/>
  <c r="H428" i="7" s="1"/>
  <c r="B428" i="7"/>
  <c r="M427" i="7"/>
  <c r="J427" i="7"/>
  <c r="K427" i="7" s="1"/>
  <c r="L427" i="7" s="1"/>
  <c r="G427" i="7"/>
  <c r="H427" i="7" s="1"/>
  <c r="B427" i="7"/>
  <c r="M426" i="7"/>
  <c r="J426" i="7"/>
  <c r="K426" i="7" s="1"/>
  <c r="L426" i="7" s="1"/>
  <c r="G426" i="7"/>
  <c r="H426" i="7" s="1"/>
  <c r="B426" i="7"/>
  <c r="M425" i="7"/>
  <c r="J425" i="7"/>
  <c r="K425" i="7" s="1"/>
  <c r="L425" i="7" s="1"/>
  <c r="G425" i="7"/>
  <c r="H425" i="7" s="1"/>
  <c r="B425" i="7"/>
  <c r="M424" i="7"/>
  <c r="J424" i="7"/>
  <c r="K424" i="7" s="1"/>
  <c r="L424" i="7" s="1"/>
  <c r="G424" i="7"/>
  <c r="H424" i="7" s="1"/>
  <c r="B424" i="7"/>
  <c r="M423" i="7"/>
  <c r="J423" i="7"/>
  <c r="K423" i="7" s="1"/>
  <c r="L423" i="7" s="1"/>
  <c r="G423" i="7"/>
  <c r="H423" i="7" s="1"/>
  <c r="B423" i="7"/>
  <c r="M422" i="7"/>
  <c r="J422" i="7"/>
  <c r="K422" i="7" s="1"/>
  <c r="L422" i="7" s="1"/>
  <c r="G422" i="7"/>
  <c r="H422" i="7" s="1"/>
  <c r="B422" i="7"/>
  <c r="M421" i="7"/>
  <c r="J421" i="7"/>
  <c r="K421" i="7" s="1"/>
  <c r="L421" i="7" s="1"/>
  <c r="G421" i="7"/>
  <c r="H421" i="7" s="1"/>
  <c r="B421" i="7"/>
  <c r="M420" i="7"/>
  <c r="J420" i="7"/>
  <c r="K420" i="7" s="1"/>
  <c r="L420" i="7" s="1"/>
  <c r="G420" i="7"/>
  <c r="H420" i="7" s="1"/>
  <c r="B420" i="7"/>
  <c r="M419" i="7"/>
  <c r="J419" i="7"/>
  <c r="K419" i="7" s="1"/>
  <c r="L419" i="7" s="1"/>
  <c r="G419" i="7"/>
  <c r="H419" i="7" s="1"/>
  <c r="B419" i="7"/>
  <c r="M418" i="7"/>
  <c r="J418" i="7"/>
  <c r="K418" i="7" s="1"/>
  <c r="L418" i="7" s="1"/>
  <c r="G418" i="7"/>
  <c r="H418" i="7" s="1"/>
  <c r="B418" i="7"/>
  <c r="M417" i="7"/>
  <c r="J417" i="7"/>
  <c r="K417" i="7" s="1"/>
  <c r="L417" i="7" s="1"/>
  <c r="G417" i="7"/>
  <c r="H417" i="7" s="1"/>
  <c r="B417" i="7"/>
  <c r="M416" i="7"/>
  <c r="J416" i="7"/>
  <c r="K416" i="7" s="1"/>
  <c r="L416" i="7" s="1"/>
  <c r="G416" i="7"/>
  <c r="H416" i="7" s="1"/>
  <c r="B416" i="7"/>
  <c r="M415" i="7"/>
  <c r="J415" i="7"/>
  <c r="K415" i="7" s="1"/>
  <c r="L415" i="7" s="1"/>
  <c r="G415" i="7"/>
  <c r="H415" i="7" s="1"/>
  <c r="B415" i="7"/>
  <c r="M414" i="7"/>
  <c r="J414" i="7"/>
  <c r="K414" i="7" s="1"/>
  <c r="L414" i="7" s="1"/>
  <c r="G414" i="7"/>
  <c r="H414" i="7" s="1"/>
  <c r="B414" i="7"/>
  <c r="M413" i="7"/>
  <c r="J413" i="7"/>
  <c r="K413" i="7" s="1"/>
  <c r="L413" i="7" s="1"/>
  <c r="G413" i="7"/>
  <c r="H413" i="7" s="1"/>
  <c r="B413" i="7"/>
  <c r="M412" i="7"/>
  <c r="J412" i="7"/>
  <c r="K412" i="7" s="1"/>
  <c r="L412" i="7" s="1"/>
  <c r="G412" i="7"/>
  <c r="H412" i="7" s="1"/>
  <c r="B412" i="7"/>
  <c r="M411" i="7"/>
  <c r="J411" i="7"/>
  <c r="K411" i="7" s="1"/>
  <c r="L411" i="7" s="1"/>
  <c r="G411" i="7"/>
  <c r="H411" i="7" s="1"/>
  <c r="B411" i="7"/>
  <c r="M410" i="7"/>
  <c r="J410" i="7"/>
  <c r="K410" i="7" s="1"/>
  <c r="L410" i="7" s="1"/>
  <c r="G410" i="7"/>
  <c r="H410" i="7" s="1"/>
  <c r="B410" i="7"/>
  <c r="M409" i="7"/>
  <c r="J409" i="7"/>
  <c r="K409" i="7" s="1"/>
  <c r="L409" i="7" s="1"/>
  <c r="G409" i="7"/>
  <c r="H409" i="7" s="1"/>
  <c r="B409" i="7"/>
  <c r="M408" i="7"/>
  <c r="J408" i="7"/>
  <c r="K408" i="7" s="1"/>
  <c r="L408" i="7" s="1"/>
  <c r="G408" i="7"/>
  <c r="H408" i="7" s="1"/>
  <c r="B408" i="7"/>
  <c r="M407" i="7"/>
  <c r="J407" i="7"/>
  <c r="K407" i="7" s="1"/>
  <c r="L407" i="7" s="1"/>
  <c r="G407" i="7"/>
  <c r="H407" i="7" s="1"/>
  <c r="B407" i="7"/>
  <c r="M406" i="7"/>
  <c r="J406" i="7"/>
  <c r="K406" i="7" s="1"/>
  <c r="L406" i="7" s="1"/>
  <c r="G406" i="7"/>
  <c r="H406" i="7" s="1"/>
  <c r="B406" i="7"/>
  <c r="M405" i="7"/>
  <c r="J405" i="7"/>
  <c r="K405" i="7" s="1"/>
  <c r="L405" i="7" s="1"/>
  <c r="G405" i="7"/>
  <c r="H405" i="7" s="1"/>
  <c r="B405" i="7"/>
  <c r="M404" i="7"/>
  <c r="J404" i="7"/>
  <c r="K404" i="7" s="1"/>
  <c r="L404" i="7" s="1"/>
  <c r="G404" i="7"/>
  <c r="H404" i="7" s="1"/>
  <c r="B404" i="7"/>
  <c r="M403" i="7"/>
  <c r="J403" i="7"/>
  <c r="K403" i="7" s="1"/>
  <c r="L403" i="7" s="1"/>
  <c r="G403" i="7"/>
  <c r="H403" i="7" s="1"/>
  <c r="B403" i="7"/>
  <c r="M402" i="7"/>
  <c r="J402" i="7"/>
  <c r="K402" i="7" s="1"/>
  <c r="L402" i="7" s="1"/>
  <c r="G402" i="7"/>
  <c r="H402" i="7" s="1"/>
  <c r="B402" i="7"/>
  <c r="M401" i="7"/>
  <c r="J401" i="7"/>
  <c r="K401" i="7" s="1"/>
  <c r="L401" i="7" s="1"/>
  <c r="G401" i="7"/>
  <c r="H401" i="7" s="1"/>
  <c r="B401" i="7"/>
  <c r="M400" i="7"/>
  <c r="J400" i="7"/>
  <c r="K400" i="7" s="1"/>
  <c r="L400" i="7" s="1"/>
  <c r="G400" i="7"/>
  <c r="H400" i="7" s="1"/>
  <c r="B400" i="7"/>
  <c r="M399" i="7"/>
  <c r="J399" i="7"/>
  <c r="K399" i="7" s="1"/>
  <c r="L399" i="7" s="1"/>
  <c r="G399" i="7"/>
  <c r="H399" i="7" s="1"/>
  <c r="B399" i="7"/>
  <c r="M398" i="7"/>
  <c r="J398" i="7"/>
  <c r="K398" i="7" s="1"/>
  <c r="L398" i="7" s="1"/>
  <c r="G398" i="7"/>
  <c r="H398" i="7" s="1"/>
  <c r="B398" i="7"/>
  <c r="M397" i="7"/>
  <c r="J397" i="7"/>
  <c r="K397" i="7" s="1"/>
  <c r="L397" i="7" s="1"/>
  <c r="G397" i="7"/>
  <c r="H397" i="7" s="1"/>
  <c r="B397" i="7"/>
  <c r="M396" i="7"/>
  <c r="J396" i="7"/>
  <c r="K396" i="7" s="1"/>
  <c r="L396" i="7" s="1"/>
  <c r="G396" i="7"/>
  <c r="H396" i="7" s="1"/>
  <c r="B396" i="7"/>
  <c r="M395" i="7"/>
  <c r="J395" i="7"/>
  <c r="K395" i="7" s="1"/>
  <c r="L395" i="7" s="1"/>
  <c r="G395" i="7"/>
  <c r="H395" i="7" s="1"/>
  <c r="B395" i="7"/>
  <c r="M394" i="7"/>
  <c r="J394" i="7"/>
  <c r="K394" i="7" s="1"/>
  <c r="L394" i="7" s="1"/>
  <c r="G394" i="7"/>
  <c r="H394" i="7" s="1"/>
  <c r="B394" i="7"/>
  <c r="M393" i="7"/>
  <c r="J393" i="7"/>
  <c r="K393" i="7" s="1"/>
  <c r="L393" i="7" s="1"/>
  <c r="G393" i="7"/>
  <c r="H393" i="7" s="1"/>
  <c r="B393" i="7"/>
  <c r="M392" i="7"/>
  <c r="J392" i="7"/>
  <c r="K392" i="7" s="1"/>
  <c r="L392" i="7" s="1"/>
  <c r="G392" i="7"/>
  <c r="H392" i="7" s="1"/>
  <c r="B392" i="7"/>
  <c r="M391" i="7"/>
  <c r="J391" i="7"/>
  <c r="K391" i="7" s="1"/>
  <c r="L391" i="7" s="1"/>
  <c r="G391" i="7"/>
  <c r="H391" i="7" s="1"/>
  <c r="B391" i="7"/>
  <c r="M390" i="7"/>
  <c r="J390" i="7"/>
  <c r="K390" i="7" s="1"/>
  <c r="L390" i="7" s="1"/>
  <c r="G390" i="7"/>
  <c r="H390" i="7" s="1"/>
  <c r="B390" i="7"/>
  <c r="M389" i="7"/>
  <c r="J389" i="7"/>
  <c r="K389" i="7" s="1"/>
  <c r="L389" i="7" s="1"/>
  <c r="G389" i="7"/>
  <c r="H389" i="7" s="1"/>
  <c r="B389" i="7"/>
  <c r="M388" i="7"/>
  <c r="J388" i="7"/>
  <c r="K388" i="7" s="1"/>
  <c r="L388" i="7" s="1"/>
  <c r="G388" i="7"/>
  <c r="H388" i="7" s="1"/>
  <c r="B388" i="7"/>
  <c r="M387" i="7"/>
  <c r="J387" i="7"/>
  <c r="K387" i="7" s="1"/>
  <c r="L387" i="7" s="1"/>
  <c r="G387" i="7"/>
  <c r="H387" i="7" s="1"/>
  <c r="B387" i="7"/>
  <c r="M386" i="7"/>
  <c r="J386" i="7"/>
  <c r="K386" i="7" s="1"/>
  <c r="L386" i="7" s="1"/>
  <c r="G386" i="7"/>
  <c r="H386" i="7" s="1"/>
  <c r="B386" i="7"/>
  <c r="M385" i="7"/>
  <c r="J385" i="7"/>
  <c r="K385" i="7" s="1"/>
  <c r="L385" i="7" s="1"/>
  <c r="G385" i="7"/>
  <c r="H385" i="7" s="1"/>
  <c r="B385" i="7"/>
  <c r="M384" i="7"/>
  <c r="J384" i="7"/>
  <c r="K384" i="7" s="1"/>
  <c r="L384" i="7" s="1"/>
  <c r="G384" i="7"/>
  <c r="H384" i="7" s="1"/>
  <c r="B384" i="7"/>
  <c r="M383" i="7"/>
  <c r="J383" i="7"/>
  <c r="K383" i="7" s="1"/>
  <c r="L383" i="7" s="1"/>
  <c r="G383" i="7"/>
  <c r="H383" i="7" s="1"/>
  <c r="B383" i="7"/>
  <c r="M382" i="7"/>
  <c r="J382" i="7"/>
  <c r="K382" i="7" s="1"/>
  <c r="L382" i="7" s="1"/>
  <c r="G382" i="7"/>
  <c r="H382" i="7" s="1"/>
  <c r="B382" i="7"/>
  <c r="M381" i="7"/>
  <c r="J381" i="7"/>
  <c r="K381" i="7" s="1"/>
  <c r="L381" i="7" s="1"/>
  <c r="G381" i="7"/>
  <c r="H381" i="7" s="1"/>
  <c r="B381" i="7"/>
  <c r="M380" i="7"/>
  <c r="J380" i="7"/>
  <c r="K380" i="7" s="1"/>
  <c r="L380" i="7" s="1"/>
  <c r="G380" i="7"/>
  <c r="H380" i="7" s="1"/>
  <c r="B380" i="7"/>
  <c r="M379" i="7"/>
  <c r="J379" i="7"/>
  <c r="K379" i="7" s="1"/>
  <c r="L379" i="7" s="1"/>
  <c r="G379" i="7"/>
  <c r="H379" i="7" s="1"/>
  <c r="B379" i="7"/>
  <c r="M378" i="7"/>
  <c r="J378" i="7"/>
  <c r="K378" i="7" s="1"/>
  <c r="L378" i="7" s="1"/>
  <c r="G378" i="7"/>
  <c r="H378" i="7" s="1"/>
  <c r="B378" i="7"/>
  <c r="M377" i="7"/>
  <c r="J377" i="7"/>
  <c r="K377" i="7" s="1"/>
  <c r="L377" i="7" s="1"/>
  <c r="G377" i="7"/>
  <c r="H377" i="7" s="1"/>
  <c r="B377" i="7"/>
  <c r="M376" i="7"/>
  <c r="J376" i="7"/>
  <c r="K376" i="7" s="1"/>
  <c r="L376" i="7" s="1"/>
  <c r="G376" i="7"/>
  <c r="H376" i="7" s="1"/>
  <c r="B376" i="7"/>
  <c r="M375" i="7"/>
  <c r="J375" i="7"/>
  <c r="K375" i="7" s="1"/>
  <c r="L375" i="7" s="1"/>
  <c r="G375" i="7"/>
  <c r="H375" i="7" s="1"/>
  <c r="B375" i="7"/>
  <c r="M374" i="7"/>
  <c r="J374" i="7"/>
  <c r="K374" i="7" s="1"/>
  <c r="L374" i="7" s="1"/>
  <c r="G374" i="7"/>
  <c r="H374" i="7" s="1"/>
  <c r="B374" i="7"/>
  <c r="M373" i="7"/>
  <c r="J373" i="7"/>
  <c r="K373" i="7" s="1"/>
  <c r="L373" i="7" s="1"/>
  <c r="G373" i="7"/>
  <c r="H373" i="7" s="1"/>
  <c r="B373" i="7"/>
  <c r="M372" i="7"/>
  <c r="J372" i="7"/>
  <c r="K372" i="7" s="1"/>
  <c r="L372" i="7" s="1"/>
  <c r="G372" i="7"/>
  <c r="H372" i="7" s="1"/>
  <c r="B372" i="7"/>
  <c r="M371" i="7"/>
  <c r="J371" i="7"/>
  <c r="K371" i="7" s="1"/>
  <c r="L371" i="7" s="1"/>
  <c r="G371" i="7"/>
  <c r="H371" i="7" s="1"/>
  <c r="B371" i="7"/>
  <c r="M370" i="7"/>
  <c r="J370" i="7"/>
  <c r="K370" i="7" s="1"/>
  <c r="L370" i="7" s="1"/>
  <c r="G370" i="7"/>
  <c r="H370" i="7" s="1"/>
  <c r="B370" i="7"/>
  <c r="M369" i="7"/>
  <c r="J369" i="7"/>
  <c r="K369" i="7" s="1"/>
  <c r="L369" i="7" s="1"/>
  <c r="G369" i="7"/>
  <c r="H369" i="7" s="1"/>
  <c r="B369" i="7"/>
  <c r="M368" i="7"/>
  <c r="J368" i="7"/>
  <c r="K368" i="7" s="1"/>
  <c r="L368" i="7" s="1"/>
  <c r="G368" i="7"/>
  <c r="H368" i="7" s="1"/>
  <c r="B368" i="7"/>
  <c r="M367" i="7"/>
  <c r="J367" i="7"/>
  <c r="K367" i="7" s="1"/>
  <c r="L367" i="7" s="1"/>
  <c r="G367" i="7"/>
  <c r="H367" i="7" s="1"/>
  <c r="B367" i="7"/>
  <c r="M366" i="7"/>
  <c r="J366" i="7"/>
  <c r="K366" i="7" s="1"/>
  <c r="L366" i="7" s="1"/>
  <c r="G366" i="7"/>
  <c r="H366" i="7" s="1"/>
  <c r="B366" i="7"/>
  <c r="M365" i="7"/>
  <c r="J365" i="7"/>
  <c r="K365" i="7" s="1"/>
  <c r="L365" i="7" s="1"/>
  <c r="G365" i="7"/>
  <c r="H365" i="7" s="1"/>
  <c r="B365" i="7"/>
  <c r="M364" i="7"/>
  <c r="J364" i="7"/>
  <c r="K364" i="7" s="1"/>
  <c r="L364" i="7" s="1"/>
  <c r="G364" i="7"/>
  <c r="H364" i="7" s="1"/>
  <c r="B364" i="7"/>
  <c r="M363" i="7"/>
  <c r="J363" i="7"/>
  <c r="K363" i="7" s="1"/>
  <c r="L363" i="7" s="1"/>
  <c r="G363" i="7"/>
  <c r="H363" i="7" s="1"/>
  <c r="B363" i="7"/>
  <c r="M362" i="7"/>
  <c r="J362" i="7"/>
  <c r="K362" i="7" s="1"/>
  <c r="L362" i="7" s="1"/>
  <c r="G362" i="7"/>
  <c r="H362" i="7" s="1"/>
  <c r="B362" i="7"/>
  <c r="M361" i="7"/>
  <c r="J361" i="7"/>
  <c r="K361" i="7" s="1"/>
  <c r="L361" i="7" s="1"/>
  <c r="G361" i="7"/>
  <c r="H361" i="7" s="1"/>
  <c r="B361" i="7"/>
  <c r="M360" i="7"/>
  <c r="J360" i="7"/>
  <c r="K360" i="7" s="1"/>
  <c r="L360" i="7" s="1"/>
  <c r="G360" i="7"/>
  <c r="H360" i="7" s="1"/>
  <c r="B360" i="7"/>
  <c r="M359" i="7"/>
  <c r="J359" i="7"/>
  <c r="K359" i="7" s="1"/>
  <c r="L359" i="7" s="1"/>
  <c r="G359" i="7"/>
  <c r="H359" i="7" s="1"/>
  <c r="B359" i="7"/>
  <c r="M358" i="7"/>
  <c r="J358" i="7"/>
  <c r="K358" i="7" s="1"/>
  <c r="L358" i="7" s="1"/>
  <c r="G358" i="7"/>
  <c r="H358" i="7" s="1"/>
  <c r="B358" i="7"/>
  <c r="M357" i="7"/>
  <c r="J357" i="7"/>
  <c r="K357" i="7" s="1"/>
  <c r="L357" i="7" s="1"/>
  <c r="G357" i="7"/>
  <c r="H357" i="7" s="1"/>
  <c r="B357" i="7"/>
  <c r="M356" i="7"/>
  <c r="J356" i="7"/>
  <c r="K356" i="7" s="1"/>
  <c r="L356" i="7" s="1"/>
  <c r="G356" i="7"/>
  <c r="H356" i="7" s="1"/>
  <c r="B356" i="7"/>
  <c r="M355" i="7"/>
  <c r="J355" i="7"/>
  <c r="K355" i="7" s="1"/>
  <c r="L355" i="7" s="1"/>
  <c r="G355" i="7"/>
  <c r="H355" i="7" s="1"/>
  <c r="B355" i="7"/>
  <c r="M354" i="7"/>
  <c r="J354" i="7"/>
  <c r="K354" i="7" s="1"/>
  <c r="L354" i="7" s="1"/>
  <c r="G354" i="7"/>
  <c r="H354" i="7" s="1"/>
  <c r="B354" i="7"/>
  <c r="M353" i="7"/>
  <c r="J353" i="7"/>
  <c r="K353" i="7" s="1"/>
  <c r="L353" i="7" s="1"/>
  <c r="G353" i="7"/>
  <c r="H353" i="7" s="1"/>
  <c r="B353" i="7"/>
  <c r="M352" i="7"/>
  <c r="J352" i="7"/>
  <c r="K352" i="7" s="1"/>
  <c r="L352" i="7" s="1"/>
  <c r="G352" i="7"/>
  <c r="H352" i="7" s="1"/>
  <c r="B352" i="7"/>
  <c r="M351" i="7"/>
  <c r="J351" i="7"/>
  <c r="K351" i="7" s="1"/>
  <c r="L351" i="7" s="1"/>
  <c r="G351" i="7"/>
  <c r="H351" i="7" s="1"/>
  <c r="B351" i="7"/>
  <c r="M350" i="7"/>
  <c r="J350" i="7"/>
  <c r="K350" i="7" s="1"/>
  <c r="L350" i="7" s="1"/>
  <c r="G350" i="7"/>
  <c r="H350" i="7" s="1"/>
  <c r="B350" i="7"/>
  <c r="M349" i="7"/>
  <c r="J349" i="7"/>
  <c r="K349" i="7" s="1"/>
  <c r="L349" i="7" s="1"/>
  <c r="G349" i="7"/>
  <c r="H349" i="7" s="1"/>
  <c r="B349" i="7"/>
  <c r="M348" i="7"/>
  <c r="J348" i="7"/>
  <c r="K348" i="7" s="1"/>
  <c r="L348" i="7" s="1"/>
  <c r="G348" i="7"/>
  <c r="H348" i="7" s="1"/>
  <c r="B348" i="7"/>
  <c r="M347" i="7"/>
  <c r="J347" i="7"/>
  <c r="K347" i="7" s="1"/>
  <c r="L347" i="7" s="1"/>
  <c r="G347" i="7"/>
  <c r="H347" i="7" s="1"/>
  <c r="B347" i="7"/>
  <c r="M346" i="7"/>
  <c r="J346" i="7"/>
  <c r="K346" i="7" s="1"/>
  <c r="L346" i="7" s="1"/>
  <c r="G346" i="7"/>
  <c r="H346" i="7" s="1"/>
  <c r="B346" i="7"/>
  <c r="M345" i="7"/>
  <c r="J345" i="7"/>
  <c r="K345" i="7" s="1"/>
  <c r="L345" i="7" s="1"/>
  <c r="G345" i="7"/>
  <c r="H345" i="7" s="1"/>
  <c r="B345" i="7"/>
  <c r="M344" i="7"/>
  <c r="J344" i="7"/>
  <c r="K344" i="7" s="1"/>
  <c r="L344" i="7" s="1"/>
  <c r="G344" i="7"/>
  <c r="H344" i="7" s="1"/>
  <c r="B344" i="7"/>
  <c r="M343" i="7"/>
  <c r="J343" i="7"/>
  <c r="K343" i="7" s="1"/>
  <c r="L343" i="7" s="1"/>
  <c r="G343" i="7"/>
  <c r="H343" i="7" s="1"/>
  <c r="B343" i="7"/>
  <c r="M342" i="7"/>
  <c r="J342" i="7"/>
  <c r="K342" i="7" s="1"/>
  <c r="L342" i="7" s="1"/>
  <c r="G342" i="7"/>
  <c r="H342" i="7" s="1"/>
  <c r="B342" i="7"/>
  <c r="M341" i="7"/>
  <c r="J341" i="7"/>
  <c r="K341" i="7" s="1"/>
  <c r="L341" i="7" s="1"/>
  <c r="G341" i="7"/>
  <c r="H341" i="7" s="1"/>
  <c r="B341" i="7"/>
  <c r="M340" i="7"/>
  <c r="J340" i="7"/>
  <c r="K340" i="7" s="1"/>
  <c r="L340" i="7" s="1"/>
  <c r="G340" i="7"/>
  <c r="H340" i="7" s="1"/>
  <c r="B340" i="7"/>
  <c r="M339" i="7"/>
  <c r="J339" i="7"/>
  <c r="K339" i="7" s="1"/>
  <c r="L339" i="7" s="1"/>
  <c r="G339" i="7"/>
  <c r="H339" i="7" s="1"/>
  <c r="B339" i="7"/>
  <c r="M338" i="7"/>
  <c r="J338" i="7"/>
  <c r="K338" i="7" s="1"/>
  <c r="L338" i="7" s="1"/>
  <c r="G338" i="7"/>
  <c r="H338" i="7" s="1"/>
  <c r="B338" i="7"/>
  <c r="M337" i="7"/>
  <c r="J337" i="7"/>
  <c r="K337" i="7" s="1"/>
  <c r="L337" i="7" s="1"/>
  <c r="G337" i="7"/>
  <c r="H337" i="7" s="1"/>
  <c r="B337" i="7"/>
  <c r="M336" i="7"/>
  <c r="J336" i="7"/>
  <c r="K336" i="7" s="1"/>
  <c r="L336" i="7" s="1"/>
  <c r="G336" i="7"/>
  <c r="H336" i="7" s="1"/>
  <c r="B336" i="7"/>
  <c r="M335" i="7"/>
  <c r="J335" i="7"/>
  <c r="K335" i="7" s="1"/>
  <c r="L335" i="7" s="1"/>
  <c r="G335" i="7"/>
  <c r="H335" i="7" s="1"/>
  <c r="B335" i="7"/>
  <c r="M334" i="7"/>
  <c r="J334" i="7"/>
  <c r="K334" i="7" s="1"/>
  <c r="L334" i="7" s="1"/>
  <c r="G334" i="7"/>
  <c r="H334" i="7" s="1"/>
  <c r="B334" i="7"/>
  <c r="M333" i="7"/>
  <c r="J333" i="7"/>
  <c r="K333" i="7" s="1"/>
  <c r="L333" i="7" s="1"/>
  <c r="G333" i="7"/>
  <c r="H333" i="7" s="1"/>
  <c r="B333" i="7"/>
  <c r="M332" i="7"/>
  <c r="J332" i="7"/>
  <c r="K332" i="7" s="1"/>
  <c r="L332" i="7" s="1"/>
  <c r="G332" i="7"/>
  <c r="H332" i="7" s="1"/>
  <c r="B332" i="7"/>
  <c r="M331" i="7"/>
  <c r="J331" i="7"/>
  <c r="K331" i="7" s="1"/>
  <c r="L331" i="7" s="1"/>
  <c r="G331" i="7"/>
  <c r="H331" i="7" s="1"/>
  <c r="B331" i="7"/>
  <c r="M330" i="7"/>
  <c r="J330" i="7"/>
  <c r="K330" i="7" s="1"/>
  <c r="L330" i="7" s="1"/>
  <c r="G330" i="7"/>
  <c r="H330" i="7" s="1"/>
  <c r="B330" i="7"/>
  <c r="M329" i="7"/>
  <c r="J329" i="7"/>
  <c r="K329" i="7" s="1"/>
  <c r="L329" i="7" s="1"/>
  <c r="G329" i="7"/>
  <c r="H329" i="7" s="1"/>
  <c r="B329" i="7"/>
  <c r="M328" i="7"/>
  <c r="J328" i="7"/>
  <c r="K328" i="7" s="1"/>
  <c r="L328" i="7" s="1"/>
  <c r="G328" i="7"/>
  <c r="H328" i="7" s="1"/>
  <c r="B328" i="7"/>
  <c r="M327" i="7"/>
  <c r="J327" i="7"/>
  <c r="K327" i="7" s="1"/>
  <c r="L327" i="7" s="1"/>
  <c r="G327" i="7"/>
  <c r="H327" i="7" s="1"/>
  <c r="B327" i="7"/>
  <c r="M326" i="7"/>
  <c r="J326" i="7"/>
  <c r="K326" i="7" s="1"/>
  <c r="L326" i="7" s="1"/>
  <c r="G326" i="7"/>
  <c r="H326" i="7" s="1"/>
  <c r="B326" i="7"/>
  <c r="M325" i="7"/>
  <c r="J325" i="7"/>
  <c r="K325" i="7" s="1"/>
  <c r="L325" i="7" s="1"/>
  <c r="G325" i="7"/>
  <c r="H325" i="7" s="1"/>
  <c r="B325" i="7"/>
  <c r="M324" i="7"/>
  <c r="J324" i="7"/>
  <c r="K324" i="7" s="1"/>
  <c r="L324" i="7" s="1"/>
  <c r="G324" i="7"/>
  <c r="H324" i="7" s="1"/>
  <c r="B324" i="7"/>
  <c r="M323" i="7"/>
  <c r="J323" i="7"/>
  <c r="K323" i="7" s="1"/>
  <c r="L323" i="7" s="1"/>
  <c r="G323" i="7"/>
  <c r="H323" i="7" s="1"/>
  <c r="B323" i="7"/>
  <c r="M322" i="7"/>
  <c r="J322" i="7"/>
  <c r="K322" i="7" s="1"/>
  <c r="L322" i="7" s="1"/>
  <c r="G322" i="7"/>
  <c r="H322" i="7" s="1"/>
  <c r="B322" i="7"/>
  <c r="M321" i="7"/>
  <c r="J321" i="7"/>
  <c r="K321" i="7" s="1"/>
  <c r="L321" i="7" s="1"/>
  <c r="G321" i="7"/>
  <c r="H321" i="7" s="1"/>
  <c r="B321" i="7"/>
  <c r="M320" i="7"/>
  <c r="J320" i="7"/>
  <c r="K320" i="7" s="1"/>
  <c r="L320" i="7" s="1"/>
  <c r="G320" i="7"/>
  <c r="H320" i="7" s="1"/>
  <c r="B320" i="7"/>
  <c r="M319" i="7"/>
  <c r="J319" i="7"/>
  <c r="K319" i="7" s="1"/>
  <c r="L319" i="7" s="1"/>
  <c r="G319" i="7"/>
  <c r="H319" i="7" s="1"/>
  <c r="B319" i="7"/>
  <c r="M318" i="7"/>
  <c r="J318" i="7"/>
  <c r="K318" i="7" s="1"/>
  <c r="L318" i="7" s="1"/>
  <c r="G318" i="7"/>
  <c r="H318" i="7" s="1"/>
  <c r="B318" i="7"/>
  <c r="M317" i="7"/>
  <c r="J317" i="7"/>
  <c r="K317" i="7" s="1"/>
  <c r="L317" i="7" s="1"/>
  <c r="G317" i="7"/>
  <c r="H317" i="7" s="1"/>
  <c r="B317" i="7"/>
  <c r="M316" i="7"/>
  <c r="J316" i="7"/>
  <c r="K316" i="7" s="1"/>
  <c r="L316" i="7" s="1"/>
  <c r="G316" i="7"/>
  <c r="H316" i="7" s="1"/>
  <c r="B316" i="7"/>
  <c r="M315" i="7"/>
  <c r="J315" i="7"/>
  <c r="K315" i="7" s="1"/>
  <c r="L315" i="7" s="1"/>
  <c r="G315" i="7"/>
  <c r="H315" i="7" s="1"/>
  <c r="B315" i="7"/>
  <c r="M314" i="7"/>
  <c r="J314" i="7"/>
  <c r="K314" i="7" s="1"/>
  <c r="L314" i="7" s="1"/>
  <c r="G314" i="7"/>
  <c r="H314" i="7" s="1"/>
  <c r="B314" i="7"/>
  <c r="M313" i="7"/>
  <c r="J313" i="7"/>
  <c r="K313" i="7" s="1"/>
  <c r="L313" i="7" s="1"/>
  <c r="G313" i="7"/>
  <c r="H313" i="7" s="1"/>
  <c r="B313" i="7"/>
  <c r="M312" i="7"/>
  <c r="J312" i="7"/>
  <c r="K312" i="7" s="1"/>
  <c r="L312" i="7" s="1"/>
  <c r="G312" i="7"/>
  <c r="H312" i="7" s="1"/>
  <c r="B312" i="7"/>
  <c r="M311" i="7"/>
  <c r="J311" i="7"/>
  <c r="K311" i="7" s="1"/>
  <c r="L311" i="7" s="1"/>
  <c r="G311" i="7"/>
  <c r="H311" i="7" s="1"/>
  <c r="B311" i="7"/>
  <c r="M310" i="7"/>
  <c r="J310" i="7"/>
  <c r="K310" i="7" s="1"/>
  <c r="L310" i="7" s="1"/>
  <c r="G310" i="7"/>
  <c r="H310" i="7" s="1"/>
  <c r="B310" i="7"/>
  <c r="M309" i="7"/>
  <c r="J309" i="7"/>
  <c r="K309" i="7" s="1"/>
  <c r="L309" i="7" s="1"/>
  <c r="G309" i="7"/>
  <c r="H309" i="7" s="1"/>
  <c r="B309" i="7"/>
  <c r="M308" i="7"/>
  <c r="J308" i="7"/>
  <c r="K308" i="7" s="1"/>
  <c r="L308" i="7" s="1"/>
  <c r="G308" i="7"/>
  <c r="H308" i="7" s="1"/>
  <c r="B308" i="7"/>
  <c r="M307" i="7"/>
  <c r="J307" i="7"/>
  <c r="K307" i="7" s="1"/>
  <c r="L307" i="7" s="1"/>
  <c r="G307" i="7"/>
  <c r="H307" i="7" s="1"/>
  <c r="B307" i="7"/>
  <c r="M306" i="7"/>
  <c r="J306" i="7"/>
  <c r="K306" i="7" s="1"/>
  <c r="L306" i="7" s="1"/>
  <c r="G306" i="7"/>
  <c r="H306" i="7" s="1"/>
  <c r="B306" i="7"/>
  <c r="M305" i="7"/>
  <c r="J305" i="7"/>
  <c r="K305" i="7" s="1"/>
  <c r="L305" i="7" s="1"/>
  <c r="G305" i="7"/>
  <c r="H305" i="7" s="1"/>
  <c r="B305" i="7"/>
  <c r="M304" i="7"/>
  <c r="J304" i="7"/>
  <c r="K304" i="7" s="1"/>
  <c r="L304" i="7" s="1"/>
  <c r="G304" i="7"/>
  <c r="H304" i="7" s="1"/>
  <c r="B304" i="7"/>
  <c r="M303" i="7"/>
  <c r="J303" i="7"/>
  <c r="K303" i="7" s="1"/>
  <c r="L303" i="7" s="1"/>
  <c r="G303" i="7"/>
  <c r="H303" i="7" s="1"/>
  <c r="B303" i="7"/>
  <c r="M302" i="7"/>
  <c r="J302" i="7"/>
  <c r="K302" i="7" s="1"/>
  <c r="L302" i="7" s="1"/>
  <c r="G302" i="7"/>
  <c r="H302" i="7" s="1"/>
  <c r="B302" i="7"/>
  <c r="M301" i="7"/>
  <c r="J301" i="7"/>
  <c r="K301" i="7" s="1"/>
  <c r="L301" i="7" s="1"/>
  <c r="G301" i="7"/>
  <c r="H301" i="7" s="1"/>
  <c r="B301" i="7"/>
  <c r="M300" i="7"/>
  <c r="J300" i="7"/>
  <c r="K300" i="7" s="1"/>
  <c r="L300" i="7" s="1"/>
  <c r="G300" i="7"/>
  <c r="H300" i="7" s="1"/>
  <c r="B300" i="7"/>
  <c r="M299" i="7"/>
  <c r="J299" i="7"/>
  <c r="K299" i="7" s="1"/>
  <c r="L299" i="7" s="1"/>
  <c r="G299" i="7"/>
  <c r="H299" i="7" s="1"/>
  <c r="B299" i="7"/>
  <c r="M298" i="7"/>
  <c r="J298" i="7"/>
  <c r="K298" i="7" s="1"/>
  <c r="L298" i="7" s="1"/>
  <c r="G298" i="7"/>
  <c r="H298" i="7" s="1"/>
  <c r="B298" i="7"/>
  <c r="M297" i="7"/>
  <c r="J297" i="7"/>
  <c r="K297" i="7" s="1"/>
  <c r="L297" i="7" s="1"/>
  <c r="G297" i="7"/>
  <c r="H297" i="7" s="1"/>
  <c r="B297" i="7"/>
  <c r="M296" i="7"/>
  <c r="J296" i="7"/>
  <c r="K296" i="7" s="1"/>
  <c r="L296" i="7" s="1"/>
  <c r="G296" i="7"/>
  <c r="H296" i="7" s="1"/>
  <c r="B296" i="7"/>
  <c r="M295" i="7"/>
  <c r="J295" i="7"/>
  <c r="K295" i="7" s="1"/>
  <c r="L295" i="7" s="1"/>
  <c r="G295" i="7"/>
  <c r="H295" i="7" s="1"/>
  <c r="B295" i="7"/>
  <c r="M294" i="7"/>
  <c r="J294" i="7"/>
  <c r="K294" i="7" s="1"/>
  <c r="L294" i="7" s="1"/>
  <c r="G294" i="7"/>
  <c r="H294" i="7" s="1"/>
  <c r="B294" i="7"/>
  <c r="M293" i="7"/>
  <c r="J293" i="7"/>
  <c r="K293" i="7" s="1"/>
  <c r="L293" i="7" s="1"/>
  <c r="G293" i="7"/>
  <c r="H293" i="7" s="1"/>
  <c r="B293" i="7"/>
  <c r="M292" i="7"/>
  <c r="J292" i="7"/>
  <c r="K292" i="7" s="1"/>
  <c r="L292" i="7" s="1"/>
  <c r="G292" i="7"/>
  <c r="H292" i="7" s="1"/>
  <c r="B292" i="7"/>
  <c r="M291" i="7"/>
  <c r="J291" i="7"/>
  <c r="K291" i="7" s="1"/>
  <c r="L291" i="7" s="1"/>
  <c r="G291" i="7"/>
  <c r="H291" i="7" s="1"/>
  <c r="B291" i="7"/>
  <c r="M290" i="7"/>
  <c r="J290" i="7"/>
  <c r="K290" i="7" s="1"/>
  <c r="L290" i="7" s="1"/>
  <c r="G290" i="7"/>
  <c r="H290" i="7" s="1"/>
  <c r="B290" i="7"/>
  <c r="M289" i="7"/>
  <c r="J289" i="7"/>
  <c r="K289" i="7" s="1"/>
  <c r="L289" i="7" s="1"/>
  <c r="G289" i="7"/>
  <c r="H289" i="7" s="1"/>
  <c r="B289" i="7"/>
  <c r="M288" i="7"/>
  <c r="J288" i="7"/>
  <c r="K288" i="7" s="1"/>
  <c r="L288" i="7" s="1"/>
  <c r="G288" i="7"/>
  <c r="H288" i="7" s="1"/>
  <c r="B288" i="7"/>
  <c r="M287" i="7"/>
  <c r="J287" i="7"/>
  <c r="K287" i="7" s="1"/>
  <c r="L287" i="7" s="1"/>
  <c r="G287" i="7"/>
  <c r="H287" i="7" s="1"/>
  <c r="B287" i="7"/>
  <c r="M286" i="7"/>
  <c r="J286" i="7"/>
  <c r="K286" i="7" s="1"/>
  <c r="L286" i="7" s="1"/>
  <c r="G286" i="7"/>
  <c r="H286" i="7" s="1"/>
  <c r="B286" i="7"/>
  <c r="M285" i="7"/>
  <c r="J285" i="7"/>
  <c r="K285" i="7" s="1"/>
  <c r="L285" i="7" s="1"/>
  <c r="G285" i="7"/>
  <c r="H285" i="7" s="1"/>
  <c r="B285" i="7"/>
  <c r="M284" i="7"/>
  <c r="J284" i="7"/>
  <c r="K284" i="7" s="1"/>
  <c r="L284" i="7" s="1"/>
  <c r="G284" i="7"/>
  <c r="H284" i="7" s="1"/>
  <c r="B284" i="7"/>
  <c r="M283" i="7"/>
  <c r="J283" i="7"/>
  <c r="K283" i="7" s="1"/>
  <c r="L283" i="7" s="1"/>
  <c r="G283" i="7"/>
  <c r="H283" i="7" s="1"/>
  <c r="B283" i="7"/>
  <c r="M282" i="7"/>
  <c r="J282" i="7"/>
  <c r="K282" i="7" s="1"/>
  <c r="L282" i="7" s="1"/>
  <c r="G282" i="7"/>
  <c r="H282" i="7" s="1"/>
  <c r="B282" i="7"/>
  <c r="M281" i="7"/>
  <c r="J281" i="7"/>
  <c r="K281" i="7" s="1"/>
  <c r="L281" i="7" s="1"/>
  <c r="G281" i="7"/>
  <c r="H281" i="7" s="1"/>
  <c r="B281" i="7"/>
  <c r="M280" i="7"/>
  <c r="J280" i="7"/>
  <c r="K280" i="7" s="1"/>
  <c r="L280" i="7" s="1"/>
  <c r="G280" i="7"/>
  <c r="H280" i="7" s="1"/>
  <c r="B280" i="7"/>
  <c r="M279" i="7"/>
  <c r="J279" i="7"/>
  <c r="K279" i="7" s="1"/>
  <c r="L279" i="7" s="1"/>
  <c r="G279" i="7"/>
  <c r="H279" i="7" s="1"/>
  <c r="B279" i="7"/>
  <c r="M278" i="7"/>
  <c r="J278" i="7"/>
  <c r="K278" i="7" s="1"/>
  <c r="L278" i="7" s="1"/>
  <c r="G278" i="7"/>
  <c r="H278" i="7" s="1"/>
  <c r="B278" i="7"/>
  <c r="M277" i="7"/>
  <c r="J277" i="7"/>
  <c r="K277" i="7" s="1"/>
  <c r="L277" i="7" s="1"/>
  <c r="G277" i="7"/>
  <c r="H277" i="7" s="1"/>
  <c r="B277" i="7"/>
  <c r="M276" i="7"/>
  <c r="J276" i="7"/>
  <c r="K276" i="7" s="1"/>
  <c r="L276" i="7" s="1"/>
  <c r="G276" i="7"/>
  <c r="H276" i="7" s="1"/>
  <c r="B276" i="7"/>
  <c r="M275" i="7"/>
  <c r="J275" i="7"/>
  <c r="K275" i="7" s="1"/>
  <c r="L275" i="7" s="1"/>
  <c r="G275" i="7"/>
  <c r="H275" i="7" s="1"/>
  <c r="B275" i="7"/>
  <c r="M274" i="7"/>
  <c r="J274" i="7"/>
  <c r="K274" i="7" s="1"/>
  <c r="L274" i="7" s="1"/>
  <c r="G274" i="7"/>
  <c r="H274" i="7" s="1"/>
  <c r="B274" i="7"/>
  <c r="M273" i="7"/>
  <c r="J273" i="7"/>
  <c r="K273" i="7" s="1"/>
  <c r="L273" i="7" s="1"/>
  <c r="G273" i="7"/>
  <c r="H273" i="7" s="1"/>
  <c r="B273" i="7"/>
  <c r="M272" i="7"/>
  <c r="J272" i="7"/>
  <c r="K272" i="7" s="1"/>
  <c r="L272" i="7" s="1"/>
  <c r="G272" i="7"/>
  <c r="H272" i="7" s="1"/>
  <c r="B272" i="7"/>
  <c r="M271" i="7"/>
  <c r="J271" i="7"/>
  <c r="K271" i="7" s="1"/>
  <c r="L271" i="7" s="1"/>
  <c r="G271" i="7"/>
  <c r="H271" i="7" s="1"/>
  <c r="B271" i="7"/>
  <c r="M270" i="7"/>
  <c r="J270" i="7"/>
  <c r="K270" i="7" s="1"/>
  <c r="L270" i="7" s="1"/>
  <c r="G270" i="7"/>
  <c r="H270" i="7" s="1"/>
  <c r="B270" i="7"/>
  <c r="M269" i="7"/>
  <c r="J269" i="7"/>
  <c r="K269" i="7" s="1"/>
  <c r="L269" i="7" s="1"/>
  <c r="G269" i="7"/>
  <c r="H269" i="7" s="1"/>
  <c r="B269" i="7"/>
  <c r="M268" i="7"/>
  <c r="J268" i="7"/>
  <c r="K268" i="7" s="1"/>
  <c r="L268" i="7" s="1"/>
  <c r="G268" i="7"/>
  <c r="H268" i="7" s="1"/>
  <c r="B268" i="7"/>
  <c r="M267" i="7"/>
  <c r="J267" i="7"/>
  <c r="K267" i="7" s="1"/>
  <c r="L267" i="7" s="1"/>
  <c r="G267" i="7"/>
  <c r="H267" i="7" s="1"/>
  <c r="B267" i="7"/>
  <c r="M266" i="7"/>
  <c r="J266" i="7"/>
  <c r="K266" i="7" s="1"/>
  <c r="L266" i="7" s="1"/>
  <c r="G266" i="7"/>
  <c r="H266" i="7" s="1"/>
  <c r="B266" i="7"/>
  <c r="M265" i="7"/>
  <c r="J265" i="7"/>
  <c r="K265" i="7" s="1"/>
  <c r="L265" i="7" s="1"/>
  <c r="G265" i="7"/>
  <c r="H265" i="7" s="1"/>
  <c r="B265" i="7"/>
  <c r="M264" i="7"/>
  <c r="J264" i="7"/>
  <c r="K264" i="7" s="1"/>
  <c r="L264" i="7" s="1"/>
  <c r="G264" i="7"/>
  <c r="H264" i="7" s="1"/>
  <c r="B264" i="7"/>
  <c r="M263" i="7"/>
  <c r="J263" i="7"/>
  <c r="K263" i="7" s="1"/>
  <c r="L263" i="7" s="1"/>
  <c r="G263" i="7"/>
  <c r="H263" i="7" s="1"/>
  <c r="B263" i="7"/>
  <c r="M262" i="7"/>
  <c r="J262" i="7"/>
  <c r="K262" i="7" s="1"/>
  <c r="L262" i="7" s="1"/>
  <c r="G262" i="7"/>
  <c r="H262" i="7" s="1"/>
  <c r="B262" i="7"/>
  <c r="M261" i="7"/>
  <c r="J261" i="7"/>
  <c r="K261" i="7" s="1"/>
  <c r="L261" i="7" s="1"/>
  <c r="G261" i="7"/>
  <c r="H261" i="7" s="1"/>
  <c r="B261" i="7"/>
  <c r="M260" i="7"/>
  <c r="J260" i="7"/>
  <c r="K260" i="7" s="1"/>
  <c r="L260" i="7" s="1"/>
  <c r="G260" i="7"/>
  <c r="H260" i="7" s="1"/>
  <c r="B260" i="7"/>
  <c r="M259" i="7"/>
  <c r="J259" i="7"/>
  <c r="K259" i="7" s="1"/>
  <c r="L259" i="7" s="1"/>
  <c r="G259" i="7"/>
  <c r="H259" i="7" s="1"/>
  <c r="B259" i="7"/>
  <c r="M258" i="7"/>
  <c r="J258" i="7"/>
  <c r="K258" i="7" s="1"/>
  <c r="L258" i="7" s="1"/>
  <c r="G258" i="7"/>
  <c r="H258" i="7" s="1"/>
  <c r="B258" i="7"/>
  <c r="M257" i="7"/>
  <c r="J257" i="7"/>
  <c r="K257" i="7" s="1"/>
  <c r="L257" i="7" s="1"/>
  <c r="G257" i="7"/>
  <c r="H257" i="7" s="1"/>
  <c r="B257" i="7"/>
  <c r="M256" i="7"/>
  <c r="J256" i="7"/>
  <c r="K256" i="7" s="1"/>
  <c r="L256" i="7" s="1"/>
  <c r="G256" i="7"/>
  <c r="H256" i="7" s="1"/>
  <c r="B256" i="7"/>
  <c r="M255" i="7"/>
  <c r="J255" i="7"/>
  <c r="K255" i="7" s="1"/>
  <c r="L255" i="7" s="1"/>
  <c r="G255" i="7"/>
  <c r="H255" i="7" s="1"/>
  <c r="B255" i="7"/>
  <c r="M254" i="7"/>
  <c r="J254" i="7"/>
  <c r="K254" i="7" s="1"/>
  <c r="L254" i="7" s="1"/>
  <c r="G254" i="7"/>
  <c r="H254" i="7" s="1"/>
  <c r="B254" i="7"/>
  <c r="M253" i="7"/>
  <c r="J253" i="7"/>
  <c r="K253" i="7" s="1"/>
  <c r="L253" i="7" s="1"/>
  <c r="G253" i="7"/>
  <c r="H253" i="7" s="1"/>
  <c r="B253" i="7"/>
  <c r="M252" i="7"/>
  <c r="J252" i="7"/>
  <c r="K252" i="7" s="1"/>
  <c r="L252" i="7" s="1"/>
  <c r="G252" i="7"/>
  <c r="H252" i="7" s="1"/>
  <c r="B252" i="7"/>
  <c r="M251" i="7"/>
  <c r="J251" i="7"/>
  <c r="K251" i="7" s="1"/>
  <c r="L251" i="7" s="1"/>
  <c r="G251" i="7"/>
  <c r="H251" i="7" s="1"/>
  <c r="B251" i="7"/>
  <c r="M250" i="7"/>
  <c r="J250" i="7"/>
  <c r="K250" i="7" s="1"/>
  <c r="L250" i="7" s="1"/>
  <c r="G250" i="7"/>
  <c r="H250" i="7" s="1"/>
  <c r="B250" i="7"/>
  <c r="M249" i="7"/>
  <c r="J249" i="7"/>
  <c r="K249" i="7" s="1"/>
  <c r="L249" i="7" s="1"/>
  <c r="G249" i="7"/>
  <c r="H249" i="7" s="1"/>
  <c r="B249" i="7"/>
  <c r="M248" i="7"/>
  <c r="J248" i="7"/>
  <c r="K248" i="7" s="1"/>
  <c r="L248" i="7" s="1"/>
  <c r="G248" i="7"/>
  <c r="H248" i="7" s="1"/>
  <c r="B248" i="7"/>
  <c r="M247" i="7"/>
  <c r="J247" i="7"/>
  <c r="K247" i="7" s="1"/>
  <c r="L247" i="7" s="1"/>
  <c r="G247" i="7"/>
  <c r="H247" i="7" s="1"/>
  <c r="B247" i="7"/>
  <c r="M246" i="7"/>
  <c r="J246" i="7"/>
  <c r="K246" i="7" s="1"/>
  <c r="L246" i="7" s="1"/>
  <c r="G246" i="7"/>
  <c r="H246" i="7" s="1"/>
  <c r="B246" i="7"/>
  <c r="M245" i="7"/>
  <c r="J245" i="7"/>
  <c r="K245" i="7" s="1"/>
  <c r="L245" i="7" s="1"/>
  <c r="G245" i="7"/>
  <c r="H245" i="7" s="1"/>
  <c r="B245" i="7"/>
  <c r="M244" i="7"/>
  <c r="J244" i="7"/>
  <c r="K244" i="7" s="1"/>
  <c r="L244" i="7" s="1"/>
  <c r="G244" i="7"/>
  <c r="H244" i="7" s="1"/>
  <c r="B244" i="7"/>
  <c r="M243" i="7"/>
  <c r="J243" i="7"/>
  <c r="K243" i="7" s="1"/>
  <c r="L243" i="7" s="1"/>
  <c r="G243" i="7"/>
  <c r="H243" i="7" s="1"/>
  <c r="B243" i="7"/>
  <c r="M242" i="7"/>
  <c r="J242" i="7"/>
  <c r="K242" i="7" s="1"/>
  <c r="L242" i="7" s="1"/>
  <c r="G242" i="7"/>
  <c r="H242" i="7" s="1"/>
  <c r="B242" i="7"/>
  <c r="M241" i="7"/>
  <c r="J241" i="7"/>
  <c r="K241" i="7" s="1"/>
  <c r="L241" i="7" s="1"/>
  <c r="G241" i="7"/>
  <c r="H241" i="7" s="1"/>
  <c r="B241" i="7"/>
  <c r="M240" i="7"/>
  <c r="J240" i="7"/>
  <c r="K240" i="7" s="1"/>
  <c r="L240" i="7" s="1"/>
  <c r="G240" i="7"/>
  <c r="H240" i="7" s="1"/>
  <c r="B240" i="7"/>
  <c r="M239" i="7"/>
  <c r="J239" i="7"/>
  <c r="K239" i="7" s="1"/>
  <c r="L239" i="7" s="1"/>
  <c r="G239" i="7"/>
  <c r="H239" i="7" s="1"/>
  <c r="B239" i="7"/>
  <c r="M238" i="7"/>
  <c r="J238" i="7"/>
  <c r="K238" i="7" s="1"/>
  <c r="L238" i="7" s="1"/>
  <c r="G238" i="7"/>
  <c r="H238" i="7" s="1"/>
  <c r="B238" i="7"/>
  <c r="M237" i="7"/>
  <c r="J237" i="7"/>
  <c r="K237" i="7" s="1"/>
  <c r="L237" i="7" s="1"/>
  <c r="G237" i="7"/>
  <c r="H237" i="7" s="1"/>
  <c r="B237" i="7"/>
  <c r="M236" i="7"/>
  <c r="J236" i="7"/>
  <c r="K236" i="7" s="1"/>
  <c r="L236" i="7" s="1"/>
  <c r="G236" i="7"/>
  <c r="H236" i="7" s="1"/>
  <c r="B236" i="7"/>
  <c r="M235" i="7"/>
  <c r="J235" i="7"/>
  <c r="K235" i="7" s="1"/>
  <c r="L235" i="7" s="1"/>
  <c r="G235" i="7"/>
  <c r="H235" i="7" s="1"/>
  <c r="B235" i="7"/>
  <c r="M234" i="7"/>
  <c r="J234" i="7"/>
  <c r="K234" i="7" s="1"/>
  <c r="L234" i="7" s="1"/>
  <c r="G234" i="7"/>
  <c r="H234" i="7" s="1"/>
  <c r="B234" i="7"/>
  <c r="M233" i="7"/>
  <c r="J233" i="7"/>
  <c r="K233" i="7" s="1"/>
  <c r="L233" i="7" s="1"/>
  <c r="G233" i="7"/>
  <c r="H233" i="7" s="1"/>
  <c r="B233" i="7"/>
  <c r="M232" i="7"/>
  <c r="J232" i="7"/>
  <c r="K232" i="7" s="1"/>
  <c r="L232" i="7" s="1"/>
  <c r="G232" i="7"/>
  <c r="H232" i="7" s="1"/>
  <c r="B232" i="7"/>
  <c r="M231" i="7"/>
  <c r="J231" i="7"/>
  <c r="K231" i="7" s="1"/>
  <c r="L231" i="7" s="1"/>
  <c r="G231" i="7"/>
  <c r="H231" i="7" s="1"/>
  <c r="B231" i="7"/>
  <c r="M230" i="7"/>
  <c r="J230" i="7"/>
  <c r="K230" i="7" s="1"/>
  <c r="L230" i="7" s="1"/>
  <c r="G230" i="7"/>
  <c r="H230" i="7" s="1"/>
  <c r="B230" i="7"/>
  <c r="M229" i="7"/>
  <c r="J229" i="7"/>
  <c r="K229" i="7" s="1"/>
  <c r="L229" i="7" s="1"/>
  <c r="G229" i="7"/>
  <c r="H229" i="7" s="1"/>
  <c r="B229" i="7"/>
  <c r="M228" i="7"/>
  <c r="J228" i="7"/>
  <c r="K228" i="7" s="1"/>
  <c r="L228" i="7" s="1"/>
  <c r="G228" i="7"/>
  <c r="H228" i="7" s="1"/>
  <c r="B228" i="7"/>
  <c r="M227" i="7"/>
  <c r="J227" i="7"/>
  <c r="K227" i="7" s="1"/>
  <c r="L227" i="7" s="1"/>
  <c r="G227" i="7"/>
  <c r="H227" i="7" s="1"/>
  <c r="B227" i="7"/>
  <c r="M226" i="7"/>
  <c r="J226" i="7"/>
  <c r="K226" i="7" s="1"/>
  <c r="L226" i="7" s="1"/>
  <c r="G226" i="7"/>
  <c r="H226" i="7" s="1"/>
  <c r="B226" i="7"/>
  <c r="M225" i="7"/>
  <c r="J225" i="7"/>
  <c r="K225" i="7" s="1"/>
  <c r="L225" i="7" s="1"/>
  <c r="G225" i="7"/>
  <c r="H225" i="7" s="1"/>
  <c r="B225" i="7"/>
  <c r="M224" i="7"/>
  <c r="J224" i="7"/>
  <c r="K224" i="7" s="1"/>
  <c r="L224" i="7" s="1"/>
  <c r="G224" i="7"/>
  <c r="H224" i="7" s="1"/>
  <c r="B224" i="7"/>
  <c r="M223" i="7"/>
  <c r="J223" i="7"/>
  <c r="K223" i="7" s="1"/>
  <c r="L223" i="7" s="1"/>
  <c r="G223" i="7"/>
  <c r="H223" i="7" s="1"/>
  <c r="B223" i="7"/>
  <c r="M222" i="7"/>
  <c r="J222" i="7"/>
  <c r="K222" i="7" s="1"/>
  <c r="L222" i="7" s="1"/>
  <c r="G222" i="7"/>
  <c r="H222" i="7" s="1"/>
  <c r="B222" i="7"/>
  <c r="M221" i="7"/>
  <c r="J221" i="7"/>
  <c r="K221" i="7" s="1"/>
  <c r="L221" i="7" s="1"/>
  <c r="G221" i="7"/>
  <c r="H221" i="7" s="1"/>
  <c r="B221" i="7"/>
  <c r="M220" i="7"/>
  <c r="J220" i="7"/>
  <c r="K220" i="7" s="1"/>
  <c r="L220" i="7" s="1"/>
  <c r="G220" i="7"/>
  <c r="H220" i="7" s="1"/>
  <c r="B220" i="7"/>
  <c r="M219" i="7"/>
  <c r="J219" i="7"/>
  <c r="K219" i="7" s="1"/>
  <c r="L219" i="7" s="1"/>
  <c r="G219" i="7"/>
  <c r="H219" i="7" s="1"/>
  <c r="B219" i="7"/>
  <c r="M218" i="7"/>
  <c r="J218" i="7"/>
  <c r="K218" i="7" s="1"/>
  <c r="L218" i="7" s="1"/>
  <c r="G218" i="7"/>
  <c r="H218" i="7" s="1"/>
  <c r="B218" i="7"/>
  <c r="M217" i="7"/>
  <c r="J217" i="7"/>
  <c r="K217" i="7" s="1"/>
  <c r="L217" i="7" s="1"/>
  <c r="G217" i="7"/>
  <c r="H217" i="7" s="1"/>
  <c r="B217" i="7"/>
  <c r="M216" i="7"/>
  <c r="J216" i="7"/>
  <c r="K216" i="7" s="1"/>
  <c r="L216" i="7" s="1"/>
  <c r="G216" i="7"/>
  <c r="H216" i="7" s="1"/>
  <c r="B216" i="7"/>
  <c r="M215" i="7"/>
  <c r="J215" i="7"/>
  <c r="K215" i="7" s="1"/>
  <c r="L215" i="7" s="1"/>
  <c r="G215" i="7"/>
  <c r="H215" i="7" s="1"/>
  <c r="B215" i="7"/>
  <c r="M214" i="7"/>
  <c r="J214" i="7"/>
  <c r="K214" i="7" s="1"/>
  <c r="L214" i="7" s="1"/>
  <c r="G214" i="7"/>
  <c r="H214" i="7" s="1"/>
  <c r="B214" i="7"/>
  <c r="M213" i="7"/>
  <c r="J213" i="7"/>
  <c r="K213" i="7" s="1"/>
  <c r="L213" i="7" s="1"/>
  <c r="G213" i="7"/>
  <c r="H213" i="7" s="1"/>
  <c r="B213" i="7"/>
  <c r="M212" i="7"/>
  <c r="J212" i="7"/>
  <c r="K212" i="7" s="1"/>
  <c r="L212" i="7" s="1"/>
  <c r="G212" i="7"/>
  <c r="H212" i="7" s="1"/>
  <c r="B212" i="7"/>
  <c r="M211" i="7"/>
  <c r="J211" i="7"/>
  <c r="K211" i="7" s="1"/>
  <c r="L211" i="7" s="1"/>
  <c r="G211" i="7"/>
  <c r="H211" i="7" s="1"/>
  <c r="B211" i="7"/>
  <c r="M210" i="7"/>
  <c r="J210" i="7"/>
  <c r="K210" i="7" s="1"/>
  <c r="L210" i="7" s="1"/>
  <c r="G210" i="7"/>
  <c r="H210" i="7" s="1"/>
  <c r="B210" i="7"/>
  <c r="M209" i="7"/>
  <c r="J209" i="7"/>
  <c r="K209" i="7" s="1"/>
  <c r="L209" i="7" s="1"/>
  <c r="G209" i="7"/>
  <c r="H209" i="7" s="1"/>
  <c r="B209" i="7"/>
  <c r="M208" i="7"/>
  <c r="J208" i="7"/>
  <c r="K208" i="7" s="1"/>
  <c r="L208" i="7" s="1"/>
  <c r="G208" i="7"/>
  <c r="H208" i="7" s="1"/>
  <c r="B208" i="7"/>
  <c r="M207" i="7"/>
  <c r="J207" i="7"/>
  <c r="K207" i="7" s="1"/>
  <c r="L207" i="7" s="1"/>
  <c r="G207" i="7"/>
  <c r="H207" i="7" s="1"/>
  <c r="B207" i="7"/>
  <c r="M206" i="7"/>
  <c r="J206" i="7"/>
  <c r="K206" i="7" s="1"/>
  <c r="L206" i="7" s="1"/>
  <c r="G206" i="7"/>
  <c r="H206" i="7" s="1"/>
  <c r="B206" i="7"/>
  <c r="M205" i="7"/>
  <c r="J205" i="7"/>
  <c r="K205" i="7" s="1"/>
  <c r="L205" i="7" s="1"/>
  <c r="G205" i="7"/>
  <c r="H205" i="7" s="1"/>
  <c r="B205" i="7"/>
  <c r="M204" i="7"/>
  <c r="J204" i="7"/>
  <c r="K204" i="7" s="1"/>
  <c r="L204" i="7" s="1"/>
  <c r="G204" i="7"/>
  <c r="H204" i="7" s="1"/>
  <c r="B204" i="7"/>
  <c r="M203" i="7"/>
  <c r="J203" i="7"/>
  <c r="K203" i="7" s="1"/>
  <c r="L203" i="7" s="1"/>
  <c r="G203" i="7"/>
  <c r="H203" i="7" s="1"/>
  <c r="B203" i="7"/>
  <c r="M202" i="7"/>
  <c r="J202" i="7"/>
  <c r="K202" i="7" s="1"/>
  <c r="L202" i="7" s="1"/>
  <c r="G202" i="7"/>
  <c r="H202" i="7" s="1"/>
  <c r="B202" i="7"/>
  <c r="M201" i="7"/>
  <c r="J201" i="7"/>
  <c r="K201" i="7" s="1"/>
  <c r="L201" i="7" s="1"/>
  <c r="G201" i="7"/>
  <c r="H201" i="7" s="1"/>
  <c r="B201" i="7"/>
  <c r="M200" i="7"/>
  <c r="J200" i="7"/>
  <c r="K200" i="7" s="1"/>
  <c r="L200" i="7" s="1"/>
  <c r="G200" i="7"/>
  <c r="H200" i="7" s="1"/>
  <c r="B200" i="7"/>
  <c r="M199" i="7"/>
  <c r="J199" i="7"/>
  <c r="K199" i="7" s="1"/>
  <c r="L199" i="7" s="1"/>
  <c r="G199" i="7"/>
  <c r="H199" i="7" s="1"/>
  <c r="B199" i="7"/>
  <c r="M198" i="7"/>
  <c r="J198" i="7"/>
  <c r="K198" i="7" s="1"/>
  <c r="L198" i="7" s="1"/>
  <c r="G198" i="7"/>
  <c r="H198" i="7" s="1"/>
  <c r="B198" i="7"/>
  <c r="M197" i="7"/>
  <c r="J197" i="7"/>
  <c r="K197" i="7" s="1"/>
  <c r="L197" i="7" s="1"/>
  <c r="G197" i="7"/>
  <c r="H197" i="7" s="1"/>
  <c r="B197" i="7"/>
  <c r="M196" i="7"/>
  <c r="J196" i="7"/>
  <c r="K196" i="7" s="1"/>
  <c r="L196" i="7" s="1"/>
  <c r="G196" i="7"/>
  <c r="H196" i="7" s="1"/>
  <c r="B196" i="7"/>
  <c r="M195" i="7"/>
  <c r="J195" i="7"/>
  <c r="K195" i="7" s="1"/>
  <c r="L195" i="7" s="1"/>
  <c r="G195" i="7"/>
  <c r="H195" i="7" s="1"/>
  <c r="B195" i="7"/>
  <c r="M194" i="7"/>
  <c r="J194" i="7"/>
  <c r="K194" i="7" s="1"/>
  <c r="L194" i="7" s="1"/>
  <c r="G194" i="7"/>
  <c r="H194" i="7" s="1"/>
  <c r="B194" i="7"/>
  <c r="M193" i="7"/>
  <c r="J193" i="7"/>
  <c r="K193" i="7" s="1"/>
  <c r="L193" i="7" s="1"/>
  <c r="G193" i="7"/>
  <c r="H193" i="7" s="1"/>
  <c r="B193" i="7"/>
  <c r="M192" i="7"/>
  <c r="J192" i="7"/>
  <c r="K192" i="7" s="1"/>
  <c r="L192" i="7" s="1"/>
  <c r="G192" i="7"/>
  <c r="H192" i="7" s="1"/>
  <c r="B192" i="7"/>
  <c r="M191" i="7"/>
  <c r="J191" i="7"/>
  <c r="K191" i="7" s="1"/>
  <c r="L191" i="7" s="1"/>
  <c r="G191" i="7"/>
  <c r="H191" i="7" s="1"/>
  <c r="B191" i="7"/>
  <c r="M190" i="7"/>
  <c r="J190" i="7"/>
  <c r="K190" i="7" s="1"/>
  <c r="L190" i="7" s="1"/>
  <c r="G190" i="7"/>
  <c r="H190" i="7" s="1"/>
  <c r="B190" i="7"/>
  <c r="M189" i="7"/>
  <c r="J189" i="7"/>
  <c r="K189" i="7" s="1"/>
  <c r="L189" i="7" s="1"/>
  <c r="G189" i="7"/>
  <c r="H189" i="7" s="1"/>
  <c r="B189" i="7"/>
  <c r="M188" i="7"/>
  <c r="J188" i="7"/>
  <c r="K188" i="7" s="1"/>
  <c r="L188" i="7" s="1"/>
  <c r="G188" i="7"/>
  <c r="H188" i="7" s="1"/>
  <c r="B188" i="7"/>
  <c r="M187" i="7"/>
  <c r="J187" i="7"/>
  <c r="K187" i="7" s="1"/>
  <c r="L187" i="7" s="1"/>
  <c r="G187" i="7"/>
  <c r="H187" i="7" s="1"/>
  <c r="B187" i="7"/>
  <c r="M186" i="7"/>
  <c r="J186" i="7"/>
  <c r="K186" i="7" s="1"/>
  <c r="L186" i="7" s="1"/>
  <c r="G186" i="7"/>
  <c r="H186" i="7" s="1"/>
  <c r="B186" i="7"/>
  <c r="M185" i="7"/>
  <c r="J185" i="7"/>
  <c r="K185" i="7" s="1"/>
  <c r="L185" i="7" s="1"/>
  <c r="G185" i="7"/>
  <c r="H185" i="7" s="1"/>
  <c r="B185" i="7"/>
  <c r="M184" i="7"/>
  <c r="J184" i="7"/>
  <c r="K184" i="7" s="1"/>
  <c r="L184" i="7" s="1"/>
  <c r="G184" i="7"/>
  <c r="H184" i="7" s="1"/>
  <c r="B184" i="7"/>
  <c r="M183" i="7"/>
  <c r="J183" i="7"/>
  <c r="K183" i="7" s="1"/>
  <c r="L183" i="7" s="1"/>
  <c r="G183" i="7"/>
  <c r="H183" i="7" s="1"/>
  <c r="B183" i="7"/>
  <c r="M182" i="7"/>
  <c r="J182" i="7"/>
  <c r="K182" i="7" s="1"/>
  <c r="L182" i="7" s="1"/>
  <c r="G182" i="7"/>
  <c r="H182" i="7" s="1"/>
  <c r="B182" i="7"/>
  <c r="M181" i="7"/>
  <c r="J181" i="7"/>
  <c r="K181" i="7" s="1"/>
  <c r="L181" i="7" s="1"/>
  <c r="G181" i="7"/>
  <c r="H181" i="7" s="1"/>
  <c r="B181" i="7"/>
  <c r="M180" i="7"/>
  <c r="J180" i="7"/>
  <c r="K180" i="7" s="1"/>
  <c r="L180" i="7" s="1"/>
  <c r="G180" i="7"/>
  <c r="H180" i="7" s="1"/>
  <c r="B180" i="7"/>
  <c r="M179" i="7"/>
  <c r="J179" i="7"/>
  <c r="K179" i="7" s="1"/>
  <c r="L179" i="7" s="1"/>
  <c r="G179" i="7"/>
  <c r="H179" i="7" s="1"/>
  <c r="B179" i="7"/>
  <c r="M178" i="7"/>
  <c r="J178" i="7"/>
  <c r="K178" i="7" s="1"/>
  <c r="L178" i="7" s="1"/>
  <c r="G178" i="7"/>
  <c r="H178" i="7" s="1"/>
  <c r="B178" i="7"/>
  <c r="M177" i="7"/>
  <c r="J177" i="7"/>
  <c r="K177" i="7" s="1"/>
  <c r="L177" i="7" s="1"/>
  <c r="G177" i="7"/>
  <c r="H177" i="7" s="1"/>
  <c r="B177" i="7"/>
  <c r="M176" i="7"/>
  <c r="J176" i="7"/>
  <c r="K176" i="7" s="1"/>
  <c r="L176" i="7" s="1"/>
  <c r="G176" i="7"/>
  <c r="H176" i="7" s="1"/>
  <c r="B176" i="7"/>
  <c r="M175" i="7"/>
  <c r="J175" i="7"/>
  <c r="K175" i="7" s="1"/>
  <c r="L175" i="7" s="1"/>
  <c r="G175" i="7"/>
  <c r="H175" i="7" s="1"/>
  <c r="B175" i="7"/>
  <c r="M174" i="7"/>
  <c r="J174" i="7"/>
  <c r="K174" i="7" s="1"/>
  <c r="L174" i="7" s="1"/>
  <c r="G174" i="7"/>
  <c r="H174" i="7" s="1"/>
  <c r="B174" i="7"/>
  <c r="M173" i="7"/>
  <c r="J173" i="7"/>
  <c r="K173" i="7" s="1"/>
  <c r="L173" i="7" s="1"/>
  <c r="G173" i="7"/>
  <c r="H173" i="7" s="1"/>
  <c r="B173" i="7"/>
  <c r="M172" i="7"/>
  <c r="J172" i="7"/>
  <c r="K172" i="7" s="1"/>
  <c r="L172" i="7" s="1"/>
  <c r="G172" i="7"/>
  <c r="H172" i="7" s="1"/>
  <c r="B172" i="7"/>
  <c r="M171" i="7"/>
  <c r="J171" i="7"/>
  <c r="K171" i="7" s="1"/>
  <c r="L171" i="7" s="1"/>
  <c r="G171" i="7"/>
  <c r="H171" i="7" s="1"/>
  <c r="B171" i="7"/>
  <c r="M170" i="7"/>
  <c r="J170" i="7"/>
  <c r="K170" i="7" s="1"/>
  <c r="L170" i="7" s="1"/>
  <c r="G170" i="7"/>
  <c r="H170" i="7" s="1"/>
  <c r="B170" i="7"/>
  <c r="M169" i="7"/>
  <c r="J169" i="7"/>
  <c r="K169" i="7" s="1"/>
  <c r="L169" i="7" s="1"/>
  <c r="G169" i="7"/>
  <c r="H169" i="7" s="1"/>
  <c r="B169" i="7"/>
  <c r="M168" i="7"/>
  <c r="J168" i="7"/>
  <c r="K168" i="7" s="1"/>
  <c r="L168" i="7" s="1"/>
  <c r="G168" i="7"/>
  <c r="H168" i="7" s="1"/>
  <c r="B168" i="7"/>
  <c r="M167" i="7"/>
  <c r="J167" i="7"/>
  <c r="K167" i="7" s="1"/>
  <c r="L167" i="7" s="1"/>
  <c r="G167" i="7"/>
  <c r="H167" i="7" s="1"/>
  <c r="B167" i="7"/>
  <c r="M166" i="7"/>
  <c r="J166" i="7"/>
  <c r="K166" i="7" s="1"/>
  <c r="L166" i="7" s="1"/>
  <c r="G166" i="7"/>
  <c r="H166" i="7" s="1"/>
  <c r="B166" i="7"/>
  <c r="M165" i="7"/>
  <c r="J165" i="7"/>
  <c r="K165" i="7" s="1"/>
  <c r="L165" i="7" s="1"/>
  <c r="G165" i="7"/>
  <c r="H165" i="7" s="1"/>
  <c r="B165" i="7"/>
  <c r="M164" i="7"/>
  <c r="J164" i="7"/>
  <c r="K164" i="7" s="1"/>
  <c r="L164" i="7" s="1"/>
  <c r="G164" i="7"/>
  <c r="H164" i="7" s="1"/>
  <c r="B164" i="7"/>
  <c r="M163" i="7"/>
  <c r="J163" i="7"/>
  <c r="K163" i="7" s="1"/>
  <c r="L163" i="7" s="1"/>
  <c r="G163" i="7"/>
  <c r="H163" i="7" s="1"/>
  <c r="B163" i="7"/>
  <c r="M162" i="7"/>
  <c r="J162" i="7"/>
  <c r="K162" i="7" s="1"/>
  <c r="L162" i="7" s="1"/>
  <c r="G162" i="7"/>
  <c r="H162" i="7" s="1"/>
  <c r="B162" i="7"/>
  <c r="M161" i="7"/>
  <c r="J161" i="7"/>
  <c r="K161" i="7" s="1"/>
  <c r="L161" i="7" s="1"/>
  <c r="G161" i="7"/>
  <c r="H161" i="7" s="1"/>
  <c r="B161" i="7"/>
  <c r="M160" i="7"/>
  <c r="J160" i="7"/>
  <c r="K160" i="7" s="1"/>
  <c r="L160" i="7" s="1"/>
  <c r="G160" i="7"/>
  <c r="H160" i="7" s="1"/>
  <c r="B160" i="7"/>
  <c r="M159" i="7"/>
  <c r="J159" i="7"/>
  <c r="K159" i="7" s="1"/>
  <c r="L159" i="7" s="1"/>
  <c r="G159" i="7"/>
  <c r="H159" i="7" s="1"/>
  <c r="B159" i="7"/>
  <c r="M158" i="7"/>
  <c r="J158" i="7"/>
  <c r="K158" i="7" s="1"/>
  <c r="L158" i="7" s="1"/>
  <c r="G158" i="7"/>
  <c r="H158" i="7" s="1"/>
  <c r="B158" i="7"/>
  <c r="M157" i="7"/>
  <c r="J157" i="7"/>
  <c r="K157" i="7" s="1"/>
  <c r="L157" i="7" s="1"/>
  <c r="G157" i="7"/>
  <c r="H157" i="7" s="1"/>
  <c r="B157" i="7"/>
  <c r="M156" i="7"/>
  <c r="J156" i="7"/>
  <c r="K156" i="7" s="1"/>
  <c r="L156" i="7" s="1"/>
  <c r="G156" i="7"/>
  <c r="H156" i="7" s="1"/>
  <c r="B156" i="7"/>
  <c r="M155" i="7"/>
  <c r="J155" i="7"/>
  <c r="K155" i="7" s="1"/>
  <c r="L155" i="7" s="1"/>
  <c r="G155" i="7"/>
  <c r="H155" i="7" s="1"/>
  <c r="B155" i="7"/>
  <c r="M154" i="7"/>
  <c r="J154" i="7"/>
  <c r="K154" i="7" s="1"/>
  <c r="L154" i="7" s="1"/>
  <c r="G154" i="7"/>
  <c r="H154" i="7" s="1"/>
  <c r="B154" i="7"/>
  <c r="M153" i="7"/>
  <c r="J153" i="7"/>
  <c r="K153" i="7" s="1"/>
  <c r="L153" i="7" s="1"/>
  <c r="G153" i="7"/>
  <c r="H153" i="7" s="1"/>
  <c r="B153" i="7"/>
  <c r="M152" i="7"/>
  <c r="J152" i="7"/>
  <c r="K152" i="7" s="1"/>
  <c r="L152" i="7" s="1"/>
  <c r="G152" i="7"/>
  <c r="H152" i="7" s="1"/>
  <c r="B152" i="7"/>
  <c r="M151" i="7"/>
  <c r="J151" i="7"/>
  <c r="K151" i="7" s="1"/>
  <c r="L151" i="7" s="1"/>
  <c r="G151" i="7"/>
  <c r="H151" i="7" s="1"/>
  <c r="B151" i="7"/>
  <c r="M150" i="7"/>
  <c r="J150" i="7"/>
  <c r="K150" i="7" s="1"/>
  <c r="L150" i="7" s="1"/>
  <c r="G150" i="7"/>
  <c r="H150" i="7" s="1"/>
  <c r="B150" i="7"/>
  <c r="M149" i="7"/>
  <c r="J149" i="7"/>
  <c r="K149" i="7" s="1"/>
  <c r="L149" i="7" s="1"/>
  <c r="G149" i="7"/>
  <c r="H149" i="7" s="1"/>
  <c r="B149" i="7"/>
  <c r="M148" i="7"/>
  <c r="J148" i="7"/>
  <c r="K148" i="7" s="1"/>
  <c r="L148" i="7" s="1"/>
  <c r="G148" i="7"/>
  <c r="H148" i="7" s="1"/>
  <c r="B148" i="7"/>
  <c r="M147" i="7"/>
  <c r="J147" i="7"/>
  <c r="K147" i="7" s="1"/>
  <c r="L147" i="7" s="1"/>
  <c r="G147" i="7"/>
  <c r="H147" i="7" s="1"/>
  <c r="B147" i="7"/>
  <c r="M146" i="7"/>
  <c r="J146" i="7"/>
  <c r="K146" i="7" s="1"/>
  <c r="L146" i="7" s="1"/>
  <c r="G146" i="7"/>
  <c r="H146" i="7" s="1"/>
  <c r="B146" i="7"/>
  <c r="M145" i="7"/>
  <c r="J145" i="7"/>
  <c r="K145" i="7" s="1"/>
  <c r="L145" i="7" s="1"/>
  <c r="G145" i="7"/>
  <c r="H145" i="7" s="1"/>
  <c r="B145" i="7"/>
  <c r="M144" i="7"/>
  <c r="J144" i="7"/>
  <c r="K144" i="7" s="1"/>
  <c r="L144" i="7" s="1"/>
  <c r="G144" i="7"/>
  <c r="H144" i="7" s="1"/>
  <c r="B144" i="7"/>
  <c r="M143" i="7"/>
  <c r="J143" i="7"/>
  <c r="K143" i="7" s="1"/>
  <c r="L143" i="7" s="1"/>
  <c r="G143" i="7"/>
  <c r="H143" i="7" s="1"/>
  <c r="B143" i="7"/>
  <c r="M142" i="7"/>
  <c r="J142" i="7"/>
  <c r="K142" i="7" s="1"/>
  <c r="L142" i="7" s="1"/>
  <c r="G142" i="7"/>
  <c r="H142" i="7" s="1"/>
  <c r="B142" i="7"/>
  <c r="M141" i="7"/>
  <c r="J141" i="7"/>
  <c r="K141" i="7" s="1"/>
  <c r="L141" i="7" s="1"/>
  <c r="G141" i="7"/>
  <c r="H141" i="7" s="1"/>
  <c r="B141" i="7"/>
  <c r="M140" i="7"/>
  <c r="J140" i="7"/>
  <c r="K140" i="7" s="1"/>
  <c r="L140" i="7" s="1"/>
  <c r="G140" i="7"/>
  <c r="H140" i="7" s="1"/>
  <c r="B140" i="7"/>
  <c r="M139" i="7"/>
  <c r="J139" i="7"/>
  <c r="K139" i="7" s="1"/>
  <c r="L139" i="7" s="1"/>
  <c r="G139" i="7"/>
  <c r="H139" i="7" s="1"/>
  <c r="B139" i="7"/>
  <c r="M138" i="7"/>
  <c r="J138" i="7"/>
  <c r="K138" i="7" s="1"/>
  <c r="L138" i="7" s="1"/>
  <c r="G138" i="7"/>
  <c r="H138" i="7" s="1"/>
  <c r="B138" i="7"/>
  <c r="M137" i="7"/>
  <c r="J137" i="7"/>
  <c r="K137" i="7" s="1"/>
  <c r="L137" i="7" s="1"/>
  <c r="G137" i="7"/>
  <c r="H137" i="7" s="1"/>
  <c r="B137" i="7"/>
  <c r="M136" i="7"/>
  <c r="J136" i="7"/>
  <c r="K136" i="7" s="1"/>
  <c r="L136" i="7" s="1"/>
  <c r="G136" i="7"/>
  <c r="H136" i="7" s="1"/>
  <c r="B136" i="7"/>
  <c r="M135" i="7"/>
  <c r="J135" i="7"/>
  <c r="K135" i="7" s="1"/>
  <c r="L135" i="7" s="1"/>
  <c r="G135" i="7"/>
  <c r="H135" i="7" s="1"/>
  <c r="B135" i="7"/>
  <c r="M134" i="7"/>
  <c r="J134" i="7"/>
  <c r="K134" i="7" s="1"/>
  <c r="L134" i="7" s="1"/>
  <c r="G134" i="7"/>
  <c r="H134" i="7" s="1"/>
  <c r="B134" i="7"/>
  <c r="M133" i="7"/>
  <c r="J133" i="7"/>
  <c r="K133" i="7" s="1"/>
  <c r="L133" i="7" s="1"/>
  <c r="G133" i="7"/>
  <c r="H133" i="7" s="1"/>
  <c r="B133" i="7"/>
  <c r="M132" i="7"/>
  <c r="J132" i="7"/>
  <c r="K132" i="7" s="1"/>
  <c r="L132" i="7" s="1"/>
  <c r="G132" i="7"/>
  <c r="H132" i="7" s="1"/>
  <c r="B132" i="7"/>
  <c r="M131" i="7"/>
  <c r="J131" i="7"/>
  <c r="K131" i="7" s="1"/>
  <c r="L131" i="7" s="1"/>
  <c r="G131" i="7"/>
  <c r="H131" i="7" s="1"/>
  <c r="B131" i="7"/>
  <c r="M130" i="7"/>
  <c r="J130" i="7"/>
  <c r="K130" i="7" s="1"/>
  <c r="L130" i="7" s="1"/>
  <c r="G130" i="7"/>
  <c r="H130" i="7" s="1"/>
  <c r="B130" i="7"/>
  <c r="M129" i="7"/>
  <c r="J129" i="7"/>
  <c r="K129" i="7" s="1"/>
  <c r="L129" i="7" s="1"/>
  <c r="G129" i="7"/>
  <c r="H129" i="7" s="1"/>
  <c r="B129" i="7"/>
  <c r="M128" i="7"/>
  <c r="J128" i="7"/>
  <c r="K128" i="7" s="1"/>
  <c r="L128" i="7" s="1"/>
  <c r="G128" i="7"/>
  <c r="H128" i="7" s="1"/>
  <c r="B128" i="7"/>
  <c r="M127" i="7"/>
  <c r="J127" i="7"/>
  <c r="K127" i="7" s="1"/>
  <c r="L127" i="7" s="1"/>
  <c r="G127" i="7"/>
  <c r="H127" i="7" s="1"/>
  <c r="B127" i="7"/>
  <c r="M126" i="7"/>
  <c r="J126" i="7"/>
  <c r="K126" i="7" s="1"/>
  <c r="L126" i="7" s="1"/>
  <c r="G126" i="7"/>
  <c r="H126" i="7" s="1"/>
  <c r="B126" i="7"/>
  <c r="M125" i="7"/>
  <c r="J125" i="7"/>
  <c r="K125" i="7" s="1"/>
  <c r="L125" i="7" s="1"/>
  <c r="G125" i="7"/>
  <c r="H125" i="7" s="1"/>
  <c r="B125" i="7"/>
  <c r="M124" i="7"/>
  <c r="J124" i="7"/>
  <c r="K124" i="7" s="1"/>
  <c r="L124" i="7" s="1"/>
  <c r="G124" i="7"/>
  <c r="H124" i="7" s="1"/>
  <c r="B124" i="7"/>
  <c r="M123" i="7"/>
  <c r="J123" i="7"/>
  <c r="K123" i="7" s="1"/>
  <c r="L123" i="7" s="1"/>
  <c r="G123" i="7"/>
  <c r="H123" i="7" s="1"/>
  <c r="B123" i="7"/>
  <c r="M122" i="7"/>
  <c r="J122" i="7"/>
  <c r="K122" i="7" s="1"/>
  <c r="L122" i="7" s="1"/>
  <c r="G122" i="7"/>
  <c r="H122" i="7" s="1"/>
  <c r="B122" i="7"/>
  <c r="M121" i="7"/>
  <c r="J121" i="7"/>
  <c r="K121" i="7" s="1"/>
  <c r="L121" i="7" s="1"/>
  <c r="G121" i="7"/>
  <c r="H121" i="7" s="1"/>
  <c r="B121" i="7"/>
  <c r="M120" i="7"/>
  <c r="J120" i="7"/>
  <c r="K120" i="7" s="1"/>
  <c r="L120" i="7" s="1"/>
  <c r="G120" i="7"/>
  <c r="H120" i="7" s="1"/>
  <c r="B120" i="7"/>
  <c r="M119" i="7"/>
  <c r="J119" i="7"/>
  <c r="K119" i="7" s="1"/>
  <c r="L119" i="7" s="1"/>
  <c r="G119" i="7"/>
  <c r="H119" i="7" s="1"/>
  <c r="B119" i="7"/>
  <c r="M118" i="7"/>
  <c r="J118" i="7"/>
  <c r="K118" i="7" s="1"/>
  <c r="L118" i="7" s="1"/>
  <c r="G118" i="7"/>
  <c r="H118" i="7" s="1"/>
  <c r="B118" i="7"/>
  <c r="M117" i="7"/>
  <c r="J117" i="7"/>
  <c r="K117" i="7" s="1"/>
  <c r="L117" i="7" s="1"/>
  <c r="G117" i="7"/>
  <c r="H117" i="7" s="1"/>
  <c r="B117" i="7"/>
  <c r="M116" i="7"/>
  <c r="J116" i="7"/>
  <c r="K116" i="7" s="1"/>
  <c r="L116" i="7" s="1"/>
  <c r="G116" i="7"/>
  <c r="H116" i="7" s="1"/>
  <c r="B116" i="7"/>
  <c r="M115" i="7"/>
  <c r="J115" i="7"/>
  <c r="K115" i="7" s="1"/>
  <c r="L115" i="7" s="1"/>
  <c r="G115" i="7"/>
  <c r="H115" i="7" s="1"/>
  <c r="B115" i="7"/>
  <c r="M114" i="7"/>
  <c r="J114" i="7"/>
  <c r="K114" i="7" s="1"/>
  <c r="L114" i="7" s="1"/>
  <c r="G114" i="7"/>
  <c r="H114" i="7" s="1"/>
  <c r="B114" i="7"/>
  <c r="M113" i="7"/>
  <c r="J113" i="7"/>
  <c r="K113" i="7" s="1"/>
  <c r="L113" i="7" s="1"/>
  <c r="G113" i="7"/>
  <c r="H113" i="7" s="1"/>
  <c r="B113" i="7"/>
  <c r="M112" i="7"/>
  <c r="J112" i="7"/>
  <c r="K112" i="7" s="1"/>
  <c r="L112" i="7" s="1"/>
  <c r="G112" i="7"/>
  <c r="H112" i="7" s="1"/>
  <c r="B112" i="7"/>
  <c r="M111" i="7"/>
  <c r="J111" i="7"/>
  <c r="K111" i="7" s="1"/>
  <c r="L111" i="7" s="1"/>
  <c r="G111" i="7"/>
  <c r="H111" i="7" s="1"/>
  <c r="B111" i="7"/>
  <c r="M110" i="7"/>
  <c r="J110" i="7"/>
  <c r="K110" i="7" s="1"/>
  <c r="L110" i="7" s="1"/>
  <c r="G110" i="7"/>
  <c r="H110" i="7" s="1"/>
  <c r="B110" i="7"/>
  <c r="M109" i="7"/>
  <c r="J109" i="7"/>
  <c r="K109" i="7" s="1"/>
  <c r="L109" i="7" s="1"/>
  <c r="G109" i="7"/>
  <c r="H109" i="7" s="1"/>
  <c r="B109" i="7"/>
  <c r="M108" i="7"/>
  <c r="J108" i="7"/>
  <c r="K108" i="7" s="1"/>
  <c r="L108" i="7" s="1"/>
  <c r="G108" i="7"/>
  <c r="H108" i="7" s="1"/>
  <c r="B108" i="7"/>
  <c r="M107" i="7"/>
  <c r="J107" i="7"/>
  <c r="K107" i="7" s="1"/>
  <c r="L107" i="7" s="1"/>
  <c r="G107" i="7"/>
  <c r="H107" i="7" s="1"/>
  <c r="B107" i="7"/>
  <c r="M106" i="7"/>
  <c r="J106" i="7"/>
  <c r="K106" i="7" s="1"/>
  <c r="L106" i="7" s="1"/>
  <c r="G106" i="7"/>
  <c r="H106" i="7" s="1"/>
  <c r="B106" i="7"/>
  <c r="M105" i="7"/>
  <c r="J105" i="7"/>
  <c r="K105" i="7" s="1"/>
  <c r="L105" i="7" s="1"/>
  <c r="G105" i="7"/>
  <c r="H105" i="7" s="1"/>
  <c r="B105" i="7"/>
  <c r="M104" i="7"/>
  <c r="J104" i="7"/>
  <c r="K104" i="7" s="1"/>
  <c r="L104" i="7" s="1"/>
  <c r="G104" i="7"/>
  <c r="H104" i="7" s="1"/>
  <c r="B104" i="7"/>
  <c r="M103" i="7"/>
  <c r="J103" i="7"/>
  <c r="K103" i="7" s="1"/>
  <c r="L103" i="7" s="1"/>
  <c r="G103" i="7"/>
  <c r="H103" i="7" s="1"/>
  <c r="B103" i="7"/>
  <c r="M102" i="7"/>
  <c r="J102" i="7"/>
  <c r="K102" i="7" s="1"/>
  <c r="L102" i="7" s="1"/>
  <c r="G102" i="7"/>
  <c r="H102" i="7" s="1"/>
  <c r="B102" i="7"/>
  <c r="M101" i="7"/>
  <c r="J101" i="7"/>
  <c r="K101" i="7" s="1"/>
  <c r="L101" i="7" s="1"/>
  <c r="G101" i="7"/>
  <c r="H101" i="7" s="1"/>
  <c r="B101" i="7"/>
  <c r="M100" i="7"/>
  <c r="J100" i="7"/>
  <c r="K100" i="7" s="1"/>
  <c r="L100" i="7" s="1"/>
  <c r="G100" i="7"/>
  <c r="H100" i="7" s="1"/>
  <c r="B100" i="7"/>
  <c r="M99" i="7"/>
  <c r="J99" i="7"/>
  <c r="K99" i="7" s="1"/>
  <c r="L99" i="7" s="1"/>
  <c r="G99" i="7"/>
  <c r="H99" i="7" s="1"/>
  <c r="B99" i="7"/>
  <c r="M98" i="7"/>
  <c r="J98" i="7"/>
  <c r="K98" i="7" s="1"/>
  <c r="L98" i="7" s="1"/>
  <c r="G98" i="7"/>
  <c r="H98" i="7" s="1"/>
  <c r="B98" i="7"/>
  <c r="M97" i="7"/>
  <c r="J97" i="7"/>
  <c r="K97" i="7" s="1"/>
  <c r="L97" i="7" s="1"/>
  <c r="G97" i="7"/>
  <c r="H97" i="7" s="1"/>
  <c r="B97" i="7"/>
  <c r="M96" i="7"/>
  <c r="J96" i="7"/>
  <c r="K96" i="7" s="1"/>
  <c r="L96" i="7" s="1"/>
  <c r="G96" i="7"/>
  <c r="H96" i="7" s="1"/>
  <c r="B96" i="7"/>
  <c r="M95" i="7"/>
  <c r="J95" i="7"/>
  <c r="K95" i="7" s="1"/>
  <c r="L95" i="7" s="1"/>
  <c r="G95" i="7"/>
  <c r="H95" i="7" s="1"/>
  <c r="B95" i="7"/>
  <c r="M94" i="7"/>
  <c r="J94" i="7"/>
  <c r="K94" i="7" s="1"/>
  <c r="L94" i="7" s="1"/>
  <c r="G94" i="7"/>
  <c r="H94" i="7" s="1"/>
  <c r="B94" i="7"/>
  <c r="M93" i="7"/>
  <c r="J93" i="7"/>
  <c r="K93" i="7" s="1"/>
  <c r="L93" i="7" s="1"/>
  <c r="G93" i="7"/>
  <c r="H93" i="7" s="1"/>
  <c r="B93" i="7"/>
  <c r="M92" i="7"/>
  <c r="J92" i="7"/>
  <c r="K92" i="7" s="1"/>
  <c r="L92" i="7" s="1"/>
  <c r="G92" i="7"/>
  <c r="H92" i="7" s="1"/>
  <c r="B92" i="7"/>
  <c r="M91" i="7"/>
  <c r="J91" i="7"/>
  <c r="K91" i="7" s="1"/>
  <c r="L91" i="7" s="1"/>
  <c r="G91" i="7"/>
  <c r="H91" i="7" s="1"/>
  <c r="B91" i="7"/>
  <c r="M90" i="7"/>
  <c r="J90" i="7"/>
  <c r="K90" i="7" s="1"/>
  <c r="L90" i="7" s="1"/>
  <c r="G90" i="7"/>
  <c r="H90" i="7" s="1"/>
  <c r="B90" i="7"/>
  <c r="M89" i="7"/>
  <c r="J89" i="7"/>
  <c r="K89" i="7" s="1"/>
  <c r="L89" i="7" s="1"/>
  <c r="G89" i="7"/>
  <c r="H89" i="7" s="1"/>
  <c r="B89" i="7"/>
  <c r="M88" i="7"/>
  <c r="J88" i="7"/>
  <c r="K88" i="7" s="1"/>
  <c r="L88" i="7" s="1"/>
  <c r="G88" i="7"/>
  <c r="H88" i="7" s="1"/>
  <c r="B88" i="7"/>
  <c r="M87" i="7"/>
  <c r="J87" i="7"/>
  <c r="K87" i="7" s="1"/>
  <c r="L87" i="7" s="1"/>
  <c r="G87" i="7"/>
  <c r="H87" i="7" s="1"/>
  <c r="B87" i="7"/>
  <c r="M86" i="7"/>
  <c r="J86" i="7"/>
  <c r="K86" i="7" s="1"/>
  <c r="L86" i="7" s="1"/>
  <c r="G86" i="7"/>
  <c r="H86" i="7" s="1"/>
  <c r="B86" i="7"/>
  <c r="M85" i="7"/>
  <c r="J85" i="7"/>
  <c r="K85" i="7" s="1"/>
  <c r="L85" i="7" s="1"/>
  <c r="G85" i="7"/>
  <c r="H85" i="7" s="1"/>
  <c r="B85" i="7"/>
  <c r="M84" i="7"/>
  <c r="J84" i="7"/>
  <c r="K84" i="7" s="1"/>
  <c r="L84" i="7" s="1"/>
  <c r="G84" i="7"/>
  <c r="H84" i="7" s="1"/>
  <c r="B84" i="7"/>
  <c r="M83" i="7"/>
  <c r="J83" i="7"/>
  <c r="K83" i="7" s="1"/>
  <c r="L83" i="7" s="1"/>
  <c r="G83" i="7"/>
  <c r="H83" i="7" s="1"/>
  <c r="B83" i="7"/>
  <c r="M82" i="7"/>
  <c r="J82" i="7"/>
  <c r="K82" i="7" s="1"/>
  <c r="L82" i="7" s="1"/>
  <c r="G82" i="7"/>
  <c r="H82" i="7" s="1"/>
  <c r="B82" i="7"/>
  <c r="M81" i="7"/>
  <c r="J81" i="7"/>
  <c r="K81" i="7" s="1"/>
  <c r="L81" i="7" s="1"/>
  <c r="G81" i="7"/>
  <c r="H81" i="7" s="1"/>
  <c r="B81" i="7"/>
  <c r="M80" i="7"/>
  <c r="J80" i="7"/>
  <c r="K80" i="7" s="1"/>
  <c r="L80" i="7" s="1"/>
  <c r="G80" i="7"/>
  <c r="H80" i="7" s="1"/>
  <c r="B80" i="7"/>
  <c r="M79" i="7"/>
  <c r="J79" i="7"/>
  <c r="K79" i="7" s="1"/>
  <c r="L79" i="7" s="1"/>
  <c r="G79" i="7"/>
  <c r="H79" i="7" s="1"/>
  <c r="B79" i="7"/>
  <c r="M78" i="7"/>
  <c r="J78" i="7"/>
  <c r="K78" i="7" s="1"/>
  <c r="L78" i="7" s="1"/>
  <c r="G78" i="7"/>
  <c r="H78" i="7" s="1"/>
  <c r="B78" i="7"/>
  <c r="M77" i="7"/>
  <c r="J77" i="7"/>
  <c r="K77" i="7" s="1"/>
  <c r="L77" i="7" s="1"/>
  <c r="G77" i="7"/>
  <c r="H77" i="7" s="1"/>
  <c r="B77" i="7"/>
  <c r="M76" i="7"/>
  <c r="J76" i="7"/>
  <c r="K76" i="7" s="1"/>
  <c r="L76" i="7" s="1"/>
  <c r="G76" i="7"/>
  <c r="H76" i="7" s="1"/>
  <c r="B76" i="7"/>
  <c r="M75" i="7"/>
  <c r="J75" i="7"/>
  <c r="K75" i="7" s="1"/>
  <c r="L75" i="7" s="1"/>
  <c r="G75" i="7"/>
  <c r="H75" i="7" s="1"/>
  <c r="B75" i="7"/>
  <c r="M74" i="7"/>
  <c r="J74" i="7"/>
  <c r="K74" i="7" s="1"/>
  <c r="L74" i="7" s="1"/>
  <c r="G74" i="7"/>
  <c r="H74" i="7" s="1"/>
  <c r="B74" i="7"/>
  <c r="M73" i="7"/>
  <c r="J73" i="7"/>
  <c r="K73" i="7" s="1"/>
  <c r="L73" i="7" s="1"/>
  <c r="G73" i="7"/>
  <c r="H73" i="7" s="1"/>
  <c r="B73" i="7"/>
  <c r="M72" i="7"/>
  <c r="J72" i="7"/>
  <c r="K72" i="7" s="1"/>
  <c r="L72" i="7" s="1"/>
  <c r="G72" i="7"/>
  <c r="H72" i="7" s="1"/>
  <c r="B72" i="7"/>
  <c r="M71" i="7"/>
  <c r="J71" i="7"/>
  <c r="K71" i="7" s="1"/>
  <c r="L71" i="7" s="1"/>
  <c r="G71" i="7"/>
  <c r="H71" i="7" s="1"/>
  <c r="B71" i="7"/>
  <c r="M70" i="7"/>
  <c r="J70" i="7"/>
  <c r="K70" i="7" s="1"/>
  <c r="L70" i="7" s="1"/>
  <c r="G70" i="7"/>
  <c r="H70" i="7" s="1"/>
  <c r="B70" i="7"/>
  <c r="M69" i="7"/>
  <c r="J69" i="7"/>
  <c r="K69" i="7" s="1"/>
  <c r="L69" i="7" s="1"/>
  <c r="G69" i="7"/>
  <c r="H69" i="7" s="1"/>
  <c r="B69" i="7"/>
  <c r="M68" i="7"/>
  <c r="J68" i="7"/>
  <c r="K68" i="7" s="1"/>
  <c r="L68" i="7" s="1"/>
  <c r="G68" i="7"/>
  <c r="H68" i="7" s="1"/>
  <c r="B68" i="7"/>
  <c r="M67" i="7"/>
  <c r="J67" i="7"/>
  <c r="K67" i="7" s="1"/>
  <c r="L67" i="7" s="1"/>
  <c r="G67" i="7"/>
  <c r="H67" i="7" s="1"/>
  <c r="B67" i="7"/>
  <c r="M66" i="7"/>
  <c r="J66" i="7"/>
  <c r="K66" i="7" s="1"/>
  <c r="L66" i="7" s="1"/>
  <c r="G66" i="7"/>
  <c r="H66" i="7" s="1"/>
  <c r="B66" i="7"/>
  <c r="M65" i="7"/>
  <c r="J65" i="7"/>
  <c r="K65" i="7" s="1"/>
  <c r="L65" i="7" s="1"/>
  <c r="G65" i="7"/>
  <c r="H65" i="7" s="1"/>
  <c r="B65" i="7"/>
  <c r="M64" i="7"/>
  <c r="J64" i="7"/>
  <c r="K64" i="7" s="1"/>
  <c r="L64" i="7" s="1"/>
  <c r="G64" i="7"/>
  <c r="H64" i="7" s="1"/>
  <c r="B64" i="7"/>
  <c r="M63" i="7"/>
  <c r="J63" i="7"/>
  <c r="K63" i="7" s="1"/>
  <c r="L63" i="7" s="1"/>
  <c r="G63" i="7"/>
  <c r="H63" i="7" s="1"/>
  <c r="B63" i="7"/>
  <c r="M62" i="7"/>
  <c r="J62" i="7"/>
  <c r="K62" i="7" s="1"/>
  <c r="L62" i="7" s="1"/>
  <c r="G62" i="7"/>
  <c r="H62" i="7" s="1"/>
  <c r="B62" i="7"/>
  <c r="M61" i="7"/>
  <c r="J61" i="7"/>
  <c r="K61" i="7" s="1"/>
  <c r="L61" i="7" s="1"/>
  <c r="G61" i="7"/>
  <c r="H61" i="7" s="1"/>
  <c r="B61" i="7"/>
  <c r="M60" i="7"/>
  <c r="J60" i="7"/>
  <c r="K60" i="7" s="1"/>
  <c r="L60" i="7" s="1"/>
  <c r="G60" i="7"/>
  <c r="H60" i="7" s="1"/>
  <c r="B60" i="7"/>
  <c r="M59" i="7"/>
  <c r="J59" i="7"/>
  <c r="K59" i="7" s="1"/>
  <c r="L59" i="7" s="1"/>
  <c r="G59" i="7"/>
  <c r="H59" i="7" s="1"/>
  <c r="B59" i="7"/>
  <c r="M58" i="7"/>
  <c r="J58" i="7"/>
  <c r="K58" i="7" s="1"/>
  <c r="L58" i="7" s="1"/>
  <c r="G58" i="7"/>
  <c r="H58" i="7" s="1"/>
  <c r="B58" i="7"/>
  <c r="M57" i="7"/>
  <c r="J57" i="7"/>
  <c r="K57" i="7" s="1"/>
  <c r="L57" i="7" s="1"/>
  <c r="G57" i="7"/>
  <c r="H57" i="7" s="1"/>
  <c r="B57" i="7"/>
  <c r="M56" i="7"/>
  <c r="J56" i="7"/>
  <c r="K56" i="7" s="1"/>
  <c r="L56" i="7" s="1"/>
  <c r="G56" i="7"/>
  <c r="H56" i="7" s="1"/>
  <c r="B56" i="7"/>
  <c r="M55" i="7"/>
  <c r="J55" i="7"/>
  <c r="K55" i="7" s="1"/>
  <c r="L55" i="7" s="1"/>
  <c r="G55" i="7"/>
  <c r="H55" i="7" s="1"/>
  <c r="B55" i="7"/>
  <c r="M54" i="7"/>
  <c r="J54" i="7"/>
  <c r="K54" i="7" s="1"/>
  <c r="L54" i="7" s="1"/>
  <c r="G54" i="7"/>
  <c r="H54" i="7" s="1"/>
  <c r="B54" i="7"/>
  <c r="M53" i="7"/>
  <c r="J53" i="7"/>
  <c r="K53" i="7" s="1"/>
  <c r="L53" i="7" s="1"/>
  <c r="G53" i="7"/>
  <c r="H53" i="7" s="1"/>
  <c r="B53" i="7"/>
  <c r="M52" i="7"/>
  <c r="J52" i="7"/>
  <c r="K52" i="7" s="1"/>
  <c r="L52" i="7" s="1"/>
  <c r="G52" i="7"/>
  <c r="H52" i="7" s="1"/>
  <c r="B52" i="7"/>
  <c r="M51" i="7"/>
  <c r="J51" i="7"/>
  <c r="K51" i="7" s="1"/>
  <c r="L51" i="7" s="1"/>
  <c r="G51" i="7"/>
  <c r="H51" i="7" s="1"/>
  <c r="B51" i="7"/>
  <c r="M50" i="7"/>
  <c r="J50" i="7"/>
  <c r="K50" i="7" s="1"/>
  <c r="L50" i="7" s="1"/>
  <c r="G50" i="7"/>
  <c r="H50" i="7" s="1"/>
  <c r="B50" i="7"/>
  <c r="M49" i="7"/>
  <c r="J49" i="7"/>
  <c r="K49" i="7" s="1"/>
  <c r="L49" i="7" s="1"/>
  <c r="G49" i="7"/>
  <c r="H49" i="7" s="1"/>
  <c r="B49" i="7"/>
  <c r="M48" i="7"/>
  <c r="J48" i="7"/>
  <c r="K48" i="7" s="1"/>
  <c r="L48" i="7" s="1"/>
  <c r="G48" i="7"/>
  <c r="H48" i="7" s="1"/>
  <c r="B48" i="7"/>
  <c r="M47" i="7"/>
  <c r="J47" i="7"/>
  <c r="K47" i="7" s="1"/>
  <c r="L47" i="7" s="1"/>
  <c r="G47" i="7"/>
  <c r="H47" i="7" s="1"/>
  <c r="B47" i="7"/>
  <c r="M46" i="7"/>
  <c r="J46" i="7"/>
  <c r="K46" i="7" s="1"/>
  <c r="L46" i="7" s="1"/>
  <c r="G46" i="7"/>
  <c r="H46" i="7" s="1"/>
  <c r="B46" i="7"/>
  <c r="M45" i="7"/>
  <c r="J45" i="7"/>
  <c r="K45" i="7" s="1"/>
  <c r="L45" i="7" s="1"/>
  <c r="G45" i="7"/>
  <c r="H45" i="7" s="1"/>
  <c r="B45" i="7"/>
  <c r="M44" i="7"/>
  <c r="J44" i="7"/>
  <c r="K44" i="7" s="1"/>
  <c r="L44" i="7" s="1"/>
  <c r="G44" i="7"/>
  <c r="H44" i="7" s="1"/>
  <c r="B44" i="7"/>
  <c r="M43" i="7"/>
  <c r="J43" i="7"/>
  <c r="K43" i="7" s="1"/>
  <c r="L43" i="7" s="1"/>
  <c r="G43" i="7"/>
  <c r="H43" i="7" s="1"/>
  <c r="B43" i="7"/>
  <c r="M42" i="7"/>
  <c r="J42" i="7"/>
  <c r="K42" i="7" s="1"/>
  <c r="L42" i="7" s="1"/>
  <c r="G42" i="7"/>
  <c r="H42" i="7" s="1"/>
  <c r="B42" i="7"/>
  <c r="M41" i="7"/>
  <c r="J41" i="7"/>
  <c r="K41" i="7" s="1"/>
  <c r="L41" i="7" s="1"/>
  <c r="G41" i="7"/>
  <c r="H41" i="7" s="1"/>
  <c r="B41" i="7"/>
  <c r="M40" i="7"/>
  <c r="J40" i="7"/>
  <c r="K40" i="7" s="1"/>
  <c r="L40" i="7" s="1"/>
  <c r="G40" i="7"/>
  <c r="H40" i="7" s="1"/>
  <c r="B40" i="7"/>
  <c r="M39" i="7"/>
  <c r="J39" i="7"/>
  <c r="K39" i="7" s="1"/>
  <c r="L39" i="7" s="1"/>
  <c r="G39" i="7"/>
  <c r="H39" i="7" s="1"/>
  <c r="B39" i="7"/>
  <c r="M38" i="7"/>
  <c r="J38" i="7"/>
  <c r="K38" i="7" s="1"/>
  <c r="L38" i="7" s="1"/>
  <c r="G38" i="7"/>
  <c r="H38" i="7" s="1"/>
  <c r="B38" i="7"/>
  <c r="M37" i="7"/>
  <c r="J37" i="7"/>
  <c r="K37" i="7" s="1"/>
  <c r="L37" i="7" s="1"/>
  <c r="G37" i="7"/>
  <c r="H37" i="7" s="1"/>
  <c r="B37" i="7"/>
  <c r="M36" i="7"/>
  <c r="J36" i="7"/>
  <c r="K36" i="7" s="1"/>
  <c r="L36" i="7" s="1"/>
  <c r="G36" i="7"/>
  <c r="H36" i="7" s="1"/>
  <c r="B36" i="7"/>
  <c r="M35" i="7"/>
  <c r="J35" i="7"/>
  <c r="K35" i="7" s="1"/>
  <c r="L35" i="7" s="1"/>
  <c r="G35" i="7"/>
  <c r="H35" i="7" s="1"/>
  <c r="B35" i="7"/>
  <c r="M34" i="7"/>
  <c r="J34" i="7"/>
  <c r="K34" i="7" s="1"/>
  <c r="L34" i="7" s="1"/>
  <c r="G34" i="7"/>
  <c r="H34" i="7" s="1"/>
  <c r="B34" i="7"/>
  <c r="M33" i="7"/>
  <c r="J33" i="7"/>
  <c r="K33" i="7" s="1"/>
  <c r="L33" i="7" s="1"/>
  <c r="G33" i="7"/>
  <c r="H33" i="7" s="1"/>
  <c r="B33" i="7"/>
  <c r="M32" i="7"/>
  <c r="J32" i="7"/>
  <c r="K32" i="7" s="1"/>
  <c r="L32" i="7" s="1"/>
  <c r="G32" i="7"/>
  <c r="H32" i="7" s="1"/>
  <c r="B32" i="7"/>
  <c r="M31" i="7"/>
  <c r="J31" i="7"/>
  <c r="K31" i="7" s="1"/>
  <c r="L31" i="7" s="1"/>
  <c r="G31" i="7"/>
  <c r="H31" i="7" s="1"/>
  <c r="B31" i="7"/>
  <c r="M30" i="7"/>
  <c r="J30" i="7"/>
  <c r="K30" i="7" s="1"/>
  <c r="L30" i="7" s="1"/>
  <c r="G30" i="7"/>
  <c r="H30" i="7" s="1"/>
  <c r="B30" i="7"/>
  <c r="M29" i="7"/>
  <c r="J29" i="7"/>
  <c r="K29" i="7" s="1"/>
  <c r="L29" i="7" s="1"/>
  <c r="G29" i="7"/>
  <c r="H29" i="7" s="1"/>
  <c r="B29" i="7"/>
  <c r="M28" i="7"/>
  <c r="J28" i="7"/>
  <c r="K28" i="7" s="1"/>
  <c r="L28" i="7" s="1"/>
  <c r="G28" i="7"/>
  <c r="H28" i="7" s="1"/>
  <c r="B28" i="7"/>
  <c r="M27" i="7"/>
  <c r="J27" i="7"/>
  <c r="K27" i="7" s="1"/>
  <c r="L27" i="7" s="1"/>
  <c r="G27" i="7"/>
  <c r="H27" i="7" s="1"/>
  <c r="B27" i="7"/>
  <c r="M26" i="7"/>
  <c r="J26" i="7"/>
  <c r="K26" i="7" s="1"/>
  <c r="L26" i="7" s="1"/>
  <c r="G26" i="7"/>
  <c r="H26" i="7" s="1"/>
  <c r="B26" i="7"/>
  <c r="M25" i="7"/>
  <c r="J25" i="7"/>
  <c r="K25" i="7" s="1"/>
  <c r="L25" i="7" s="1"/>
  <c r="G25" i="7"/>
  <c r="H25" i="7" s="1"/>
  <c r="B25" i="7"/>
  <c r="M24" i="7"/>
  <c r="J24" i="7"/>
  <c r="K24" i="7" s="1"/>
  <c r="L24" i="7" s="1"/>
  <c r="G24" i="7"/>
  <c r="H24" i="7" s="1"/>
  <c r="B24" i="7"/>
  <c r="M23" i="7"/>
  <c r="J23" i="7"/>
  <c r="K23" i="7" s="1"/>
  <c r="L23" i="7" s="1"/>
  <c r="G23" i="7"/>
  <c r="H23" i="7" s="1"/>
  <c r="B23" i="7"/>
  <c r="M22" i="7"/>
  <c r="J22" i="7"/>
  <c r="K22" i="7" s="1"/>
  <c r="L22" i="7" s="1"/>
  <c r="G22" i="7"/>
  <c r="H22" i="7" s="1"/>
  <c r="B22" i="7"/>
  <c r="M21" i="7"/>
  <c r="J21" i="7"/>
  <c r="K21" i="7" s="1"/>
  <c r="L21" i="7" s="1"/>
  <c r="G21" i="7"/>
  <c r="H21" i="7" s="1"/>
  <c r="B21" i="7"/>
  <c r="M20" i="7"/>
  <c r="J20" i="7"/>
  <c r="K20" i="7" s="1"/>
  <c r="L20" i="7" s="1"/>
  <c r="G20" i="7"/>
  <c r="H20" i="7" s="1"/>
  <c r="B20" i="7"/>
  <c r="M19" i="7"/>
  <c r="J19" i="7"/>
  <c r="K19" i="7" s="1"/>
  <c r="L19" i="7" s="1"/>
  <c r="G19" i="7"/>
  <c r="H19" i="7" s="1"/>
  <c r="B19" i="7"/>
  <c r="M18" i="7"/>
  <c r="J18" i="7"/>
  <c r="K18" i="7" s="1"/>
  <c r="L18" i="7" s="1"/>
  <c r="G18" i="7"/>
  <c r="H18" i="7" s="1"/>
  <c r="B18" i="7"/>
  <c r="M17" i="7"/>
  <c r="J17" i="7"/>
  <c r="K17" i="7" s="1"/>
  <c r="L17" i="7" s="1"/>
  <c r="G17" i="7"/>
  <c r="H17" i="7" s="1"/>
  <c r="B17" i="7"/>
  <c r="M16" i="7"/>
  <c r="J16" i="7"/>
  <c r="K16" i="7" s="1"/>
  <c r="L16" i="7" s="1"/>
  <c r="G16" i="7"/>
  <c r="H16" i="7" s="1"/>
  <c r="B16" i="7"/>
  <c r="M15" i="7"/>
  <c r="J15" i="7"/>
  <c r="K15" i="7" s="1"/>
  <c r="L15" i="7" s="1"/>
  <c r="G15" i="7"/>
  <c r="H15" i="7" s="1"/>
  <c r="B15" i="7"/>
  <c r="M14" i="7"/>
  <c r="J14" i="7"/>
  <c r="K14" i="7" s="1"/>
  <c r="L14" i="7" s="1"/>
  <c r="G14" i="7"/>
  <c r="H14" i="7" s="1"/>
  <c r="B14" i="7"/>
  <c r="M13" i="7"/>
  <c r="J13" i="7"/>
  <c r="K13" i="7" s="1"/>
  <c r="L13" i="7" s="1"/>
  <c r="G13" i="7"/>
  <c r="H13" i="7" s="1"/>
  <c r="B13" i="7"/>
  <c r="M12" i="7"/>
  <c r="J12" i="7"/>
  <c r="K12" i="7" s="1"/>
  <c r="L12" i="7" s="1"/>
  <c r="G12" i="7"/>
  <c r="H12" i="7" s="1"/>
  <c r="B12" i="7"/>
  <c r="M11" i="7"/>
  <c r="J11" i="7"/>
  <c r="K11" i="7" s="1"/>
  <c r="L11" i="7" s="1"/>
  <c r="G11" i="7"/>
  <c r="H11" i="7" s="1"/>
  <c r="B11" i="7"/>
  <c r="M10" i="7"/>
  <c r="J10" i="7"/>
  <c r="K10" i="7" s="1"/>
  <c r="L10" i="7" s="1"/>
  <c r="G10" i="7"/>
  <c r="H10" i="7" s="1"/>
  <c r="B10" i="7"/>
  <c r="M9" i="7"/>
  <c r="J9" i="7"/>
  <c r="K9" i="7" s="1"/>
  <c r="L9" i="7" s="1"/>
  <c r="G9" i="7"/>
  <c r="H9" i="7" s="1"/>
  <c r="B9" i="7"/>
  <c r="M8" i="7"/>
  <c r="J8" i="7"/>
  <c r="K8" i="7" s="1"/>
  <c r="L8" i="7" s="1"/>
  <c r="G8" i="7"/>
  <c r="H8" i="7" s="1"/>
  <c r="B8" i="7"/>
  <c r="N507" i="5"/>
  <c r="M507" i="5"/>
  <c r="L507" i="5"/>
  <c r="O507" i="13" s="1"/>
  <c r="N506" i="5"/>
  <c r="M506" i="5"/>
  <c r="L506" i="5"/>
  <c r="O506" i="13" s="1"/>
  <c r="N505" i="5"/>
  <c r="M505" i="5"/>
  <c r="L505" i="5"/>
  <c r="O505" i="13" s="1"/>
  <c r="N504" i="5"/>
  <c r="M504" i="5"/>
  <c r="L504" i="5"/>
  <c r="O504" i="13" s="1"/>
  <c r="N503" i="5"/>
  <c r="M503" i="5"/>
  <c r="L503" i="5"/>
  <c r="O503" i="13" s="1"/>
  <c r="N502" i="5"/>
  <c r="M502" i="5"/>
  <c r="L502" i="5"/>
  <c r="O502" i="13" s="1"/>
  <c r="N501" i="5"/>
  <c r="M501" i="5"/>
  <c r="L501" i="5"/>
  <c r="O501" i="13" s="1"/>
  <c r="N500" i="5"/>
  <c r="M500" i="5"/>
  <c r="L500" i="5"/>
  <c r="O500" i="13" s="1"/>
  <c r="N499" i="5"/>
  <c r="M499" i="5"/>
  <c r="L499" i="5"/>
  <c r="O499" i="13" s="1"/>
  <c r="N498" i="5"/>
  <c r="M498" i="5"/>
  <c r="L498" i="5"/>
  <c r="O498" i="13" s="1"/>
  <c r="N497" i="5"/>
  <c r="M497" i="5"/>
  <c r="L497" i="5"/>
  <c r="O497" i="13" s="1"/>
  <c r="N496" i="5"/>
  <c r="M496" i="5"/>
  <c r="L496" i="5"/>
  <c r="O496" i="13" s="1"/>
  <c r="N495" i="5"/>
  <c r="M495" i="5"/>
  <c r="L495" i="5"/>
  <c r="O495" i="13" s="1"/>
  <c r="N494" i="5"/>
  <c r="M494" i="5"/>
  <c r="L494" i="5"/>
  <c r="O494" i="13" s="1"/>
  <c r="N493" i="5"/>
  <c r="M493" i="5"/>
  <c r="L493" i="5"/>
  <c r="O493" i="13" s="1"/>
  <c r="N492" i="5"/>
  <c r="M492" i="5"/>
  <c r="L492" i="5"/>
  <c r="O492" i="13" s="1"/>
  <c r="N491" i="5"/>
  <c r="M491" i="5"/>
  <c r="L491" i="5"/>
  <c r="O491" i="13" s="1"/>
  <c r="N490" i="5"/>
  <c r="M490" i="5"/>
  <c r="L490" i="5"/>
  <c r="O490" i="13" s="1"/>
  <c r="N489" i="5"/>
  <c r="M489" i="5"/>
  <c r="L489" i="5"/>
  <c r="O489" i="13" s="1"/>
  <c r="N488" i="5"/>
  <c r="M488" i="5"/>
  <c r="L488" i="5"/>
  <c r="O488" i="13" s="1"/>
  <c r="N487" i="5"/>
  <c r="M487" i="5"/>
  <c r="L487" i="5"/>
  <c r="O487" i="13" s="1"/>
  <c r="N486" i="5"/>
  <c r="M486" i="5"/>
  <c r="L486" i="5"/>
  <c r="O486" i="13" s="1"/>
  <c r="N485" i="5"/>
  <c r="M485" i="5"/>
  <c r="L485" i="5"/>
  <c r="O485" i="13" s="1"/>
  <c r="N484" i="5"/>
  <c r="M484" i="5"/>
  <c r="L484" i="5"/>
  <c r="O484" i="13" s="1"/>
  <c r="N483" i="5"/>
  <c r="M483" i="5"/>
  <c r="L483" i="5"/>
  <c r="O483" i="13" s="1"/>
  <c r="N482" i="5"/>
  <c r="M482" i="5"/>
  <c r="L482" i="5"/>
  <c r="O482" i="13" s="1"/>
  <c r="N481" i="5"/>
  <c r="M481" i="5"/>
  <c r="L481" i="5"/>
  <c r="O481" i="13" s="1"/>
  <c r="N480" i="5"/>
  <c r="M480" i="5"/>
  <c r="L480" i="5"/>
  <c r="O480" i="13" s="1"/>
  <c r="N479" i="5"/>
  <c r="M479" i="5"/>
  <c r="L479" i="5"/>
  <c r="O479" i="13" s="1"/>
  <c r="N478" i="5"/>
  <c r="M478" i="5"/>
  <c r="L478" i="5"/>
  <c r="O478" i="13" s="1"/>
  <c r="N477" i="5"/>
  <c r="M477" i="5"/>
  <c r="L477" i="5"/>
  <c r="O477" i="13" s="1"/>
  <c r="N476" i="5"/>
  <c r="M476" i="5"/>
  <c r="L476" i="5"/>
  <c r="O476" i="13" s="1"/>
  <c r="N475" i="5"/>
  <c r="M475" i="5"/>
  <c r="L475" i="5"/>
  <c r="O475" i="13" s="1"/>
  <c r="N474" i="5"/>
  <c r="M474" i="5"/>
  <c r="L474" i="5"/>
  <c r="O474" i="13" s="1"/>
  <c r="N473" i="5"/>
  <c r="M473" i="5"/>
  <c r="L473" i="5"/>
  <c r="O473" i="13" s="1"/>
  <c r="N472" i="5"/>
  <c r="M472" i="5"/>
  <c r="L472" i="5"/>
  <c r="O472" i="13" s="1"/>
  <c r="N471" i="5"/>
  <c r="M471" i="5"/>
  <c r="L471" i="5"/>
  <c r="O471" i="13" s="1"/>
  <c r="N470" i="5"/>
  <c r="M470" i="5"/>
  <c r="L470" i="5"/>
  <c r="O470" i="13" s="1"/>
  <c r="N469" i="5"/>
  <c r="M469" i="5"/>
  <c r="L469" i="5"/>
  <c r="O469" i="13" s="1"/>
  <c r="N468" i="5"/>
  <c r="M468" i="5"/>
  <c r="L468" i="5"/>
  <c r="O468" i="13" s="1"/>
  <c r="N467" i="5"/>
  <c r="M467" i="5"/>
  <c r="L467" i="5"/>
  <c r="O467" i="13" s="1"/>
  <c r="N466" i="5"/>
  <c r="M466" i="5"/>
  <c r="L466" i="5"/>
  <c r="O466" i="13" s="1"/>
  <c r="N465" i="5"/>
  <c r="M465" i="5"/>
  <c r="L465" i="5"/>
  <c r="O465" i="13" s="1"/>
  <c r="N464" i="5"/>
  <c r="M464" i="5"/>
  <c r="L464" i="5"/>
  <c r="O464" i="13" s="1"/>
  <c r="N463" i="5"/>
  <c r="M463" i="5"/>
  <c r="L463" i="5"/>
  <c r="O463" i="13" s="1"/>
  <c r="N462" i="5"/>
  <c r="M462" i="5"/>
  <c r="L462" i="5"/>
  <c r="O462" i="13" s="1"/>
  <c r="N461" i="5"/>
  <c r="M461" i="5"/>
  <c r="L461" i="5"/>
  <c r="O461" i="13" s="1"/>
  <c r="N460" i="5"/>
  <c r="M460" i="5"/>
  <c r="L460" i="5"/>
  <c r="O460" i="13" s="1"/>
  <c r="N459" i="5"/>
  <c r="M459" i="5"/>
  <c r="L459" i="5"/>
  <c r="O459" i="13" s="1"/>
  <c r="N458" i="5"/>
  <c r="M458" i="5"/>
  <c r="L458" i="5"/>
  <c r="O458" i="13" s="1"/>
  <c r="N457" i="5"/>
  <c r="M457" i="5"/>
  <c r="L457" i="5"/>
  <c r="O457" i="13" s="1"/>
  <c r="N456" i="5"/>
  <c r="M456" i="5"/>
  <c r="L456" i="5"/>
  <c r="O456" i="13" s="1"/>
  <c r="N455" i="5"/>
  <c r="M455" i="5"/>
  <c r="L455" i="5"/>
  <c r="O455" i="13" s="1"/>
  <c r="N454" i="5"/>
  <c r="M454" i="5"/>
  <c r="L454" i="5"/>
  <c r="O454" i="13" s="1"/>
  <c r="N453" i="5"/>
  <c r="M453" i="5"/>
  <c r="L453" i="5"/>
  <c r="O453" i="13" s="1"/>
  <c r="N452" i="5"/>
  <c r="M452" i="5"/>
  <c r="L452" i="5"/>
  <c r="O452" i="13" s="1"/>
  <c r="N451" i="5"/>
  <c r="M451" i="5"/>
  <c r="L451" i="5"/>
  <c r="O451" i="13" s="1"/>
  <c r="N450" i="5"/>
  <c r="M450" i="5"/>
  <c r="L450" i="5"/>
  <c r="O450" i="13" s="1"/>
  <c r="N449" i="5"/>
  <c r="M449" i="5"/>
  <c r="L449" i="5"/>
  <c r="O449" i="13" s="1"/>
  <c r="N448" i="5"/>
  <c r="M448" i="5"/>
  <c r="L448" i="5"/>
  <c r="O448" i="13" s="1"/>
  <c r="N447" i="5"/>
  <c r="M447" i="5"/>
  <c r="L447" i="5"/>
  <c r="O447" i="13" s="1"/>
  <c r="N446" i="5"/>
  <c r="M446" i="5"/>
  <c r="L446" i="5"/>
  <c r="O446" i="13" s="1"/>
  <c r="N445" i="5"/>
  <c r="M445" i="5"/>
  <c r="L445" i="5"/>
  <c r="O445" i="13" s="1"/>
  <c r="N444" i="5"/>
  <c r="M444" i="5"/>
  <c r="L444" i="5"/>
  <c r="O444" i="13" s="1"/>
  <c r="N443" i="5"/>
  <c r="M443" i="5"/>
  <c r="L443" i="5"/>
  <c r="O443" i="13" s="1"/>
  <c r="N442" i="5"/>
  <c r="M442" i="5"/>
  <c r="L442" i="5"/>
  <c r="O442" i="13" s="1"/>
  <c r="N441" i="5"/>
  <c r="M441" i="5"/>
  <c r="L441" i="5"/>
  <c r="O441" i="13" s="1"/>
  <c r="N440" i="5"/>
  <c r="M440" i="5"/>
  <c r="L440" i="5"/>
  <c r="O440" i="13" s="1"/>
  <c r="N439" i="5"/>
  <c r="M439" i="5"/>
  <c r="L439" i="5"/>
  <c r="O439" i="13" s="1"/>
  <c r="N438" i="5"/>
  <c r="M438" i="5"/>
  <c r="L438" i="5"/>
  <c r="O438" i="13" s="1"/>
  <c r="N437" i="5"/>
  <c r="M437" i="5"/>
  <c r="L437" i="5"/>
  <c r="O437" i="13" s="1"/>
  <c r="N436" i="5"/>
  <c r="M436" i="5"/>
  <c r="L436" i="5"/>
  <c r="O436" i="13" s="1"/>
  <c r="N435" i="5"/>
  <c r="M435" i="5"/>
  <c r="L435" i="5"/>
  <c r="O435" i="13" s="1"/>
  <c r="N434" i="5"/>
  <c r="M434" i="5"/>
  <c r="L434" i="5"/>
  <c r="O434" i="13" s="1"/>
  <c r="N433" i="5"/>
  <c r="M433" i="5"/>
  <c r="L433" i="5"/>
  <c r="O433" i="13" s="1"/>
  <c r="N432" i="5"/>
  <c r="M432" i="5"/>
  <c r="L432" i="5"/>
  <c r="O432" i="13" s="1"/>
  <c r="N431" i="5"/>
  <c r="M431" i="5"/>
  <c r="L431" i="5"/>
  <c r="O431" i="13" s="1"/>
  <c r="N430" i="5"/>
  <c r="M430" i="5"/>
  <c r="L430" i="5"/>
  <c r="O430" i="13" s="1"/>
  <c r="N429" i="5"/>
  <c r="M429" i="5"/>
  <c r="L429" i="5"/>
  <c r="O429" i="13" s="1"/>
  <c r="N428" i="5"/>
  <c r="M428" i="5"/>
  <c r="L428" i="5"/>
  <c r="O428" i="13" s="1"/>
  <c r="N427" i="5"/>
  <c r="M427" i="5"/>
  <c r="L427" i="5"/>
  <c r="O427" i="13" s="1"/>
  <c r="N426" i="5"/>
  <c r="M426" i="5"/>
  <c r="L426" i="5"/>
  <c r="O426" i="13" s="1"/>
  <c r="N425" i="5"/>
  <c r="M425" i="5"/>
  <c r="L425" i="5"/>
  <c r="O425" i="13" s="1"/>
  <c r="N424" i="5"/>
  <c r="M424" i="5"/>
  <c r="L424" i="5"/>
  <c r="O424" i="13" s="1"/>
  <c r="N423" i="5"/>
  <c r="M423" i="5"/>
  <c r="L423" i="5"/>
  <c r="O423" i="13" s="1"/>
  <c r="N422" i="5"/>
  <c r="M422" i="5"/>
  <c r="L422" i="5"/>
  <c r="O422" i="13" s="1"/>
  <c r="N421" i="5"/>
  <c r="M421" i="5"/>
  <c r="L421" i="5"/>
  <c r="O421" i="13" s="1"/>
  <c r="N420" i="5"/>
  <c r="M420" i="5"/>
  <c r="L420" i="5"/>
  <c r="O420" i="13" s="1"/>
  <c r="N419" i="5"/>
  <c r="M419" i="5"/>
  <c r="L419" i="5"/>
  <c r="O419" i="13" s="1"/>
  <c r="N418" i="5"/>
  <c r="M418" i="5"/>
  <c r="L418" i="5"/>
  <c r="O418" i="13" s="1"/>
  <c r="N417" i="5"/>
  <c r="M417" i="5"/>
  <c r="L417" i="5"/>
  <c r="O417" i="13" s="1"/>
  <c r="N416" i="5"/>
  <c r="M416" i="5"/>
  <c r="L416" i="5"/>
  <c r="O416" i="13" s="1"/>
  <c r="N415" i="5"/>
  <c r="M415" i="5"/>
  <c r="L415" i="5"/>
  <c r="O415" i="13" s="1"/>
  <c r="N414" i="5"/>
  <c r="M414" i="5"/>
  <c r="L414" i="5"/>
  <c r="O414" i="13" s="1"/>
  <c r="N413" i="5"/>
  <c r="M413" i="5"/>
  <c r="L413" i="5"/>
  <c r="O413" i="13" s="1"/>
  <c r="N412" i="5"/>
  <c r="M412" i="5"/>
  <c r="L412" i="5"/>
  <c r="O412" i="13" s="1"/>
  <c r="N411" i="5"/>
  <c r="M411" i="5"/>
  <c r="L411" i="5"/>
  <c r="O411" i="13" s="1"/>
  <c r="N410" i="5"/>
  <c r="M410" i="5"/>
  <c r="L410" i="5"/>
  <c r="O410" i="13" s="1"/>
  <c r="N409" i="5"/>
  <c r="M409" i="5"/>
  <c r="L409" i="5"/>
  <c r="O409" i="13" s="1"/>
  <c r="N408" i="5"/>
  <c r="M408" i="5"/>
  <c r="L408" i="5"/>
  <c r="O408" i="13" s="1"/>
  <c r="N407" i="5"/>
  <c r="M407" i="5"/>
  <c r="L407" i="5"/>
  <c r="O407" i="13" s="1"/>
  <c r="N406" i="5"/>
  <c r="M406" i="5"/>
  <c r="L406" i="5"/>
  <c r="O406" i="13" s="1"/>
  <c r="N405" i="5"/>
  <c r="M405" i="5"/>
  <c r="L405" i="5"/>
  <c r="O405" i="13" s="1"/>
  <c r="N404" i="5"/>
  <c r="M404" i="5"/>
  <c r="L404" i="5"/>
  <c r="O404" i="13" s="1"/>
  <c r="N403" i="5"/>
  <c r="M403" i="5"/>
  <c r="L403" i="5"/>
  <c r="O403" i="13" s="1"/>
  <c r="N402" i="5"/>
  <c r="M402" i="5"/>
  <c r="L402" i="5"/>
  <c r="O402" i="13" s="1"/>
  <c r="N401" i="5"/>
  <c r="M401" i="5"/>
  <c r="L401" i="5"/>
  <c r="O401" i="13" s="1"/>
  <c r="N400" i="5"/>
  <c r="M400" i="5"/>
  <c r="L400" i="5"/>
  <c r="O400" i="13" s="1"/>
  <c r="N399" i="5"/>
  <c r="M399" i="5"/>
  <c r="L399" i="5"/>
  <c r="O399" i="13" s="1"/>
  <c r="N398" i="5"/>
  <c r="M398" i="5"/>
  <c r="L398" i="5"/>
  <c r="O398" i="13" s="1"/>
  <c r="N397" i="5"/>
  <c r="M397" i="5"/>
  <c r="L397" i="5"/>
  <c r="O397" i="13" s="1"/>
  <c r="N396" i="5"/>
  <c r="M396" i="5"/>
  <c r="L396" i="5"/>
  <c r="O396" i="13" s="1"/>
  <c r="N395" i="5"/>
  <c r="M395" i="5"/>
  <c r="L395" i="5"/>
  <c r="O395" i="13" s="1"/>
  <c r="N394" i="5"/>
  <c r="M394" i="5"/>
  <c r="L394" i="5"/>
  <c r="O394" i="13" s="1"/>
  <c r="N393" i="5"/>
  <c r="M393" i="5"/>
  <c r="L393" i="5"/>
  <c r="O393" i="13" s="1"/>
  <c r="N392" i="5"/>
  <c r="M392" i="5"/>
  <c r="L392" i="5"/>
  <c r="O392" i="13" s="1"/>
  <c r="N391" i="5"/>
  <c r="M391" i="5"/>
  <c r="L391" i="5"/>
  <c r="O391" i="13" s="1"/>
  <c r="N390" i="5"/>
  <c r="M390" i="5"/>
  <c r="L390" i="5"/>
  <c r="O390" i="13" s="1"/>
  <c r="N389" i="5"/>
  <c r="M389" i="5"/>
  <c r="L389" i="5"/>
  <c r="O389" i="13" s="1"/>
  <c r="N388" i="5"/>
  <c r="M388" i="5"/>
  <c r="L388" i="5"/>
  <c r="O388" i="13" s="1"/>
  <c r="N387" i="5"/>
  <c r="M387" i="5"/>
  <c r="L387" i="5"/>
  <c r="O387" i="13" s="1"/>
  <c r="N386" i="5"/>
  <c r="M386" i="5"/>
  <c r="L386" i="5"/>
  <c r="O386" i="13" s="1"/>
  <c r="N385" i="5"/>
  <c r="M385" i="5"/>
  <c r="L385" i="5"/>
  <c r="O385" i="13" s="1"/>
  <c r="N384" i="5"/>
  <c r="M384" i="5"/>
  <c r="L384" i="5"/>
  <c r="O384" i="13" s="1"/>
  <c r="N383" i="5"/>
  <c r="M383" i="5"/>
  <c r="L383" i="5"/>
  <c r="O383" i="13" s="1"/>
  <c r="N382" i="5"/>
  <c r="M382" i="5"/>
  <c r="L382" i="5"/>
  <c r="O382" i="13" s="1"/>
  <c r="N381" i="5"/>
  <c r="M381" i="5"/>
  <c r="L381" i="5"/>
  <c r="O381" i="13" s="1"/>
  <c r="N380" i="5"/>
  <c r="M380" i="5"/>
  <c r="L380" i="5"/>
  <c r="O380" i="13" s="1"/>
  <c r="N379" i="5"/>
  <c r="M379" i="5"/>
  <c r="L379" i="5"/>
  <c r="O379" i="13" s="1"/>
  <c r="N378" i="5"/>
  <c r="M378" i="5"/>
  <c r="L378" i="5"/>
  <c r="O378" i="13" s="1"/>
  <c r="N377" i="5"/>
  <c r="M377" i="5"/>
  <c r="L377" i="5"/>
  <c r="O377" i="13" s="1"/>
  <c r="N376" i="5"/>
  <c r="M376" i="5"/>
  <c r="L376" i="5"/>
  <c r="O376" i="13" s="1"/>
  <c r="N375" i="5"/>
  <c r="M375" i="5"/>
  <c r="L375" i="5"/>
  <c r="O375" i="13" s="1"/>
  <c r="N374" i="5"/>
  <c r="M374" i="5"/>
  <c r="L374" i="5"/>
  <c r="O374" i="13" s="1"/>
  <c r="N373" i="5"/>
  <c r="M373" i="5"/>
  <c r="L373" i="5"/>
  <c r="O373" i="13" s="1"/>
  <c r="N372" i="5"/>
  <c r="M372" i="5"/>
  <c r="L372" i="5"/>
  <c r="O372" i="13" s="1"/>
  <c r="N371" i="5"/>
  <c r="M371" i="5"/>
  <c r="L371" i="5"/>
  <c r="O371" i="13" s="1"/>
  <c r="N370" i="5"/>
  <c r="M370" i="5"/>
  <c r="L370" i="5"/>
  <c r="O370" i="13" s="1"/>
  <c r="N369" i="5"/>
  <c r="M369" i="5"/>
  <c r="L369" i="5"/>
  <c r="O369" i="13" s="1"/>
  <c r="N368" i="5"/>
  <c r="M368" i="5"/>
  <c r="L368" i="5"/>
  <c r="O368" i="13" s="1"/>
  <c r="N367" i="5"/>
  <c r="M367" i="5"/>
  <c r="L367" i="5"/>
  <c r="O367" i="13" s="1"/>
  <c r="N366" i="5"/>
  <c r="M366" i="5"/>
  <c r="L366" i="5"/>
  <c r="O366" i="13" s="1"/>
  <c r="N365" i="5"/>
  <c r="M365" i="5"/>
  <c r="L365" i="5"/>
  <c r="O365" i="13" s="1"/>
  <c r="N364" i="5"/>
  <c r="M364" i="5"/>
  <c r="L364" i="5"/>
  <c r="O364" i="13" s="1"/>
  <c r="N363" i="5"/>
  <c r="M363" i="5"/>
  <c r="L363" i="5"/>
  <c r="O363" i="13" s="1"/>
  <c r="N362" i="5"/>
  <c r="M362" i="5"/>
  <c r="L362" i="5"/>
  <c r="O362" i="13" s="1"/>
  <c r="N361" i="5"/>
  <c r="M361" i="5"/>
  <c r="L361" i="5"/>
  <c r="O361" i="13" s="1"/>
  <c r="N360" i="5"/>
  <c r="M360" i="5"/>
  <c r="L360" i="5"/>
  <c r="O360" i="13" s="1"/>
  <c r="N359" i="5"/>
  <c r="M359" i="5"/>
  <c r="L359" i="5"/>
  <c r="O359" i="13" s="1"/>
  <c r="N358" i="5"/>
  <c r="M358" i="5"/>
  <c r="L358" i="5"/>
  <c r="O358" i="13" s="1"/>
  <c r="N357" i="5"/>
  <c r="M357" i="5"/>
  <c r="L357" i="5"/>
  <c r="O357" i="13" s="1"/>
  <c r="N356" i="5"/>
  <c r="M356" i="5"/>
  <c r="L356" i="5"/>
  <c r="O356" i="13" s="1"/>
  <c r="N355" i="5"/>
  <c r="M355" i="5"/>
  <c r="L355" i="5"/>
  <c r="O355" i="13" s="1"/>
  <c r="N354" i="5"/>
  <c r="M354" i="5"/>
  <c r="L354" i="5"/>
  <c r="O354" i="13" s="1"/>
  <c r="N353" i="5"/>
  <c r="M353" i="5"/>
  <c r="L353" i="5"/>
  <c r="O353" i="13" s="1"/>
  <c r="N352" i="5"/>
  <c r="M352" i="5"/>
  <c r="L352" i="5"/>
  <c r="O352" i="13" s="1"/>
  <c r="N351" i="5"/>
  <c r="M351" i="5"/>
  <c r="L351" i="5"/>
  <c r="O351" i="13" s="1"/>
  <c r="N350" i="5"/>
  <c r="M350" i="5"/>
  <c r="L350" i="5"/>
  <c r="O350" i="13" s="1"/>
  <c r="N349" i="5"/>
  <c r="M349" i="5"/>
  <c r="L349" i="5"/>
  <c r="O349" i="13" s="1"/>
  <c r="N348" i="5"/>
  <c r="M348" i="5"/>
  <c r="L348" i="5"/>
  <c r="O348" i="13" s="1"/>
  <c r="N347" i="5"/>
  <c r="M347" i="5"/>
  <c r="L347" i="5"/>
  <c r="O347" i="13" s="1"/>
  <c r="N346" i="5"/>
  <c r="M346" i="5"/>
  <c r="L346" i="5"/>
  <c r="O346" i="13" s="1"/>
  <c r="N345" i="5"/>
  <c r="M345" i="5"/>
  <c r="L345" i="5"/>
  <c r="O345" i="13" s="1"/>
  <c r="N344" i="5"/>
  <c r="M344" i="5"/>
  <c r="L344" i="5"/>
  <c r="O344" i="13" s="1"/>
  <c r="N343" i="5"/>
  <c r="M343" i="5"/>
  <c r="L343" i="5"/>
  <c r="O343" i="13" s="1"/>
  <c r="N342" i="5"/>
  <c r="M342" i="5"/>
  <c r="L342" i="5"/>
  <c r="O342" i="13" s="1"/>
  <c r="N341" i="5"/>
  <c r="M341" i="5"/>
  <c r="L341" i="5"/>
  <c r="O341" i="13" s="1"/>
  <c r="N340" i="5"/>
  <c r="M340" i="5"/>
  <c r="L340" i="5"/>
  <c r="O340" i="13" s="1"/>
  <c r="N339" i="5"/>
  <c r="M339" i="5"/>
  <c r="L339" i="5"/>
  <c r="O339" i="13" s="1"/>
  <c r="N338" i="5"/>
  <c r="M338" i="5"/>
  <c r="L338" i="5"/>
  <c r="O338" i="13" s="1"/>
  <c r="N337" i="5"/>
  <c r="M337" i="5"/>
  <c r="L337" i="5"/>
  <c r="O337" i="13" s="1"/>
  <c r="N336" i="5"/>
  <c r="M336" i="5"/>
  <c r="L336" i="5"/>
  <c r="O336" i="13" s="1"/>
  <c r="N335" i="5"/>
  <c r="M335" i="5"/>
  <c r="L335" i="5"/>
  <c r="O335" i="13" s="1"/>
  <c r="N334" i="5"/>
  <c r="M334" i="5"/>
  <c r="L334" i="5"/>
  <c r="O334" i="13" s="1"/>
  <c r="N333" i="5"/>
  <c r="M333" i="5"/>
  <c r="L333" i="5"/>
  <c r="O333" i="13" s="1"/>
  <c r="N332" i="5"/>
  <c r="M332" i="5"/>
  <c r="L332" i="5"/>
  <c r="O332" i="13" s="1"/>
  <c r="N331" i="5"/>
  <c r="M331" i="5"/>
  <c r="L331" i="5"/>
  <c r="O331" i="13" s="1"/>
  <c r="N330" i="5"/>
  <c r="M330" i="5"/>
  <c r="L330" i="5"/>
  <c r="O330" i="13" s="1"/>
  <c r="N329" i="5"/>
  <c r="M329" i="5"/>
  <c r="L329" i="5"/>
  <c r="O329" i="13" s="1"/>
  <c r="N328" i="5"/>
  <c r="M328" i="5"/>
  <c r="L328" i="5"/>
  <c r="O328" i="13" s="1"/>
  <c r="N327" i="5"/>
  <c r="M327" i="5"/>
  <c r="L327" i="5"/>
  <c r="O327" i="13" s="1"/>
  <c r="N326" i="5"/>
  <c r="M326" i="5"/>
  <c r="L326" i="5"/>
  <c r="O326" i="13" s="1"/>
  <c r="N325" i="5"/>
  <c r="M325" i="5"/>
  <c r="L325" i="5"/>
  <c r="O325" i="13" s="1"/>
  <c r="N324" i="5"/>
  <c r="M324" i="5"/>
  <c r="L324" i="5"/>
  <c r="O324" i="13" s="1"/>
  <c r="N323" i="5"/>
  <c r="M323" i="5"/>
  <c r="L323" i="5"/>
  <c r="O323" i="13" s="1"/>
  <c r="N322" i="5"/>
  <c r="M322" i="5"/>
  <c r="L322" i="5"/>
  <c r="O322" i="13" s="1"/>
  <c r="N321" i="5"/>
  <c r="M321" i="5"/>
  <c r="L321" i="5"/>
  <c r="O321" i="13" s="1"/>
  <c r="N320" i="5"/>
  <c r="M320" i="5"/>
  <c r="L320" i="5"/>
  <c r="O320" i="13" s="1"/>
  <c r="N319" i="5"/>
  <c r="M319" i="5"/>
  <c r="L319" i="5"/>
  <c r="O319" i="13" s="1"/>
  <c r="N318" i="5"/>
  <c r="M318" i="5"/>
  <c r="L318" i="5"/>
  <c r="O318" i="13" s="1"/>
  <c r="N317" i="5"/>
  <c r="M317" i="5"/>
  <c r="L317" i="5"/>
  <c r="O317" i="13" s="1"/>
  <c r="N316" i="5"/>
  <c r="M316" i="5"/>
  <c r="L316" i="5"/>
  <c r="O316" i="13" s="1"/>
  <c r="N315" i="5"/>
  <c r="M315" i="5"/>
  <c r="L315" i="5"/>
  <c r="O315" i="13" s="1"/>
  <c r="N314" i="5"/>
  <c r="M314" i="5"/>
  <c r="L314" i="5"/>
  <c r="O314" i="13" s="1"/>
  <c r="N313" i="5"/>
  <c r="M313" i="5"/>
  <c r="L313" i="5"/>
  <c r="O313" i="13" s="1"/>
  <c r="N312" i="5"/>
  <c r="M312" i="5"/>
  <c r="L312" i="5"/>
  <c r="O312" i="13" s="1"/>
  <c r="N311" i="5"/>
  <c r="M311" i="5"/>
  <c r="L311" i="5"/>
  <c r="O311" i="13" s="1"/>
  <c r="N310" i="5"/>
  <c r="M310" i="5"/>
  <c r="L310" i="5"/>
  <c r="O310" i="13" s="1"/>
  <c r="N309" i="5"/>
  <c r="M309" i="5"/>
  <c r="L309" i="5"/>
  <c r="O309" i="13" s="1"/>
  <c r="N308" i="5"/>
  <c r="M308" i="5"/>
  <c r="L308" i="5"/>
  <c r="O308" i="13" s="1"/>
  <c r="N307" i="5"/>
  <c r="M307" i="5"/>
  <c r="L307" i="5"/>
  <c r="O307" i="13" s="1"/>
  <c r="N306" i="5"/>
  <c r="M306" i="5"/>
  <c r="L306" i="5"/>
  <c r="O306" i="13" s="1"/>
  <c r="N305" i="5"/>
  <c r="M305" i="5"/>
  <c r="L305" i="5"/>
  <c r="O305" i="13" s="1"/>
  <c r="N304" i="5"/>
  <c r="M304" i="5"/>
  <c r="L304" i="5"/>
  <c r="O304" i="13" s="1"/>
  <c r="N303" i="5"/>
  <c r="M303" i="5"/>
  <c r="L303" i="5"/>
  <c r="O303" i="13" s="1"/>
  <c r="N302" i="5"/>
  <c r="M302" i="5"/>
  <c r="L302" i="5"/>
  <c r="O302" i="13" s="1"/>
  <c r="N301" i="5"/>
  <c r="M301" i="5"/>
  <c r="L301" i="5"/>
  <c r="O301" i="13" s="1"/>
  <c r="N300" i="5"/>
  <c r="M300" i="5"/>
  <c r="L300" i="5"/>
  <c r="O300" i="13" s="1"/>
  <c r="N299" i="5"/>
  <c r="M299" i="5"/>
  <c r="L299" i="5"/>
  <c r="O299" i="13" s="1"/>
  <c r="N298" i="5"/>
  <c r="M298" i="5"/>
  <c r="L298" i="5"/>
  <c r="O298" i="13" s="1"/>
  <c r="N297" i="5"/>
  <c r="M297" i="5"/>
  <c r="L297" i="5"/>
  <c r="O297" i="13" s="1"/>
  <c r="N296" i="5"/>
  <c r="M296" i="5"/>
  <c r="L296" i="5"/>
  <c r="O296" i="13" s="1"/>
  <c r="N295" i="5"/>
  <c r="M295" i="5"/>
  <c r="L295" i="5"/>
  <c r="O295" i="13" s="1"/>
  <c r="N294" i="5"/>
  <c r="M294" i="5"/>
  <c r="L294" i="5"/>
  <c r="O294" i="13" s="1"/>
  <c r="N293" i="5"/>
  <c r="M293" i="5"/>
  <c r="L293" i="5"/>
  <c r="O293" i="13" s="1"/>
  <c r="N292" i="5"/>
  <c r="M292" i="5"/>
  <c r="L292" i="5"/>
  <c r="O292" i="13" s="1"/>
  <c r="N291" i="5"/>
  <c r="M291" i="5"/>
  <c r="L291" i="5"/>
  <c r="O291" i="13" s="1"/>
  <c r="N290" i="5"/>
  <c r="M290" i="5"/>
  <c r="L290" i="5"/>
  <c r="O290" i="13" s="1"/>
  <c r="N289" i="5"/>
  <c r="M289" i="5"/>
  <c r="L289" i="5"/>
  <c r="O289" i="13" s="1"/>
  <c r="N288" i="5"/>
  <c r="M288" i="5"/>
  <c r="L288" i="5"/>
  <c r="O288" i="13" s="1"/>
  <c r="N287" i="5"/>
  <c r="M287" i="5"/>
  <c r="L287" i="5"/>
  <c r="O287" i="13" s="1"/>
  <c r="N286" i="5"/>
  <c r="M286" i="5"/>
  <c r="L286" i="5"/>
  <c r="O286" i="13" s="1"/>
  <c r="N285" i="5"/>
  <c r="M285" i="5"/>
  <c r="L285" i="5"/>
  <c r="O285" i="13" s="1"/>
  <c r="N284" i="5"/>
  <c r="M284" i="5"/>
  <c r="L284" i="5"/>
  <c r="O284" i="13" s="1"/>
  <c r="N283" i="5"/>
  <c r="M283" i="5"/>
  <c r="L283" i="5"/>
  <c r="O283" i="13" s="1"/>
  <c r="N282" i="5"/>
  <c r="M282" i="5"/>
  <c r="L282" i="5"/>
  <c r="O282" i="13" s="1"/>
  <c r="N281" i="5"/>
  <c r="M281" i="5"/>
  <c r="L281" i="5"/>
  <c r="O281" i="13" s="1"/>
  <c r="N280" i="5"/>
  <c r="M280" i="5"/>
  <c r="L280" i="5"/>
  <c r="O280" i="13" s="1"/>
  <c r="N279" i="5"/>
  <c r="M279" i="5"/>
  <c r="L279" i="5"/>
  <c r="O279" i="13" s="1"/>
  <c r="N278" i="5"/>
  <c r="M278" i="5"/>
  <c r="L278" i="5"/>
  <c r="O278" i="13" s="1"/>
  <c r="N277" i="5"/>
  <c r="M277" i="5"/>
  <c r="L277" i="5"/>
  <c r="O277" i="13" s="1"/>
  <c r="N276" i="5"/>
  <c r="M276" i="5"/>
  <c r="L276" i="5"/>
  <c r="O276" i="13" s="1"/>
  <c r="N275" i="5"/>
  <c r="M275" i="5"/>
  <c r="L275" i="5"/>
  <c r="O275" i="13" s="1"/>
  <c r="N274" i="5"/>
  <c r="M274" i="5"/>
  <c r="L274" i="5"/>
  <c r="O274" i="13" s="1"/>
  <c r="N273" i="5"/>
  <c r="M273" i="5"/>
  <c r="L273" i="5"/>
  <c r="O273" i="13" s="1"/>
  <c r="N272" i="5"/>
  <c r="M272" i="5"/>
  <c r="L272" i="5"/>
  <c r="O272" i="13" s="1"/>
  <c r="N271" i="5"/>
  <c r="M271" i="5"/>
  <c r="L271" i="5"/>
  <c r="O271" i="13" s="1"/>
  <c r="N270" i="5"/>
  <c r="M270" i="5"/>
  <c r="L270" i="5"/>
  <c r="O270" i="13" s="1"/>
  <c r="N269" i="5"/>
  <c r="M269" i="5"/>
  <c r="L269" i="5"/>
  <c r="O269" i="13" s="1"/>
  <c r="N268" i="5"/>
  <c r="M268" i="5"/>
  <c r="L268" i="5"/>
  <c r="O268" i="13" s="1"/>
  <c r="N267" i="5"/>
  <c r="M267" i="5"/>
  <c r="L267" i="5"/>
  <c r="O267" i="13" s="1"/>
  <c r="N266" i="5"/>
  <c r="M266" i="5"/>
  <c r="L266" i="5"/>
  <c r="O266" i="13" s="1"/>
  <c r="N265" i="5"/>
  <c r="M265" i="5"/>
  <c r="L265" i="5"/>
  <c r="O265" i="13" s="1"/>
  <c r="N264" i="5"/>
  <c r="M264" i="5"/>
  <c r="L264" i="5"/>
  <c r="O264" i="13" s="1"/>
  <c r="N263" i="5"/>
  <c r="M263" i="5"/>
  <c r="L263" i="5"/>
  <c r="O263" i="13" s="1"/>
  <c r="N262" i="5"/>
  <c r="M262" i="5"/>
  <c r="L262" i="5"/>
  <c r="O262" i="13" s="1"/>
  <c r="N261" i="5"/>
  <c r="M261" i="5"/>
  <c r="L261" i="5"/>
  <c r="O261" i="13" s="1"/>
  <c r="N260" i="5"/>
  <c r="M260" i="5"/>
  <c r="L260" i="5"/>
  <c r="O260" i="13" s="1"/>
  <c r="N259" i="5"/>
  <c r="M259" i="5"/>
  <c r="L259" i="5"/>
  <c r="O259" i="13" s="1"/>
  <c r="N258" i="5"/>
  <c r="M258" i="5"/>
  <c r="L258" i="5"/>
  <c r="O258" i="13" s="1"/>
  <c r="N257" i="5"/>
  <c r="M257" i="5"/>
  <c r="L257" i="5"/>
  <c r="O257" i="13" s="1"/>
  <c r="N256" i="5"/>
  <c r="M256" i="5"/>
  <c r="L256" i="5"/>
  <c r="O256" i="13" s="1"/>
  <c r="N255" i="5"/>
  <c r="M255" i="5"/>
  <c r="L255" i="5"/>
  <c r="O255" i="13" s="1"/>
  <c r="N254" i="5"/>
  <c r="M254" i="5"/>
  <c r="L254" i="5"/>
  <c r="O254" i="13" s="1"/>
  <c r="N253" i="5"/>
  <c r="M253" i="5"/>
  <c r="L253" i="5"/>
  <c r="O253" i="13" s="1"/>
  <c r="N252" i="5"/>
  <c r="M252" i="5"/>
  <c r="L252" i="5"/>
  <c r="O252" i="13" s="1"/>
  <c r="N251" i="5"/>
  <c r="M251" i="5"/>
  <c r="L251" i="5"/>
  <c r="O251" i="13" s="1"/>
  <c r="N250" i="5"/>
  <c r="M250" i="5"/>
  <c r="L250" i="5"/>
  <c r="O250" i="13" s="1"/>
  <c r="N249" i="5"/>
  <c r="M249" i="5"/>
  <c r="L249" i="5"/>
  <c r="O249" i="13" s="1"/>
  <c r="N248" i="5"/>
  <c r="M248" i="5"/>
  <c r="L248" i="5"/>
  <c r="O248" i="13" s="1"/>
  <c r="N247" i="5"/>
  <c r="M247" i="5"/>
  <c r="L247" i="5"/>
  <c r="O247" i="13" s="1"/>
  <c r="N246" i="5"/>
  <c r="M246" i="5"/>
  <c r="L246" i="5"/>
  <c r="O246" i="13" s="1"/>
  <c r="N245" i="5"/>
  <c r="M245" i="5"/>
  <c r="L245" i="5"/>
  <c r="O245" i="13" s="1"/>
  <c r="N244" i="5"/>
  <c r="M244" i="5"/>
  <c r="L244" i="5"/>
  <c r="O244" i="13" s="1"/>
  <c r="N243" i="5"/>
  <c r="M243" i="5"/>
  <c r="L243" i="5"/>
  <c r="O243" i="13" s="1"/>
  <c r="N242" i="5"/>
  <c r="M242" i="5"/>
  <c r="L242" i="5"/>
  <c r="O242" i="13" s="1"/>
  <c r="N241" i="5"/>
  <c r="M241" i="5"/>
  <c r="L241" i="5"/>
  <c r="O241" i="13" s="1"/>
  <c r="N240" i="5"/>
  <c r="M240" i="5"/>
  <c r="L240" i="5"/>
  <c r="O240" i="13" s="1"/>
  <c r="N239" i="5"/>
  <c r="M239" i="5"/>
  <c r="L239" i="5"/>
  <c r="O239" i="13" s="1"/>
  <c r="N238" i="5"/>
  <c r="M238" i="5"/>
  <c r="L238" i="5"/>
  <c r="O238" i="13" s="1"/>
  <c r="N237" i="5"/>
  <c r="M237" i="5"/>
  <c r="L237" i="5"/>
  <c r="O237" i="13" s="1"/>
  <c r="N236" i="5"/>
  <c r="M236" i="5"/>
  <c r="L236" i="5"/>
  <c r="O236" i="13" s="1"/>
  <c r="N235" i="5"/>
  <c r="M235" i="5"/>
  <c r="L235" i="5"/>
  <c r="O235" i="13" s="1"/>
  <c r="N234" i="5"/>
  <c r="M234" i="5"/>
  <c r="L234" i="5"/>
  <c r="O234" i="13" s="1"/>
  <c r="N233" i="5"/>
  <c r="M233" i="5"/>
  <c r="L233" i="5"/>
  <c r="O233" i="13" s="1"/>
  <c r="N232" i="5"/>
  <c r="M232" i="5"/>
  <c r="L232" i="5"/>
  <c r="O232" i="13" s="1"/>
  <c r="N231" i="5"/>
  <c r="M231" i="5"/>
  <c r="L231" i="5"/>
  <c r="O231" i="13" s="1"/>
  <c r="N230" i="5"/>
  <c r="M230" i="5"/>
  <c r="L230" i="5"/>
  <c r="O230" i="13" s="1"/>
  <c r="N229" i="5"/>
  <c r="M229" i="5"/>
  <c r="L229" i="5"/>
  <c r="O229" i="13" s="1"/>
  <c r="N228" i="5"/>
  <c r="M228" i="5"/>
  <c r="L228" i="5"/>
  <c r="O228" i="13" s="1"/>
  <c r="N227" i="5"/>
  <c r="M227" i="5"/>
  <c r="L227" i="5"/>
  <c r="O227" i="13" s="1"/>
  <c r="N226" i="5"/>
  <c r="M226" i="5"/>
  <c r="L226" i="5"/>
  <c r="O226" i="13" s="1"/>
  <c r="N225" i="5"/>
  <c r="M225" i="5"/>
  <c r="L225" i="5"/>
  <c r="O225" i="13" s="1"/>
  <c r="N224" i="5"/>
  <c r="M224" i="5"/>
  <c r="L224" i="5"/>
  <c r="O224" i="13" s="1"/>
  <c r="N223" i="5"/>
  <c r="M223" i="5"/>
  <c r="L223" i="5"/>
  <c r="O223" i="13" s="1"/>
  <c r="N222" i="5"/>
  <c r="M222" i="5"/>
  <c r="L222" i="5"/>
  <c r="O222" i="13" s="1"/>
  <c r="N221" i="5"/>
  <c r="M221" i="5"/>
  <c r="L221" i="5"/>
  <c r="O221" i="13" s="1"/>
  <c r="N220" i="5"/>
  <c r="M220" i="5"/>
  <c r="L220" i="5"/>
  <c r="O220" i="13" s="1"/>
  <c r="N219" i="5"/>
  <c r="M219" i="5"/>
  <c r="L219" i="5"/>
  <c r="O219" i="13" s="1"/>
  <c r="N218" i="5"/>
  <c r="M218" i="5"/>
  <c r="L218" i="5"/>
  <c r="O218" i="13" s="1"/>
  <c r="N217" i="5"/>
  <c r="M217" i="5"/>
  <c r="L217" i="5"/>
  <c r="O217" i="13" s="1"/>
  <c r="N216" i="5"/>
  <c r="M216" i="5"/>
  <c r="L216" i="5"/>
  <c r="O216" i="13" s="1"/>
  <c r="N215" i="5"/>
  <c r="M215" i="5"/>
  <c r="L215" i="5"/>
  <c r="O215" i="13" s="1"/>
  <c r="N214" i="5"/>
  <c r="M214" i="5"/>
  <c r="L214" i="5"/>
  <c r="O214" i="13" s="1"/>
  <c r="N213" i="5"/>
  <c r="M213" i="5"/>
  <c r="L213" i="5"/>
  <c r="O213" i="13" s="1"/>
  <c r="N212" i="5"/>
  <c r="M212" i="5"/>
  <c r="L212" i="5"/>
  <c r="O212" i="13" s="1"/>
  <c r="N211" i="5"/>
  <c r="M211" i="5"/>
  <c r="L211" i="5"/>
  <c r="O211" i="13" s="1"/>
  <c r="N210" i="5"/>
  <c r="M210" i="5"/>
  <c r="L210" i="5"/>
  <c r="O210" i="13" s="1"/>
  <c r="N209" i="5"/>
  <c r="M209" i="5"/>
  <c r="L209" i="5"/>
  <c r="O209" i="13" s="1"/>
  <c r="N208" i="5"/>
  <c r="M208" i="5"/>
  <c r="L208" i="5"/>
  <c r="O208" i="13" s="1"/>
  <c r="N207" i="5"/>
  <c r="M207" i="5"/>
  <c r="L207" i="5"/>
  <c r="O207" i="13" s="1"/>
  <c r="N206" i="5"/>
  <c r="M206" i="5"/>
  <c r="L206" i="5"/>
  <c r="O206" i="13" s="1"/>
  <c r="N205" i="5"/>
  <c r="M205" i="5"/>
  <c r="L205" i="5"/>
  <c r="O205" i="13" s="1"/>
  <c r="N204" i="5"/>
  <c r="M204" i="5"/>
  <c r="L204" i="5"/>
  <c r="O204" i="13" s="1"/>
  <c r="N203" i="5"/>
  <c r="M203" i="5"/>
  <c r="L203" i="5"/>
  <c r="O203" i="13" s="1"/>
  <c r="N202" i="5"/>
  <c r="M202" i="5"/>
  <c r="L202" i="5"/>
  <c r="O202" i="13" s="1"/>
  <c r="N201" i="5"/>
  <c r="M201" i="5"/>
  <c r="L201" i="5"/>
  <c r="O201" i="13" s="1"/>
  <c r="N200" i="5"/>
  <c r="M200" i="5"/>
  <c r="L200" i="5"/>
  <c r="O200" i="13" s="1"/>
  <c r="N199" i="5"/>
  <c r="M199" i="5"/>
  <c r="L199" i="5"/>
  <c r="O199" i="13" s="1"/>
  <c r="N198" i="5"/>
  <c r="M198" i="5"/>
  <c r="L198" i="5"/>
  <c r="O198" i="13" s="1"/>
  <c r="N197" i="5"/>
  <c r="M197" i="5"/>
  <c r="L197" i="5"/>
  <c r="O197" i="13" s="1"/>
  <c r="N196" i="5"/>
  <c r="M196" i="5"/>
  <c r="L196" i="5"/>
  <c r="O196" i="13" s="1"/>
  <c r="N195" i="5"/>
  <c r="M195" i="5"/>
  <c r="L195" i="5"/>
  <c r="O195" i="13" s="1"/>
  <c r="N194" i="5"/>
  <c r="M194" i="5"/>
  <c r="L194" i="5"/>
  <c r="O194" i="13" s="1"/>
  <c r="N193" i="5"/>
  <c r="M193" i="5"/>
  <c r="L193" i="5"/>
  <c r="O193" i="13" s="1"/>
  <c r="N192" i="5"/>
  <c r="M192" i="5"/>
  <c r="L192" i="5"/>
  <c r="O192" i="13" s="1"/>
  <c r="N191" i="5"/>
  <c r="M191" i="5"/>
  <c r="L191" i="5"/>
  <c r="O191" i="13" s="1"/>
  <c r="N190" i="5"/>
  <c r="M190" i="5"/>
  <c r="L190" i="5"/>
  <c r="O190" i="13" s="1"/>
  <c r="N189" i="5"/>
  <c r="M189" i="5"/>
  <c r="L189" i="5"/>
  <c r="O189" i="13" s="1"/>
  <c r="N188" i="5"/>
  <c r="M188" i="5"/>
  <c r="L188" i="5"/>
  <c r="O188" i="13" s="1"/>
  <c r="N187" i="5"/>
  <c r="M187" i="5"/>
  <c r="L187" i="5"/>
  <c r="O187" i="13" s="1"/>
  <c r="N186" i="5"/>
  <c r="M186" i="5"/>
  <c r="L186" i="5"/>
  <c r="O186" i="13" s="1"/>
  <c r="N185" i="5"/>
  <c r="M185" i="5"/>
  <c r="L185" i="5"/>
  <c r="O185" i="13" s="1"/>
  <c r="N184" i="5"/>
  <c r="M184" i="5"/>
  <c r="L184" i="5"/>
  <c r="O184" i="13" s="1"/>
  <c r="N183" i="5"/>
  <c r="M183" i="5"/>
  <c r="L183" i="5"/>
  <c r="O183" i="13" s="1"/>
  <c r="N182" i="5"/>
  <c r="M182" i="5"/>
  <c r="L182" i="5"/>
  <c r="O182" i="13" s="1"/>
  <c r="N181" i="5"/>
  <c r="M181" i="5"/>
  <c r="L181" i="5"/>
  <c r="O181" i="13" s="1"/>
  <c r="N180" i="5"/>
  <c r="M180" i="5"/>
  <c r="L180" i="5"/>
  <c r="O180" i="13" s="1"/>
  <c r="N179" i="5"/>
  <c r="M179" i="5"/>
  <c r="L179" i="5"/>
  <c r="O179" i="13" s="1"/>
  <c r="N178" i="5"/>
  <c r="M178" i="5"/>
  <c r="L178" i="5"/>
  <c r="O178" i="13" s="1"/>
  <c r="N177" i="5"/>
  <c r="M177" i="5"/>
  <c r="L177" i="5"/>
  <c r="O177" i="13" s="1"/>
  <c r="N176" i="5"/>
  <c r="M176" i="5"/>
  <c r="L176" i="5"/>
  <c r="O176" i="13" s="1"/>
  <c r="N175" i="5"/>
  <c r="M175" i="5"/>
  <c r="L175" i="5"/>
  <c r="O175" i="13" s="1"/>
  <c r="N174" i="5"/>
  <c r="M174" i="5"/>
  <c r="L174" i="5"/>
  <c r="O174" i="13" s="1"/>
  <c r="N173" i="5"/>
  <c r="M173" i="5"/>
  <c r="L173" i="5"/>
  <c r="O173" i="13" s="1"/>
  <c r="N172" i="5"/>
  <c r="M172" i="5"/>
  <c r="L172" i="5"/>
  <c r="O172" i="13" s="1"/>
  <c r="N171" i="5"/>
  <c r="M171" i="5"/>
  <c r="L171" i="5"/>
  <c r="O171" i="13" s="1"/>
  <c r="N170" i="5"/>
  <c r="M170" i="5"/>
  <c r="L170" i="5"/>
  <c r="O170" i="13" s="1"/>
  <c r="N169" i="5"/>
  <c r="M169" i="5"/>
  <c r="L169" i="5"/>
  <c r="O169" i="13" s="1"/>
  <c r="N168" i="5"/>
  <c r="M168" i="5"/>
  <c r="L168" i="5"/>
  <c r="O168" i="13" s="1"/>
  <c r="N167" i="5"/>
  <c r="M167" i="5"/>
  <c r="L167" i="5"/>
  <c r="O167" i="13" s="1"/>
  <c r="N166" i="5"/>
  <c r="M166" i="5"/>
  <c r="L166" i="5"/>
  <c r="O166" i="13" s="1"/>
  <c r="N165" i="5"/>
  <c r="M165" i="5"/>
  <c r="L165" i="5"/>
  <c r="O165" i="13" s="1"/>
  <c r="N164" i="5"/>
  <c r="M164" i="5"/>
  <c r="L164" i="5"/>
  <c r="O164" i="13" s="1"/>
  <c r="N163" i="5"/>
  <c r="M163" i="5"/>
  <c r="L163" i="5"/>
  <c r="O163" i="13" s="1"/>
  <c r="N162" i="5"/>
  <c r="M162" i="5"/>
  <c r="L162" i="5"/>
  <c r="O162" i="13" s="1"/>
  <c r="N161" i="5"/>
  <c r="M161" i="5"/>
  <c r="L161" i="5"/>
  <c r="O161" i="13" s="1"/>
  <c r="N160" i="5"/>
  <c r="M160" i="5"/>
  <c r="L160" i="5"/>
  <c r="O160" i="13" s="1"/>
  <c r="N159" i="5"/>
  <c r="M159" i="5"/>
  <c r="L159" i="5"/>
  <c r="O159" i="13" s="1"/>
  <c r="N158" i="5"/>
  <c r="M158" i="5"/>
  <c r="L158" i="5"/>
  <c r="O158" i="13" s="1"/>
  <c r="N157" i="5"/>
  <c r="M157" i="5"/>
  <c r="L157" i="5"/>
  <c r="O157" i="13" s="1"/>
  <c r="N156" i="5"/>
  <c r="M156" i="5"/>
  <c r="L156" i="5"/>
  <c r="O156" i="13" s="1"/>
  <c r="N155" i="5"/>
  <c r="M155" i="5"/>
  <c r="L155" i="5"/>
  <c r="O155" i="13" s="1"/>
  <c r="N154" i="5"/>
  <c r="M154" i="5"/>
  <c r="L154" i="5"/>
  <c r="O154" i="13" s="1"/>
  <c r="N153" i="5"/>
  <c r="M153" i="5"/>
  <c r="L153" i="5"/>
  <c r="O153" i="13" s="1"/>
  <c r="N152" i="5"/>
  <c r="M152" i="5"/>
  <c r="L152" i="5"/>
  <c r="O152" i="13" s="1"/>
  <c r="N151" i="5"/>
  <c r="M151" i="5"/>
  <c r="L151" i="5"/>
  <c r="O151" i="13" s="1"/>
  <c r="N150" i="5"/>
  <c r="M150" i="5"/>
  <c r="L150" i="5"/>
  <c r="O150" i="13" s="1"/>
  <c r="N149" i="5"/>
  <c r="M149" i="5"/>
  <c r="L149" i="5"/>
  <c r="O149" i="13" s="1"/>
  <c r="N148" i="5"/>
  <c r="M148" i="5"/>
  <c r="L148" i="5"/>
  <c r="O148" i="13" s="1"/>
  <c r="N147" i="5"/>
  <c r="M147" i="5"/>
  <c r="L147" i="5"/>
  <c r="O147" i="13" s="1"/>
  <c r="N146" i="5"/>
  <c r="M146" i="5"/>
  <c r="L146" i="5"/>
  <c r="O146" i="13" s="1"/>
  <c r="N145" i="5"/>
  <c r="M145" i="5"/>
  <c r="L145" i="5"/>
  <c r="O145" i="13" s="1"/>
  <c r="N144" i="5"/>
  <c r="M144" i="5"/>
  <c r="L144" i="5"/>
  <c r="O144" i="13" s="1"/>
  <c r="N143" i="5"/>
  <c r="M143" i="5"/>
  <c r="L143" i="5"/>
  <c r="O143" i="13" s="1"/>
  <c r="N142" i="5"/>
  <c r="M142" i="5"/>
  <c r="L142" i="5"/>
  <c r="O142" i="13" s="1"/>
  <c r="N141" i="5"/>
  <c r="M141" i="5"/>
  <c r="L141" i="5"/>
  <c r="O141" i="13" s="1"/>
  <c r="N140" i="5"/>
  <c r="M140" i="5"/>
  <c r="L140" i="5"/>
  <c r="O140" i="13" s="1"/>
  <c r="N139" i="5"/>
  <c r="M139" i="5"/>
  <c r="L139" i="5"/>
  <c r="O139" i="13" s="1"/>
  <c r="N138" i="5"/>
  <c r="M138" i="5"/>
  <c r="L138" i="5"/>
  <c r="O138" i="13" s="1"/>
  <c r="N137" i="5"/>
  <c r="M137" i="5"/>
  <c r="L137" i="5"/>
  <c r="O137" i="13" s="1"/>
  <c r="N136" i="5"/>
  <c r="M136" i="5"/>
  <c r="L136" i="5"/>
  <c r="O136" i="13" s="1"/>
  <c r="N135" i="5"/>
  <c r="M135" i="5"/>
  <c r="L135" i="5"/>
  <c r="O135" i="13" s="1"/>
  <c r="N134" i="5"/>
  <c r="M134" i="5"/>
  <c r="L134" i="5"/>
  <c r="O134" i="13" s="1"/>
  <c r="N133" i="5"/>
  <c r="M133" i="5"/>
  <c r="L133" i="5"/>
  <c r="O133" i="13" s="1"/>
  <c r="N132" i="5"/>
  <c r="M132" i="5"/>
  <c r="L132" i="5"/>
  <c r="O132" i="13" s="1"/>
  <c r="N131" i="5"/>
  <c r="M131" i="5"/>
  <c r="L131" i="5"/>
  <c r="O131" i="13" s="1"/>
  <c r="N130" i="5"/>
  <c r="M130" i="5"/>
  <c r="L130" i="5"/>
  <c r="O130" i="13" s="1"/>
  <c r="N129" i="5"/>
  <c r="M129" i="5"/>
  <c r="L129" i="5"/>
  <c r="O129" i="13" s="1"/>
  <c r="N128" i="5"/>
  <c r="M128" i="5"/>
  <c r="L128" i="5"/>
  <c r="O128" i="13" s="1"/>
  <c r="N127" i="5"/>
  <c r="M127" i="5"/>
  <c r="L127" i="5"/>
  <c r="O127" i="13" s="1"/>
  <c r="N126" i="5"/>
  <c r="M126" i="5"/>
  <c r="L126" i="5"/>
  <c r="O126" i="13" s="1"/>
  <c r="N125" i="5"/>
  <c r="M125" i="5"/>
  <c r="L125" i="5"/>
  <c r="O125" i="13" s="1"/>
  <c r="N124" i="5"/>
  <c r="M124" i="5"/>
  <c r="L124" i="5"/>
  <c r="O124" i="13" s="1"/>
  <c r="N123" i="5"/>
  <c r="M123" i="5"/>
  <c r="L123" i="5"/>
  <c r="O123" i="13" s="1"/>
  <c r="N122" i="5"/>
  <c r="M122" i="5"/>
  <c r="L122" i="5"/>
  <c r="O122" i="13" s="1"/>
  <c r="N121" i="5"/>
  <c r="M121" i="5"/>
  <c r="L121" i="5"/>
  <c r="O121" i="13" s="1"/>
  <c r="N120" i="5"/>
  <c r="M120" i="5"/>
  <c r="L120" i="5"/>
  <c r="O120" i="13" s="1"/>
  <c r="N119" i="5"/>
  <c r="M119" i="5"/>
  <c r="L119" i="5"/>
  <c r="O119" i="13" s="1"/>
  <c r="N118" i="5"/>
  <c r="M118" i="5"/>
  <c r="L118" i="5"/>
  <c r="O118" i="13" s="1"/>
  <c r="N117" i="5"/>
  <c r="M117" i="5"/>
  <c r="L117" i="5"/>
  <c r="O117" i="13" s="1"/>
  <c r="N116" i="5"/>
  <c r="M116" i="5"/>
  <c r="L116" i="5"/>
  <c r="O116" i="13" s="1"/>
  <c r="N115" i="5"/>
  <c r="M115" i="5"/>
  <c r="L115" i="5"/>
  <c r="O115" i="13" s="1"/>
  <c r="N114" i="5"/>
  <c r="M114" i="5"/>
  <c r="L114" i="5"/>
  <c r="O114" i="13" s="1"/>
  <c r="N113" i="5"/>
  <c r="M113" i="5"/>
  <c r="L113" i="5"/>
  <c r="O113" i="13" s="1"/>
  <c r="N112" i="5"/>
  <c r="M112" i="5"/>
  <c r="L112" i="5"/>
  <c r="O112" i="13" s="1"/>
  <c r="N111" i="5"/>
  <c r="M111" i="5"/>
  <c r="L111" i="5"/>
  <c r="O111" i="13" s="1"/>
  <c r="N110" i="5"/>
  <c r="M110" i="5"/>
  <c r="L110" i="5"/>
  <c r="O110" i="13" s="1"/>
  <c r="N109" i="5"/>
  <c r="M109" i="5"/>
  <c r="L109" i="5"/>
  <c r="O109" i="13" s="1"/>
  <c r="N108" i="5"/>
  <c r="M108" i="5"/>
  <c r="L108" i="5"/>
  <c r="O108" i="13" s="1"/>
  <c r="N107" i="5"/>
  <c r="M107" i="5"/>
  <c r="L107" i="5"/>
  <c r="O107" i="13" s="1"/>
  <c r="N106" i="5"/>
  <c r="M106" i="5"/>
  <c r="L106" i="5"/>
  <c r="O106" i="13" s="1"/>
  <c r="N105" i="5"/>
  <c r="M105" i="5"/>
  <c r="L105" i="5"/>
  <c r="O105" i="13" s="1"/>
  <c r="N104" i="5"/>
  <c r="M104" i="5"/>
  <c r="L104" i="5"/>
  <c r="O104" i="13" s="1"/>
  <c r="N103" i="5"/>
  <c r="M103" i="5"/>
  <c r="L103" i="5"/>
  <c r="O103" i="13" s="1"/>
  <c r="N102" i="5"/>
  <c r="M102" i="5"/>
  <c r="L102" i="5"/>
  <c r="O102" i="13" s="1"/>
  <c r="N101" i="5"/>
  <c r="M101" i="5"/>
  <c r="L101" i="5"/>
  <c r="O101" i="13" s="1"/>
  <c r="N100" i="5"/>
  <c r="M100" i="5"/>
  <c r="L100" i="5"/>
  <c r="O100" i="13" s="1"/>
  <c r="N99" i="5"/>
  <c r="M99" i="5"/>
  <c r="L99" i="5"/>
  <c r="O99" i="13" s="1"/>
  <c r="N98" i="5"/>
  <c r="M98" i="5"/>
  <c r="L98" i="5"/>
  <c r="O98" i="13" s="1"/>
  <c r="N97" i="5"/>
  <c r="M97" i="5"/>
  <c r="L97" i="5"/>
  <c r="O97" i="13" s="1"/>
  <c r="N96" i="5"/>
  <c r="M96" i="5"/>
  <c r="L96" i="5"/>
  <c r="O96" i="13" s="1"/>
  <c r="N95" i="5"/>
  <c r="M95" i="5"/>
  <c r="L95" i="5"/>
  <c r="O95" i="13" s="1"/>
  <c r="N94" i="5"/>
  <c r="M94" i="5"/>
  <c r="L94" i="5"/>
  <c r="O94" i="13" s="1"/>
  <c r="N93" i="5"/>
  <c r="M93" i="5"/>
  <c r="L93" i="5"/>
  <c r="O93" i="13" s="1"/>
  <c r="N92" i="5"/>
  <c r="M92" i="5"/>
  <c r="L92" i="5"/>
  <c r="O92" i="13" s="1"/>
  <c r="N91" i="5"/>
  <c r="M91" i="5"/>
  <c r="L91" i="5"/>
  <c r="O91" i="13" s="1"/>
  <c r="N90" i="5"/>
  <c r="M90" i="5"/>
  <c r="L90" i="5"/>
  <c r="O90" i="13" s="1"/>
  <c r="N89" i="5"/>
  <c r="M89" i="5"/>
  <c r="L89" i="5"/>
  <c r="O89" i="13" s="1"/>
  <c r="N88" i="5"/>
  <c r="M88" i="5"/>
  <c r="L88" i="5"/>
  <c r="O88" i="13" s="1"/>
  <c r="N87" i="5"/>
  <c r="M87" i="5"/>
  <c r="L87" i="5"/>
  <c r="O87" i="13" s="1"/>
  <c r="N86" i="5"/>
  <c r="M86" i="5"/>
  <c r="L86" i="5"/>
  <c r="O86" i="13" s="1"/>
  <c r="N85" i="5"/>
  <c r="M85" i="5"/>
  <c r="L85" i="5"/>
  <c r="O85" i="13" s="1"/>
  <c r="N84" i="5"/>
  <c r="M84" i="5"/>
  <c r="L84" i="5"/>
  <c r="O84" i="13" s="1"/>
  <c r="N83" i="5"/>
  <c r="M83" i="5"/>
  <c r="L83" i="5"/>
  <c r="O83" i="13" s="1"/>
  <c r="N82" i="5"/>
  <c r="M82" i="5"/>
  <c r="L82" i="5"/>
  <c r="O82" i="13" s="1"/>
  <c r="N81" i="5"/>
  <c r="M81" i="5"/>
  <c r="L81" i="5"/>
  <c r="O81" i="13" s="1"/>
  <c r="N80" i="5"/>
  <c r="M80" i="5"/>
  <c r="L80" i="5"/>
  <c r="O80" i="13" s="1"/>
  <c r="N79" i="5"/>
  <c r="M79" i="5"/>
  <c r="L79" i="5"/>
  <c r="O79" i="13" s="1"/>
  <c r="N78" i="5"/>
  <c r="M78" i="5"/>
  <c r="L78" i="5"/>
  <c r="O78" i="13" s="1"/>
  <c r="N77" i="5"/>
  <c r="M77" i="5"/>
  <c r="L77" i="5"/>
  <c r="O77" i="13" s="1"/>
  <c r="N76" i="5"/>
  <c r="M76" i="5"/>
  <c r="L76" i="5"/>
  <c r="O76" i="13" s="1"/>
  <c r="N75" i="5"/>
  <c r="M75" i="5"/>
  <c r="L75" i="5"/>
  <c r="O75" i="13" s="1"/>
  <c r="N74" i="5"/>
  <c r="M74" i="5"/>
  <c r="L74" i="5"/>
  <c r="O74" i="13" s="1"/>
  <c r="N73" i="5"/>
  <c r="M73" i="5"/>
  <c r="L73" i="5"/>
  <c r="O73" i="13" s="1"/>
  <c r="N72" i="5"/>
  <c r="M72" i="5"/>
  <c r="L72" i="5"/>
  <c r="O72" i="13" s="1"/>
  <c r="N71" i="5"/>
  <c r="M71" i="5"/>
  <c r="L71" i="5"/>
  <c r="O71" i="13" s="1"/>
  <c r="N70" i="5"/>
  <c r="M70" i="5"/>
  <c r="L70" i="5"/>
  <c r="O70" i="13" s="1"/>
  <c r="N69" i="5"/>
  <c r="M69" i="5"/>
  <c r="L69" i="5"/>
  <c r="O69" i="13" s="1"/>
  <c r="N68" i="5"/>
  <c r="M68" i="5"/>
  <c r="L68" i="5"/>
  <c r="O68" i="13" s="1"/>
  <c r="N67" i="5"/>
  <c r="M67" i="5"/>
  <c r="L67" i="5"/>
  <c r="O67" i="13" s="1"/>
  <c r="N66" i="5"/>
  <c r="M66" i="5"/>
  <c r="L66" i="5"/>
  <c r="O66" i="13" s="1"/>
  <c r="N65" i="5"/>
  <c r="M65" i="5"/>
  <c r="L65" i="5"/>
  <c r="O65" i="13" s="1"/>
  <c r="N64" i="5"/>
  <c r="M64" i="5"/>
  <c r="L64" i="5"/>
  <c r="O64" i="13" s="1"/>
  <c r="N63" i="5"/>
  <c r="M63" i="5"/>
  <c r="L63" i="5"/>
  <c r="O63" i="13" s="1"/>
  <c r="N62" i="5"/>
  <c r="M62" i="5"/>
  <c r="L62" i="5"/>
  <c r="O62" i="13" s="1"/>
  <c r="N61" i="5"/>
  <c r="M61" i="5"/>
  <c r="L61" i="5"/>
  <c r="O61" i="13" s="1"/>
  <c r="N60" i="5"/>
  <c r="M60" i="5"/>
  <c r="L60" i="5"/>
  <c r="O60" i="13" s="1"/>
  <c r="N59" i="5"/>
  <c r="M59" i="5"/>
  <c r="L59" i="5"/>
  <c r="O59" i="13" s="1"/>
  <c r="N58" i="5"/>
  <c r="M58" i="5"/>
  <c r="L58" i="5"/>
  <c r="O58" i="13" s="1"/>
  <c r="N57" i="5"/>
  <c r="M57" i="5"/>
  <c r="L57" i="5"/>
  <c r="O57" i="13" s="1"/>
  <c r="N56" i="5"/>
  <c r="M56" i="5"/>
  <c r="L56" i="5"/>
  <c r="O56" i="13" s="1"/>
  <c r="N55" i="5"/>
  <c r="M55" i="5"/>
  <c r="L55" i="5"/>
  <c r="O55" i="13" s="1"/>
  <c r="N54" i="5"/>
  <c r="M54" i="5"/>
  <c r="L54" i="5"/>
  <c r="O54" i="13" s="1"/>
  <c r="N53" i="5"/>
  <c r="M53" i="5"/>
  <c r="L53" i="5"/>
  <c r="O53" i="13" s="1"/>
  <c r="N52" i="5"/>
  <c r="M52" i="5"/>
  <c r="L52" i="5"/>
  <c r="O52" i="13" s="1"/>
  <c r="N51" i="5"/>
  <c r="M51" i="5"/>
  <c r="L51" i="5"/>
  <c r="O51" i="13" s="1"/>
  <c r="N50" i="5"/>
  <c r="M50" i="5"/>
  <c r="L50" i="5"/>
  <c r="O50" i="13" s="1"/>
  <c r="N49" i="5"/>
  <c r="M49" i="5"/>
  <c r="L49" i="5"/>
  <c r="O49" i="13" s="1"/>
  <c r="N48" i="5"/>
  <c r="M48" i="5"/>
  <c r="L48" i="5"/>
  <c r="O48" i="13" s="1"/>
  <c r="N47" i="5"/>
  <c r="M47" i="5"/>
  <c r="L47" i="5"/>
  <c r="O47" i="13" s="1"/>
  <c r="N46" i="5"/>
  <c r="M46" i="5"/>
  <c r="L46" i="5"/>
  <c r="O46" i="13" s="1"/>
  <c r="N45" i="5"/>
  <c r="M45" i="5"/>
  <c r="L45" i="5"/>
  <c r="O45" i="13" s="1"/>
  <c r="N44" i="5"/>
  <c r="M44" i="5"/>
  <c r="L44" i="5"/>
  <c r="O44" i="13" s="1"/>
  <c r="N43" i="5"/>
  <c r="M43" i="5"/>
  <c r="L43" i="5"/>
  <c r="O43" i="13" s="1"/>
  <c r="N42" i="5"/>
  <c r="M42" i="5"/>
  <c r="L42" i="5"/>
  <c r="O42" i="13" s="1"/>
  <c r="N41" i="5"/>
  <c r="M41" i="5"/>
  <c r="L41" i="5"/>
  <c r="O41" i="13" s="1"/>
  <c r="N40" i="5"/>
  <c r="M40" i="5"/>
  <c r="L40" i="5"/>
  <c r="O40" i="13" s="1"/>
  <c r="N39" i="5"/>
  <c r="M39" i="5"/>
  <c r="L39" i="5"/>
  <c r="O39" i="13" s="1"/>
  <c r="N38" i="5"/>
  <c r="M38" i="5"/>
  <c r="L38" i="5"/>
  <c r="O38" i="13" s="1"/>
  <c r="N37" i="5"/>
  <c r="M37" i="5"/>
  <c r="L37" i="5"/>
  <c r="O37" i="13" s="1"/>
  <c r="N36" i="5"/>
  <c r="M36" i="5"/>
  <c r="L36" i="5"/>
  <c r="O36" i="13" s="1"/>
  <c r="N35" i="5"/>
  <c r="M35" i="5"/>
  <c r="L35" i="5"/>
  <c r="O35" i="13" s="1"/>
  <c r="N34" i="5"/>
  <c r="M34" i="5"/>
  <c r="L34" i="5"/>
  <c r="O34" i="13" s="1"/>
  <c r="N33" i="5"/>
  <c r="M33" i="5"/>
  <c r="L33" i="5"/>
  <c r="O33" i="13" s="1"/>
  <c r="N32" i="5"/>
  <c r="M32" i="5"/>
  <c r="L32" i="5"/>
  <c r="O32" i="13" s="1"/>
  <c r="N31" i="5"/>
  <c r="M31" i="5"/>
  <c r="L31" i="5"/>
  <c r="O31" i="13" s="1"/>
  <c r="N30" i="5"/>
  <c r="M30" i="5"/>
  <c r="L30" i="5"/>
  <c r="O30" i="13" s="1"/>
  <c r="N29" i="5"/>
  <c r="M29" i="5"/>
  <c r="L29" i="5"/>
  <c r="O29" i="13" s="1"/>
  <c r="N28" i="5"/>
  <c r="M28" i="5"/>
  <c r="L28" i="5"/>
  <c r="O28" i="13" s="1"/>
  <c r="N27" i="5"/>
  <c r="M27" i="5"/>
  <c r="L27" i="5"/>
  <c r="O27" i="13" s="1"/>
  <c r="N26" i="5"/>
  <c r="M26" i="5"/>
  <c r="L26" i="5"/>
  <c r="O26" i="13" s="1"/>
  <c r="N25" i="5"/>
  <c r="M25" i="5"/>
  <c r="L25" i="5"/>
  <c r="O25" i="13" s="1"/>
  <c r="N24" i="5"/>
  <c r="M24" i="5"/>
  <c r="L24" i="5"/>
  <c r="O24" i="13" s="1"/>
  <c r="N23" i="5"/>
  <c r="M23" i="5"/>
  <c r="L23" i="5"/>
  <c r="O23" i="13" s="1"/>
  <c r="N22" i="5"/>
  <c r="M22" i="5"/>
  <c r="L22" i="5"/>
  <c r="O22" i="13" s="1"/>
  <c r="N21" i="5"/>
  <c r="M21" i="5"/>
  <c r="L21" i="5"/>
  <c r="O21" i="13" s="1"/>
  <c r="N20" i="5"/>
  <c r="M20" i="5"/>
  <c r="L20" i="5"/>
  <c r="O20" i="13" s="1"/>
  <c r="N19" i="5"/>
  <c r="M19" i="5"/>
  <c r="L19" i="5"/>
  <c r="O19" i="13" s="1"/>
  <c r="N18" i="5"/>
  <c r="M18" i="5"/>
  <c r="L18" i="5"/>
  <c r="O18" i="13" s="1"/>
  <c r="N17" i="5"/>
  <c r="M17" i="5"/>
  <c r="L17" i="5"/>
  <c r="O17" i="13" s="1"/>
  <c r="N16" i="5"/>
  <c r="M16" i="5"/>
  <c r="L16" i="5"/>
  <c r="O16" i="13" s="1"/>
  <c r="N15" i="5"/>
  <c r="M15" i="5"/>
  <c r="L15" i="5"/>
  <c r="O15" i="13" s="1"/>
  <c r="N14" i="5"/>
  <c r="M14" i="5"/>
  <c r="L14" i="5"/>
  <c r="O14" i="13" s="1"/>
  <c r="N13" i="5"/>
  <c r="M13" i="5"/>
  <c r="L13" i="5"/>
  <c r="O13" i="13" s="1"/>
  <c r="N12" i="5"/>
  <c r="M12" i="5"/>
  <c r="L12" i="5"/>
  <c r="O12" i="13" s="1"/>
  <c r="N11" i="5"/>
  <c r="M11" i="5"/>
  <c r="L11" i="5"/>
  <c r="O11" i="13" s="1"/>
  <c r="N10" i="5"/>
  <c r="M10" i="5"/>
  <c r="L10" i="5"/>
  <c r="O10" i="13" s="1"/>
  <c r="N9" i="5"/>
  <c r="M9" i="5"/>
  <c r="L9" i="5"/>
  <c r="O9" i="13" s="1"/>
  <c r="N8" i="5"/>
  <c r="M8" i="5"/>
  <c r="L8" i="5"/>
  <c r="O8" i="13" s="1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D3" i="1"/>
  <c r="J2" i="1"/>
  <c r="C61" i="14" l="1"/>
  <c r="E237" i="13"/>
  <c r="D237" i="13"/>
  <c r="H21" i="9"/>
  <c r="C21" i="9"/>
  <c r="G21" i="9"/>
  <c r="E21" i="9"/>
  <c r="F21" i="9"/>
  <c r="P21" i="9"/>
  <c r="L21" i="14" s="1"/>
  <c r="Q21" i="9"/>
  <c r="R21" i="9" s="1"/>
  <c r="O21" i="9"/>
  <c r="N21" i="9"/>
  <c r="L21" i="9"/>
  <c r="M21" i="9" s="1"/>
  <c r="D21" i="9"/>
  <c r="K21" i="9"/>
  <c r="J21" i="9"/>
  <c r="I21" i="9"/>
  <c r="C8" i="14"/>
  <c r="C9" i="14"/>
  <c r="C78" i="14" s="1"/>
  <c r="B40" i="11"/>
  <c r="B101" i="11"/>
  <c r="B102" i="11"/>
  <c r="B39" i="11"/>
  <c r="B103" i="11"/>
  <c r="B104" i="11"/>
  <c r="B38" i="11"/>
  <c r="B105" i="11"/>
  <c r="B106" i="11"/>
  <c r="B107" i="11"/>
  <c r="B108" i="11"/>
  <c r="B109" i="11"/>
  <c r="B110" i="11"/>
  <c r="B111" i="11"/>
  <c r="B51" i="11"/>
  <c r="B113" i="11"/>
  <c r="C47" i="14"/>
  <c r="C45" i="14"/>
  <c r="C46" i="14" s="1"/>
  <c r="B112" i="11"/>
  <c r="B97" i="11"/>
  <c r="B98" i="11"/>
  <c r="B41" i="11"/>
  <c r="B99" i="11"/>
  <c r="B100" i="11"/>
  <c r="B114" i="11"/>
  <c r="B87" i="11"/>
  <c r="B115" i="11"/>
  <c r="B116" i="11"/>
  <c r="B117" i="11"/>
  <c r="B118" i="11"/>
  <c r="B119" i="11"/>
  <c r="B120" i="11"/>
  <c r="B121" i="11"/>
  <c r="B44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60" i="11"/>
  <c r="B61" i="11"/>
  <c r="B62" i="11"/>
  <c r="B59" i="11"/>
  <c r="B63" i="11"/>
  <c r="B64" i="11"/>
  <c r="B58" i="11"/>
  <c r="B65" i="11"/>
  <c r="B66" i="11"/>
  <c r="B57" i="11"/>
  <c r="B67" i="11"/>
  <c r="B68" i="11"/>
  <c r="B56" i="11"/>
  <c r="B69" i="11"/>
  <c r="B70" i="11"/>
  <c r="B55" i="11"/>
  <c r="B71" i="11"/>
  <c r="B72" i="11"/>
  <c r="B54" i="11"/>
  <c r="B73" i="11"/>
  <c r="B74" i="11"/>
  <c r="B53" i="11"/>
  <c r="B75" i="11"/>
  <c r="B76" i="11"/>
  <c r="B52" i="11"/>
  <c r="B77" i="11"/>
  <c r="B78" i="11"/>
  <c r="B79" i="11"/>
  <c r="B80" i="11"/>
  <c r="B50" i="11"/>
  <c r="B81" i="11"/>
  <c r="B82" i="11"/>
  <c r="B49" i="11"/>
  <c r="B83" i="11"/>
  <c r="B84" i="11"/>
  <c r="B48" i="11"/>
  <c r="B85" i="11"/>
  <c r="B86" i="11"/>
  <c r="B47" i="11"/>
  <c r="B88" i="11"/>
  <c r="B46" i="11"/>
  <c r="B89" i="11"/>
  <c r="B90" i="11"/>
  <c r="B45" i="11"/>
  <c r="B91" i="11"/>
  <c r="B92" i="11"/>
  <c r="B93" i="11"/>
  <c r="B94" i="11"/>
  <c r="B43" i="11"/>
  <c r="B95" i="11"/>
  <c r="B96" i="11"/>
  <c r="B42" i="11"/>
  <c r="C85" i="14"/>
  <c r="B12" i="12" s="1"/>
  <c r="C84" i="14"/>
  <c r="B11" i="12" s="1"/>
  <c r="B11" i="15"/>
  <c r="C11" i="15"/>
  <c r="C12" i="15"/>
  <c r="B12" i="15"/>
  <c r="C67" i="14"/>
  <c r="C59" i="14"/>
  <c r="C56" i="14"/>
  <c r="G8" i="14"/>
  <c r="I8" i="14"/>
  <c r="F9" i="14"/>
  <c r="H8" i="14"/>
  <c r="B13" i="15"/>
  <c r="C13" i="15"/>
  <c r="C66" i="14"/>
  <c r="C55" i="14"/>
  <c r="E507" i="13"/>
  <c r="D507" i="13"/>
  <c r="E506" i="13"/>
  <c r="D506" i="13"/>
  <c r="E505" i="13"/>
  <c r="D505" i="13"/>
  <c r="E504" i="13"/>
  <c r="D504" i="13"/>
  <c r="E503" i="13"/>
  <c r="D503" i="13"/>
  <c r="D502" i="13"/>
  <c r="E502" i="13"/>
  <c r="D501" i="13"/>
  <c r="E501" i="13"/>
  <c r="D500" i="13"/>
  <c r="E500" i="13"/>
  <c r="E499" i="13"/>
  <c r="D499" i="13"/>
  <c r="D498" i="13"/>
  <c r="E498" i="13"/>
  <c r="E497" i="13"/>
  <c r="D497" i="13"/>
  <c r="E496" i="13"/>
  <c r="D496" i="13"/>
  <c r="E495" i="13"/>
  <c r="D495" i="13"/>
  <c r="E494" i="13"/>
  <c r="D494" i="13"/>
  <c r="E493" i="13"/>
  <c r="D493" i="13"/>
  <c r="E492" i="13"/>
  <c r="D492" i="13"/>
  <c r="D491" i="13"/>
  <c r="E491" i="13"/>
  <c r="D490" i="13"/>
  <c r="E490" i="13"/>
  <c r="D489" i="13"/>
  <c r="E489" i="13"/>
  <c r="E488" i="13"/>
  <c r="D488" i="13"/>
  <c r="D487" i="13"/>
  <c r="E487" i="13"/>
  <c r="E486" i="13"/>
  <c r="D486" i="13"/>
  <c r="E485" i="13"/>
  <c r="D485" i="13"/>
  <c r="D484" i="13"/>
  <c r="E484" i="13"/>
  <c r="E483" i="13"/>
  <c r="D483" i="13"/>
  <c r="D482" i="13"/>
  <c r="E482" i="13"/>
  <c r="E481" i="13"/>
  <c r="D481" i="13"/>
  <c r="D480" i="13"/>
  <c r="E480" i="13"/>
  <c r="E479" i="13"/>
  <c r="D479" i="13"/>
  <c r="E478" i="13"/>
  <c r="D478" i="13"/>
  <c r="E477" i="13"/>
  <c r="D477" i="13"/>
  <c r="D476" i="13"/>
  <c r="E476" i="13"/>
  <c r="D475" i="13"/>
  <c r="E475" i="13"/>
  <c r="E474" i="13"/>
  <c r="D474" i="13"/>
  <c r="E473" i="13"/>
  <c r="D473" i="13"/>
  <c r="E472" i="13"/>
  <c r="D472" i="13"/>
  <c r="E471" i="13"/>
  <c r="D471" i="13"/>
  <c r="E470" i="13"/>
  <c r="D470" i="13"/>
  <c r="E469" i="13"/>
  <c r="D469" i="13"/>
  <c r="E468" i="13"/>
  <c r="D468" i="13"/>
  <c r="E467" i="13"/>
  <c r="D467" i="13"/>
  <c r="D466" i="13"/>
  <c r="E466" i="13"/>
  <c r="D465" i="13"/>
  <c r="E465" i="13"/>
  <c r="E464" i="13"/>
  <c r="D464" i="13"/>
  <c r="E463" i="13"/>
  <c r="D463" i="13"/>
  <c r="E462" i="13"/>
  <c r="D462" i="13"/>
  <c r="E461" i="13"/>
  <c r="D461" i="13"/>
  <c r="D460" i="13"/>
  <c r="E460" i="13"/>
  <c r="D459" i="13"/>
  <c r="E459" i="13"/>
  <c r="D458" i="13"/>
  <c r="E458" i="13"/>
  <c r="E457" i="13"/>
  <c r="D457" i="13"/>
  <c r="D456" i="13"/>
  <c r="E456" i="13"/>
  <c r="E455" i="13"/>
  <c r="D455" i="13"/>
  <c r="D454" i="13"/>
  <c r="E454" i="13"/>
  <c r="D453" i="13"/>
  <c r="E453" i="13"/>
  <c r="D452" i="13"/>
  <c r="E452" i="13"/>
  <c r="D451" i="13"/>
  <c r="E451" i="13"/>
  <c r="D450" i="13"/>
  <c r="E450" i="13"/>
  <c r="D449" i="13"/>
  <c r="E449" i="13"/>
  <c r="D448" i="13"/>
  <c r="E448" i="13"/>
  <c r="D447" i="13"/>
  <c r="E447" i="13"/>
  <c r="E446" i="13"/>
  <c r="D446" i="13"/>
  <c r="D445" i="13"/>
  <c r="E445" i="13"/>
  <c r="D444" i="13"/>
  <c r="E444" i="13"/>
  <c r="D443" i="13"/>
  <c r="E443" i="13"/>
  <c r="E442" i="13"/>
  <c r="D442" i="13"/>
  <c r="E441" i="13"/>
  <c r="D441" i="13"/>
  <c r="D440" i="13"/>
  <c r="E440" i="13"/>
  <c r="D439" i="13"/>
  <c r="E439" i="13"/>
  <c r="D438" i="13"/>
  <c r="E438" i="13"/>
  <c r="E437" i="13"/>
  <c r="D437" i="13"/>
  <c r="E436" i="13"/>
  <c r="D436" i="13"/>
  <c r="E435" i="13"/>
  <c r="D435" i="13"/>
  <c r="E434" i="13"/>
  <c r="D434" i="13"/>
  <c r="D433" i="13"/>
  <c r="E433" i="13"/>
  <c r="E432" i="13"/>
  <c r="D432" i="13"/>
  <c r="E431" i="13"/>
  <c r="D431" i="13"/>
  <c r="E430" i="13"/>
  <c r="D430" i="13"/>
  <c r="E429" i="13"/>
  <c r="D429" i="13"/>
  <c r="E428" i="13"/>
  <c r="D428" i="13"/>
  <c r="D427" i="13"/>
  <c r="E427" i="13"/>
  <c r="E426" i="13"/>
  <c r="D426" i="13"/>
  <c r="E425" i="13"/>
  <c r="D425" i="13"/>
  <c r="D424" i="13"/>
  <c r="E424" i="13"/>
  <c r="D423" i="13"/>
  <c r="E423" i="13"/>
  <c r="D422" i="13"/>
  <c r="E422" i="13"/>
  <c r="D421" i="13"/>
  <c r="E421" i="13"/>
  <c r="D420" i="13"/>
  <c r="E420" i="13"/>
  <c r="E419" i="13"/>
  <c r="D419" i="13"/>
  <c r="E418" i="13"/>
  <c r="D418" i="13"/>
  <c r="E417" i="13"/>
  <c r="D417" i="13"/>
  <c r="D416" i="13"/>
  <c r="E416" i="13"/>
  <c r="D415" i="13"/>
  <c r="E415" i="13"/>
  <c r="D414" i="13"/>
  <c r="E414" i="13"/>
  <c r="D413" i="13"/>
  <c r="E413" i="13"/>
  <c r="D412" i="13"/>
  <c r="E412" i="13"/>
  <c r="D411" i="13"/>
  <c r="E411" i="13"/>
  <c r="E410" i="13"/>
  <c r="D410" i="13"/>
  <c r="E409" i="13"/>
  <c r="D409" i="13"/>
  <c r="D408" i="13"/>
  <c r="E408" i="13"/>
  <c r="D407" i="13"/>
  <c r="E407" i="13"/>
  <c r="D406" i="13"/>
  <c r="E406" i="13"/>
  <c r="D405" i="13"/>
  <c r="E405" i="13"/>
  <c r="D404" i="13"/>
  <c r="E404" i="13"/>
  <c r="D403" i="13"/>
  <c r="E403" i="13"/>
  <c r="D402" i="13"/>
  <c r="E402" i="13"/>
  <c r="E401" i="13"/>
  <c r="D401" i="13"/>
  <c r="E400" i="13"/>
  <c r="D400" i="13"/>
  <c r="D399" i="13"/>
  <c r="E399" i="13"/>
  <c r="E398" i="13"/>
  <c r="D398" i="13"/>
  <c r="D397" i="13"/>
  <c r="E397" i="13"/>
  <c r="D396" i="13"/>
  <c r="E396" i="13"/>
  <c r="D395" i="13"/>
  <c r="E395" i="13"/>
  <c r="D394" i="13"/>
  <c r="E394" i="13"/>
  <c r="E393" i="13"/>
  <c r="D393" i="13"/>
  <c r="E392" i="13"/>
  <c r="D392" i="13"/>
  <c r="E391" i="13"/>
  <c r="D391" i="13"/>
  <c r="E390" i="13"/>
  <c r="D390" i="13"/>
  <c r="E389" i="13"/>
  <c r="D389" i="13"/>
  <c r="D388" i="13"/>
  <c r="E388" i="13"/>
  <c r="D387" i="13"/>
  <c r="E387" i="13"/>
  <c r="E386" i="13"/>
  <c r="D386" i="13"/>
  <c r="E385" i="13"/>
  <c r="D385" i="13"/>
  <c r="D384" i="13"/>
  <c r="E384" i="13"/>
  <c r="D383" i="13"/>
  <c r="E383" i="13"/>
  <c r="E382" i="13"/>
  <c r="D382" i="13"/>
  <c r="D381" i="13"/>
  <c r="E381" i="13"/>
  <c r="E380" i="13"/>
  <c r="D380" i="13"/>
  <c r="D379" i="13"/>
  <c r="E379" i="13"/>
  <c r="E378" i="13"/>
  <c r="D378" i="13"/>
  <c r="E377" i="13"/>
  <c r="D377" i="13"/>
  <c r="E376" i="13"/>
  <c r="D376" i="13"/>
  <c r="E375" i="13"/>
  <c r="D375" i="13"/>
  <c r="E374" i="13"/>
  <c r="D374" i="13"/>
  <c r="D373" i="13"/>
  <c r="E373" i="13"/>
  <c r="E372" i="13"/>
  <c r="D372" i="13"/>
  <c r="D371" i="13"/>
  <c r="E371" i="13"/>
  <c r="E370" i="13"/>
  <c r="D370" i="13"/>
  <c r="E369" i="13"/>
  <c r="D369" i="13"/>
  <c r="E368" i="13"/>
  <c r="D368" i="13"/>
  <c r="E367" i="13"/>
  <c r="D367" i="13"/>
  <c r="E366" i="13"/>
  <c r="D366" i="13"/>
  <c r="D365" i="13"/>
  <c r="E365" i="13"/>
  <c r="E364" i="13"/>
  <c r="D364" i="13"/>
  <c r="E363" i="13"/>
  <c r="D363" i="13"/>
  <c r="D362" i="13"/>
  <c r="E362" i="13"/>
  <c r="E361" i="13"/>
  <c r="D361" i="13"/>
  <c r="E360" i="13"/>
  <c r="D360" i="13"/>
  <c r="D359" i="13"/>
  <c r="E359" i="13"/>
  <c r="D358" i="13"/>
  <c r="E358" i="13"/>
  <c r="D357" i="13"/>
  <c r="E357" i="13"/>
  <c r="E356" i="13"/>
  <c r="D356" i="13"/>
  <c r="E355" i="13"/>
  <c r="D355" i="13"/>
  <c r="D354" i="13"/>
  <c r="E354" i="13"/>
  <c r="D353" i="13"/>
  <c r="E353" i="13"/>
  <c r="D352" i="13"/>
  <c r="E352" i="13"/>
  <c r="E351" i="13"/>
  <c r="D351" i="13"/>
  <c r="D350" i="13"/>
  <c r="E350" i="13"/>
  <c r="D349" i="13"/>
  <c r="E349" i="13"/>
  <c r="D348" i="13"/>
  <c r="E348" i="13"/>
  <c r="D347" i="13"/>
  <c r="E347" i="13"/>
  <c r="D346" i="13"/>
  <c r="E346" i="13"/>
  <c r="D345" i="13"/>
  <c r="E345" i="13"/>
  <c r="E344" i="13"/>
  <c r="D344" i="13"/>
  <c r="E343" i="13"/>
  <c r="D343" i="13"/>
  <c r="D342" i="13"/>
  <c r="E342" i="13"/>
  <c r="D341" i="13"/>
  <c r="E341" i="13"/>
  <c r="D340" i="13"/>
  <c r="E340" i="13"/>
  <c r="E339" i="13"/>
  <c r="D339" i="13"/>
  <c r="D338" i="13"/>
  <c r="E338" i="13"/>
  <c r="E337" i="13"/>
  <c r="D337" i="13"/>
  <c r="D336" i="13"/>
  <c r="E336" i="13"/>
  <c r="D335" i="13"/>
  <c r="E335" i="13"/>
  <c r="D334" i="13"/>
  <c r="E334" i="13"/>
  <c r="D333" i="13"/>
  <c r="E333" i="13"/>
  <c r="D332" i="13"/>
  <c r="E332" i="13"/>
  <c r="E331" i="13"/>
  <c r="D331" i="13"/>
  <c r="D330" i="13"/>
  <c r="E330" i="13"/>
  <c r="E329" i="13"/>
  <c r="D329" i="13"/>
  <c r="D328" i="13"/>
  <c r="E328" i="13"/>
  <c r="D327" i="13"/>
  <c r="E327" i="13"/>
  <c r="E326" i="13"/>
  <c r="D326" i="13"/>
  <c r="D325" i="13"/>
  <c r="E325" i="13"/>
  <c r="D324" i="13"/>
  <c r="E324" i="13"/>
  <c r="E323" i="13"/>
  <c r="D323" i="13"/>
  <c r="E322" i="13"/>
  <c r="D322" i="13"/>
  <c r="D321" i="13"/>
  <c r="E321" i="13"/>
  <c r="D320" i="13"/>
  <c r="E320" i="13"/>
  <c r="D319" i="13"/>
  <c r="E319" i="13"/>
  <c r="E318" i="13"/>
  <c r="D318" i="13"/>
  <c r="D317" i="13"/>
  <c r="E317" i="13"/>
  <c r="D316" i="13"/>
  <c r="E316" i="13"/>
  <c r="D315" i="13"/>
  <c r="E315" i="13"/>
  <c r="E314" i="13"/>
  <c r="D314" i="13"/>
  <c r="D313" i="13"/>
  <c r="E313" i="13"/>
  <c r="E312" i="13"/>
  <c r="D312" i="13"/>
  <c r="D311" i="13"/>
  <c r="E311" i="13"/>
  <c r="D310" i="13"/>
  <c r="E310" i="13"/>
  <c r="E309" i="13"/>
  <c r="D309" i="13"/>
  <c r="D308" i="13"/>
  <c r="E308" i="13"/>
  <c r="D307" i="13"/>
  <c r="E307" i="13"/>
  <c r="D306" i="13"/>
  <c r="E306" i="13"/>
  <c r="E305" i="13"/>
  <c r="D305" i="13"/>
  <c r="E304" i="13"/>
  <c r="D304" i="13"/>
  <c r="E303" i="13"/>
  <c r="D303" i="13"/>
  <c r="E302" i="13"/>
  <c r="D302" i="13"/>
  <c r="D301" i="13"/>
  <c r="E301" i="13"/>
  <c r="D300" i="13"/>
  <c r="E300" i="13"/>
  <c r="D299" i="13"/>
  <c r="E299" i="13"/>
  <c r="E298" i="13"/>
  <c r="D298" i="13"/>
  <c r="D297" i="13"/>
  <c r="E297" i="13"/>
  <c r="D296" i="13"/>
  <c r="E296" i="13"/>
  <c r="E295" i="13"/>
  <c r="D295" i="13"/>
  <c r="D294" i="13"/>
  <c r="E294" i="13"/>
  <c r="D293" i="13"/>
  <c r="E293" i="13"/>
  <c r="E292" i="13"/>
  <c r="D292" i="13"/>
  <c r="E291" i="13"/>
  <c r="D291" i="13"/>
  <c r="E290" i="13"/>
  <c r="D290" i="13"/>
  <c r="D289" i="13"/>
  <c r="E289" i="13"/>
  <c r="D288" i="13"/>
  <c r="E288" i="13"/>
  <c r="D287" i="13"/>
  <c r="E287" i="13"/>
  <c r="E286" i="13"/>
  <c r="D286" i="13"/>
  <c r="E285" i="13"/>
  <c r="D285" i="13"/>
  <c r="E284" i="13"/>
  <c r="D284" i="13"/>
  <c r="E283" i="13"/>
  <c r="D283" i="13"/>
  <c r="E282" i="13"/>
  <c r="D282" i="13"/>
  <c r="D281" i="13"/>
  <c r="E281" i="13"/>
  <c r="D280" i="13"/>
  <c r="E280" i="13"/>
  <c r="D279" i="13"/>
  <c r="E279" i="13"/>
  <c r="E278" i="13"/>
  <c r="D278" i="13"/>
  <c r="E277" i="13"/>
  <c r="D277" i="13"/>
  <c r="D276" i="13"/>
  <c r="E276" i="13"/>
  <c r="D275" i="13"/>
  <c r="E275" i="13"/>
  <c r="E274" i="13"/>
  <c r="D274" i="13"/>
  <c r="E273" i="13"/>
  <c r="D273" i="13"/>
  <c r="E272" i="13"/>
  <c r="D272" i="13"/>
  <c r="D271" i="13"/>
  <c r="E271" i="13"/>
  <c r="E270" i="13"/>
  <c r="D270" i="13"/>
  <c r="E269" i="13"/>
  <c r="D269" i="13"/>
  <c r="E268" i="13"/>
  <c r="D268" i="13"/>
  <c r="E267" i="13"/>
  <c r="D267" i="13"/>
  <c r="D266" i="13"/>
  <c r="E266" i="13"/>
  <c r="E265" i="13"/>
  <c r="D265" i="13"/>
  <c r="D264" i="13"/>
  <c r="E264" i="13"/>
  <c r="D263" i="13"/>
  <c r="E263" i="13"/>
  <c r="D262" i="13"/>
  <c r="E262" i="13"/>
  <c r="E261" i="13"/>
  <c r="D261" i="13"/>
  <c r="D260" i="13"/>
  <c r="E260" i="13"/>
  <c r="D259" i="13"/>
  <c r="E259" i="13"/>
  <c r="D258" i="13"/>
  <c r="E258" i="13"/>
  <c r="D257" i="13"/>
  <c r="E257" i="13"/>
  <c r="D256" i="13"/>
  <c r="E256" i="13"/>
  <c r="D255" i="13"/>
  <c r="E255" i="13"/>
  <c r="E254" i="13"/>
  <c r="D254" i="13"/>
  <c r="D253" i="13"/>
  <c r="E253" i="13"/>
  <c r="E252" i="13"/>
  <c r="D252" i="13"/>
  <c r="D251" i="13"/>
  <c r="E251" i="13"/>
  <c r="E250" i="13"/>
  <c r="D250" i="13"/>
  <c r="E249" i="13"/>
  <c r="D249" i="13"/>
  <c r="D248" i="13"/>
  <c r="E248" i="13"/>
  <c r="D247" i="13"/>
  <c r="E247" i="13"/>
  <c r="E246" i="13"/>
  <c r="D246" i="13"/>
  <c r="E245" i="13"/>
  <c r="D245" i="13"/>
  <c r="D244" i="13"/>
  <c r="E244" i="13"/>
  <c r="D243" i="13"/>
  <c r="E243" i="13"/>
  <c r="E242" i="13"/>
  <c r="D242" i="13"/>
  <c r="E241" i="13"/>
  <c r="D241" i="13"/>
  <c r="D240" i="13"/>
  <c r="E240" i="13"/>
  <c r="D239" i="13"/>
  <c r="E239" i="13"/>
  <c r="E238" i="13"/>
  <c r="D238" i="13"/>
  <c r="E236" i="13"/>
  <c r="D236" i="13"/>
  <c r="E235" i="13"/>
  <c r="D235" i="13"/>
  <c r="D234" i="13"/>
  <c r="E234" i="13"/>
  <c r="E233" i="13"/>
  <c r="D233" i="13"/>
  <c r="D232" i="13"/>
  <c r="E232" i="13"/>
  <c r="E231" i="13"/>
  <c r="D231" i="13"/>
  <c r="E230" i="13"/>
  <c r="D230" i="13"/>
  <c r="D229" i="13"/>
  <c r="E229" i="13"/>
  <c r="D228" i="13"/>
  <c r="E228" i="13"/>
  <c r="E227" i="13"/>
  <c r="D227" i="13"/>
  <c r="E226" i="13"/>
  <c r="D226" i="13"/>
  <c r="E225" i="13"/>
  <c r="D225" i="13"/>
  <c r="E224" i="13"/>
  <c r="D224" i="13"/>
  <c r="D223" i="13"/>
  <c r="E223" i="13"/>
  <c r="D222" i="13"/>
  <c r="E222" i="13"/>
  <c r="D221" i="13"/>
  <c r="E221" i="13"/>
  <c r="D220" i="13"/>
  <c r="E220" i="13"/>
  <c r="E219" i="13"/>
  <c r="D219" i="13"/>
  <c r="E218" i="13"/>
  <c r="D218" i="13"/>
  <c r="E217" i="13"/>
  <c r="D217" i="13"/>
  <c r="E216" i="13"/>
  <c r="D216" i="13"/>
  <c r="E215" i="13"/>
  <c r="D215" i="13"/>
  <c r="E214" i="13"/>
  <c r="D214" i="13"/>
  <c r="D213" i="13"/>
  <c r="E213" i="13"/>
  <c r="D212" i="13"/>
  <c r="E212" i="13"/>
  <c r="E211" i="13"/>
  <c r="D211" i="13"/>
  <c r="D210" i="13"/>
  <c r="E210" i="13"/>
  <c r="D209" i="13"/>
  <c r="E209" i="13"/>
  <c r="D208" i="13"/>
  <c r="E208" i="13"/>
  <c r="D207" i="13"/>
  <c r="E207" i="13"/>
  <c r="D206" i="13"/>
  <c r="E206" i="13"/>
  <c r="D205" i="13"/>
  <c r="E205" i="13"/>
  <c r="D204" i="13"/>
  <c r="E204" i="13"/>
  <c r="E203" i="13"/>
  <c r="D203" i="13"/>
  <c r="D202" i="13"/>
  <c r="E202" i="13"/>
  <c r="E201" i="13"/>
  <c r="D201" i="13"/>
  <c r="E200" i="13"/>
  <c r="D200" i="13"/>
  <c r="E199" i="13"/>
  <c r="D199" i="13"/>
  <c r="D198" i="13"/>
  <c r="E198" i="13"/>
  <c r="D197" i="13"/>
  <c r="E197" i="13"/>
  <c r="E196" i="13"/>
  <c r="D196" i="13"/>
  <c r="E195" i="13"/>
  <c r="D195" i="13"/>
  <c r="E194" i="13"/>
  <c r="D194" i="13"/>
  <c r="E193" i="13"/>
  <c r="D193" i="13"/>
  <c r="E192" i="13"/>
  <c r="D192" i="13"/>
  <c r="E191" i="13"/>
  <c r="D191" i="13"/>
  <c r="D190" i="13"/>
  <c r="E190" i="13"/>
  <c r="D189" i="13"/>
  <c r="E189" i="13"/>
  <c r="E188" i="13"/>
  <c r="D188" i="13"/>
  <c r="E187" i="13"/>
  <c r="D187" i="13"/>
  <c r="D186" i="13"/>
  <c r="E186" i="13"/>
  <c r="E185" i="13"/>
  <c r="D185" i="13"/>
  <c r="E184" i="13"/>
  <c r="D184" i="13"/>
  <c r="E183" i="13"/>
  <c r="D183" i="13"/>
  <c r="D182" i="13"/>
  <c r="E182" i="13"/>
  <c r="D181" i="13"/>
  <c r="E181" i="13"/>
  <c r="E180" i="13"/>
  <c r="D180" i="13"/>
  <c r="E179" i="13"/>
  <c r="D179" i="13"/>
  <c r="D178" i="13"/>
  <c r="E178" i="13"/>
  <c r="D177" i="13"/>
  <c r="E177" i="13"/>
  <c r="E176" i="13"/>
  <c r="D176" i="13"/>
  <c r="E175" i="13"/>
  <c r="D175" i="13"/>
  <c r="E174" i="13"/>
  <c r="D174" i="13"/>
  <c r="E173" i="13"/>
  <c r="D173" i="13"/>
  <c r="D172" i="13"/>
  <c r="E172" i="13"/>
  <c r="D171" i="13"/>
  <c r="E171" i="13"/>
  <c r="E170" i="13"/>
  <c r="D170" i="13"/>
  <c r="D169" i="13"/>
  <c r="E169" i="13"/>
  <c r="D168" i="13"/>
  <c r="E168" i="13"/>
  <c r="D167" i="13"/>
  <c r="E167" i="13"/>
  <c r="E166" i="13"/>
  <c r="D166" i="13"/>
  <c r="E165" i="13"/>
  <c r="D165" i="13"/>
  <c r="D164" i="13"/>
  <c r="E164" i="13"/>
  <c r="E163" i="13"/>
  <c r="D163" i="13"/>
  <c r="E162" i="13"/>
  <c r="D162" i="13"/>
  <c r="E161" i="13"/>
  <c r="D161" i="13"/>
  <c r="E160" i="13"/>
  <c r="D160" i="13"/>
  <c r="E159" i="13"/>
  <c r="D159" i="13"/>
  <c r="E158" i="13"/>
  <c r="D158" i="13"/>
  <c r="E157" i="13"/>
  <c r="D157" i="13"/>
  <c r="E156" i="13"/>
  <c r="D156" i="13"/>
  <c r="E155" i="13"/>
  <c r="D155" i="13"/>
  <c r="E154" i="13"/>
  <c r="D154" i="13"/>
  <c r="D153" i="13"/>
  <c r="E153" i="13"/>
  <c r="E152" i="13"/>
  <c r="D152" i="13"/>
  <c r="D151" i="13"/>
  <c r="E151" i="13"/>
  <c r="E150" i="13"/>
  <c r="D150" i="13"/>
  <c r="E149" i="13"/>
  <c r="D149" i="13"/>
  <c r="D148" i="13"/>
  <c r="E148" i="13"/>
  <c r="D147" i="13"/>
  <c r="E147" i="13"/>
  <c r="D146" i="13"/>
  <c r="E146" i="13"/>
  <c r="E145" i="13"/>
  <c r="D145" i="13"/>
  <c r="D144" i="13"/>
  <c r="E144" i="13"/>
  <c r="E143" i="13"/>
  <c r="D143" i="13"/>
  <c r="D142" i="13"/>
  <c r="E142" i="13"/>
  <c r="D141" i="13"/>
  <c r="E141" i="13"/>
  <c r="D140" i="13"/>
  <c r="E140" i="13"/>
  <c r="E139" i="13"/>
  <c r="D139" i="13"/>
  <c r="E138" i="13"/>
  <c r="D138" i="13"/>
  <c r="E137" i="13"/>
  <c r="D137" i="13"/>
  <c r="E136" i="13"/>
  <c r="D136" i="13"/>
  <c r="E135" i="13"/>
  <c r="D135" i="13"/>
  <c r="E134" i="13"/>
  <c r="D134" i="13"/>
  <c r="E133" i="13"/>
  <c r="D133" i="13"/>
  <c r="E132" i="13"/>
  <c r="D132" i="13"/>
  <c r="D131" i="13"/>
  <c r="E131" i="13"/>
  <c r="D130" i="13"/>
  <c r="E130" i="13"/>
  <c r="D129" i="13"/>
  <c r="E129" i="13"/>
  <c r="D128" i="13"/>
  <c r="E128" i="13"/>
  <c r="E127" i="13"/>
  <c r="D127" i="13"/>
  <c r="E126" i="13"/>
  <c r="D126" i="13"/>
  <c r="D125" i="13"/>
  <c r="E125" i="13"/>
  <c r="E124" i="13"/>
  <c r="D124" i="13"/>
  <c r="D123" i="13"/>
  <c r="E123" i="13"/>
  <c r="D122" i="13"/>
  <c r="E122" i="13"/>
  <c r="D121" i="13"/>
  <c r="E121" i="13"/>
  <c r="D120" i="13"/>
  <c r="E120" i="13"/>
  <c r="D119" i="13"/>
  <c r="E119" i="13"/>
  <c r="D118" i="13"/>
  <c r="E118" i="13"/>
  <c r="D117" i="13"/>
  <c r="E117" i="13"/>
  <c r="E116" i="13"/>
  <c r="D116" i="13"/>
  <c r="E115" i="13"/>
  <c r="D115" i="13"/>
  <c r="D114" i="13"/>
  <c r="E114" i="13"/>
  <c r="E113" i="13"/>
  <c r="D113" i="13"/>
  <c r="E112" i="13"/>
  <c r="D112" i="13"/>
  <c r="D111" i="13"/>
  <c r="E111" i="13"/>
  <c r="D110" i="13"/>
  <c r="E110" i="13"/>
  <c r="E109" i="13"/>
  <c r="D109" i="13"/>
  <c r="E108" i="13"/>
  <c r="D108" i="13"/>
  <c r="D107" i="13"/>
  <c r="E107" i="13"/>
  <c r="D106" i="13"/>
  <c r="E106" i="13"/>
  <c r="D105" i="13"/>
  <c r="E105" i="13"/>
  <c r="D104" i="13"/>
  <c r="E104" i="13"/>
  <c r="E103" i="13"/>
  <c r="D103" i="13"/>
  <c r="D102" i="13"/>
  <c r="E102" i="13"/>
  <c r="E101" i="13"/>
  <c r="D101" i="13"/>
  <c r="E100" i="13"/>
  <c r="D100" i="13"/>
  <c r="D99" i="13"/>
  <c r="E99" i="13"/>
  <c r="E98" i="13"/>
  <c r="D98" i="13"/>
  <c r="E97" i="13"/>
  <c r="D97" i="13"/>
  <c r="D96" i="13"/>
  <c r="E96" i="13"/>
  <c r="D95" i="13"/>
  <c r="E95" i="13"/>
  <c r="D94" i="13"/>
  <c r="E94" i="13"/>
  <c r="D93" i="13"/>
  <c r="E93" i="13"/>
  <c r="E92" i="13"/>
  <c r="D92" i="13"/>
  <c r="D91" i="13"/>
  <c r="E91" i="13"/>
  <c r="E90" i="13"/>
  <c r="D90" i="13"/>
  <c r="E89" i="13"/>
  <c r="D89" i="13"/>
  <c r="D88" i="13"/>
  <c r="E88" i="13"/>
  <c r="D87" i="13"/>
  <c r="E87" i="13"/>
  <c r="D86" i="13"/>
  <c r="E86" i="13"/>
  <c r="D85" i="13"/>
  <c r="E85" i="13"/>
  <c r="D84" i="13"/>
  <c r="E84" i="13"/>
  <c r="E83" i="13"/>
  <c r="D83" i="13"/>
  <c r="E82" i="13"/>
  <c r="D82" i="13"/>
  <c r="E81" i="13"/>
  <c r="D81" i="13"/>
  <c r="E80" i="13"/>
  <c r="D80" i="13"/>
  <c r="D79" i="13"/>
  <c r="E79" i="13"/>
  <c r="E78" i="13"/>
  <c r="D78" i="13"/>
  <c r="E77" i="13"/>
  <c r="D77" i="13"/>
  <c r="E76" i="13"/>
  <c r="D76" i="13"/>
  <c r="E75" i="13"/>
  <c r="D75" i="13"/>
  <c r="D74" i="13"/>
  <c r="E74" i="13"/>
  <c r="E73" i="13"/>
  <c r="D73" i="13"/>
  <c r="E72" i="13"/>
  <c r="D72" i="13"/>
  <c r="E71" i="13"/>
  <c r="D71" i="13"/>
  <c r="E70" i="13"/>
  <c r="D70" i="13"/>
  <c r="E69" i="13"/>
  <c r="D69" i="13"/>
  <c r="E68" i="13"/>
  <c r="D68" i="13"/>
  <c r="D67" i="13"/>
  <c r="E67" i="13"/>
  <c r="D66" i="13"/>
  <c r="E66" i="13"/>
  <c r="E65" i="13"/>
  <c r="D65" i="13"/>
  <c r="E64" i="13"/>
  <c r="D64" i="13"/>
  <c r="E63" i="13"/>
  <c r="D63" i="13"/>
  <c r="E62" i="13"/>
  <c r="D62" i="13"/>
  <c r="E61" i="13"/>
  <c r="D61" i="13"/>
  <c r="D60" i="13"/>
  <c r="E60" i="13"/>
  <c r="E59" i="13"/>
  <c r="D59" i="13"/>
  <c r="D58" i="13"/>
  <c r="E58" i="13"/>
  <c r="E57" i="13"/>
  <c r="D57" i="13"/>
  <c r="D56" i="13"/>
  <c r="E56" i="13"/>
  <c r="E55" i="13"/>
  <c r="D55" i="13"/>
  <c r="E54" i="13"/>
  <c r="D54" i="13"/>
  <c r="E53" i="13"/>
  <c r="D53" i="13"/>
  <c r="D52" i="13"/>
  <c r="E52" i="13"/>
  <c r="D51" i="13"/>
  <c r="E51" i="13"/>
  <c r="D50" i="13"/>
  <c r="E50" i="13"/>
  <c r="D49" i="13"/>
  <c r="E49" i="13"/>
  <c r="E48" i="13"/>
  <c r="D48" i="13"/>
  <c r="D47" i="13"/>
  <c r="E47" i="13"/>
  <c r="D46" i="13"/>
  <c r="E46" i="13"/>
  <c r="E45" i="13"/>
  <c r="D45" i="13"/>
  <c r="E44" i="13"/>
  <c r="D44" i="13"/>
  <c r="D43" i="13"/>
  <c r="E43" i="13"/>
  <c r="E42" i="13"/>
  <c r="D42" i="13"/>
  <c r="D41" i="13"/>
  <c r="E41" i="13"/>
  <c r="E40" i="13"/>
  <c r="D40" i="13"/>
  <c r="D39" i="13"/>
  <c r="E39" i="13"/>
  <c r="D38" i="13"/>
  <c r="E38" i="13"/>
  <c r="D37" i="13"/>
  <c r="E37" i="13"/>
  <c r="E36" i="13"/>
  <c r="D36" i="13"/>
  <c r="D35" i="13"/>
  <c r="E35" i="13"/>
  <c r="D34" i="13"/>
  <c r="E34" i="13"/>
  <c r="E33" i="13"/>
  <c r="D33" i="13"/>
  <c r="E32" i="13"/>
  <c r="D32" i="13"/>
  <c r="D31" i="13"/>
  <c r="E31" i="13"/>
  <c r="E30" i="13"/>
  <c r="D30" i="13"/>
  <c r="E29" i="13"/>
  <c r="D29" i="13"/>
  <c r="E28" i="13"/>
  <c r="D28" i="13"/>
  <c r="E27" i="13"/>
  <c r="D27" i="13"/>
  <c r="D26" i="13"/>
  <c r="E26" i="13"/>
  <c r="D25" i="13"/>
  <c r="E25" i="13"/>
  <c r="E24" i="13"/>
  <c r="D24" i="13"/>
  <c r="D23" i="13"/>
  <c r="E23" i="13"/>
  <c r="E22" i="13"/>
  <c r="D22" i="13"/>
  <c r="E21" i="13"/>
  <c r="D21" i="13"/>
  <c r="E20" i="13"/>
  <c r="D20" i="13"/>
  <c r="D19" i="13"/>
  <c r="E19" i="13"/>
  <c r="E18" i="13"/>
  <c r="D18" i="13"/>
  <c r="E17" i="13"/>
  <c r="D17" i="13"/>
  <c r="E16" i="13"/>
  <c r="D16" i="13"/>
  <c r="D15" i="13"/>
  <c r="E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T85" i="13"/>
  <c r="R86" i="13" s="1"/>
  <c r="T33" i="13"/>
  <c r="R34" i="13" s="1"/>
  <c r="T32" i="13"/>
  <c r="R33" i="13" s="1"/>
  <c r="T31" i="13"/>
  <c r="R32" i="13" s="1"/>
  <c r="T30" i="13"/>
  <c r="R31" i="13" s="1"/>
  <c r="T29" i="13"/>
  <c r="R30" i="13" s="1"/>
  <c r="T28" i="13"/>
  <c r="R29" i="13" s="1"/>
  <c r="T27" i="13"/>
  <c r="R28" i="13" s="1"/>
  <c r="T26" i="13"/>
  <c r="R27" i="13" s="1"/>
  <c r="T25" i="13"/>
  <c r="R26" i="13" s="1"/>
  <c r="T24" i="13"/>
  <c r="R25" i="13" s="1"/>
  <c r="T23" i="13"/>
  <c r="R24" i="13" s="1"/>
  <c r="T22" i="13"/>
  <c r="R23" i="13" s="1"/>
  <c r="T21" i="13"/>
  <c r="R22" i="13" s="1"/>
  <c r="T20" i="13"/>
  <c r="R21" i="13" s="1"/>
  <c r="T19" i="13"/>
  <c r="R20" i="13" s="1"/>
  <c r="T18" i="13"/>
  <c r="R19" i="13" s="1"/>
  <c r="T17" i="13"/>
  <c r="R18" i="13" s="1"/>
  <c r="T16" i="13"/>
  <c r="R17" i="13" s="1"/>
  <c r="T15" i="13"/>
  <c r="R16" i="13" s="1"/>
  <c r="T14" i="13"/>
  <c r="R15" i="13" s="1"/>
  <c r="T13" i="13"/>
  <c r="R14" i="13" s="1"/>
  <c r="T12" i="13"/>
  <c r="R13" i="13" s="1"/>
  <c r="T11" i="13"/>
  <c r="R12" i="13" s="1"/>
  <c r="T10" i="13"/>
  <c r="R11" i="13" s="1"/>
  <c r="T9" i="13"/>
  <c r="R10" i="13" s="1"/>
  <c r="T8" i="13"/>
  <c r="R9" i="13" s="1"/>
  <c r="T62" i="13"/>
  <c r="R63" i="13" s="1"/>
  <c r="T63" i="13"/>
  <c r="R64" i="13" s="1"/>
  <c r="T64" i="13"/>
  <c r="R65" i="13" s="1"/>
  <c r="T65" i="13"/>
  <c r="R66" i="13" s="1"/>
  <c r="T66" i="13"/>
  <c r="R67" i="13" s="1"/>
  <c r="T67" i="13"/>
  <c r="R68" i="13" s="1"/>
  <c r="T68" i="13"/>
  <c r="R69" i="13" s="1"/>
  <c r="T69" i="13"/>
  <c r="R70" i="13" s="1"/>
  <c r="T70" i="13"/>
  <c r="R71" i="13" s="1"/>
  <c r="T71" i="13"/>
  <c r="R72" i="13" s="1"/>
  <c r="T72" i="13"/>
  <c r="R73" i="13" s="1"/>
  <c r="T73" i="13"/>
  <c r="R74" i="13" s="1"/>
  <c r="T74" i="13"/>
  <c r="R75" i="13" s="1"/>
  <c r="T75" i="13"/>
  <c r="R76" i="13" s="1"/>
  <c r="T76" i="13"/>
  <c r="R77" i="13" s="1"/>
  <c r="T77" i="13"/>
  <c r="R78" i="13" s="1"/>
  <c r="T78" i="13"/>
  <c r="R79" i="13" s="1"/>
  <c r="T79" i="13"/>
  <c r="R80" i="13" s="1"/>
  <c r="T80" i="13"/>
  <c r="R81" i="13" s="1"/>
  <c r="T81" i="13"/>
  <c r="R82" i="13" s="1"/>
  <c r="T60" i="13"/>
  <c r="R61" i="13" s="1"/>
  <c r="T82" i="13"/>
  <c r="R83" i="13" s="1"/>
  <c r="T59" i="13"/>
  <c r="R60" i="13" s="1"/>
  <c r="T83" i="13"/>
  <c r="R84" i="13" s="1"/>
  <c r="T58" i="13"/>
  <c r="R59" i="13" s="1"/>
  <c r="T84" i="13"/>
  <c r="R85" i="13" s="1"/>
  <c r="T57" i="13"/>
  <c r="R58" i="13" s="1"/>
  <c r="T61" i="13"/>
  <c r="R62" i="13" s="1"/>
  <c r="T56" i="13"/>
  <c r="R57" i="13" s="1"/>
  <c r="T86" i="13"/>
  <c r="R87" i="13" s="1"/>
  <c r="T55" i="13"/>
  <c r="R56" i="13" s="1"/>
  <c r="T87" i="13"/>
  <c r="R88" i="13" s="1"/>
  <c r="T54" i="13"/>
  <c r="R55" i="13" s="1"/>
  <c r="T88" i="13"/>
  <c r="R89" i="13" s="1"/>
  <c r="T53" i="13"/>
  <c r="R54" i="13" s="1"/>
  <c r="T89" i="13"/>
  <c r="R90" i="13" s="1"/>
  <c r="T52" i="13"/>
  <c r="R53" i="13" s="1"/>
  <c r="T90" i="13"/>
  <c r="R91" i="13" s="1"/>
  <c r="T51" i="13"/>
  <c r="R52" i="13" s="1"/>
  <c r="T91" i="13"/>
  <c r="R92" i="13" s="1"/>
  <c r="T50" i="13"/>
  <c r="R51" i="13" s="1"/>
  <c r="T92" i="13"/>
  <c r="R93" i="13" s="1"/>
  <c r="T49" i="13"/>
  <c r="R50" i="13" s="1"/>
  <c r="T93" i="13"/>
  <c r="R94" i="13" s="1"/>
  <c r="T48" i="13"/>
  <c r="R49" i="13" s="1"/>
  <c r="T94" i="13"/>
  <c r="R95" i="13" s="1"/>
  <c r="T47" i="13"/>
  <c r="R48" i="13" s="1"/>
  <c r="T95" i="13"/>
  <c r="R96" i="13" s="1"/>
  <c r="T46" i="13"/>
  <c r="R47" i="13" s="1"/>
  <c r="T96" i="13"/>
  <c r="R97" i="13" s="1"/>
  <c r="T45" i="13"/>
  <c r="R46" i="13" s="1"/>
  <c r="T97" i="13"/>
  <c r="R98" i="13" s="1"/>
  <c r="T44" i="13"/>
  <c r="R45" i="13" s="1"/>
  <c r="T98" i="13"/>
  <c r="R99" i="13" s="1"/>
  <c r="T43" i="13"/>
  <c r="R44" i="13" s="1"/>
  <c r="T99" i="13"/>
  <c r="R100" i="13" s="1"/>
  <c r="T42" i="13"/>
  <c r="R43" i="13" s="1"/>
  <c r="T100" i="13"/>
  <c r="R101" i="13" s="1"/>
  <c r="T41" i="13"/>
  <c r="R42" i="13" s="1"/>
  <c r="T101" i="13"/>
  <c r="R102" i="13" s="1"/>
  <c r="T40" i="13"/>
  <c r="R41" i="13" s="1"/>
  <c r="T102" i="13"/>
  <c r="R103" i="13" s="1"/>
  <c r="T39" i="13"/>
  <c r="R40" i="13" s="1"/>
  <c r="T103" i="13"/>
  <c r="R104" i="13" s="1"/>
  <c r="T38" i="13"/>
  <c r="R39" i="13" s="1"/>
  <c r="T104" i="13"/>
  <c r="R105" i="13" s="1"/>
  <c r="T37" i="13"/>
  <c r="R38" i="13" s="1"/>
  <c r="T105" i="13"/>
  <c r="R106" i="13" s="1"/>
  <c r="T36" i="13"/>
  <c r="R37" i="13" s="1"/>
  <c r="T106" i="13"/>
  <c r="R107" i="13" s="1"/>
  <c r="T35" i="13"/>
  <c r="R36" i="13" s="1"/>
  <c r="T107" i="13"/>
  <c r="R108" i="13" s="1"/>
  <c r="T34" i="13"/>
  <c r="R35" i="13" s="1"/>
  <c r="D8" i="13"/>
  <c r="E8" i="13"/>
  <c r="N507" i="9"/>
  <c r="E507" i="9"/>
  <c r="I507" i="9"/>
  <c r="F507" i="9"/>
  <c r="P507" i="9"/>
  <c r="L507" i="14" s="1"/>
  <c r="G507" i="9"/>
  <c r="Q507" i="9"/>
  <c r="R507" i="9"/>
  <c r="C507" i="9"/>
  <c r="D507" i="9"/>
  <c r="J507" i="9"/>
  <c r="K507" i="9"/>
  <c r="L507" i="9"/>
  <c r="M507" i="9"/>
  <c r="H507" i="9"/>
  <c r="O507" i="9"/>
  <c r="C506" i="9"/>
  <c r="J506" i="9"/>
  <c r="F506" i="9"/>
  <c r="K506" i="9"/>
  <c r="E506" i="9"/>
  <c r="D506" i="9"/>
  <c r="L506" i="9"/>
  <c r="O506" i="9"/>
  <c r="H506" i="9"/>
  <c r="G506" i="9"/>
  <c r="I506" i="9"/>
  <c r="M506" i="9"/>
  <c r="P506" i="9"/>
  <c r="L506" i="14" s="1"/>
  <c r="Q506" i="9"/>
  <c r="R506" i="9" s="1"/>
  <c r="N506" i="9"/>
  <c r="Q505" i="9"/>
  <c r="R505" i="9" s="1"/>
  <c r="P505" i="9"/>
  <c r="L505" i="14" s="1"/>
  <c r="O505" i="9"/>
  <c r="N505" i="9"/>
  <c r="K505" i="9"/>
  <c r="J505" i="9"/>
  <c r="I505" i="9"/>
  <c r="H505" i="9"/>
  <c r="G505" i="9"/>
  <c r="F505" i="9"/>
  <c r="E505" i="9"/>
  <c r="D505" i="9"/>
  <c r="C505" i="9"/>
  <c r="L505" i="9"/>
  <c r="M505" i="9" s="1"/>
  <c r="D504" i="9"/>
  <c r="N504" i="9"/>
  <c r="E504" i="9"/>
  <c r="F504" i="9"/>
  <c r="G504" i="9"/>
  <c r="H504" i="9"/>
  <c r="O504" i="9"/>
  <c r="I504" i="9"/>
  <c r="J504" i="9"/>
  <c r="K504" i="9"/>
  <c r="L504" i="9"/>
  <c r="M504" i="9"/>
  <c r="C504" i="9"/>
  <c r="P504" i="9"/>
  <c r="L504" i="14" s="1"/>
  <c r="Q504" i="9"/>
  <c r="R504" i="9"/>
  <c r="O503" i="9"/>
  <c r="P503" i="9"/>
  <c r="L503" i="14" s="1"/>
  <c r="Q503" i="9"/>
  <c r="R503" i="9"/>
  <c r="G503" i="9"/>
  <c r="N503" i="9"/>
  <c r="F503" i="9"/>
  <c r="H503" i="9"/>
  <c r="E503" i="9"/>
  <c r="I503" i="9"/>
  <c r="C503" i="9"/>
  <c r="D503" i="9"/>
  <c r="J503" i="9"/>
  <c r="K503" i="9"/>
  <c r="L503" i="9"/>
  <c r="M503" i="9" s="1"/>
  <c r="N502" i="9"/>
  <c r="O502" i="9"/>
  <c r="G502" i="9"/>
  <c r="I502" i="9"/>
  <c r="P502" i="9"/>
  <c r="L502" i="14" s="1"/>
  <c r="Q502" i="9"/>
  <c r="R502" i="9"/>
  <c r="J502" i="9"/>
  <c r="H502" i="9"/>
  <c r="K502" i="9"/>
  <c r="L502" i="9"/>
  <c r="M502" i="9"/>
  <c r="F502" i="9"/>
  <c r="D502" i="9"/>
  <c r="E502" i="9"/>
  <c r="C502" i="9"/>
  <c r="C501" i="9"/>
  <c r="P501" i="9"/>
  <c r="L501" i="14" s="1"/>
  <c r="Q501" i="9"/>
  <c r="I501" i="9"/>
  <c r="K501" i="9"/>
  <c r="R501" i="9"/>
  <c r="H501" i="9"/>
  <c r="F501" i="9"/>
  <c r="L501" i="9"/>
  <c r="G501" i="9"/>
  <c r="O501" i="9"/>
  <c r="N501" i="9"/>
  <c r="E501" i="9"/>
  <c r="J501" i="9"/>
  <c r="D501" i="9"/>
  <c r="M501" i="9"/>
  <c r="K500" i="9"/>
  <c r="D500" i="9"/>
  <c r="I500" i="9"/>
  <c r="G500" i="9"/>
  <c r="F500" i="9"/>
  <c r="H500" i="9"/>
  <c r="Q500" i="9"/>
  <c r="P500" i="9"/>
  <c r="L500" i="14" s="1"/>
  <c r="O500" i="9"/>
  <c r="J500" i="9"/>
  <c r="N500" i="9"/>
  <c r="C500" i="9"/>
  <c r="E500" i="9"/>
  <c r="R500" i="9"/>
  <c r="L500" i="9"/>
  <c r="M500" i="9" s="1"/>
  <c r="I499" i="9"/>
  <c r="E499" i="9"/>
  <c r="F499" i="9"/>
  <c r="G499" i="9"/>
  <c r="H499" i="9"/>
  <c r="J499" i="9"/>
  <c r="K499" i="9"/>
  <c r="L499" i="9"/>
  <c r="M499" i="9" s="1"/>
  <c r="N499" i="9"/>
  <c r="Q499" i="9"/>
  <c r="R499" i="9" s="1"/>
  <c r="P499" i="9"/>
  <c r="L499" i="14" s="1"/>
  <c r="C499" i="9"/>
  <c r="D499" i="9"/>
  <c r="O499" i="9"/>
  <c r="J498" i="9"/>
  <c r="F498" i="9"/>
  <c r="Q498" i="9"/>
  <c r="L498" i="9"/>
  <c r="G498" i="9"/>
  <c r="D498" i="9"/>
  <c r="K498" i="9"/>
  <c r="N498" i="9"/>
  <c r="E498" i="9"/>
  <c r="R498" i="9"/>
  <c r="I498" i="9"/>
  <c r="H498" i="9"/>
  <c r="O498" i="9"/>
  <c r="M498" i="9"/>
  <c r="P498" i="9"/>
  <c r="L498" i="14" s="1"/>
  <c r="C498" i="9"/>
  <c r="Q497" i="9"/>
  <c r="R497" i="9" s="1"/>
  <c r="P497" i="9"/>
  <c r="L497" i="14" s="1"/>
  <c r="C497" i="9"/>
  <c r="O497" i="9"/>
  <c r="N497" i="9"/>
  <c r="L497" i="9"/>
  <c r="M497" i="9" s="1"/>
  <c r="K497" i="9"/>
  <c r="J497" i="9"/>
  <c r="I497" i="9"/>
  <c r="H497" i="9"/>
  <c r="G497" i="9"/>
  <c r="F497" i="9"/>
  <c r="E497" i="9"/>
  <c r="D497" i="9"/>
  <c r="C496" i="9"/>
  <c r="Q496" i="9"/>
  <c r="D496" i="9"/>
  <c r="E496" i="9"/>
  <c r="F496" i="9"/>
  <c r="G496" i="9"/>
  <c r="H496" i="9"/>
  <c r="I496" i="9"/>
  <c r="J496" i="9"/>
  <c r="K496" i="9"/>
  <c r="L496" i="9"/>
  <c r="M496" i="9"/>
  <c r="R496" i="9"/>
  <c r="N496" i="9"/>
  <c r="O496" i="9"/>
  <c r="P496" i="9"/>
  <c r="L496" i="14" s="1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L495" i="14" s="1"/>
  <c r="Q495" i="9"/>
  <c r="R495" i="9" s="1"/>
  <c r="C494" i="9"/>
  <c r="P494" i="9"/>
  <c r="L494" i="14" s="1"/>
  <c r="Q494" i="9"/>
  <c r="R494" i="9" s="1"/>
  <c r="O494" i="9"/>
  <c r="N494" i="9"/>
  <c r="L494" i="9"/>
  <c r="M494" i="9" s="1"/>
  <c r="K494" i="9"/>
  <c r="J494" i="9"/>
  <c r="I494" i="9"/>
  <c r="H494" i="9"/>
  <c r="G494" i="9"/>
  <c r="F494" i="9"/>
  <c r="E494" i="9"/>
  <c r="D494" i="9"/>
  <c r="H493" i="9"/>
  <c r="Q493" i="9"/>
  <c r="R493" i="9" s="1"/>
  <c r="P493" i="9"/>
  <c r="L493" i="14" s="1"/>
  <c r="O493" i="9"/>
  <c r="N493" i="9"/>
  <c r="L493" i="9"/>
  <c r="M493" i="9" s="1"/>
  <c r="K493" i="9"/>
  <c r="J493" i="9"/>
  <c r="I493" i="9"/>
  <c r="G493" i="9"/>
  <c r="F493" i="9"/>
  <c r="E493" i="9"/>
  <c r="D493" i="9"/>
  <c r="C493" i="9"/>
  <c r="C492" i="9"/>
  <c r="O492" i="9"/>
  <c r="P492" i="9"/>
  <c r="L492" i="14" s="1"/>
  <c r="Q492" i="9"/>
  <c r="R492" i="9"/>
  <c r="K492" i="9"/>
  <c r="D492" i="9"/>
  <c r="E492" i="9"/>
  <c r="F492" i="9"/>
  <c r="G492" i="9"/>
  <c r="H492" i="9"/>
  <c r="I492" i="9"/>
  <c r="J492" i="9"/>
  <c r="L492" i="9"/>
  <c r="M492" i="9"/>
  <c r="N492" i="9"/>
  <c r="N491" i="9"/>
  <c r="L491" i="9"/>
  <c r="M491" i="9" s="1"/>
  <c r="K491" i="9"/>
  <c r="J491" i="9"/>
  <c r="I491" i="9"/>
  <c r="H491" i="9"/>
  <c r="G491" i="9"/>
  <c r="F491" i="9"/>
  <c r="E491" i="9"/>
  <c r="P491" i="9"/>
  <c r="L491" i="14" s="1"/>
  <c r="O491" i="9"/>
  <c r="D491" i="9"/>
  <c r="C491" i="9"/>
  <c r="Q491" i="9"/>
  <c r="R491" i="9" s="1"/>
  <c r="G490" i="9"/>
  <c r="C490" i="9"/>
  <c r="D490" i="9"/>
  <c r="E490" i="9"/>
  <c r="F490" i="9"/>
  <c r="H490" i="9"/>
  <c r="I490" i="9"/>
  <c r="J490" i="9"/>
  <c r="K490" i="9"/>
  <c r="L490" i="9"/>
  <c r="M490" i="9"/>
  <c r="N490" i="9"/>
  <c r="O490" i="9"/>
  <c r="P490" i="9"/>
  <c r="L490" i="14" s="1"/>
  <c r="Q490" i="9"/>
  <c r="R490" i="9"/>
  <c r="H489" i="9"/>
  <c r="C489" i="9"/>
  <c r="D489" i="9"/>
  <c r="E489" i="9"/>
  <c r="F489" i="9"/>
  <c r="G489" i="9"/>
  <c r="Q489" i="9"/>
  <c r="R489" i="9" s="1"/>
  <c r="P489" i="9"/>
  <c r="L489" i="14" s="1"/>
  <c r="O489" i="9"/>
  <c r="N489" i="9"/>
  <c r="L489" i="9"/>
  <c r="M489" i="9" s="1"/>
  <c r="K489" i="9"/>
  <c r="J489" i="9"/>
  <c r="I489" i="9"/>
  <c r="I488" i="9"/>
  <c r="J488" i="9"/>
  <c r="K488" i="9"/>
  <c r="L488" i="9"/>
  <c r="M488" i="9"/>
  <c r="N488" i="9"/>
  <c r="O488" i="9"/>
  <c r="H488" i="9"/>
  <c r="Q488" i="9"/>
  <c r="R488" i="9"/>
  <c r="P488" i="9"/>
  <c r="L488" i="14" s="1"/>
  <c r="G488" i="9"/>
  <c r="D488" i="9"/>
  <c r="E488" i="9"/>
  <c r="F488" i="9"/>
  <c r="C488" i="9"/>
  <c r="Q487" i="9"/>
  <c r="R487" i="9"/>
  <c r="P487" i="9"/>
  <c r="L487" i="14" s="1"/>
  <c r="O487" i="9"/>
  <c r="N487" i="9"/>
  <c r="L487" i="9"/>
  <c r="M487" i="9" s="1"/>
  <c r="K487" i="9"/>
  <c r="J487" i="9"/>
  <c r="I487" i="9"/>
  <c r="H487" i="9"/>
  <c r="G487" i="9"/>
  <c r="F487" i="9"/>
  <c r="E487" i="9"/>
  <c r="D487" i="9"/>
  <c r="C487" i="9"/>
  <c r="H486" i="9"/>
  <c r="F486" i="9"/>
  <c r="E486" i="9"/>
  <c r="D486" i="9"/>
  <c r="Q486" i="9"/>
  <c r="C486" i="9"/>
  <c r="G486" i="9"/>
  <c r="I486" i="9"/>
  <c r="R486" i="9"/>
  <c r="P486" i="9"/>
  <c r="L486" i="14" s="1"/>
  <c r="O486" i="9"/>
  <c r="N486" i="9"/>
  <c r="L486" i="9"/>
  <c r="M486" i="9" s="1"/>
  <c r="K486" i="9"/>
  <c r="J486" i="9"/>
  <c r="J485" i="9"/>
  <c r="K485" i="9"/>
  <c r="L485" i="9"/>
  <c r="M485" i="9"/>
  <c r="N485" i="9"/>
  <c r="P485" i="9"/>
  <c r="L485" i="14" s="1"/>
  <c r="Q485" i="9"/>
  <c r="R485" i="9"/>
  <c r="O485" i="9"/>
  <c r="C485" i="9"/>
  <c r="D485" i="9"/>
  <c r="E485" i="9"/>
  <c r="F485" i="9"/>
  <c r="G485" i="9"/>
  <c r="H485" i="9"/>
  <c r="I485" i="9"/>
  <c r="L484" i="9"/>
  <c r="N484" i="9"/>
  <c r="H484" i="9"/>
  <c r="C484" i="9"/>
  <c r="M484" i="9"/>
  <c r="I484" i="9"/>
  <c r="J484" i="9"/>
  <c r="K484" i="9"/>
  <c r="D484" i="9"/>
  <c r="E484" i="9"/>
  <c r="F484" i="9"/>
  <c r="O484" i="9"/>
  <c r="P484" i="9"/>
  <c r="L484" i="14" s="1"/>
  <c r="Q484" i="9"/>
  <c r="R484" i="9"/>
  <c r="G484" i="9"/>
  <c r="I483" i="9"/>
  <c r="H483" i="9"/>
  <c r="G483" i="9"/>
  <c r="F483" i="9"/>
  <c r="E483" i="9"/>
  <c r="D483" i="9"/>
  <c r="N483" i="9"/>
  <c r="C483" i="9"/>
  <c r="L483" i="9"/>
  <c r="M483" i="9"/>
  <c r="O483" i="9"/>
  <c r="P483" i="9"/>
  <c r="L483" i="14" s="1"/>
  <c r="Q483" i="9"/>
  <c r="R483" i="9"/>
  <c r="K483" i="9"/>
  <c r="J483" i="9"/>
  <c r="C482" i="9"/>
  <c r="J482" i="9"/>
  <c r="Q482" i="9"/>
  <c r="P482" i="9"/>
  <c r="L482" i="14" s="1"/>
  <c r="O482" i="9"/>
  <c r="N482" i="9"/>
  <c r="R482" i="9"/>
  <c r="L482" i="9"/>
  <c r="M482" i="9" s="1"/>
  <c r="K482" i="9"/>
  <c r="I482" i="9"/>
  <c r="H482" i="9"/>
  <c r="G482" i="9"/>
  <c r="F482" i="9"/>
  <c r="E482" i="9"/>
  <c r="D482" i="9"/>
  <c r="D481" i="9"/>
  <c r="E481" i="9"/>
  <c r="F481" i="9"/>
  <c r="H481" i="9"/>
  <c r="I481" i="9"/>
  <c r="J481" i="9"/>
  <c r="C481" i="9"/>
  <c r="Q481" i="9"/>
  <c r="R481" i="9" s="1"/>
  <c r="P481" i="9"/>
  <c r="L481" i="14" s="1"/>
  <c r="O481" i="9"/>
  <c r="N481" i="9"/>
  <c r="L481" i="9"/>
  <c r="M481" i="9" s="1"/>
  <c r="K481" i="9"/>
  <c r="G481" i="9"/>
  <c r="C480" i="9"/>
  <c r="D480" i="9"/>
  <c r="E480" i="9"/>
  <c r="G480" i="9"/>
  <c r="H480" i="9"/>
  <c r="I480" i="9"/>
  <c r="J480" i="9"/>
  <c r="K480" i="9"/>
  <c r="L480" i="9"/>
  <c r="M480" i="9"/>
  <c r="N480" i="9"/>
  <c r="O480" i="9"/>
  <c r="P480" i="9"/>
  <c r="L480" i="14" s="1"/>
  <c r="Q480" i="9"/>
  <c r="R480" i="9"/>
  <c r="F480" i="9"/>
  <c r="Q479" i="9"/>
  <c r="R479" i="9" s="1"/>
  <c r="P479" i="9"/>
  <c r="L479" i="14" s="1"/>
  <c r="N479" i="9"/>
  <c r="L479" i="9"/>
  <c r="M479" i="9" s="1"/>
  <c r="K479" i="9"/>
  <c r="J479" i="9"/>
  <c r="O479" i="9"/>
  <c r="I479" i="9"/>
  <c r="H479" i="9"/>
  <c r="G479" i="9"/>
  <c r="F479" i="9"/>
  <c r="E479" i="9"/>
  <c r="D479" i="9"/>
  <c r="C479" i="9"/>
  <c r="C478" i="9"/>
  <c r="P478" i="9"/>
  <c r="L478" i="14" s="1"/>
  <c r="N478" i="9"/>
  <c r="L478" i="9"/>
  <c r="M478" i="9" s="1"/>
  <c r="K478" i="9"/>
  <c r="J478" i="9"/>
  <c r="I478" i="9"/>
  <c r="H478" i="9"/>
  <c r="G478" i="9"/>
  <c r="F478" i="9"/>
  <c r="E478" i="9"/>
  <c r="D478" i="9"/>
  <c r="Q478" i="9"/>
  <c r="R478" i="9" s="1"/>
  <c r="O478" i="9"/>
  <c r="D477" i="9"/>
  <c r="Q477" i="9"/>
  <c r="R477" i="9" s="1"/>
  <c r="P477" i="9"/>
  <c r="L477" i="14" s="1"/>
  <c r="O477" i="9"/>
  <c r="N477" i="9"/>
  <c r="L477" i="9"/>
  <c r="M477" i="9" s="1"/>
  <c r="K477" i="9"/>
  <c r="J477" i="9"/>
  <c r="I477" i="9"/>
  <c r="H477" i="9"/>
  <c r="G477" i="9"/>
  <c r="F477" i="9"/>
  <c r="E477" i="9"/>
  <c r="C477" i="9"/>
  <c r="J476" i="9"/>
  <c r="Q476" i="9"/>
  <c r="D476" i="9"/>
  <c r="E476" i="9"/>
  <c r="F476" i="9"/>
  <c r="G476" i="9"/>
  <c r="H476" i="9"/>
  <c r="I476" i="9"/>
  <c r="L476" i="9"/>
  <c r="K476" i="9"/>
  <c r="M476" i="9"/>
  <c r="N476" i="9"/>
  <c r="O476" i="9"/>
  <c r="P476" i="9"/>
  <c r="L476" i="14" s="1"/>
  <c r="R476" i="9"/>
  <c r="C476" i="9"/>
  <c r="O475" i="9"/>
  <c r="H475" i="9"/>
  <c r="K475" i="9"/>
  <c r="I475" i="9"/>
  <c r="L475" i="9"/>
  <c r="M475" i="9"/>
  <c r="N475" i="9"/>
  <c r="P475" i="9"/>
  <c r="L475" i="14" s="1"/>
  <c r="Q475" i="9"/>
  <c r="R475" i="9"/>
  <c r="J475" i="9"/>
  <c r="G475" i="9"/>
  <c r="C475" i="9"/>
  <c r="D475" i="9"/>
  <c r="E475" i="9"/>
  <c r="F475" i="9"/>
  <c r="H474" i="9"/>
  <c r="C474" i="9"/>
  <c r="D474" i="9"/>
  <c r="E474" i="9"/>
  <c r="F474" i="9"/>
  <c r="G474" i="9"/>
  <c r="O474" i="9"/>
  <c r="Q474" i="9"/>
  <c r="R474" i="9" s="1"/>
  <c r="P474" i="9"/>
  <c r="L474" i="14" s="1"/>
  <c r="N474" i="9"/>
  <c r="L474" i="9"/>
  <c r="M474" i="9" s="1"/>
  <c r="K474" i="9"/>
  <c r="J474" i="9"/>
  <c r="I474" i="9"/>
  <c r="O473" i="9"/>
  <c r="Q473" i="9"/>
  <c r="R473" i="9"/>
  <c r="P473" i="9"/>
  <c r="L473" i="14" s="1"/>
  <c r="N473" i="9"/>
  <c r="L473" i="9"/>
  <c r="K473" i="9"/>
  <c r="J473" i="9"/>
  <c r="I473" i="9"/>
  <c r="H473" i="9"/>
  <c r="G473" i="9"/>
  <c r="F473" i="9"/>
  <c r="E473" i="9"/>
  <c r="M473" i="9"/>
  <c r="C473" i="9"/>
  <c r="D473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L472" i="14" s="1"/>
  <c r="Q472" i="9"/>
  <c r="R472" i="9"/>
  <c r="E471" i="9"/>
  <c r="D471" i="9"/>
  <c r="C471" i="9"/>
  <c r="N471" i="9"/>
  <c r="L471" i="9"/>
  <c r="M471" i="9" s="1"/>
  <c r="J471" i="9"/>
  <c r="K471" i="9"/>
  <c r="Q471" i="9"/>
  <c r="R471" i="9" s="1"/>
  <c r="P471" i="9"/>
  <c r="L471" i="14" s="1"/>
  <c r="O471" i="9"/>
  <c r="I471" i="9"/>
  <c r="H471" i="9"/>
  <c r="G471" i="9"/>
  <c r="F471" i="9"/>
  <c r="L470" i="9"/>
  <c r="M470" i="9" s="1"/>
  <c r="K470" i="9"/>
  <c r="J470" i="9"/>
  <c r="O470" i="9"/>
  <c r="H470" i="9"/>
  <c r="D470" i="9"/>
  <c r="G470" i="9"/>
  <c r="I470" i="9"/>
  <c r="Q470" i="9"/>
  <c r="R470" i="9" s="1"/>
  <c r="P470" i="9"/>
  <c r="L470" i="14" s="1"/>
  <c r="N470" i="9"/>
  <c r="C470" i="9"/>
  <c r="F470" i="9"/>
  <c r="E470" i="9"/>
  <c r="P469" i="9"/>
  <c r="L469" i="14" s="1"/>
  <c r="O469" i="9"/>
  <c r="N469" i="9"/>
  <c r="C469" i="9"/>
  <c r="L469" i="9"/>
  <c r="J469" i="9"/>
  <c r="K469" i="9"/>
  <c r="I469" i="9"/>
  <c r="M469" i="9"/>
  <c r="G469" i="9"/>
  <c r="F469" i="9"/>
  <c r="E469" i="9"/>
  <c r="D469" i="9"/>
  <c r="Q469" i="9"/>
  <c r="R469" i="9" s="1"/>
  <c r="H469" i="9"/>
  <c r="O468" i="9"/>
  <c r="C468" i="9"/>
  <c r="E468" i="9"/>
  <c r="F468" i="9"/>
  <c r="G468" i="9"/>
  <c r="H468" i="9"/>
  <c r="I468" i="9"/>
  <c r="J468" i="9"/>
  <c r="L468" i="9"/>
  <c r="M468" i="9"/>
  <c r="N468" i="9"/>
  <c r="P468" i="9"/>
  <c r="L468" i="14" s="1"/>
  <c r="Q468" i="9"/>
  <c r="R468" i="9"/>
  <c r="D468" i="9"/>
  <c r="K468" i="9"/>
  <c r="N467" i="9"/>
  <c r="O467" i="9"/>
  <c r="Q467" i="9"/>
  <c r="P467" i="9"/>
  <c r="L467" i="14" s="1"/>
  <c r="R467" i="9"/>
  <c r="G467" i="9"/>
  <c r="I467" i="9"/>
  <c r="J467" i="9"/>
  <c r="F467" i="9"/>
  <c r="E467" i="9"/>
  <c r="D467" i="9"/>
  <c r="C467" i="9"/>
  <c r="H467" i="9"/>
  <c r="K467" i="9"/>
  <c r="L467" i="9"/>
  <c r="M467" i="9" s="1"/>
  <c r="I466" i="9"/>
  <c r="L466" i="9"/>
  <c r="Q466" i="9"/>
  <c r="R466" i="9" s="1"/>
  <c r="P466" i="9"/>
  <c r="L466" i="14" s="1"/>
  <c r="N466" i="9"/>
  <c r="M466" i="9"/>
  <c r="K466" i="9"/>
  <c r="C466" i="9"/>
  <c r="D466" i="9"/>
  <c r="E466" i="9"/>
  <c r="F466" i="9"/>
  <c r="G466" i="9"/>
  <c r="H466" i="9"/>
  <c r="J466" i="9"/>
  <c r="O466" i="9"/>
  <c r="H465" i="9"/>
  <c r="G465" i="9"/>
  <c r="F465" i="9"/>
  <c r="E465" i="9"/>
  <c r="D465" i="9"/>
  <c r="C465" i="9"/>
  <c r="Q465" i="9"/>
  <c r="R465" i="9" s="1"/>
  <c r="P465" i="9"/>
  <c r="L465" i="14" s="1"/>
  <c r="O465" i="9"/>
  <c r="N465" i="9"/>
  <c r="L465" i="9"/>
  <c r="M465" i="9" s="1"/>
  <c r="K465" i="9"/>
  <c r="J465" i="9"/>
  <c r="I465" i="9"/>
  <c r="D464" i="9"/>
  <c r="J464" i="9"/>
  <c r="Q464" i="9"/>
  <c r="P464" i="9"/>
  <c r="L464" i="14" s="1"/>
  <c r="O464" i="9"/>
  <c r="N464" i="9"/>
  <c r="L464" i="9"/>
  <c r="M464" i="9" s="1"/>
  <c r="R464" i="9"/>
  <c r="F464" i="9"/>
  <c r="I464" i="9"/>
  <c r="C464" i="9"/>
  <c r="K464" i="9"/>
  <c r="E464" i="9"/>
  <c r="H464" i="9"/>
  <c r="G464" i="9"/>
  <c r="F463" i="9"/>
  <c r="N463" i="9"/>
  <c r="K463" i="9"/>
  <c r="J463" i="9"/>
  <c r="I463" i="9"/>
  <c r="H463" i="9"/>
  <c r="G463" i="9"/>
  <c r="E463" i="9"/>
  <c r="D463" i="9"/>
  <c r="C463" i="9"/>
  <c r="Q463" i="9"/>
  <c r="R463" i="9" s="1"/>
  <c r="P463" i="9"/>
  <c r="L463" i="14" s="1"/>
  <c r="O463" i="9"/>
  <c r="L463" i="9"/>
  <c r="M463" i="9" s="1"/>
  <c r="N462" i="9"/>
  <c r="C462" i="9"/>
  <c r="E462" i="9"/>
  <c r="P462" i="9"/>
  <c r="L462" i="14" s="1"/>
  <c r="Q462" i="9"/>
  <c r="R462" i="9"/>
  <c r="G462" i="9"/>
  <c r="H462" i="9"/>
  <c r="O462" i="9"/>
  <c r="I462" i="9"/>
  <c r="J462" i="9"/>
  <c r="K462" i="9"/>
  <c r="F462" i="9"/>
  <c r="L462" i="9"/>
  <c r="M462" i="9"/>
  <c r="D462" i="9"/>
  <c r="F461" i="9"/>
  <c r="G461" i="9"/>
  <c r="H461" i="9"/>
  <c r="I461" i="9"/>
  <c r="J461" i="9"/>
  <c r="K461" i="9"/>
  <c r="L461" i="9"/>
  <c r="M461" i="9"/>
  <c r="N461" i="9"/>
  <c r="O461" i="9"/>
  <c r="P461" i="9"/>
  <c r="L461" i="14" s="1"/>
  <c r="Q461" i="9"/>
  <c r="R461" i="9"/>
  <c r="D461" i="9"/>
  <c r="C461" i="9"/>
  <c r="E461" i="9"/>
  <c r="K460" i="9"/>
  <c r="J460" i="9"/>
  <c r="I460" i="9"/>
  <c r="H460" i="9"/>
  <c r="G460" i="9"/>
  <c r="F460" i="9"/>
  <c r="E460" i="9"/>
  <c r="C460" i="9"/>
  <c r="D460" i="9"/>
  <c r="Q460" i="9"/>
  <c r="R460" i="9" s="1"/>
  <c r="P460" i="9"/>
  <c r="L460" i="14" s="1"/>
  <c r="O460" i="9"/>
  <c r="N460" i="9"/>
  <c r="L460" i="9"/>
  <c r="M460" i="9" s="1"/>
  <c r="F459" i="9"/>
  <c r="P459" i="9"/>
  <c r="L459" i="14" s="1"/>
  <c r="G459" i="9"/>
  <c r="Q459" i="9"/>
  <c r="C459" i="9"/>
  <c r="R459" i="9"/>
  <c r="E459" i="9"/>
  <c r="D459" i="9"/>
  <c r="O459" i="9"/>
  <c r="N459" i="9"/>
  <c r="L459" i="9"/>
  <c r="M459" i="9" s="1"/>
  <c r="K459" i="9"/>
  <c r="J459" i="9"/>
  <c r="I459" i="9"/>
  <c r="H459" i="9"/>
  <c r="Q458" i="9"/>
  <c r="R458" i="9" s="1"/>
  <c r="P458" i="9"/>
  <c r="L458" i="14" s="1"/>
  <c r="O458" i="9"/>
  <c r="N458" i="9"/>
  <c r="D458" i="9"/>
  <c r="E458" i="9"/>
  <c r="C458" i="9"/>
  <c r="L458" i="9"/>
  <c r="M458" i="9" s="1"/>
  <c r="K458" i="9"/>
  <c r="I458" i="9"/>
  <c r="H458" i="9"/>
  <c r="G458" i="9"/>
  <c r="F458" i="9"/>
  <c r="J458" i="9"/>
  <c r="K457" i="9"/>
  <c r="L457" i="9"/>
  <c r="M457" i="9"/>
  <c r="N457" i="9"/>
  <c r="O457" i="9"/>
  <c r="P457" i="9"/>
  <c r="L457" i="14" s="1"/>
  <c r="Q457" i="9"/>
  <c r="R457" i="9" s="1"/>
  <c r="C457" i="9"/>
  <c r="D457" i="9"/>
  <c r="E457" i="9"/>
  <c r="F457" i="9"/>
  <c r="G457" i="9"/>
  <c r="H457" i="9"/>
  <c r="I457" i="9"/>
  <c r="J457" i="9"/>
  <c r="G456" i="9"/>
  <c r="F456" i="9"/>
  <c r="E456" i="9"/>
  <c r="D456" i="9"/>
  <c r="C456" i="9"/>
  <c r="P456" i="9"/>
  <c r="L456" i="14" s="1"/>
  <c r="Q456" i="9"/>
  <c r="R456" i="9" s="1"/>
  <c r="N456" i="9"/>
  <c r="L456" i="9"/>
  <c r="M456" i="9" s="1"/>
  <c r="K456" i="9"/>
  <c r="J456" i="9"/>
  <c r="O456" i="9"/>
  <c r="I456" i="9"/>
  <c r="H456" i="9"/>
  <c r="G455" i="9"/>
  <c r="Q455" i="9"/>
  <c r="R455" i="9" s="1"/>
  <c r="P455" i="9"/>
  <c r="L455" i="14" s="1"/>
  <c r="O455" i="9"/>
  <c r="N455" i="9"/>
  <c r="L455" i="9"/>
  <c r="M455" i="9" s="1"/>
  <c r="K455" i="9"/>
  <c r="J455" i="9"/>
  <c r="I455" i="9"/>
  <c r="H455" i="9"/>
  <c r="F455" i="9"/>
  <c r="E455" i="9"/>
  <c r="D455" i="9"/>
  <c r="C455" i="9"/>
  <c r="E454" i="9"/>
  <c r="I454" i="9"/>
  <c r="J454" i="9"/>
  <c r="L454" i="9"/>
  <c r="M454" i="9" s="1"/>
  <c r="K454" i="9"/>
  <c r="P454" i="9"/>
  <c r="L454" i="14" s="1"/>
  <c r="G454" i="9"/>
  <c r="H454" i="9"/>
  <c r="F454" i="9"/>
  <c r="C454" i="9"/>
  <c r="D454" i="9"/>
  <c r="Q454" i="9"/>
  <c r="R454" i="9" s="1"/>
  <c r="O454" i="9"/>
  <c r="N454" i="9"/>
  <c r="D453" i="9"/>
  <c r="C453" i="9"/>
  <c r="L453" i="9"/>
  <c r="K453" i="9"/>
  <c r="J453" i="9"/>
  <c r="I453" i="9"/>
  <c r="F453" i="9"/>
  <c r="G453" i="9"/>
  <c r="E453" i="9"/>
  <c r="H453" i="9"/>
  <c r="Q453" i="9"/>
  <c r="R453" i="9" s="1"/>
  <c r="P453" i="9"/>
  <c r="L453" i="14" s="1"/>
  <c r="O453" i="9"/>
  <c r="N453" i="9"/>
  <c r="M453" i="9"/>
  <c r="Q452" i="9"/>
  <c r="R452" i="9" s="1"/>
  <c r="P452" i="9"/>
  <c r="L452" i="14" s="1"/>
  <c r="L452" i="9"/>
  <c r="M452" i="9" s="1"/>
  <c r="E452" i="9"/>
  <c r="F452" i="9"/>
  <c r="D452" i="9"/>
  <c r="G452" i="9"/>
  <c r="N452" i="9"/>
  <c r="H452" i="9"/>
  <c r="I452" i="9"/>
  <c r="J452" i="9"/>
  <c r="K452" i="9"/>
  <c r="C452" i="9"/>
  <c r="O452" i="9"/>
  <c r="F451" i="9"/>
  <c r="Q451" i="9"/>
  <c r="R451" i="9" s="1"/>
  <c r="P451" i="9"/>
  <c r="L451" i="14" s="1"/>
  <c r="O451" i="9"/>
  <c r="N451" i="9"/>
  <c r="L451" i="9"/>
  <c r="M451" i="9" s="1"/>
  <c r="K451" i="9"/>
  <c r="J451" i="9"/>
  <c r="I451" i="9"/>
  <c r="H451" i="9"/>
  <c r="G451" i="9"/>
  <c r="E451" i="9"/>
  <c r="D451" i="9"/>
  <c r="C451" i="9"/>
  <c r="D450" i="9"/>
  <c r="I450" i="9"/>
  <c r="H450" i="9"/>
  <c r="G450" i="9"/>
  <c r="Q450" i="9"/>
  <c r="R450" i="9" s="1"/>
  <c r="P450" i="9"/>
  <c r="L450" i="14" s="1"/>
  <c r="O450" i="9"/>
  <c r="F450" i="9"/>
  <c r="N450" i="9"/>
  <c r="L450" i="9"/>
  <c r="M450" i="9" s="1"/>
  <c r="E450" i="9"/>
  <c r="J450" i="9"/>
  <c r="K450" i="9"/>
  <c r="C450" i="9"/>
  <c r="G449" i="9"/>
  <c r="Q449" i="9"/>
  <c r="R449" i="9" s="1"/>
  <c r="P449" i="9"/>
  <c r="L449" i="14" s="1"/>
  <c r="O449" i="9"/>
  <c r="N449" i="9"/>
  <c r="L449" i="9"/>
  <c r="M449" i="9" s="1"/>
  <c r="K449" i="9"/>
  <c r="J449" i="9"/>
  <c r="I449" i="9"/>
  <c r="H449" i="9"/>
  <c r="F449" i="9"/>
  <c r="E449" i="9"/>
  <c r="D449" i="9"/>
  <c r="C449" i="9"/>
  <c r="Q448" i="9"/>
  <c r="R448" i="9" s="1"/>
  <c r="P448" i="9"/>
  <c r="L448" i="14" s="1"/>
  <c r="O448" i="9"/>
  <c r="N448" i="9"/>
  <c r="L448" i="9"/>
  <c r="M448" i="9" s="1"/>
  <c r="K448" i="9"/>
  <c r="I448" i="9"/>
  <c r="H448" i="9"/>
  <c r="G448" i="9"/>
  <c r="F448" i="9"/>
  <c r="E448" i="9"/>
  <c r="D448" i="9"/>
  <c r="C448" i="9"/>
  <c r="J448" i="9"/>
  <c r="D447" i="9"/>
  <c r="E447" i="9"/>
  <c r="F447" i="9"/>
  <c r="G447" i="9"/>
  <c r="H447" i="9"/>
  <c r="I447" i="9"/>
  <c r="J447" i="9"/>
  <c r="L447" i="9"/>
  <c r="M447" i="9"/>
  <c r="N447" i="9"/>
  <c r="O447" i="9"/>
  <c r="P447" i="9"/>
  <c r="L447" i="14" s="1"/>
  <c r="K447" i="9"/>
  <c r="Q447" i="9"/>
  <c r="R447" i="9"/>
  <c r="C447" i="9"/>
  <c r="Q446" i="9"/>
  <c r="R446" i="9" s="1"/>
  <c r="P446" i="9"/>
  <c r="L446" i="14" s="1"/>
  <c r="O446" i="9"/>
  <c r="N446" i="9"/>
  <c r="L446" i="9"/>
  <c r="M446" i="9" s="1"/>
  <c r="K446" i="9"/>
  <c r="J446" i="9"/>
  <c r="I446" i="9"/>
  <c r="H446" i="9"/>
  <c r="G446" i="9"/>
  <c r="F446" i="9"/>
  <c r="E446" i="9"/>
  <c r="D446" i="9"/>
  <c r="C446" i="9"/>
  <c r="J445" i="9"/>
  <c r="K445" i="9"/>
  <c r="L445" i="9"/>
  <c r="M445" i="9"/>
  <c r="N445" i="9"/>
  <c r="O445" i="9"/>
  <c r="P445" i="9"/>
  <c r="L445" i="14" s="1"/>
  <c r="Q445" i="9"/>
  <c r="R445" i="9"/>
  <c r="C445" i="9"/>
  <c r="D445" i="9"/>
  <c r="E445" i="9"/>
  <c r="F445" i="9"/>
  <c r="G445" i="9"/>
  <c r="H445" i="9"/>
  <c r="I445" i="9"/>
  <c r="P444" i="9"/>
  <c r="L444" i="14" s="1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Q444" i="9"/>
  <c r="R444" i="9"/>
  <c r="K443" i="9"/>
  <c r="L443" i="9"/>
  <c r="M443" i="9"/>
  <c r="N443" i="9"/>
  <c r="O443" i="9"/>
  <c r="P443" i="9"/>
  <c r="L443" i="14" s="1"/>
  <c r="Q443" i="9"/>
  <c r="R443" i="9"/>
  <c r="J443" i="9"/>
  <c r="I443" i="9"/>
  <c r="C443" i="9"/>
  <c r="D443" i="9"/>
  <c r="E443" i="9"/>
  <c r="F443" i="9"/>
  <c r="G443" i="9"/>
  <c r="H443" i="9"/>
  <c r="L442" i="9"/>
  <c r="K442" i="9"/>
  <c r="J442" i="9"/>
  <c r="I442" i="9"/>
  <c r="H442" i="9"/>
  <c r="G442" i="9"/>
  <c r="F442" i="9"/>
  <c r="C442" i="9"/>
  <c r="P442" i="9"/>
  <c r="L442" i="14" s="1"/>
  <c r="N442" i="9"/>
  <c r="Q442" i="9"/>
  <c r="R442" i="9" s="1"/>
  <c r="M442" i="9"/>
  <c r="O442" i="9"/>
  <c r="E442" i="9"/>
  <c r="D442" i="9"/>
  <c r="J441" i="9"/>
  <c r="I441" i="9"/>
  <c r="H441" i="9"/>
  <c r="G441" i="9"/>
  <c r="F441" i="9"/>
  <c r="E441" i="9"/>
  <c r="D441" i="9"/>
  <c r="C441" i="9"/>
  <c r="P441" i="9"/>
  <c r="L441" i="14" s="1"/>
  <c r="K441" i="9"/>
  <c r="Q441" i="9"/>
  <c r="R441" i="9" s="1"/>
  <c r="L441" i="9"/>
  <c r="O441" i="9"/>
  <c r="N441" i="9"/>
  <c r="M441" i="9"/>
  <c r="L440" i="9"/>
  <c r="I440" i="9"/>
  <c r="M440" i="9"/>
  <c r="H440" i="9"/>
  <c r="N440" i="9"/>
  <c r="O440" i="9"/>
  <c r="P440" i="9"/>
  <c r="L440" i="14" s="1"/>
  <c r="G440" i="9"/>
  <c r="F440" i="9"/>
  <c r="J440" i="9"/>
  <c r="E440" i="9"/>
  <c r="D440" i="9"/>
  <c r="Q440" i="9"/>
  <c r="C440" i="9"/>
  <c r="R440" i="9"/>
  <c r="K440" i="9"/>
  <c r="Q439" i="9"/>
  <c r="R439" i="9" s="1"/>
  <c r="P439" i="9"/>
  <c r="L439" i="14" s="1"/>
  <c r="O439" i="9"/>
  <c r="N439" i="9"/>
  <c r="L439" i="9"/>
  <c r="M439" i="9" s="1"/>
  <c r="K439" i="9"/>
  <c r="J439" i="9"/>
  <c r="I439" i="9"/>
  <c r="H439" i="9"/>
  <c r="G439" i="9"/>
  <c r="F439" i="9"/>
  <c r="E439" i="9"/>
  <c r="D439" i="9"/>
  <c r="C439" i="9"/>
  <c r="Q438" i="9"/>
  <c r="R438" i="9" s="1"/>
  <c r="P438" i="9"/>
  <c r="L438" i="14" s="1"/>
  <c r="J438" i="9"/>
  <c r="O438" i="9"/>
  <c r="N438" i="9"/>
  <c r="L438" i="9"/>
  <c r="M438" i="9" s="1"/>
  <c r="K438" i="9"/>
  <c r="I438" i="9"/>
  <c r="H438" i="9"/>
  <c r="G438" i="9"/>
  <c r="F438" i="9"/>
  <c r="E438" i="9"/>
  <c r="D438" i="9"/>
  <c r="C438" i="9"/>
  <c r="Q437" i="9"/>
  <c r="R437" i="9" s="1"/>
  <c r="O437" i="9"/>
  <c r="N437" i="9"/>
  <c r="L437" i="9"/>
  <c r="M437" i="9" s="1"/>
  <c r="K437" i="9"/>
  <c r="J437" i="9"/>
  <c r="I437" i="9"/>
  <c r="H437" i="9"/>
  <c r="G437" i="9"/>
  <c r="F437" i="9"/>
  <c r="E437" i="9"/>
  <c r="D437" i="9"/>
  <c r="C437" i="9"/>
  <c r="P437" i="9"/>
  <c r="L437" i="14" s="1"/>
  <c r="K436" i="9"/>
  <c r="C436" i="9"/>
  <c r="P436" i="9"/>
  <c r="L436" i="14" s="1"/>
  <c r="Q436" i="9"/>
  <c r="R436" i="9" s="1"/>
  <c r="O436" i="9"/>
  <c r="N436" i="9"/>
  <c r="L436" i="9"/>
  <c r="M436" i="9" s="1"/>
  <c r="J436" i="9"/>
  <c r="I436" i="9"/>
  <c r="H436" i="9"/>
  <c r="G436" i="9"/>
  <c r="F436" i="9"/>
  <c r="E436" i="9"/>
  <c r="D436" i="9"/>
  <c r="D435" i="9"/>
  <c r="C435" i="9"/>
  <c r="O435" i="9"/>
  <c r="N435" i="9"/>
  <c r="L435" i="9"/>
  <c r="M435" i="9" s="1"/>
  <c r="E435" i="9"/>
  <c r="Q435" i="9"/>
  <c r="R435" i="9" s="1"/>
  <c r="J435" i="9"/>
  <c r="I435" i="9"/>
  <c r="H435" i="9"/>
  <c r="G435" i="9"/>
  <c r="F435" i="9"/>
  <c r="P435" i="9"/>
  <c r="L435" i="14" s="1"/>
  <c r="K435" i="9"/>
  <c r="Q434" i="9"/>
  <c r="R434" i="9"/>
  <c r="C434" i="9"/>
  <c r="D434" i="9"/>
  <c r="E434" i="9"/>
  <c r="F434" i="9"/>
  <c r="G434" i="9"/>
  <c r="H434" i="9"/>
  <c r="I434" i="9"/>
  <c r="J434" i="9"/>
  <c r="K434" i="9"/>
  <c r="L434" i="9"/>
  <c r="M434" i="9"/>
  <c r="N434" i="9"/>
  <c r="O434" i="9"/>
  <c r="P434" i="9"/>
  <c r="L434" i="14" s="1"/>
  <c r="C433" i="9"/>
  <c r="L433" i="9"/>
  <c r="M433" i="9"/>
  <c r="N433" i="9"/>
  <c r="O433" i="9"/>
  <c r="P433" i="9"/>
  <c r="L433" i="14" s="1"/>
  <c r="I433" i="9"/>
  <c r="D433" i="9"/>
  <c r="Q433" i="9"/>
  <c r="R433" i="9" s="1"/>
  <c r="F433" i="9"/>
  <c r="E433" i="9"/>
  <c r="G433" i="9"/>
  <c r="H433" i="9"/>
  <c r="J433" i="9"/>
  <c r="K433" i="9"/>
  <c r="Q432" i="9"/>
  <c r="R432" i="9" s="1"/>
  <c r="P432" i="9"/>
  <c r="L432" i="14" s="1"/>
  <c r="O432" i="9"/>
  <c r="N432" i="9"/>
  <c r="L432" i="9"/>
  <c r="M432" i="9" s="1"/>
  <c r="K432" i="9"/>
  <c r="J432" i="9"/>
  <c r="H432" i="9"/>
  <c r="G432" i="9"/>
  <c r="F432" i="9"/>
  <c r="E432" i="9"/>
  <c r="D432" i="9"/>
  <c r="C432" i="9"/>
  <c r="I432" i="9"/>
  <c r="Q431" i="9"/>
  <c r="R431" i="9" s="1"/>
  <c r="P431" i="9"/>
  <c r="L431" i="14" s="1"/>
  <c r="O431" i="9"/>
  <c r="N431" i="9"/>
  <c r="L431" i="9"/>
  <c r="M431" i="9" s="1"/>
  <c r="K431" i="9"/>
  <c r="J431" i="9"/>
  <c r="E431" i="9"/>
  <c r="C431" i="9"/>
  <c r="D431" i="9"/>
  <c r="H431" i="9"/>
  <c r="G431" i="9"/>
  <c r="F431" i="9"/>
  <c r="I431" i="9"/>
  <c r="I430" i="9"/>
  <c r="H430" i="9"/>
  <c r="G430" i="9"/>
  <c r="F430" i="9"/>
  <c r="E430" i="9"/>
  <c r="L430" i="9"/>
  <c r="D430" i="9"/>
  <c r="C430" i="9"/>
  <c r="O430" i="9"/>
  <c r="M430" i="9"/>
  <c r="N430" i="9"/>
  <c r="P430" i="9"/>
  <c r="L430" i="14" s="1"/>
  <c r="K430" i="9"/>
  <c r="Q430" i="9"/>
  <c r="R430" i="9"/>
  <c r="J430" i="9"/>
  <c r="D429" i="9"/>
  <c r="C429" i="9"/>
  <c r="J429" i="9"/>
  <c r="K429" i="9"/>
  <c r="H429" i="9"/>
  <c r="G429" i="9"/>
  <c r="F429" i="9"/>
  <c r="N429" i="9"/>
  <c r="L429" i="9"/>
  <c r="M429" i="9" s="1"/>
  <c r="O429" i="9"/>
  <c r="P429" i="9"/>
  <c r="L429" i="14" s="1"/>
  <c r="Q429" i="9"/>
  <c r="R429" i="9"/>
  <c r="E429" i="9"/>
  <c r="I429" i="9"/>
  <c r="D428" i="9"/>
  <c r="C428" i="9"/>
  <c r="Q428" i="9"/>
  <c r="R428" i="9" s="1"/>
  <c r="P428" i="9"/>
  <c r="L428" i="14" s="1"/>
  <c r="O428" i="9"/>
  <c r="N428" i="9"/>
  <c r="L428" i="9"/>
  <c r="M428" i="9" s="1"/>
  <c r="K428" i="9"/>
  <c r="J428" i="9"/>
  <c r="I428" i="9"/>
  <c r="H428" i="9"/>
  <c r="G428" i="9"/>
  <c r="F428" i="9"/>
  <c r="E428" i="9"/>
  <c r="E427" i="9"/>
  <c r="C427" i="9"/>
  <c r="L427" i="9"/>
  <c r="Q427" i="9"/>
  <c r="R427" i="9" s="1"/>
  <c r="P427" i="9"/>
  <c r="L427" i="14" s="1"/>
  <c r="O427" i="9"/>
  <c r="N427" i="9"/>
  <c r="M427" i="9"/>
  <c r="K427" i="9"/>
  <c r="J427" i="9"/>
  <c r="I427" i="9"/>
  <c r="D427" i="9"/>
  <c r="H427" i="9"/>
  <c r="G427" i="9"/>
  <c r="F427" i="9"/>
  <c r="Q426" i="9"/>
  <c r="R426" i="9" s="1"/>
  <c r="P426" i="9"/>
  <c r="L426" i="14" s="1"/>
  <c r="O426" i="9"/>
  <c r="N426" i="9"/>
  <c r="L426" i="9"/>
  <c r="M426" i="9" s="1"/>
  <c r="K426" i="9"/>
  <c r="J426" i="9"/>
  <c r="I426" i="9"/>
  <c r="H426" i="9"/>
  <c r="G426" i="9"/>
  <c r="F426" i="9"/>
  <c r="E426" i="9"/>
  <c r="D426" i="9"/>
  <c r="C426" i="9"/>
  <c r="H425" i="9"/>
  <c r="F425" i="9"/>
  <c r="D425" i="9"/>
  <c r="L425" i="9"/>
  <c r="Q425" i="9"/>
  <c r="R425" i="9" s="1"/>
  <c r="P425" i="9"/>
  <c r="L425" i="14" s="1"/>
  <c r="O425" i="9"/>
  <c r="M425" i="9"/>
  <c r="N425" i="9"/>
  <c r="K425" i="9"/>
  <c r="J425" i="9"/>
  <c r="I425" i="9"/>
  <c r="G425" i="9"/>
  <c r="E425" i="9"/>
  <c r="C425" i="9"/>
  <c r="C424" i="9"/>
  <c r="K424" i="9"/>
  <c r="I424" i="9"/>
  <c r="H424" i="9"/>
  <c r="D424" i="9"/>
  <c r="P424" i="9"/>
  <c r="L424" i="14" s="1"/>
  <c r="E424" i="9"/>
  <c r="O424" i="9"/>
  <c r="N424" i="9"/>
  <c r="L424" i="9"/>
  <c r="J424" i="9"/>
  <c r="G424" i="9"/>
  <c r="F424" i="9"/>
  <c r="Q424" i="9"/>
  <c r="R424" i="9" s="1"/>
  <c r="M424" i="9"/>
  <c r="D423" i="9"/>
  <c r="Q423" i="9"/>
  <c r="O423" i="9"/>
  <c r="K423" i="9"/>
  <c r="I423" i="9"/>
  <c r="G423" i="9"/>
  <c r="F423" i="9"/>
  <c r="E423" i="9"/>
  <c r="C423" i="9"/>
  <c r="R423" i="9"/>
  <c r="P423" i="9"/>
  <c r="L423" i="14" s="1"/>
  <c r="N423" i="9"/>
  <c r="L423" i="9"/>
  <c r="M423" i="9" s="1"/>
  <c r="J423" i="9"/>
  <c r="H423" i="9"/>
  <c r="N422" i="9"/>
  <c r="J422" i="9"/>
  <c r="C422" i="9"/>
  <c r="L422" i="9"/>
  <c r="E422" i="9"/>
  <c r="F422" i="9"/>
  <c r="H422" i="9"/>
  <c r="D422" i="9"/>
  <c r="G422" i="9"/>
  <c r="I422" i="9"/>
  <c r="K422" i="9"/>
  <c r="M422" i="9"/>
  <c r="P422" i="9"/>
  <c r="L422" i="14" s="1"/>
  <c r="O422" i="9"/>
  <c r="Q422" i="9"/>
  <c r="R422" i="9" s="1"/>
  <c r="F421" i="9"/>
  <c r="D421" i="9"/>
  <c r="N421" i="9"/>
  <c r="L421" i="9"/>
  <c r="K421" i="9"/>
  <c r="I421" i="9"/>
  <c r="G421" i="9"/>
  <c r="E421" i="9"/>
  <c r="C421" i="9"/>
  <c r="H421" i="9"/>
  <c r="J421" i="9"/>
  <c r="M421" i="9"/>
  <c r="O421" i="9"/>
  <c r="Q421" i="9"/>
  <c r="R421" i="9" s="1"/>
  <c r="P421" i="9"/>
  <c r="L421" i="14" s="1"/>
  <c r="Q420" i="9"/>
  <c r="R420" i="9" s="1"/>
  <c r="O420" i="9"/>
  <c r="N420" i="9"/>
  <c r="L420" i="9"/>
  <c r="K420" i="9"/>
  <c r="I420" i="9"/>
  <c r="G420" i="9"/>
  <c r="F420" i="9"/>
  <c r="E420" i="9"/>
  <c r="C420" i="9"/>
  <c r="M420" i="9"/>
  <c r="J420" i="9"/>
  <c r="H420" i="9"/>
  <c r="D420" i="9"/>
  <c r="P420" i="9"/>
  <c r="L420" i="14" s="1"/>
  <c r="Q419" i="9"/>
  <c r="O419" i="9"/>
  <c r="J419" i="9"/>
  <c r="H419" i="9"/>
  <c r="R419" i="9"/>
  <c r="P419" i="9"/>
  <c r="L419" i="14" s="1"/>
  <c r="N419" i="9"/>
  <c r="L419" i="9"/>
  <c r="M419" i="9" s="1"/>
  <c r="K419" i="9"/>
  <c r="I419" i="9"/>
  <c r="G419" i="9"/>
  <c r="F419" i="9"/>
  <c r="E419" i="9"/>
  <c r="C419" i="9"/>
  <c r="D419" i="9"/>
  <c r="P418" i="9"/>
  <c r="L418" i="14" s="1"/>
  <c r="O418" i="9"/>
  <c r="K418" i="9"/>
  <c r="I418" i="9"/>
  <c r="G418" i="9"/>
  <c r="F418" i="9"/>
  <c r="C418" i="9"/>
  <c r="D418" i="9"/>
  <c r="E418" i="9"/>
  <c r="H418" i="9"/>
  <c r="J418" i="9"/>
  <c r="L418" i="9"/>
  <c r="M418" i="9" s="1"/>
  <c r="N418" i="9"/>
  <c r="Q418" i="9"/>
  <c r="R418" i="9" s="1"/>
  <c r="C417" i="9"/>
  <c r="H417" i="9"/>
  <c r="I417" i="9"/>
  <c r="K417" i="9"/>
  <c r="O417" i="9"/>
  <c r="Q417" i="9"/>
  <c r="R417" i="9" s="1"/>
  <c r="P417" i="9"/>
  <c r="L417" i="14" s="1"/>
  <c r="N417" i="9"/>
  <c r="L417" i="9"/>
  <c r="J417" i="9"/>
  <c r="G417" i="9"/>
  <c r="E417" i="9"/>
  <c r="F417" i="9"/>
  <c r="D417" i="9"/>
  <c r="M417" i="9"/>
  <c r="J416" i="9"/>
  <c r="I416" i="9"/>
  <c r="H416" i="9"/>
  <c r="F416" i="9"/>
  <c r="E416" i="9"/>
  <c r="D416" i="9"/>
  <c r="C416" i="9"/>
  <c r="G416" i="9"/>
  <c r="Q416" i="9"/>
  <c r="R416" i="9"/>
  <c r="P416" i="9"/>
  <c r="L416" i="14" s="1"/>
  <c r="O416" i="9"/>
  <c r="N416" i="9"/>
  <c r="L416" i="9"/>
  <c r="M416" i="9" s="1"/>
  <c r="K416" i="9"/>
  <c r="D415" i="9"/>
  <c r="C415" i="9"/>
  <c r="P415" i="9"/>
  <c r="L415" i="14" s="1"/>
  <c r="N415" i="9"/>
  <c r="L415" i="9"/>
  <c r="E415" i="9"/>
  <c r="H415" i="9"/>
  <c r="J415" i="9"/>
  <c r="M415" i="9"/>
  <c r="O415" i="9"/>
  <c r="Q415" i="9"/>
  <c r="R415" i="9" s="1"/>
  <c r="F415" i="9"/>
  <c r="G415" i="9"/>
  <c r="I415" i="9"/>
  <c r="K415" i="9"/>
  <c r="O414" i="9"/>
  <c r="P414" i="9"/>
  <c r="L414" i="14" s="1"/>
  <c r="N414" i="9"/>
  <c r="L414" i="9"/>
  <c r="J414" i="9"/>
  <c r="H414" i="9"/>
  <c r="E414" i="9"/>
  <c r="C414" i="9"/>
  <c r="D414" i="9"/>
  <c r="F414" i="9"/>
  <c r="G414" i="9"/>
  <c r="I414" i="9"/>
  <c r="K414" i="9"/>
  <c r="M414" i="9"/>
  <c r="Q414" i="9"/>
  <c r="R414" i="9" s="1"/>
  <c r="N413" i="9"/>
  <c r="Q413" i="9"/>
  <c r="L413" i="9"/>
  <c r="M413" i="9" s="1"/>
  <c r="R413" i="9"/>
  <c r="P413" i="9"/>
  <c r="L413" i="14" s="1"/>
  <c r="O413" i="9"/>
  <c r="K413" i="9"/>
  <c r="J413" i="9"/>
  <c r="H413" i="9"/>
  <c r="E413" i="9"/>
  <c r="D413" i="9"/>
  <c r="F413" i="9"/>
  <c r="G413" i="9"/>
  <c r="I413" i="9"/>
  <c r="C413" i="9"/>
  <c r="G412" i="9"/>
  <c r="F412" i="9"/>
  <c r="E412" i="9"/>
  <c r="C412" i="9"/>
  <c r="P412" i="9"/>
  <c r="L412" i="14" s="1"/>
  <c r="O412" i="9"/>
  <c r="Q412" i="9"/>
  <c r="R412" i="9" s="1"/>
  <c r="N412" i="9"/>
  <c r="L412" i="9"/>
  <c r="M412" i="9" s="1"/>
  <c r="K412" i="9"/>
  <c r="I412" i="9"/>
  <c r="J412" i="9"/>
  <c r="H412" i="9"/>
  <c r="D412" i="9"/>
  <c r="Q411" i="9"/>
  <c r="R411" i="9" s="1"/>
  <c r="O411" i="9"/>
  <c r="L411" i="9"/>
  <c r="M411" i="9" s="1"/>
  <c r="J411" i="9"/>
  <c r="H411" i="9"/>
  <c r="E411" i="9"/>
  <c r="C411" i="9"/>
  <c r="P411" i="9"/>
  <c r="L411" i="14" s="1"/>
  <c r="N411" i="9"/>
  <c r="K411" i="9"/>
  <c r="I411" i="9"/>
  <c r="G411" i="9"/>
  <c r="D411" i="9"/>
  <c r="F411" i="9"/>
  <c r="Q410" i="9"/>
  <c r="R410" i="9" s="1"/>
  <c r="O410" i="9"/>
  <c r="N410" i="9"/>
  <c r="L410" i="9"/>
  <c r="J410" i="9"/>
  <c r="H410" i="9"/>
  <c r="F410" i="9"/>
  <c r="D410" i="9"/>
  <c r="P410" i="9"/>
  <c r="L410" i="14" s="1"/>
  <c r="M410" i="9"/>
  <c r="K410" i="9"/>
  <c r="I410" i="9"/>
  <c r="G410" i="9"/>
  <c r="E410" i="9"/>
  <c r="C410" i="9"/>
  <c r="L409" i="9"/>
  <c r="O409" i="9"/>
  <c r="Q409" i="9"/>
  <c r="R409" i="9"/>
  <c r="P409" i="9"/>
  <c r="L409" i="14" s="1"/>
  <c r="M409" i="9"/>
  <c r="J409" i="9"/>
  <c r="E409" i="9"/>
  <c r="G409" i="9"/>
  <c r="H409" i="9"/>
  <c r="C409" i="9"/>
  <c r="D409" i="9"/>
  <c r="I409" i="9"/>
  <c r="K409" i="9"/>
  <c r="F409" i="9"/>
  <c r="N409" i="9"/>
  <c r="P408" i="9"/>
  <c r="L408" i="14" s="1"/>
  <c r="O408" i="9"/>
  <c r="J408" i="9"/>
  <c r="H408" i="9"/>
  <c r="E408" i="9"/>
  <c r="Q408" i="9"/>
  <c r="R408" i="9" s="1"/>
  <c r="N408" i="9"/>
  <c r="L408" i="9"/>
  <c r="M408" i="9" s="1"/>
  <c r="K408" i="9"/>
  <c r="I408" i="9"/>
  <c r="G408" i="9"/>
  <c r="D408" i="9"/>
  <c r="C408" i="9"/>
  <c r="F408" i="9"/>
  <c r="E407" i="9"/>
  <c r="F407" i="9"/>
  <c r="G407" i="9"/>
  <c r="I407" i="9"/>
  <c r="H407" i="9"/>
  <c r="P407" i="9"/>
  <c r="L407" i="14" s="1"/>
  <c r="K407" i="9"/>
  <c r="C407" i="9"/>
  <c r="L407" i="9"/>
  <c r="J407" i="9"/>
  <c r="Q407" i="9"/>
  <c r="R407" i="9" s="1"/>
  <c r="O407" i="9"/>
  <c r="N407" i="9"/>
  <c r="M407" i="9"/>
  <c r="N406" i="9"/>
  <c r="O406" i="9"/>
  <c r="P406" i="9"/>
  <c r="L406" i="14" s="1"/>
  <c r="Q406" i="9"/>
  <c r="R406" i="9"/>
  <c r="L406" i="9"/>
  <c r="M406" i="9" s="1"/>
  <c r="E406" i="9"/>
  <c r="C406" i="9"/>
  <c r="D406" i="9"/>
  <c r="G406" i="9"/>
  <c r="F406" i="9"/>
  <c r="H406" i="9"/>
  <c r="K406" i="9"/>
  <c r="J406" i="9"/>
  <c r="I406" i="9"/>
  <c r="L405" i="9"/>
  <c r="K405" i="9"/>
  <c r="J405" i="9"/>
  <c r="I405" i="9"/>
  <c r="H405" i="9"/>
  <c r="G405" i="9"/>
  <c r="E405" i="9"/>
  <c r="C405" i="9"/>
  <c r="F405" i="9"/>
  <c r="Q405" i="9"/>
  <c r="R405" i="9"/>
  <c r="D405" i="9"/>
  <c r="P405" i="9"/>
  <c r="L405" i="14" s="1"/>
  <c r="O405" i="9"/>
  <c r="N405" i="9"/>
  <c r="M405" i="9"/>
  <c r="E404" i="9"/>
  <c r="F404" i="9"/>
  <c r="D404" i="9"/>
  <c r="H404" i="9"/>
  <c r="J404" i="9"/>
  <c r="G404" i="9"/>
  <c r="I404" i="9"/>
  <c r="Q404" i="9"/>
  <c r="R404" i="9" s="1"/>
  <c r="N404" i="9"/>
  <c r="L404" i="9"/>
  <c r="K404" i="9"/>
  <c r="C404" i="9"/>
  <c r="M404" i="9"/>
  <c r="P404" i="9"/>
  <c r="L404" i="14" s="1"/>
  <c r="O404" i="9"/>
  <c r="L403" i="9"/>
  <c r="P403" i="9"/>
  <c r="L403" i="14" s="1"/>
  <c r="M403" i="9"/>
  <c r="K403" i="9"/>
  <c r="I403" i="9"/>
  <c r="G403" i="9"/>
  <c r="E403" i="9"/>
  <c r="C403" i="9"/>
  <c r="J403" i="9"/>
  <c r="H403" i="9"/>
  <c r="F403" i="9"/>
  <c r="D403" i="9"/>
  <c r="Q403" i="9"/>
  <c r="R403" i="9" s="1"/>
  <c r="O403" i="9"/>
  <c r="N403" i="9"/>
  <c r="H402" i="9"/>
  <c r="I402" i="9"/>
  <c r="C402" i="9"/>
  <c r="D402" i="9"/>
  <c r="Q402" i="9"/>
  <c r="R402" i="9" s="1"/>
  <c r="O402" i="9"/>
  <c r="P402" i="9"/>
  <c r="L402" i="14" s="1"/>
  <c r="N402" i="9"/>
  <c r="K402" i="9"/>
  <c r="L402" i="9"/>
  <c r="M402" i="9" s="1"/>
  <c r="J402" i="9"/>
  <c r="G402" i="9"/>
  <c r="E402" i="9"/>
  <c r="F402" i="9"/>
  <c r="Q401" i="9"/>
  <c r="E401" i="9"/>
  <c r="H401" i="9"/>
  <c r="J401" i="9"/>
  <c r="L401" i="9"/>
  <c r="N401" i="9"/>
  <c r="P401" i="9"/>
  <c r="L401" i="14" s="1"/>
  <c r="R401" i="9"/>
  <c r="D401" i="9"/>
  <c r="C401" i="9"/>
  <c r="G401" i="9"/>
  <c r="I401" i="9"/>
  <c r="K401" i="9"/>
  <c r="M401" i="9"/>
  <c r="O401" i="9"/>
  <c r="F401" i="9"/>
  <c r="E400" i="9"/>
  <c r="N400" i="9"/>
  <c r="K400" i="9"/>
  <c r="O400" i="9"/>
  <c r="P400" i="9"/>
  <c r="L400" i="14" s="1"/>
  <c r="I400" i="9"/>
  <c r="G400" i="9"/>
  <c r="D400" i="9"/>
  <c r="F400" i="9"/>
  <c r="C400" i="9"/>
  <c r="L400" i="9"/>
  <c r="M400" i="9" s="1"/>
  <c r="H400" i="9"/>
  <c r="J400" i="9"/>
  <c r="Q400" i="9"/>
  <c r="R400" i="9" s="1"/>
  <c r="D399" i="9"/>
  <c r="F399" i="9"/>
  <c r="G399" i="9"/>
  <c r="I399" i="9"/>
  <c r="O399" i="9"/>
  <c r="Q399" i="9"/>
  <c r="R399" i="9"/>
  <c r="J399" i="9"/>
  <c r="K399" i="9"/>
  <c r="H399" i="9"/>
  <c r="L399" i="9"/>
  <c r="M399" i="9" s="1"/>
  <c r="N399" i="9"/>
  <c r="P399" i="9"/>
  <c r="L399" i="14" s="1"/>
  <c r="C399" i="9"/>
  <c r="E399" i="9"/>
  <c r="L398" i="9"/>
  <c r="D398" i="9"/>
  <c r="F398" i="9"/>
  <c r="I398" i="9"/>
  <c r="H398" i="9"/>
  <c r="J398" i="9"/>
  <c r="M398" i="9"/>
  <c r="G398" i="9"/>
  <c r="N398" i="9"/>
  <c r="K398" i="9"/>
  <c r="E398" i="9"/>
  <c r="C398" i="9"/>
  <c r="P398" i="9"/>
  <c r="L398" i="14" s="1"/>
  <c r="O398" i="9"/>
  <c r="Q398" i="9"/>
  <c r="R398" i="9" s="1"/>
  <c r="Q397" i="9"/>
  <c r="R397" i="9" s="1"/>
  <c r="O397" i="9"/>
  <c r="N397" i="9"/>
  <c r="L397" i="9"/>
  <c r="J397" i="9"/>
  <c r="H397" i="9"/>
  <c r="D397" i="9"/>
  <c r="I397" i="9"/>
  <c r="P397" i="9"/>
  <c r="L397" i="14" s="1"/>
  <c r="M397" i="9"/>
  <c r="K397" i="9"/>
  <c r="G397" i="9"/>
  <c r="F397" i="9"/>
  <c r="E397" i="9"/>
  <c r="C397" i="9"/>
  <c r="P396" i="9"/>
  <c r="L396" i="14" s="1"/>
  <c r="N396" i="9"/>
  <c r="L396" i="9"/>
  <c r="J396" i="9"/>
  <c r="H396" i="9"/>
  <c r="E396" i="9"/>
  <c r="C396" i="9"/>
  <c r="O396" i="9"/>
  <c r="Q396" i="9"/>
  <c r="R396" i="9"/>
  <c r="K396" i="9"/>
  <c r="F396" i="9"/>
  <c r="G396" i="9"/>
  <c r="I396" i="9"/>
  <c r="M396" i="9"/>
  <c r="D396" i="9"/>
  <c r="J395" i="9"/>
  <c r="H395" i="9"/>
  <c r="D395" i="9"/>
  <c r="K395" i="9"/>
  <c r="Q395" i="9"/>
  <c r="O395" i="9"/>
  <c r="N395" i="9"/>
  <c r="L395" i="9"/>
  <c r="M395" i="9"/>
  <c r="I395" i="9"/>
  <c r="G395" i="9"/>
  <c r="F395" i="9"/>
  <c r="E395" i="9"/>
  <c r="C395" i="9"/>
  <c r="R395" i="9"/>
  <c r="P395" i="9"/>
  <c r="L395" i="14" s="1"/>
  <c r="K394" i="9"/>
  <c r="I394" i="9"/>
  <c r="G394" i="9"/>
  <c r="D394" i="9"/>
  <c r="E394" i="9"/>
  <c r="H394" i="9"/>
  <c r="J394" i="9"/>
  <c r="L394" i="9"/>
  <c r="M394" i="9" s="1"/>
  <c r="C394" i="9"/>
  <c r="N394" i="9"/>
  <c r="O394" i="9"/>
  <c r="Q394" i="9"/>
  <c r="R394" i="9"/>
  <c r="P394" i="9"/>
  <c r="L394" i="14" s="1"/>
  <c r="F394" i="9"/>
  <c r="J393" i="9"/>
  <c r="C393" i="9"/>
  <c r="D393" i="9"/>
  <c r="E393" i="9"/>
  <c r="F393" i="9"/>
  <c r="G393" i="9"/>
  <c r="I393" i="9"/>
  <c r="K393" i="9"/>
  <c r="H393" i="9"/>
  <c r="O393" i="9"/>
  <c r="Q393" i="9"/>
  <c r="R393" i="9"/>
  <c r="P393" i="9"/>
  <c r="L393" i="14" s="1"/>
  <c r="N393" i="9"/>
  <c r="L393" i="9"/>
  <c r="M393" i="9" s="1"/>
  <c r="K392" i="9"/>
  <c r="E392" i="9"/>
  <c r="N392" i="9"/>
  <c r="O392" i="9"/>
  <c r="Q392" i="9"/>
  <c r="R392" i="9"/>
  <c r="P392" i="9"/>
  <c r="L392" i="14" s="1"/>
  <c r="L392" i="9"/>
  <c r="M392" i="9"/>
  <c r="D392" i="9"/>
  <c r="H392" i="9"/>
  <c r="I392" i="9"/>
  <c r="C392" i="9"/>
  <c r="J392" i="9"/>
  <c r="G392" i="9"/>
  <c r="F392" i="9"/>
  <c r="N391" i="9"/>
  <c r="P391" i="9"/>
  <c r="L391" i="14" s="1"/>
  <c r="K391" i="9"/>
  <c r="I391" i="9"/>
  <c r="G391" i="9"/>
  <c r="J391" i="9"/>
  <c r="L391" i="9"/>
  <c r="M391" i="9" s="1"/>
  <c r="D391" i="9"/>
  <c r="O391" i="9"/>
  <c r="Q391" i="9"/>
  <c r="R391" i="9"/>
  <c r="C391" i="9"/>
  <c r="E391" i="9"/>
  <c r="H391" i="9"/>
  <c r="F391" i="9"/>
  <c r="E390" i="9"/>
  <c r="F390" i="9"/>
  <c r="D390" i="9"/>
  <c r="C390" i="9"/>
  <c r="I390" i="9"/>
  <c r="Q390" i="9"/>
  <c r="R390" i="9" s="1"/>
  <c r="O390" i="9"/>
  <c r="N390" i="9"/>
  <c r="L390" i="9"/>
  <c r="M390" i="9" s="1"/>
  <c r="K390" i="9"/>
  <c r="J390" i="9"/>
  <c r="H390" i="9"/>
  <c r="G390" i="9"/>
  <c r="G389" i="9"/>
  <c r="F389" i="9"/>
  <c r="E389" i="9"/>
  <c r="D389" i="9"/>
  <c r="C389" i="9"/>
  <c r="L389" i="9"/>
  <c r="M389" i="9" s="1"/>
  <c r="K389" i="9"/>
  <c r="J389" i="9"/>
  <c r="P389" i="9"/>
  <c r="L389" i="14" s="1"/>
  <c r="O389" i="9"/>
  <c r="I389" i="9"/>
  <c r="H389" i="9"/>
  <c r="N389" i="9"/>
  <c r="Q389" i="9"/>
  <c r="R389" i="9" s="1"/>
  <c r="L388" i="9"/>
  <c r="M388" i="9" s="1"/>
  <c r="K388" i="9"/>
  <c r="J388" i="9"/>
  <c r="I388" i="9"/>
  <c r="H388" i="9"/>
  <c r="G388" i="9"/>
  <c r="F388" i="9"/>
  <c r="E388" i="9"/>
  <c r="D388" i="9"/>
  <c r="C388" i="9"/>
  <c r="Q388" i="9"/>
  <c r="R388" i="9" s="1"/>
  <c r="P388" i="9"/>
  <c r="L388" i="14" s="1"/>
  <c r="O388" i="9"/>
  <c r="N388" i="9"/>
  <c r="C387" i="9"/>
  <c r="F387" i="9"/>
  <c r="N387" i="9"/>
  <c r="D387" i="9"/>
  <c r="E387" i="9"/>
  <c r="G387" i="9"/>
  <c r="H387" i="9"/>
  <c r="I387" i="9"/>
  <c r="J387" i="9"/>
  <c r="K387" i="9"/>
  <c r="L387" i="9"/>
  <c r="M387" i="9"/>
  <c r="O387" i="9"/>
  <c r="P387" i="9"/>
  <c r="L387" i="14" s="1"/>
  <c r="Q387" i="9"/>
  <c r="R387" i="9"/>
  <c r="K386" i="9"/>
  <c r="L386" i="9"/>
  <c r="M386" i="9"/>
  <c r="N386" i="9"/>
  <c r="O386" i="9"/>
  <c r="P386" i="9"/>
  <c r="L386" i="14" s="1"/>
  <c r="Q386" i="9"/>
  <c r="R386" i="9"/>
  <c r="D386" i="9"/>
  <c r="J386" i="9"/>
  <c r="I386" i="9"/>
  <c r="F386" i="9"/>
  <c r="H386" i="9"/>
  <c r="G386" i="9"/>
  <c r="E386" i="9"/>
  <c r="C386" i="9"/>
  <c r="K385" i="9"/>
  <c r="L385" i="9"/>
  <c r="M385" i="9"/>
  <c r="N385" i="9"/>
  <c r="O385" i="9"/>
  <c r="Q385" i="9"/>
  <c r="R385" i="9"/>
  <c r="P385" i="9"/>
  <c r="L385" i="14" s="1"/>
  <c r="F385" i="9"/>
  <c r="C385" i="9"/>
  <c r="D385" i="9"/>
  <c r="E385" i="9"/>
  <c r="G385" i="9"/>
  <c r="H385" i="9"/>
  <c r="I385" i="9"/>
  <c r="J385" i="9"/>
  <c r="C384" i="9"/>
  <c r="D384" i="9"/>
  <c r="E384" i="9"/>
  <c r="F384" i="9"/>
  <c r="G384" i="9"/>
  <c r="H384" i="9"/>
  <c r="I384" i="9"/>
  <c r="J384" i="9"/>
  <c r="K384" i="9"/>
  <c r="L384" i="9"/>
  <c r="N384" i="9"/>
  <c r="O384" i="9"/>
  <c r="M384" i="9"/>
  <c r="P384" i="9"/>
  <c r="L384" i="14" s="1"/>
  <c r="Q384" i="9"/>
  <c r="R384" i="9"/>
  <c r="E383" i="9"/>
  <c r="D383" i="9"/>
  <c r="M383" i="9"/>
  <c r="C383" i="9"/>
  <c r="H383" i="9"/>
  <c r="I383" i="9"/>
  <c r="J383" i="9"/>
  <c r="G383" i="9"/>
  <c r="Q383" i="9"/>
  <c r="R383" i="9" s="1"/>
  <c r="F383" i="9"/>
  <c r="P383" i="9"/>
  <c r="L383" i="14" s="1"/>
  <c r="O383" i="9"/>
  <c r="N383" i="9"/>
  <c r="L383" i="9"/>
  <c r="K383" i="9"/>
  <c r="H382" i="9"/>
  <c r="I382" i="9"/>
  <c r="J382" i="9"/>
  <c r="K382" i="9"/>
  <c r="L382" i="9"/>
  <c r="M382" i="9"/>
  <c r="N382" i="9"/>
  <c r="O382" i="9"/>
  <c r="P382" i="9"/>
  <c r="L382" i="14" s="1"/>
  <c r="Q382" i="9"/>
  <c r="R382" i="9"/>
  <c r="C382" i="9"/>
  <c r="D382" i="9"/>
  <c r="E382" i="9"/>
  <c r="F382" i="9"/>
  <c r="G382" i="9"/>
  <c r="O381" i="9"/>
  <c r="L381" i="9"/>
  <c r="M381" i="9" s="1"/>
  <c r="K381" i="9"/>
  <c r="C381" i="9"/>
  <c r="D381" i="9"/>
  <c r="E381" i="9"/>
  <c r="J381" i="9"/>
  <c r="I381" i="9"/>
  <c r="H381" i="9"/>
  <c r="G381" i="9"/>
  <c r="Q381" i="9"/>
  <c r="R381" i="9" s="1"/>
  <c r="P381" i="9"/>
  <c r="L381" i="14" s="1"/>
  <c r="F381" i="9"/>
  <c r="N381" i="9"/>
  <c r="E380" i="9"/>
  <c r="C380" i="9"/>
  <c r="D380" i="9"/>
  <c r="F380" i="9"/>
  <c r="G380" i="9"/>
  <c r="H380" i="9"/>
  <c r="N380" i="9"/>
  <c r="I380" i="9"/>
  <c r="J380" i="9"/>
  <c r="K380" i="9"/>
  <c r="O380" i="9"/>
  <c r="P380" i="9"/>
  <c r="L380" i="14" s="1"/>
  <c r="Q380" i="9"/>
  <c r="R380" i="9"/>
  <c r="L380" i="9"/>
  <c r="M380" i="9" s="1"/>
  <c r="P379" i="9"/>
  <c r="L379" i="14" s="1"/>
  <c r="Q379" i="9"/>
  <c r="F379" i="9"/>
  <c r="C379" i="9"/>
  <c r="D379" i="9"/>
  <c r="H379" i="9"/>
  <c r="G379" i="9"/>
  <c r="E379" i="9"/>
  <c r="J379" i="9"/>
  <c r="I379" i="9"/>
  <c r="R379" i="9"/>
  <c r="K379" i="9"/>
  <c r="L379" i="9"/>
  <c r="M379" i="9" s="1"/>
  <c r="N379" i="9"/>
  <c r="O379" i="9"/>
  <c r="J378" i="9"/>
  <c r="K378" i="9"/>
  <c r="I378" i="9"/>
  <c r="H378" i="9"/>
  <c r="F378" i="9"/>
  <c r="G378" i="9"/>
  <c r="E378" i="9"/>
  <c r="D378" i="9"/>
  <c r="C378" i="9"/>
  <c r="P378" i="9"/>
  <c r="L378" i="14" s="1"/>
  <c r="O378" i="9"/>
  <c r="N378" i="9"/>
  <c r="L378" i="9"/>
  <c r="M378" i="9" s="1"/>
  <c r="G377" i="9"/>
  <c r="H377" i="9"/>
  <c r="Q377" i="9"/>
  <c r="R377" i="9" s="1"/>
  <c r="N377" i="9"/>
  <c r="L377" i="9"/>
  <c r="M377" i="9" s="1"/>
  <c r="K377" i="9"/>
  <c r="J377" i="9"/>
  <c r="I377" i="9"/>
  <c r="F377" i="9"/>
  <c r="E377" i="9"/>
  <c r="D377" i="9"/>
  <c r="C377" i="9"/>
  <c r="O377" i="9"/>
  <c r="P377" i="9"/>
  <c r="L377" i="14" s="1"/>
  <c r="I376" i="9"/>
  <c r="H376" i="9"/>
  <c r="N376" i="9"/>
  <c r="D376" i="9"/>
  <c r="Q376" i="9"/>
  <c r="R376" i="9" s="1"/>
  <c r="P376" i="9"/>
  <c r="L376" i="14" s="1"/>
  <c r="O376" i="9"/>
  <c r="C376" i="9"/>
  <c r="L376" i="9"/>
  <c r="M376" i="9" s="1"/>
  <c r="E376" i="9"/>
  <c r="K376" i="9"/>
  <c r="J376" i="9"/>
  <c r="G376" i="9"/>
  <c r="F376" i="9"/>
  <c r="K375" i="9"/>
  <c r="J375" i="9"/>
  <c r="H375" i="9"/>
  <c r="G375" i="9"/>
  <c r="F375" i="9"/>
  <c r="E375" i="9"/>
  <c r="D375" i="9"/>
  <c r="C375" i="9"/>
  <c r="I375" i="9"/>
  <c r="Q375" i="9"/>
  <c r="R375" i="9" s="1"/>
  <c r="P375" i="9"/>
  <c r="L375" i="14" s="1"/>
  <c r="O375" i="9"/>
  <c r="N375" i="9"/>
  <c r="L375" i="9"/>
  <c r="M375" i="9" s="1"/>
  <c r="K374" i="9"/>
  <c r="Q374" i="9"/>
  <c r="R374" i="9" s="1"/>
  <c r="P374" i="9"/>
  <c r="L374" i="14" s="1"/>
  <c r="O374" i="9"/>
  <c r="N374" i="9"/>
  <c r="L374" i="9"/>
  <c r="M374" i="9" s="1"/>
  <c r="C374" i="9"/>
  <c r="D374" i="9"/>
  <c r="E374" i="9"/>
  <c r="F374" i="9"/>
  <c r="G374" i="9"/>
  <c r="H374" i="9"/>
  <c r="I374" i="9"/>
  <c r="J374" i="9"/>
  <c r="J373" i="9"/>
  <c r="I373" i="9"/>
  <c r="H373" i="9"/>
  <c r="G373" i="9"/>
  <c r="F373" i="9"/>
  <c r="D373" i="9"/>
  <c r="C373" i="9"/>
  <c r="E373" i="9"/>
  <c r="Q373" i="9"/>
  <c r="R373" i="9" s="1"/>
  <c r="P373" i="9"/>
  <c r="L373" i="14" s="1"/>
  <c r="O373" i="9"/>
  <c r="N373" i="9"/>
  <c r="L373" i="9"/>
  <c r="M373" i="9" s="1"/>
  <c r="K373" i="9"/>
  <c r="L372" i="9"/>
  <c r="M372" i="9"/>
  <c r="N372" i="9"/>
  <c r="P372" i="9"/>
  <c r="L372" i="14" s="1"/>
  <c r="Q372" i="9"/>
  <c r="O372" i="9"/>
  <c r="J372" i="9"/>
  <c r="C372" i="9"/>
  <c r="R372" i="9"/>
  <c r="K372" i="9"/>
  <c r="I372" i="9"/>
  <c r="H372" i="9"/>
  <c r="G372" i="9"/>
  <c r="F372" i="9"/>
  <c r="E372" i="9"/>
  <c r="D372" i="9"/>
  <c r="J371" i="9"/>
  <c r="I371" i="9"/>
  <c r="H371" i="9"/>
  <c r="G371" i="9"/>
  <c r="F371" i="9"/>
  <c r="E371" i="9"/>
  <c r="D371" i="9"/>
  <c r="C371" i="9"/>
  <c r="L371" i="9"/>
  <c r="Q371" i="9"/>
  <c r="R371" i="9" s="1"/>
  <c r="P371" i="9"/>
  <c r="L371" i="14" s="1"/>
  <c r="O371" i="9"/>
  <c r="N371" i="9"/>
  <c r="M371" i="9"/>
  <c r="K371" i="9"/>
  <c r="L370" i="9"/>
  <c r="K370" i="9"/>
  <c r="M370" i="9"/>
  <c r="N370" i="9"/>
  <c r="O370" i="9"/>
  <c r="P370" i="9"/>
  <c r="L370" i="14" s="1"/>
  <c r="Q370" i="9"/>
  <c r="R370" i="9" s="1"/>
  <c r="I370" i="9"/>
  <c r="J370" i="9"/>
  <c r="H370" i="9"/>
  <c r="G370" i="9"/>
  <c r="F370" i="9"/>
  <c r="E370" i="9"/>
  <c r="D370" i="9"/>
  <c r="C370" i="9"/>
  <c r="F369" i="9"/>
  <c r="C369" i="9"/>
  <c r="Q369" i="9"/>
  <c r="R369" i="9" s="1"/>
  <c r="P369" i="9"/>
  <c r="L369" i="14" s="1"/>
  <c r="O369" i="9"/>
  <c r="N369" i="9"/>
  <c r="L369" i="9"/>
  <c r="M369" i="9" s="1"/>
  <c r="K369" i="9"/>
  <c r="J369" i="9"/>
  <c r="I369" i="9"/>
  <c r="H369" i="9"/>
  <c r="G369" i="9"/>
  <c r="E369" i="9"/>
  <c r="D369" i="9"/>
  <c r="D368" i="9"/>
  <c r="C368" i="9"/>
  <c r="Q368" i="9"/>
  <c r="R368" i="9" s="1"/>
  <c r="P368" i="9"/>
  <c r="L368" i="14" s="1"/>
  <c r="H368" i="9"/>
  <c r="O368" i="9"/>
  <c r="N368" i="9"/>
  <c r="L368" i="9"/>
  <c r="M368" i="9" s="1"/>
  <c r="K368" i="9"/>
  <c r="J368" i="9"/>
  <c r="I368" i="9"/>
  <c r="G368" i="9"/>
  <c r="F368" i="9"/>
  <c r="E368" i="9"/>
  <c r="P367" i="9"/>
  <c r="L367" i="14" s="1"/>
  <c r="Q367" i="9"/>
  <c r="O367" i="9"/>
  <c r="N367" i="9"/>
  <c r="K367" i="9"/>
  <c r="J367" i="9"/>
  <c r="I367" i="9"/>
  <c r="H367" i="9"/>
  <c r="G367" i="9"/>
  <c r="F367" i="9"/>
  <c r="E367" i="9"/>
  <c r="D367" i="9"/>
  <c r="C367" i="9"/>
  <c r="R367" i="9"/>
  <c r="L367" i="9"/>
  <c r="M367" i="9" s="1"/>
  <c r="C366" i="9"/>
  <c r="D366" i="9"/>
  <c r="E366" i="9"/>
  <c r="F366" i="9"/>
  <c r="G366" i="9"/>
  <c r="H366" i="9"/>
  <c r="I366" i="9"/>
  <c r="J366" i="9"/>
  <c r="K366" i="9"/>
  <c r="L366" i="9"/>
  <c r="M366" i="9"/>
  <c r="N366" i="9"/>
  <c r="O366" i="9"/>
  <c r="P366" i="9"/>
  <c r="L366" i="14" s="1"/>
  <c r="Q366" i="9"/>
  <c r="R366" i="9" s="1"/>
  <c r="D365" i="9"/>
  <c r="C365" i="9"/>
  <c r="Q365" i="9"/>
  <c r="R365" i="9"/>
  <c r="E365" i="9"/>
  <c r="G365" i="9"/>
  <c r="H365" i="9"/>
  <c r="F365" i="9"/>
  <c r="I365" i="9"/>
  <c r="J365" i="9"/>
  <c r="K365" i="9"/>
  <c r="L365" i="9"/>
  <c r="M365" i="9" s="1"/>
  <c r="N365" i="9"/>
  <c r="O365" i="9"/>
  <c r="P365" i="9"/>
  <c r="L365" i="14" s="1"/>
  <c r="Q364" i="9"/>
  <c r="R364" i="9" s="1"/>
  <c r="P364" i="9"/>
  <c r="L364" i="14" s="1"/>
  <c r="O364" i="9"/>
  <c r="N364" i="9"/>
  <c r="K364" i="9"/>
  <c r="J364" i="9"/>
  <c r="I364" i="9"/>
  <c r="H364" i="9"/>
  <c r="G364" i="9"/>
  <c r="F364" i="9"/>
  <c r="E364" i="9"/>
  <c r="D364" i="9"/>
  <c r="C364" i="9"/>
  <c r="L364" i="9"/>
  <c r="M364" i="9" s="1"/>
  <c r="O363" i="9"/>
  <c r="D363" i="9"/>
  <c r="E363" i="9"/>
  <c r="Q363" i="9"/>
  <c r="R363" i="9" s="1"/>
  <c r="F363" i="9"/>
  <c r="G363" i="9"/>
  <c r="H363" i="9"/>
  <c r="I363" i="9"/>
  <c r="C363" i="9"/>
  <c r="J363" i="9"/>
  <c r="K363" i="9"/>
  <c r="L363" i="9"/>
  <c r="M363" i="9"/>
  <c r="N363" i="9"/>
  <c r="P363" i="9"/>
  <c r="L363" i="14" s="1"/>
  <c r="Q362" i="9"/>
  <c r="R362" i="9" s="1"/>
  <c r="P362" i="9"/>
  <c r="L362" i="14" s="1"/>
  <c r="O362" i="9"/>
  <c r="N362" i="9"/>
  <c r="L362" i="9"/>
  <c r="M362" i="9" s="1"/>
  <c r="K362" i="9"/>
  <c r="J362" i="9"/>
  <c r="H362" i="9"/>
  <c r="G362" i="9"/>
  <c r="F362" i="9"/>
  <c r="E362" i="9"/>
  <c r="C362" i="9"/>
  <c r="I362" i="9"/>
  <c r="D362" i="9"/>
  <c r="Q361" i="9"/>
  <c r="R361" i="9" s="1"/>
  <c r="P361" i="9"/>
  <c r="L361" i="14" s="1"/>
  <c r="O361" i="9"/>
  <c r="N361" i="9"/>
  <c r="L361" i="9"/>
  <c r="M361" i="9" s="1"/>
  <c r="K361" i="9"/>
  <c r="J361" i="9"/>
  <c r="I361" i="9"/>
  <c r="H361" i="9"/>
  <c r="G361" i="9"/>
  <c r="F361" i="9"/>
  <c r="E361" i="9"/>
  <c r="D361" i="9"/>
  <c r="C361" i="9"/>
  <c r="E360" i="9"/>
  <c r="L360" i="9"/>
  <c r="K360" i="9"/>
  <c r="I360" i="9"/>
  <c r="H360" i="9"/>
  <c r="G360" i="9"/>
  <c r="F360" i="9"/>
  <c r="D360" i="9"/>
  <c r="C360" i="9"/>
  <c r="M360" i="9"/>
  <c r="N360" i="9"/>
  <c r="O360" i="9"/>
  <c r="P360" i="9"/>
  <c r="L360" i="14" s="1"/>
  <c r="Q360" i="9"/>
  <c r="R360" i="9"/>
  <c r="J360" i="9"/>
  <c r="Q359" i="9"/>
  <c r="R359" i="9" s="1"/>
  <c r="P359" i="9"/>
  <c r="L359" i="14" s="1"/>
  <c r="O359" i="9"/>
  <c r="N359" i="9"/>
  <c r="L359" i="9"/>
  <c r="M359" i="9" s="1"/>
  <c r="D359" i="9"/>
  <c r="E359" i="9"/>
  <c r="K359" i="9"/>
  <c r="F359" i="9"/>
  <c r="G359" i="9"/>
  <c r="H359" i="9"/>
  <c r="I359" i="9"/>
  <c r="J359" i="9"/>
  <c r="C359" i="9"/>
  <c r="K358" i="9"/>
  <c r="J358" i="9"/>
  <c r="I358" i="9"/>
  <c r="G358" i="9"/>
  <c r="F358" i="9"/>
  <c r="E358" i="9"/>
  <c r="D358" i="9"/>
  <c r="C358" i="9"/>
  <c r="H358" i="9"/>
  <c r="Q358" i="9"/>
  <c r="R358" i="9" s="1"/>
  <c r="P358" i="9"/>
  <c r="L358" i="14" s="1"/>
  <c r="O358" i="9"/>
  <c r="N358" i="9"/>
  <c r="L358" i="9"/>
  <c r="M358" i="9" s="1"/>
  <c r="C357" i="9"/>
  <c r="Q357" i="9"/>
  <c r="R357" i="9" s="1"/>
  <c r="P357" i="9"/>
  <c r="L357" i="14" s="1"/>
  <c r="O357" i="9"/>
  <c r="N357" i="9"/>
  <c r="L357" i="9"/>
  <c r="M357" i="9" s="1"/>
  <c r="K357" i="9"/>
  <c r="J357" i="9"/>
  <c r="I357" i="9"/>
  <c r="H357" i="9"/>
  <c r="G357" i="9"/>
  <c r="F357" i="9"/>
  <c r="E357" i="9"/>
  <c r="D357" i="9"/>
  <c r="K356" i="9"/>
  <c r="E356" i="9"/>
  <c r="N356" i="9"/>
  <c r="O356" i="9"/>
  <c r="P356" i="9"/>
  <c r="L356" i="14" s="1"/>
  <c r="Q356" i="9"/>
  <c r="R356" i="9"/>
  <c r="C356" i="9"/>
  <c r="D356" i="9"/>
  <c r="F356" i="9"/>
  <c r="G356" i="9"/>
  <c r="H356" i="9"/>
  <c r="I356" i="9"/>
  <c r="J356" i="9"/>
  <c r="L356" i="9"/>
  <c r="M356" i="9" s="1"/>
  <c r="C355" i="9"/>
  <c r="D355" i="9"/>
  <c r="E355" i="9"/>
  <c r="F355" i="9"/>
  <c r="G355" i="9"/>
  <c r="H355" i="9"/>
  <c r="I355" i="9"/>
  <c r="J355" i="9"/>
  <c r="K355" i="9"/>
  <c r="L355" i="9"/>
  <c r="M355" i="9"/>
  <c r="N355" i="9"/>
  <c r="O355" i="9"/>
  <c r="P355" i="9"/>
  <c r="L355" i="14" s="1"/>
  <c r="Q355" i="9"/>
  <c r="R355" i="9"/>
  <c r="Q354" i="9"/>
  <c r="P354" i="9"/>
  <c r="L354" i="14" s="1"/>
  <c r="O354" i="9"/>
  <c r="N354" i="9"/>
  <c r="L354" i="9"/>
  <c r="M354" i="9" s="1"/>
  <c r="K354" i="9"/>
  <c r="J354" i="9"/>
  <c r="G354" i="9"/>
  <c r="I354" i="9"/>
  <c r="C354" i="9"/>
  <c r="F354" i="9"/>
  <c r="R354" i="9"/>
  <c r="D354" i="9"/>
  <c r="H354" i="9"/>
  <c r="E354" i="9"/>
  <c r="I353" i="9"/>
  <c r="C353" i="9"/>
  <c r="K353" i="9"/>
  <c r="L353" i="9"/>
  <c r="M353" i="9"/>
  <c r="N353" i="9"/>
  <c r="O353" i="9"/>
  <c r="P353" i="9"/>
  <c r="L353" i="14" s="1"/>
  <c r="Q353" i="9"/>
  <c r="R353" i="9"/>
  <c r="J353" i="9"/>
  <c r="H353" i="9"/>
  <c r="G353" i="9"/>
  <c r="F353" i="9"/>
  <c r="E353" i="9"/>
  <c r="D353" i="9"/>
  <c r="C352" i="9"/>
  <c r="D352" i="9"/>
  <c r="E352" i="9"/>
  <c r="F352" i="9"/>
  <c r="G352" i="9"/>
  <c r="H352" i="9"/>
  <c r="I352" i="9"/>
  <c r="J352" i="9"/>
  <c r="N352" i="9"/>
  <c r="P352" i="9"/>
  <c r="L352" i="14" s="1"/>
  <c r="K352" i="9"/>
  <c r="O352" i="9"/>
  <c r="Q352" i="9"/>
  <c r="L352" i="9"/>
  <c r="R352" i="9"/>
  <c r="M352" i="9"/>
  <c r="I351" i="9"/>
  <c r="Q351" i="9"/>
  <c r="R351" i="9" s="1"/>
  <c r="P351" i="9"/>
  <c r="L351" i="14" s="1"/>
  <c r="O351" i="9"/>
  <c r="N351" i="9"/>
  <c r="L351" i="9"/>
  <c r="K351" i="9"/>
  <c r="J351" i="9"/>
  <c r="H351" i="9"/>
  <c r="G351" i="9"/>
  <c r="F351" i="9"/>
  <c r="E351" i="9"/>
  <c r="C351" i="9"/>
  <c r="M351" i="9"/>
  <c r="D351" i="9"/>
  <c r="K350" i="9"/>
  <c r="C350" i="9"/>
  <c r="D350" i="9"/>
  <c r="E350" i="9"/>
  <c r="F350" i="9"/>
  <c r="G350" i="9"/>
  <c r="H350" i="9"/>
  <c r="J350" i="9"/>
  <c r="L350" i="9"/>
  <c r="M350" i="9"/>
  <c r="O350" i="9"/>
  <c r="P350" i="9"/>
  <c r="L350" i="14" s="1"/>
  <c r="Q350" i="9"/>
  <c r="N350" i="9"/>
  <c r="R350" i="9"/>
  <c r="I350" i="9"/>
  <c r="Q349" i="9"/>
  <c r="C349" i="9"/>
  <c r="P349" i="9"/>
  <c r="L349" i="14" s="1"/>
  <c r="K349" i="9"/>
  <c r="J349" i="9"/>
  <c r="I349" i="9"/>
  <c r="L349" i="9"/>
  <c r="M349" i="9" s="1"/>
  <c r="H349" i="9"/>
  <c r="R349" i="9"/>
  <c r="G349" i="9"/>
  <c r="F349" i="9"/>
  <c r="E349" i="9"/>
  <c r="O349" i="9"/>
  <c r="D349" i="9"/>
  <c r="N349" i="9"/>
  <c r="N348" i="9"/>
  <c r="L348" i="9"/>
  <c r="M348" i="9" s="1"/>
  <c r="K348" i="9"/>
  <c r="J348" i="9"/>
  <c r="I348" i="9"/>
  <c r="H348" i="9"/>
  <c r="G348" i="9"/>
  <c r="F348" i="9"/>
  <c r="E348" i="9"/>
  <c r="D348" i="9"/>
  <c r="C348" i="9"/>
  <c r="Q348" i="9"/>
  <c r="P348" i="9"/>
  <c r="L348" i="14" s="1"/>
  <c r="R348" i="9"/>
  <c r="O348" i="9"/>
  <c r="Q347" i="9"/>
  <c r="R347" i="9" s="1"/>
  <c r="P347" i="9"/>
  <c r="L347" i="14" s="1"/>
  <c r="O347" i="9"/>
  <c r="N347" i="9"/>
  <c r="L347" i="9"/>
  <c r="M347" i="9" s="1"/>
  <c r="K347" i="9"/>
  <c r="J347" i="9"/>
  <c r="I347" i="9"/>
  <c r="H347" i="9"/>
  <c r="G347" i="9"/>
  <c r="F347" i="9"/>
  <c r="E347" i="9"/>
  <c r="D347" i="9"/>
  <c r="C347" i="9"/>
  <c r="Q346" i="9"/>
  <c r="R346" i="9" s="1"/>
  <c r="P346" i="9"/>
  <c r="L346" i="14" s="1"/>
  <c r="O346" i="9"/>
  <c r="N346" i="9"/>
  <c r="L346" i="9"/>
  <c r="M346" i="9" s="1"/>
  <c r="K346" i="9"/>
  <c r="J346" i="9"/>
  <c r="I346" i="9"/>
  <c r="H346" i="9"/>
  <c r="G346" i="9"/>
  <c r="F346" i="9"/>
  <c r="E346" i="9"/>
  <c r="D346" i="9"/>
  <c r="C346" i="9"/>
  <c r="Q345" i="9"/>
  <c r="R345" i="9" s="1"/>
  <c r="P345" i="9"/>
  <c r="L345" i="14" s="1"/>
  <c r="O345" i="9"/>
  <c r="N345" i="9"/>
  <c r="L345" i="9"/>
  <c r="M345" i="9" s="1"/>
  <c r="K345" i="9"/>
  <c r="J345" i="9"/>
  <c r="I345" i="9"/>
  <c r="H345" i="9"/>
  <c r="G345" i="9"/>
  <c r="F345" i="9"/>
  <c r="E345" i="9"/>
  <c r="D345" i="9"/>
  <c r="C345" i="9"/>
  <c r="Q344" i="9"/>
  <c r="R344" i="9" s="1"/>
  <c r="P344" i="9"/>
  <c r="L344" i="14" s="1"/>
  <c r="O344" i="9"/>
  <c r="N344" i="9"/>
  <c r="L344" i="9"/>
  <c r="M344" i="9" s="1"/>
  <c r="K344" i="9"/>
  <c r="J344" i="9"/>
  <c r="I344" i="9"/>
  <c r="H344" i="9"/>
  <c r="G344" i="9"/>
  <c r="F344" i="9"/>
  <c r="E344" i="9"/>
  <c r="D344" i="9"/>
  <c r="C344" i="9"/>
  <c r="Q343" i="9"/>
  <c r="R343" i="9" s="1"/>
  <c r="P343" i="9"/>
  <c r="L343" i="14" s="1"/>
  <c r="O343" i="9"/>
  <c r="N343" i="9"/>
  <c r="L343" i="9"/>
  <c r="M343" i="9" s="1"/>
  <c r="K343" i="9"/>
  <c r="J343" i="9"/>
  <c r="I343" i="9"/>
  <c r="H343" i="9"/>
  <c r="G343" i="9"/>
  <c r="F343" i="9"/>
  <c r="E343" i="9"/>
  <c r="D343" i="9"/>
  <c r="C343" i="9"/>
  <c r="Q342" i="9"/>
  <c r="R342" i="9" s="1"/>
  <c r="P342" i="9"/>
  <c r="L342" i="14" s="1"/>
  <c r="O342" i="9"/>
  <c r="N342" i="9"/>
  <c r="L342" i="9"/>
  <c r="M342" i="9" s="1"/>
  <c r="K342" i="9"/>
  <c r="J342" i="9"/>
  <c r="I342" i="9"/>
  <c r="H342" i="9"/>
  <c r="G342" i="9"/>
  <c r="F342" i="9"/>
  <c r="E342" i="9"/>
  <c r="D342" i="9"/>
  <c r="C342" i="9"/>
  <c r="Q341" i="9"/>
  <c r="R341" i="9" s="1"/>
  <c r="P341" i="9"/>
  <c r="L341" i="14" s="1"/>
  <c r="O341" i="9"/>
  <c r="N341" i="9"/>
  <c r="L341" i="9"/>
  <c r="M341" i="9" s="1"/>
  <c r="K341" i="9"/>
  <c r="J341" i="9"/>
  <c r="I341" i="9"/>
  <c r="H341" i="9"/>
  <c r="G341" i="9"/>
  <c r="F341" i="9"/>
  <c r="E341" i="9"/>
  <c r="D341" i="9"/>
  <c r="C341" i="9"/>
  <c r="Q340" i="9"/>
  <c r="R340" i="9" s="1"/>
  <c r="P340" i="9"/>
  <c r="L340" i="14" s="1"/>
  <c r="O340" i="9"/>
  <c r="N340" i="9"/>
  <c r="L340" i="9"/>
  <c r="M340" i="9" s="1"/>
  <c r="K340" i="9"/>
  <c r="J340" i="9"/>
  <c r="I340" i="9"/>
  <c r="H340" i="9"/>
  <c r="G340" i="9"/>
  <c r="F340" i="9"/>
  <c r="E340" i="9"/>
  <c r="D340" i="9"/>
  <c r="C340" i="9"/>
  <c r="Q339" i="9"/>
  <c r="R339" i="9" s="1"/>
  <c r="P339" i="9"/>
  <c r="L339" i="14" s="1"/>
  <c r="O339" i="9"/>
  <c r="N339" i="9"/>
  <c r="L339" i="9"/>
  <c r="M339" i="9" s="1"/>
  <c r="K339" i="9"/>
  <c r="J339" i="9"/>
  <c r="I339" i="9"/>
  <c r="H339" i="9"/>
  <c r="G339" i="9"/>
  <c r="F339" i="9"/>
  <c r="E339" i="9"/>
  <c r="D339" i="9"/>
  <c r="C339" i="9"/>
  <c r="Q338" i="9"/>
  <c r="R338" i="9" s="1"/>
  <c r="P338" i="9"/>
  <c r="L338" i="14" s="1"/>
  <c r="O338" i="9"/>
  <c r="N338" i="9"/>
  <c r="L338" i="9"/>
  <c r="M338" i="9" s="1"/>
  <c r="K338" i="9"/>
  <c r="J338" i="9"/>
  <c r="I338" i="9"/>
  <c r="H338" i="9"/>
  <c r="G338" i="9"/>
  <c r="F338" i="9"/>
  <c r="E338" i="9"/>
  <c r="D338" i="9"/>
  <c r="C338" i="9"/>
  <c r="Q337" i="9"/>
  <c r="R337" i="9" s="1"/>
  <c r="P337" i="9"/>
  <c r="L337" i="14" s="1"/>
  <c r="O337" i="9"/>
  <c r="N337" i="9"/>
  <c r="L337" i="9"/>
  <c r="M337" i="9" s="1"/>
  <c r="K337" i="9"/>
  <c r="J337" i="9"/>
  <c r="I337" i="9"/>
  <c r="H337" i="9"/>
  <c r="G337" i="9"/>
  <c r="F337" i="9"/>
  <c r="E337" i="9"/>
  <c r="D337" i="9"/>
  <c r="C337" i="9"/>
  <c r="Q336" i="9"/>
  <c r="R336" i="9" s="1"/>
  <c r="P336" i="9"/>
  <c r="L336" i="14" s="1"/>
  <c r="O336" i="9"/>
  <c r="N336" i="9"/>
  <c r="L336" i="9"/>
  <c r="M336" i="9" s="1"/>
  <c r="K336" i="9"/>
  <c r="J336" i="9"/>
  <c r="I336" i="9"/>
  <c r="H336" i="9"/>
  <c r="C336" i="9"/>
  <c r="G336" i="9"/>
  <c r="F336" i="9"/>
  <c r="E336" i="9"/>
  <c r="D336" i="9"/>
  <c r="C335" i="9"/>
  <c r="L335" i="9"/>
  <c r="K335" i="9"/>
  <c r="J335" i="9"/>
  <c r="I335" i="9"/>
  <c r="H335" i="9"/>
  <c r="P335" i="9"/>
  <c r="L335" i="14" s="1"/>
  <c r="G335" i="9"/>
  <c r="F335" i="9"/>
  <c r="E335" i="9"/>
  <c r="D335" i="9"/>
  <c r="M335" i="9"/>
  <c r="N335" i="9"/>
  <c r="O335" i="9"/>
  <c r="Q335" i="9"/>
  <c r="R335" i="9" s="1"/>
  <c r="F334" i="9"/>
  <c r="G334" i="9"/>
  <c r="H334" i="9"/>
  <c r="K334" i="9"/>
  <c r="L334" i="9"/>
  <c r="M334" i="9"/>
  <c r="N334" i="9"/>
  <c r="O334" i="9"/>
  <c r="J334" i="9"/>
  <c r="Q334" i="9"/>
  <c r="R334" i="9"/>
  <c r="P334" i="9"/>
  <c r="L334" i="14" s="1"/>
  <c r="D334" i="9"/>
  <c r="C334" i="9"/>
  <c r="E334" i="9"/>
  <c r="I334" i="9"/>
  <c r="O333" i="9"/>
  <c r="L333" i="9"/>
  <c r="M333" i="9" s="1"/>
  <c r="K333" i="9"/>
  <c r="C333" i="9"/>
  <c r="D333" i="9"/>
  <c r="Q333" i="9"/>
  <c r="R333" i="9" s="1"/>
  <c r="N333" i="9"/>
  <c r="J333" i="9"/>
  <c r="G333" i="9"/>
  <c r="P333" i="9"/>
  <c r="L333" i="14" s="1"/>
  <c r="I333" i="9"/>
  <c r="H333" i="9"/>
  <c r="F333" i="9"/>
  <c r="E333" i="9"/>
  <c r="Q332" i="9"/>
  <c r="R332" i="9" s="1"/>
  <c r="C332" i="9"/>
  <c r="D332" i="9"/>
  <c r="E332" i="9"/>
  <c r="F332" i="9"/>
  <c r="G332" i="9"/>
  <c r="H332" i="9"/>
  <c r="I332" i="9"/>
  <c r="J332" i="9"/>
  <c r="K332" i="9"/>
  <c r="L332" i="9"/>
  <c r="M332" i="9"/>
  <c r="N332" i="9"/>
  <c r="O332" i="9"/>
  <c r="P332" i="9"/>
  <c r="L332" i="14" s="1"/>
  <c r="K331" i="9"/>
  <c r="D331" i="9"/>
  <c r="Q331" i="9"/>
  <c r="R331" i="9" s="1"/>
  <c r="P331" i="9"/>
  <c r="L331" i="14" s="1"/>
  <c r="O331" i="9"/>
  <c r="H331" i="9"/>
  <c r="N331" i="9"/>
  <c r="L331" i="9"/>
  <c r="M331" i="9" s="1"/>
  <c r="J331" i="9"/>
  <c r="I331" i="9"/>
  <c r="C331" i="9"/>
  <c r="G331" i="9"/>
  <c r="F331" i="9"/>
  <c r="E331" i="9"/>
  <c r="E330" i="9"/>
  <c r="D330" i="9"/>
  <c r="Q330" i="9"/>
  <c r="R330" i="9" s="1"/>
  <c r="P330" i="9"/>
  <c r="L330" i="14" s="1"/>
  <c r="O330" i="9"/>
  <c r="C330" i="9"/>
  <c r="N330" i="9"/>
  <c r="L330" i="9"/>
  <c r="M330" i="9" s="1"/>
  <c r="K330" i="9"/>
  <c r="J330" i="9"/>
  <c r="I330" i="9"/>
  <c r="H330" i="9"/>
  <c r="G330" i="9"/>
  <c r="F330" i="9"/>
  <c r="D329" i="9"/>
  <c r="C329" i="9"/>
  <c r="P329" i="9"/>
  <c r="L329" i="14" s="1"/>
  <c r="Q329" i="9"/>
  <c r="R329" i="9" s="1"/>
  <c r="O329" i="9"/>
  <c r="N329" i="9"/>
  <c r="L329" i="9"/>
  <c r="M329" i="9" s="1"/>
  <c r="K329" i="9"/>
  <c r="J329" i="9"/>
  <c r="I329" i="9"/>
  <c r="H329" i="9"/>
  <c r="G329" i="9"/>
  <c r="F329" i="9"/>
  <c r="E329" i="9"/>
  <c r="I328" i="9"/>
  <c r="Q328" i="9"/>
  <c r="R328" i="9" s="1"/>
  <c r="P328" i="9"/>
  <c r="L328" i="14" s="1"/>
  <c r="O328" i="9"/>
  <c r="N328" i="9"/>
  <c r="L328" i="9"/>
  <c r="M328" i="9" s="1"/>
  <c r="K328" i="9"/>
  <c r="J328" i="9"/>
  <c r="H328" i="9"/>
  <c r="G328" i="9"/>
  <c r="F328" i="9"/>
  <c r="E328" i="9"/>
  <c r="D328" i="9"/>
  <c r="C328" i="9"/>
  <c r="C327" i="9"/>
  <c r="D327" i="9"/>
  <c r="E327" i="9"/>
  <c r="F327" i="9"/>
  <c r="G327" i="9"/>
  <c r="H327" i="9"/>
  <c r="J327" i="9"/>
  <c r="K327" i="9"/>
  <c r="L327" i="9"/>
  <c r="M327" i="9"/>
  <c r="N327" i="9"/>
  <c r="O327" i="9"/>
  <c r="P327" i="9"/>
  <c r="L327" i="14" s="1"/>
  <c r="Q327" i="9"/>
  <c r="R327" i="9"/>
  <c r="I327" i="9"/>
  <c r="G326" i="9"/>
  <c r="F326" i="9"/>
  <c r="E326" i="9"/>
  <c r="D326" i="9"/>
  <c r="C326" i="9"/>
  <c r="N326" i="9"/>
  <c r="O326" i="9"/>
  <c r="P326" i="9"/>
  <c r="L326" i="14" s="1"/>
  <c r="Q326" i="9"/>
  <c r="R326" i="9"/>
  <c r="L326" i="9"/>
  <c r="M326" i="9" s="1"/>
  <c r="K326" i="9"/>
  <c r="J326" i="9"/>
  <c r="I326" i="9"/>
  <c r="H326" i="9"/>
  <c r="E325" i="9"/>
  <c r="C325" i="9"/>
  <c r="D325" i="9"/>
  <c r="F325" i="9"/>
  <c r="G325" i="9"/>
  <c r="H325" i="9"/>
  <c r="I325" i="9"/>
  <c r="J325" i="9"/>
  <c r="K325" i="9"/>
  <c r="L325" i="9"/>
  <c r="M325" i="9"/>
  <c r="N325" i="9"/>
  <c r="O325" i="9"/>
  <c r="P325" i="9"/>
  <c r="L325" i="14" s="1"/>
  <c r="Q325" i="9"/>
  <c r="R325" i="9"/>
  <c r="E324" i="9"/>
  <c r="D324" i="9"/>
  <c r="F324" i="9"/>
  <c r="J324" i="9"/>
  <c r="K324" i="9"/>
  <c r="L324" i="9"/>
  <c r="M324" i="9" s="1"/>
  <c r="I324" i="9"/>
  <c r="H324" i="9"/>
  <c r="Q324" i="9"/>
  <c r="G324" i="9"/>
  <c r="P324" i="9"/>
  <c r="L324" i="14" s="1"/>
  <c r="R324" i="9"/>
  <c r="O324" i="9"/>
  <c r="N324" i="9"/>
  <c r="C324" i="9"/>
  <c r="K323" i="9"/>
  <c r="J323" i="9"/>
  <c r="H323" i="9"/>
  <c r="F323" i="9"/>
  <c r="E323" i="9"/>
  <c r="D323" i="9"/>
  <c r="C323" i="9"/>
  <c r="G323" i="9"/>
  <c r="Q323" i="9"/>
  <c r="R323" i="9" s="1"/>
  <c r="P323" i="9"/>
  <c r="L323" i="14" s="1"/>
  <c r="O323" i="9"/>
  <c r="N323" i="9"/>
  <c r="I323" i="9"/>
  <c r="L323" i="9"/>
  <c r="M323" i="9" s="1"/>
  <c r="N322" i="9"/>
  <c r="O322" i="9"/>
  <c r="P322" i="9"/>
  <c r="L322" i="14" s="1"/>
  <c r="Q322" i="9"/>
  <c r="C322" i="9"/>
  <c r="D322" i="9"/>
  <c r="E322" i="9"/>
  <c r="H322" i="9"/>
  <c r="F322" i="9"/>
  <c r="G322" i="9"/>
  <c r="K322" i="9"/>
  <c r="L322" i="9"/>
  <c r="M322" i="9" s="1"/>
  <c r="I322" i="9"/>
  <c r="R322" i="9"/>
  <c r="J322" i="9"/>
  <c r="J321" i="9"/>
  <c r="K321" i="9"/>
  <c r="L321" i="9"/>
  <c r="M321" i="9"/>
  <c r="N321" i="9"/>
  <c r="O321" i="9"/>
  <c r="P321" i="9"/>
  <c r="L321" i="14" s="1"/>
  <c r="Q321" i="9"/>
  <c r="R321" i="9"/>
  <c r="C321" i="9"/>
  <c r="D321" i="9"/>
  <c r="E321" i="9"/>
  <c r="F321" i="9"/>
  <c r="G321" i="9"/>
  <c r="H321" i="9"/>
  <c r="I321" i="9"/>
  <c r="F320" i="9"/>
  <c r="I320" i="9"/>
  <c r="J320" i="9"/>
  <c r="K320" i="9"/>
  <c r="L320" i="9"/>
  <c r="M320" i="9"/>
  <c r="Q320" i="9"/>
  <c r="N320" i="9"/>
  <c r="O320" i="9"/>
  <c r="C320" i="9"/>
  <c r="D320" i="9"/>
  <c r="E320" i="9"/>
  <c r="R320" i="9"/>
  <c r="G320" i="9"/>
  <c r="P320" i="9"/>
  <c r="L320" i="14" s="1"/>
  <c r="H320" i="9"/>
  <c r="K319" i="9"/>
  <c r="L319" i="9"/>
  <c r="M319" i="9"/>
  <c r="N319" i="9"/>
  <c r="P319" i="9"/>
  <c r="L319" i="14" s="1"/>
  <c r="Q319" i="9"/>
  <c r="R319" i="9"/>
  <c r="J319" i="9"/>
  <c r="O319" i="9"/>
  <c r="C319" i="9"/>
  <c r="D319" i="9"/>
  <c r="E319" i="9"/>
  <c r="F319" i="9"/>
  <c r="G319" i="9"/>
  <c r="H319" i="9"/>
  <c r="I319" i="9"/>
  <c r="K318" i="9"/>
  <c r="J318" i="9"/>
  <c r="I318" i="9"/>
  <c r="H318" i="9"/>
  <c r="G318" i="9"/>
  <c r="E318" i="9"/>
  <c r="D318" i="9"/>
  <c r="F318" i="9"/>
  <c r="C318" i="9"/>
  <c r="Q318" i="9"/>
  <c r="R318" i="9" s="1"/>
  <c r="P318" i="9"/>
  <c r="L318" i="14" s="1"/>
  <c r="O318" i="9"/>
  <c r="N318" i="9"/>
  <c r="L318" i="9"/>
  <c r="M318" i="9" s="1"/>
  <c r="J317" i="9"/>
  <c r="I317" i="9"/>
  <c r="H317" i="9"/>
  <c r="G317" i="9"/>
  <c r="F317" i="9"/>
  <c r="E317" i="9"/>
  <c r="D317" i="9"/>
  <c r="C317" i="9"/>
  <c r="N317" i="9"/>
  <c r="Q317" i="9"/>
  <c r="R317" i="9" s="1"/>
  <c r="P317" i="9"/>
  <c r="L317" i="14" s="1"/>
  <c r="O317" i="9"/>
  <c r="L317" i="9"/>
  <c r="M317" i="9" s="1"/>
  <c r="K317" i="9"/>
  <c r="K316" i="9"/>
  <c r="L316" i="9"/>
  <c r="M316" i="9" s="1"/>
  <c r="J316" i="9"/>
  <c r="I316" i="9"/>
  <c r="H316" i="9"/>
  <c r="D316" i="9"/>
  <c r="G316" i="9"/>
  <c r="F316" i="9"/>
  <c r="E316" i="9"/>
  <c r="C316" i="9"/>
  <c r="N316" i="9"/>
  <c r="O316" i="9"/>
  <c r="P316" i="9"/>
  <c r="L316" i="14" s="1"/>
  <c r="Q316" i="9"/>
  <c r="R316" i="9"/>
  <c r="K315" i="9"/>
  <c r="L315" i="9"/>
  <c r="M315" i="9" s="1"/>
  <c r="N315" i="9"/>
  <c r="O315" i="9"/>
  <c r="P315" i="9"/>
  <c r="L315" i="14" s="1"/>
  <c r="Q315" i="9"/>
  <c r="R315" i="9" s="1"/>
  <c r="D315" i="9"/>
  <c r="E315" i="9"/>
  <c r="I315" i="9"/>
  <c r="F315" i="9"/>
  <c r="G315" i="9"/>
  <c r="H315" i="9"/>
  <c r="J315" i="9"/>
  <c r="C315" i="9"/>
  <c r="Q314" i="9"/>
  <c r="G314" i="9"/>
  <c r="K314" i="9"/>
  <c r="L314" i="9"/>
  <c r="E314" i="9"/>
  <c r="F314" i="9"/>
  <c r="C314" i="9"/>
  <c r="H314" i="9"/>
  <c r="I314" i="9"/>
  <c r="M314" i="9"/>
  <c r="J314" i="9"/>
  <c r="R314" i="9"/>
  <c r="P314" i="9"/>
  <c r="L314" i="14" s="1"/>
  <c r="O314" i="9"/>
  <c r="D314" i="9"/>
  <c r="N314" i="9"/>
  <c r="J313" i="9"/>
  <c r="I313" i="9"/>
  <c r="H313" i="9"/>
  <c r="G313" i="9"/>
  <c r="F313" i="9"/>
  <c r="E313" i="9"/>
  <c r="D313" i="9"/>
  <c r="C313" i="9"/>
  <c r="Q313" i="9"/>
  <c r="R313" i="9" s="1"/>
  <c r="P313" i="9"/>
  <c r="L313" i="14" s="1"/>
  <c r="O313" i="9"/>
  <c r="N313" i="9"/>
  <c r="L313" i="9"/>
  <c r="M313" i="9" s="1"/>
  <c r="K313" i="9"/>
  <c r="E312" i="9"/>
  <c r="F312" i="9"/>
  <c r="Q312" i="9"/>
  <c r="R312" i="9" s="1"/>
  <c r="P312" i="9"/>
  <c r="L312" i="14" s="1"/>
  <c r="O312" i="9"/>
  <c r="N312" i="9"/>
  <c r="L312" i="9"/>
  <c r="M312" i="9" s="1"/>
  <c r="J312" i="9"/>
  <c r="I312" i="9"/>
  <c r="H312" i="9"/>
  <c r="K312" i="9"/>
  <c r="D312" i="9"/>
  <c r="C312" i="9"/>
  <c r="G312" i="9"/>
  <c r="I311" i="9"/>
  <c r="P311" i="9"/>
  <c r="L311" i="14" s="1"/>
  <c r="J311" i="9"/>
  <c r="K311" i="9"/>
  <c r="L311" i="9"/>
  <c r="M311" i="9"/>
  <c r="N311" i="9"/>
  <c r="O311" i="9"/>
  <c r="G311" i="9"/>
  <c r="F311" i="9"/>
  <c r="Q311" i="9"/>
  <c r="E311" i="9"/>
  <c r="C311" i="9"/>
  <c r="D311" i="9"/>
  <c r="R311" i="9"/>
  <c r="H311" i="9"/>
  <c r="K310" i="9"/>
  <c r="L310" i="9"/>
  <c r="N310" i="9"/>
  <c r="O310" i="9"/>
  <c r="P310" i="9"/>
  <c r="L310" i="14" s="1"/>
  <c r="Q310" i="9"/>
  <c r="R310" i="9"/>
  <c r="H310" i="9"/>
  <c r="M310" i="9"/>
  <c r="G310" i="9"/>
  <c r="F310" i="9"/>
  <c r="E310" i="9"/>
  <c r="C310" i="9"/>
  <c r="D310" i="9"/>
  <c r="I310" i="9"/>
  <c r="J310" i="9"/>
  <c r="G309" i="9"/>
  <c r="F309" i="9"/>
  <c r="E309" i="9"/>
  <c r="D309" i="9"/>
  <c r="C309" i="9"/>
  <c r="Q309" i="9"/>
  <c r="R309" i="9" s="1"/>
  <c r="P309" i="9"/>
  <c r="L309" i="14" s="1"/>
  <c r="O309" i="9"/>
  <c r="N309" i="9"/>
  <c r="H309" i="9"/>
  <c r="L309" i="9"/>
  <c r="M309" i="9" s="1"/>
  <c r="K309" i="9"/>
  <c r="J309" i="9"/>
  <c r="I309" i="9"/>
  <c r="D308" i="9"/>
  <c r="E308" i="9"/>
  <c r="F308" i="9"/>
  <c r="G308" i="9"/>
  <c r="H308" i="9"/>
  <c r="I308" i="9"/>
  <c r="K308" i="9"/>
  <c r="N308" i="9"/>
  <c r="Q308" i="9"/>
  <c r="R308" i="9" s="1"/>
  <c r="J308" i="9"/>
  <c r="P308" i="9"/>
  <c r="L308" i="14" s="1"/>
  <c r="O308" i="9"/>
  <c r="L308" i="9"/>
  <c r="M308" i="9" s="1"/>
  <c r="C308" i="9"/>
  <c r="Q307" i="9"/>
  <c r="R307" i="9" s="1"/>
  <c r="P307" i="9"/>
  <c r="L307" i="14" s="1"/>
  <c r="O307" i="9"/>
  <c r="N307" i="9"/>
  <c r="L307" i="9"/>
  <c r="M307" i="9" s="1"/>
  <c r="K307" i="9"/>
  <c r="J307" i="9"/>
  <c r="I307" i="9"/>
  <c r="H307" i="9"/>
  <c r="G307" i="9"/>
  <c r="F307" i="9"/>
  <c r="E307" i="9"/>
  <c r="D307" i="9"/>
  <c r="C307" i="9"/>
  <c r="E306" i="9"/>
  <c r="D306" i="9"/>
  <c r="C306" i="9"/>
  <c r="F306" i="9"/>
  <c r="G306" i="9"/>
  <c r="H306" i="9"/>
  <c r="I306" i="9"/>
  <c r="J306" i="9"/>
  <c r="K306" i="9"/>
  <c r="L306" i="9"/>
  <c r="Q306" i="9"/>
  <c r="R306" i="9" s="1"/>
  <c r="P306" i="9"/>
  <c r="L306" i="14" s="1"/>
  <c r="O306" i="9"/>
  <c r="N306" i="9"/>
  <c r="M306" i="9"/>
  <c r="Q305" i="9"/>
  <c r="P305" i="9"/>
  <c r="L305" i="14" s="1"/>
  <c r="O305" i="9"/>
  <c r="N305" i="9"/>
  <c r="L305" i="9"/>
  <c r="M305" i="9" s="1"/>
  <c r="F305" i="9"/>
  <c r="K305" i="9"/>
  <c r="J305" i="9"/>
  <c r="I305" i="9"/>
  <c r="H305" i="9"/>
  <c r="G305" i="9"/>
  <c r="E305" i="9"/>
  <c r="D305" i="9"/>
  <c r="C305" i="9"/>
  <c r="R305" i="9"/>
  <c r="K304" i="9"/>
  <c r="L304" i="9"/>
  <c r="M304" i="9"/>
  <c r="N304" i="9"/>
  <c r="O304" i="9"/>
  <c r="P304" i="9"/>
  <c r="L304" i="14" s="1"/>
  <c r="Q304" i="9"/>
  <c r="R304" i="9"/>
  <c r="C304" i="9"/>
  <c r="D304" i="9"/>
  <c r="E304" i="9"/>
  <c r="F304" i="9"/>
  <c r="G304" i="9"/>
  <c r="H304" i="9"/>
  <c r="I304" i="9"/>
  <c r="J304" i="9"/>
  <c r="H303" i="9"/>
  <c r="D303" i="9"/>
  <c r="E303" i="9"/>
  <c r="C303" i="9"/>
  <c r="F303" i="9"/>
  <c r="G303" i="9"/>
  <c r="I303" i="9"/>
  <c r="K303" i="9"/>
  <c r="J303" i="9"/>
  <c r="Q303" i="9"/>
  <c r="R303" i="9" s="1"/>
  <c r="P303" i="9"/>
  <c r="L303" i="14" s="1"/>
  <c r="L303" i="9"/>
  <c r="M303" i="9" s="1"/>
  <c r="O303" i="9"/>
  <c r="N303" i="9"/>
  <c r="D302" i="9"/>
  <c r="P302" i="9"/>
  <c r="L302" i="14" s="1"/>
  <c r="C302" i="9"/>
  <c r="K302" i="9"/>
  <c r="J302" i="9"/>
  <c r="I302" i="9"/>
  <c r="H302" i="9"/>
  <c r="G302" i="9"/>
  <c r="E302" i="9"/>
  <c r="Q302" i="9"/>
  <c r="R302" i="9" s="1"/>
  <c r="O302" i="9"/>
  <c r="N302" i="9"/>
  <c r="L302" i="9"/>
  <c r="M302" i="9" s="1"/>
  <c r="F302" i="9"/>
  <c r="K301" i="9"/>
  <c r="L301" i="9"/>
  <c r="J301" i="9"/>
  <c r="O301" i="9"/>
  <c r="P301" i="9"/>
  <c r="L301" i="14" s="1"/>
  <c r="D301" i="9"/>
  <c r="E301" i="9"/>
  <c r="F301" i="9"/>
  <c r="G301" i="9"/>
  <c r="H301" i="9"/>
  <c r="I301" i="9"/>
  <c r="Q301" i="9"/>
  <c r="R301" i="9"/>
  <c r="C301" i="9"/>
  <c r="N301" i="9"/>
  <c r="M301" i="9"/>
  <c r="Q300" i="9"/>
  <c r="E300" i="9"/>
  <c r="C300" i="9"/>
  <c r="D300" i="9"/>
  <c r="F300" i="9"/>
  <c r="G300" i="9"/>
  <c r="H300" i="9"/>
  <c r="I300" i="9"/>
  <c r="J300" i="9"/>
  <c r="K300" i="9"/>
  <c r="L300" i="9"/>
  <c r="M300" i="9"/>
  <c r="N300" i="9"/>
  <c r="O300" i="9"/>
  <c r="P300" i="9"/>
  <c r="L300" i="14" s="1"/>
  <c r="R300" i="9"/>
  <c r="O299" i="9"/>
  <c r="Q299" i="9"/>
  <c r="R299" i="9" s="1"/>
  <c r="P299" i="9"/>
  <c r="L299" i="14" s="1"/>
  <c r="N299" i="9"/>
  <c r="L299" i="9"/>
  <c r="M299" i="9" s="1"/>
  <c r="K299" i="9"/>
  <c r="J299" i="9"/>
  <c r="I299" i="9"/>
  <c r="H299" i="9"/>
  <c r="G299" i="9"/>
  <c r="F299" i="9"/>
  <c r="E299" i="9"/>
  <c r="D299" i="9"/>
  <c r="C299" i="9"/>
  <c r="E298" i="9"/>
  <c r="F298" i="9"/>
  <c r="D298" i="9"/>
  <c r="Q298" i="9"/>
  <c r="R298" i="9" s="1"/>
  <c r="P298" i="9"/>
  <c r="L298" i="14" s="1"/>
  <c r="O298" i="9"/>
  <c r="N298" i="9"/>
  <c r="L298" i="9"/>
  <c r="M298" i="9" s="1"/>
  <c r="K298" i="9"/>
  <c r="J298" i="9"/>
  <c r="I298" i="9"/>
  <c r="H298" i="9"/>
  <c r="G298" i="9"/>
  <c r="C298" i="9"/>
  <c r="F297" i="9"/>
  <c r="E297" i="9"/>
  <c r="D297" i="9"/>
  <c r="C297" i="9"/>
  <c r="Q297" i="9"/>
  <c r="R297" i="9" s="1"/>
  <c r="P297" i="9"/>
  <c r="L297" i="14" s="1"/>
  <c r="O297" i="9"/>
  <c r="N297" i="9"/>
  <c r="L297" i="9"/>
  <c r="M297" i="9" s="1"/>
  <c r="K297" i="9"/>
  <c r="J297" i="9"/>
  <c r="I297" i="9"/>
  <c r="H297" i="9"/>
  <c r="G297" i="9"/>
  <c r="I296" i="9"/>
  <c r="K296" i="9"/>
  <c r="Q296" i="9"/>
  <c r="P296" i="9"/>
  <c r="L296" i="14" s="1"/>
  <c r="O296" i="9"/>
  <c r="L296" i="9"/>
  <c r="C296" i="9"/>
  <c r="D296" i="9"/>
  <c r="R296" i="9"/>
  <c r="E296" i="9"/>
  <c r="M296" i="9"/>
  <c r="F296" i="9"/>
  <c r="G296" i="9"/>
  <c r="H296" i="9"/>
  <c r="N296" i="9"/>
  <c r="J296" i="9"/>
  <c r="L295" i="9"/>
  <c r="K295" i="9"/>
  <c r="J295" i="9"/>
  <c r="I295" i="9"/>
  <c r="M295" i="9"/>
  <c r="H295" i="9"/>
  <c r="F295" i="9"/>
  <c r="E295" i="9"/>
  <c r="D295" i="9"/>
  <c r="C295" i="9"/>
  <c r="G295" i="9"/>
  <c r="O295" i="9"/>
  <c r="P295" i="9"/>
  <c r="L295" i="14" s="1"/>
  <c r="Q295" i="9"/>
  <c r="N295" i="9"/>
  <c r="R295" i="9"/>
  <c r="Q294" i="9"/>
  <c r="R294" i="9" s="1"/>
  <c r="J294" i="9"/>
  <c r="P294" i="9"/>
  <c r="L294" i="14" s="1"/>
  <c r="O294" i="9"/>
  <c r="K294" i="9"/>
  <c r="N294" i="9"/>
  <c r="C294" i="9"/>
  <c r="D294" i="9"/>
  <c r="E294" i="9"/>
  <c r="F294" i="9"/>
  <c r="G294" i="9"/>
  <c r="H294" i="9"/>
  <c r="I294" i="9"/>
  <c r="L294" i="9"/>
  <c r="M294" i="9"/>
  <c r="I293" i="9"/>
  <c r="J293" i="9"/>
  <c r="K293" i="9"/>
  <c r="L293" i="9"/>
  <c r="M293" i="9" s="1"/>
  <c r="N293" i="9"/>
  <c r="O293" i="9"/>
  <c r="P293" i="9"/>
  <c r="L293" i="14" s="1"/>
  <c r="Q293" i="9"/>
  <c r="R293" i="9"/>
  <c r="G293" i="9"/>
  <c r="F293" i="9"/>
  <c r="E293" i="9"/>
  <c r="D293" i="9"/>
  <c r="C293" i="9"/>
  <c r="H293" i="9"/>
  <c r="N292" i="9"/>
  <c r="E292" i="9"/>
  <c r="Q292" i="9"/>
  <c r="R292" i="9" s="1"/>
  <c r="P292" i="9"/>
  <c r="L292" i="14" s="1"/>
  <c r="O292" i="9"/>
  <c r="L292" i="9"/>
  <c r="M292" i="9" s="1"/>
  <c r="K292" i="9"/>
  <c r="J292" i="9"/>
  <c r="I292" i="9"/>
  <c r="H292" i="9"/>
  <c r="G292" i="9"/>
  <c r="F292" i="9"/>
  <c r="D292" i="9"/>
  <c r="C292" i="9"/>
  <c r="C291" i="9"/>
  <c r="D291" i="9"/>
  <c r="E291" i="9"/>
  <c r="F291" i="9"/>
  <c r="Q291" i="9"/>
  <c r="R291" i="9" s="1"/>
  <c r="P291" i="9"/>
  <c r="L291" i="14" s="1"/>
  <c r="O291" i="9"/>
  <c r="N291" i="9"/>
  <c r="L291" i="9"/>
  <c r="M291" i="9" s="1"/>
  <c r="K291" i="9"/>
  <c r="J291" i="9"/>
  <c r="I291" i="9"/>
  <c r="H291" i="9"/>
  <c r="G291" i="9"/>
  <c r="F290" i="9"/>
  <c r="G290" i="9"/>
  <c r="I290" i="9"/>
  <c r="J290" i="9"/>
  <c r="H290" i="9"/>
  <c r="K290" i="9"/>
  <c r="L290" i="9"/>
  <c r="M290" i="9"/>
  <c r="N290" i="9"/>
  <c r="O290" i="9"/>
  <c r="P290" i="9"/>
  <c r="L290" i="14" s="1"/>
  <c r="Q290" i="9"/>
  <c r="R290" i="9"/>
  <c r="C290" i="9"/>
  <c r="D290" i="9"/>
  <c r="E290" i="9"/>
  <c r="N289" i="9"/>
  <c r="Q289" i="9"/>
  <c r="R289" i="9" s="1"/>
  <c r="P289" i="9"/>
  <c r="L289" i="14" s="1"/>
  <c r="O289" i="9"/>
  <c r="L289" i="9"/>
  <c r="M289" i="9" s="1"/>
  <c r="K289" i="9"/>
  <c r="J289" i="9"/>
  <c r="I289" i="9"/>
  <c r="H289" i="9"/>
  <c r="G289" i="9"/>
  <c r="F289" i="9"/>
  <c r="E289" i="9"/>
  <c r="D289" i="9"/>
  <c r="C289" i="9"/>
  <c r="C288" i="9"/>
  <c r="D288" i="9"/>
  <c r="E288" i="9"/>
  <c r="F288" i="9"/>
  <c r="H288" i="9"/>
  <c r="I288" i="9"/>
  <c r="J288" i="9"/>
  <c r="K288" i="9"/>
  <c r="L288" i="9"/>
  <c r="M288" i="9"/>
  <c r="N288" i="9"/>
  <c r="O288" i="9"/>
  <c r="P288" i="9"/>
  <c r="L288" i="14" s="1"/>
  <c r="Q288" i="9"/>
  <c r="R288" i="9"/>
  <c r="G288" i="9"/>
  <c r="C287" i="9"/>
  <c r="D287" i="9"/>
  <c r="F287" i="9"/>
  <c r="G287" i="9"/>
  <c r="H287" i="9"/>
  <c r="I287" i="9"/>
  <c r="J287" i="9"/>
  <c r="K287" i="9"/>
  <c r="L287" i="9"/>
  <c r="M287" i="9"/>
  <c r="N287" i="9"/>
  <c r="O287" i="9"/>
  <c r="P287" i="9"/>
  <c r="L287" i="14" s="1"/>
  <c r="Q287" i="9"/>
  <c r="R287" i="9"/>
  <c r="E287" i="9"/>
  <c r="C286" i="9"/>
  <c r="N286" i="9"/>
  <c r="D286" i="9"/>
  <c r="E286" i="9"/>
  <c r="F286" i="9"/>
  <c r="G286" i="9"/>
  <c r="H286" i="9"/>
  <c r="I286" i="9"/>
  <c r="J286" i="9"/>
  <c r="K286" i="9"/>
  <c r="L286" i="9"/>
  <c r="M286" i="9"/>
  <c r="O286" i="9"/>
  <c r="P286" i="9"/>
  <c r="L286" i="14" s="1"/>
  <c r="Q286" i="9"/>
  <c r="R286" i="9" s="1"/>
  <c r="G285" i="9"/>
  <c r="H285" i="9"/>
  <c r="I285" i="9"/>
  <c r="J285" i="9"/>
  <c r="K285" i="9"/>
  <c r="C285" i="9"/>
  <c r="L285" i="9"/>
  <c r="D285" i="9"/>
  <c r="M285" i="9"/>
  <c r="N285" i="9"/>
  <c r="O285" i="9"/>
  <c r="P285" i="9"/>
  <c r="L285" i="14" s="1"/>
  <c r="Q285" i="9"/>
  <c r="R285" i="9"/>
  <c r="E285" i="9"/>
  <c r="F285" i="9"/>
  <c r="K284" i="9"/>
  <c r="L284" i="9"/>
  <c r="M284" i="9"/>
  <c r="N284" i="9"/>
  <c r="O284" i="9"/>
  <c r="P284" i="9"/>
  <c r="L284" i="14" s="1"/>
  <c r="Q284" i="9"/>
  <c r="J284" i="9"/>
  <c r="R284" i="9"/>
  <c r="C284" i="9"/>
  <c r="D284" i="9"/>
  <c r="E284" i="9"/>
  <c r="F284" i="9"/>
  <c r="G284" i="9"/>
  <c r="H284" i="9"/>
  <c r="I284" i="9"/>
  <c r="F283" i="9"/>
  <c r="C283" i="9"/>
  <c r="E283" i="9"/>
  <c r="D283" i="9"/>
  <c r="Q283" i="9"/>
  <c r="R283" i="9" s="1"/>
  <c r="P283" i="9"/>
  <c r="L283" i="14" s="1"/>
  <c r="O283" i="9"/>
  <c r="N283" i="9"/>
  <c r="L283" i="9"/>
  <c r="M283" i="9" s="1"/>
  <c r="K283" i="9"/>
  <c r="J283" i="9"/>
  <c r="I283" i="9"/>
  <c r="H283" i="9"/>
  <c r="G283" i="9"/>
  <c r="E282" i="9"/>
  <c r="D282" i="9"/>
  <c r="C282" i="9"/>
  <c r="J282" i="9"/>
  <c r="Q282" i="9"/>
  <c r="R282" i="9" s="1"/>
  <c r="P282" i="9"/>
  <c r="L282" i="14" s="1"/>
  <c r="O282" i="9"/>
  <c r="N282" i="9"/>
  <c r="L282" i="9"/>
  <c r="M282" i="9" s="1"/>
  <c r="K282" i="9"/>
  <c r="I282" i="9"/>
  <c r="H282" i="9"/>
  <c r="G282" i="9"/>
  <c r="F282" i="9"/>
  <c r="F281" i="9"/>
  <c r="E281" i="9"/>
  <c r="D281" i="9"/>
  <c r="C281" i="9"/>
  <c r="Q281" i="9"/>
  <c r="R281" i="9" s="1"/>
  <c r="P281" i="9"/>
  <c r="L281" i="14" s="1"/>
  <c r="O281" i="9"/>
  <c r="N281" i="9"/>
  <c r="L281" i="9"/>
  <c r="M281" i="9" s="1"/>
  <c r="K281" i="9"/>
  <c r="J281" i="9"/>
  <c r="I281" i="9"/>
  <c r="H281" i="9"/>
  <c r="G281" i="9"/>
  <c r="F280" i="9"/>
  <c r="E280" i="9"/>
  <c r="D280" i="9"/>
  <c r="P280" i="9"/>
  <c r="L280" i="14" s="1"/>
  <c r="Q280" i="9"/>
  <c r="R280" i="9" s="1"/>
  <c r="C280" i="9"/>
  <c r="O280" i="9"/>
  <c r="N280" i="9"/>
  <c r="L280" i="9"/>
  <c r="M280" i="9" s="1"/>
  <c r="K280" i="9"/>
  <c r="J280" i="9"/>
  <c r="I280" i="9"/>
  <c r="H280" i="9"/>
  <c r="G280" i="9"/>
  <c r="N279" i="9"/>
  <c r="C279" i="9"/>
  <c r="E279" i="9"/>
  <c r="D279" i="9"/>
  <c r="Q279" i="9"/>
  <c r="R279" i="9" s="1"/>
  <c r="P279" i="9"/>
  <c r="L279" i="14" s="1"/>
  <c r="O279" i="9"/>
  <c r="F279" i="9"/>
  <c r="L279" i="9"/>
  <c r="M279" i="9" s="1"/>
  <c r="K279" i="9"/>
  <c r="J279" i="9"/>
  <c r="I279" i="9"/>
  <c r="H279" i="9"/>
  <c r="G279" i="9"/>
  <c r="F278" i="9"/>
  <c r="E278" i="9"/>
  <c r="D278" i="9"/>
  <c r="C278" i="9"/>
  <c r="Q278" i="9"/>
  <c r="R278" i="9" s="1"/>
  <c r="P278" i="9"/>
  <c r="L278" i="14" s="1"/>
  <c r="O278" i="9"/>
  <c r="N278" i="9"/>
  <c r="L278" i="9"/>
  <c r="M278" i="9" s="1"/>
  <c r="K278" i="9"/>
  <c r="J278" i="9"/>
  <c r="I278" i="9"/>
  <c r="H278" i="9"/>
  <c r="G278" i="9"/>
  <c r="C277" i="9"/>
  <c r="D277" i="9"/>
  <c r="J277" i="9"/>
  <c r="Q277" i="9"/>
  <c r="R277" i="9" s="1"/>
  <c r="P277" i="9"/>
  <c r="L277" i="14" s="1"/>
  <c r="O277" i="9"/>
  <c r="N277" i="9"/>
  <c r="E277" i="9"/>
  <c r="L277" i="9"/>
  <c r="K277" i="9"/>
  <c r="F277" i="9"/>
  <c r="I277" i="9"/>
  <c r="H277" i="9"/>
  <c r="G277" i="9"/>
  <c r="M277" i="9"/>
  <c r="Q276" i="9"/>
  <c r="R276" i="9" s="1"/>
  <c r="P276" i="9"/>
  <c r="L276" i="14" s="1"/>
  <c r="O276" i="9"/>
  <c r="N276" i="9"/>
  <c r="L276" i="9"/>
  <c r="M276" i="9" s="1"/>
  <c r="K276" i="9"/>
  <c r="I276" i="9"/>
  <c r="H276" i="9"/>
  <c r="G276" i="9"/>
  <c r="F276" i="9"/>
  <c r="E276" i="9"/>
  <c r="D276" i="9"/>
  <c r="C276" i="9"/>
  <c r="J276" i="9"/>
  <c r="Q275" i="9"/>
  <c r="R275" i="9" s="1"/>
  <c r="P275" i="9"/>
  <c r="L275" i="14" s="1"/>
  <c r="O275" i="9"/>
  <c r="N275" i="9"/>
  <c r="L275" i="9"/>
  <c r="M275" i="9" s="1"/>
  <c r="J275" i="9"/>
  <c r="I275" i="9"/>
  <c r="H275" i="9"/>
  <c r="G275" i="9"/>
  <c r="F275" i="9"/>
  <c r="E275" i="9"/>
  <c r="D275" i="9"/>
  <c r="C275" i="9"/>
  <c r="K275" i="9"/>
  <c r="Q274" i="9"/>
  <c r="R274" i="9" s="1"/>
  <c r="P274" i="9"/>
  <c r="L274" i="14" s="1"/>
  <c r="O274" i="9"/>
  <c r="N274" i="9"/>
  <c r="C274" i="9"/>
  <c r="L274" i="9"/>
  <c r="M274" i="9" s="1"/>
  <c r="K274" i="9"/>
  <c r="J274" i="9"/>
  <c r="I274" i="9"/>
  <c r="H274" i="9"/>
  <c r="G274" i="9"/>
  <c r="F274" i="9"/>
  <c r="E274" i="9"/>
  <c r="D274" i="9"/>
  <c r="G273" i="9"/>
  <c r="F273" i="9"/>
  <c r="E273" i="9"/>
  <c r="D273" i="9"/>
  <c r="C273" i="9"/>
  <c r="Q273" i="9"/>
  <c r="R273" i="9" s="1"/>
  <c r="P273" i="9"/>
  <c r="L273" i="14" s="1"/>
  <c r="O273" i="9"/>
  <c r="N273" i="9"/>
  <c r="L273" i="9"/>
  <c r="M273" i="9" s="1"/>
  <c r="K273" i="9"/>
  <c r="J273" i="9"/>
  <c r="I273" i="9"/>
  <c r="H273" i="9"/>
  <c r="G272" i="9"/>
  <c r="F272" i="9"/>
  <c r="E272" i="9"/>
  <c r="D272" i="9"/>
  <c r="C272" i="9"/>
  <c r="Q272" i="9"/>
  <c r="R272" i="9" s="1"/>
  <c r="P272" i="9"/>
  <c r="L272" i="14" s="1"/>
  <c r="O272" i="9"/>
  <c r="N272" i="9"/>
  <c r="L272" i="9"/>
  <c r="M272" i="9" s="1"/>
  <c r="K272" i="9"/>
  <c r="J272" i="9"/>
  <c r="I272" i="9"/>
  <c r="H272" i="9"/>
  <c r="Q271" i="9"/>
  <c r="R271" i="9" s="1"/>
  <c r="P271" i="9"/>
  <c r="L271" i="14" s="1"/>
  <c r="O271" i="9"/>
  <c r="N271" i="9"/>
  <c r="L271" i="9"/>
  <c r="M271" i="9" s="1"/>
  <c r="K271" i="9"/>
  <c r="J271" i="9"/>
  <c r="I271" i="9"/>
  <c r="H271" i="9"/>
  <c r="G271" i="9"/>
  <c r="F271" i="9"/>
  <c r="E271" i="9"/>
  <c r="D271" i="9"/>
  <c r="C271" i="9"/>
  <c r="D270" i="9"/>
  <c r="E270" i="9"/>
  <c r="F270" i="9"/>
  <c r="C270" i="9"/>
  <c r="G270" i="9"/>
  <c r="H270" i="9"/>
  <c r="I270" i="9"/>
  <c r="J270" i="9"/>
  <c r="N270" i="9"/>
  <c r="K270" i="9"/>
  <c r="L270" i="9"/>
  <c r="M270" i="9" s="1"/>
  <c r="Q270" i="9"/>
  <c r="R270" i="9" s="1"/>
  <c r="P270" i="9"/>
  <c r="L270" i="14" s="1"/>
  <c r="O270" i="9"/>
  <c r="P269" i="9"/>
  <c r="L269" i="14" s="1"/>
  <c r="Q269" i="9"/>
  <c r="R269" i="9"/>
  <c r="N269" i="9"/>
  <c r="O269" i="9"/>
  <c r="C269" i="9"/>
  <c r="D269" i="9"/>
  <c r="E269" i="9"/>
  <c r="F269" i="9"/>
  <c r="G269" i="9"/>
  <c r="H269" i="9"/>
  <c r="I269" i="9"/>
  <c r="J269" i="9"/>
  <c r="K269" i="9"/>
  <c r="L269" i="9"/>
  <c r="M269" i="9" s="1"/>
  <c r="C268" i="9"/>
  <c r="I268" i="9"/>
  <c r="H268" i="9"/>
  <c r="G268" i="9"/>
  <c r="D268" i="9"/>
  <c r="F268" i="9"/>
  <c r="Q268" i="9"/>
  <c r="E268" i="9"/>
  <c r="P268" i="9"/>
  <c r="L268" i="14" s="1"/>
  <c r="O268" i="9"/>
  <c r="N268" i="9"/>
  <c r="R268" i="9"/>
  <c r="L268" i="9"/>
  <c r="M268" i="9" s="1"/>
  <c r="K268" i="9"/>
  <c r="J268" i="9"/>
  <c r="Q267" i="9"/>
  <c r="R267" i="9" s="1"/>
  <c r="P267" i="9"/>
  <c r="L267" i="14" s="1"/>
  <c r="O267" i="9"/>
  <c r="N267" i="9"/>
  <c r="L267" i="9"/>
  <c r="M267" i="9" s="1"/>
  <c r="K267" i="9"/>
  <c r="J267" i="9"/>
  <c r="I267" i="9"/>
  <c r="H267" i="9"/>
  <c r="F267" i="9"/>
  <c r="E267" i="9"/>
  <c r="D267" i="9"/>
  <c r="C267" i="9"/>
  <c r="G267" i="9"/>
  <c r="Q266" i="9"/>
  <c r="R266" i="9" s="1"/>
  <c r="P266" i="9"/>
  <c r="L266" i="14" s="1"/>
  <c r="O266" i="9"/>
  <c r="N266" i="9"/>
  <c r="L266" i="9"/>
  <c r="M266" i="9"/>
  <c r="K266" i="9"/>
  <c r="J266" i="9"/>
  <c r="I266" i="9"/>
  <c r="H266" i="9"/>
  <c r="G266" i="9"/>
  <c r="F266" i="9"/>
  <c r="E266" i="9"/>
  <c r="D266" i="9"/>
  <c r="C266" i="9"/>
  <c r="F265" i="9"/>
  <c r="D265" i="9"/>
  <c r="I265" i="9"/>
  <c r="E265" i="9"/>
  <c r="C265" i="9"/>
  <c r="J265" i="9"/>
  <c r="G265" i="9"/>
  <c r="H265" i="9"/>
  <c r="O265" i="9"/>
  <c r="K265" i="9"/>
  <c r="L265" i="9"/>
  <c r="M265" i="9"/>
  <c r="N265" i="9"/>
  <c r="P265" i="9"/>
  <c r="L265" i="14" s="1"/>
  <c r="Q265" i="9"/>
  <c r="R265" i="9" s="1"/>
  <c r="K264" i="9"/>
  <c r="C264" i="9"/>
  <c r="Q264" i="9"/>
  <c r="R264" i="9" s="1"/>
  <c r="P264" i="9"/>
  <c r="L264" i="14" s="1"/>
  <c r="O264" i="9"/>
  <c r="N264" i="9"/>
  <c r="L264" i="9"/>
  <c r="M264" i="9" s="1"/>
  <c r="J264" i="9"/>
  <c r="I264" i="9"/>
  <c r="H264" i="9"/>
  <c r="G264" i="9"/>
  <c r="F264" i="9"/>
  <c r="E264" i="9"/>
  <c r="D264" i="9"/>
  <c r="J263" i="9"/>
  <c r="K263" i="9"/>
  <c r="O263" i="9"/>
  <c r="L263" i="9"/>
  <c r="N263" i="9"/>
  <c r="Q263" i="9"/>
  <c r="R263" i="9" s="1"/>
  <c r="I263" i="9"/>
  <c r="C263" i="9"/>
  <c r="D263" i="9"/>
  <c r="E263" i="9"/>
  <c r="F263" i="9"/>
  <c r="G263" i="9"/>
  <c r="H263" i="9"/>
  <c r="P263" i="9"/>
  <c r="L263" i="14" s="1"/>
  <c r="M263" i="9"/>
  <c r="F262" i="9"/>
  <c r="C262" i="9"/>
  <c r="D262" i="9"/>
  <c r="E262" i="9"/>
  <c r="G262" i="9"/>
  <c r="H262" i="9"/>
  <c r="I262" i="9"/>
  <c r="J262" i="9"/>
  <c r="K262" i="9"/>
  <c r="L262" i="9"/>
  <c r="M262" i="9"/>
  <c r="N262" i="9"/>
  <c r="O262" i="9"/>
  <c r="P262" i="9"/>
  <c r="L262" i="14" s="1"/>
  <c r="Q262" i="9"/>
  <c r="R262" i="9" s="1"/>
  <c r="C261" i="9"/>
  <c r="I261" i="9"/>
  <c r="J261" i="9"/>
  <c r="K261" i="9"/>
  <c r="L261" i="9"/>
  <c r="M261" i="9"/>
  <c r="N261" i="9"/>
  <c r="O261" i="9"/>
  <c r="P261" i="9"/>
  <c r="L261" i="14" s="1"/>
  <c r="Q261" i="9"/>
  <c r="D261" i="9"/>
  <c r="R261" i="9"/>
  <c r="E261" i="9"/>
  <c r="F261" i="9"/>
  <c r="G261" i="9"/>
  <c r="H261" i="9"/>
  <c r="Q260" i="9"/>
  <c r="R260" i="9" s="1"/>
  <c r="P260" i="9"/>
  <c r="L260" i="14" s="1"/>
  <c r="O260" i="9"/>
  <c r="I260" i="9"/>
  <c r="L260" i="9"/>
  <c r="M260" i="9" s="1"/>
  <c r="K260" i="9"/>
  <c r="J260" i="9"/>
  <c r="H260" i="9"/>
  <c r="G260" i="9"/>
  <c r="F260" i="9"/>
  <c r="E260" i="9"/>
  <c r="D260" i="9"/>
  <c r="C260" i="9"/>
  <c r="N260" i="9"/>
  <c r="N259" i="9"/>
  <c r="I259" i="9"/>
  <c r="Q259" i="9"/>
  <c r="R259" i="9" s="1"/>
  <c r="P259" i="9"/>
  <c r="L259" i="14" s="1"/>
  <c r="O259" i="9"/>
  <c r="D259" i="9"/>
  <c r="L259" i="9"/>
  <c r="M259" i="9" s="1"/>
  <c r="K259" i="9"/>
  <c r="F259" i="9"/>
  <c r="G259" i="9"/>
  <c r="H259" i="9"/>
  <c r="C259" i="9"/>
  <c r="E259" i="9"/>
  <c r="J259" i="9"/>
  <c r="I258" i="9"/>
  <c r="H258" i="9"/>
  <c r="F258" i="9"/>
  <c r="E258" i="9"/>
  <c r="D258" i="9"/>
  <c r="C258" i="9"/>
  <c r="J258" i="9"/>
  <c r="L258" i="9"/>
  <c r="M258" i="9"/>
  <c r="N258" i="9"/>
  <c r="O258" i="9"/>
  <c r="P258" i="9"/>
  <c r="L258" i="14" s="1"/>
  <c r="Q258" i="9"/>
  <c r="R258" i="9"/>
  <c r="G258" i="9"/>
  <c r="K258" i="9"/>
  <c r="P257" i="9"/>
  <c r="L257" i="14" s="1"/>
  <c r="N257" i="9"/>
  <c r="C257" i="9"/>
  <c r="Q257" i="9"/>
  <c r="R257" i="9" s="1"/>
  <c r="O257" i="9"/>
  <c r="E257" i="9"/>
  <c r="F257" i="9"/>
  <c r="G257" i="9"/>
  <c r="H257" i="9"/>
  <c r="I257" i="9"/>
  <c r="J257" i="9"/>
  <c r="K257" i="9"/>
  <c r="L257" i="9"/>
  <c r="M257" i="9"/>
  <c r="D257" i="9"/>
  <c r="N256" i="9"/>
  <c r="C256" i="9"/>
  <c r="D256" i="9"/>
  <c r="E256" i="9"/>
  <c r="F256" i="9"/>
  <c r="G256" i="9"/>
  <c r="H256" i="9"/>
  <c r="I256" i="9"/>
  <c r="J256" i="9"/>
  <c r="K256" i="9"/>
  <c r="L256" i="9"/>
  <c r="M256" i="9"/>
  <c r="O256" i="9"/>
  <c r="P256" i="9"/>
  <c r="L256" i="14" s="1"/>
  <c r="Q256" i="9"/>
  <c r="R256" i="9" s="1"/>
  <c r="F255" i="9"/>
  <c r="H255" i="9"/>
  <c r="G255" i="9"/>
  <c r="C255" i="9"/>
  <c r="E255" i="9"/>
  <c r="D255" i="9"/>
  <c r="Q255" i="9"/>
  <c r="R255" i="9" s="1"/>
  <c r="P255" i="9"/>
  <c r="L255" i="14" s="1"/>
  <c r="O255" i="9"/>
  <c r="N255" i="9"/>
  <c r="L255" i="9"/>
  <c r="M255" i="9" s="1"/>
  <c r="K255" i="9"/>
  <c r="J255" i="9"/>
  <c r="I255" i="9"/>
  <c r="H254" i="9"/>
  <c r="G254" i="9"/>
  <c r="F254" i="9"/>
  <c r="E254" i="9"/>
  <c r="C254" i="9"/>
  <c r="D254" i="9"/>
  <c r="Q254" i="9"/>
  <c r="R254" i="9" s="1"/>
  <c r="P254" i="9"/>
  <c r="L254" i="14" s="1"/>
  <c r="O254" i="9"/>
  <c r="N254" i="9"/>
  <c r="L254" i="9"/>
  <c r="M254" i="9" s="1"/>
  <c r="K254" i="9"/>
  <c r="J254" i="9"/>
  <c r="I254" i="9"/>
  <c r="Q253" i="9"/>
  <c r="R253" i="9" s="1"/>
  <c r="P253" i="9"/>
  <c r="L253" i="14" s="1"/>
  <c r="O253" i="9"/>
  <c r="N253" i="9"/>
  <c r="L253" i="9"/>
  <c r="M253" i="9" s="1"/>
  <c r="K253" i="9"/>
  <c r="J253" i="9"/>
  <c r="I253" i="9"/>
  <c r="H253" i="9"/>
  <c r="G253" i="9"/>
  <c r="F253" i="9"/>
  <c r="E253" i="9"/>
  <c r="D253" i="9"/>
  <c r="C253" i="9"/>
  <c r="H252" i="9"/>
  <c r="G252" i="9"/>
  <c r="F252" i="9"/>
  <c r="E252" i="9"/>
  <c r="D252" i="9"/>
  <c r="P252" i="9"/>
  <c r="L252" i="14" s="1"/>
  <c r="Q252" i="9"/>
  <c r="R252" i="9" s="1"/>
  <c r="C252" i="9"/>
  <c r="O252" i="9"/>
  <c r="N252" i="9"/>
  <c r="L252" i="9"/>
  <c r="M252" i="9" s="1"/>
  <c r="K252" i="9"/>
  <c r="J252" i="9"/>
  <c r="I252" i="9"/>
  <c r="H251" i="9"/>
  <c r="G251" i="9"/>
  <c r="F251" i="9"/>
  <c r="E251" i="9"/>
  <c r="D251" i="9"/>
  <c r="C251" i="9"/>
  <c r="Q251" i="9"/>
  <c r="R251" i="9" s="1"/>
  <c r="P251" i="9"/>
  <c r="L251" i="14" s="1"/>
  <c r="O251" i="9"/>
  <c r="N251" i="9"/>
  <c r="L251" i="9"/>
  <c r="M251" i="9" s="1"/>
  <c r="K251" i="9"/>
  <c r="J251" i="9"/>
  <c r="I251" i="9"/>
  <c r="P250" i="9"/>
  <c r="L250" i="14" s="1"/>
  <c r="Q250" i="9"/>
  <c r="R250" i="9" s="1"/>
  <c r="H250" i="9"/>
  <c r="O250" i="9"/>
  <c r="N250" i="9"/>
  <c r="L250" i="9"/>
  <c r="M250" i="9" s="1"/>
  <c r="K250" i="9"/>
  <c r="J250" i="9"/>
  <c r="I250" i="9"/>
  <c r="G250" i="9"/>
  <c r="F250" i="9"/>
  <c r="E250" i="9"/>
  <c r="D250" i="9"/>
  <c r="C250" i="9"/>
  <c r="C249" i="9"/>
  <c r="D249" i="9"/>
  <c r="E249" i="9"/>
  <c r="N249" i="9"/>
  <c r="G249" i="9"/>
  <c r="F249" i="9"/>
  <c r="Q249" i="9"/>
  <c r="R249" i="9" s="1"/>
  <c r="P249" i="9"/>
  <c r="L249" i="14" s="1"/>
  <c r="O249" i="9"/>
  <c r="L249" i="9"/>
  <c r="M249" i="9" s="1"/>
  <c r="K249" i="9"/>
  <c r="J249" i="9"/>
  <c r="I249" i="9"/>
  <c r="H249" i="9"/>
  <c r="O248" i="9"/>
  <c r="Q248" i="9"/>
  <c r="R248" i="9" s="1"/>
  <c r="P248" i="9"/>
  <c r="L248" i="14" s="1"/>
  <c r="N248" i="9"/>
  <c r="L248" i="9"/>
  <c r="M248" i="9" s="1"/>
  <c r="K248" i="9"/>
  <c r="J248" i="9"/>
  <c r="I248" i="9"/>
  <c r="H248" i="9"/>
  <c r="G248" i="9"/>
  <c r="F248" i="9"/>
  <c r="E248" i="9"/>
  <c r="D248" i="9"/>
  <c r="C248" i="9"/>
  <c r="D247" i="9"/>
  <c r="E247" i="9"/>
  <c r="C247" i="9"/>
  <c r="F247" i="9"/>
  <c r="G247" i="9"/>
  <c r="Q247" i="9"/>
  <c r="R247" i="9" s="1"/>
  <c r="P247" i="9"/>
  <c r="L247" i="14" s="1"/>
  <c r="O247" i="9"/>
  <c r="N247" i="9"/>
  <c r="L247" i="9"/>
  <c r="M247" i="9" s="1"/>
  <c r="K247" i="9"/>
  <c r="J247" i="9"/>
  <c r="I247" i="9"/>
  <c r="H247" i="9"/>
  <c r="G246" i="9"/>
  <c r="F246" i="9"/>
  <c r="E246" i="9"/>
  <c r="D246" i="9"/>
  <c r="C246" i="9"/>
  <c r="Q246" i="9"/>
  <c r="R246" i="9" s="1"/>
  <c r="P246" i="9"/>
  <c r="L246" i="14" s="1"/>
  <c r="O246" i="9"/>
  <c r="N246" i="9"/>
  <c r="L246" i="9"/>
  <c r="M246" i="9" s="1"/>
  <c r="K246" i="9"/>
  <c r="J246" i="9"/>
  <c r="I246" i="9"/>
  <c r="H246" i="9"/>
  <c r="E245" i="9"/>
  <c r="Q245" i="9"/>
  <c r="R245" i="9" s="1"/>
  <c r="P245" i="9"/>
  <c r="L245" i="14" s="1"/>
  <c r="O245" i="9"/>
  <c r="N245" i="9"/>
  <c r="L245" i="9"/>
  <c r="M245" i="9" s="1"/>
  <c r="K245" i="9"/>
  <c r="J245" i="9"/>
  <c r="I245" i="9"/>
  <c r="H245" i="9"/>
  <c r="G245" i="9"/>
  <c r="F245" i="9"/>
  <c r="D245" i="9"/>
  <c r="C245" i="9"/>
  <c r="G244" i="9"/>
  <c r="F244" i="9"/>
  <c r="E244" i="9"/>
  <c r="D244" i="9"/>
  <c r="C244" i="9"/>
  <c r="Q244" i="9"/>
  <c r="R244" i="9" s="1"/>
  <c r="P244" i="9"/>
  <c r="L244" i="14" s="1"/>
  <c r="O244" i="9"/>
  <c r="N244" i="9"/>
  <c r="L244" i="9"/>
  <c r="M244" i="9" s="1"/>
  <c r="K244" i="9"/>
  <c r="J244" i="9"/>
  <c r="I244" i="9"/>
  <c r="H244" i="9"/>
  <c r="G243" i="9"/>
  <c r="F243" i="9"/>
  <c r="E243" i="9"/>
  <c r="D243" i="9"/>
  <c r="C243" i="9"/>
  <c r="Q243" i="9"/>
  <c r="R243" i="9" s="1"/>
  <c r="P243" i="9"/>
  <c r="L243" i="14" s="1"/>
  <c r="O243" i="9"/>
  <c r="N243" i="9"/>
  <c r="L243" i="9"/>
  <c r="M243" i="9" s="1"/>
  <c r="K243" i="9"/>
  <c r="J243" i="9"/>
  <c r="I243" i="9"/>
  <c r="H243" i="9"/>
  <c r="N242" i="9"/>
  <c r="O242" i="9"/>
  <c r="D242" i="9"/>
  <c r="P242" i="9"/>
  <c r="L242" i="14" s="1"/>
  <c r="Q242" i="9"/>
  <c r="R242" i="9" s="1"/>
  <c r="L242" i="9"/>
  <c r="M242" i="9" s="1"/>
  <c r="E242" i="9"/>
  <c r="K242" i="9"/>
  <c r="C242" i="9"/>
  <c r="G242" i="9"/>
  <c r="F242" i="9"/>
  <c r="H242" i="9"/>
  <c r="I242" i="9"/>
  <c r="J242" i="9"/>
  <c r="E241" i="9"/>
  <c r="F241" i="9"/>
  <c r="G241" i="9"/>
  <c r="Q241" i="9"/>
  <c r="H241" i="9"/>
  <c r="I241" i="9"/>
  <c r="J241" i="9"/>
  <c r="K241" i="9"/>
  <c r="N241" i="9"/>
  <c r="O241" i="9"/>
  <c r="P241" i="9"/>
  <c r="L241" i="14" s="1"/>
  <c r="R241" i="9"/>
  <c r="D241" i="9"/>
  <c r="C241" i="9"/>
  <c r="L241" i="9"/>
  <c r="M241" i="9" s="1"/>
  <c r="L240" i="9"/>
  <c r="K240" i="9"/>
  <c r="J240" i="9"/>
  <c r="I240" i="9"/>
  <c r="H240" i="9"/>
  <c r="G240" i="9"/>
  <c r="F240" i="9"/>
  <c r="E240" i="9"/>
  <c r="D240" i="9"/>
  <c r="C240" i="9"/>
  <c r="O240" i="9"/>
  <c r="Q240" i="9"/>
  <c r="R240" i="9" s="1"/>
  <c r="P240" i="9"/>
  <c r="L240" i="14" s="1"/>
  <c r="N240" i="9"/>
  <c r="M240" i="9"/>
  <c r="G239" i="9"/>
  <c r="F239" i="9"/>
  <c r="E239" i="9"/>
  <c r="D239" i="9"/>
  <c r="C239" i="9"/>
  <c r="Q239" i="9"/>
  <c r="R239" i="9" s="1"/>
  <c r="P239" i="9"/>
  <c r="L239" i="14" s="1"/>
  <c r="O239" i="9"/>
  <c r="N239" i="9"/>
  <c r="L239" i="9"/>
  <c r="M239" i="9" s="1"/>
  <c r="K239" i="9"/>
  <c r="J239" i="9"/>
  <c r="I239" i="9"/>
  <c r="H239" i="9"/>
  <c r="Q238" i="9"/>
  <c r="R238" i="9"/>
  <c r="P238" i="9"/>
  <c r="L238" i="14" s="1"/>
  <c r="O238" i="9"/>
  <c r="N238" i="9"/>
  <c r="L238" i="9"/>
  <c r="M238" i="9" s="1"/>
  <c r="K238" i="9"/>
  <c r="J238" i="9"/>
  <c r="I238" i="9"/>
  <c r="H238" i="9"/>
  <c r="G238" i="9"/>
  <c r="F238" i="9"/>
  <c r="E238" i="9"/>
  <c r="D238" i="9"/>
  <c r="C238" i="9"/>
  <c r="K237" i="9"/>
  <c r="O237" i="9"/>
  <c r="N237" i="9"/>
  <c r="C237" i="9"/>
  <c r="D237" i="9"/>
  <c r="J237" i="9"/>
  <c r="Q237" i="9"/>
  <c r="R237" i="9" s="1"/>
  <c r="I237" i="9"/>
  <c r="E237" i="9"/>
  <c r="F237" i="9"/>
  <c r="G237" i="9"/>
  <c r="H237" i="9"/>
  <c r="L237" i="9"/>
  <c r="M237" i="9" s="1"/>
  <c r="P237" i="9"/>
  <c r="L237" i="14" s="1"/>
  <c r="H236" i="9"/>
  <c r="I236" i="9"/>
  <c r="J236" i="9"/>
  <c r="K236" i="9"/>
  <c r="L236" i="9"/>
  <c r="M236" i="9"/>
  <c r="N236" i="9"/>
  <c r="O236" i="9"/>
  <c r="P236" i="9"/>
  <c r="L236" i="14" s="1"/>
  <c r="Q236" i="9"/>
  <c r="R236" i="9" s="1"/>
  <c r="C236" i="9"/>
  <c r="D236" i="9"/>
  <c r="E236" i="9"/>
  <c r="F236" i="9"/>
  <c r="G236" i="9"/>
  <c r="C235" i="9"/>
  <c r="L235" i="9"/>
  <c r="K235" i="9"/>
  <c r="I235" i="9"/>
  <c r="H235" i="9"/>
  <c r="G235" i="9"/>
  <c r="F235" i="9"/>
  <c r="E235" i="9"/>
  <c r="D235" i="9"/>
  <c r="J235" i="9"/>
  <c r="M235" i="9"/>
  <c r="N235" i="9"/>
  <c r="O235" i="9"/>
  <c r="P235" i="9"/>
  <c r="L235" i="14" s="1"/>
  <c r="Q235" i="9"/>
  <c r="R235" i="9" s="1"/>
  <c r="L234" i="9"/>
  <c r="Q234" i="9"/>
  <c r="R234" i="9" s="1"/>
  <c r="P234" i="9"/>
  <c r="L234" i="14" s="1"/>
  <c r="O234" i="9"/>
  <c r="N234" i="9"/>
  <c r="M234" i="9"/>
  <c r="K234" i="9"/>
  <c r="J234" i="9"/>
  <c r="H234" i="9"/>
  <c r="G234" i="9"/>
  <c r="F234" i="9"/>
  <c r="I234" i="9"/>
  <c r="E234" i="9"/>
  <c r="C234" i="9"/>
  <c r="D234" i="9"/>
  <c r="I233" i="9"/>
  <c r="P233" i="9"/>
  <c r="L233" i="14" s="1"/>
  <c r="O233" i="9"/>
  <c r="N233" i="9"/>
  <c r="L233" i="9"/>
  <c r="M233" i="9" s="1"/>
  <c r="K233" i="9"/>
  <c r="J233" i="9"/>
  <c r="G233" i="9"/>
  <c r="H233" i="9"/>
  <c r="Q233" i="9"/>
  <c r="C233" i="9"/>
  <c r="D233" i="9"/>
  <c r="E233" i="9"/>
  <c r="F233" i="9"/>
  <c r="R233" i="9"/>
  <c r="Q232" i="9"/>
  <c r="P232" i="9"/>
  <c r="L232" i="14" s="1"/>
  <c r="O232" i="9"/>
  <c r="N232" i="9"/>
  <c r="L232" i="9"/>
  <c r="M232" i="9" s="1"/>
  <c r="J232" i="9"/>
  <c r="C232" i="9"/>
  <c r="K232" i="9"/>
  <c r="I232" i="9"/>
  <c r="D232" i="9"/>
  <c r="E232" i="9"/>
  <c r="F232" i="9"/>
  <c r="G232" i="9"/>
  <c r="R232" i="9"/>
  <c r="H232" i="9"/>
  <c r="J231" i="9"/>
  <c r="L231" i="9"/>
  <c r="I231" i="9"/>
  <c r="H231" i="9"/>
  <c r="G231" i="9"/>
  <c r="F231" i="9"/>
  <c r="E231" i="9"/>
  <c r="K231" i="9"/>
  <c r="D231" i="9"/>
  <c r="C231" i="9"/>
  <c r="P231" i="9"/>
  <c r="L231" i="14" s="1"/>
  <c r="M231" i="9"/>
  <c r="N231" i="9"/>
  <c r="O231" i="9"/>
  <c r="Q231" i="9"/>
  <c r="R231" i="9"/>
  <c r="F230" i="9"/>
  <c r="J230" i="9"/>
  <c r="K230" i="9"/>
  <c r="Q230" i="9"/>
  <c r="O230" i="9"/>
  <c r="P230" i="9"/>
  <c r="L230" i="14" s="1"/>
  <c r="R230" i="9"/>
  <c r="N230" i="9"/>
  <c r="L230" i="9"/>
  <c r="M230" i="9" s="1"/>
  <c r="C230" i="9"/>
  <c r="E230" i="9"/>
  <c r="D230" i="9"/>
  <c r="G230" i="9"/>
  <c r="H230" i="9"/>
  <c r="I230" i="9"/>
  <c r="I229" i="9"/>
  <c r="H229" i="9"/>
  <c r="G229" i="9"/>
  <c r="F229" i="9"/>
  <c r="D229" i="9"/>
  <c r="P229" i="9"/>
  <c r="L229" i="14" s="1"/>
  <c r="C229" i="9"/>
  <c r="O229" i="9"/>
  <c r="E229" i="9"/>
  <c r="Q229" i="9"/>
  <c r="R229" i="9" s="1"/>
  <c r="N229" i="9"/>
  <c r="L229" i="9"/>
  <c r="M229" i="9" s="1"/>
  <c r="K229" i="9"/>
  <c r="J229" i="9"/>
  <c r="E228" i="9"/>
  <c r="F228" i="9"/>
  <c r="G228" i="9"/>
  <c r="H228" i="9"/>
  <c r="I228" i="9"/>
  <c r="K228" i="9"/>
  <c r="L228" i="9"/>
  <c r="J228" i="9"/>
  <c r="O228" i="9"/>
  <c r="D228" i="9"/>
  <c r="M228" i="9"/>
  <c r="N228" i="9"/>
  <c r="Q228" i="9"/>
  <c r="R228" i="9" s="1"/>
  <c r="P228" i="9"/>
  <c r="L228" i="14" s="1"/>
  <c r="C228" i="9"/>
  <c r="Q227" i="9"/>
  <c r="R227" i="9" s="1"/>
  <c r="P227" i="9"/>
  <c r="L227" i="14" s="1"/>
  <c r="O227" i="9"/>
  <c r="N227" i="9"/>
  <c r="L227" i="9"/>
  <c r="M227" i="9" s="1"/>
  <c r="K227" i="9"/>
  <c r="J227" i="9"/>
  <c r="I227" i="9"/>
  <c r="H227" i="9"/>
  <c r="G227" i="9"/>
  <c r="F227" i="9"/>
  <c r="E227" i="9"/>
  <c r="D227" i="9"/>
  <c r="C227" i="9"/>
  <c r="G226" i="9"/>
  <c r="I226" i="9"/>
  <c r="P226" i="9"/>
  <c r="L226" i="14" s="1"/>
  <c r="J226" i="9"/>
  <c r="K226" i="9"/>
  <c r="L226" i="9"/>
  <c r="M226" i="9"/>
  <c r="N226" i="9"/>
  <c r="O226" i="9"/>
  <c r="Q226" i="9"/>
  <c r="C226" i="9"/>
  <c r="D226" i="9"/>
  <c r="E226" i="9"/>
  <c r="F226" i="9"/>
  <c r="R226" i="9"/>
  <c r="H226" i="9"/>
  <c r="L225" i="9"/>
  <c r="Q225" i="9"/>
  <c r="P225" i="9"/>
  <c r="L225" i="14" s="1"/>
  <c r="O225" i="9"/>
  <c r="N225" i="9"/>
  <c r="M225" i="9"/>
  <c r="K225" i="9"/>
  <c r="J225" i="9"/>
  <c r="R225" i="9"/>
  <c r="I225" i="9"/>
  <c r="H225" i="9"/>
  <c r="G225" i="9"/>
  <c r="F225" i="9"/>
  <c r="E225" i="9"/>
  <c r="D225" i="9"/>
  <c r="C225" i="9"/>
  <c r="E224" i="9"/>
  <c r="H224" i="9"/>
  <c r="Q224" i="9"/>
  <c r="P224" i="9"/>
  <c r="L224" i="14" s="1"/>
  <c r="O224" i="9"/>
  <c r="N224" i="9"/>
  <c r="L224" i="9"/>
  <c r="M224" i="9" s="1"/>
  <c r="I224" i="9"/>
  <c r="K224" i="9"/>
  <c r="C224" i="9"/>
  <c r="D224" i="9"/>
  <c r="J224" i="9"/>
  <c r="F224" i="9"/>
  <c r="G224" i="9"/>
  <c r="R224" i="9"/>
  <c r="L223" i="9"/>
  <c r="M223" i="9"/>
  <c r="N223" i="9"/>
  <c r="O223" i="9"/>
  <c r="J223" i="9"/>
  <c r="Q223" i="9"/>
  <c r="R223" i="9"/>
  <c r="P223" i="9"/>
  <c r="L223" i="14" s="1"/>
  <c r="I223" i="9"/>
  <c r="K223" i="9"/>
  <c r="G223" i="9"/>
  <c r="H223" i="9"/>
  <c r="E223" i="9"/>
  <c r="D223" i="9"/>
  <c r="C223" i="9"/>
  <c r="F223" i="9"/>
  <c r="Q222" i="9"/>
  <c r="P222" i="9"/>
  <c r="L222" i="14" s="1"/>
  <c r="O222" i="9"/>
  <c r="N222" i="9"/>
  <c r="R222" i="9"/>
  <c r="K222" i="9"/>
  <c r="J222" i="9"/>
  <c r="I222" i="9"/>
  <c r="H222" i="9"/>
  <c r="G222" i="9"/>
  <c r="F222" i="9"/>
  <c r="E222" i="9"/>
  <c r="D222" i="9"/>
  <c r="C222" i="9"/>
  <c r="L222" i="9"/>
  <c r="M222" i="9" s="1"/>
  <c r="Q221" i="9"/>
  <c r="R221" i="9" s="1"/>
  <c r="P221" i="9"/>
  <c r="L221" i="14" s="1"/>
  <c r="O221" i="9"/>
  <c r="N221" i="9"/>
  <c r="L221" i="9"/>
  <c r="M221" i="9" s="1"/>
  <c r="K221" i="9"/>
  <c r="J221" i="9"/>
  <c r="I221" i="9"/>
  <c r="H221" i="9"/>
  <c r="G221" i="9"/>
  <c r="E221" i="9"/>
  <c r="F221" i="9"/>
  <c r="C221" i="9"/>
  <c r="D221" i="9"/>
  <c r="K220" i="9"/>
  <c r="L220" i="9"/>
  <c r="M220" i="9"/>
  <c r="N220" i="9"/>
  <c r="G220" i="9"/>
  <c r="O220" i="9"/>
  <c r="P220" i="9"/>
  <c r="L220" i="14" s="1"/>
  <c r="Q220" i="9"/>
  <c r="R220" i="9"/>
  <c r="C220" i="9"/>
  <c r="D220" i="9"/>
  <c r="E220" i="9"/>
  <c r="F220" i="9"/>
  <c r="H220" i="9"/>
  <c r="I220" i="9"/>
  <c r="J220" i="9"/>
  <c r="C219" i="9"/>
  <c r="D219" i="9"/>
  <c r="E219" i="9"/>
  <c r="F219" i="9"/>
  <c r="G219" i="9"/>
  <c r="H219" i="9"/>
  <c r="I219" i="9"/>
  <c r="J219" i="9"/>
  <c r="K219" i="9"/>
  <c r="L219" i="9"/>
  <c r="M219" i="9"/>
  <c r="N219" i="9"/>
  <c r="O219" i="9"/>
  <c r="P219" i="9"/>
  <c r="L219" i="14" s="1"/>
  <c r="Q219" i="9"/>
  <c r="R219" i="9"/>
  <c r="H218" i="9"/>
  <c r="J218" i="9"/>
  <c r="I218" i="9"/>
  <c r="K218" i="9"/>
  <c r="L218" i="9"/>
  <c r="M218" i="9"/>
  <c r="N218" i="9"/>
  <c r="O218" i="9"/>
  <c r="P218" i="9"/>
  <c r="L218" i="14" s="1"/>
  <c r="Q218" i="9"/>
  <c r="R218" i="9" s="1"/>
  <c r="C218" i="9"/>
  <c r="D218" i="9"/>
  <c r="E218" i="9"/>
  <c r="F218" i="9"/>
  <c r="G218" i="9"/>
  <c r="G217" i="9"/>
  <c r="F217" i="9"/>
  <c r="E217" i="9"/>
  <c r="D217" i="9"/>
  <c r="C217" i="9"/>
  <c r="J217" i="9"/>
  <c r="Q217" i="9"/>
  <c r="K217" i="9"/>
  <c r="L217" i="9"/>
  <c r="M217" i="9"/>
  <c r="H217" i="9"/>
  <c r="N217" i="9"/>
  <c r="O217" i="9"/>
  <c r="P217" i="9"/>
  <c r="L217" i="14" s="1"/>
  <c r="R217" i="9"/>
  <c r="I217" i="9"/>
  <c r="I216" i="9"/>
  <c r="D216" i="9"/>
  <c r="E216" i="9"/>
  <c r="F216" i="9"/>
  <c r="G216" i="9"/>
  <c r="H216" i="9"/>
  <c r="J216" i="9"/>
  <c r="K216" i="9"/>
  <c r="L216" i="9"/>
  <c r="M216" i="9"/>
  <c r="N216" i="9"/>
  <c r="O216" i="9"/>
  <c r="P216" i="9"/>
  <c r="L216" i="14" s="1"/>
  <c r="C216" i="9"/>
  <c r="Q216" i="9"/>
  <c r="R216" i="9" s="1"/>
  <c r="H215" i="9"/>
  <c r="I215" i="9"/>
  <c r="J215" i="9"/>
  <c r="L215" i="9"/>
  <c r="C215" i="9"/>
  <c r="D215" i="9"/>
  <c r="E215" i="9"/>
  <c r="K215" i="9"/>
  <c r="F215" i="9"/>
  <c r="O215" i="9"/>
  <c r="P215" i="9"/>
  <c r="L215" i="14" s="1"/>
  <c r="Q215" i="9"/>
  <c r="R215" i="9"/>
  <c r="M215" i="9"/>
  <c r="G215" i="9"/>
  <c r="N215" i="9"/>
  <c r="Q214" i="9"/>
  <c r="R214" i="9" s="1"/>
  <c r="P214" i="9"/>
  <c r="L214" i="14" s="1"/>
  <c r="N214" i="9"/>
  <c r="L214" i="9"/>
  <c r="M214" i="9" s="1"/>
  <c r="K214" i="9"/>
  <c r="J214" i="9"/>
  <c r="I214" i="9"/>
  <c r="H214" i="9"/>
  <c r="G214" i="9"/>
  <c r="F214" i="9"/>
  <c r="E214" i="9"/>
  <c r="D214" i="9"/>
  <c r="O214" i="9"/>
  <c r="C214" i="9"/>
  <c r="O213" i="9"/>
  <c r="N213" i="9"/>
  <c r="G213" i="9"/>
  <c r="H213" i="9"/>
  <c r="I213" i="9"/>
  <c r="J213" i="9"/>
  <c r="K213" i="9"/>
  <c r="L213" i="9"/>
  <c r="M213" i="9"/>
  <c r="C213" i="9"/>
  <c r="D213" i="9"/>
  <c r="E213" i="9"/>
  <c r="F213" i="9"/>
  <c r="P213" i="9"/>
  <c r="L213" i="14" s="1"/>
  <c r="Q213" i="9"/>
  <c r="R213" i="9"/>
  <c r="C212" i="9"/>
  <c r="D212" i="9"/>
  <c r="E212" i="9"/>
  <c r="F212" i="9"/>
  <c r="H212" i="9"/>
  <c r="I212" i="9"/>
  <c r="J212" i="9"/>
  <c r="K212" i="9"/>
  <c r="L212" i="9"/>
  <c r="M212" i="9"/>
  <c r="N212" i="9"/>
  <c r="G212" i="9"/>
  <c r="P212" i="9"/>
  <c r="L212" i="14" s="1"/>
  <c r="Q212" i="9"/>
  <c r="R212" i="9"/>
  <c r="O212" i="9"/>
  <c r="P211" i="9"/>
  <c r="L211" i="14" s="1"/>
  <c r="Q211" i="9"/>
  <c r="R211" i="9"/>
  <c r="I211" i="9"/>
  <c r="H211" i="9"/>
  <c r="G211" i="9"/>
  <c r="F211" i="9"/>
  <c r="E211" i="9"/>
  <c r="D211" i="9"/>
  <c r="C211" i="9"/>
  <c r="L211" i="9"/>
  <c r="M211" i="9"/>
  <c r="N211" i="9"/>
  <c r="K211" i="9"/>
  <c r="J211" i="9"/>
  <c r="O211" i="9"/>
  <c r="Q210" i="9"/>
  <c r="R210" i="9" s="1"/>
  <c r="P210" i="9"/>
  <c r="L210" i="14" s="1"/>
  <c r="O210" i="9"/>
  <c r="N210" i="9"/>
  <c r="L210" i="9"/>
  <c r="M210" i="9" s="1"/>
  <c r="K210" i="9"/>
  <c r="J210" i="9"/>
  <c r="I210" i="9"/>
  <c r="H210" i="9"/>
  <c r="F210" i="9"/>
  <c r="G210" i="9"/>
  <c r="E210" i="9"/>
  <c r="D210" i="9"/>
  <c r="C210" i="9"/>
  <c r="C209" i="9"/>
  <c r="Q209" i="9"/>
  <c r="R209" i="9" s="1"/>
  <c r="P209" i="9"/>
  <c r="L209" i="14" s="1"/>
  <c r="N209" i="9"/>
  <c r="O209" i="9"/>
  <c r="L209" i="9"/>
  <c r="M209" i="9" s="1"/>
  <c r="K209" i="9"/>
  <c r="J209" i="9"/>
  <c r="I209" i="9"/>
  <c r="H209" i="9"/>
  <c r="G209" i="9"/>
  <c r="F209" i="9"/>
  <c r="E209" i="9"/>
  <c r="D209" i="9"/>
  <c r="C208" i="9"/>
  <c r="Q208" i="9"/>
  <c r="R208" i="9" s="1"/>
  <c r="P208" i="9"/>
  <c r="L208" i="14" s="1"/>
  <c r="O208" i="9"/>
  <c r="N208" i="9"/>
  <c r="L208" i="9"/>
  <c r="M208" i="9" s="1"/>
  <c r="K208" i="9"/>
  <c r="J208" i="9"/>
  <c r="I208" i="9"/>
  <c r="H208" i="9"/>
  <c r="G208" i="9"/>
  <c r="F208" i="9"/>
  <c r="E208" i="9"/>
  <c r="D208" i="9"/>
  <c r="E207" i="9"/>
  <c r="D207" i="9"/>
  <c r="C207" i="9"/>
  <c r="H207" i="9"/>
  <c r="G207" i="9"/>
  <c r="F207" i="9"/>
  <c r="J207" i="9"/>
  <c r="Q207" i="9"/>
  <c r="R207" i="9"/>
  <c r="P207" i="9"/>
  <c r="L207" i="14" s="1"/>
  <c r="O207" i="9"/>
  <c r="N207" i="9"/>
  <c r="L207" i="9"/>
  <c r="M207" i="9" s="1"/>
  <c r="K207" i="9"/>
  <c r="I207" i="9"/>
  <c r="Q206" i="9"/>
  <c r="R206" i="9" s="1"/>
  <c r="P206" i="9"/>
  <c r="L206" i="14" s="1"/>
  <c r="O206" i="9"/>
  <c r="N206" i="9"/>
  <c r="K206" i="9"/>
  <c r="J206" i="9"/>
  <c r="I206" i="9"/>
  <c r="H206" i="9"/>
  <c r="G206" i="9"/>
  <c r="F206" i="9"/>
  <c r="E206" i="9"/>
  <c r="D206" i="9"/>
  <c r="C206" i="9"/>
  <c r="L206" i="9"/>
  <c r="M206" i="9" s="1"/>
  <c r="Q205" i="9"/>
  <c r="R205" i="9" s="1"/>
  <c r="E205" i="9"/>
  <c r="C205" i="9"/>
  <c r="I205" i="9"/>
  <c r="F205" i="9"/>
  <c r="G205" i="9"/>
  <c r="H205" i="9"/>
  <c r="D205" i="9"/>
  <c r="J205" i="9"/>
  <c r="K205" i="9"/>
  <c r="L205" i="9"/>
  <c r="M205" i="9"/>
  <c r="N205" i="9"/>
  <c r="O205" i="9"/>
  <c r="P205" i="9"/>
  <c r="L205" i="14" s="1"/>
  <c r="Q204" i="9"/>
  <c r="R204" i="9" s="1"/>
  <c r="P204" i="9"/>
  <c r="L204" i="14" s="1"/>
  <c r="O204" i="9"/>
  <c r="N204" i="9"/>
  <c r="L204" i="9"/>
  <c r="M204" i="9" s="1"/>
  <c r="K204" i="9"/>
  <c r="J204" i="9"/>
  <c r="I204" i="9"/>
  <c r="H204" i="9"/>
  <c r="G204" i="9"/>
  <c r="F204" i="9"/>
  <c r="D204" i="9"/>
  <c r="C204" i="9"/>
  <c r="E204" i="9"/>
  <c r="E203" i="9"/>
  <c r="D203" i="9"/>
  <c r="C203" i="9"/>
  <c r="Q203" i="9"/>
  <c r="R203" i="9" s="1"/>
  <c r="P203" i="9"/>
  <c r="L203" i="14" s="1"/>
  <c r="O203" i="9"/>
  <c r="N203" i="9"/>
  <c r="L203" i="9"/>
  <c r="M203" i="9" s="1"/>
  <c r="K203" i="9"/>
  <c r="J203" i="9"/>
  <c r="I203" i="9"/>
  <c r="H203" i="9"/>
  <c r="G203" i="9"/>
  <c r="F203" i="9"/>
  <c r="K202" i="9"/>
  <c r="J202" i="9"/>
  <c r="H202" i="9"/>
  <c r="G202" i="9"/>
  <c r="F202" i="9"/>
  <c r="I202" i="9"/>
  <c r="E202" i="9"/>
  <c r="C202" i="9"/>
  <c r="D202" i="9"/>
  <c r="L202" i="9"/>
  <c r="M202" i="9" s="1"/>
  <c r="N202" i="9"/>
  <c r="O202" i="9"/>
  <c r="P202" i="9"/>
  <c r="L202" i="14" s="1"/>
  <c r="Q202" i="9"/>
  <c r="R202" i="9"/>
  <c r="I201" i="9"/>
  <c r="K201" i="9"/>
  <c r="L201" i="9"/>
  <c r="N201" i="9"/>
  <c r="O201" i="9"/>
  <c r="P201" i="9"/>
  <c r="L201" i="14" s="1"/>
  <c r="Q201" i="9"/>
  <c r="R201" i="9"/>
  <c r="J201" i="9"/>
  <c r="M201" i="9"/>
  <c r="G201" i="9"/>
  <c r="C201" i="9"/>
  <c r="D201" i="9"/>
  <c r="E201" i="9"/>
  <c r="F201" i="9"/>
  <c r="H201" i="9"/>
  <c r="L200" i="9"/>
  <c r="P200" i="9"/>
  <c r="L200" i="14" s="1"/>
  <c r="O200" i="9"/>
  <c r="N200" i="9"/>
  <c r="Q200" i="9"/>
  <c r="R200" i="9" s="1"/>
  <c r="M200" i="9"/>
  <c r="C200" i="9"/>
  <c r="D200" i="9"/>
  <c r="K200" i="9"/>
  <c r="F200" i="9"/>
  <c r="G200" i="9"/>
  <c r="H200" i="9"/>
  <c r="I200" i="9"/>
  <c r="J200" i="9"/>
  <c r="E200" i="9"/>
  <c r="J199" i="9"/>
  <c r="L199" i="9"/>
  <c r="M199" i="9"/>
  <c r="N199" i="9"/>
  <c r="O199" i="9"/>
  <c r="P199" i="9"/>
  <c r="L199" i="14" s="1"/>
  <c r="Q199" i="9"/>
  <c r="R199" i="9"/>
  <c r="K199" i="9"/>
  <c r="I199" i="9"/>
  <c r="H199" i="9"/>
  <c r="G199" i="9"/>
  <c r="F199" i="9"/>
  <c r="E199" i="9"/>
  <c r="D199" i="9"/>
  <c r="C199" i="9"/>
  <c r="D198" i="9"/>
  <c r="F198" i="9"/>
  <c r="G198" i="9"/>
  <c r="I198" i="9"/>
  <c r="J198" i="9"/>
  <c r="K198" i="9"/>
  <c r="L198" i="9"/>
  <c r="M198" i="9"/>
  <c r="O198" i="9"/>
  <c r="E198" i="9"/>
  <c r="H198" i="9"/>
  <c r="N198" i="9"/>
  <c r="Q198" i="9"/>
  <c r="R198" i="9" s="1"/>
  <c r="P198" i="9"/>
  <c r="L198" i="14" s="1"/>
  <c r="C198" i="9"/>
  <c r="D197" i="9"/>
  <c r="E197" i="9"/>
  <c r="F197" i="9"/>
  <c r="G197" i="9"/>
  <c r="H197" i="9"/>
  <c r="I197" i="9"/>
  <c r="J197" i="9"/>
  <c r="K197" i="9"/>
  <c r="L197" i="9"/>
  <c r="M197" i="9" s="1"/>
  <c r="Q197" i="9"/>
  <c r="R197" i="9" s="1"/>
  <c r="P197" i="9"/>
  <c r="L197" i="14" s="1"/>
  <c r="O197" i="9"/>
  <c r="N197" i="9"/>
  <c r="C197" i="9"/>
  <c r="L196" i="9"/>
  <c r="N196" i="9"/>
  <c r="M196" i="9"/>
  <c r="K196" i="9"/>
  <c r="J196" i="9"/>
  <c r="I196" i="9"/>
  <c r="H196" i="9"/>
  <c r="G196" i="9"/>
  <c r="F196" i="9"/>
  <c r="E196" i="9"/>
  <c r="D196" i="9"/>
  <c r="C196" i="9"/>
  <c r="Q196" i="9"/>
  <c r="R196" i="9" s="1"/>
  <c r="P196" i="9"/>
  <c r="L196" i="14" s="1"/>
  <c r="O196" i="9"/>
  <c r="D195" i="9"/>
  <c r="E195" i="9"/>
  <c r="F195" i="9"/>
  <c r="G195" i="9"/>
  <c r="H195" i="9"/>
  <c r="I195" i="9"/>
  <c r="J195" i="9"/>
  <c r="L195" i="9"/>
  <c r="M195" i="9"/>
  <c r="O195" i="9"/>
  <c r="C195" i="9"/>
  <c r="Q195" i="9"/>
  <c r="R195" i="9" s="1"/>
  <c r="K195" i="9"/>
  <c r="P195" i="9"/>
  <c r="L195" i="14" s="1"/>
  <c r="N195" i="9"/>
  <c r="D194" i="9"/>
  <c r="E194" i="9"/>
  <c r="F194" i="9"/>
  <c r="G194" i="9"/>
  <c r="H194" i="9"/>
  <c r="I194" i="9"/>
  <c r="J194" i="9"/>
  <c r="K194" i="9"/>
  <c r="L194" i="9"/>
  <c r="M194" i="9"/>
  <c r="N194" i="9"/>
  <c r="O194" i="9"/>
  <c r="P194" i="9"/>
  <c r="L194" i="14" s="1"/>
  <c r="Q194" i="9"/>
  <c r="R194" i="9" s="1"/>
  <c r="C194" i="9"/>
  <c r="Q193" i="9"/>
  <c r="D193" i="9"/>
  <c r="E193" i="9"/>
  <c r="R193" i="9"/>
  <c r="F193" i="9"/>
  <c r="G193" i="9"/>
  <c r="H193" i="9"/>
  <c r="P193" i="9"/>
  <c r="L193" i="14" s="1"/>
  <c r="I193" i="9"/>
  <c r="O193" i="9"/>
  <c r="N193" i="9"/>
  <c r="L193" i="9"/>
  <c r="M193" i="9" s="1"/>
  <c r="K193" i="9"/>
  <c r="J193" i="9"/>
  <c r="C193" i="9"/>
  <c r="O192" i="9"/>
  <c r="N192" i="9"/>
  <c r="L192" i="9"/>
  <c r="M192" i="9" s="1"/>
  <c r="K192" i="9"/>
  <c r="J192" i="9"/>
  <c r="I192" i="9"/>
  <c r="H192" i="9"/>
  <c r="G192" i="9"/>
  <c r="F192" i="9"/>
  <c r="E192" i="9"/>
  <c r="C192" i="9"/>
  <c r="D192" i="9"/>
  <c r="Q192" i="9"/>
  <c r="R192" i="9" s="1"/>
  <c r="P192" i="9"/>
  <c r="L192" i="14" s="1"/>
  <c r="I191" i="9"/>
  <c r="H191" i="9"/>
  <c r="G191" i="9"/>
  <c r="E191" i="9"/>
  <c r="D191" i="9"/>
  <c r="C191" i="9"/>
  <c r="J191" i="9"/>
  <c r="K191" i="9"/>
  <c r="L191" i="9"/>
  <c r="M191" i="9"/>
  <c r="N191" i="9"/>
  <c r="O191" i="9"/>
  <c r="P191" i="9"/>
  <c r="L191" i="14" s="1"/>
  <c r="Q191" i="9"/>
  <c r="R191" i="9"/>
  <c r="F191" i="9"/>
  <c r="Q190" i="9"/>
  <c r="R190" i="9" s="1"/>
  <c r="P190" i="9"/>
  <c r="L190" i="14" s="1"/>
  <c r="O190" i="9"/>
  <c r="N190" i="9"/>
  <c r="L190" i="9"/>
  <c r="M190" i="9" s="1"/>
  <c r="K190" i="9"/>
  <c r="J190" i="9"/>
  <c r="I190" i="9"/>
  <c r="H190" i="9"/>
  <c r="G190" i="9"/>
  <c r="F190" i="9"/>
  <c r="E190" i="9"/>
  <c r="D190" i="9"/>
  <c r="C190" i="9"/>
  <c r="G189" i="9"/>
  <c r="F189" i="9"/>
  <c r="J189" i="9"/>
  <c r="Q189" i="9"/>
  <c r="R189" i="9" s="1"/>
  <c r="P189" i="9"/>
  <c r="L189" i="14" s="1"/>
  <c r="O189" i="9"/>
  <c r="N189" i="9"/>
  <c r="L189" i="9"/>
  <c r="M189" i="9" s="1"/>
  <c r="K189" i="9"/>
  <c r="I189" i="9"/>
  <c r="H189" i="9"/>
  <c r="E189" i="9"/>
  <c r="D189" i="9"/>
  <c r="C189" i="9"/>
  <c r="E188" i="9"/>
  <c r="D188" i="9"/>
  <c r="H188" i="9"/>
  <c r="Q188" i="9"/>
  <c r="R188" i="9" s="1"/>
  <c r="P188" i="9"/>
  <c r="L188" i="14" s="1"/>
  <c r="O188" i="9"/>
  <c r="N188" i="9"/>
  <c r="L188" i="9"/>
  <c r="M188" i="9" s="1"/>
  <c r="K188" i="9"/>
  <c r="J188" i="9"/>
  <c r="I188" i="9"/>
  <c r="G188" i="9"/>
  <c r="C188" i="9"/>
  <c r="F188" i="9"/>
  <c r="N187" i="9"/>
  <c r="O187" i="9"/>
  <c r="P187" i="9"/>
  <c r="L187" i="14" s="1"/>
  <c r="Q187" i="9"/>
  <c r="R187" i="9" s="1"/>
  <c r="C187" i="9"/>
  <c r="D187" i="9"/>
  <c r="E187" i="9"/>
  <c r="F187" i="9"/>
  <c r="G187" i="9"/>
  <c r="H187" i="9"/>
  <c r="I187" i="9"/>
  <c r="J187" i="9"/>
  <c r="K187" i="9"/>
  <c r="L187" i="9"/>
  <c r="M187" i="9"/>
  <c r="P186" i="9"/>
  <c r="L186" i="14" s="1"/>
  <c r="Q186" i="9"/>
  <c r="R186" i="9"/>
  <c r="G186" i="9"/>
  <c r="O186" i="9"/>
  <c r="C186" i="9"/>
  <c r="D186" i="9"/>
  <c r="E186" i="9"/>
  <c r="F186" i="9"/>
  <c r="H186" i="9"/>
  <c r="I186" i="9"/>
  <c r="J186" i="9"/>
  <c r="K186" i="9"/>
  <c r="L186" i="9"/>
  <c r="M186" i="9"/>
  <c r="N186" i="9"/>
  <c r="H185" i="9"/>
  <c r="L185" i="9"/>
  <c r="Q185" i="9"/>
  <c r="P185" i="9"/>
  <c r="L185" i="14" s="1"/>
  <c r="O185" i="9"/>
  <c r="N185" i="9"/>
  <c r="M185" i="9"/>
  <c r="K185" i="9"/>
  <c r="J185" i="9"/>
  <c r="I185" i="9"/>
  <c r="G185" i="9"/>
  <c r="F185" i="9"/>
  <c r="E185" i="9"/>
  <c r="D185" i="9"/>
  <c r="C185" i="9"/>
  <c r="R185" i="9"/>
  <c r="P184" i="9"/>
  <c r="L184" i="14" s="1"/>
  <c r="Q184" i="9"/>
  <c r="R184" i="9"/>
  <c r="C184" i="9"/>
  <c r="D184" i="9"/>
  <c r="E184" i="9"/>
  <c r="F184" i="9"/>
  <c r="G184" i="9"/>
  <c r="H184" i="9"/>
  <c r="I184" i="9"/>
  <c r="J184" i="9"/>
  <c r="L184" i="9"/>
  <c r="M184" i="9"/>
  <c r="N184" i="9"/>
  <c r="O184" i="9"/>
  <c r="K184" i="9"/>
  <c r="F183" i="9"/>
  <c r="E183" i="9"/>
  <c r="Q183" i="9"/>
  <c r="R183" i="9" s="1"/>
  <c r="P183" i="9"/>
  <c r="L183" i="14" s="1"/>
  <c r="O183" i="9"/>
  <c r="N183" i="9"/>
  <c r="H183" i="9"/>
  <c r="C183" i="9"/>
  <c r="L183" i="9"/>
  <c r="M183" i="9" s="1"/>
  <c r="K183" i="9"/>
  <c r="D183" i="9"/>
  <c r="J183" i="9"/>
  <c r="I183" i="9"/>
  <c r="G183" i="9"/>
  <c r="P182" i="9"/>
  <c r="L182" i="14" s="1"/>
  <c r="C182" i="9"/>
  <c r="D182" i="9"/>
  <c r="E182" i="9"/>
  <c r="F182" i="9"/>
  <c r="G182" i="9"/>
  <c r="H182" i="9"/>
  <c r="I182" i="9"/>
  <c r="J182" i="9"/>
  <c r="K182" i="9"/>
  <c r="L182" i="9"/>
  <c r="M182" i="9"/>
  <c r="N182" i="9"/>
  <c r="O182" i="9"/>
  <c r="Q182" i="9"/>
  <c r="R182" i="9"/>
  <c r="L181" i="9"/>
  <c r="N181" i="9"/>
  <c r="Q181" i="9"/>
  <c r="R181" i="9" s="1"/>
  <c r="P181" i="9"/>
  <c r="L181" i="14" s="1"/>
  <c r="O181" i="9"/>
  <c r="M181" i="9"/>
  <c r="D181" i="9"/>
  <c r="K181" i="9"/>
  <c r="J181" i="9"/>
  <c r="I181" i="9"/>
  <c r="H181" i="9"/>
  <c r="G181" i="9"/>
  <c r="F181" i="9"/>
  <c r="E181" i="9"/>
  <c r="C181" i="9"/>
  <c r="H180" i="9"/>
  <c r="O180" i="9"/>
  <c r="Q180" i="9"/>
  <c r="R180" i="9" s="1"/>
  <c r="K180" i="9"/>
  <c r="L180" i="9"/>
  <c r="P180" i="9"/>
  <c r="L180" i="14" s="1"/>
  <c r="M180" i="9"/>
  <c r="N180" i="9"/>
  <c r="J180" i="9"/>
  <c r="I180" i="9"/>
  <c r="G180" i="9"/>
  <c r="F180" i="9"/>
  <c r="E180" i="9"/>
  <c r="D180" i="9"/>
  <c r="C180" i="9"/>
  <c r="D179" i="9"/>
  <c r="C179" i="9"/>
  <c r="J179" i="9"/>
  <c r="I179" i="9"/>
  <c r="H179" i="9"/>
  <c r="G179" i="9"/>
  <c r="E179" i="9"/>
  <c r="F179" i="9"/>
  <c r="Q179" i="9"/>
  <c r="R179" i="9" s="1"/>
  <c r="P179" i="9"/>
  <c r="L179" i="14" s="1"/>
  <c r="O179" i="9"/>
  <c r="N179" i="9"/>
  <c r="L179" i="9"/>
  <c r="M179" i="9" s="1"/>
  <c r="K179" i="9"/>
  <c r="D178" i="9"/>
  <c r="Q178" i="9"/>
  <c r="R178" i="9" s="1"/>
  <c r="P178" i="9"/>
  <c r="L178" i="14" s="1"/>
  <c r="O178" i="9"/>
  <c r="N178" i="9"/>
  <c r="I178" i="9"/>
  <c r="C178" i="9"/>
  <c r="L178" i="9"/>
  <c r="M178" i="9" s="1"/>
  <c r="K178" i="9"/>
  <c r="H178" i="9"/>
  <c r="J178" i="9"/>
  <c r="G178" i="9"/>
  <c r="F178" i="9"/>
  <c r="E178" i="9"/>
  <c r="Q177" i="9"/>
  <c r="L177" i="9"/>
  <c r="P177" i="9"/>
  <c r="L177" i="14" s="1"/>
  <c r="R177" i="9"/>
  <c r="C177" i="9"/>
  <c r="D177" i="9"/>
  <c r="E177" i="9"/>
  <c r="F177" i="9"/>
  <c r="G177" i="9"/>
  <c r="H177" i="9"/>
  <c r="I177" i="9"/>
  <c r="J177" i="9"/>
  <c r="K177" i="9"/>
  <c r="M177" i="9"/>
  <c r="N177" i="9"/>
  <c r="O177" i="9"/>
  <c r="K176" i="9"/>
  <c r="L176" i="9"/>
  <c r="Q176" i="9"/>
  <c r="R176" i="9" s="1"/>
  <c r="P176" i="9"/>
  <c r="L176" i="14" s="1"/>
  <c r="O176" i="9"/>
  <c r="N176" i="9"/>
  <c r="M176" i="9"/>
  <c r="I176" i="9"/>
  <c r="H176" i="9"/>
  <c r="G176" i="9"/>
  <c r="F176" i="9"/>
  <c r="E176" i="9"/>
  <c r="D176" i="9"/>
  <c r="C176" i="9"/>
  <c r="J176" i="9"/>
  <c r="Q175" i="9"/>
  <c r="R175" i="9" s="1"/>
  <c r="P175" i="9"/>
  <c r="L175" i="14" s="1"/>
  <c r="O175" i="9"/>
  <c r="N175" i="9"/>
  <c r="L175" i="9"/>
  <c r="M175" i="9" s="1"/>
  <c r="K175" i="9"/>
  <c r="J175" i="9"/>
  <c r="I175" i="9"/>
  <c r="H175" i="9"/>
  <c r="G175" i="9"/>
  <c r="F175" i="9"/>
  <c r="E175" i="9"/>
  <c r="D175" i="9"/>
  <c r="C175" i="9"/>
  <c r="Q174" i="9"/>
  <c r="P174" i="9"/>
  <c r="L174" i="14" s="1"/>
  <c r="O174" i="9"/>
  <c r="N174" i="9"/>
  <c r="L174" i="9"/>
  <c r="M174" i="9" s="1"/>
  <c r="K174" i="9"/>
  <c r="J174" i="9"/>
  <c r="I174" i="9"/>
  <c r="H174" i="9"/>
  <c r="G174" i="9"/>
  <c r="F174" i="9"/>
  <c r="E174" i="9"/>
  <c r="D174" i="9"/>
  <c r="C174" i="9"/>
  <c r="R174" i="9"/>
  <c r="Q173" i="9"/>
  <c r="P173" i="9"/>
  <c r="L173" i="14" s="1"/>
  <c r="O173" i="9"/>
  <c r="N173" i="9"/>
  <c r="L173" i="9"/>
  <c r="M173" i="9" s="1"/>
  <c r="K173" i="9"/>
  <c r="J173" i="9"/>
  <c r="I173" i="9"/>
  <c r="H173" i="9"/>
  <c r="R173" i="9"/>
  <c r="G173" i="9"/>
  <c r="F173" i="9"/>
  <c r="E173" i="9"/>
  <c r="D173" i="9"/>
  <c r="C173" i="9"/>
  <c r="Q172" i="9"/>
  <c r="R172" i="9" s="1"/>
  <c r="P172" i="9"/>
  <c r="L172" i="14" s="1"/>
  <c r="O172" i="9"/>
  <c r="N172" i="9"/>
  <c r="L172" i="9"/>
  <c r="M172" i="9" s="1"/>
  <c r="K172" i="9"/>
  <c r="J172" i="9"/>
  <c r="I172" i="9"/>
  <c r="H172" i="9"/>
  <c r="G172" i="9"/>
  <c r="F172" i="9"/>
  <c r="E172" i="9"/>
  <c r="D172" i="9"/>
  <c r="C172" i="9"/>
  <c r="Q171" i="9"/>
  <c r="R171" i="9" s="1"/>
  <c r="P171" i="9"/>
  <c r="L171" i="14" s="1"/>
  <c r="O171" i="9"/>
  <c r="N171" i="9"/>
  <c r="L171" i="9"/>
  <c r="M171" i="9" s="1"/>
  <c r="K171" i="9"/>
  <c r="J171" i="9"/>
  <c r="I171" i="9"/>
  <c r="H171" i="9"/>
  <c r="G171" i="9"/>
  <c r="F171" i="9"/>
  <c r="E171" i="9"/>
  <c r="D171" i="9"/>
  <c r="C171" i="9"/>
  <c r="Q170" i="9"/>
  <c r="I170" i="9"/>
  <c r="O170" i="9"/>
  <c r="N170" i="9"/>
  <c r="L170" i="9"/>
  <c r="M170" i="9" s="1"/>
  <c r="K170" i="9"/>
  <c r="J170" i="9"/>
  <c r="G170" i="9"/>
  <c r="F170" i="9"/>
  <c r="E170" i="9"/>
  <c r="R170" i="9"/>
  <c r="H170" i="9"/>
  <c r="P170" i="9"/>
  <c r="L170" i="14" s="1"/>
  <c r="C170" i="9"/>
  <c r="D170" i="9"/>
  <c r="L169" i="9"/>
  <c r="K169" i="9"/>
  <c r="J169" i="9"/>
  <c r="H169" i="9"/>
  <c r="G169" i="9"/>
  <c r="F169" i="9"/>
  <c r="I169" i="9"/>
  <c r="E169" i="9"/>
  <c r="Q169" i="9"/>
  <c r="M169" i="9"/>
  <c r="N169" i="9"/>
  <c r="O169" i="9"/>
  <c r="P169" i="9"/>
  <c r="L169" i="14" s="1"/>
  <c r="R169" i="9"/>
  <c r="C169" i="9"/>
  <c r="D169" i="9"/>
  <c r="C168" i="9"/>
  <c r="N168" i="9"/>
  <c r="Q168" i="9"/>
  <c r="R168" i="9" s="1"/>
  <c r="P168" i="9"/>
  <c r="L168" i="14" s="1"/>
  <c r="O168" i="9"/>
  <c r="L168" i="9"/>
  <c r="M168" i="9" s="1"/>
  <c r="K168" i="9"/>
  <c r="J168" i="9"/>
  <c r="I168" i="9"/>
  <c r="H168" i="9"/>
  <c r="G168" i="9"/>
  <c r="F168" i="9"/>
  <c r="E168" i="9"/>
  <c r="D168" i="9"/>
  <c r="K167" i="9"/>
  <c r="L167" i="9"/>
  <c r="M167" i="9"/>
  <c r="D167" i="9"/>
  <c r="P167" i="9"/>
  <c r="L167" i="14" s="1"/>
  <c r="N167" i="9"/>
  <c r="Q167" i="9"/>
  <c r="R167" i="9"/>
  <c r="O167" i="9"/>
  <c r="C167" i="9"/>
  <c r="E167" i="9"/>
  <c r="F167" i="9"/>
  <c r="G167" i="9"/>
  <c r="H167" i="9"/>
  <c r="I167" i="9"/>
  <c r="J167" i="9"/>
  <c r="D166" i="9"/>
  <c r="C166" i="9"/>
  <c r="F166" i="9"/>
  <c r="Q166" i="9"/>
  <c r="R166" i="9" s="1"/>
  <c r="P166" i="9"/>
  <c r="L166" i="14" s="1"/>
  <c r="O166" i="9"/>
  <c r="N166" i="9"/>
  <c r="L166" i="9"/>
  <c r="M166" i="9" s="1"/>
  <c r="K166" i="9"/>
  <c r="J166" i="9"/>
  <c r="I166" i="9"/>
  <c r="H166" i="9"/>
  <c r="G166" i="9"/>
  <c r="E166" i="9"/>
  <c r="Q165" i="9"/>
  <c r="R165" i="9"/>
  <c r="P165" i="9"/>
  <c r="L165" i="14" s="1"/>
  <c r="O165" i="9"/>
  <c r="N165" i="9"/>
  <c r="L165" i="9"/>
  <c r="M165" i="9" s="1"/>
  <c r="K165" i="9"/>
  <c r="J165" i="9"/>
  <c r="I165" i="9"/>
  <c r="H165" i="9"/>
  <c r="G165" i="9"/>
  <c r="F165" i="9"/>
  <c r="E165" i="9"/>
  <c r="D165" i="9"/>
  <c r="C165" i="9"/>
  <c r="C164" i="9"/>
  <c r="D164" i="9"/>
  <c r="E164" i="9"/>
  <c r="Q164" i="9"/>
  <c r="P164" i="9"/>
  <c r="L164" i="14" s="1"/>
  <c r="O164" i="9"/>
  <c r="N164" i="9"/>
  <c r="L164" i="9"/>
  <c r="M164" i="9" s="1"/>
  <c r="K164" i="9"/>
  <c r="J164" i="9"/>
  <c r="I164" i="9"/>
  <c r="H164" i="9"/>
  <c r="G164" i="9"/>
  <c r="F164" i="9"/>
  <c r="R164" i="9"/>
  <c r="F163" i="9"/>
  <c r="E163" i="9"/>
  <c r="N163" i="9"/>
  <c r="G163" i="9"/>
  <c r="H163" i="9"/>
  <c r="I163" i="9"/>
  <c r="J163" i="9"/>
  <c r="K163" i="9"/>
  <c r="L163" i="9"/>
  <c r="M163" i="9"/>
  <c r="O163" i="9"/>
  <c r="P163" i="9"/>
  <c r="L163" i="14" s="1"/>
  <c r="Q163" i="9"/>
  <c r="R163" i="9"/>
  <c r="D163" i="9"/>
  <c r="C163" i="9"/>
  <c r="F162" i="9"/>
  <c r="E162" i="9"/>
  <c r="N162" i="9"/>
  <c r="D162" i="9"/>
  <c r="C162" i="9"/>
  <c r="Q162" i="9"/>
  <c r="R162" i="9" s="1"/>
  <c r="P162" i="9"/>
  <c r="L162" i="14" s="1"/>
  <c r="O162" i="9"/>
  <c r="L162" i="9"/>
  <c r="M162" i="9" s="1"/>
  <c r="K162" i="9"/>
  <c r="J162" i="9"/>
  <c r="I162" i="9"/>
  <c r="H162" i="9"/>
  <c r="G162" i="9"/>
  <c r="D161" i="9"/>
  <c r="H161" i="9"/>
  <c r="I161" i="9"/>
  <c r="J161" i="9"/>
  <c r="K161" i="9"/>
  <c r="L161" i="9"/>
  <c r="M161" i="9"/>
  <c r="N161" i="9"/>
  <c r="O161" i="9"/>
  <c r="P161" i="9"/>
  <c r="L161" i="14" s="1"/>
  <c r="Q161" i="9"/>
  <c r="R161" i="9"/>
  <c r="F161" i="9"/>
  <c r="E161" i="9"/>
  <c r="G161" i="9"/>
  <c r="C161" i="9"/>
  <c r="H160" i="9"/>
  <c r="C160" i="9"/>
  <c r="D160" i="9"/>
  <c r="E160" i="9"/>
  <c r="F160" i="9"/>
  <c r="G160" i="9"/>
  <c r="I160" i="9"/>
  <c r="J160" i="9"/>
  <c r="K160" i="9"/>
  <c r="L160" i="9"/>
  <c r="M160" i="9"/>
  <c r="N160" i="9"/>
  <c r="O160" i="9"/>
  <c r="P160" i="9"/>
  <c r="L160" i="14" s="1"/>
  <c r="Q160" i="9"/>
  <c r="R160" i="9"/>
  <c r="I159" i="9"/>
  <c r="K159" i="9"/>
  <c r="J159" i="9"/>
  <c r="C159" i="9"/>
  <c r="H159" i="9"/>
  <c r="G159" i="9"/>
  <c r="O159" i="9"/>
  <c r="F159" i="9"/>
  <c r="E159" i="9"/>
  <c r="Q159" i="9"/>
  <c r="R159" i="9" s="1"/>
  <c r="P159" i="9"/>
  <c r="L159" i="14" s="1"/>
  <c r="D159" i="9"/>
  <c r="N159" i="9"/>
  <c r="L159" i="9"/>
  <c r="M159" i="9" s="1"/>
  <c r="J158" i="9"/>
  <c r="H158" i="9"/>
  <c r="G158" i="9"/>
  <c r="F158" i="9"/>
  <c r="E158" i="9"/>
  <c r="D158" i="9"/>
  <c r="C158" i="9"/>
  <c r="I158" i="9"/>
  <c r="Q158" i="9"/>
  <c r="R158" i="9" s="1"/>
  <c r="P158" i="9"/>
  <c r="L158" i="14" s="1"/>
  <c r="O158" i="9"/>
  <c r="N158" i="9"/>
  <c r="L158" i="9"/>
  <c r="M158" i="9" s="1"/>
  <c r="K158" i="9"/>
  <c r="K157" i="9"/>
  <c r="J157" i="9"/>
  <c r="I157" i="9"/>
  <c r="H157" i="9"/>
  <c r="G157" i="9"/>
  <c r="E157" i="9"/>
  <c r="D157" i="9"/>
  <c r="F157" i="9"/>
  <c r="C157" i="9"/>
  <c r="Q157" i="9"/>
  <c r="R157" i="9" s="1"/>
  <c r="P157" i="9"/>
  <c r="L157" i="14" s="1"/>
  <c r="O157" i="9"/>
  <c r="N157" i="9"/>
  <c r="L157" i="9"/>
  <c r="M157" i="9" s="1"/>
  <c r="L156" i="9"/>
  <c r="K156" i="9"/>
  <c r="J156" i="9"/>
  <c r="I156" i="9"/>
  <c r="H156" i="9"/>
  <c r="F156" i="9"/>
  <c r="E156" i="9"/>
  <c r="D156" i="9"/>
  <c r="C156" i="9"/>
  <c r="G156" i="9"/>
  <c r="Q156" i="9"/>
  <c r="R156" i="9" s="1"/>
  <c r="P156" i="9"/>
  <c r="L156" i="14" s="1"/>
  <c r="O156" i="9"/>
  <c r="N156" i="9"/>
  <c r="M156" i="9"/>
  <c r="Q155" i="9"/>
  <c r="J155" i="9"/>
  <c r="H155" i="9"/>
  <c r="G155" i="9"/>
  <c r="F155" i="9"/>
  <c r="E155" i="9"/>
  <c r="D155" i="9"/>
  <c r="C155" i="9"/>
  <c r="R155" i="9"/>
  <c r="P155" i="9"/>
  <c r="L155" i="14" s="1"/>
  <c r="O155" i="9"/>
  <c r="N155" i="9"/>
  <c r="L155" i="9"/>
  <c r="M155" i="9" s="1"/>
  <c r="I155" i="9"/>
  <c r="K155" i="9"/>
  <c r="N154" i="9"/>
  <c r="P154" i="9"/>
  <c r="L154" i="14" s="1"/>
  <c r="L154" i="9"/>
  <c r="M154" i="9" s="1"/>
  <c r="K154" i="9"/>
  <c r="J154" i="9"/>
  <c r="I154" i="9"/>
  <c r="H154" i="9"/>
  <c r="G154" i="9"/>
  <c r="F154" i="9"/>
  <c r="D154" i="9"/>
  <c r="C154" i="9"/>
  <c r="Q154" i="9"/>
  <c r="R154" i="9" s="1"/>
  <c r="E154" i="9"/>
  <c r="O154" i="9"/>
  <c r="C153" i="9"/>
  <c r="D153" i="9"/>
  <c r="E153" i="9"/>
  <c r="F153" i="9"/>
  <c r="G153" i="9"/>
  <c r="H153" i="9"/>
  <c r="I153" i="9"/>
  <c r="J153" i="9"/>
  <c r="K153" i="9"/>
  <c r="L153" i="9"/>
  <c r="M153" i="9"/>
  <c r="O153" i="9"/>
  <c r="P153" i="9"/>
  <c r="L153" i="14" s="1"/>
  <c r="Q153" i="9"/>
  <c r="R153" i="9"/>
  <c r="N153" i="9"/>
  <c r="P152" i="9"/>
  <c r="L152" i="14" s="1"/>
  <c r="O152" i="9"/>
  <c r="N152" i="9"/>
  <c r="L152" i="9"/>
  <c r="M152" i="9" s="1"/>
  <c r="K152" i="9"/>
  <c r="J152" i="9"/>
  <c r="H152" i="9"/>
  <c r="G152" i="9"/>
  <c r="F152" i="9"/>
  <c r="E152" i="9"/>
  <c r="Q152" i="9"/>
  <c r="R152" i="9" s="1"/>
  <c r="D152" i="9"/>
  <c r="C152" i="9"/>
  <c r="I152" i="9"/>
  <c r="L151" i="9"/>
  <c r="Q151" i="9"/>
  <c r="R151" i="9" s="1"/>
  <c r="P151" i="9"/>
  <c r="L151" i="14" s="1"/>
  <c r="O151" i="9"/>
  <c r="N151" i="9"/>
  <c r="M151" i="9"/>
  <c r="K151" i="9"/>
  <c r="J151" i="9"/>
  <c r="I151" i="9"/>
  <c r="H151" i="9"/>
  <c r="G151" i="9"/>
  <c r="F151" i="9"/>
  <c r="E151" i="9"/>
  <c r="D151" i="9"/>
  <c r="C151" i="9"/>
  <c r="L150" i="9"/>
  <c r="I150" i="9"/>
  <c r="Q150" i="9"/>
  <c r="R150" i="9" s="1"/>
  <c r="P150" i="9"/>
  <c r="L150" i="14" s="1"/>
  <c r="O150" i="9"/>
  <c r="N150" i="9"/>
  <c r="M150" i="9"/>
  <c r="K150" i="9"/>
  <c r="J150" i="9"/>
  <c r="H150" i="9"/>
  <c r="G150" i="9"/>
  <c r="F150" i="9"/>
  <c r="E150" i="9"/>
  <c r="D150" i="9"/>
  <c r="C150" i="9"/>
  <c r="I149" i="9"/>
  <c r="H149" i="9"/>
  <c r="L149" i="9"/>
  <c r="M149" i="9"/>
  <c r="N149" i="9"/>
  <c r="O149" i="9"/>
  <c r="P149" i="9"/>
  <c r="L149" i="14" s="1"/>
  <c r="Q149" i="9"/>
  <c r="D149" i="9"/>
  <c r="E149" i="9"/>
  <c r="F149" i="9"/>
  <c r="G149" i="9"/>
  <c r="C149" i="9"/>
  <c r="J149" i="9"/>
  <c r="R149" i="9"/>
  <c r="K149" i="9"/>
  <c r="P148" i="9"/>
  <c r="L148" i="14" s="1"/>
  <c r="O148" i="9"/>
  <c r="N148" i="9"/>
  <c r="C148" i="9"/>
  <c r="L148" i="9"/>
  <c r="M148" i="9"/>
  <c r="Q148" i="9"/>
  <c r="R148" i="9" s="1"/>
  <c r="F148" i="9"/>
  <c r="E148" i="9"/>
  <c r="K148" i="9"/>
  <c r="J148" i="9"/>
  <c r="I148" i="9"/>
  <c r="H148" i="9"/>
  <c r="G148" i="9"/>
  <c r="D148" i="9"/>
  <c r="C147" i="9"/>
  <c r="I147" i="9"/>
  <c r="D147" i="9"/>
  <c r="E147" i="9"/>
  <c r="F147" i="9"/>
  <c r="G147" i="9"/>
  <c r="H147" i="9"/>
  <c r="J147" i="9"/>
  <c r="L147" i="9"/>
  <c r="M147" i="9"/>
  <c r="K147" i="9"/>
  <c r="N147" i="9"/>
  <c r="O147" i="9"/>
  <c r="P147" i="9"/>
  <c r="L147" i="14" s="1"/>
  <c r="Q147" i="9"/>
  <c r="R147" i="9"/>
  <c r="O146" i="9"/>
  <c r="N146" i="9"/>
  <c r="C146" i="9"/>
  <c r="D146" i="9"/>
  <c r="E146" i="9"/>
  <c r="F146" i="9"/>
  <c r="G146" i="9"/>
  <c r="H146" i="9"/>
  <c r="I146" i="9"/>
  <c r="J146" i="9"/>
  <c r="K146" i="9"/>
  <c r="L146" i="9"/>
  <c r="M146" i="9" s="1"/>
  <c r="Q146" i="9"/>
  <c r="R146" i="9" s="1"/>
  <c r="P146" i="9"/>
  <c r="L146" i="14" s="1"/>
  <c r="K145" i="9"/>
  <c r="L145" i="9"/>
  <c r="M145" i="9" s="1"/>
  <c r="J145" i="9"/>
  <c r="I145" i="9"/>
  <c r="C145" i="9"/>
  <c r="H145" i="9"/>
  <c r="G145" i="9"/>
  <c r="F145" i="9"/>
  <c r="E145" i="9"/>
  <c r="D145" i="9"/>
  <c r="N145" i="9"/>
  <c r="Q145" i="9"/>
  <c r="R145" i="9" s="1"/>
  <c r="P145" i="9"/>
  <c r="L145" i="14" s="1"/>
  <c r="O145" i="9"/>
  <c r="N144" i="9"/>
  <c r="F144" i="9"/>
  <c r="K144" i="9"/>
  <c r="J144" i="9"/>
  <c r="I144" i="9"/>
  <c r="H144" i="9"/>
  <c r="G144" i="9"/>
  <c r="P144" i="9"/>
  <c r="L144" i="14" s="1"/>
  <c r="E144" i="9"/>
  <c r="D144" i="9"/>
  <c r="C144" i="9"/>
  <c r="L144" i="9"/>
  <c r="M144" i="9" s="1"/>
  <c r="Q144" i="9"/>
  <c r="R144" i="9" s="1"/>
  <c r="O144" i="9"/>
  <c r="L143" i="9"/>
  <c r="M143" i="9" s="1"/>
  <c r="C143" i="9"/>
  <c r="K143" i="9"/>
  <c r="J143" i="9"/>
  <c r="I143" i="9"/>
  <c r="H143" i="9"/>
  <c r="G143" i="9"/>
  <c r="O143" i="9"/>
  <c r="E143" i="9"/>
  <c r="D143" i="9"/>
  <c r="Q143" i="9"/>
  <c r="R143" i="9" s="1"/>
  <c r="P143" i="9"/>
  <c r="L143" i="14" s="1"/>
  <c r="N143" i="9"/>
  <c r="F143" i="9"/>
  <c r="O142" i="9"/>
  <c r="N142" i="9"/>
  <c r="L142" i="9"/>
  <c r="M142" i="9" s="1"/>
  <c r="K142" i="9"/>
  <c r="J142" i="9"/>
  <c r="I142" i="9"/>
  <c r="H142" i="9"/>
  <c r="G142" i="9"/>
  <c r="F142" i="9"/>
  <c r="E142" i="9"/>
  <c r="D142" i="9"/>
  <c r="C142" i="9"/>
  <c r="Q142" i="9"/>
  <c r="R142" i="9" s="1"/>
  <c r="P142" i="9"/>
  <c r="L142" i="14" s="1"/>
  <c r="E141" i="9"/>
  <c r="D141" i="9"/>
  <c r="I141" i="9"/>
  <c r="F141" i="9"/>
  <c r="G141" i="9"/>
  <c r="H141" i="9"/>
  <c r="J141" i="9"/>
  <c r="K141" i="9"/>
  <c r="L141" i="9"/>
  <c r="M141" i="9"/>
  <c r="C141" i="9"/>
  <c r="N141" i="9"/>
  <c r="O141" i="9"/>
  <c r="P141" i="9"/>
  <c r="L141" i="14" s="1"/>
  <c r="Q141" i="9"/>
  <c r="R141" i="9"/>
  <c r="E140" i="9"/>
  <c r="F140" i="9"/>
  <c r="G140" i="9"/>
  <c r="H140" i="9"/>
  <c r="K140" i="9"/>
  <c r="Q140" i="9"/>
  <c r="R140" i="9" s="1"/>
  <c r="I140" i="9"/>
  <c r="P140" i="9"/>
  <c r="L140" i="14" s="1"/>
  <c r="O140" i="9"/>
  <c r="N140" i="9"/>
  <c r="J140" i="9"/>
  <c r="L140" i="9"/>
  <c r="M140" i="9" s="1"/>
  <c r="D140" i="9"/>
  <c r="C140" i="9"/>
  <c r="Q139" i="9"/>
  <c r="O139" i="9"/>
  <c r="E139" i="9"/>
  <c r="R139" i="9"/>
  <c r="P139" i="9"/>
  <c r="L139" i="14" s="1"/>
  <c r="C139" i="9"/>
  <c r="D139" i="9"/>
  <c r="F139" i="9"/>
  <c r="G139" i="9"/>
  <c r="H139" i="9"/>
  <c r="I139" i="9"/>
  <c r="J139" i="9"/>
  <c r="K139" i="9"/>
  <c r="L139" i="9"/>
  <c r="M139" i="9"/>
  <c r="N139" i="9"/>
  <c r="E138" i="9"/>
  <c r="O138" i="9"/>
  <c r="Q138" i="9"/>
  <c r="R138" i="9"/>
  <c r="F138" i="9"/>
  <c r="G138" i="9"/>
  <c r="H138" i="9"/>
  <c r="J138" i="9"/>
  <c r="K138" i="9"/>
  <c r="L138" i="9"/>
  <c r="M138" i="9"/>
  <c r="N138" i="9"/>
  <c r="I138" i="9"/>
  <c r="C138" i="9"/>
  <c r="D138" i="9"/>
  <c r="P138" i="9"/>
  <c r="L138" i="14" s="1"/>
  <c r="J137" i="9"/>
  <c r="I137" i="9"/>
  <c r="H137" i="9"/>
  <c r="G137" i="9"/>
  <c r="F137" i="9"/>
  <c r="E137" i="9"/>
  <c r="D137" i="9"/>
  <c r="C137" i="9"/>
  <c r="Q137" i="9"/>
  <c r="R137" i="9"/>
  <c r="P137" i="9"/>
  <c r="L137" i="14" s="1"/>
  <c r="O137" i="9"/>
  <c r="N137" i="9"/>
  <c r="L137" i="9"/>
  <c r="M137" i="9" s="1"/>
  <c r="K137" i="9"/>
  <c r="K136" i="9"/>
  <c r="L136" i="9"/>
  <c r="M136" i="9"/>
  <c r="N136" i="9"/>
  <c r="O136" i="9"/>
  <c r="P136" i="9"/>
  <c r="L136" i="14" s="1"/>
  <c r="Q136" i="9"/>
  <c r="R136" i="9" s="1"/>
  <c r="F136" i="9"/>
  <c r="C136" i="9"/>
  <c r="D136" i="9"/>
  <c r="E136" i="9"/>
  <c r="G136" i="9"/>
  <c r="H136" i="9"/>
  <c r="I136" i="9"/>
  <c r="J136" i="9"/>
  <c r="F135" i="9"/>
  <c r="E135" i="9"/>
  <c r="D135" i="9"/>
  <c r="C135" i="9"/>
  <c r="H135" i="9"/>
  <c r="I135" i="9"/>
  <c r="K135" i="9"/>
  <c r="L135" i="9"/>
  <c r="M135" i="9"/>
  <c r="N135" i="9"/>
  <c r="O135" i="9"/>
  <c r="P135" i="9"/>
  <c r="L135" i="14" s="1"/>
  <c r="Q135" i="9"/>
  <c r="G135" i="9"/>
  <c r="R135" i="9"/>
  <c r="J135" i="9"/>
  <c r="F134" i="9"/>
  <c r="C134" i="9"/>
  <c r="D134" i="9"/>
  <c r="E134" i="9"/>
  <c r="G134" i="9"/>
  <c r="H134" i="9"/>
  <c r="I134" i="9"/>
  <c r="J134" i="9"/>
  <c r="K134" i="9"/>
  <c r="L134" i="9"/>
  <c r="M134" i="9"/>
  <c r="N134" i="9"/>
  <c r="O134" i="9"/>
  <c r="P134" i="9"/>
  <c r="L134" i="14" s="1"/>
  <c r="Q134" i="9"/>
  <c r="R134" i="9"/>
  <c r="G133" i="9"/>
  <c r="F133" i="9"/>
  <c r="J133" i="9"/>
  <c r="D133" i="9"/>
  <c r="C133" i="9"/>
  <c r="H133" i="9"/>
  <c r="E133" i="9"/>
  <c r="K133" i="9"/>
  <c r="L133" i="9"/>
  <c r="M133" i="9"/>
  <c r="N133" i="9"/>
  <c r="O133" i="9"/>
  <c r="P133" i="9"/>
  <c r="L133" i="14" s="1"/>
  <c r="Q133" i="9"/>
  <c r="R133" i="9" s="1"/>
  <c r="I133" i="9"/>
  <c r="J132" i="9"/>
  <c r="I132" i="9"/>
  <c r="H132" i="9"/>
  <c r="G132" i="9"/>
  <c r="F132" i="9"/>
  <c r="E132" i="9"/>
  <c r="D132" i="9"/>
  <c r="C132" i="9"/>
  <c r="Q132" i="9"/>
  <c r="R132" i="9"/>
  <c r="P132" i="9"/>
  <c r="L132" i="14" s="1"/>
  <c r="O132" i="9"/>
  <c r="N132" i="9"/>
  <c r="L132" i="9"/>
  <c r="M132" i="9" s="1"/>
  <c r="K132" i="9"/>
  <c r="Q131" i="9"/>
  <c r="R131" i="9" s="1"/>
  <c r="P131" i="9"/>
  <c r="L131" i="14" s="1"/>
  <c r="O131" i="9"/>
  <c r="N131" i="9"/>
  <c r="L131" i="9"/>
  <c r="M131" i="9" s="1"/>
  <c r="K131" i="9"/>
  <c r="J131" i="9"/>
  <c r="I131" i="9"/>
  <c r="H131" i="9"/>
  <c r="G131" i="9"/>
  <c r="F131" i="9"/>
  <c r="E131" i="9"/>
  <c r="D131" i="9"/>
  <c r="C131" i="9"/>
  <c r="E130" i="9"/>
  <c r="D130" i="9"/>
  <c r="I130" i="9"/>
  <c r="K130" i="9"/>
  <c r="J130" i="9"/>
  <c r="L130" i="9"/>
  <c r="H130" i="9"/>
  <c r="Q130" i="9"/>
  <c r="M130" i="9"/>
  <c r="N130" i="9"/>
  <c r="O130" i="9"/>
  <c r="P130" i="9"/>
  <c r="L130" i="14" s="1"/>
  <c r="R130" i="9"/>
  <c r="G130" i="9"/>
  <c r="F130" i="9"/>
  <c r="C130" i="9"/>
  <c r="Q129" i="9"/>
  <c r="R129" i="9" s="1"/>
  <c r="P129" i="9"/>
  <c r="L129" i="14" s="1"/>
  <c r="O129" i="9"/>
  <c r="N129" i="9"/>
  <c r="L129" i="9"/>
  <c r="M129" i="9" s="1"/>
  <c r="K129" i="9"/>
  <c r="J129" i="9"/>
  <c r="I129" i="9"/>
  <c r="H129" i="9"/>
  <c r="G129" i="9"/>
  <c r="F129" i="9"/>
  <c r="E129" i="9"/>
  <c r="D129" i="9"/>
  <c r="C129" i="9"/>
  <c r="Q128" i="9"/>
  <c r="R128" i="9" s="1"/>
  <c r="P128" i="9"/>
  <c r="L128" i="14" s="1"/>
  <c r="O128" i="9"/>
  <c r="N128" i="9"/>
  <c r="L128" i="9"/>
  <c r="M128" i="9" s="1"/>
  <c r="K128" i="9"/>
  <c r="J128" i="9"/>
  <c r="I128" i="9"/>
  <c r="H128" i="9"/>
  <c r="G128" i="9"/>
  <c r="F128" i="9"/>
  <c r="E128" i="9"/>
  <c r="D128" i="9"/>
  <c r="C128" i="9"/>
  <c r="Q127" i="9"/>
  <c r="R127" i="9" s="1"/>
  <c r="P127" i="9"/>
  <c r="L127" i="14" s="1"/>
  <c r="O127" i="9"/>
  <c r="N127" i="9"/>
  <c r="L127" i="9"/>
  <c r="M127" i="9" s="1"/>
  <c r="K127" i="9"/>
  <c r="J127" i="9"/>
  <c r="I127" i="9"/>
  <c r="H127" i="9"/>
  <c r="G127" i="9"/>
  <c r="F127" i="9"/>
  <c r="E127" i="9"/>
  <c r="D127" i="9"/>
  <c r="C127" i="9"/>
  <c r="Q126" i="9"/>
  <c r="R126" i="9" s="1"/>
  <c r="P126" i="9"/>
  <c r="L126" i="14" s="1"/>
  <c r="O126" i="9"/>
  <c r="N126" i="9"/>
  <c r="L126" i="9"/>
  <c r="M126" i="9" s="1"/>
  <c r="K126" i="9"/>
  <c r="J126" i="9"/>
  <c r="I126" i="9"/>
  <c r="H126" i="9"/>
  <c r="G126" i="9"/>
  <c r="F126" i="9"/>
  <c r="E126" i="9"/>
  <c r="D126" i="9"/>
  <c r="C126" i="9"/>
  <c r="Q125" i="9"/>
  <c r="R125" i="9" s="1"/>
  <c r="P125" i="9"/>
  <c r="L125" i="14" s="1"/>
  <c r="O125" i="9"/>
  <c r="N125" i="9"/>
  <c r="L125" i="9"/>
  <c r="M125" i="9" s="1"/>
  <c r="K125" i="9"/>
  <c r="J125" i="9"/>
  <c r="I125" i="9"/>
  <c r="H125" i="9"/>
  <c r="G125" i="9"/>
  <c r="F125" i="9"/>
  <c r="E125" i="9"/>
  <c r="D125" i="9"/>
  <c r="C125" i="9"/>
  <c r="Q124" i="9"/>
  <c r="R124" i="9" s="1"/>
  <c r="P124" i="9"/>
  <c r="L124" i="14" s="1"/>
  <c r="O124" i="9"/>
  <c r="N124" i="9"/>
  <c r="L124" i="9"/>
  <c r="M124" i="9" s="1"/>
  <c r="J124" i="9"/>
  <c r="I124" i="9"/>
  <c r="H124" i="9"/>
  <c r="G124" i="9"/>
  <c r="F124" i="9"/>
  <c r="E124" i="9"/>
  <c r="D124" i="9"/>
  <c r="C124" i="9"/>
  <c r="K124" i="9"/>
  <c r="Q123" i="9"/>
  <c r="R123" i="9" s="1"/>
  <c r="P123" i="9"/>
  <c r="L123" i="14" s="1"/>
  <c r="O123" i="9"/>
  <c r="L123" i="9"/>
  <c r="M123" i="9" s="1"/>
  <c r="K123" i="9"/>
  <c r="J123" i="9"/>
  <c r="I123" i="9"/>
  <c r="H123" i="9"/>
  <c r="G123" i="9"/>
  <c r="F123" i="9"/>
  <c r="E123" i="9"/>
  <c r="D123" i="9"/>
  <c r="C123" i="9"/>
  <c r="N123" i="9"/>
  <c r="Q122" i="9"/>
  <c r="P122" i="9"/>
  <c r="L122" i="14" s="1"/>
  <c r="O122" i="9"/>
  <c r="N122" i="9"/>
  <c r="L122" i="9"/>
  <c r="M122" i="9" s="1"/>
  <c r="K122" i="9"/>
  <c r="J122" i="9"/>
  <c r="I122" i="9"/>
  <c r="H122" i="9"/>
  <c r="G122" i="9"/>
  <c r="F122" i="9"/>
  <c r="E122" i="9"/>
  <c r="D122" i="9"/>
  <c r="C122" i="9"/>
  <c r="R122" i="9"/>
  <c r="Q121" i="9"/>
  <c r="P121" i="9"/>
  <c r="L121" i="14" s="1"/>
  <c r="O121" i="9"/>
  <c r="N121" i="9"/>
  <c r="L121" i="9"/>
  <c r="M121" i="9" s="1"/>
  <c r="K121" i="9"/>
  <c r="J121" i="9"/>
  <c r="I121" i="9"/>
  <c r="H121" i="9"/>
  <c r="G121" i="9"/>
  <c r="F121" i="9"/>
  <c r="E121" i="9"/>
  <c r="D121" i="9"/>
  <c r="C121" i="9"/>
  <c r="R121" i="9"/>
  <c r="Q120" i="9"/>
  <c r="R120" i="9" s="1"/>
  <c r="P120" i="9"/>
  <c r="L120" i="14" s="1"/>
  <c r="O120" i="9"/>
  <c r="N120" i="9"/>
  <c r="L120" i="9"/>
  <c r="M120" i="9" s="1"/>
  <c r="K120" i="9"/>
  <c r="C120" i="9"/>
  <c r="J120" i="9"/>
  <c r="I120" i="9"/>
  <c r="H120" i="9"/>
  <c r="G120" i="9"/>
  <c r="F120" i="9"/>
  <c r="E120" i="9"/>
  <c r="D120" i="9"/>
  <c r="Q119" i="9"/>
  <c r="R119" i="9" s="1"/>
  <c r="P119" i="9"/>
  <c r="L119" i="14" s="1"/>
  <c r="O119" i="9"/>
  <c r="N119" i="9"/>
  <c r="L119" i="9"/>
  <c r="M119" i="9" s="1"/>
  <c r="K119" i="9"/>
  <c r="J119" i="9"/>
  <c r="I119" i="9"/>
  <c r="H119" i="9"/>
  <c r="G119" i="9"/>
  <c r="F119" i="9"/>
  <c r="E119" i="9"/>
  <c r="D119" i="9"/>
  <c r="C119" i="9"/>
  <c r="Q118" i="9"/>
  <c r="R118" i="9" s="1"/>
  <c r="P118" i="9"/>
  <c r="L118" i="14" s="1"/>
  <c r="O118" i="9"/>
  <c r="N118" i="9"/>
  <c r="L118" i="9"/>
  <c r="M118" i="9" s="1"/>
  <c r="K118" i="9"/>
  <c r="J118" i="9"/>
  <c r="I118" i="9"/>
  <c r="H118" i="9"/>
  <c r="G118" i="9"/>
  <c r="F118" i="9"/>
  <c r="E118" i="9"/>
  <c r="D118" i="9"/>
  <c r="C118" i="9"/>
  <c r="Q117" i="9"/>
  <c r="R117" i="9" s="1"/>
  <c r="P117" i="9"/>
  <c r="L117" i="14" s="1"/>
  <c r="O117" i="9"/>
  <c r="N117" i="9"/>
  <c r="L117" i="9"/>
  <c r="M117" i="9" s="1"/>
  <c r="K117" i="9"/>
  <c r="J117" i="9"/>
  <c r="I117" i="9"/>
  <c r="H117" i="9"/>
  <c r="G117" i="9"/>
  <c r="F117" i="9"/>
  <c r="E117" i="9"/>
  <c r="D117" i="9"/>
  <c r="C117" i="9"/>
  <c r="D116" i="9"/>
  <c r="C116" i="9"/>
  <c r="Q116" i="9"/>
  <c r="R116" i="9" s="1"/>
  <c r="P116" i="9"/>
  <c r="L116" i="14" s="1"/>
  <c r="O116" i="9"/>
  <c r="N116" i="9"/>
  <c r="L116" i="9"/>
  <c r="M116" i="9" s="1"/>
  <c r="K116" i="9"/>
  <c r="J116" i="9"/>
  <c r="I116" i="9"/>
  <c r="H116" i="9"/>
  <c r="G116" i="9"/>
  <c r="F116" i="9"/>
  <c r="E116" i="9"/>
  <c r="C115" i="9"/>
  <c r="D115" i="9"/>
  <c r="E115" i="9"/>
  <c r="F115" i="9"/>
  <c r="G115" i="9"/>
  <c r="H115" i="9"/>
  <c r="I115" i="9"/>
  <c r="J115" i="9"/>
  <c r="K115" i="9"/>
  <c r="L115" i="9"/>
  <c r="M115" i="9" s="1"/>
  <c r="N115" i="9"/>
  <c r="O115" i="9"/>
  <c r="P115" i="9"/>
  <c r="L115" i="14" s="1"/>
  <c r="Q115" i="9"/>
  <c r="R115" i="9"/>
  <c r="L114" i="9"/>
  <c r="D114" i="9"/>
  <c r="E114" i="9"/>
  <c r="F114" i="9"/>
  <c r="G114" i="9"/>
  <c r="H114" i="9"/>
  <c r="I114" i="9"/>
  <c r="J114" i="9"/>
  <c r="K114" i="9"/>
  <c r="M114" i="9"/>
  <c r="N114" i="9"/>
  <c r="O114" i="9"/>
  <c r="P114" i="9"/>
  <c r="L114" i="14" s="1"/>
  <c r="Q114" i="9"/>
  <c r="R114" i="9"/>
  <c r="C114" i="9"/>
  <c r="I113" i="9"/>
  <c r="F113" i="9"/>
  <c r="D113" i="9"/>
  <c r="N113" i="9"/>
  <c r="L113" i="9"/>
  <c r="M113" i="9" s="1"/>
  <c r="O113" i="9"/>
  <c r="K113" i="9"/>
  <c r="J113" i="9"/>
  <c r="G113" i="9"/>
  <c r="E113" i="9"/>
  <c r="H113" i="9"/>
  <c r="C113" i="9"/>
  <c r="Q113" i="9"/>
  <c r="R113" i="9" s="1"/>
  <c r="P113" i="9"/>
  <c r="L113" i="14" s="1"/>
  <c r="P112" i="9"/>
  <c r="L112" i="14" s="1"/>
  <c r="L112" i="9"/>
  <c r="K112" i="9"/>
  <c r="H112" i="9"/>
  <c r="F112" i="9"/>
  <c r="C112" i="9"/>
  <c r="Q112" i="9"/>
  <c r="R112" i="9" s="1"/>
  <c r="M112" i="9"/>
  <c r="O112" i="9"/>
  <c r="D112" i="9"/>
  <c r="G112" i="9"/>
  <c r="E112" i="9"/>
  <c r="I112" i="9"/>
  <c r="J112" i="9"/>
  <c r="N112" i="9"/>
  <c r="Q111" i="9"/>
  <c r="P111" i="9"/>
  <c r="L111" i="14" s="1"/>
  <c r="L111" i="9"/>
  <c r="K111" i="9"/>
  <c r="H111" i="9"/>
  <c r="F111" i="9"/>
  <c r="R111" i="9"/>
  <c r="O111" i="9"/>
  <c r="C111" i="9"/>
  <c r="D111" i="9"/>
  <c r="G111" i="9"/>
  <c r="J111" i="9"/>
  <c r="N111" i="9"/>
  <c r="E111" i="9"/>
  <c r="M111" i="9"/>
  <c r="I111" i="9"/>
  <c r="H110" i="9"/>
  <c r="G110" i="9"/>
  <c r="D110" i="9"/>
  <c r="P110" i="9"/>
  <c r="L110" i="14" s="1"/>
  <c r="L110" i="9"/>
  <c r="M110" i="9" s="1"/>
  <c r="I110" i="9"/>
  <c r="E110" i="9"/>
  <c r="K110" i="9"/>
  <c r="N110" i="9"/>
  <c r="J110" i="9"/>
  <c r="C110" i="9"/>
  <c r="F110" i="9"/>
  <c r="Q110" i="9"/>
  <c r="R110" i="9" s="1"/>
  <c r="O110" i="9"/>
  <c r="I109" i="9"/>
  <c r="E109" i="9"/>
  <c r="K109" i="9"/>
  <c r="L109" i="9"/>
  <c r="N109" i="9"/>
  <c r="Q109" i="9"/>
  <c r="D109" i="9"/>
  <c r="G109" i="9"/>
  <c r="C109" i="9"/>
  <c r="R109" i="9"/>
  <c r="O109" i="9"/>
  <c r="M109" i="9"/>
  <c r="J109" i="9"/>
  <c r="H109" i="9"/>
  <c r="F109" i="9"/>
  <c r="P109" i="9"/>
  <c r="L109" i="14" s="1"/>
  <c r="L108" i="9"/>
  <c r="C108" i="9"/>
  <c r="F108" i="9"/>
  <c r="Q108" i="9"/>
  <c r="R108" i="9" s="1"/>
  <c r="O108" i="9"/>
  <c r="I108" i="9"/>
  <c r="M108" i="9"/>
  <c r="J108" i="9"/>
  <c r="G108" i="9"/>
  <c r="D108" i="9"/>
  <c r="H108" i="9"/>
  <c r="P108" i="9"/>
  <c r="L108" i="14" s="1"/>
  <c r="K108" i="9"/>
  <c r="N108" i="9"/>
  <c r="E108" i="9"/>
  <c r="F107" i="9"/>
  <c r="I107" i="9"/>
  <c r="E107" i="9"/>
  <c r="H107" i="9"/>
  <c r="K107" i="9"/>
  <c r="N107" i="9"/>
  <c r="L107" i="9"/>
  <c r="P107" i="9"/>
  <c r="L107" i="14" s="1"/>
  <c r="Q107" i="9"/>
  <c r="R107" i="9" s="1"/>
  <c r="O107" i="9"/>
  <c r="M107" i="9"/>
  <c r="C107" i="9"/>
  <c r="D107" i="9"/>
  <c r="G107" i="9"/>
  <c r="J107" i="9"/>
  <c r="C106" i="9"/>
  <c r="H106" i="9"/>
  <c r="K106" i="9"/>
  <c r="N106" i="9"/>
  <c r="Q106" i="9"/>
  <c r="R106" i="9"/>
  <c r="E106" i="9"/>
  <c r="O106" i="9"/>
  <c r="I106" i="9"/>
  <c r="F106" i="9"/>
  <c r="D106" i="9"/>
  <c r="P106" i="9"/>
  <c r="L106" i="14" s="1"/>
  <c r="L106" i="9"/>
  <c r="M106" i="9" s="1"/>
  <c r="J106" i="9"/>
  <c r="G106" i="9"/>
  <c r="Q105" i="9"/>
  <c r="K105" i="9"/>
  <c r="H105" i="9"/>
  <c r="F105" i="9"/>
  <c r="C105" i="9"/>
  <c r="R105" i="9"/>
  <c r="N105" i="9"/>
  <c r="J105" i="9"/>
  <c r="G105" i="9"/>
  <c r="O105" i="9"/>
  <c r="D105" i="9"/>
  <c r="P105" i="9"/>
  <c r="L105" i="14" s="1"/>
  <c r="L105" i="9"/>
  <c r="M105" i="9"/>
  <c r="I105" i="9"/>
  <c r="E105" i="9"/>
  <c r="N104" i="9"/>
  <c r="P104" i="9"/>
  <c r="L104" i="14" s="1"/>
  <c r="L104" i="9"/>
  <c r="J104" i="9"/>
  <c r="G104" i="9"/>
  <c r="D104" i="9"/>
  <c r="H104" i="9"/>
  <c r="E104" i="9"/>
  <c r="C104" i="9"/>
  <c r="F104" i="9"/>
  <c r="I104" i="9"/>
  <c r="M104" i="9"/>
  <c r="O104" i="9"/>
  <c r="Q104" i="9"/>
  <c r="R104" i="9" s="1"/>
  <c r="K104" i="9"/>
  <c r="D103" i="9"/>
  <c r="H103" i="9"/>
  <c r="K103" i="9"/>
  <c r="N103" i="9"/>
  <c r="C103" i="9"/>
  <c r="O103" i="9"/>
  <c r="Q103" i="9"/>
  <c r="R103" i="9" s="1"/>
  <c r="I103" i="9"/>
  <c r="G103" i="9"/>
  <c r="E103" i="9"/>
  <c r="F103" i="9"/>
  <c r="J103" i="9"/>
  <c r="L103" i="9"/>
  <c r="M103" i="9" s="1"/>
  <c r="P103" i="9"/>
  <c r="L103" i="14" s="1"/>
  <c r="K102" i="9"/>
  <c r="H102" i="9"/>
  <c r="E102" i="9"/>
  <c r="N102" i="9"/>
  <c r="C102" i="9"/>
  <c r="G102" i="9"/>
  <c r="J102" i="9"/>
  <c r="F102" i="9"/>
  <c r="D102" i="9"/>
  <c r="L102" i="9"/>
  <c r="P102" i="9"/>
  <c r="L102" i="14" s="1"/>
  <c r="Q102" i="9"/>
  <c r="R102" i="9" s="1"/>
  <c r="I102" i="9"/>
  <c r="M102" i="9"/>
  <c r="O102" i="9"/>
  <c r="Q101" i="9"/>
  <c r="C101" i="9"/>
  <c r="G101" i="9"/>
  <c r="J101" i="9"/>
  <c r="P101" i="9"/>
  <c r="L101" i="14" s="1"/>
  <c r="N101" i="9"/>
  <c r="K101" i="9"/>
  <c r="I101" i="9"/>
  <c r="E101" i="9"/>
  <c r="R101" i="9"/>
  <c r="D101" i="9"/>
  <c r="F101" i="9"/>
  <c r="H101" i="9"/>
  <c r="O101" i="9"/>
  <c r="L101" i="9"/>
  <c r="M101" i="9" s="1"/>
  <c r="G100" i="9"/>
  <c r="H100" i="9"/>
  <c r="L100" i="9"/>
  <c r="F100" i="9"/>
  <c r="D100" i="9"/>
  <c r="N100" i="9"/>
  <c r="C100" i="9"/>
  <c r="E100" i="9"/>
  <c r="I100" i="9"/>
  <c r="M100" i="9"/>
  <c r="P100" i="9"/>
  <c r="L100" i="14" s="1"/>
  <c r="Q100" i="9"/>
  <c r="K100" i="9"/>
  <c r="R100" i="9"/>
  <c r="O100" i="9"/>
  <c r="J100" i="9"/>
  <c r="G99" i="9"/>
  <c r="J99" i="9"/>
  <c r="N99" i="9"/>
  <c r="O99" i="9"/>
  <c r="P99" i="9"/>
  <c r="L99" i="14" s="1"/>
  <c r="Q99" i="9"/>
  <c r="E99" i="9"/>
  <c r="R99" i="9"/>
  <c r="L99" i="9"/>
  <c r="K99" i="9"/>
  <c r="H99" i="9"/>
  <c r="D99" i="9"/>
  <c r="F99" i="9"/>
  <c r="I99" i="9"/>
  <c r="M99" i="9"/>
  <c r="C99" i="9"/>
  <c r="P98" i="9"/>
  <c r="L98" i="14" s="1"/>
  <c r="G98" i="9"/>
  <c r="L98" i="9"/>
  <c r="Q98" i="9"/>
  <c r="O98" i="9"/>
  <c r="M98" i="9"/>
  <c r="I98" i="9"/>
  <c r="F98" i="9"/>
  <c r="R98" i="9"/>
  <c r="J98" i="9"/>
  <c r="K98" i="9"/>
  <c r="E98" i="9"/>
  <c r="H98" i="9"/>
  <c r="C98" i="9"/>
  <c r="N98" i="9"/>
  <c r="D98" i="9"/>
  <c r="C97" i="9"/>
  <c r="K97" i="9"/>
  <c r="H97" i="9"/>
  <c r="D97" i="9"/>
  <c r="Q97" i="9"/>
  <c r="O97" i="9"/>
  <c r="L97" i="9"/>
  <c r="E97" i="9"/>
  <c r="J97" i="9"/>
  <c r="R97" i="9"/>
  <c r="P97" i="9"/>
  <c r="L97" i="14" s="1"/>
  <c r="M97" i="9"/>
  <c r="G97" i="9"/>
  <c r="F97" i="9"/>
  <c r="I97" i="9"/>
  <c r="N97" i="9"/>
  <c r="F96" i="9"/>
  <c r="O96" i="9"/>
  <c r="H96" i="9"/>
  <c r="I96" i="9"/>
  <c r="K96" i="9"/>
  <c r="L96" i="9"/>
  <c r="M96" i="9" s="1"/>
  <c r="C96" i="9"/>
  <c r="Q96" i="9"/>
  <c r="D96" i="9"/>
  <c r="P96" i="9"/>
  <c r="L96" i="14" s="1"/>
  <c r="R96" i="9"/>
  <c r="N96" i="9"/>
  <c r="J96" i="9"/>
  <c r="G96" i="9"/>
  <c r="E96" i="9"/>
  <c r="J95" i="9"/>
  <c r="P95" i="9"/>
  <c r="L95" i="14" s="1"/>
  <c r="Q95" i="9"/>
  <c r="O95" i="9"/>
  <c r="N95" i="9"/>
  <c r="I95" i="9"/>
  <c r="F95" i="9"/>
  <c r="K95" i="9"/>
  <c r="G95" i="9"/>
  <c r="E95" i="9"/>
  <c r="D95" i="9"/>
  <c r="H95" i="9"/>
  <c r="C95" i="9"/>
  <c r="R95" i="9"/>
  <c r="L95" i="9"/>
  <c r="M95" i="9" s="1"/>
  <c r="H94" i="9"/>
  <c r="J94" i="9"/>
  <c r="E94" i="9"/>
  <c r="D94" i="9"/>
  <c r="G94" i="9"/>
  <c r="N94" i="9"/>
  <c r="K94" i="9"/>
  <c r="I94" i="9"/>
  <c r="F94" i="9"/>
  <c r="C94" i="9"/>
  <c r="Q94" i="9"/>
  <c r="R94" i="9" s="1"/>
  <c r="O94" i="9"/>
  <c r="L94" i="9"/>
  <c r="M94" i="9" s="1"/>
  <c r="P94" i="9"/>
  <c r="L94" i="14" s="1"/>
  <c r="Q93" i="9"/>
  <c r="I93" i="9"/>
  <c r="N93" i="9"/>
  <c r="E93" i="9"/>
  <c r="G93" i="9"/>
  <c r="J93" i="9"/>
  <c r="P93" i="9"/>
  <c r="L93" i="14" s="1"/>
  <c r="R93" i="9"/>
  <c r="C93" i="9"/>
  <c r="H93" i="9"/>
  <c r="D93" i="9"/>
  <c r="F93" i="9"/>
  <c r="K93" i="9"/>
  <c r="L93" i="9"/>
  <c r="M93" i="9" s="1"/>
  <c r="O93" i="9"/>
  <c r="E92" i="9"/>
  <c r="C92" i="9"/>
  <c r="O92" i="9"/>
  <c r="Q92" i="9"/>
  <c r="I92" i="9"/>
  <c r="K92" i="9"/>
  <c r="N92" i="9"/>
  <c r="L92" i="9"/>
  <c r="M92" i="9" s="1"/>
  <c r="J92" i="9"/>
  <c r="P92" i="9"/>
  <c r="L92" i="14" s="1"/>
  <c r="G92" i="9"/>
  <c r="F92" i="9"/>
  <c r="D92" i="9"/>
  <c r="R92" i="9"/>
  <c r="H92" i="9"/>
  <c r="P91" i="9"/>
  <c r="L91" i="14" s="1"/>
  <c r="Q91" i="9"/>
  <c r="E91" i="9"/>
  <c r="O91" i="9"/>
  <c r="H91" i="9"/>
  <c r="K91" i="9"/>
  <c r="J91" i="9"/>
  <c r="N91" i="9"/>
  <c r="R91" i="9"/>
  <c r="G91" i="9"/>
  <c r="D91" i="9"/>
  <c r="C91" i="9"/>
  <c r="F91" i="9"/>
  <c r="I91" i="9"/>
  <c r="L91" i="9"/>
  <c r="M91" i="9" s="1"/>
  <c r="N90" i="9"/>
  <c r="G90" i="9"/>
  <c r="D90" i="9"/>
  <c r="L90" i="9"/>
  <c r="F90" i="9"/>
  <c r="I90" i="9"/>
  <c r="Q90" i="9"/>
  <c r="M90" i="9"/>
  <c r="J90" i="9"/>
  <c r="H90" i="9"/>
  <c r="E90" i="9"/>
  <c r="C90" i="9"/>
  <c r="R90" i="9"/>
  <c r="O90" i="9"/>
  <c r="P90" i="9"/>
  <c r="L90" i="14" s="1"/>
  <c r="K90" i="9"/>
  <c r="N89" i="9"/>
  <c r="G89" i="9"/>
  <c r="O89" i="9"/>
  <c r="K89" i="9"/>
  <c r="L89" i="9"/>
  <c r="P89" i="9"/>
  <c r="L89" i="14" s="1"/>
  <c r="Q89" i="9"/>
  <c r="R89" i="9" s="1"/>
  <c r="D89" i="9"/>
  <c r="J89" i="9"/>
  <c r="C89" i="9"/>
  <c r="E89" i="9"/>
  <c r="H89" i="9"/>
  <c r="I89" i="9"/>
  <c r="F89" i="9"/>
  <c r="M89" i="9"/>
  <c r="Q88" i="9"/>
  <c r="R88" i="9" s="1"/>
  <c r="G88" i="9"/>
  <c r="C88" i="9"/>
  <c r="E88" i="9"/>
  <c r="J88" i="9"/>
  <c r="K88" i="9"/>
  <c r="N88" i="9"/>
  <c r="O88" i="9"/>
  <c r="D88" i="9"/>
  <c r="F88" i="9"/>
  <c r="I88" i="9"/>
  <c r="L88" i="9"/>
  <c r="M88" i="9" s="1"/>
  <c r="P88" i="9"/>
  <c r="L88" i="14" s="1"/>
  <c r="H88" i="9"/>
  <c r="F87" i="9"/>
  <c r="P87" i="9"/>
  <c r="L87" i="14" s="1"/>
  <c r="J87" i="9"/>
  <c r="N87" i="9"/>
  <c r="E87" i="9"/>
  <c r="I87" i="9"/>
  <c r="K87" i="9"/>
  <c r="L87" i="9"/>
  <c r="M87" i="9" s="1"/>
  <c r="O87" i="9"/>
  <c r="Q87" i="9"/>
  <c r="R87" i="9" s="1"/>
  <c r="H87" i="9"/>
  <c r="D87" i="9"/>
  <c r="G87" i="9"/>
  <c r="C87" i="9"/>
  <c r="D86" i="9"/>
  <c r="H86" i="9"/>
  <c r="L86" i="9"/>
  <c r="Q86" i="9"/>
  <c r="R86" i="9" s="1"/>
  <c r="E86" i="9"/>
  <c r="O86" i="9"/>
  <c r="G86" i="9"/>
  <c r="J86" i="9"/>
  <c r="P86" i="9"/>
  <c r="L86" i="14" s="1"/>
  <c r="M86" i="9"/>
  <c r="N86" i="9"/>
  <c r="K86" i="9"/>
  <c r="I86" i="9"/>
  <c r="F86" i="9"/>
  <c r="C86" i="9"/>
  <c r="O85" i="9"/>
  <c r="Q85" i="9"/>
  <c r="G85" i="9"/>
  <c r="I85" i="9"/>
  <c r="N85" i="9"/>
  <c r="K85" i="9"/>
  <c r="J85" i="9"/>
  <c r="L85" i="9"/>
  <c r="M85" i="9" s="1"/>
  <c r="P85" i="9"/>
  <c r="L85" i="14" s="1"/>
  <c r="R85" i="9"/>
  <c r="D85" i="9"/>
  <c r="F85" i="9"/>
  <c r="C85" i="9"/>
  <c r="H85" i="9"/>
  <c r="E85" i="9"/>
  <c r="D84" i="9"/>
  <c r="G84" i="9"/>
  <c r="I84" i="9"/>
  <c r="O84" i="9"/>
  <c r="N84" i="9"/>
  <c r="J84" i="9"/>
  <c r="F84" i="9"/>
  <c r="C84" i="9"/>
  <c r="E84" i="9"/>
  <c r="Q84" i="9"/>
  <c r="K84" i="9"/>
  <c r="L84" i="9"/>
  <c r="M84" i="9" s="1"/>
  <c r="P84" i="9"/>
  <c r="L84" i="14" s="1"/>
  <c r="R84" i="9"/>
  <c r="H84" i="9"/>
  <c r="D83" i="9"/>
  <c r="Q83" i="9"/>
  <c r="R83" i="9"/>
  <c r="H83" i="9"/>
  <c r="J83" i="9"/>
  <c r="O83" i="9"/>
  <c r="P83" i="9"/>
  <c r="L83" i="14" s="1"/>
  <c r="E83" i="9"/>
  <c r="G83" i="9"/>
  <c r="C83" i="9"/>
  <c r="F83" i="9"/>
  <c r="I83" i="9"/>
  <c r="K83" i="9"/>
  <c r="N83" i="9"/>
  <c r="L83" i="9"/>
  <c r="M83" i="9" s="1"/>
  <c r="I82" i="9"/>
  <c r="Q82" i="9"/>
  <c r="O82" i="9"/>
  <c r="N82" i="9"/>
  <c r="J82" i="9"/>
  <c r="G82" i="9"/>
  <c r="D82" i="9"/>
  <c r="E82" i="9"/>
  <c r="H82" i="9"/>
  <c r="C82" i="9"/>
  <c r="L82" i="9"/>
  <c r="M82" i="9" s="1"/>
  <c r="P82" i="9"/>
  <c r="L82" i="14" s="1"/>
  <c r="R82" i="9"/>
  <c r="F82" i="9"/>
  <c r="K82" i="9"/>
  <c r="D81" i="9"/>
  <c r="H81" i="9"/>
  <c r="K81" i="9"/>
  <c r="L81" i="9"/>
  <c r="O81" i="9"/>
  <c r="F81" i="9"/>
  <c r="G81" i="9"/>
  <c r="J81" i="9"/>
  <c r="N81" i="9"/>
  <c r="Q81" i="9"/>
  <c r="C81" i="9"/>
  <c r="E81" i="9"/>
  <c r="I81" i="9"/>
  <c r="M81" i="9"/>
  <c r="P81" i="9"/>
  <c r="L81" i="14" s="1"/>
  <c r="R81" i="9"/>
  <c r="Q80" i="9"/>
  <c r="N80" i="9"/>
  <c r="J80" i="9"/>
  <c r="G80" i="9"/>
  <c r="F80" i="9"/>
  <c r="E80" i="9"/>
  <c r="H80" i="9"/>
  <c r="C80" i="9"/>
  <c r="P80" i="9"/>
  <c r="L80" i="14" s="1"/>
  <c r="O80" i="9"/>
  <c r="R80" i="9"/>
  <c r="L80" i="9"/>
  <c r="M80" i="9" s="1"/>
  <c r="K80" i="9"/>
  <c r="I80" i="9"/>
  <c r="D80" i="9"/>
  <c r="D79" i="9"/>
  <c r="P79" i="9"/>
  <c r="L79" i="14" s="1"/>
  <c r="E79" i="9"/>
  <c r="I79" i="9"/>
  <c r="J79" i="9"/>
  <c r="L79" i="9"/>
  <c r="N79" i="9"/>
  <c r="O79" i="9"/>
  <c r="Q79" i="9"/>
  <c r="G79" i="9"/>
  <c r="M79" i="9"/>
  <c r="K79" i="9"/>
  <c r="H79" i="9"/>
  <c r="F79" i="9"/>
  <c r="C79" i="9"/>
  <c r="R79" i="9"/>
  <c r="Q78" i="9"/>
  <c r="N78" i="9"/>
  <c r="K78" i="9"/>
  <c r="I78" i="9"/>
  <c r="D78" i="9"/>
  <c r="G78" i="9"/>
  <c r="J78" i="9"/>
  <c r="F78" i="9"/>
  <c r="C78" i="9"/>
  <c r="L78" i="9"/>
  <c r="O78" i="9"/>
  <c r="P78" i="9"/>
  <c r="L78" i="14" s="1"/>
  <c r="M78" i="9"/>
  <c r="H78" i="9"/>
  <c r="E78" i="9"/>
  <c r="R78" i="9"/>
  <c r="C77" i="9"/>
  <c r="J77" i="9"/>
  <c r="G77" i="9"/>
  <c r="Q77" i="9"/>
  <c r="N77" i="9"/>
  <c r="D77" i="9"/>
  <c r="K77" i="9"/>
  <c r="I77" i="9"/>
  <c r="F77" i="9"/>
  <c r="L77" i="9"/>
  <c r="H77" i="9"/>
  <c r="E77" i="9"/>
  <c r="R77" i="9"/>
  <c r="P77" i="9"/>
  <c r="L77" i="14" s="1"/>
  <c r="O77" i="9"/>
  <c r="M77" i="9"/>
  <c r="O76" i="9"/>
  <c r="J76" i="9"/>
  <c r="G76" i="9"/>
  <c r="F76" i="9"/>
  <c r="H76" i="9"/>
  <c r="L76" i="9"/>
  <c r="M76" i="9" s="1"/>
  <c r="N76" i="9"/>
  <c r="K76" i="9"/>
  <c r="I76" i="9"/>
  <c r="D76" i="9"/>
  <c r="P76" i="9"/>
  <c r="L76" i="14" s="1"/>
  <c r="C76" i="9"/>
  <c r="E76" i="9"/>
  <c r="Q76" i="9"/>
  <c r="R76" i="9" s="1"/>
  <c r="P75" i="9"/>
  <c r="L75" i="14" s="1"/>
  <c r="Q75" i="9"/>
  <c r="N75" i="9"/>
  <c r="K75" i="9"/>
  <c r="L75" i="9"/>
  <c r="M75" i="9"/>
  <c r="H75" i="9"/>
  <c r="R75" i="9"/>
  <c r="O75" i="9"/>
  <c r="E75" i="9"/>
  <c r="I75" i="9"/>
  <c r="F75" i="9"/>
  <c r="C75" i="9"/>
  <c r="D75" i="9"/>
  <c r="G75" i="9"/>
  <c r="J75" i="9"/>
  <c r="K74" i="9"/>
  <c r="O74" i="9"/>
  <c r="L74" i="9"/>
  <c r="J74" i="9"/>
  <c r="G74" i="9"/>
  <c r="C74" i="9"/>
  <c r="D74" i="9"/>
  <c r="I74" i="9"/>
  <c r="M74" i="9"/>
  <c r="P74" i="9"/>
  <c r="L74" i="14" s="1"/>
  <c r="E74" i="9"/>
  <c r="H74" i="9"/>
  <c r="N74" i="9"/>
  <c r="Q74" i="9"/>
  <c r="R74" i="9" s="1"/>
  <c r="F74" i="9"/>
  <c r="K73" i="9"/>
  <c r="Q73" i="9"/>
  <c r="O73" i="9"/>
  <c r="E73" i="9"/>
  <c r="H73" i="9"/>
  <c r="F73" i="9"/>
  <c r="C73" i="9"/>
  <c r="I73" i="9"/>
  <c r="N73" i="9"/>
  <c r="D73" i="9"/>
  <c r="G73" i="9"/>
  <c r="J73" i="9"/>
  <c r="P73" i="9"/>
  <c r="L73" i="14" s="1"/>
  <c r="R73" i="9"/>
  <c r="L73" i="9"/>
  <c r="M73" i="9" s="1"/>
  <c r="K72" i="9"/>
  <c r="N72" i="9"/>
  <c r="F72" i="9"/>
  <c r="E72" i="9"/>
  <c r="H72" i="9"/>
  <c r="D72" i="9"/>
  <c r="P72" i="9"/>
  <c r="L72" i="14" s="1"/>
  <c r="L72" i="9"/>
  <c r="M72" i="9" s="1"/>
  <c r="J72" i="9"/>
  <c r="G72" i="9"/>
  <c r="O72" i="9"/>
  <c r="C72" i="9"/>
  <c r="Q72" i="9"/>
  <c r="R72" i="9" s="1"/>
  <c r="I72" i="9"/>
  <c r="E71" i="9"/>
  <c r="O71" i="9"/>
  <c r="Q71" i="9"/>
  <c r="R71" i="9" s="1"/>
  <c r="P71" i="9"/>
  <c r="L71" i="14" s="1"/>
  <c r="L71" i="9"/>
  <c r="M71" i="9" s="1"/>
  <c r="K71" i="9"/>
  <c r="H71" i="9"/>
  <c r="D71" i="9"/>
  <c r="C71" i="9"/>
  <c r="F71" i="9"/>
  <c r="I71" i="9"/>
  <c r="G71" i="9"/>
  <c r="J71" i="9"/>
  <c r="N71" i="9"/>
  <c r="O70" i="9"/>
  <c r="E70" i="9"/>
  <c r="I70" i="9"/>
  <c r="F70" i="9"/>
  <c r="K70" i="9"/>
  <c r="H70" i="9"/>
  <c r="P70" i="9"/>
  <c r="L70" i="14" s="1"/>
  <c r="Q70" i="9"/>
  <c r="C70" i="9"/>
  <c r="G70" i="9"/>
  <c r="J70" i="9"/>
  <c r="L70" i="9"/>
  <c r="N70" i="9"/>
  <c r="D70" i="9"/>
  <c r="R70" i="9"/>
  <c r="M70" i="9"/>
  <c r="J69" i="9"/>
  <c r="E69" i="9"/>
  <c r="H69" i="9"/>
  <c r="K69" i="9"/>
  <c r="N69" i="9"/>
  <c r="F69" i="9"/>
  <c r="C69" i="9"/>
  <c r="L69" i="9"/>
  <c r="D69" i="9"/>
  <c r="G69" i="9"/>
  <c r="I69" i="9"/>
  <c r="M69" i="9"/>
  <c r="O69" i="9"/>
  <c r="Q69" i="9"/>
  <c r="R69" i="9" s="1"/>
  <c r="P69" i="9"/>
  <c r="L69" i="14" s="1"/>
  <c r="N68" i="9"/>
  <c r="L68" i="9"/>
  <c r="P68" i="9"/>
  <c r="L68" i="14" s="1"/>
  <c r="I68" i="9"/>
  <c r="O68" i="9"/>
  <c r="H68" i="9"/>
  <c r="C68" i="9"/>
  <c r="G68" i="9"/>
  <c r="F68" i="9"/>
  <c r="Q68" i="9"/>
  <c r="K68" i="9"/>
  <c r="J68" i="9"/>
  <c r="M68" i="9"/>
  <c r="E68" i="9"/>
  <c r="D68" i="9"/>
  <c r="R68" i="9"/>
  <c r="L67" i="9"/>
  <c r="F67" i="9"/>
  <c r="Q67" i="9"/>
  <c r="P67" i="9"/>
  <c r="L67" i="14" s="1"/>
  <c r="K67" i="9"/>
  <c r="H67" i="9"/>
  <c r="E67" i="9"/>
  <c r="C67" i="9"/>
  <c r="G67" i="9"/>
  <c r="J67" i="9"/>
  <c r="N67" i="9"/>
  <c r="R67" i="9"/>
  <c r="O67" i="9"/>
  <c r="M67" i="9"/>
  <c r="I67" i="9"/>
  <c r="D67" i="9"/>
  <c r="K66" i="9"/>
  <c r="C66" i="9"/>
  <c r="F66" i="9"/>
  <c r="I66" i="9"/>
  <c r="H66" i="9"/>
  <c r="D66" i="9"/>
  <c r="E66" i="9"/>
  <c r="P66" i="9"/>
  <c r="L66" i="14" s="1"/>
  <c r="G66" i="9"/>
  <c r="J66" i="9"/>
  <c r="N66" i="9"/>
  <c r="Q66" i="9"/>
  <c r="R66" i="9" s="1"/>
  <c r="O66" i="9"/>
  <c r="L66" i="9"/>
  <c r="M66" i="9" s="1"/>
  <c r="O65" i="9"/>
  <c r="Q65" i="9"/>
  <c r="R65" i="9" s="1"/>
  <c r="D65" i="9"/>
  <c r="F65" i="9"/>
  <c r="G65" i="9"/>
  <c r="J65" i="9"/>
  <c r="N65" i="9"/>
  <c r="K65" i="9"/>
  <c r="I65" i="9"/>
  <c r="E65" i="9"/>
  <c r="P65" i="9"/>
  <c r="L65" i="14" s="1"/>
  <c r="L65" i="9"/>
  <c r="M65" i="9" s="1"/>
  <c r="H65" i="9"/>
  <c r="C65" i="9"/>
  <c r="I64" i="9"/>
  <c r="O64" i="9"/>
  <c r="E64" i="9"/>
  <c r="G64" i="9"/>
  <c r="P64" i="9"/>
  <c r="L64" i="14" s="1"/>
  <c r="L64" i="9"/>
  <c r="M64" i="9" s="1"/>
  <c r="F64" i="9"/>
  <c r="D64" i="9"/>
  <c r="K64" i="9"/>
  <c r="H64" i="9"/>
  <c r="C64" i="9"/>
  <c r="Q64" i="9"/>
  <c r="R64" i="9" s="1"/>
  <c r="N64" i="9"/>
  <c r="J64" i="9"/>
  <c r="K63" i="9"/>
  <c r="O63" i="9"/>
  <c r="P63" i="9"/>
  <c r="L63" i="14" s="1"/>
  <c r="L63" i="9"/>
  <c r="J63" i="9"/>
  <c r="G63" i="9"/>
  <c r="E63" i="9"/>
  <c r="F63" i="9"/>
  <c r="H63" i="9"/>
  <c r="M63" i="9"/>
  <c r="I63" i="9"/>
  <c r="D63" i="9"/>
  <c r="Q63" i="9"/>
  <c r="R63" i="9" s="1"/>
  <c r="N63" i="9"/>
  <c r="C63" i="9"/>
  <c r="D62" i="9"/>
  <c r="H62" i="9"/>
  <c r="K62" i="9"/>
  <c r="Q62" i="9"/>
  <c r="O62" i="9"/>
  <c r="J62" i="9"/>
  <c r="G62" i="9"/>
  <c r="R62" i="9"/>
  <c r="E62" i="9"/>
  <c r="P62" i="9"/>
  <c r="L62" i="14" s="1"/>
  <c r="C62" i="9"/>
  <c r="F62" i="9"/>
  <c r="I62" i="9"/>
  <c r="L62" i="9"/>
  <c r="M62" i="9" s="1"/>
  <c r="N62" i="9"/>
  <c r="O61" i="9"/>
  <c r="E61" i="9"/>
  <c r="H61" i="9"/>
  <c r="K61" i="9"/>
  <c r="N61" i="9"/>
  <c r="Q61" i="9"/>
  <c r="P61" i="9"/>
  <c r="L61" i="14" s="1"/>
  <c r="L61" i="9"/>
  <c r="G61" i="9"/>
  <c r="D61" i="9"/>
  <c r="C61" i="9"/>
  <c r="F61" i="9"/>
  <c r="I61" i="9"/>
  <c r="M61" i="9"/>
  <c r="J61" i="9"/>
  <c r="R61" i="9"/>
  <c r="H60" i="9"/>
  <c r="E60" i="9"/>
  <c r="O60" i="9"/>
  <c r="P60" i="9"/>
  <c r="L60" i="14" s="1"/>
  <c r="L60" i="9"/>
  <c r="M60" i="9" s="1"/>
  <c r="K60" i="9"/>
  <c r="I60" i="9"/>
  <c r="F60" i="9"/>
  <c r="C60" i="9"/>
  <c r="N60" i="9"/>
  <c r="J60" i="9"/>
  <c r="G60" i="9"/>
  <c r="D60" i="9"/>
  <c r="Q60" i="9"/>
  <c r="R60" i="9"/>
  <c r="N59" i="9"/>
  <c r="K59" i="9"/>
  <c r="F59" i="9"/>
  <c r="D59" i="9"/>
  <c r="E59" i="9"/>
  <c r="C59" i="9"/>
  <c r="Q59" i="9"/>
  <c r="G59" i="9"/>
  <c r="J59" i="9"/>
  <c r="I59" i="9"/>
  <c r="P59" i="9"/>
  <c r="L59" i="14" s="1"/>
  <c r="L59" i="9"/>
  <c r="R59" i="9"/>
  <c r="O59" i="9"/>
  <c r="M59" i="9"/>
  <c r="H59" i="9"/>
  <c r="J58" i="9"/>
  <c r="G58" i="9"/>
  <c r="D58" i="9"/>
  <c r="Q58" i="9"/>
  <c r="O58" i="9"/>
  <c r="C58" i="9"/>
  <c r="E58" i="9"/>
  <c r="H58" i="9"/>
  <c r="R58" i="9"/>
  <c r="N58" i="9"/>
  <c r="P58" i="9"/>
  <c r="L58" i="14" s="1"/>
  <c r="L58" i="9"/>
  <c r="M58" i="9" s="1"/>
  <c r="K58" i="9"/>
  <c r="I58" i="9"/>
  <c r="F58" i="9"/>
  <c r="H57" i="9"/>
  <c r="Q57" i="9"/>
  <c r="N57" i="9"/>
  <c r="J57" i="9"/>
  <c r="G57" i="9"/>
  <c r="F57" i="9"/>
  <c r="R57" i="9"/>
  <c r="P57" i="9"/>
  <c r="L57" i="14" s="1"/>
  <c r="L57" i="9"/>
  <c r="K57" i="9"/>
  <c r="E57" i="9"/>
  <c r="O57" i="9"/>
  <c r="M57" i="9"/>
  <c r="I57" i="9"/>
  <c r="D57" i="9"/>
  <c r="C57" i="9"/>
  <c r="P56" i="9"/>
  <c r="L56" i="14" s="1"/>
  <c r="E56" i="9"/>
  <c r="C56" i="9"/>
  <c r="K56" i="9"/>
  <c r="F56" i="9"/>
  <c r="G56" i="9"/>
  <c r="J56" i="9"/>
  <c r="N56" i="9"/>
  <c r="D56" i="9"/>
  <c r="H56" i="9"/>
  <c r="L56" i="9"/>
  <c r="Q56" i="9"/>
  <c r="R56" i="9" s="1"/>
  <c r="O56" i="9"/>
  <c r="M56" i="9"/>
  <c r="I56" i="9"/>
  <c r="D55" i="9"/>
  <c r="G55" i="9"/>
  <c r="J55" i="9"/>
  <c r="N55" i="9"/>
  <c r="O55" i="9"/>
  <c r="P55" i="9"/>
  <c r="L55" i="14" s="1"/>
  <c r="L55" i="9"/>
  <c r="Q55" i="9"/>
  <c r="M55" i="9"/>
  <c r="R55" i="9"/>
  <c r="K55" i="9"/>
  <c r="I55" i="9"/>
  <c r="F55" i="9"/>
  <c r="C55" i="9"/>
  <c r="E55" i="9"/>
  <c r="H55" i="9"/>
  <c r="G54" i="9"/>
  <c r="D54" i="9"/>
  <c r="F54" i="9"/>
  <c r="Q54" i="9"/>
  <c r="J54" i="9"/>
  <c r="N54" i="9"/>
  <c r="C54" i="9"/>
  <c r="O54" i="9"/>
  <c r="R54" i="9"/>
  <c r="I54" i="9"/>
  <c r="L54" i="9"/>
  <c r="M54" i="9" s="1"/>
  <c r="P54" i="9"/>
  <c r="L54" i="14" s="1"/>
  <c r="K54" i="9"/>
  <c r="E54" i="9"/>
  <c r="H54" i="9"/>
  <c r="Q53" i="9"/>
  <c r="O53" i="9"/>
  <c r="I53" i="9"/>
  <c r="F53" i="9"/>
  <c r="C53" i="9"/>
  <c r="E53" i="9"/>
  <c r="G53" i="9"/>
  <c r="J53" i="9"/>
  <c r="N53" i="9"/>
  <c r="D53" i="9"/>
  <c r="H53" i="9"/>
  <c r="K53" i="9"/>
  <c r="L53" i="9"/>
  <c r="M53" i="9" s="1"/>
  <c r="P53" i="9"/>
  <c r="L53" i="14" s="1"/>
  <c r="R53" i="9"/>
  <c r="D52" i="9"/>
  <c r="G52" i="9"/>
  <c r="L52" i="9"/>
  <c r="P52" i="9"/>
  <c r="L52" i="14" s="1"/>
  <c r="Q52" i="9"/>
  <c r="R52" i="9" s="1"/>
  <c r="E52" i="9"/>
  <c r="J52" i="9"/>
  <c r="I52" i="9"/>
  <c r="M52" i="9"/>
  <c r="C52" i="9"/>
  <c r="N52" i="9"/>
  <c r="K52" i="9"/>
  <c r="H52" i="9"/>
  <c r="F52" i="9"/>
  <c r="O52" i="9"/>
  <c r="K51" i="9"/>
  <c r="Q51" i="9"/>
  <c r="J51" i="9"/>
  <c r="G51" i="9"/>
  <c r="E51" i="9"/>
  <c r="N51" i="9"/>
  <c r="D51" i="9"/>
  <c r="F51" i="9"/>
  <c r="I51" i="9"/>
  <c r="L51" i="9"/>
  <c r="O51" i="9"/>
  <c r="R51" i="9"/>
  <c r="C51" i="9"/>
  <c r="H51" i="9"/>
  <c r="M51" i="9"/>
  <c r="P51" i="9"/>
  <c r="L51" i="14" s="1"/>
  <c r="E50" i="9"/>
  <c r="P50" i="9"/>
  <c r="L50" i="14" s="1"/>
  <c r="L50" i="9"/>
  <c r="M50" i="9" s="1"/>
  <c r="H50" i="9"/>
  <c r="K50" i="9"/>
  <c r="D50" i="9"/>
  <c r="F50" i="9"/>
  <c r="I50" i="9"/>
  <c r="O50" i="9"/>
  <c r="J50" i="9"/>
  <c r="C50" i="9"/>
  <c r="N50" i="9"/>
  <c r="Q50" i="9"/>
  <c r="R50" i="9" s="1"/>
  <c r="G50" i="9"/>
  <c r="F49" i="9"/>
  <c r="I49" i="9"/>
  <c r="N49" i="9"/>
  <c r="Q49" i="9"/>
  <c r="L49" i="9"/>
  <c r="K49" i="9"/>
  <c r="H49" i="9"/>
  <c r="J49" i="9"/>
  <c r="P49" i="9"/>
  <c r="L49" i="14" s="1"/>
  <c r="M49" i="9"/>
  <c r="G49" i="9"/>
  <c r="D49" i="9"/>
  <c r="R49" i="9"/>
  <c r="O49" i="9"/>
  <c r="C49" i="9"/>
  <c r="E49" i="9"/>
  <c r="H48" i="9"/>
  <c r="K48" i="9"/>
  <c r="L48" i="9"/>
  <c r="C48" i="9"/>
  <c r="F48" i="9"/>
  <c r="I48" i="9"/>
  <c r="N48" i="9"/>
  <c r="P48" i="9"/>
  <c r="L48" i="14" s="1"/>
  <c r="O48" i="9"/>
  <c r="D48" i="9"/>
  <c r="Q48" i="9"/>
  <c r="R48" i="9" s="1"/>
  <c r="E48" i="9"/>
  <c r="M48" i="9"/>
  <c r="J48" i="9"/>
  <c r="G48" i="9"/>
  <c r="F47" i="9"/>
  <c r="I47" i="9"/>
  <c r="O47" i="9"/>
  <c r="C47" i="9"/>
  <c r="Q47" i="9"/>
  <c r="N47" i="9"/>
  <c r="K47" i="9"/>
  <c r="H47" i="9"/>
  <c r="E47" i="9"/>
  <c r="G47" i="9"/>
  <c r="D47" i="9"/>
  <c r="J47" i="9"/>
  <c r="L47" i="9"/>
  <c r="M47" i="9" s="1"/>
  <c r="P47" i="9"/>
  <c r="L47" i="14" s="1"/>
  <c r="R47" i="9"/>
  <c r="J46" i="9"/>
  <c r="Q46" i="9"/>
  <c r="O46" i="9"/>
  <c r="C46" i="9"/>
  <c r="N46" i="9"/>
  <c r="G46" i="9"/>
  <c r="E46" i="9"/>
  <c r="R46" i="9"/>
  <c r="I46" i="9"/>
  <c r="P46" i="9"/>
  <c r="L46" i="14" s="1"/>
  <c r="L46" i="9"/>
  <c r="M46" i="9" s="1"/>
  <c r="K46" i="9"/>
  <c r="H46" i="9"/>
  <c r="F46" i="9"/>
  <c r="D46" i="9"/>
  <c r="D45" i="9"/>
  <c r="E45" i="9"/>
  <c r="Q45" i="9"/>
  <c r="C45" i="9"/>
  <c r="F45" i="9"/>
  <c r="I45" i="9"/>
  <c r="J45" i="9"/>
  <c r="G45" i="9"/>
  <c r="N45" i="9"/>
  <c r="R45" i="9"/>
  <c r="P45" i="9"/>
  <c r="L45" i="14" s="1"/>
  <c r="L45" i="9"/>
  <c r="M45" i="9" s="1"/>
  <c r="K45" i="9"/>
  <c r="H45" i="9"/>
  <c r="O45" i="9"/>
  <c r="P44" i="9"/>
  <c r="L44" i="14" s="1"/>
  <c r="E44" i="9"/>
  <c r="C44" i="9"/>
  <c r="F44" i="9"/>
  <c r="M44" i="9"/>
  <c r="I44" i="9"/>
  <c r="N44" i="9"/>
  <c r="D44" i="9"/>
  <c r="G44" i="9"/>
  <c r="Q44" i="9"/>
  <c r="R44" i="9" s="1"/>
  <c r="H44" i="9"/>
  <c r="K44" i="9"/>
  <c r="O44" i="9"/>
  <c r="L44" i="9"/>
  <c r="J44" i="9"/>
  <c r="G43" i="9"/>
  <c r="I43" i="9"/>
  <c r="O43" i="9"/>
  <c r="Q43" i="9"/>
  <c r="N43" i="9"/>
  <c r="J43" i="9"/>
  <c r="D43" i="9"/>
  <c r="L43" i="9"/>
  <c r="M43" i="9" s="1"/>
  <c r="R43" i="9"/>
  <c r="P43" i="9"/>
  <c r="L43" i="14" s="1"/>
  <c r="K43" i="9"/>
  <c r="H43" i="9"/>
  <c r="F43" i="9"/>
  <c r="C43" i="9"/>
  <c r="E43" i="9"/>
  <c r="N42" i="9"/>
  <c r="P42" i="9"/>
  <c r="L42" i="14" s="1"/>
  <c r="K42" i="9"/>
  <c r="H42" i="9"/>
  <c r="E42" i="9"/>
  <c r="C42" i="9"/>
  <c r="O42" i="9"/>
  <c r="I42" i="9"/>
  <c r="L42" i="9"/>
  <c r="M42" i="9" s="1"/>
  <c r="F42" i="9"/>
  <c r="Q42" i="9"/>
  <c r="R42" i="9" s="1"/>
  <c r="D42" i="9"/>
  <c r="G42" i="9"/>
  <c r="J42" i="9"/>
  <c r="I41" i="9"/>
  <c r="K41" i="9"/>
  <c r="F41" i="9"/>
  <c r="J41" i="9"/>
  <c r="N41" i="9"/>
  <c r="P41" i="9"/>
  <c r="L41" i="14" s="1"/>
  <c r="G41" i="9"/>
  <c r="E41" i="9"/>
  <c r="H41" i="9"/>
  <c r="C41" i="9"/>
  <c r="L41" i="9"/>
  <c r="M41" i="9" s="1"/>
  <c r="O41" i="9"/>
  <c r="Q41" i="9"/>
  <c r="R41" i="9" s="1"/>
  <c r="D41" i="9"/>
  <c r="E40" i="9"/>
  <c r="H40" i="9"/>
  <c r="N40" i="9"/>
  <c r="K40" i="9"/>
  <c r="P40" i="9"/>
  <c r="L40" i="14" s="1"/>
  <c r="L40" i="9"/>
  <c r="J40" i="9"/>
  <c r="F40" i="9"/>
  <c r="C40" i="9"/>
  <c r="G40" i="9"/>
  <c r="D40" i="9"/>
  <c r="I40" i="9"/>
  <c r="M40" i="9"/>
  <c r="O40" i="9"/>
  <c r="Q40" i="9"/>
  <c r="R40" i="9"/>
  <c r="K39" i="9"/>
  <c r="N39" i="9"/>
  <c r="O39" i="9"/>
  <c r="E39" i="9"/>
  <c r="I39" i="9"/>
  <c r="D39" i="9"/>
  <c r="Q39" i="9"/>
  <c r="C39" i="9"/>
  <c r="H39" i="9"/>
  <c r="F39" i="9"/>
  <c r="G39" i="9"/>
  <c r="J39" i="9"/>
  <c r="L39" i="9"/>
  <c r="M39" i="9" s="1"/>
  <c r="R39" i="9"/>
  <c r="P39" i="9"/>
  <c r="L39" i="14" s="1"/>
  <c r="J38" i="9"/>
  <c r="L38" i="9"/>
  <c r="P38" i="9"/>
  <c r="L38" i="14" s="1"/>
  <c r="Q38" i="9"/>
  <c r="I38" i="9"/>
  <c r="M38" i="9"/>
  <c r="O38" i="9"/>
  <c r="R38" i="9"/>
  <c r="E38" i="9"/>
  <c r="N38" i="9"/>
  <c r="K38" i="9"/>
  <c r="H38" i="9"/>
  <c r="D38" i="9"/>
  <c r="C38" i="9"/>
  <c r="F38" i="9"/>
  <c r="G38" i="9"/>
  <c r="I37" i="9"/>
  <c r="H37" i="9"/>
  <c r="L37" i="9"/>
  <c r="P37" i="9"/>
  <c r="L37" i="14" s="1"/>
  <c r="Q37" i="9"/>
  <c r="R37" i="9" s="1"/>
  <c r="O37" i="9"/>
  <c r="M37" i="9"/>
  <c r="J37" i="9"/>
  <c r="G37" i="9"/>
  <c r="E37" i="9"/>
  <c r="K37" i="9"/>
  <c r="C37" i="9"/>
  <c r="N37" i="9"/>
  <c r="F37" i="9"/>
  <c r="D37" i="9"/>
  <c r="O36" i="9"/>
  <c r="N36" i="9"/>
  <c r="J36" i="9"/>
  <c r="D36" i="9"/>
  <c r="G36" i="9"/>
  <c r="L36" i="9"/>
  <c r="C36" i="9"/>
  <c r="F36" i="9"/>
  <c r="I36" i="9"/>
  <c r="M36" i="9"/>
  <c r="P36" i="9"/>
  <c r="L36" i="14" s="1"/>
  <c r="Q36" i="9"/>
  <c r="R36" i="9" s="1"/>
  <c r="K36" i="9"/>
  <c r="H36" i="9"/>
  <c r="E36" i="9"/>
  <c r="I35" i="9"/>
  <c r="Q35" i="9"/>
  <c r="O35" i="9"/>
  <c r="D35" i="9"/>
  <c r="N35" i="9"/>
  <c r="K35" i="9"/>
  <c r="F35" i="9"/>
  <c r="C35" i="9"/>
  <c r="H35" i="9"/>
  <c r="R35" i="9"/>
  <c r="P35" i="9"/>
  <c r="L35" i="14" s="1"/>
  <c r="L35" i="9"/>
  <c r="M35" i="9" s="1"/>
  <c r="J35" i="9"/>
  <c r="G35" i="9"/>
  <c r="E35" i="9"/>
  <c r="D34" i="9"/>
  <c r="K34" i="9"/>
  <c r="N34" i="9"/>
  <c r="C34" i="9"/>
  <c r="E34" i="9"/>
  <c r="F34" i="9"/>
  <c r="I34" i="9"/>
  <c r="H34" i="9"/>
  <c r="Q34" i="9"/>
  <c r="R34" i="9" s="1"/>
  <c r="P34" i="9"/>
  <c r="L34" i="14" s="1"/>
  <c r="O34" i="9"/>
  <c r="L34" i="9"/>
  <c r="M34" i="9" s="1"/>
  <c r="J34" i="9"/>
  <c r="G34" i="9"/>
  <c r="O33" i="9"/>
  <c r="K33" i="9"/>
  <c r="H33" i="9"/>
  <c r="C33" i="9"/>
  <c r="F33" i="9"/>
  <c r="I33" i="9"/>
  <c r="P33" i="9"/>
  <c r="L33" i="14" s="1"/>
  <c r="N33" i="9"/>
  <c r="L33" i="9"/>
  <c r="M33" i="9" s="1"/>
  <c r="J33" i="9"/>
  <c r="E33" i="9"/>
  <c r="G33" i="9"/>
  <c r="D33" i="9"/>
  <c r="Q33" i="9"/>
  <c r="R33" i="9"/>
  <c r="D32" i="9"/>
  <c r="G32" i="9"/>
  <c r="F32" i="9"/>
  <c r="C32" i="9"/>
  <c r="I32" i="9"/>
  <c r="K32" i="9"/>
  <c r="O32" i="9"/>
  <c r="L32" i="9"/>
  <c r="M32" i="9" s="1"/>
  <c r="H32" i="9"/>
  <c r="N32" i="9"/>
  <c r="Q32" i="9"/>
  <c r="R32" i="9"/>
  <c r="J32" i="9"/>
  <c r="E32" i="9"/>
  <c r="P32" i="9"/>
  <c r="L32" i="14" s="1"/>
  <c r="H31" i="9"/>
  <c r="E31" i="9"/>
  <c r="G31" i="9"/>
  <c r="J31" i="9"/>
  <c r="L31" i="9"/>
  <c r="O31" i="9"/>
  <c r="N31" i="9"/>
  <c r="K31" i="9"/>
  <c r="D31" i="9"/>
  <c r="Q31" i="9"/>
  <c r="R31" i="9" s="1"/>
  <c r="P31" i="9"/>
  <c r="L31" i="14" s="1"/>
  <c r="M31" i="9"/>
  <c r="I31" i="9"/>
  <c r="F31" i="9"/>
  <c r="C31" i="9"/>
  <c r="O30" i="9"/>
  <c r="C30" i="9"/>
  <c r="F30" i="9"/>
  <c r="I30" i="9"/>
  <c r="N30" i="9"/>
  <c r="L30" i="9"/>
  <c r="K30" i="9"/>
  <c r="H30" i="9"/>
  <c r="E30" i="9"/>
  <c r="D30" i="9"/>
  <c r="G30" i="9"/>
  <c r="J30" i="9"/>
  <c r="M30" i="9"/>
  <c r="P30" i="9"/>
  <c r="L30" i="14" s="1"/>
  <c r="Q30" i="9"/>
  <c r="R30" i="9" s="1"/>
  <c r="F29" i="9"/>
  <c r="I29" i="9"/>
  <c r="K29" i="9"/>
  <c r="N29" i="9"/>
  <c r="Q29" i="9"/>
  <c r="J29" i="9"/>
  <c r="C29" i="9"/>
  <c r="O29" i="9"/>
  <c r="D29" i="9"/>
  <c r="G29" i="9"/>
  <c r="E29" i="9"/>
  <c r="L29" i="9"/>
  <c r="M29" i="9" s="1"/>
  <c r="P29" i="9"/>
  <c r="L29" i="14" s="1"/>
  <c r="R29" i="9"/>
  <c r="H29" i="9"/>
  <c r="N28" i="9"/>
  <c r="K28" i="9"/>
  <c r="H28" i="9"/>
  <c r="E28" i="9"/>
  <c r="Q28" i="9"/>
  <c r="P28" i="9"/>
  <c r="L28" i="14" s="1"/>
  <c r="R28" i="9"/>
  <c r="L28" i="9"/>
  <c r="O28" i="9"/>
  <c r="D28" i="9"/>
  <c r="G28" i="9"/>
  <c r="J28" i="9"/>
  <c r="M28" i="9"/>
  <c r="C28" i="9"/>
  <c r="F28" i="9"/>
  <c r="I28" i="9"/>
  <c r="N27" i="9"/>
  <c r="C27" i="9"/>
  <c r="E27" i="9"/>
  <c r="G27" i="9"/>
  <c r="F27" i="9"/>
  <c r="J27" i="9"/>
  <c r="D27" i="9"/>
  <c r="H27" i="9"/>
  <c r="O27" i="9"/>
  <c r="Q27" i="9"/>
  <c r="K27" i="9"/>
  <c r="L27" i="9"/>
  <c r="M27" i="9" s="1"/>
  <c r="P27" i="9"/>
  <c r="L27" i="14" s="1"/>
  <c r="R27" i="9"/>
  <c r="I27" i="9"/>
  <c r="Q26" i="9"/>
  <c r="P26" i="9"/>
  <c r="L26" i="14" s="1"/>
  <c r="L26" i="9"/>
  <c r="J26" i="9"/>
  <c r="G26" i="9"/>
  <c r="C26" i="9"/>
  <c r="F26" i="9"/>
  <c r="I26" i="9"/>
  <c r="M26" i="9"/>
  <c r="E26" i="9"/>
  <c r="H26" i="9"/>
  <c r="O26" i="9"/>
  <c r="K26" i="9"/>
  <c r="N26" i="9"/>
  <c r="R26" i="9"/>
  <c r="D26" i="9"/>
  <c r="P25" i="9"/>
  <c r="L25" i="14" s="1"/>
  <c r="L25" i="9"/>
  <c r="J25" i="9"/>
  <c r="G25" i="9"/>
  <c r="D25" i="9"/>
  <c r="E25" i="9"/>
  <c r="H25" i="9"/>
  <c r="K25" i="9"/>
  <c r="O25" i="9"/>
  <c r="M25" i="9"/>
  <c r="N25" i="9"/>
  <c r="I25" i="9"/>
  <c r="F25" i="9"/>
  <c r="C25" i="9"/>
  <c r="Q25" i="9"/>
  <c r="R25" i="9" s="1"/>
  <c r="P24" i="9"/>
  <c r="L24" i="14" s="1"/>
  <c r="L24" i="9"/>
  <c r="K24" i="9"/>
  <c r="H24" i="9"/>
  <c r="F24" i="9"/>
  <c r="C24" i="9"/>
  <c r="M24" i="9"/>
  <c r="G24" i="9"/>
  <c r="D24" i="9"/>
  <c r="Q24" i="9"/>
  <c r="R24" i="9" s="1"/>
  <c r="N24" i="9"/>
  <c r="I24" i="9"/>
  <c r="E24" i="9"/>
  <c r="J24" i="9"/>
  <c r="O24" i="9"/>
  <c r="Q23" i="9"/>
  <c r="P23" i="9"/>
  <c r="L23" i="14" s="1"/>
  <c r="I23" i="9"/>
  <c r="E23" i="9"/>
  <c r="J23" i="9"/>
  <c r="N23" i="9"/>
  <c r="K23" i="9"/>
  <c r="L23" i="9"/>
  <c r="M23" i="9" s="1"/>
  <c r="O23" i="9"/>
  <c r="R23" i="9"/>
  <c r="F23" i="9"/>
  <c r="C23" i="9"/>
  <c r="H23" i="9"/>
  <c r="D23" i="9"/>
  <c r="G23" i="9"/>
  <c r="P22" i="9"/>
  <c r="L22" i="14" s="1"/>
  <c r="H22" i="9"/>
  <c r="F22" i="9"/>
  <c r="C22" i="9"/>
  <c r="J22" i="9"/>
  <c r="L22" i="9"/>
  <c r="M22" i="9" s="1"/>
  <c r="D22" i="9"/>
  <c r="G22" i="9"/>
  <c r="Q22" i="9"/>
  <c r="O22" i="9"/>
  <c r="I22" i="9"/>
  <c r="K22" i="9"/>
  <c r="N22" i="9"/>
  <c r="R22" i="9"/>
  <c r="E22" i="9"/>
  <c r="L20" i="9"/>
  <c r="M20" i="9" s="1"/>
  <c r="K20" i="9"/>
  <c r="J20" i="9"/>
  <c r="I20" i="9"/>
  <c r="H20" i="9"/>
  <c r="G20" i="9"/>
  <c r="F20" i="9"/>
  <c r="D20" i="9"/>
  <c r="C20" i="9"/>
  <c r="E20" i="9"/>
  <c r="Q20" i="9"/>
  <c r="R20" i="9" s="1"/>
  <c r="P20" i="9"/>
  <c r="L20" i="14" s="1"/>
  <c r="O20" i="9"/>
  <c r="N20" i="9"/>
  <c r="N19" i="9"/>
  <c r="O19" i="9"/>
  <c r="J19" i="9"/>
  <c r="Q19" i="9"/>
  <c r="R19" i="9" s="1"/>
  <c r="K19" i="9"/>
  <c r="F19" i="9"/>
  <c r="E19" i="9"/>
  <c r="L19" i="9"/>
  <c r="P19" i="9"/>
  <c r="L19" i="14" s="1"/>
  <c r="M19" i="9"/>
  <c r="C19" i="9"/>
  <c r="H19" i="9"/>
  <c r="G19" i="9"/>
  <c r="I19" i="9"/>
  <c r="D19" i="9"/>
  <c r="D18" i="9"/>
  <c r="Q18" i="9"/>
  <c r="R18" i="9" s="1"/>
  <c r="P18" i="9"/>
  <c r="L18" i="14" s="1"/>
  <c r="O18" i="9"/>
  <c r="N18" i="9"/>
  <c r="L18" i="9"/>
  <c r="M18" i="9" s="1"/>
  <c r="K18" i="9"/>
  <c r="J18" i="9"/>
  <c r="I18" i="9"/>
  <c r="F18" i="9"/>
  <c r="G18" i="9"/>
  <c r="H18" i="9"/>
  <c r="E18" i="9"/>
  <c r="C18" i="9"/>
  <c r="I17" i="9"/>
  <c r="H17" i="9"/>
  <c r="G17" i="9"/>
  <c r="F17" i="9"/>
  <c r="E17" i="9"/>
  <c r="D17" i="9"/>
  <c r="C17" i="9"/>
  <c r="Q17" i="9"/>
  <c r="R17" i="9"/>
  <c r="P17" i="9"/>
  <c r="L17" i="14" s="1"/>
  <c r="O17" i="9"/>
  <c r="N17" i="9"/>
  <c r="L17" i="9"/>
  <c r="M17" i="9" s="1"/>
  <c r="K17" i="9"/>
  <c r="J17" i="9"/>
  <c r="Q16" i="9"/>
  <c r="P16" i="9"/>
  <c r="L16" i="14" s="1"/>
  <c r="E16" i="9"/>
  <c r="F16" i="9"/>
  <c r="O16" i="9"/>
  <c r="G16" i="9"/>
  <c r="H16" i="9"/>
  <c r="N16" i="9"/>
  <c r="I16" i="9"/>
  <c r="R16" i="9"/>
  <c r="L16" i="9"/>
  <c r="M16" i="9" s="1"/>
  <c r="K16" i="9"/>
  <c r="J16" i="9"/>
  <c r="C16" i="9"/>
  <c r="D16" i="9"/>
  <c r="N15" i="9"/>
  <c r="G15" i="9"/>
  <c r="F15" i="9"/>
  <c r="E15" i="9"/>
  <c r="D15" i="9"/>
  <c r="C15" i="9"/>
  <c r="H15" i="9"/>
  <c r="I15" i="9"/>
  <c r="K15" i="9"/>
  <c r="L15" i="9"/>
  <c r="M15" i="9"/>
  <c r="O15" i="9"/>
  <c r="P15" i="9"/>
  <c r="L15" i="14" s="1"/>
  <c r="J15" i="9"/>
  <c r="Q15" i="9"/>
  <c r="R15" i="9" s="1"/>
  <c r="Q14" i="9"/>
  <c r="O14" i="9"/>
  <c r="N14" i="9"/>
  <c r="L14" i="9"/>
  <c r="M14" i="9" s="1"/>
  <c r="K14" i="9"/>
  <c r="J14" i="9"/>
  <c r="I14" i="9"/>
  <c r="H14" i="9"/>
  <c r="G14" i="9"/>
  <c r="F14" i="9"/>
  <c r="E14" i="9"/>
  <c r="D14" i="9"/>
  <c r="C14" i="9"/>
  <c r="P14" i="9"/>
  <c r="L14" i="14" s="1"/>
  <c r="R14" i="9"/>
  <c r="Q13" i="9"/>
  <c r="O13" i="9"/>
  <c r="N13" i="9"/>
  <c r="L13" i="9"/>
  <c r="M13" i="9" s="1"/>
  <c r="K13" i="9"/>
  <c r="F13" i="9"/>
  <c r="E13" i="9"/>
  <c r="D13" i="9"/>
  <c r="C13" i="9"/>
  <c r="P13" i="9"/>
  <c r="L13" i="14" s="1"/>
  <c r="J13" i="9"/>
  <c r="I13" i="9"/>
  <c r="H13" i="9"/>
  <c r="R13" i="9"/>
  <c r="G13" i="9"/>
  <c r="O12" i="9"/>
  <c r="P12" i="9"/>
  <c r="L12" i="14" s="1"/>
  <c r="G12" i="9"/>
  <c r="H12" i="9"/>
  <c r="K12" i="9"/>
  <c r="F12" i="9"/>
  <c r="D12" i="9"/>
  <c r="Q12" i="9"/>
  <c r="R12" i="9" s="1"/>
  <c r="E12" i="9"/>
  <c r="C12" i="9"/>
  <c r="I12" i="9"/>
  <c r="J12" i="9"/>
  <c r="L12" i="9"/>
  <c r="M12" i="9"/>
  <c r="N12" i="9"/>
  <c r="P11" i="9"/>
  <c r="L11" i="14" s="1"/>
  <c r="O11" i="9"/>
  <c r="H11" i="9"/>
  <c r="Q11" i="9"/>
  <c r="R11" i="9" s="1"/>
  <c r="E11" i="9"/>
  <c r="D11" i="9"/>
  <c r="I11" i="9"/>
  <c r="J11" i="9"/>
  <c r="C11" i="9"/>
  <c r="K11" i="9"/>
  <c r="L11" i="9"/>
  <c r="M11" i="9"/>
  <c r="N11" i="9"/>
  <c r="G11" i="9"/>
  <c r="F11" i="9"/>
  <c r="I10" i="9"/>
  <c r="J10" i="9"/>
  <c r="F10" i="9"/>
  <c r="E10" i="9"/>
  <c r="D10" i="9"/>
  <c r="C10" i="9"/>
  <c r="N10" i="9"/>
  <c r="Q10" i="9"/>
  <c r="R10" i="9" s="1"/>
  <c r="P10" i="9"/>
  <c r="L10" i="14" s="1"/>
  <c r="H10" i="9"/>
  <c r="O10" i="9"/>
  <c r="L10" i="9"/>
  <c r="M10" i="9" s="1"/>
  <c r="K10" i="9"/>
  <c r="G10" i="9"/>
  <c r="Q9" i="9"/>
  <c r="R9" i="9"/>
  <c r="N9" i="9"/>
  <c r="O9" i="9"/>
  <c r="P9" i="9"/>
  <c r="L9" i="14" s="1"/>
  <c r="L9" i="9"/>
  <c r="M9" i="9" s="1"/>
  <c r="K9" i="9"/>
  <c r="J9" i="9"/>
  <c r="I9" i="9"/>
  <c r="H9" i="9"/>
  <c r="G9" i="9"/>
  <c r="F9" i="9"/>
  <c r="E9" i="9"/>
  <c r="D9" i="9"/>
  <c r="C9" i="9"/>
  <c r="N8" i="9"/>
  <c r="K8" i="9"/>
  <c r="L8" i="9"/>
  <c r="M8" i="9"/>
  <c r="C8" i="9"/>
  <c r="D8" i="9"/>
  <c r="E8" i="9"/>
  <c r="F8" i="9"/>
  <c r="G8" i="9"/>
  <c r="H8" i="9"/>
  <c r="I8" i="9"/>
  <c r="J8" i="9"/>
  <c r="Q8" i="9"/>
  <c r="R8" i="9" s="1"/>
  <c r="P8" i="9"/>
  <c r="O8" i="9"/>
  <c r="D507" i="8"/>
  <c r="J507" i="8"/>
  <c r="H507" i="8"/>
  <c r="G507" i="8"/>
  <c r="E507" i="8"/>
  <c r="F507" i="8"/>
  <c r="C507" i="8"/>
  <c r="G506" i="8"/>
  <c r="J506" i="8"/>
  <c r="H506" i="8"/>
  <c r="F506" i="8"/>
  <c r="E506" i="8"/>
  <c r="D506" i="8"/>
  <c r="C506" i="8"/>
  <c r="C505" i="8"/>
  <c r="E505" i="8"/>
  <c r="D505" i="8"/>
  <c r="G505" i="8"/>
  <c r="H505" i="8"/>
  <c r="J505" i="8"/>
  <c r="F505" i="8"/>
  <c r="D504" i="8"/>
  <c r="C504" i="8"/>
  <c r="E504" i="8"/>
  <c r="J504" i="8"/>
  <c r="H504" i="8"/>
  <c r="G504" i="8"/>
  <c r="F504" i="8"/>
  <c r="C503" i="8"/>
  <c r="J503" i="8"/>
  <c r="G503" i="8"/>
  <c r="F503" i="8"/>
  <c r="E503" i="8"/>
  <c r="H503" i="8"/>
  <c r="D503" i="8"/>
  <c r="J502" i="8"/>
  <c r="F502" i="8"/>
  <c r="E502" i="8"/>
  <c r="D502" i="8"/>
  <c r="C502" i="8"/>
  <c r="H502" i="8"/>
  <c r="G502" i="8"/>
  <c r="J501" i="8"/>
  <c r="H501" i="8"/>
  <c r="F501" i="8"/>
  <c r="D501" i="8"/>
  <c r="G501" i="8"/>
  <c r="C501" i="8"/>
  <c r="E501" i="8"/>
  <c r="C500" i="8"/>
  <c r="E500" i="8"/>
  <c r="F500" i="8"/>
  <c r="D500" i="8"/>
  <c r="H500" i="8"/>
  <c r="J500" i="8"/>
  <c r="G500" i="8"/>
  <c r="E499" i="8"/>
  <c r="D499" i="8"/>
  <c r="C499" i="8"/>
  <c r="G499" i="8"/>
  <c r="F499" i="8"/>
  <c r="H499" i="8"/>
  <c r="J499" i="8"/>
  <c r="C498" i="8"/>
  <c r="D498" i="8"/>
  <c r="E498" i="8"/>
  <c r="F498" i="8"/>
  <c r="G498" i="8"/>
  <c r="J498" i="8"/>
  <c r="H498" i="8"/>
  <c r="D497" i="8"/>
  <c r="E497" i="8"/>
  <c r="C497" i="8"/>
  <c r="F497" i="8"/>
  <c r="G497" i="8"/>
  <c r="H497" i="8"/>
  <c r="J497" i="8"/>
  <c r="E496" i="8"/>
  <c r="C496" i="8"/>
  <c r="F496" i="8"/>
  <c r="G496" i="8"/>
  <c r="H496" i="8"/>
  <c r="J496" i="8"/>
  <c r="D496" i="8"/>
  <c r="C495" i="8"/>
  <c r="D495" i="8"/>
  <c r="E495" i="8"/>
  <c r="F495" i="8"/>
  <c r="G495" i="8"/>
  <c r="H495" i="8"/>
  <c r="J495" i="8"/>
  <c r="H494" i="8"/>
  <c r="G494" i="8"/>
  <c r="F494" i="8"/>
  <c r="E494" i="8"/>
  <c r="D494" i="8"/>
  <c r="C494" i="8"/>
  <c r="J494" i="8"/>
  <c r="J493" i="8"/>
  <c r="C493" i="8"/>
  <c r="D493" i="8"/>
  <c r="E493" i="8"/>
  <c r="F493" i="8"/>
  <c r="G493" i="8"/>
  <c r="H493" i="8"/>
  <c r="H492" i="8"/>
  <c r="G492" i="8"/>
  <c r="C492" i="8"/>
  <c r="D492" i="8"/>
  <c r="E492" i="8"/>
  <c r="F492" i="8"/>
  <c r="J492" i="8"/>
  <c r="C491" i="8"/>
  <c r="D491" i="8"/>
  <c r="E491" i="8"/>
  <c r="F491" i="8"/>
  <c r="G491" i="8"/>
  <c r="H491" i="8"/>
  <c r="J491" i="8"/>
  <c r="H490" i="8"/>
  <c r="C490" i="8"/>
  <c r="D490" i="8"/>
  <c r="F490" i="8"/>
  <c r="G490" i="8"/>
  <c r="J490" i="8"/>
  <c r="E490" i="8"/>
  <c r="D489" i="8"/>
  <c r="C489" i="8"/>
  <c r="E489" i="8"/>
  <c r="F489" i="8"/>
  <c r="G489" i="8"/>
  <c r="H489" i="8"/>
  <c r="J489" i="8"/>
  <c r="C488" i="8"/>
  <c r="D488" i="8"/>
  <c r="E488" i="8"/>
  <c r="F488" i="8"/>
  <c r="G488" i="8"/>
  <c r="H488" i="8"/>
  <c r="J488" i="8"/>
  <c r="J487" i="8"/>
  <c r="G487" i="8"/>
  <c r="F487" i="8"/>
  <c r="E487" i="8"/>
  <c r="D487" i="8"/>
  <c r="C487" i="8"/>
  <c r="H487" i="8"/>
  <c r="E486" i="8"/>
  <c r="J486" i="8"/>
  <c r="H486" i="8"/>
  <c r="G486" i="8"/>
  <c r="F486" i="8"/>
  <c r="D486" i="8"/>
  <c r="C486" i="8"/>
  <c r="G485" i="8"/>
  <c r="F485" i="8"/>
  <c r="E485" i="8"/>
  <c r="D485" i="8"/>
  <c r="C485" i="8"/>
  <c r="J485" i="8"/>
  <c r="H485" i="8"/>
  <c r="J484" i="8"/>
  <c r="H484" i="8"/>
  <c r="G484" i="8"/>
  <c r="F484" i="8"/>
  <c r="E484" i="8"/>
  <c r="D484" i="8"/>
  <c r="C484" i="8"/>
  <c r="J483" i="8"/>
  <c r="G483" i="8"/>
  <c r="C483" i="8"/>
  <c r="H483" i="8"/>
  <c r="F483" i="8"/>
  <c r="E483" i="8"/>
  <c r="D483" i="8"/>
  <c r="J482" i="8"/>
  <c r="C482" i="8"/>
  <c r="D482" i="8"/>
  <c r="E482" i="8"/>
  <c r="F482" i="8"/>
  <c r="G482" i="8"/>
  <c r="H482" i="8"/>
  <c r="G481" i="8"/>
  <c r="F481" i="8"/>
  <c r="E481" i="8"/>
  <c r="D481" i="8"/>
  <c r="C481" i="8"/>
  <c r="H481" i="8"/>
  <c r="J481" i="8"/>
  <c r="J480" i="8"/>
  <c r="H480" i="8"/>
  <c r="C480" i="8"/>
  <c r="D480" i="8"/>
  <c r="E480" i="8"/>
  <c r="F480" i="8"/>
  <c r="G480" i="8"/>
  <c r="G479" i="8"/>
  <c r="F479" i="8"/>
  <c r="D479" i="8"/>
  <c r="C479" i="8"/>
  <c r="H479" i="8"/>
  <c r="J479" i="8"/>
  <c r="E479" i="8"/>
  <c r="J478" i="8"/>
  <c r="H478" i="8"/>
  <c r="G478" i="8"/>
  <c r="F478" i="8"/>
  <c r="E478" i="8"/>
  <c r="D478" i="8"/>
  <c r="C478" i="8"/>
  <c r="H477" i="8"/>
  <c r="C477" i="8"/>
  <c r="D477" i="8"/>
  <c r="E477" i="8"/>
  <c r="F477" i="8"/>
  <c r="G477" i="8"/>
  <c r="J477" i="8"/>
  <c r="J476" i="8"/>
  <c r="G476" i="8"/>
  <c r="C476" i="8"/>
  <c r="D476" i="8"/>
  <c r="E476" i="8"/>
  <c r="F476" i="8"/>
  <c r="H476" i="8"/>
  <c r="H475" i="8"/>
  <c r="G475" i="8"/>
  <c r="F475" i="8"/>
  <c r="E475" i="8"/>
  <c r="D475" i="8"/>
  <c r="C475" i="8"/>
  <c r="J475" i="8"/>
  <c r="J474" i="8"/>
  <c r="C474" i="8"/>
  <c r="D474" i="8"/>
  <c r="E474" i="8"/>
  <c r="F474" i="8"/>
  <c r="G474" i="8"/>
  <c r="H474" i="8"/>
  <c r="D473" i="8"/>
  <c r="E473" i="8"/>
  <c r="F473" i="8"/>
  <c r="G473" i="8"/>
  <c r="H473" i="8"/>
  <c r="J473" i="8"/>
  <c r="C473" i="8"/>
  <c r="J472" i="8"/>
  <c r="H472" i="8"/>
  <c r="G472" i="8"/>
  <c r="F472" i="8"/>
  <c r="E472" i="8"/>
  <c r="C472" i="8"/>
  <c r="D472" i="8"/>
  <c r="J471" i="8"/>
  <c r="C471" i="8"/>
  <c r="D471" i="8"/>
  <c r="E471" i="8"/>
  <c r="F471" i="8"/>
  <c r="G471" i="8"/>
  <c r="H471" i="8"/>
  <c r="D470" i="8"/>
  <c r="G470" i="8"/>
  <c r="J470" i="8"/>
  <c r="C470" i="8"/>
  <c r="E470" i="8"/>
  <c r="H470" i="8"/>
  <c r="F470" i="8"/>
  <c r="D469" i="8"/>
  <c r="E469" i="8"/>
  <c r="F469" i="8"/>
  <c r="C469" i="8"/>
  <c r="H469" i="8"/>
  <c r="J469" i="8"/>
  <c r="G469" i="8"/>
  <c r="C468" i="8"/>
  <c r="D468" i="8"/>
  <c r="E468" i="8"/>
  <c r="H468" i="8"/>
  <c r="J468" i="8"/>
  <c r="G468" i="8"/>
  <c r="F468" i="8"/>
  <c r="F467" i="8"/>
  <c r="G467" i="8"/>
  <c r="H467" i="8"/>
  <c r="J467" i="8"/>
  <c r="E467" i="8"/>
  <c r="C467" i="8"/>
  <c r="D467" i="8"/>
  <c r="H466" i="8"/>
  <c r="F466" i="8"/>
  <c r="C466" i="8"/>
  <c r="D466" i="8"/>
  <c r="E466" i="8"/>
  <c r="G466" i="8"/>
  <c r="J466" i="8"/>
  <c r="E465" i="8"/>
  <c r="F465" i="8"/>
  <c r="G465" i="8"/>
  <c r="H465" i="8"/>
  <c r="C465" i="8"/>
  <c r="D465" i="8"/>
  <c r="J465" i="8"/>
  <c r="H464" i="8"/>
  <c r="J464" i="8"/>
  <c r="C464" i="8"/>
  <c r="D464" i="8"/>
  <c r="E464" i="8"/>
  <c r="F464" i="8"/>
  <c r="G464" i="8"/>
  <c r="G463" i="8"/>
  <c r="D463" i="8"/>
  <c r="J463" i="8"/>
  <c r="E463" i="8"/>
  <c r="H463" i="8"/>
  <c r="F463" i="8"/>
  <c r="C463" i="8"/>
  <c r="D462" i="8"/>
  <c r="F462" i="8"/>
  <c r="G462" i="8"/>
  <c r="E462" i="8"/>
  <c r="H462" i="8"/>
  <c r="J462" i="8"/>
  <c r="C462" i="8"/>
  <c r="G461" i="8"/>
  <c r="F461" i="8"/>
  <c r="E461" i="8"/>
  <c r="D461" i="8"/>
  <c r="C461" i="8"/>
  <c r="J461" i="8"/>
  <c r="H461" i="8"/>
  <c r="G460" i="8"/>
  <c r="F460" i="8"/>
  <c r="D460" i="8"/>
  <c r="E460" i="8"/>
  <c r="C460" i="8"/>
  <c r="J460" i="8"/>
  <c r="H460" i="8"/>
  <c r="C459" i="8"/>
  <c r="D459" i="8"/>
  <c r="F459" i="8"/>
  <c r="G459" i="8"/>
  <c r="H459" i="8"/>
  <c r="E459" i="8"/>
  <c r="J459" i="8"/>
  <c r="G458" i="8"/>
  <c r="J458" i="8"/>
  <c r="H458" i="8"/>
  <c r="E458" i="8"/>
  <c r="D458" i="8"/>
  <c r="C458" i="8"/>
  <c r="F458" i="8"/>
  <c r="J457" i="8"/>
  <c r="H457" i="8"/>
  <c r="G457" i="8"/>
  <c r="F457" i="8"/>
  <c r="E457" i="8"/>
  <c r="D457" i="8"/>
  <c r="C457" i="8"/>
  <c r="J456" i="8"/>
  <c r="C456" i="8"/>
  <c r="D456" i="8"/>
  <c r="E456" i="8"/>
  <c r="F456" i="8"/>
  <c r="G456" i="8"/>
  <c r="H456" i="8"/>
  <c r="H455" i="8"/>
  <c r="J455" i="8"/>
  <c r="C455" i="8"/>
  <c r="D455" i="8"/>
  <c r="E455" i="8"/>
  <c r="F455" i="8"/>
  <c r="G455" i="8"/>
  <c r="C454" i="8"/>
  <c r="D454" i="8"/>
  <c r="E454" i="8"/>
  <c r="F454" i="8"/>
  <c r="G454" i="8"/>
  <c r="J454" i="8"/>
  <c r="H454" i="8"/>
  <c r="J453" i="8"/>
  <c r="E453" i="8"/>
  <c r="D453" i="8"/>
  <c r="H453" i="8"/>
  <c r="C453" i="8"/>
  <c r="G453" i="8"/>
  <c r="F453" i="8"/>
  <c r="J452" i="8"/>
  <c r="H452" i="8"/>
  <c r="C452" i="8"/>
  <c r="F452" i="8"/>
  <c r="E452" i="8"/>
  <c r="D452" i="8"/>
  <c r="G452" i="8"/>
  <c r="J451" i="8"/>
  <c r="D451" i="8"/>
  <c r="E451" i="8"/>
  <c r="F451" i="8"/>
  <c r="G451" i="8"/>
  <c r="H451" i="8"/>
  <c r="C451" i="8"/>
  <c r="C450" i="8"/>
  <c r="J450" i="8"/>
  <c r="G450" i="8"/>
  <c r="F450" i="8"/>
  <c r="E450" i="8"/>
  <c r="D450" i="8"/>
  <c r="H450" i="8"/>
  <c r="F449" i="8"/>
  <c r="D449" i="8"/>
  <c r="C449" i="8"/>
  <c r="E449" i="8"/>
  <c r="H449" i="8"/>
  <c r="G449" i="8"/>
  <c r="J449" i="8"/>
  <c r="J448" i="8"/>
  <c r="H448" i="8"/>
  <c r="G448" i="8"/>
  <c r="F448" i="8"/>
  <c r="D448" i="8"/>
  <c r="C448" i="8"/>
  <c r="E448" i="8"/>
  <c r="D447" i="8"/>
  <c r="C447" i="8"/>
  <c r="J447" i="8"/>
  <c r="H447" i="8"/>
  <c r="G447" i="8"/>
  <c r="F447" i="8"/>
  <c r="E447" i="8"/>
  <c r="E446" i="8"/>
  <c r="D446" i="8"/>
  <c r="C446" i="8"/>
  <c r="J446" i="8"/>
  <c r="H446" i="8"/>
  <c r="G446" i="8"/>
  <c r="F446" i="8"/>
  <c r="J445" i="8"/>
  <c r="H445" i="8"/>
  <c r="G445" i="8"/>
  <c r="F445" i="8"/>
  <c r="E445" i="8"/>
  <c r="D445" i="8"/>
  <c r="C445" i="8"/>
  <c r="J444" i="8"/>
  <c r="H444" i="8"/>
  <c r="G444" i="8"/>
  <c r="F444" i="8"/>
  <c r="E444" i="8"/>
  <c r="D444" i="8"/>
  <c r="C444" i="8"/>
  <c r="E443" i="8"/>
  <c r="D443" i="8"/>
  <c r="C443" i="8"/>
  <c r="J443" i="8"/>
  <c r="H443" i="8"/>
  <c r="G443" i="8"/>
  <c r="F443" i="8"/>
  <c r="D442" i="8"/>
  <c r="C442" i="8"/>
  <c r="J442" i="8"/>
  <c r="E442" i="8"/>
  <c r="H442" i="8"/>
  <c r="G442" i="8"/>
  <c r="F442" i="8"/>
  <c r="D441" i="8"/>
  <c r="H441" i="8"/>
  <c r="E441" i="8"/>
  <c r="F441" i="8"/>
  <c r="G441" i="8"/>
  <c r="C441" i="8"/>
  <c r="J441" i="8"/>
  <c r="D440" i="8"/>
  <c r="C440" i="8"/>
  <c r="E440" i="8"/>
  <c r="F440" i="8"/>
  <c r="G440" i="8"/>
  <c r="H440" i="8"/>
  <c r="J440" i="8"/>
  <c r="E439" i="8"/>
  <c r="D439" i="8"/>
  <c r="C439" i="8"/>
  <c r="J439" i="8"/>
  <c r="H439" i="8"/>
  <c r="G439" i="8"/>
  <c r="F439" i="8"/>
  <c r="D438" i="8"/>
  <c r="E438" i="8"/>
  <c r="F438" i="8"/>
  <c r="G438" i="8"/>
  <c r="H438" i="8"/>
  <c r="C438" i="8"/>
  <c r="J438" i="8"/>
  <c r="C437" i="8"/>
  <c r="D437" i="8"/>
  <c r="E437" i="8"/>
  <c r="F437" i="8"/>
  <c r="G437" i="8"/>
  <c r="H437" i="8"/>
  <c r="J437" i="8"/>
  <c r="F436" i="8"/>
  <c r="J436" i="8"/>
  <c r="H436" i="8"/>
  <c r="C436" i="8"/>
  <c r="E436" i="8"/>
  <c r="G436" i="8"/>
  <c r="D436" i="8"/>
  <c r="E435" i="8"/>
  <c r="D435" i="8"/>
  <c r="C435" i="8"/>
  <c r="H435" i="8"/>
  <c r="J435" i="8"/>
  <c r="G435" i="8"/>
  <c r="F435" i="8"/>
  <c r="E434" i="8"/>
  <c r="D434" i="8"/>
  <c r="C434" i="8"/>
  <c r="H434" i="8"/>
  <c r="J434" i="8"/>
  <c r="F434" i="8"/>
  <c r="G434" i="8"/>
  <c r="C433" i="8"/>
  <c r="D433" i="8"/>
  <c r="F433" i="8"/>
  <c r="G433" i="8"/>
  <c r="E433" i="8"/>
  <c r="J433" i="8"/>
  <c r="H433" i="8"/>
  <c r="J432" i="8"/>
  <c r="H432" i="8"/>
  <c r="E432" i="8"/>
  <c r="D432" i="8"/>
  <c r="C432" i="8"/>
  <c r="G432" i="8"/>
  <c r="F432" i="8"/>
  <c r="F431" i="8"/>
  <c r="J431" i="8"/>
  <c r="H431" i="8"/>
  <c r="G431" i="8"/>
  <c r="E431" i="8"/>
  <c r="D431" i="8"/>
  <c r="C431" i="8"/>
  <c r="E430" i="8"/>
  <c r="H430" i="8"/>
  <c r="J430" i="8"/>
  <c r="F430" i="8"/>
  <c r="C430" i="8"/>
  <c r="D430" i="8"/>
  <c r="G430" i="8"/>
  <c r="F429" i="8"/>
  <c r="G429" i="8"/>
  <c r="H429" i="8"/>
  <c r="J429" i="8"/>
  <c r="E429" i="8"/>
  <c r="C429" i="8"/>
  <c r="D429" i="8"/>
  <c r="H428" i="8"/>
  <c r="D428" i="8"/>
  <c r="G428" i="8"/>
  <c r="F428" i="8"/>
  <c r="E428" i="8"/>
  <c r="J428" i="8"/>
  <c r="C428" i="8"/>
  <c r="D427" i="8"/>
  <c r="C427" i="8"/>
  <c r="J427" i="8"/>
  <c r="H427" i="8"/>
  <c r="G427" i="8"/>
  <c r="F427" i="8"/>
  <c r="E427" i="8"/>
  <c r="H426" i="8"/>
  <c r="J426" i="8"/>
  <c r="C426" i="8"/>
  <c r="D426" i="8"/>
  <c r="E426" i="8"/>
  <c r="F426" i="8"/>
  <c r="G426" i="8"/>
  <c r="G425" i="8"/>
  <c r="F425" i="8"/>
  <c r="C425" i="8"/>
  <c r="E425" i="8"/>
  <c r="D425" i="8"/>
  <c r="J425" i="8"/>
  <c r="H425" i="8"/>
  <c r="J424" i="8"/>
  <c r="C424" i="8"/>
  <c r="D424" i="8"/>
  <c r="E424" i="8"/>
  <c r="F424" i="8"/>
  <c r="G424" i="8"/>
  <c r="H424" i="8"/>
  <c r="J423" i="8"/>
  <c r="C423" i="8"/>
  <c r="D423" i="8"/>
  <c r="E423" i="8"/>
  <c r="F423" i="8"/>
  <c r="G423" i="8"/>
  <c r="H423" i="8"/>
  <c r="C422" i="8"/>
  <c r="D422" i="8"/>
  <c r="E422" i="8"/>
  <c r="F422" i="8"/>
  <c r="G422" i="8"/>
  <c r="J422" i="8"/>
  <c r="H422" i="8"/>
  <c r="F421" i="8"/>
  <c r="H421" i="8"/>
  <c r="J421" i="8"/>
  <c r="G421" i="8"/>
  <c r="C421" i="8"/>
  <c r="D421" i="8"/>
  <c r="E421" i="8"/>
  <c r="E420" i="8"/>
  <c r="D420" i="8"/>
  <c r="H420" i="8"/>
  <c r="G420" i="8"/>
  <c r="J420" i="8"/>
  <c r="F420" i="8"/>
  <c r="C420" i="8"/>
  <c r="J419" i="8"/>
  <c r="F419" i="8"/>
  <c r="E419" i="8"/>
  <c r="G419" i="8"/>
  <c r="D419" i="8"/>
  <c r="C419" i="8"/>
  <c r="H419" i="8"/>
  <c r="G418" i="8"/>
  <c r="H418" i="8"/>
  <c r="J418" i="8"/>
  <c r="E418" i="8"/>
  <c r="C418" i="8"/>
  <c r="D418" i="8"/>
  <c r="F418" i="8"/>
  <c r="C417" i="8"/>
  <c r="D417" i="8"/>
  <c r="F417" i="8"/>
  <c r="H417" i="8"/>
  <c r="E417" i="8"/>
  <c r="G417" i="8"/>
  <c r="J417" i="8"/>
  <c r="F416" i="8"/>
  <c r="G416" i="8"/>
  <c r="J416" i="8"/>
  <c r="H416" i="8"/>
  <c r="C416" i="8"/>
  <c r="D416" i="8"/>
  <c r="E416" i="8"/>
  <c r="D415" i="8"/>
  <c r="E415" i="8"/>
  <c r="F415" i="8"/>
  <c r="H415" i="8"/>
  <c r="J415" i="8"/>
  <c r="G415" i="8"/>
  <c r="C415" i="8"/>
  <c r="D414" i="8"/>
  <c r="E414" i="8"/>
  <c r="G414" i="8"/>
  <c r="H414" i="8"/>
  <c r="J414" i="8"/>
  <c r="F414" i="8"/>
  <c r="C414" i="8"/>
  <c r="J413" i="8"/>
  <c r="C413" i="8"/>
  <c r="D413" i="8"/>
  <c r="E413" i="8"/>
  <c r="F413" i="8"/>
  <c r="G413" i="8"/>
  <c r="H413" i="8"/>
  <c r="F412" i="8"/>
  <c r="E412" i="8"/>
  <c r="D412" i="8"/>
  <c r="C412" i="8"/>
  <c r="H412" i="8"/>
  <c r="J412" i="8"/>
  <c r="G412" i="8"/>
  <c r="J411" i="8"/>
  <c r="C411" i="8"/>
  <c r="H411" i="8"/>
  <c r="G411" i="8"/>
  <c r="E411" i="8"/>
  <c r="D411" i="8"/>
  <c r="F411" i="8"/>
  <c r="G410" i="8"/>
  <c r="D410" i="8"/>
  <c r="C410" i="8"/>
  <c r="H410" i="8"/>
  <c r="F410" i="8"/>
  <c r="E410" i="8"/>
  <c r="J410" i="8"/>
  <c r="E409" i="8"/>
  <c r="D409" i="8"/>
  <c r="C409" i="8"/>
  <c r="J409" i="8"/>
  <c r="H409" i="8"/>
  <c r="G409" i="8"/>
  <c r="F409" i="8"/>
  <c r="F408" i="8"/>
  <c r="J408" i="8"/>
  <c r="H408" i="8"/>
  <c r="C408" i="8"/>
  <c r="G408" i="8"/>
  <c r="E408" i="8"/>
  <c r="D408" i="8"/>
  <c r="H407" i="8"/>
  <c r="J407" i="8"/>
  <c r="D407" i="8"/>
  <c r="E407" i="8"/>
  <c r="F407" i="8"/>
  <c r="G407" i="8"/>
  <c r="C407" i="8"/>
  <c r="D406" i="8"/>
  <c r="E406" i="8"/>
  <c r="F406" i="8"/>
  <c r="G406" i="8"/>
  <c r="H406" i="8"/>
  <c r="J406" i="8"/>
  <c r="C406" i="8"/>
  <c r="D405" i="8"/>
  <c r="E405" i="8"/>
  <c r="F405" i="8"/>
  <c r="G405" i="8"/>
  <c r="H405" i="8"/>
  <c r="J405" i="8"/>
  <c r="C405" i="8"/>
  <c r="F404" i="8"/>
  <c r="C404" i="8"/>
  <c r="D404" i="8"/>
  <c r="E404" i="8"/>
  <c r="G404" i="8"/>
  <c r="H404" i="8"/>
  <c r="J404" i="8"/>
  <c r="J403" i="8"/>
  <c r="H403" i="8"/>
  <c r="G403" i="8"/>
  <c r="F403" i="8"/>
  <c r="E403" i="8"/>
  <c r="D403" i="8"/>
  <c r="C403" i="8"/>
  <c r="C402" i="8"/>
  <c r="J402" i="8"/>
  <c r="H402" i="8"/>
  <c r="G402" i="8"/>
  <c r="E402" i="8"/>
  <c r="D402" i="8"/>
  <c r="F402" i="8"/>
  <c r="F401" i="8"/>
  <c r="E401" i="8"/>
  <c r="J401" i="8"/>
  <c r="H401" i="8"/>
  <c r="G401" i="8"/>
  <c r="D401" i="8"/>
  <c r="C401" i="8"/>
  <c r="C400" i="8"/>
  <c r="H400" i="8"/>
  <c r="E400" i="8"/>
  <c r="F400" i="8"/>
  <c r="D400" i="8"/>
  <c r="G400" i="8"/>
  <c r="J400" i="8"/>
  <c r="J399" i="8"/>
  <c r="E399" i="8"/>
  <c r="F399" i="8"/>
  <c r="G399" i="8"/>
  <c r="D399" i="8"/>
  <c r="H399" i="8"/>
  <c r="C399" i="8"/>
  <c r="H398" i="8"/>
  <c r="C398" i="8"/>
  <c r="D398" i="8"/>
  <c r="E398" i="8"/>
  <c r="F398" i="8"/>
  <c r="G398" i="8"/>
  <c r="J398" i="8"/>
  <c r="C397" i="8"/>
  <c r="D397" i="8"/>
  <c r="E397" i="8"/>
  <c r="F397" i="8"/>
  <c r="H397" i="8"/>
  <c r="J397" i="8"/>
  <c r="G397" i="8"/>
  <c r="C396" i="8"/>
  <c r="D396" i="8"/>
  <c r="E396" i="8"/>
  <c r="F396" i="8"/>
  <c r="G396" i="8"/>
  <c r="H396" i="8"/>
  <c r="J396" i="8"/>
  <c r="F395" i="8"/>
  <c r="H395" i="8"/>
  <c r="J395" i="8"/>
  <c r="G395" i="8"/>
  <c r="C395" i="8"/>
  <c r="D395" i="8"/>
  <c r="E395" i="8"/>
  <c r="J394" i="8"/>
  <c r="H394" i="8"/>
  <c r="C394" i="8"/>
  <c r="D394" i="8"/>
  <c r="E394" i="8"/>
  <c r="F394" i="8"/>
  <c r="G394" i="8"/>
  <c r="E393" i="8"/>
  <c r="G393" i="8"/>
  <c r="H393" i="8"/>
  <c r="J393" i="8"/>
  <c r="C393" i="8"/>
  <c r="D393" i="8"/>
  <c r="F393" i="8"/>
  <c r="C392" i="8"/>
  <c r="D392" i="8"/>
  <c r="F392" i="8"/>
  <c r="G392" i="8"/>
  <c r="H392" i="8"/>
  <c r="J392" i="8"/>
  <c r="E392" i="8"/>
  <c r="D391" i="8"/>
  <c r="E391" i="8"/>
  <c r="F391" i="8"/>
  <c r="G391" i="8"/>
  <c r="C391" i="8"/>
  <c r="H391" i="8"/>
  <c r="J391" i="8"/>
  <c r="C390" i="8"/>
  <c r="G390" i="8"/>
  <c r="J390" i="8"/>
  <c r="H390" i="8"/>
  <c r="D390" i="8"/>
  <c r="E390" i="8"/>
  <c r="F390" i="8"/>
  <c r="J389" i="8"/>
  <c r="H389" i="8"/>
  <c r="G389" i="8"/>
  <c r="F389" i="8"/>
  <c r="E389" i="8"/>
  <c r="D389" i="8"/>
  <c r="C389" i="8"/>
  <c r="C388" i="8"/>
  <c r="J388" i="8"/>
  <c r="H388" i="8"/>
  <c r="G388" i="8"/>
  <c r="F388" i="8"/>
  <c r="E388" i="8"/>
  <c r="D388" i="8"/>
  <c r="J387" i="8"/>
  <c r="C387" i="8"/>
  <c r="D387" i="8"/>
  <c r="E387" i="8"/>
  <c r="F387" i="8"/>
  <c r="G387" i="8"/>
  <c r="H387" i="8"/>
  <c r="J386" i="8"/>
  <c r="H386" i="8"/>
  <c r="D386" i="8"/>
  <c r="G386" i="8"/>
  <c r="F386" i="8"/>
  <c r="E386" i="8"/>
  <c r="C386" i="8"/>
  <c r="G385" i="8"/>
  <c r="C385" i="8"/>
  <c r="D385" i="8"/>
  <c r="E385" i="8"/>
  <c r="F385" i="8"/>
  <c r="J385" i="8"/>
  <c r="H385" i="8"/>
  <c r="G384" i="8"/>
  <c r="H384" i="8"/>
  <c r="J384" i="8"/>
  <c r="C384" i="8"/>
  <c r="D384" i="8"/>
  <c r="E384" i="8"/>
  <c r="F384" i="8"/>
  <c r="D383" i="8"/>
  <c r="C383" i="8"/>
  <c r="J383" i="8"/>
  <c r="H383" i="8"/>
  <c r="G383" i="8"/>
  <c r="F383" i="8"/>
  <c r="E383" i="8"/>
  <c r="F382" i="8"/>
  <c r="H382" i="8"/>
  <c r="C382" i="8"/>
  <c r="D382" i="8"/>
  <c r="E382" i="8"/>
  <c r="G382" i="8"/>
  <c r="J382" i="8"/>
  <c r="C381" i="8"/>
  <c r="E381" i="8"/>
  <c r="F381" i="8"/>
  <c r="H381" i="8"/>
  <c r="J381" i="8"/>
  <c r="D381" i="8"/>
  <c r="G381" i="8"/>
  <c r="H380" i="8"/>
  <c r="J380" i="8"/>
  <c r="C380" i="8"/>
  <c r="D380" i="8"/>
  <c r="G380" i="8"/>
  <c r="E380" i="8"/>
  <c r="F380" i="8"/>
  <c r="C379" i="8"/>
  <c r="D379" i="8"/>
  <c r="E379" i="8"/>
  <c r="F379" i="8"/>
  <c r="G379" i="8"/>
  <c r="H379" i="8"/>
  <c r="J379" i="8"/>
  <c r="E378" i="8"/>
  <c r="D378" i="8"/>
  <c r="C378" i="8"/>
  <c r="J378" i="8"/>
  <c r="F378" i="8"/>
  <c r="H378" i="8"/>
  <c r="G378" i="8"/>
  <c r="C377" i="8"/>
  <c r="J377" i="8"/>
  <c r="H377" i="8"/>
  <c r="G377" i="8"/>
  <c r="F377" i="8"/>
  <c r="D377" i="8"/>
  <c r="E377" i="8"/>
  <c r="F376" i="8"/>
  <c r="E376" i="8"/>
  <c r="C376" i="8"/>
  <c r="D376" i="8"/>
  <c r="J376" i="8"/>
  <c r="H376" i="8"/>
  <c r="G376" i="8"/>
  <c r="C375" i="8"/>
  <c r="E375" i="8"/>
  <c r="F375" i="8"/>
  <c r="G375" i="8"/>
  <c r="H375" i="8"/>
  <c r="J375" i="8"/>
  <c r="D375" i="8"/>
  <c r="C374" i="8"/>
  <c r="E374" i="8"/>
  <c r="J374" i="8"/>
  <c r="H374" i="8"/>
  <c r="G374" i="8"/>
  <c r="F374" i="8"/>
  <c r="D374" i="8"/>
  <c r="G373" i="8"/>
  <c r="E373" i="8"/>
  <c r="C373" i="8"/>
  <c r="F373" i="8"/>
  <c r="D373" i="8"/>
  <c r="J373" i="8"/>
  <c r="H373" i="8"/>
  <c r="F372" i="8"/>
  <c r="G372" i="8"/>
  <c r="H372" i="8"/>
  <c r="C372" i="8"/>
  <c r="J372" i="8"/>
  <c r="D372" i="8"/>
  <c r="E372" i="8"/>
  <c r="E371" i="8"/>
  <c r="G371" i="8"/>
  <c r="C371" i="8"/>
  <c r="D371" i="8"/>
  <c r="J371" i="8"/>
  <c r="H371" i="8"/>
  <c r="F371" i="8"/>
  <c r="J370" i="8"/>
  <c r="D370" i="8"/>
  <c r="C370" i="8"/>
  <c r="F370" i="8"/>
  <c r="E370" i="8"/>
  <c r="G370" i="8"/>
  <c r="H370" i="8"/>
  <c r="C369" i="8"/>
  <c r="D369" i="8"/>
  <c r="E369" i="8"/>
  <c r="H369" i="8"/>
  <c r="G369" i="8"/>
  <c r="F369" i="8"/>
  <c r="J369" i="8"/>
  <c r="G368" i="8"/>
  <c r="H368" i="8"/>
  <c r="J368" i="8"/>
  <c r="C368" i="8"/>
  <c r="F368" i="8"/>
  <c r="E368" i="8"/>
  <c r="D368" i="8"/>
  <c r="H367" i="8"/>
  <c r="G367" i="8"/>
  <c r="F367" i="8"/>
  <c r="E367" i="8"/>
  <c r="C367" i="8"/>
  <c r="D367" i="8"/>
  <c r="J367" i="8"/>
  <c r="C366" i="8"/>
  <c r="J366" i="8"/>
  <c r="H366" i="8"/>
  <c r="G366" i="8"/>
  <c r="F366" i="8"/>
  <c r="E366" i="8"/>
  <c r="D366" i="8"/>
  <c r="C365" i="8"/>
  <c r="D365" i="8"/>
  <c r="E365" i="8"/>
  <c r="J365" i="8"/>
  <c r="F365" i="8"/>
  <c r="G365" i="8"/>
  <c r="H365" i="8"/>
  <c r="F364" i="8"/>
  <c r="H364" i="8"/>
  <c r="J364" i="8"/>
  <c r="G364" i="8"/>
  <c r="C364" i="8"/>
  <c r="D364" i="8"/>
  <c r="E364" i="8"/>
  <c r="G363" i="8"/>
  <c r="H363" i="8"/>
  <c r="J363" i="8"/>
  <c r="C363" i="8"/>
  <c r="D363" i="8"/>
  <c r="E363" i="8"/>
  <c r="F363" i="8"/>
  <c r="C362" i="8"/>
  <c r="D362" i="8"/>
  <c r="E362" i="8"/>
  <c r="F362" i="8"/>
  <c r="G362" i="8"/>
  <c r="J362" i="8"/>
  <c r="H362" i="8"/>
  <c r="C361" i="8"/>
  <c r="F361" i="8"/>
  <c r="G361" i="8"/>
  <c r="H361" i="8"/>
  <c r="J361" i="8"/>
  <c r="E361" i="8"/>
  <c r="D361" i="8"/>
  <c r="D360" i="8"/>
  <c r="E360" i="8"/>
  <c r="F360" i="8"/>
  <c r="G360" i="8"/>
  <c r="H360" i="8"/>
  <c r="J360" i="8"/>
  <c r="C360" i="8"/>
  <c r="D359" i="8"/>
  <c r="E359" i="8"/>
  <c r="J359" i="8"/>
  <c r="H359" i="8"/>
  <c r="G359" i="8"/>
  <c r="F359" i="8"/>
  <c r="C359" i="8"/>
  <c r="J358" i="8"/>
  <c r="H358" i="8"/>
  <c r="G358" i="8"/>
  <c r="F358" i="8"/>
  <c r="E358" i="8"/>
  <c r="D358" i="8"/>
  <c r="C358" i="8"/>
  <c r="F357" i="8"/>
  <c r="J357" i="8"/>
  <c r="C357" i="8"/>
  <c r="G357" i="8"/>
  <c r="E357" i="8"/>
  <c r="H357" i="8"/>
  <c r="D357" i="8"/>
  <c r="J356" i="8"/>
  <c r="H356" i="8"/>
  <c r="G356" i="8"/>
  <c r="F356" i="8"/>
  <c r="E356" i="8"/>
  <c r="C356" i="8"/>
  <c r="D356" i="8"/>
  <c r="D355" i="8"/>
  <c r="E355" i="8"/>
  <c r="F355" i="8"/>
  <c r="C355" i="8"/>
  <c r="J355" i="8"/>
  <c r="H355" i="8"/>
  <c r="G355" i="8"/>
  <c r="H354" i="8"/>
  <c r="J354" i="8"/>
  <c r="G354" i="8"/>
  <c r="F354" i="8"/>
  <c r="E354" i="8"/>
  <c r="D354" i="8"/>
  <c r="C354" i="8"/>
  <c r="J353" i="8"/>
  <c r="H353" i="8"/>
  <c r="G353" i="8"/>
  <c r="F353" i="8"/>
  <c r="E353" i="8"/>
  <c r="D353" i="8"/>
  <c r="C353" i="8"/>
  <c r="H352" i="8"/>
  <c r="J352" i="8"/>
  <c r="G352" i="8"/>
  <c r="F352" i="8"/>
  <c r="E352" i="8"/>
  <c r="D352" i="8"/>
  <c r="C352" i="8"/>
  <c r="F351" i="8"/>
  <c r="G351" i="8"/>
  <c r="H351" i="8"/>
  <c r="C351" i="8"/>
  <c r="D351" i="8"/>
  <c r="E351" i="8"/>
  <c r="J351" i="8"/>
  <c r="C350" i="8"/>
  <c r="J350" i="8"/>
  <c r="H350" i="8"/>
  <c r="G350" i="8"/>
  <c r="F350" i="8"/>
  <c r="E350" i="8"/>
  <c r="D350" i="8"/>
  <c r="F349" i="8"/>
  <c r="G349" i="8"/>
  <c r="H349" i="8"/>
  <c r="J349" i="8"/>
  <c r="E349" i="8"/>
  <c r="D349" i="8"/>
  <c r="C349" i="8"/>
  <c r="H348" i="8"/>
  <c r="J348" i="8"/>
  <c r="C348" i="8"/>
  <c r="D348" i="8"/>
  <c r="E348" i="8"/>
  <c r="F348" i="8"/>
  <c r="G348" i="8"/>
  <c r="C347" i="8"/>
  <c r="J347" i="8"/>
  <c r="G347" i="8"/>
  <c r="F347" i="8"/>
  <c r="E347" i="8"/>
  <c r="D347" i="8"/>
  <c r="H347" i="8"/>
  <c r="H346" i="8"/>
  <c r="J346" i="8"/>
  <c r="G346" i="8"/>
  <c r="C346" i="8"/>
  <c r="D346" i="8"/>
  <c r="E346" i="8"/>
  <c r="F346" i="8"/>
  <c r="C345" i="8"/>
  <c r="D345" i="8"/>
  <c r="E345" i="8"/>
  <c r="F345" i="8"/>
  <c r="J345" i="8"/>
  <c r="H345" i="8"/>
  <c r="G345" i="8"/>
  <c r="H344" i="8"/>
  <c r="J344" i="8"/>
  <c r="D344" i="8"/>
  <c r="C344" i="8"/>
  <c r="E344" i="8"/>
  <c r="F344" i="8"/>
  <c r="G344" i="8"/>
  <c r="C343" i="8"/>
  <c r="E343" i="8"/>
  <c r="F343" i="8"/>
  <c r="G343" i="8"/>
  <c r="H343" i="8"/>
  <c r="J343" i="8"/>
  <c r="D343" i="8"/>
  <c r="F342" i="8"/>
  <c r="E342" i="8"/>
  <c r="D342" i="8"/>
  <c r="C342" i="8"/>
  <c r="G342" i="8"/>
  <c r="J342" i="8"/>
  <c r="H342" i="8"/>
  <c r="D341" i="8"/>
  <c r="E341" i="8"/>
  <c r="F341" i="8"/>
  <c r="G341" i="8"/>
  <c r="H341" i="8"/>
  <c r="J341" i="8"/>
  <c r="C341" i="8"/>
  <c r="C340" i="8"/>
  <c r="D340" i="8"/>
  <c r="E340" i="8"/>
  <c r="F340" i="8"/>
  <c r="G340" i="8"/>
  <c r="H340" i="8"/>
  <c r="J340" i="8"/>
  <c r="J339" i="8"/>
  <c r="F339" i="8"/>
  <c r="G339" i="8"/>
  <c r="H339" i="8"/>
  <c r="C339" i="8"/>
  <c r="E339" i="8"/>
  <c r="D339" i="8"/>
  <c r="J338" i="8"/>
  <c r="F338" i="8"/>
  <c r="E338" i="8"/>
  <c r="H338" i="8"/>
  <c r="D338" i="8"/>
  <c r="G338" i="8"/>
  <c r="C338" i="8"/>
  <c r="D337" i="8"/>
  <c r="J337" i="8"/>
  <c r="H337" i="8"/>
  <c r="G337" i="8"/>
  <c r="F337" i="8"/>
  <c r="E337" i="8"/>
  <c r="C337" i="8"/>
  <c r="C336" i="8"/>
  <c r="H336" i="8"/>
  <c r="J336" i="8"/>
  <c r="E336" i="8"/>
  <c r="F336" i="8"/>
  <c r="D336" i="8"/>
  <c r="G336" i="8"/>
  <c r="G335" i="8"/>
  <c r="H335" i="8"/>
  <c r="J335" i="8"/>
  <c r="E335" i="8"/>
  <c r="C335" i="8"/>
  <c r="D335" i="8"/>
  <c r="F335" i="8"/>
  <c r="J334" i="8"/>
  <c r="H334" i="8"/>
  <c r="G334" i="8"/>
  <c r="F334" i="8"/>
  <c r="E334" i="8"/>
  <c r="D334" i="8"/>
  <c r="C334" i="8"/>
  <c r="E333" i="8"/>
  <c r="C333" i="8"/>
  <c r="D333" i="8"/>
  <c r="F333" i="8"/>
  <c r="H333" i="8"/>
  <c r="J333" i="8"/>
  <c r="G333" i="8"/>
  <c r="G332" i="8"/>
  <c r="F332" i="8"/>
  <c r="J332" i="8"/>
  <c r="H332" i="8"/>
  <c r="D332" i="8"/>
  <c r="E332" i="8"/>
  <c r="C332" i="8"/>
  <c r="C331" i="8"/>
  <c r="D331" i="8"/>
  <c r="E331" i="8"/>
  <c r="F331" i="8"/>
  <c r="J331" i="8"/>
  <c r="H331" i="8"/>
  <c r="G331" i="8"/>
  <c r="H330" i="8"/>
  <c r="J330" i="8"/>
  <c r="G330" i="8"/>
  <c r="F330" i="8"/>
  <c r="E330" i="8"/>
  <c r="D330" i="8"/>
  <c r="C330" i="8"/>
  <c r="J329" i="8"/>
  <c r="H329" i="8"/>
  <c r="G329" i="8"/>
  <c r="F329" i="8"/>
  <c r="D329" i="8"/>
  <c r="C329" i="8"/>
  <c r="E329" i="8"/>
  <c r="C328" i="8"/>
  <c r="E328" i="8"/>
  <c r="F328" i="8"/>
  <c r="J328" i="8"/>
  <c r="H328" i="8"/>
  <c r="G328" i="8"/>
  <c r="D328" i="8"/>
  <c r="J327" i="8"/>
  <c r="H327" i="8"/>
  <c r="F327" i="8"/>
  <c r="E327" i="8"/>
  <c r="D327" i="8"/>
  <c r="G327" i="8"/>
  <c r="C327" i="8"/>
  <c r="E326" i="8"/>
  <c r="D326" i="8"/>
  <c r="C326" i="8"/>
  <c r="G326" i="8"/>
  <c r="F326" i="8"/>
  <c r="J326" i="8"/>
  <c r="H326" i="8"/>
  <c r="E325" i="8"/>
  <c r="D325" i="8"/>
  <c r="C325" i="8"/>
  <c r="J325" i="8"/>
  <c r="H325" i="8"/>
  <c r="G325" i="8"/>
  <c r="F325" i="8"/>
  <c r="F324" i="8"/>
  <c r="E324" i="8"/>
  <c r="D324" i="8"/>
  <c r="C324" i="8"/>
  <c r="J324" i="8"/>
  <c r="H324" i="8"/>
  <c r="G324" i="8"/>
  <c r="F323" i="8"/>
  <c r="J323" i="8"/>
  <c r="H323" i="8"/>
  <c r="E323" i="8"/>
  <c r="D323" i="8"/>
  <c r="C323" i="8"/>
  <c r="G323" i="8"/>
  <c r="J322" i="8"/>
  <c r="H322" i="8"/>
  <c r="G322" i="8"/>
  <c r="F322" i="8"/>
  <c r="E322" i="8"/>
  <c r="D322" i="8"/>
  <c r="C322" i="8"/>
  <c r="D321" i="8"/>
  <c r="C321" i="8"/>
  <c r="E321" i="8"/>
  <c r="F321" i="8"/>
  <c r="G321" i="8"/>
  <c r="H321" i="8"/>
  <c r="J321" i="8"/>
  <c r="H320" i="8"/>
  <c r="E320" i="8"/>
  <c r="D320" i="8"/>
  <c r="C320" i="8"/>
  <c r="G320" i="8"/>
  <c r="J320" i="8"/>
  <c r="F320" i="8"/>
  <c r="J319" i="8"/>
  <c r="H319" i="8"/>
  <c r="G319" i="8"/>
  <c r="F319" i="8"/>
  <c r="E319" i="8"/>
  <c r="D319" i="8"/>
  <c r="C319" i="8"/>
  <c r="J318" i="8"/>
  <c r="H318" i="8"/>
  <c r="F318" i="8"/>
  <c r="E318" i="8"/>
  <c r="D318" i="8"/>
  <c r="C318" i="8"/>
  <c r="G318" i="8"/>
  <c r="G317" i="8"/>
  <c r="F317" i="8"/>
  <c r="D317" i="8"/>
  <c r="C317" i="8"/>
  <c r="E317" i="8"/>
  <c r="J317" i="8"/>
  <c r="H317" i="8"/>
  <c r="C316" i="8"/>
  <c r="D316" i="8"/>
  <c r="E316" i="8"/>
  <c r="F316" i="8"/>
  <c r="G316" i="8"/>
  <c r="H316" i="8"/>
  <c r="J316" i="8"/>
  <c r="F315" i="8"/>
  <c r="H315" i="8"/>
  <c r="C315" i="8"/>
  <c r="D315" i="8"/>
  <c r="E315" i="8"/>
  <c r="G315" i="8"/>
  <c r="J315" i="8"/>
  <c r="D314" i="8"/>
  <c r="E314" i="8"/>
  <c r="F314" i="8"/>
  <c r="G314" i="8"/>
  <c r="J314" i="8"/>
  <c r="H314" i="8"/>
  <c r="C314" i="8"/>
  <c r="H313" i="8"/>
  <c r="G313" i="8"/>
  <c r="F313" i="8"/>
  <c r="E313" i="8"/>
  <c r="C313" i="8"/>
  <c r="D313" i="8"/>
  <c r="J313" i="8"/>
  <c r="C312" i="8"/>
  <c r="J312" i="8"/>
  <c r="D312" i="8"/>
  <c r="E312" i="8"/>
  <c r="F312" i="8"/>
  <c r="G312" i="8"/>
  <c r="H312" i="8"/>
  <c r="F311" i="8"/>
  <c r="C311" i="8"/>
  <c r="D311" i="8"/>
  <c r="E311" i="8"/>
  <c r="H311" i="8"/>
  <c r="J311" i="8"/>
  <c r="G311" i="8"/>
  <c r="H310" i="8"/>
  <c r="J310" i="8"/>
  <c r="G310" i="8"/>
  <c r="F310" i="8"/>
  <c r="E310" i="8"/>
  <c r="D310" i="8"/>
  <c r="C310" i="8"/>
  <c r="D309" i="8"/>
  <c r="E309" i="8"/>
  <c r="F309" i="8"/>
  <c r="G309" i="8"/>
  <c r="H309" i="8"/>
  <c r="J309" i="8"/>
  <c r="C309" i="8"/>
  <c r="H308" i="8"/>
  <c r="G308" i="8"/>
  <c r="F308" i="8"/>
  <c r="E308" i="8"/>
  <c r="D308" i="8"/>
  <c r="C308" i="8"/>
  <c r="J308" i="8"/>
  <c r="J307" i="8"/>
  <c r="H307" i="8"/>
  <c r="G307" i="8"/>
  <c r="F307" i="8"/>
  <c r="E307" i="8"/>
  <c r="D307" i="8"/>
  <c r="C307" i="8"/>
  <c r="J306" i="8"/>
  <c r="H306" i="8"/>
  <c r="G306" i="8"/>
  <c r="F306" i="8"/>
  <c r="E306" i="8"/>
  <c r="D306" i="8"/>
  <c r="C306" i="8"/>
  <c r="J305" i="8"/>
  <c r="G305" i="8"/>
  <c r="H305" i="8"/>
  <c r="F305" i="8"/>
  <c r="C305" i="8"/>
  <c r="D305" i="8"/>
  <c r="E305" i="8"/>
  <c r="H304" i="8"/>
  <c r="C304" i="8"/>
  <c r="D304" i="8"/>
  <c r="F304" i="8"/>
  <c r="G304" i="8"/>
  <c r="J304" i="8"/>
  <c r="E304" i="8"/>
  <c r="G303" i="8"/>
  <c r="J303" i="8"/>
  <c r="C303" i="8"/>
  <c r="D303" i="8"/>
  <c r="E303" i="8"/>
  <c r="F303" i="8"/>
  <c r="H303" i="8"/>
  <c r="G302" i="8"/>
  <c r="H302" i="8"/>
  <c r="J302" i="8"/>
  <c r="E302" i="8"/>
  <c r="D302" i="8"/>
  <c r="C302" i="8"/>
  <c r="F302" i="8"/>
  <c r="H301" i="8"/>
  <c r="G301" i="8"/>
  <c r="F301" i="8"/>
  <c r="E301" i="8"/>
  <c r="D301" i="8"/>
  <c r="C301" i="8"/>
  <c r="J301" i="8"/>
  <c r="E300" i="8"/>
  <c r="D300" i="8"/>
  <c r="C300" i="8"/>
  <c r="H300" i="8"/>
  <c r="J300" i="8"/>
  <c r="G300" i="8"/>
  <c r="F300" i="8"/>
  <c r="F299" i="8"/>
  <c r="E299" i="8"/>
  <c r="G299" i="8"/>
  <c r="J299" i="8"/>
  <c r="H299" i="8"/>
  <c r="C299" i="8"/>
  <c r="D299" i="8"/>
  <c r="H298" i="8"/>
  <c r="C298" i="8"/>
  <c r="D298" i="8"/>
  <c r="E298" i="8"/>
  <c r="F298" i="8"/>
  <c r="G298" i="8"/>
  <c r="J298" i="8"/>
  <c r="G297" i="8"/>
  <c r="F297" i="8"/>
  <c r="D297" i="8"/>
  <c r="C297" i="8"/>
  <c r="J297" i="8"/>
  <c r="H297" i="8"/>
  <c r="E297" i="8"/>
  <c r="J296" i="8"/>
  <c r="H296" i="8"/>
  <c r="G296" i="8"/>
  <c r="C296" i="8"/>
  <c r="D296" i="8"/>
  <c r="E296" i="8"/>
  <c r="F296" i="8"/>
  <c r="C295" i="8"/>
  <c r="D295" i="8"/>
  <c r="E295" i="8"/>
  <c r="F295" i="8"/>
  <c r="G295" i="8"/>
  <c r="H295" i="8"/>
  <c r="J295" i="8"/>
  <c r="J294" i="8"/>
  <c r="C294" i="8"/>
  <c r="D294" i="8"/>
  <c r="E294" i="8"/>
  <c r="F294" i="8"/>
  <c r="G294" i="8"/>
  <c r="H294" i="8"/>
  <c r="C293" i="8"/>
  <c r="D293" i="8"/>
  <c r="E293" i="8"/>
  <c r="F293" i="8"/>
  <c r="G293" i="8"/>
  <c r="H293" i="8"/>
  <c r="J293" i="8"/>
  <c r="G292" i="8"/>
  <c r="H292" i="8"/>
  <c r="J292" i="8"/>
  <c r="D292" i="8"/>
  <c r="C292" i="8"/>
  <c r="E292" i="8"/>
  <c r="F292" i="8"/>
  <c r="C291" i="8"/>
  <c r="D291" i="8"/>
  <c r="F291" i="8"/>
  <c r="G291" i="8"/>
  <c r="E291" i="8"/>
  <c r="H291" i="8"/>
  <c r="J291" i="8"/>
  <c r="J290" i="8"/>
  <c r="H290" i="8"/>
  <c r="G290" i="8"/>
  <c r="F290" i="8"/>
  <c r="E290" i="8"/>
  <c r="D290" i="8"/>
  <c r="C290" i="8"/>
  <c r="J289" i="8"/>
  <c r="H289" i="8"/>
  <c r="G289" i="8"/>
  <c r="F289" i="8"/>
  <c r="D289" i="8"/>
  <c r="E289" i="8"/>
  <c r="C289" i="8"/>
  <c r="C288" i="8"/>
  <c r="D288" i="8"/>
  <c r="E288" i="8"/>
  <c r="F288" i="8"/>
  <c r="G288" i="8"/>
  <c r="H288" i="8"/>
  <c r="J288" i="8"/>
  <c r="F287" i="8"/>
  <c r="G287" i="8"/>
  <c r="H287" i="8"/>
  <c r="J287" i="8"/>
  <c r="D287" i="8"/>
  <c r="E287" i="8"/>
  <c r="C287" i="8"/>
  <c r="F286" i="8"/>
  <c r="E286" i="8"/>
  <c r="D286" i="8"/>
  <c r="C286" i="8"/>
  <c r="H286" i="8"/>
  <c r="J286" i="8"/>
  <c r="G286" i="8"/>
  <c r="J285" i="8"/>
  <c r="H285" i="8"/>
  <c r="G285" i="8"/>
  <c r="F285" i="8"/>
  <c r="E285" i="8"/>
  <c r="D285" i="8"/>
  <c r="C285" i="8"/>
  <c r="J284" i="8"/>
  <c r="H284" i="8"/>
  <c r="G284" i="8"/>
  <c r="F284" i="8"/>
  <c r="E284" i="8"/>
  <c r="D284" i="8"/>
  <c r="C284" i="8"/>
  <c r="J283" i="8"/>
  <c r="H283" i="8"/>
  <c r="G283" i="8"/>
  <c r="F283" i="8"/>
  <c r="E283" i="8"/>
  <c r="D283" i="8"/>
  <c r="C283" i="8"/>
  <c r="D282" i="8"/>
  <c r="C282" i="8"/>
  <c r="J282" i="8"/>
  <c r="H282" i="8"/>
  <c r="G282" i="8"/>
  <c r="F282" i="8"/>
  <c r="E282" i="8"/>
  <c r="F281" i="8"/>
  <c r="H281" i="8"/>
  <c r="G281" i="8"/>
  <c r="C281" i="8"/>
  <c r="J281" i="8"/>
  <c r="D281" i="8"/>
  <c r="E281" i="8"/>
  <c r="F280" i="8"/>
  <c r="E280" i="8"/>
  <c r="D280" i="8"/>
  <c r="C280" i="8"/>
  <c r="G280" i="8"/>
  <c r="H280" i="8"/>
  <c r="J280" i="8"/>
  <c r="E279" i="8"/>
  <c r="D279" i="8"/>
  <c r="H279" i="8"/>
  <c r="C279" i="8"/>
  <c r="F279" i="8"/>
  <c r="G279" i="8"/>
  <c r="J279" i="8"/>
  <c r="J278" i="8"/>
  <c r="H278" i="8"/>
  <c r="G278" i="8"/>
  <c r="F278" i="8"/>
  <c r="E278" i="8"/>
  <c r="D278" i="8"/>
  <c r="C278" i="8"/>
  <c r="G277" i="8"/>
  <c r="F277" i="8"/>
  <c r="J277" i="8"/>
  <c r="C277" i="8"/>
  <c r="D277" i="8"/>
  <c r="E277" i="8"/>
  <c r="H277" i="8"/>
  <c r="H276" i="8"/>
  <c r="C276" i="8"/>
  <c r="D276" i="8"/>
  <c r="E276" i="8"/>
  <c r="F276" i="8"/>
  <c r="G276" i="8"/>
  <c r="J276" i="8"/>
  <c r="F275" i="8"/>
  <c r="G275" i="8"/>
  <c r="J275" i="8"/>
  <c r="H275" i="8"/>
  <c r="C275" i="8"/>
  <c r="D275" i="8"/>
  <c r="E275" i="8"/>
  <c r="E274" i="8"/>
  <c r="D274" i="8"/>
  <c r="C274" i="8"/>
  <c r="F274" i="8"/>
  <c r="J274" i="8"/>
  <c r="H274" i="8"/>
  <c r="G274" i="8"/>
  <c r="E273" i="8"/>
  <c r="C273" i="8"/>
  <c r="D273" i="8"/>
  <c r="H273" i="8"/>
  <c r="G273" i="8"/>
  <c r="F273" i="8"/>
  <c r="J273" i="8"/>
  <c r="C272" i="8"/>
  <c r="D272" i="8"/>
  <c r="F272" i="8"/>
  <c r="G272" i="8"/>
  <c r="H272" i="8"/>
  <c r="J272" i="8"/>
  <c r="E272" i="8"/>
  <c r="F271" i="8"/>
  <c r="E271" i="8"/>
  <c r="D271" i="8"/>
  <c r="C271" i="8"/>
  <c r="J271" i="8"/>
  <c r="H271" i="8"/>
  <c r="G271" i="8"/>
  <c r="D270" i="8"/>
  <c r="C270" i="8"/>
  <c r="G270" i="8"/>
  <c r="H270" i="8"/>
  <c r="J270" i="8"/>
  <c r="F270" i="8"/>
  <c r="E270" i="8"/>
  <c r="C269" i="8"/>
  <c r="D269" i="8"/>
  <c r="E269" i="8"/>
  <c r="F269" i="8"/>
  <c r="G269" i="8"/>
  <c r="H269" i="8"/>
  <c r="J269" i="8"/>
  <c r="C268" i="8"/>
  <c r="D268" i="8"/>
  <c r="E268" i="8"/>
  <c r="G268" i="8"/>
  <c r="J268" i="8"/>
  <c r="H268" i="8"/>
  <c r="F268" i="8"/>
  <c r="D267" i="8"/>
  <c r="C267" i="8"/>
  <c r="J267" i="8"/>
  <c r="G267" i="8"/>
  <c r="H267" i="8"/>
  <c r="F267" i="8"/>
  <c r="E267" i="8"/>
  <c r="H266" i="8"/>
  <c r="J266" i="8"/>
  <c r="C266" i="8"/>
  <c r="D266" i="8"/>
  <c r="E266" i="8"/>
  <c r="F266" i="8"/>
  <c r="G266" i="8"/>
  <c r="J265" i="8"/>
  <c r="H265" i="8"/>
  <c r="G265" i="8"/>
  <c r="F265" i="8"/>
  <c r="E265" i="8"/>
  <c r="D265" i="8"/>
  <c r="C265" i="8"/>
  <c r="J264" i="8"/>
  <c r="D264" i="8"/>
  <c r="C264" i="8"/>
  <c r="G264" i="8"/>
  <c r="E264" i="8"/>
  <c r="F264" i="8"/>
  <c r="H264" i="8"/>
  <c r="J263" i="8"/>
  <c r="H263" i="8"/>
  <c r="G263" i="8"/>
  <c r="D263" i="8"/>
  <c r="E263" i="8"/>
  <c r="F263" i="8"/>
  <c r="C263" i="8"/>
  <c r="D262" i="8"/>
  <c r="C262" i="8"/>
  <c r="F262" i="8"/>
  <c r="H262" i="8"/>
  <c r="E262" i="8"/>
  <c r="J262" i="8"/>
  <c r="G262" i="8"/>
  <c r="J261" i="8"/>
  <c r="D261" i="8"/>
  <c r="C261" i="8"/>
  <c r="E261" i="8"/>
  <c r="F261" i="8"/>
  <c r="G261" i="8"/>
  <c r="H261" i="8"/>
  <c r="E260" i="8"/>
  <c r="F260" i="8"/>
  <c r="G260" i="8"/>
  <c r="H260" i="8"/>
  <c r="J260" i="8"/>
  <c r="C260" i="8"/>
  <c r="D260" i="8"/>
  <c r="H259" i="8"/>
  <c r="G259" i="8"/>
  <c r="D259" i="8"/>
  <c r="E259" i="8"/>
  <c r="J259" i="8"/>
  <c r="F259" i="8"/>
  <c r="C259" i="8"/>
  <c r="F258" i="8"/>
  <c r="E258" i="8"/>
  <c r="D258" i="8"/>
  <c r="C258" i="8"/>
  <c r="J258" i="8"/>
  <c r="H258" i="8"/>
  <c r="G258" i="8"/>
  <c r="J257" i="8"/>
  <c r="C257" i="8"/>
  <c r="D257" i="8"/>
  <c r="E257" i="8"/>
  <c r="F257" i="8"/>
  <c r="G257" i="8"/>
  <c r="H257" i="8"/>
  <c r="F256" i="8"/>
  <c r="G256" i="8"/>
  <c r="J256" i="8"/>
  <c r="H256" i="8"/>
  <c r="E256" i="8"/>
  <c r="C256" i="8"/>
  <c r="D256" i="8"/>
  <c r="E255" i="8"/>
  <c r="C255" i="8"/>
  <c r="D255" i="8"/>
  <c r="F255" i="8"/>
  <c r="G255" i="8"/>
  <c r="H255" i="8"/>
  <c r="J255" i="8"/>
  <c r="F254" i="8"/>
  <c r="G254" i="8"/>
  <c r="H254" i="8"/>
  <c r="D254" i="8"/>
  <c r="E254" i="8"/>
  <c r="J254" i="8"/>
  <c r="C254" i="8"/>
  <c r="E253" i="8"/>
  <c r="D253" i="8"/>
  <c r="C253" i="8"/>
  <c r="J253" i="8"/>
  <c r="H253" i="8"/>
  <c r="G253" i="8"/>
  <c r="F253" i="8"/>
  <c r="D252" i="8"/>
  <c r="C252" i="8"/>
  <c r="G252" i="8"/>
  <c r="J252" i="8"/>
  <c r="H252" i="8"/>
  <c r="F252" i="8"/>
  <c r="E252" i="8"/>
  <c r="J251" i="8"/>
  <c r="D251" i="8"/>
  <c r="E251" i="8"/>
  <c r="F251" i="8"/>
  <c r="G251" i="8"/>
  <c r="H251" i="8"/>
  <c r="C251" i="8"/>
  <c r="G250" i="8"/>
  <c r="C250" i="8"/>
  <c r="F250" i="8"/>
  <c r="E250" i="8"/>
  <c r="D250" i="8"/>
  <c r="J250" i="8"/>
  <c r="H250" i="8"/>
  <c r="D249" i="8"/>
  <c r="C249" i="8"/>
  <c r="F249" i="8"/>
  <c r="E249" i="8"/>
  <c r="J249" i="8"/>
  <c r="H249" i="8"/>
  <c r="G249" i="8"/>
  <c r="F248" i="8"/>
  <c r="J248" i="8"/>
  <c r="H248" i="8"/>
  <c r="G248" i="8"/>
  <c r="E248" i="8"/>
  <c r="D248" i="8"/>
  <c r="C248" i="8"/>
  <c r="D247" i="8"/>
  <c r="C247" i="8"/>
  <c r="F247" i="8"/>
  <c r="G247" i="8"/>
  <c r="E247" i="8"/>
  <c r="H247" i="8"/>
  <c r="J247" i="8"/>
  <c r="C246" i="8"/>
  <c r="H246" i="8"/>
  <c r="D246" i="8"/>
  <c r="E246" i="8"/>
  <c r="F246" i="8"/>
  <c r="G246" i="8"/>
  <c r="J246" i="8"/>
  <c r="D245" i="8"/>
  <c r="J245" i="8"/>
  <c r="H245" i="8"/>
  <c r="C245" i="8"/>
  <c r="G245" i="8"/>
  <c r="F245" i="8"/>
  <c r="E245" i="8"/>
  <c r="H244" i="8"/>
  <c r="C244" i="8"/>
  <c r="J244" i="8"/>
  <c r="G244" i="8"/>
  <c r="F244" i="8"/>
  <c r="E244" i="8"/>
  <c r="D244" i="8"/>
  <c r="J243" i="8"/>
  <c r="G243" i="8"/>
  <c r="F243" i="8"/>
  <c r="E243" i="8"/>
  <c r="D243" i="8"/>
  <c r="H243" i="8"/>
  <c r="C243" i="8"/>
  <c r="J242" i="8"/>
  <c r="C242" i="8"/>
  <c r="D242" i="8"/>
  <c r="E242" i="8"/>
  <c r="F242" i="8"/>
  <c r="G242" i="8"/>
  <c r="H242" i="8"/>
  <c r="C241" i="8"/>
  <c r="J241" i="8"/>
  <c r="H241" i="8"/>
  <c r="E241" i="8"/>
  <c r="G241" i="8"/>
  <c r="F241" i="8"/>
  <c r="D241" i="8"/>
  <c r="E240" i="8"/>
  <c r="C240" i="8"/>
  <c r="D240" i="8"/>
  <c r="H240" i="8"/>
  <c r="F240" i="8"/>
  <c r="G240" i="8"/>
  <c r="J240" i="8"/>
  <c r="J239" i="8"/>
  <c r="H239" i="8"/>
  <c r="E239" i="8"/>
  <c r="G239" i="8"/>
  <c r="F239" i="8"/>
  <c r="C239" i="8"/>
  <c r="D239" i="8"/>
  <c r="J238" i="8"/>
  <c r="H238" i="8"/>
  <c r="G238" i="8"/>
  <c r="F238" i="8"/>
  <c r="D238" i="8"/>
  <c r="C238" i="8"/>
  <c r="E238" i="8"/>
  <c r="H237" i="8"/>
  <c r="G237" i="8"/>
  <c r="F237" i="8"/>
  <c r="E237" i="8"/>
  <c r="J237" i="8"/>
  <c r="D237" i="8"/>
  <c r="C237" i="8"/>
  <c r="C236" i="8"/>
  <c r="D236" i="8"/>
  <c r="E236" i="8"/>
  <c r="J236" i="8"/>
  <c r="H236" i="8"/>
  <c r="G236" i="8"/>
  <c r="F236" i="8"/>
  <c r="E235" i="8"/>
  <c r="C235" i="8"/>
  <c r="D235" i="8"/>
  <c r="F235" i="8"/>
  <c r="G235" i="8"/>
  <c r="H235" i="8"/>
  <c r="J235" i="8"/>
  <c r="G234" i="8"/>
  <c r="F234" i="8"/>
  <c r="H234" i="8"/>
  <c r="E234" i="8"/>
  <c r="C234" i="8"/>
  <c r="D234" i="8"/>
  <c r="J234" i="8"/>
  <c r="G233" i="8"/>
  <c r="D233" i="8"/>
  <c r="C233" i="8"/>
  <c r="F233" i="8"/>
  <c r="E233" i="8"/>
  <c r="H233" i="8"/>
  <c r="J233" i="8"/>
  <c r="F232" i="8"/>
  <c r="E232" i="8"/>
  <c r="C232" i="8"/>
  <c r="J232" i="8"/>
  <c r="H232" i="8"/>
  <c r="G232" i="8"/>
  <c r="D232" i="8"/>
  <c r="F231" i="8"/>
  <c r="G231" i="8"/>
  <c r="E231" i="8"/>
  <c r="D231" i="8"/>
  <c r="J231" i="8"/>
  <c r="H231" i="8"/>
  <c r="C231" i="8"/>
  <c r="J230" i="8"/>
  <c r="H230" i="8"/>
  <c r="G230" i="8"/>
  <c r="F230" i="8"/>
  <c r="E230" i="8"/>
  <c r="D230" i="8"/>
  <c r="C230" i="8"/>
  <c r="J229" i="8"/>
  <c r="F229" i="8"/>
  <c r="H229" i="8"/>
  <c r="G229" i="8"/>
  <c r="E229" i="8"/>
  <c r="D229" i="8"/>
  <c r="C229" i="8"/>
  <c r="D228" i="8"/>
  <c r="E228" i="8"/>
  <c r="C228" i="8"/>
  <c r="J228" i="8"/>
  <c r="H228" i="8"/>
  <c r="G228" i="8"/>
  <c r="F228" i="8"/>
  <c r="F227" i="8"/>
  <c r="E227" i="8"/>
  <c r="D227" i="8"/>
  <c r="C227" i="8"/>
  <c r="J227" i="8"/>
  <c r="H227" i="8"/>
  <c r="G227" i="8"/>
  <c r="G226" i="8"/>
  <c r="C226" i="8"/>
  <c r="D226" i="8"/>
  <c r="E226" i="8"/>
  <c r="F226" i="8"/>
  <c r="H226" i="8"/>
  <c r="J226" i="8"/>
  <c r="C225" i="8"/>
  <c r="D225" i="8"/>
  <c r="J225" i="8"/>
  <c r="H225" i="8"/>
  <c r="G225" i="8"/>
  <c r="F225" i="8"/>
  <c r="E225" i="8"/>
  <c r="J224" i="8"/>
  <c r="G224" i="8"/>
  <c r="F224" i="8"/>
  <c r="E224" i="8"/>
  <c r="D224" i="8"/>
  <c r="C224" i="8"/>
  <c r="H224" i="8"/>
  <c r="J223" i="8"/>
  <c r="H223" i="8"/>
  <c r="G223" i="8"/>
  <c r="F223" i="8"/>
  <c r="E223" i="8"/>
  <c r="D223" i="8"/>
  <c r="C223" i="8"/>
  <c r="E222" i="8"/>
  <c r="J222" i="8"/>
  <c r="H222" i="8"/>
  <c r="G222" i="8"/>
  <c r="F222" i="8"/>
  <c r="D222" i="8"/>
  <c r="C222" i="8"/>
  <c r="J221" i="8"/>
  <c r="H221" i="8"/>
  <c r="D221" i="8"/>
  <c r="C221" i="8"/>
  <c r="E221" i="8"/>
  <c r="F221" i="8"/>
  <c r="G221" i="8"/>
  <c r="H220" i="8"/>
  <c r="J220" i="8"/>
  <c r="G220" i="8"/>
  <c r="C220" i="8"/>
  <c r="D220" i="8"/>
  <c r="E220" i="8"/>
  <c r="F220" i="8"/>
  <c r="F219" i="8"/>
  <c r="E219" i="8"/>
  <c r="C219" i="8"/>
  <c r="D219" i="8"/>
  <c r="J219" i="8"/>
  <c r="H219" i="8"/>
  <c r="G219" i="8"/>
  <c r="D218" i="8"/>
  <c r="C218" i="8"/>
  <c r="F218" i="8"/>
  <c r="J218" i="8"/>
  <c r="H218" i="8"/>
  <c r="G218" i="8"/>
  <c r="E218" i="8"/>
  <c r="H217" i="8"/>
  <c r="J217" i="8"/>
  <c r="C217" i="8"/>
  <c r="D217" i="8"/>
  <c r="E217" i="8"/>
  <c r="G217" i="8"/>
  <c r="F217" i="8"/>
  <c r="F216" i="8"/>
  <c r="E216" i="8"/>
  <c r="C216" i="8"/>
  <c r="D216" i="8"/>
  <c r="J216" i="8"/>
  <c r="H216" i="8"/>
  <c r="G216" i="8"/>
  <c r="J215" i="8"/>
  <c r="D215" i="8"/>
  <c r="C215" i="8"/>
  <c r="E215" i="8"/>
  <c r="F215" i="8"/>
  <c r="G215" i="8"/>
  <c r="H215" i="8"/>
  <c r="D214" i="8"/>
  <c r="C214" i="8"/>
  <c r="J214" i="8"/>
  <c r="H214" i="8"/>
  <c r="G214" i="8"/>
  <c r="F214" i="8"/>
  <c r="E214" i="8"/>
  <c r="C213" i="8"/>
  <c r="E213" i="8"/>
  <c r="D213" i="8"/>
  <c r="J213" i="8"/>
  <c r="H213" i="8"/>
  <c r="G213" i="8"/>
  <c r="F213" i="8"/>
  <c r="D212" i="8"/>
  <c r="H212" i="8"/>
  <c r="E212" i="8"/>
  <c r="J212" i="8"/>
  <c r="F212" i="8"/>
  <c r="G212" i="8"/>
  <c r="C212" i="8"/>
  <c r="C211" i="8"/>
  <c r="D211" i="8"/>
  <c r="E211" i="8"/>
  <c r="F211" i="8"/>
  <c r="G211" i="8"/>
  <c r="H211" i="8"/>
  <c r="J211" i="8"/>
  <c r="E210" i="8"/>
  <c r="C210" i="8"/>
  <c r="J210" i="8"/>
  <c r="F210" i="8"/>
  <c r="G210" i="8"/>
  <c r="H210" i="8"/>
  <c r="D210" i="8"/>
  <c r="D209" i="8"/>
  <c r="E209" i="8"/>
  <c r="F209" i="8"/>
  <c r="G209" i="8"/>
  <c r="H209" i="8"/>
  <c r="J209" i="8"/>
  <c r="C209" i="8"/>
  <c r="C208" i="8"/>
  <c r="H208" i="8"/>
  <c r="J208" i="8"/>
  <c r="G208" i="8"/>
  <c r="F208" i="8"/>
  <c r="E208" i="8"/>
  <c r="D208" i="8"/>
  <c r="J207" i="8"/>
  <c r="H207" i="8"/>
  <c r="G207" i="8"/>
  <c r="F207" i="8"/>
  <c r="E207" i="8"/>
  <c r="D207" i="8"/>
  <c r="C207" i="8"/>
  <c r="J206" i="8"/>
  <c r="H206" i="8"/>
  <c r="G206" i="8"/>
  <c r="F206" i="8"/>
  <c r="E206" i="8"/>
  <c r="D206" i="8"/>
  <c r="C206" i="8"/>
  <c r="G205" i="8"/>
  <c r="J205" i="8"/>
  <c r="H205" i="8"/>
  <c r="F205" i="8"/>
  <c r="E205" i="8"/>
  <c r="D205" i="8"/>
  <c r="C205" i="8"/>
  <c r="J204" i="8"/>
  <c r="H204" i="8"/>
  <c r="G204" i="8"/>
  <c r="F204" i="8"/>
  <c r="E204" i="8"/>
  <c r="D204" i="8"/>
  <c r="C204" i="8"/>
  <c r="C203" i="8"/>
  <c r="J203" i="8"/>
  <c r="H203" i="8"/>
  <c r="G203" i="8"/>
  <c r="F203" i="8"/>
  <c r="E203" i="8"/>
  <c r="D203" i="8"/>
  <c r="D202" i="8"/>
  <c r="J202" i="8"/>
  <c r="H202" i="8"/>
  <c r="G202" i="8"/>
  <c r="F202" i="8"/>
  <c r="E202" i="8"/>
  <c r="C202" i="8"/>
  <c r="D201" i="8"/>
  <c r="F201" i="8"/>
  <c r="E201" i="8"/>
  <c r="C201" i="8"/>
  <c r="J201" i="8"/>
  <c r="H201" i="8"/>
  <c r="G201" i="8"/>
  <c r="H200" i="8"/>
  <c r="F200" i="8"/>
  <c r="D200" i="8"/>
  <c r="C200" i="8"/>
  <c r="E200" i="8"/>
  <c r="J200" i="8"/>
  <c r="G200" i="8"/>
  <c r="H199" i="8"/>
  <c r="C199" i="8"/>
  <c r="E199" i="8"/>
  <c r="F199" i="8"/>
  <c r="G199" i="8"/>
  <c r="J199" i="8"/>
  <c r="D199" i="8"/>
  <c r="D198" i="8"/>
  <c r="C198" i="8"/>
  <c r="H198" i="8"/>
  <c r="J198" i="8"/>
  <c r="F198" i="8"/>
  <c r="E198" i="8"/>
  <c r="G198" i="8"/>
  <c r="D197" i="8"/>
  <c r="C197" i="8"/>
  <c r="F197" i="8"/>
  <c r="E197" i="8"/>
  <c r="J197" i="8"/>
  <c r="H197" i="8"/>
  <c r="G197" i="8"/>
  <c r="J196" i="8"/>
  <c r="H196" i="8"/>
  <c r="F196" i="8"/>
  <c r="E196" i="8"/>
  <c r="G196" i="8"/>
  <c r="C196" i="8"/>
  <c r="D196" i="8"/>
  <c r="E195" i="8"/>
  <c r="D195" i="8"/>
  <c r="C195" i="8"/>
  <c r="H195" i="8"/>
  <c r="J195" i="8"/>
  <c r="G195" i="8"/>
  <c r="F195" i="8"/>
  <c r="J194" i="8"/>
  <c r="H194" i="8"/>
  <c r="F194" i="8"/>
  <c r="E194" i="8"/>
  <c r="D194" i="8"/>
  <c r="C194" i="8"/>
  <c r="G194" i="8"/>
  <c r="F193" i="8"/>
  <c r="E193" i="8"/>
  <c r="J193" i="8"/>
  <c r="D193" i="8"/>
  <c r="C193" i="8"/>
  <c r="H193" i="8"/>
  <c r="G193" i="8"/>
  <c r="F192" i="8"/>
  <c r="G192" i="8"/>
  <c r="H192" i="8"/>
  <c r="J192" i="8"/>
  <c r="C192" i="8"/>
  <c r="D192" i="8"/>
  <c r="E192" i="8"/>
  <c r="E191" i="8"/>
  <c r="D191" i="8"/>
  <c r="C191" i="8"/>
  <c r="J191" i="8"/>
  <c r="H191" i="8"/>
  <c r="G191" i="8"/>
  <c r="F191" i="8"/>
  <c r="J190" i="8"/>
  <c r="C190" i="8"/>
  <c r="D190" i="8"/>
  <c r="E190" i="8"/>
  <c r="H190" i="8"/>
  <c r="F190" i="8"/>
  <c r="G190" i="8"/>
  <c r="C189" i="8"/>
  <c r="D189" i="8"/>
  <c r="E189" i="8"/>
  <c r="F189" i="8"/>
  <c r="G189" i="8"/>
  <c r="H189" i="8"/>
  <c r="J189" i="8"/>
  <c r="E188" i="8"/>
  <c r="D188" i="8"/>
  <c r="C188" i="8"/>
  <c r="F188" i="8"/>
  <c r="J188" i="8"/>
  <c r="H188" i="8"/>
  <c r="G188" i="8"/>
  <c r="J187" i="8"/>
  <c r="H187" i="8"/>
  <c r="D187" i="8"/>
  <c r="G187" i="8"/>
  <c r="F187" i="8"/>
  <c r="E187" i="8"/>
  <c r="C187" i="8"/>
  <c r="C186" i="8"/>
  <c r="D186" i="8"/>
  <c r="E186" i="8"/>
  <c r="F186" i="8"/>
  <c r="G186" i="8"/>
  <c r="H186" i="8"/>
  <c r="J186" i="8"/>
  <c r="G185" i="8"/>
  <c r="C185" i="8"/>
  <c r="D185" i="8"/>
  <c r="E185" i="8"/>
  <c r="F185" i="8"/>
  <c r="H185" i="8"/>
  <c r="J185" i="8"/>
  <c r="G184" i="8"/>
  <c r="F184" i="8"/>
  <c r="E184" i="8"/>
  <c r="D184" i="8"/>
  <c r="C184" i="8"/>
  <c r="J184" i="8"/>
  <c r="H184" i="8"/>
  <c r="F183" i="8"/>
  <c r="E183" i="8"/>
  <c r="D183" i="8"/>
  <c r="G183" i="8"/>
  <c r="C183" i="8"/>
  <c r="J183" i="8"/>
  <c r="H183" i="8"/>
  <c r="C182" i="8"/>
  <c r="D182" i="8"/>
  <c r="E182" i="8"/>
  <c r="F182" i="8"/>
  <c r="G182" i="8"/>
  <c r="H182" i="8"/>
  <c r="J182" i="8"/>
  <c r="C181" i="8"/>
  <c r="D181" i="8"/>
  <c r="F181" i="8"/>
  <c r="G181" i="8"/>
  <c r="H181" i="8"/>
  <c r="J181" i="8"/>
  <c r="E181" i="8"/>
  <c r="D180" i="8"/>
  <c r="E180" i="8"/>
  <c r="F180" i="8"/>
  <c r="G180" i="8"/>
  <c r="H180" i="8"/>
  <c r="J180" i="8"/>
  <c r="C180" i="8"/>
  <c r="F179" i="8"/>
  <c r="E179" i="8"/>
  <c r="D179" i="8"/>
  <c r="C179" i="8"/>
  <c r="J179" i="8"/>
  <c r="H179" i="8"/>
  <c r="G179" i="8"/>
  <c r="F178" i="8"/>
  <c r="G178" i="8"/>
  <c r="H178" i="8"/>
  <c r="J178" i="8"/>
  <c r="C178" i="8"/>
  <c r="D178" i="8"/>
  <c r="E178" i="8"/>
  <c r="C177" i="8"/>
  <c r="D177" i="8"/>
  <c r="E177" i="8"/>
  <c r="F177" i="8"/>
  <c r="G177" i="8"/>
  <c r="H177" i="8"/>
  <c r="J177" i="8"/>
  <c r="J176" i="8"/>
  <c r="H176" i="8"/>
  <c r="F176" i="8"/>
  <c r="E176" i="8"/>
  <c r="D176" i="8"/>
  <c r="C176" i="8"/>
  <c r="G176" i="8"/>
  <c r="H175" i="8"/>
  <c r="E175" i="8"/>
  <c r="G175" i="8"/>
  <c r="F175" i="8"/>
  <c r="J175" i="8"/>
  <c r="C175" i="8"/>
  <c r="D175" i="8"/>
  <c r="G174" i="8"/>
  <c r="F174" i="8"/>
  <c r="E174" i="8"/>
  <c r="D174" i="8"/>
  <c r="C174" i="8"/>
  <c r="H174" i="8"/>
  <c r="J174" i="8"/>
  <c r="F173" i="8"/>
  <c r="G173" i="8"/>
  <c r="H173" i="8"/>
  <c r="J173" i="8"/>
  <c r="C173" i="8"/>
  <c r="D173" i="8"/>
  <c r="E173" i="8"/>
  <c r="J172" i="8"/>
  <c r="H172" i="8"/>
  <c r="G172" i="8"/>
  <c r="E172" i="8"/>
  <c r="D172" i="8"/>
  <c r="C172" i="8"/>
  <c r="F172" i="8"/>
  <c r="J171" i="8"/>
  <c r="H171" i="8"/>
  <c r="G171" i="8"/>
  <c r="F171" i="8"/>
  <c r="E171" i="8"/>
  <c r="D171" i="8"/>
  <c r="C171" i="8"/>
  <c r="J170" i="8"/>
  <c r="H170" i="8"/>
  <c r="G170" i="8"/>
  <c r="F170" i="8"/>
  <c r="E170" i="8"/>
  <c r="D170" i="8"/>
  <c r="C170" i="8"/>
  <c r="J169" i="8"/>
  <c r="H169" i="8"/>
  <c r="G169" i="8"/>
  <c r="F169" i="8"/>
  <c r="E169" i="8"/>
  <c r="D169" i="8"/>
  <c r="C169" i="8"/>
  <c r="J168" i="8"/>
  <c r="F168" i="8"/>
  <c r="E168" i="8"/>
  <c r="D168" i="8"/>
  <c r="C168" i="8"/>
  <c r="H168" i="8"/>
  <c r="G168" i="8"/>
  <c r="H167" i="8"/>
  <c r="C167" i="8"/>
  <c r="D167" i="8"/>
  <c r="E167" i="8"/>
  <c r="F167" i="8"/>
  <c r="G167" i="8"/>
  <c r="J167" i="8"/>
  <c r="E166" i="8"/>
  <c r="D166" i="8"/>
  <c r="C166" i="8"/>
  <c r="J166" i="8"/>
  <c r="H166" i="8"/>
  <c r="G166" i="8"/>
  <c r="F166" i="8"/>
  <c r="J165" i="8"/>
  <c r="H165" i="8"/>
  <c r="G165" i="8"/>
  <c r="F165" i="8"/>
  <c r="C165" i="8"/>
  <c r="D165" i="8"/>
  <c r="E165" i="8"/>
  <c r="C164" i="8"/>
  <c r="D164" i="8"/>
  <c r="E164" i="8"/>
  <c r="F164" i="8"/>
  <c r="G164" i="8"/>
  <c r="H164" i="8"/>
  <c r="J164" i="8"/>
  <c r="E163" i="8"/>
  <c r="D163" i="8"/>
  <c r="C163" i="8"/>
  <c r="H163" i="8"/>
  <c r="J163" i="8"/>
  <c r="G163" i="8"/>
  <c r="F163" i="8"/>
  <c r="J162" i="8"/>
  <c r="H162" i="8"/>
  <c r="F162" i="8"/>
  <c r="E162" i="8"/>
  <c r="D162" i="8"/>
  <c r="C162" i="8"/>
  <c r="G162" i="8"/>
  <c r="F161" i="8"/>
  <c r="D161" i="8"/>
  <c r="C161" i="8"/>
  <c r="E161" i="8"/>
  <c r="J161" i="8"/>
  <c r="H161" i="8"/>
  <c r="G161" i="8"/>
  <c r="D160" i="8"/>
  <c r="C160" i="8"/>
  <c r="E160" i="8"/>
  <c r="F160" i="8"/>
  <c r="G160" i="8"/>
  <c r="H160" i="8"/>
  <c r="J160" i="8"/>
  <c r="F159" i="8"/>
  <c r="J159" i="8"/>
  <c r="H159" i="8"/>
  <c r="G159" i="8"/>
  <c r="E159" i="8"/>
  <c r="D159" i="8"/>
  <c r="C159" i="8"/>
  <c r="J158" i="8"/>
  <c r="H158" i="8"/>
  <c r="G158" i="8"/>
  <c r="F158" i="8"/>
  <c r="E158" i="8"/>
  <c r="D158" i="8"/>
  <c r="C158" i="8"/>
  <c r="C157" i="8"/>
  <c r="J157" i="8"/>
  <c r="H157" i="8"/>
  <c r="G157" i="8"/>
  <c r="F157" i="8"/>
  <c r="E157" i="8"/>
  <c r="D157" i="8"/>
  <c r="H156" i="8"/>
  <c r="J156" i="8"/>
  <c r="D156" i="8"/>
  <c r="G156" i="8"/>
  <c r="C156" i="8"/>
  <c r="E156" i="8"/>
  <c r="F156" i="8"/>
  <c r="G155" i="8"/>
  <c r="C155" i="8"/>
  <c r="D155" i="8"/>
  <c r="H155" i="8"/>
  <c r="E155" i="8"/>
  <c r="J155" i="8"/>
  <c r="F155" i="8"/>
  <c r="G154" i="8"/>
  <c r="J154" i="8"/>
  <c r="C154" i="8"/>
  <c r="D154" i="8"/>
  <c r="E154" i="8"/>
  <c r="F154" i="8"/>
  <c r="H154" i="8"/>
  <c r="C153" i="8"/>
  <c r="D153" i="8"/>
  <c r="E153" i="8"/>
  <c r="F153" i="8"/>
  <c r="G153" i="8"/>
  <c r="H153" i="8"/>
  <c r="J153" i="8"/>
  <c r="C152" i="8"/>
  <c r="D152" i="8"/>
  <c r="E152" i="8"/>
  <c r="F152" i="8"/>
  <c r="G152" i="8"/>
  <c r="H152" i="8"/>
  <c r="J152" i="8"/>
  <c r="H151" i="8"/>
  <c r="J151" i="8"/>
  <c r="F151" i="8"/>
  <c r="G151" i="8"/>
  <c r="E151" i="8"/>
  <c r="D151" i="8"/>
  <c r="C151" i="8"/>
  <c r="F150" i="8"/>
  <c r="E150" i="8"/>
  <c r="C150" i="8"/>
  <c r="D150" i="8"/>
  <c r="G150" i="8"/>
  <c r="J150" i="8"/>
  <c r="H150" i="8"/>
  <c r="J149" i="8"/>
  <c r="C149" i="8"/>
  <c r="D149" i="8"/>
  <c r="E149" i="8"/>
  <c r="F149" i="8"/>
  <c r="G149" i="8"/>
  <c r="H149" i="8"/>
  <c r="H148" i="8"/>
  <c r="F148" i="8"/>
  <c r="E148" i="8"/>
  <c r="C148" i="8"/>
  <c r="D148" i="8"/>
  <c r="G148" i="8"/>
  <c r="J148" i="8"/>
  <c r="J147" i="8"/>
  <c r="H147" i="8"/>
  <c r="G147" i="8"/>
  <c r="C147" i="8"/>
  <c r="D147" i="8"/>
  <c r="E147" i="8"/>
  <c r="F147" i="8"/>
  <c r="G146" i="8"/>
  <c r="F146" i="8"/>
  <c r="E146" i="8"/>
  <c r="D146" i="8"/>
  <c r="C146" i="8"/>
  <c r="J146" i="8"/>
  <c r="H146" i="8"/>
  <c r="C145" i="8"/>
  <c r="D145" i="8"/>
  <c r="E145" i="8"/>
  <c r="F145" i="8"/>
  <c r="G145" i="8"/>
  <c r="H145" i="8"/>
  <c r="J145" i="8"/>
  <c r="C144" i="8"/>
  <c r="D144" i="8"/>
  <c r="H144" i="8"/>
  <c r="E144" i="8"/>
  <c r="F144" i="8"/>
  <c r="G144" i="8"/>
  <c r="J144" i="8"/>
  <c r="G143" i="8"/>
  <c r="F143" i="8"/>
  <c r="E143" i="8"/>
  <c r="D143" i="8"/>
  <c r="C143" i="8"/>
  <c r="J143" i="8"/>
  <c r="H143" i="8"/>
  <c r="J142" i="8"/>
  <c r="H142" i="8"/>
  <c r="G142" i="8"/>
  <c r="E142" i="8"/>
  <c r="D142" i="8"/>
  <c r="C142" i="8"/>
  <c r="F142" i="8"/>
  <c r="J141" i="8"/>
  <c r="H141" i="8"/>
  <c r="G141" i="8"/>
  <c r="F141" i="8"/>
  <c r="E141" i="8"/>
  <c r="D141" i="8"/>
  <c r="C141" i="8"/>
  <c r="J140" i="8"/>
  <c r="H140" i="8"/>
  <c r="G140" i="8"/>
  <c r="F140" i="8"/>
  <c r="E140" i="8"/>
  <c r="C140" i="8"/>
  <c r="D140" i="8"/>
  <c r="G139" i="8"/>
  <c r="C139" i="8"/>
  <c r="D139" i="8"/>
  <c r="E139" i="8"/>
  <c r="F139" i="8"/>
  <c r="J139" i="8"/>
  <c r="H139" i="8"/>
  <c r="E138" i="8"/>
  <c r="D138" i="8"/>
  <c r="C138" i="8"/>
  <c r="J138" i="8"/>
  <c r="G138" i="8"/>
  <c r="F138" i="8"/>
  <c r="H138" i="8"/>
  <c r="J137" i="8"/>
  <c r="H137" i="8"/>
  <c r="G137" i="8"/>
  <c r="D137" i="8"/>
  <c r="C137" i="8"/>
  <c r="E137" i="8"/>
  <c r="F137" i="8"/>
  <c r="E136" i="8"/>
  <c r="D136" i="8"/>
  <c r="C136" i="8"/>
  <c r="H136" i="8"/>
  <c r="F136" i="8"/>
  <c r="J136" i="8"/>
  <c r="G136" i="8"/>
  <c r="F135" i="8"/>
  <c r="G135" i="8"/>
  <c r="H135" i="8"/>
  <c r="J135" i="8"/>
  <c r="C135" i="8"/>
  <c r="D135" i="8"/>
  <c r="E135" i="8"/>
  <c r="E134" i="8"/>
  <c r="G134" i="8"/>
  <c r="H134" i="8"/>
  <c r="J134" i="8"/>
  <c r="C134" i="8"/>
  <c r="D134" i="8"/>
  <c r="F134" i="8"/>
  <c r="F133" i="8"/>
  <c r="C133" i="8"/>
  <c r="E133" i="8"/>
  <c r="J133" i="8"/>
  <c r="H133" i="8"/>
  <c r="D133" i="8"/>
  <c r="G133" i="8"/>
  <c r="D132" i="8"/>
  <c r="C132" i="8"/>
  <c r="J132" i="8"/>
  <c r="H132" i="8"/>
  <c r="G132" i="8"/>
  <c r="F132" i="8"/>
  <c r="E132" i="8"/>
  <c r="J131" i="8"/>
  <c r="H131" i="8"/>
  <c r="G131" i="8"/>
  <c r="E131" i="8"/>
  <c r="F131" i="8"/>
  <c r="D131" i="8"/>
  <c r="C131" i="8"/>
  <c r="G130" i="8"/>
  <c r="H130" i="8"/>
  <c r="F130" i="8"/>
  <c r="J130" i="8"/>
  <c r="E130" i="8"/>
  <c r="D130" i="8"/>
  <c r="C130" i="8"/>
  <c r="J129" i="8"/>
  <c r="H129" i="8"/>
  <c r="G129" i="8"/>
  <c r="F129" i="8"/>
  <c r="D129" i="8"/>
  <c r="C129" i="8"/>
  <c r="E129" i="8"/>
  <c r="G128" i="8"/>
  <c r="J128" i="8"/>
  <c r="E128" i="8"/>
  <c r="D128" i="8"/>
  <c r="C128" i="8"/>
  <c r="H128" i="8"/>
  <c r="F128" i="8"/>
  <c r="H127" i="8"/>
  <c r="G127" i="8"/>
  <c r="F127" i="8"/>
  <c r="E127" i="8"/>
  <c r="D127" i="8"/>
  <c r="C127" i="8"/>
  <c r="J127" i="8"/>
  <c r="J126" i="8"/>
  <c r="H126" i="8"/>
  <c r="G126" i="8"/>
  <c r="F126" i="8"/>
  <c r="D126" i="8"/>
  <c r="E126" i="8"/>
  <c r="C126" i="8"/>
  <c r="J125" i="8"/>
  <c r="H125" i="8"/>
  <c r="G125" i="8"/>
  <c r="F125" i="8"/>
  <c r="C125" i="8"/>
  <c r="D125" i="8"/>
  <c r="E125" i="8"/>
  <c r="G124" i="8"/>
  <c r="F124" i="8"/>
  <c r="D124" i="8"/>
  <c r="C124" i="8"/>
  <c r="E124" i="8"/>
  <c r="J124" i="8"/>
  <c r="H124" i="8"/>
  <c r="J123" i="8"/>
  <c r="C123" i="8"/>
  <c r="D123" i="8"/>
  <c r="E123" i="8"/>
  <c r="F123" i="8"/>
  <c r="H123" i="8"/>
  <c r="G123" i="8"/>
  <c r="G122" i="8"/>
  <c r="J122" i="8"/>
  <c r="H122" i="8"/>
  <c r="F122" i="8"/>
  <c r="E122" i="8"/>
  <c r="D122" i="8"/>
  <c r="C122" i="8"/>
  <c r="F121" i="8"/>
  <c r="C121" i="8"/>
  <c r="D121" i="8"/>
  <c r="E121" i="8"/>
  <c r="G121" i="8"/>
  <c r="H121" i="8"/>
  <c r="J121" i="8"/>
  <c r="H120" i="8"/>
  <c r="J120" i="8"/>
  <c r="G120" i="8"/>
  <c r="C120" i="8"/>
  <c r="D120" i="8"/>
  <c r="E120" i="8"/>
  <c r="F120" i="8"/>
  <c r="H119" i="8"/>
  <c r="C119" i="8"/>
  <c r="D119" i="8"/>
  <c r="E119" i="8"/>
  <c r="F119" i="8"/>
  <c r="G119" i="8"/>
  <c r="J119" i="8"/>
  <c r="G118" i="8"/>
  <c r="H118" i="8"/>
  <c r="J118" i="8"/>
  <c r="C118" i="8"/>
  <c r="D118" i="8"/>
  <c r="E118" i="8"/>
  <c r="F118" i="8"/>
  <c r="G117" i="8"/>
  <c r="C117" i="8"/>
  <c r="J117" i="8"/>
  <c r="D117" i="8"/>
  <c r="E117" i="8"/>
  <c r="F117" i="8"/>
  <c r="H117" i="8"/>
  <c r="C116" i="8"/>
  <c r="E116" i="8"/>
  <c r="F116" i="8"/>
  <c r="G116" i="8"/>
  <c r="H116" i="8"/>
  <c r="J116" i="8"/>
  <c r="D116" i="8"/>
  <c r="H115" i="8"/>
  <c r="G115" i="8"/>
  <c r="F115" i="8"/>
  <c r="E115" i="8"/>
  <c r="D115" i="8"/>
  <c r="C115" i="8"/>
  <c r="J115" i="8"/>
  <c r="E114" i="8"/>
  <c r="D114" i="8"/>
  <c r="C114" i="8"/>
  <c r="J114" i="8"/>
  <c r="H114" i="8"/>
  <c r="G114" i="8"/>
  <c r="F114" i="8"/>
  <c r="J113" i="8"/>
  <c r="F113" i="8"/>
  <c r="E113" i="8"/>
  <c r="D113" i="8"/>
  <c r="H113" i="8"/>
  <c r="C113" i="8"/>
  <c r="G113" i="8"/>
  <c r="F112" i="8"/>
  <c r="J112" i="8"/>
  <c r="C112" i="8"/>
  <c r="D112" i="8"/>
  <c r="E112" i="8"/>
  <c r="H112" i="8"/>
  <c r="G112" i="8"/>
  <c r="H111" i="8"/>
  <c r="D111" i="8"/>
  <c r="E111" i="8"/>
  <c r="F111" i="8"/>
  <c r="G111" i="8"/>
  <c r="J111" i="8"/>
  <c r="C111" i="8"/>
  <c r="J110" i="8"/>
  <c r="H110" i="8"/>
  <c r="G110" i="8"/>
  <c r="F110" i="8"/>
  <c r="E110" i="8"/>
  <c r="D110" i="8"/>
  <c r="C110" i="8"/>
  <c r="J109" i="8"/>
  <c r="H109" i="8"/>
  <c r="C109" i="8"/>
  <c r="D109" i="8"/>
  <c r="E109" i="8"/>
  <c r="F109" i="8"/>
  <c r="G109" i="8"/>
  <c r="F108" i="8"/>
  <c r="E108" i="8"/>
  <c r="D108" i="8"/>
  <c r="C108" i="8"/>
  <c r="J108" i="8"/>
  <c r="H108" i="8"/>
  <c r="G108" i="8"/>
  <c r="J107" i="8"/>
  <c r="H107" i="8"/>
  <c r="G107" i="8"/>
  <c r="E107" i="8"/>
  <c r="F107" i="8"/>
  <c r="D107" i="8"/>
  <c r="C107" i="8"/>
  <c r="H106" i="8"/>
  <c r="G106" i="8"/>
  <c r="F106" i="8"/>
  <c r="C106" i="8"/>
  <c r="D106" i="8"/>
  <c r="J106" i="8"/>
  <c r="E106" i="8"/>
  <c r="C105" i="8"/>
  <c r="E105" i="8"/>
  <c r="F105" i="8"/>
  <c r="G105" i="8"/>
  <c r="H105" i="8"/>
  <c r="J105" i="8"/>
  <c r="D105" i="8"/>
  <c r="H104" i="8"/>
  <c r="C104" i="8"/>
  <c r="D104" i="8"/>
  <c r="E104" i="8"/>
  <c r="F104" i="8"/>
  <c r="G104" i="8"/>
  <c r="J104" i="8"/>
  <c r="H103" i="8"/>
  <c r="E103" i="8"/>
  <c r="J103" i="8"/>
  <c r="G103" i="8"/>
  <c r="F103" i="8"/>
  <c r="D103" i="8"/>
  <c r="C103" i="8"/>
  <c r="H102" i="8"/>
  <c r="J102" i="8"/>
  <c r="G102" i="8"/>
  <c r="F102" i="8"/>
  <c r="E102" i="8"/>
  <c r="D102" i="8"/>
  <c r="C102" i="8"/>
  <c r="H101" i="8"/>
  <c r="G101" i="8"/>
  <c r="F101" i="8"/>
  <c r="J101" i="8"/>
  <c r="D101" i="8"/>
  <c r="C101" i="8"/>
  <c r="E101" i="8"/>
  <c r="J100" i="8"/>
  <c r="D100" i="8"/>
  <c r="C100" i="8"/>
  <c r="E100" i="8"/>
  <c r="F100" i="8"/>
  <c r="G100" i="8"/>
  <c r="H100" i="8"/>
  <c r="H99" i="8"/>
  <c r="J99" i="8"/>
  <c r="C99" i="8"/>
  <c r="D99" i="8"/>
  <c r="E99" i="8"/>
  <c r="F99" i="8"/>
  <c r="G99" i="8"/>
  <c r="G98" i="8"/>
  <c r="C98" i="8"/>
  <c r="H98" i="8"/>
  <c r="D98" i="8"/>
  <c r="E98" i="8"/>
  <c r="F98" i="8"/>
  <c r="J98" i="8"/>
  <c r="C97" i="8"/>
  <c r="D97" i="8"/>
  <c r="E97" i="8"/>
  <c r="F97" i="8"/>
  <c r="G97" i="8"/>
  <c r="H97" i="8"/>
  <c r="J97" i="8"/>
  <c r="J96" i="8"/>
  <c r="H96" i="8"/>
  <c r="G96" i="8"/>
  <c r="F96" i="8"/>
  <c r="E96" i="8"/>
  <c r="D96" i="8"/>
  <c r="C96" i="8"/>
  <c r="H95" i="8"/>
  <c r="J95" i="8"/>
  <c r="G95" i="8"/>
  <c r="F95" i="8"/>
  <c r="E95" i="8"/>
  <c r="D95" i="8"/>
  <c r="C95" i="8"/>
  <c r="G94" i="8"/>
  <c r="J94" i="8"/>
  <c r="H94" i="8"/>
  <c r="F94" i="8"/>
  <c r="E94" i="8"/>
  <c r="D94" i="8"/>
  <c r="C94" i="8"/>
  <c r="C93" i="8"/>
  <c r="J93" i="8"/>
  <c r="H93" i="8"/>
  <c r="G93" i="8"/>
  <c r="F93" i="8"/>
  <c r="E93" i="8"/>
  <c r="D93" i="8"/>
  <c r="G92" i="8"/>
  <c r="H92" i="8"/>
  <c r="J92" i="8"/>
  <c r="C92" i="8"/>
  <c r="D92" i="8"/>
  <c r="E92" i="8"/>
  <c r="F92" i="8"/>
  <c r="H91" i="8"/>
  <c r="J91" i="8"/>
  <c r="E91" i="8"/>
  <c r="G91" i="8"/>
  <c r="F91" i="8"/>
  <c r="D91" i="8"/>
  <c r="C91" i="8"/>
  <c r="H90" i="8"/>
  <c r="G90" i="8"/>
  <c r="F90" i="8"/>
  <c r="D90" i="8"/>
  <c r="C90" i="8"/>
  <c r="E90" i="8"/>
  <c r="J90" i="8"/>
  <c r="E89" i="8"/>
  <c r="C89" i="8"/>
  <c r="D89" i="8"/>
  <c r="J89" i="8"/>
  <c r="F89" i="8"/>
  <c r="G89" i="8"/>
  <c r="H89" i="8"/>
  <c r="G88" i="8"/>
  <c r="J88" i="8"/>
  <c r="H88" i="8"/>
  <c r="F88" i="8"/>
  <c r="E88" i="8"/>
  <c r="D88" i="8"/>
  <c r="C88" i="8"/>
  <c r="G87" i="8"/>
  <c r="D87" i="8"/>
  <c r="C87" i="8"/>
  <c r="E87" i="8"/>
  <c r="F87" i="8"/>
  <c r="H87" i="8"/>
  <c r="J87" i="8"/>
  <c r="E86" i="8"/>
  <c r="D86" i="8"/>
  <c r="C86" i="8"/>
  <c r="F86" i="8"/>
  <c r="J86" i="8"/>
  <c r="H86" i="8"/>
  <c r="G86" i="8"/>
  <c r="C85" i="8"/>
  <c r="D85" i="8"/>
  <c r="J85" i="8"/>
  <c r="F85" i="8"/>
  <c r="H85" i="8"/>
  <c r="G85" i="8"/>
  <c r="E85" i="8"/>
  <c r="F84" i="8"/>
  <c r="G84" i="8"/>
  <c r="H84" i="8"/>
  <c r="J84" i="8"/>
  <c r="C84" i="8"/>
  <c r="E84" i="8"/>
  <c r="D84" i="8"/>
  <c r="E83" i="8"/>
  <c r="D83" i="8"/>
  <c r="C83" i="8"/>
  <c r="F83" i="8"/>
  <c r="J83" i="8"/>
  <c r="H83" i="8"/>
  <c r="G83" i="8"/>
  <c r="E82" i="8"/>
  <c r="G82" i="8"/>
  <c r="C82" i="8"/>
  <c r="D82" i="8"/>
  <c r="F82" i="8"/>
  <c r="H82" i="8"/>
  <c r="J82" i="8"/>
  <c r="D81" i="8"/>
  <c r="E81" i="8"/>
  <c r="F81" i="8"/>
  <c r="H81" i="8"/>
  <c r="J81" i="8"/>
  <c r="G81" i="8"/>
  <c r="C81" i="8"/>
  <c r="E80" i="8"/>
  <c r="G80" i="8"/>
  <c r="F80" i="8"/>
  <c r="J80" i="8"/>
  <c r="H80" i="8"/>
  <c r="D80" i="8"/>
  <c r="C80" i="8"/>
  <c r="F79" i="8"/>
  <c r="C79" i="8"/>
  <c r="D79" i="8"/>
  <c r="G79" i="8"/>
  <c r="E79" i="8"/>
  <c r="J79" i="8"/>
  <c r="H79" i="8"/>
  <c r="C78" i="8"/>
  <c r="D78" i="8"/>
  <c r="G78" i="8"/>
  <c r="J78" i="8"/>
  <c r="E78" i="8"/>
  <c r="F78" i="8"/>
  <c r="H78" i="8"/>
  <c r="H77" i="8"/>
  <c r="G77" i="8"/>
  <c r="F77" i="8"/>
  <c r="E77" i="8"/>
  <c r="C77" i="8"/>
  <c r="D77" i="8"/>
  <c r="J77" i="8"/>
  <c r="H76" i="8"/>
  <c r="J76" i="8"/>
  <c r="C76" i="8"/>
  <c r="G76" i="8"/>
  <c r="D76" i="8"/>
  <c r="F76" i="8"/>
  <c r="E76" i="8"/>
  <c r="G75" i="8"/>
  <c r="F75" i="8"/>
  <c r="E75" i="8"/>
  <c r="D75" i="8"/>
  <c r="C75" i="8"/>
  <c r="J75" i="8"/>
  <c r="H75" i="8"/>
  <c r="H74" i="8"/>
  <c r="G74" i="8"/>
  <c r="F74" i="8"/>
  <c r="E74" i="8"/>
  <c r="C74" i="8"/>
  <c r="D74" i="8"/>
  <c r="J74" i="8"/>
  <c r="F73" i="8"/>
  <c r="G73" i="8"/>
  <c r="J73" i="8"/>
  <c r="H73" i="8"/>
  <c r="C73" i="8"/>
  <c r="D73" i="8"/>
  <c r="E73" i="8"/>
  <c r="F72" i="8"/>
  <c r="C72" i="8"/>
  <c r="E72" i="8"/>
  <c r="D72" i="8"/>
  <c r="J72" i="8"/>
  <c r="H72" i="8"/>
  <c r="G72" i="8"/>
  <c r="H71" i="8"/>
  <c r="G71" i="8"/>
  <c r="F71" i="8"/>
  <c r="E71" i="8"/>
  <c r="D71" i="8"/>
  <c r="C71" i="8"/>
  <c r="J71" i="8"/>
  <c r="J70" i="8"/>
  <c r="H70" i="8"/>
  <c r="G70" i="8"/>
  <c r="F70" i="8"/>
  <c r="E70" i="8"/>
  <c r="D70" i="8"/>
  <c r="C70" i="8"/>
  <c r="D69" i="8"/>
  <c r="C69" i="8"/>
  <c r="J69" i="8"/>
  <c r="H69" i="8"/>
  <c r="G69" i="8"/>
  <c r="F69" i="8"/>
  <c r="E69" i="8"/>
  <c r="H68" i="8"/>
  <c r="G68" i="8"/>
  <c r="F68" i="8"/>
  <c r="J68" i="8"/>
  <c r="E68" i="8"/>
  <c r="D68" i="8"/>
  <c r="C68" i="8"/>
  <c r="E67" i="8"/>
  <c r="F67" i="8"/>
  <c r="J67" i="8"/>
  <c r="D67" i="8"/>
  <c r="H67" i="8"/>
  <c r="C67" i="8"/>
  <c r="G67" i="8"/>
  <c r="J66" i="8"/>
  <c r="C66" i="8"/>
  <c r="D66" i="8"/>
  <c r="H66" i="8"/>
  <c r="F66" i="8"/>
  <c r="G66" i="8"/>
  <c r="E66" i="8"/>
  <c r="D65" i="8"/>
  <c r="C65" i="8"/>
  <c r="E65" i="8"/>
  <c r="F65" i="8"/>
  <c r="G65" i="8"/>
  <c r="H65" i="8"/>
  <c r="J65" i="8"/>
  <c r="J64" i="8"/>
  <c r="H64" i="8"/>
  <c r="G64" i="8"/>
  <c r="F64" i="8"/>
  <c r="D64" i="8"/>
  <c r="C64" i="8"/>
  <c r="E64" i="8"/>
  <c r="D63" i="8"/>
  <c r="J63" i="8"/>
  <c r="H63" i="8"/>
  <c r="G63" i="8"/>
  <c r="E63" i="8"/>
  <c r="C63" i="8"/>
  <c r="F63" i="8"/>
  <c r="J62" i="8"/>
  <c r="H62" i="8"/>
  <c r="F62" i="8"/>
  <c r="G62" i="8"/>
  <c r="C62" i="8"/>
  <c r="D62" i="8"/>
  <c r="E62" i="8"/>
  <c r="F61" i="8"/>
  <c r="C61" i="8"/>
  <c r="H61" i="8"/>
  <c r="G61" i="8"/>
  <c r="J61" i="8"/>
  <c r="E61" i="8"/>
  <c r="D61" i="8"/>
  <c r="F60" i="8"/>
  <c r="C60" i="8"/>
  <c r="D60" i="8"/>
  <c r="E60" i="8"/>
  <c r="G60" i="8"/>
  <c r="J60" i="8"/>
  <c r="H60" i="8"/>
  <c r="F59" i="8"/>
  <c r="G59" i="8"/>
  <c r="E59" i="8"/>
  <c r="C59" i="8"/>
  <c r="D59" i="8"/>
  <c r="H59" i="8"/>
  <c r="J59" i="8"/>
  <c r="C58" i="8"/>
  <c r="E58" i="8"/>
  <c r="F58" i="8"/>
  <c r="D58" i="8"/>
  <c r="G58" i="8"/>
  <c r="H58" i="8"/>
  <c r="J58" i="8"/>
  <c r="C57" i="8"/>
  <c r="D57" i="8"/>
  <c r="E57" i="8"/>
  <c r="F57" i="8"/>
  <c r="G57" i="8"/>
  <c r="H57" i="8"/>
  <c r="J57" i="8"/>
  <c r="H56" i="8"/>
  <c r="G56" i="8"/>
  <c r="F56" i="8"/>
  <c r="E56" i="8"/>
  <c r="D56" i="8"/>
  <c r="C56" i="8"/>
  <c r="J56" i="8"/>
  <c r="J55" i="8"/>
  <c r="H55" i="8"/>
  <c r="G55" i="8"/>
  <c r="F55" i="8"/>
  <c r="C55" i="8"/>
  <c r="D55" i="8"/>
  <c r="E55" i="8"/>
  <c r="F54" i="8"/>
  <c r="E54" i="8"/>
  <c r="D54" i="8"/>
  <c r="C54" i="8"/>
  <c r="G54" i="8"/>
  <c r="H54" i="8"/>
  <c r="J54" i="8"/>
  <c r="J53" i="8"/>
  <c r="H53" i="8"/>
  <c r="G53" i="8"/>
  <c r="F53" i="8"/>
  <c r="E53" i="8"/>
  <c r="D53" i="8"/>
  <c r="C53" i="8"/>
  <c r="J52" i="8"/>
  <c r="F52" i="8"/>
  <c r="E52" i="8"/>
  <c r="D52" i="8"/>
  <c r="C52" i="8"/>
  <c r="G52" i="8"/>
  <c r="H52" i="8"/>
  <c r="J51" i="8"/>
  <c r="H51" i="8"/>
  <c r="F51" i="8"/>
  <c r="G51" i="8"/>
  <c r="E51" i="8"/>
  <c r="D51" i="8"/>
  <c r="C51" i="8"/>
  <c r="G50" i="8"/>
  <c r="H50" i="8"/>
  <c r="J50" i="8"/>
  <c r="C50" i="8"/>
  <c r="D50" i="8"/>
  <c r="E50" i="8"/>
  <c r="F50" i="8"/>
  <c r="C49" i="8"/>
  <c r="D49" i="8"/>
  <c r="E49" i="8"/>
  <c r="F49" i="8"/>
  <c r="J49" i="8"/>
  <c r="H49" i="8"/>
  <c r="G49" i="8"/>
  <c r="C48" i="8"/>
  <c r="D48" i="8"/>
  <c r="E48" i="8"/>
  <c r="F48" i="8"/>
  <c r="G48" i="8"/>
  <c r="H48" i="8"/>
  <c r="J48" i="8"/>
  <c r="C47" i="8"/>
  <c r="D47" i="8"/>
  <c r="E47" i="8"/>
  <c r="F47" i="8"/>
  <c r="G47" i="8"/>
  <c r="H47" i="8"/>
  <c r="J47" i="8"/>
  <c r="F46" i="8"/>
  <c r="D46" i="8"/>
  <c r="G46" i="8"/>
  <c r="H46" i="8"/>
  <c r="J46" i="8"/>
  <c r="C46" i="8"/>
  <c r="E46" i="8"/>
  <c r="F45" i="8"/>
  <c r="E45" i="8"/>
  <c r="C45" i="8"/>
  <c r="D45" i="8"/>
  <c r="J45" i="8"/>
  <c r="H45" i="8"/>
  <c r="G45" i="8"/>
  <c r="H44" i="8"/>
  <c r="J44" i="8"/>
  <c r="D44" i="8"/>
  <c r="E44" i="8"/>
  <c r="F44" i="8"/>
  <c r="G44" i="8"/>
  <c r="C44" i="8"/>
  <c r="J43" i="8"/>
  <c r="H43" i="8"/>
  <c r="G43" i="8"/>
  <c r="F43" i="8"/>
  <c r="E43" i="8"/>
  <c r="D43" i="8"/>
  <c r="C43" i="8"/>
  <c r="J42" i="8"/>
  <c r="H42" i="8"/>
  <c r="G42" i="8"/>
  <c r="F42" i="8"/>
  <c r="E42" i="8"/>
  <c r="D42" i="8"/>
  <c r="C42" i="8"/>
  <c r="J41" i="8"/>
  <c r="H41" i="8"/>
  <c r="G41" i="8"/>
  <c r="F41" i="8"/>
  <c r="E41" i="8"/>
  <c r="D41" i="8"/>
  <c r="C41" i="8"/>
  <c r="J40" i="8"/>
  <c r="H40" i="8"/>
  <c r="G40" i="8"/>
  <c r="F40" i="8"/>
  <c r="E40" i="8"/>
  <c r="D40" i="8"/>
  <c r="C40" i="8"/>
  <c r="J39" i="8"/>
  <c r="H39" i="8"/>
  <c r="G39" i="8"/>
  <c r="F39" i="8"/>
  <c r="E39" i="8"/>
  <c r="D39" i="8"/>
  <c r="C39" i="8"/>
  <c r="J38" i="8"/>
  <c r="H38" i="8"/>
  <c r="G38" i="8"/>
  <c r="F38" i="8"/>
  <c r="E38" i="8"/>
  <c r="D38" i="8"/>
  <c r="C38" i="8"/>
  <c r="J37" i="8"/>
  <c r="H37" i="8"/>
  <c r="G37" i="8"/>
  <c r="F37" i="8"/>
  <c r="E37" i="8"/>
  <c r="D37" i="8"/>
  <c r="C37" i="8"/>
  <c r="J36" i="8"/>
  <c r="H36" i="8"/>
  <c r="G36" i="8"/>
  <c r="F36" i="8"/>
  <c r="E36" i="8"/>
  <c r="D36" i="8"/>
  <c r="C36" i="8"/>
  <c r="J35" i="8"/>
  <c r="H35" i="8"/>
  <c r="G35" i="8"/>
  <c r="F35" i="8"/>
  <c r="E35" i="8"/>
  <c r="D35" i="8"/>
  <c r="C35" i="8"/>
  <c r="J34" i="8"/>
  <c r="H34" i="8"/>
  <c r="G34" i="8"/>
  <c r="F34" i="8"/>
  <c r="E34" i="8"/>
  <c r="D34" i="8"/>
  <c r="C34" i="8"/>
  <c r="J33" i="8"/>
  <c r="H33" i="8"/>
  <c r="G33" i="8"/>
  <c r="F33" i="8"/>
  <c r="E33" i="8"/>
  <c r="D33" i="8"/>
  <c r="C33" i="8"/>
  <c r="J32" i="8"/>
  <c r="H32" i="8"/>
  <c r="G32" i="8"/>
  <c r="F32" i="8"/>
  <c r="E32" i="8"/>
  <c r="D32" i="8"/>
  <c r="C32" i="8"/>
  <c r="J31" i="8"/>
  <c r="H31" i="8"/>
  <c r="G31" i="8"/>
  <c r="F31" i="8"/>
  <c r="E31" i="8"/>
  <c r="D31" i="8"/>
  <c r="C31" i="8"/>
  <c r="J30" i="8"/>
  <c r="H30" i="8"/>
  <c r="G30" i="8"/>
  <c r="F30" i="8"/>
  <c r="E30" i="8"/>
  <c r="D30" i="8"/>
  <c r="C30" i="8"/>
  <c r="J29" i="8"/>
  <c r="H29" i="8"/>
  <c r="G29" i="8"/>
  <c r="F29" i="8"/>
  <c r="E29" i="8"/>
  <c r="D29" i="8"/>
  <c r="C29" i="8"/>
  <c r="J28" i="8"/>
  <c r="H28" i="8"/>
  <c r="G28" i="8"/>
  <c r="F28" i="8"/>
  <c r="E28" i="8"/>
  <c r="D28" i="8"/>
  <c r="C28" i="8"/>
  <c r="C27" i="8"/>
  <c r="J27" i="8"/>
  <c r="H27" i="8"/>
  <c r="G27" i="8"/>
  <c r="F27" i="8"/>
  <c r="E27" i="8"/>
  <c r="D27" i="8"/>
  <c r="J26" i="8"/>
  <c r="G26" i="8"/>
  <c r="F26" i="8"/>
  <c r="E26" i="8"/>
  <c r="D26" i="8"/>
  <c r="C26" i="8"/>
  <c r="H26" i="8"/>
  <c r="J25" i="8"/>
  <c r="H25" i="8"/>
  <c r="G25" i="8"/>
  <c r="F25" i="8"/>
  <c r="E25" i="8"/>
  <c r="D25" i="8"/>
  <c r="C25" i="8"/>
  <c r="C24" i="8"/>
  <c r="G24" i="8"/>
  <c r="J24" i="8"/>
  <c r="D24" i="8"/>
  <c r="H24" i="8"/>
  <c r="E24" i="8"/>
  <c r="F24" i="8"/>
  <c r="D23" i="8"/>
  <c r="E23" i="8"/>
  <c r="C23" i="8"/>
  <c r="H23" i="8"/>
  <c r="J23" i="8"/>
  <c r="G23" i="8"/>
  <c r="F23" i="8"/>
  <c r="C22" i="8"/>
  <c r="G22" i="8"/>
  <c r="D22" i="8"/>
  <c r="F22" i="8"/>
  <c r="H22" i="8"/>
  <c r="J22" i="8"/>
  <c r="E22" i="8"/>
  <c r="C21" i="8"/>
  <c r="D21" i="8"/>
  <c r="E21" i="8"/>
  <c r="G21" i="8"/>
  <c r="H21" i="8"/>
  <c r="J21" i="8"/>
  <c r="F21" i="8"/>
  <c r="J20" i="8"/>
  <c r="F20" i="8"/>
  <c r="H20" i="8"/>
  <c r="G20" i="8"/>
  <c r="E20" i="8"/>
  <c r="D20" i="8"/>
  <c r="C20" i="8"/>
  <c r="G19" i="8"/>
  <c r="C19" i="8"/>
  <c r="D19" i="8"/>
  <c r="E19" i="8"/>
  <c r="F19" i="8"/>
  <c r="H19" i="8"/>
  <c r="J19" i="8"/>
  <c r="F18" i="8"/>
  <c r="G18" i="8"/>
  <c r="H18" i="8"/>
  <c r="J18" i="8"/>
  <c r="E18" i="8"/>
  <c r="D18" i="8"/>
  <c r="C18" i="8"/>
  <c r="E17" i="8"/>
  <c r="D17" i="8"/>
  <c r="C17" i="8"/>
  <c r="J17" i="8"/>
  <c r="H17" i="8"/>
  <c r="G17" i="8"/>
  <c r="F17" i="8"/>
  <c r="D16" i="8"/>
  <c r="E16" i="8"/>
  <c r="F16" i="8"/>
  <c r="G16" i="8"/>
  <c r="H16" i="8"/>
  <c r="J16" i="8"/>
  <c r="C16" i="8"/>
  <c r="F15" i="8"/>
  <c r="E15" i="8"/>
  <c r="D15" i="8"/>
  <c r="C15" i="8"/>
  <c r="J15" i="8"/>
  <c r="H15" i="8"/>
  <c r="G15" i="8"/>
  <c r="C14" i="8"/>
  <c r="J14" i="8"/>
  <c r="F14" i="8"/>
  <c r="E14" i="8"/>
  <c r="D14" i="8"/>
  <c r="G14" i="8"/>
  <c r="H14" i="8"/>
  <c r="E13" i="8"/>
  <c r="D13" i="8"/>
  <c r="C13" i="8"/>
  <c r="J13" i="8"/>
  <c r="G13" i="8"/>
  <c r="H13" i="8"/>
  <c r="F13" i="8"/>
  <c r="C12" i="8"/>
  <c r="D12" i="8"/>
  <c r="E12" i="8"/>
  <c r="F12" i="8"/>
  <c r="G12" i="8"/>
  <c r="H12" i="8"/>
  <c r="J12" i="8"/>
  <c r="G11" i="8"/>
  <c r="H11" i="8"/>
  <c r="J11" i="8"/>
  <c r="D11" i="8"/>
  <c r="C11" i="8"/>
  <c r="F11" i="8"/>
  <c r="E11" i="8"/>
  <c r="G10" i="8"/>
  <c r="H10" i="8"/>
  <c r="J10" i="8"/>
  <c r="C10" i="8"/>
  <c r="D10" i="8"/>
  <c r="E10" i="8"/>
  <c r="F10" i="8"/>
  <c r="D9" i="8"/>
  <c r="C9" i="8"/>
  <c r="H9" i="8"/>
  <c r="F9" i="8"/>
  <c r="J9" i="8"/>
  <c r="E9" i="8"/>
  <c r="G9" i="8"/>
  <c r="H8" i="8"/>
  <c r="G8" i="8"/>
  <c r="F8" i="8"/>
  <c r="E8" i="8"/>
  <c r="D8" i="8"/>
  <c r="J8" i="8"/>
  <c r="C8" i="8"/>
  <c r="C33" i="14"/>
  <c r="C34" i="14"/>
  <c r="C36" i="14"/>
  <c r="C25" i="14"/>
  <c r="C23" i="14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49" i="13"/>
  <c r="P276" i="13"/>
  <c r="P284" i="13"/>
  <c r="P286" i="13"/>
  <c r="P294" i="13"/>
  <c r="P319" i="13"/>
  <c r="P322" i="13"/>
  <c r="P326" i="13"/>
  <c r="P336" i="13"/>
  <c r="P339" i="13"/>
  <c r="P342" i="13"/>
  <c r="P361" i="13"/>
  <c r="P367" i="13"/>
  <c r="P376" i="13"/>
  <c r="P382" i="13"/>
  <c r="P384" i="13"/>
  <c r="P386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C50" i="14"/>
  <c r="C87" i="14" s="1"/>
  <c r="H9" i="11" s="1"/>
  <c r="P237" i="13"/>
  <c r="P250" i="13"/>
  <c r="P252" i="13"/>
  <c r="P258" i="13"/>
  <c r="P268" i="13"/>
  <c r="P270" i="13"/>
  <c r="P272" i="13"/>
  <c r="P292" i="13"/>
  <c r="P295" i="13"/>
  <c r="P297" i="13"/>
  <c r="P316" i="13"/>
  <c r="P329" i="13"/>
  <c r="P350" i="13"/>
  <c r="P388" i="13"/>
  <c r="P253" i="13"/>
  <c r="P267" i="13"/>
  <c r="P291" i="13"/>
  <c r="P296" i="13"/>
  <c r="P298" i="13"/>
  <c r="P304" i="13"/>
  <c r="P309" i="13"/>
  <c r="P318" i="13"/>
  <c r="P323" i="13"/>
  <c r="P331" i="13"/>
  <c r="P338" i="13"/>
  <c r="P351" i="13"/>
  <c r="P389" i="13"/>
  <c r="P247" i="13"/>
  <c r="P260" i="13"/>
  <c r="P265" i="13"/>
  <c r="P300" i="13"/>
  <c r="P357" i="13"/>
  <c r="P368" i="13"/>
  <c r="P375" i="13"/>
  <c r="P378" i="13"/>
  <c r="P380" i="13"/>
  <c r="P238" i="13"/>
  <c r="P257" i="13"/>
  <c r="P264" i="13"/>
  <c r="P307" i="13"/>
  <c r="P310" i="13"/>
  <c r="P312" i="13"/>
  <c r="P317" i="13"/>
  <c r="P324" i="13"/>
  <c r="P335" i="13"/>
  <c r="P337" i="13"/>
  <c r="P348" i="13"/>
  <c r="P356" i="13"/>
  <c r="P358" i="13"/>
  <c r="P369" i="13"/>
  <c r="P241" i="13"/>
  <c r="P243" i="13"/>
  <c r="P251" i="13"/>
  <c r="P261" i="13"/>
  <c r="P275" i="13"/>
  <c r="P301" i="13"/>
  <c r="P303" i="13"/>
  <c r="P330" i="13"/>
  <c r="P344" i="13"/>
  <c r="P353" i="13"/>
  <c r="P377" i="13"/>
  <c r="P240" i="13"/>
  <c r="P245" i="13"/>
  <c r="P262" i="13"/>
  <c r="P278" i="13"/>
  <c r="P280" i="13"/>
  <c r="P290" i="13"/>
  <c r="P293" i="13"/>
  <c r="P306" i="13"/>
  <c r="P308" i="13"/>
  <c r="P314" i="13"/>
  <c r="P333" i="13"/>
  <c r="P343" i="13"/>
  <c r="P345" i="13"/>
  <c r="P354" i="13"/>
  <c r="P360" i="13"/>
  <c r="P365" i="13"/>
  <c r="P371" i="13"/>
  <c r="P381" i="13"/>
  <c r="P383" i="13"/>
  <c r="P387" i="13"/>
  <c r="P244" i="13"/>
  <c r="P246" i="13"/>
  <c r="P248" i="13"/>
  <c r="P255" i="13"/>
  <c r="P271" i="13"/>
  <c r="P277" i="13"/>
  <c r="P282" i="13"/>
  <c r="P288" i="13"/>
  <c r="P311" i="13"/>
  <c r="P313" i="13"/>
  <c r="P320" i="13"/>
  <c r="P327" i="13"/>
  <c r="P346" i="13"/>
  <c r="P352" i="13"/>
  <c r="P359" i="13"/>
  <c r="P263" i="13"/>
  <c r="P266" i="13"/>
  <c r="P283" i="13"/>
  <c r="P285" i="13"/>
  <c r="P299" i="13"/>
  <c r="P302" i="13"/>
  <c r="P325" i="13"/>
  <c r="P332" i="13"/>
  <c r="P334" i="13"/>
  <c r="P340" i="13"/>
  <c r="P370" i="13"/>
  <c r="P373" i="13"/>
  <c r="P379" i="13"/>
  <c r="P242" i="13"/>
  <c r="P256" i="13"/>
  <c r="P259" i="13"/>
  <c r="P273" i="13"/>
  <c r="P279" i="13"/>
  <c r="P281" i="13"/>
  <c r="P287" i="13"/>
  <c r="P289" i="13"/>
  <c r="P305" i="13"/>
  <c r="P341" i="13"/>
  <c r="P362" i="13"/>
  <c r="P364" i="13"/>
  <c r="P366" i="13"/>
  <c r="P372" i="13"/>
  <c r="P374" i="13"/>
  <c r="P385" i="13"/>
  <c r="P239" i="13"/>
  <c r="P254" i="13"/>
  <c r="P269" i="13"/>
  <c r="P274" i="13"/>
  <c r="P315" i="13"/>
  <c r="P321" i="13"/>
  <c r="P328" i="13"/>
  <c r="P347" i="13"/>
  <c r="P349" i="13"/>
  <c r="P355" i="13"/>
  <c r="P363" i="13"/>
  <c r="M21" i="14" l="1"/>
  <c r="N21" i="14"/>
  <c r="C40" i="11"/>
  <c r="D40" i="11"/>
  <c r="E40" i="11"/>
  <c r="F40" i="11"/>
  <c r="G40" i="11"/>
  <c r="H40" i="11"/>
  <c r="I40" i="11"/>
  <c r="K40" i="11"/>
  <c r="C101" i="11"/>
  <c r="D101" i="11"/>
  <c r="E101" i="11"/>
  <c r="F101" i="11"/>
  <c r="G101" i="11"/>
  <c r="H101" i="11"/>
  <c r="I101" i="11"/>
  <c r="K101" i="11"/>
  <c r="C102" i="11"/>
  <c r="D102" i="11"/>
  <c r="E102" i="11"/>
  <c r="F102" i="11"/>
  <c r="G102" i="11"/>
  <c r="H102" i="11"/>
  <c r="I102" i="11"/>
  <c r="K102" i="11"/>
  <c r="C39" i="11"/>
  <c r="D39" i="11"/>
  <c r="E39" i="11"/>
  <c r="F39" i="11"/>
  <c r="G39" i="11"/>
  <c r="H39" i="11"/>
  <c r="I39" i="11"/>
  <c r="K39" i="11"/>
  <c r="C103" i="11"/>
  <c r="D103" i="11"/>
  <c r="E103" i="11"/>
  <c r="F103" i="11"/>
  <c r="G103" i="11"/>
  <c r="H103" i="11"/>
  <c r="I103" i="11"/>
  <c r="K103" i="11"/>
  <c r="C104" i="11"/>
  <c r="D104" i="11"/>
  <c r="E104" i="11"/>
  <c r="F104" i="11"/>
  <c r="G104" i="11"/>
  <c r="H104" i="11"/>
  <c r="I104" i="11"/>
  <c r="K104" i="11"/>
  <c r="C38" i="11"/>
  <c r="D38" i="11"/>
  <c r="E38" i="11"/>
  <c r="F38" i="11"/>
  <c r="G38" i="11"/>
  <c r="H38" i="11"/>
  <c r="I38" i="11"/>
  <c r="K38" i="11"/>
  <c r="C105" i="11"/>
  <c r="D105" i="11"/>
  <c r="E105" i="11"/>
  <c r="F105" i="11"/>
  <c r="G105" i="11"/>
  <c r="H105" i="11"/>
  <c r="I105" i="11"/>
  <c r="K105" i="11"/>
  <c r="C106" i="11"/>
  <c r="D106" i="11"/>
  <c r="E106" i="11"/>
  <c r="F106" i="11"/>
  <c r="G106" i="11"/>
  <c r="H106" i="11"/>
  <c r="I106" i="11"/>
  <c r="K106" i="11"/>
  <c r="C107" i="11"/>
  <c r="D107" i="11"/>
  <c r="E107" i="11"/>
  <c r="F107" i="11"/>
  <c r="G107" i="11"/>
  <c r="H107" i="11"/>
  <c r="I107" i="11"/>
  <c r="K107" i="11"/>
  <c r="C108" i="11"/>
  <c r="D108" i="11"/>
  <c r="E108" i="11"/>
  <c r="F108" i="11"/>
  <c r="G108" i="11"/>
  <c r="H108" i="11"/>
  <c r="I108" i="11"/>
  <c r="K108" i="11"/>
  <c r="C109" i="11"/>
  <c r="D109" i="11"/>
  <c r="E109" i="11"/>
  <c r="F109" i="11"/>
  <c r="G109" i="11"/>
  <c r="H109" i="11"/>
  <c r="I109" i="11"/>
  <c r="K109" i="11"/>
  <c r="C110" i="11"/>
  <c r="D110" i="11"/>
  <c r="E110" i="11"/>
  <c r="F110" i="11"/>
  <c r="G110" i="11"/>
  <c r="H110" i="11"/>
  <c r="I110" i="11"/>
  <c r="K110" i="11"/>
  <c r="C111" i="11"/>
  <c r="D111" i="11"/>
  <c r="E111" i="11"/>
  <c r="F111" i="11"/>
  <c r="G111" i="11"/>
  <c r="H111" i="11"/>
  <c r="I111" i="11"/>
  <c r="K111" i="11"/>
  <c r="C51" i="11"/>
  <c r="D51" i="11"/>
  <c r="E51" i="11"/>
  <c r="F51" i="11"/>
  <c r="G51" i="11"/>
  <c r="H51" i="11"/>
  <c r="I51" i="11"/>
  <c r="K51" i="11"/>
  <c r="C113" i="11"/>
  <c r="D113" i="11"/>
  <c r="E113" i="11"/>
  <c r="F113" i="11"/>
  <c r="G113" i="11"/>
  <c r="H113" i="11"/>
  <c r="I113" i="11"/>
  <c r="K113" i="11"/>
  <c r="C48" i="14"/>
  <c r="C86" i="14"/>
  <c r="C88" i="14"/>
  <c r="B12" i="11" s="1"/>
  <c r="C89" i="14"/>
  <c r="B18" i="11" s="1"/>
  <c r="C90" i="14"/>
  <c r="J20" i="11" s="1"/>
  <c r="B11" i="11"/>
  <c r="B14" i="11"/>
  <c r="D14" i="11"/>
  <c r="F14" i="11"/>
  <c r="B16" i="11"/>
  <c r="C16" i="11"/>
  <c r="B17" i="11"/>
  <c r="D17" i="11"/>
  <c r="F17" i="11"/>
  <c r="C112" i="11"/>
  <c r="D112" i="11"/>
  <c r="E112" i="11"/>
  <c r="F112" i="11"/>
  <c r="G112" i="11"/>
  <c r="H112" i="11"/>
  <c r="I112" i="11"/>
  <c r="K112" i="11"/>
  <c r="C97" i="11"/>
  <c r="D97" i="11"/>
  <c r="E97" i="11"/>
  <c r="F97" i="11"/>
  <c r="G97" i="11"/>
  <c r="H97" i="11"/>
  <c r="I97" i="11"/>
  <c r="K97" i="11"/>
  <c r="C98" i="11"/>
  <c r="D98" i="11"/>
  <c r="E98" i="11"/>
  <c r="F98" i="11"/>
  <c r="G98" i="11"/>
  <c r="H98" i="11"/>
  <c r="I98" i="11"/>
  <c r="K98" i="11"/>
  <c r="C41" i="11"/>
  <c r="D41" i="11"/>
  <c r="E41" i="11"/>
  <c r="F41" i="11"/>
  <c r="G41" i="11"/>
  <c r="H41" i="11"/>
  <c r="I41" i="11"/>
  <c r="K41" i="11"/>
  <c r="C99" i="11"/>
  <c r="D99" i="11"/>
  <c r="E99" i="11"/>
  <c r="F99" i="11"/>
  <c r="G99" i="11"/>
  <c r="H99" i="11"/>
  <c r="I99" i="11"/>
  <c r="K99" i="11"/>
  <c r="C100" i="11"/>
  <c r="D100" i="11"/>
  <c r="E100" i="11"/>
  <c r="F100" i="11"/>
  <c r="G100" i="11"/>
  <c r="H100" i="11"/>
  <c r="I100" i="11"/>
  <c r="K100" i="11"/>
  <c r="C114" i="11"/>
  <c r="D114" i="11"/>
  <c r="E114" i="11"/>
  <c r="F114" i="11"/>
  <c r="G114" i="11"/>
  <c r="H114" i="11"/>
  <c r="I114" i="11"/>
  <c r="K114" i="11"/>
  <c r="C87" i="11"/>
  <c r="D87" i="11"/>
  <c r="E87" i="11"/>
  <c r="F87" i="11"/>
  <c r="G87" i="11"/>
  <c r="H87" i="11"/>
  <c r="I87" i="11"/>
  <c r="K87" i="11"/>
  <c r="C115" i="11"/>
  <c r="D115" i="11"/>
  <c r="E115" i="11"/>
  <c r="F115" i="11"/>
  <c r="G115" i="11"/>
  <c r="H115" i="11"/>
  <c r="I115" i="11"/>
  <c r="K115" i="11"/>
  <c r="C116" i="11"/>
  <c r="D116" i="11"/>
  <c r="E116" i="11"/>
  <c r="F116" i="11"/>
  <c r="G116" i="11"/>
  <c r="H116" i="11"/>
  <c r="I116" i="11"/>
  <c r="K116" i="11"/>
  <c r="C117" i="11"/>
  <c r="D117" i="11"/>
  <c r="E117" i="11"/>
  <c r="F117" i="11"/>
  <c r="G117" i="11"/>
  <c r="H117" i="11"/>
  <c r="I117" i="11"/>
  <c r="K117" i="11"/>
  <c r="C118" i="11"/>
  <c r="D118" i="11"/>
  <c r="E118" i="11"/>
  <c r="F118" i="11"/>
  <c r="G118" i="11"/>
  <c r="H118" i="11"/>
  <c r="I118" i="11"/>
  <c r="K118" i="11"/>
  <c r="C119" i="11"/>
  <c r="D119" i="11"/>
  <c r="E119" i="11"/>
  <c r="F119" i="11"/>
  <c r="G119" i="11"/>
  <c r="H119" i="11"/>
  <c r="I119" i="11"/>
  <c r="K119" i="11"/>
  <c r="C120" i="11"/>
  <c r="D120" i="11"/>
  <c r="E120" i="11"/>
  <c r="F120" i="11"/>
  <c r="G120" i="11"/>
  <c r="H120" i="11"/>
  <c r="I120" i="11"/>
  <c r="K120" i="11"/>
  <c r="C121" i="11"/>
  <c r="D121" i="11"/>
  <c r="E121" i="11"/>
  <c r="F121" i="11"/>
  <c r="G121" i="11"/>
  <c r="H121" i="11"/>
  <c r="I121" i="11"/>
  <c r="K121" i="11"/>
  <c r="C44" i="11"/>
  <c r="D44" i="11"/>
  <c r="E44" i="11"/>
  <c r="F44" i="11"/>
  <c r="G44" i="11"/>
  <c r="H44" i="11"/>
  <c r="I44" i="11"/>
  <c r="K44" i="11"/>
  <c r="C37" i="11"/>
  <c r="D37" i="11"/>
  <c r="E37" i="11"/>
  <c r="F37" i="11"/>
  <c r="G37" i="11"/>
  <c r="H37" i="11"/>
  <c r="I37" i="11"/>
  <c r="K37" i="11"/>
  <c r="C36" i="11"/>
  <c r="D36" i="11"/>
  <c r="E36" i="11"/>
  <c r="F36" i="11"/>
  <c r="G36" i="11"/>
  <c r="H36" i="11"/>
  <c r="I36" i="11"/>
  <c r="K36" i="11"/>
  <c r="C35" i="11"/>
  <c r="D35" i="11"/>
  <c r="E35" i="11"/>
  <c r="F35" i="11"/>
  <c r="G35" i="11"/>
  <c r="H35" i="11"/>
  <c r="I35" i="11"/>
  <c r="K35" i="11"/>
  <c r="C34" i="11"/>
  <c r="D34" i="11"/>
  <c r="E34" i="11"/>
  <c r="F34" i="11"/>
  <c r="G34" i="11"/>
  <c r="H34" i="11"/>
  <c r="I34" i="11"/>
  <c r="K34" i="11"/>
  <c r="C33" i="11"/>
  <c r="D33" i="11"/>
  <c r="E33" i="11"/>
  <c r="F33" i="11"/>
  <c r="G33" i="11"/>
  <c r="H33" i="11"/>
  <c r="I33" i="11"/>
  <c r="K33" i="11"/>
  <c r="C32" i="11"/>
  <c r="D32" i="11"/>
  <c r="E32" i="11"/>
  <c r="F32" i="11"/>
  <c r="G32" i="11"/>
  <c r="H32" i="11"/>
  <c r="I32" i="11"/>
  <c r="K32" i="11"/>
  <c r="C31" i="11"/>
  <c r="D31" i="11"/>
  <c r="E31" i="11"/>
  <c r="F31" i="11"/>
  <c r="G31" i="11"/>
  <c r="H31" i="11"/>
  <c r="I31" i="11"/>
  <c r="K31" i="11"/>
  <c r="C30" i="11"/>
  <c r="D30" i="11"/>
  <c r="E30" i="11"/>
  <c r="F30" i="11"/>
  <c r="G30" i="11"/>
  <c r="H30" i="11"/>
  <c r="I30" i="11"/>
  <c r="K30" i="11"/>
  <c r="C29" i="11"/>
  <c r="D29" i="11"/>
  <c r="E29" i="11"/>
  <c r="F29" i="11"/>
  <c r="G29" i="11"/>
  <c r="H29" i="11"/>
  <c r="I29" i="11"/>
  <c r="K29" i="11"/>
  <c r="C28" i="11"/>
  <c r="D28" i="11"/>
  <c r="E28" i="11"/>
  <c r="F28" i="11"/>
  <c r="G28" i="11"/>
  <c r="H28" i="11"/>
  <c r="I28" i="11"/>
  <c r="K28" i="11"/>
  <c r="C27" i="11"/>
  <c r="D27" i="11"/>
  <c r="E27" i="11"/>
  <c r="F27" i="11"/>
  <c r="G27" i="11"/>
  <c r="H27" i="11"/>
  <c r="I27" i="11"/>
  <c r="K27" i="11"/>
  <c r="C26" i="11"/>
  <c r="D26" i="11"/>
  <c r="E26" i="11"/>
  <c r="F26" i="11"/>
  <c r="G26" i="11"/>
  <c r="H26" i="11"/>
  <c r="I26" i="11"/>
  <c r="K26" i="11"/>
  <c r="C25" i="11"/>
  <c r="D25" i="11"/>
  <c r="E25" i="11"/>
  <c r="F25" i="11"/>
  <c r="G25" i="11"/>
  <c r="H25" i="11"/>
  <c r="I25" i="11"/>
  <c r="K25" i="11"/>
  <c r="C24" i="11"/>
  <c r="D24" i="11"/>
  <c r="E24" i="11"/>
  <c r="F24" i="11"/>
  <c r="G24" i="11"/>
  <c r="H24" i="11"/>
  <c r="I24" i="11"/>
  <c r="K24" i="11"/>
  <c r="C23" i="11"/>
  <c r="D23" i="11"/>
  <c r="E23" i="11"/>
  <c r="F23" i="11"/>
  <c r="G23" i="11"/>
  <c r="H23" i="11"/>
  <c r="I23" i="11"/>
  <c r="K23" i="11"/>
  <c r="C22" i="11"/>
  <c r="D22" i="11"/>
  <c r="E22" i="11"/>
  <c r="F22" i="11"/>
  <c r="G22" i="11"/>
  <c r="H22" i="11"/>
  <c r="I22" i="11"/>
  <c r="K22" i="11"/>
  <c r="C49" i="14"/>
  <c r="C60" i="11"/>
  <c r="D60" i="11"/>
  <c r="E60" i="11"/>
  <c r="F60" i="11"/>
  <c r="G60" i="11"/>
  <c r="H60" i="11"/>
  <c r="I60" i="11"/>
  <c r="K60" i="11"/>
  <c r="C61" i="11"/>
  <c r="D61" i="11"/>
  <c r="E61" i="11"/>
  <c r="F61" i="11"/>
  <c r="G61" i="11"/>
  <c r="H61" i="11"/>
  <c r="I61" i="11"/>
  <c r="K61" i="11"/>
  <c r="C62" i="11"/>
  <c r="D62" i="11"/>
  <c r="E62" i="11"/>
  <c r="F62" i="11"/>
  <c r="G62" i="11"/>
  <c r="H62" i="11"/>
  <c r="I62" i="11"/>
  <c r="K62" i="11"/>
  <c r="C59" i="11"/>
  <c r="D59" i="11"/>
  <c r="E59" i="11"/>
  <c r="F59" i="11"/>
  <c r="G59" i="11"/>
  <c r="H59" i="11"/>
  <c r="I59" i="11"/>
  <c r="K59" i="11"/>
  <c r="C63" i="11"/>
  <c r="D63" i="11"/>
  <c r="E63" i="11"/>
  <c r="F63" i="11"/>
  <c r="G63" i="11"/>
  <c r="H63" i="11"/>
  <c r="I63" i="11"/>
  <c r="K63" i="11"/>
  <c r="C64" i="11"/>
  <c r="D64" i="11"/>
  <c r="E64" i="11"/>
  <c r="F64" i="11"/>
  <c r="G64" i="11"/>
  <c r="H64" i="11"/>
  <c r="I64" i="11"/>
  <c r="K64" i="11"/>
  <c r="C58" i="11"/>
  <c r="D58" i="11"/>
  <c r="E58" i="11"/>
  <c r="F58" i="11"/>
  <c r="G58" i="11"/>
  <c r="H58" i="11"/>
  <c r="I58" i="11"/>
  <c r="K58" i="11"/>
  <c r="C65" i="11"/>
  <c r="D65" i="11"/>
  <c r="E65" i="11"/>
  <c r="F65" i="11"/>
  <c r="G65" i="11"/>
  <c r="H65" i="11"/>
  <c r="I65" i="11"/>
  <c r="K65" i="11"/>
  <c r="C66" i="11"/>
  <c r="D66" i="11"/>
  <c r="E66" i="11"/>
  <c r="F66" i="11"/>
  <c r="G66" i="11"/>
  <c r="H66" i="11"/>
  <c r="I66" i="11"/>
  <c r="K66" i="11"/>
  <c r="C57" i="11"/>
  <c r="D57" i="11"/>
  <c r="E57" i="11"/>
  <c r="F57" i="11"/>
  <c r="G57" i="11"/>
  <c r="H57" i="11"/>
  <c r="I57" i="11"/>
  <c r="K57" i="11"/>
  <c r="C67" i="11"/>
  <c r="D67" i="11"/>
  <c r="E67" i="11"/>
  <c r="F67" i="11"/>
  <c r="G67" i="11"/>
  <c r="H67" i="11"/>
  <c r="I67" i="11"/>
  <c r="K67" i="11"/>
  <c r="C68" i="11"/>
  <c r="D68" i="11"/>
  <c r="E68" i="11"/>
  <c r="F68" i="11"/>
  <c r="G68" i="11"/>
  <c r="H68" i="11"/>
  <c r="I68" i="11"/>
  <c r="K68" i="11"/>
  <c r="C56" i="11"/>
  <c r="D56" i="11"/>
  <c r="E56" i="11"/>
  <c r="F56" i="11"/>
  <c r="G56" i="11"/>
  <c r="H56" i="11"/>
  <c r="I56" i="11"/>
  <c r="K56" i="11"/>
  <c r="C69" i="11"/>
  <c r="D69" i="11"/>
  <c r="E69" i="11"/>
  <c r="F69" i="11"/>
  <c r="G69" i="11"/>
  <c r="H69" i="11"/>
  <c r="I69" i="11"/>
  <c r="K69" i="11"/>
  <c r="C70" i="11"/>
  <c r="D70" i="11"/>
  <c r="E70" i="11"/>
  <c r="F70" i="11"/>
  <c r="G70" i="11"/>
  <c r="H70" i="11"/>
  <c r="I70" i="11"/>
  <c r="K70" i="11"/>
  <c r="C55" i="11"/>
  <c r="D55" i="11"/>
  <c r="E55" i="11"/>
  <c r="F55" i="11"/>
  <c r="G55" i="11"/>
  <c r="H55" i="11"/>
  <c r="I55" i="11"/>
  <c r="K55" i="11"/>
  <c r="C71" i="11"/>
  <c r="D71" i="11"/>
  <c r="E71" i="11"/>
  <c r="F71" i="11"/>
  <c r="G71" i="11"/>
  <c r="H71" i="11"/>
  <c r="I71" i="11"/>
  <c r="K71" i="11"/>
  <c r="C72" i="11"/>
  <c r="D72" i="11"/>
  <c r="E72" i="11"/>
  <c r="F72" i="11"/>
  <c r="G72" i="11"/>
  <c r="H72" i="11"/>
  <c r="I72" i="11"/>
  <c r="K72" i="11"/>
  <c r="C54" i="11"/>
  <c r="D54" i="11"/>
  <c r="E54" i="11"/>
  <c r="F54" i="11"/>
  <c r="G54" i="11"/>
  <c r="H54" i="11"/>
  <c r="I54" i="11"/>
  <c r="K54" i="11"/>
  <c r="C73" i="11"/>
  <c r="D73" i="11"/>
  <c r="E73" i="11"/>
  <c r="F73" i="11"/>
  <c r="G73" i="11"/>
  <c r="H73" i="11"/>
  <c r="I73" i="11"/>
  <c r="K73" i="11"/>
  <c r="C74" i="11"/>
  <c r="D74" i="11"/>
  <c r="E74" i="11"/>
  <c r="F74" i="11"/>
  <c r="G74" i="11"/>
  <c r="H74" i="11"/>
  <c r="I74" i="11"/>
  <c r="K74" i="11"/>
  <c r="C53" i="11"/>
  <c r="D53" i="11"/>
  <c r="E53" i="11"/>
  <c r="F53" i="11"/>
  <c r="G53" i="11"/>
  <c r="H53" i="11"/>
  <c r="I53" i="11"/>
  <c r="K53" i="11"/>
  <c r="C75" i="11"/>
  <c r="D75" i="11"/>
  <c r="E75" i="11"/>
  <c r="F75" i="11"/>
  <c r="G75" i="11"/>
  <c r="H75" i="11"/>
  <c r="I75" i="11"/>
  <c r="K75" i="11"/>
  <c r="C76" i="11"/>
  <c r="D76" i="11"/>
  <c r="E76" i="11"/>
  <c r="F76" i="11"/>
  <c r="G76" i="11"/>
  <c r="H76" i="11"/>
  <c r="I76" i="11"/>
  <c r="K76" i="11"/>
  <c r="C52" i="11"/>
  <c r="D52" i="11"/>
  <c r="E52" i="11"/>
  <c r="F52" i="11"/>
  <c r="G52" i="11"/>
  <c r="H52" i="11"/>
  <c r="I52" i="11"/>
  <c r="K52" i="11"/>
  <c r="C77" i="11"/>
  <c r="D77" i="11"/>
  <c r="E77" i="11"/>
  <c r="F77" i="11"/>
  <c r="G77" i="11"/>
  <c r="H77" i="11"/>
  <c r="I77" i="11"/>
  <c r="K77" i="11"/>
  <c r="C78" i="11"/>
  <c r="D78" i="11"/>
  <c r="E78" i="11"/>
  <c r="F78" i="11"/>
  <c r="G78" i="11"/>
  <c r="H78" i="11"/>
  <c r="I78" i="11"/>
  <c r="K78" i="11"/>
  <c r="C79" i="11"/>
  <c r="D79" i="11"/>
  <c r="E79" i="11"/>
  <c r="F79" i="11"/>
  <c r="G79" i="11"/>
  <c r="H79" i="11"/>
  <c r="I79" i="11"/>
  <c r="K79" i="11"/>
  <c r="C80" i="11"/>
  <c r="D80" i="11"/>
  <c r="E80" i="11"/>
  <c r="F80" i="11"/>
  <c r="G80" i="11"/>
  <c r="H80" i="11"/>
  <c r="I80" i="11"/>
  <c r="K80" i="11"/>
  <c r="C50" i="11"/>
  <c r="D50" i="11"/>
  <c r="E50" i="11"/>
  <c r="F50" i="11"/>
  <c r="G50" i="11"/>
  <c r="H50" i="11"/>
  <c r="I50" i="11"/>
  <c r="K50" i="11"/>
  <c r="C81" i="11"/>
  <c r="D81" i="11"/>
  <c r="E81" i="11"/>
  <c r="F81" i="11"/>
  <c r="G81" i="11"/>
  <c r="H81" i="11"/>
  <c r="I81" i="11"/>
  <c r="K81" i="11"/>
  <c r="C82" i="11"/>
  <c r="D82" i="11"/>
  <c r="E82" i="11"/>
  <c r="F82" i="11"/>
  <c r="G82" i="11"/>
  <c r="H82" i="11"/>
  <c r="I82" i="11"/>
  <c r="K82" i="11"/>
  <c r="C49" i="11"/>
  <c r="D49" i="11"/>
  <c r="E49" i="11"/>
  <c r="F49" i="11"/>
  <c r="G49" i="11"/>
  <c r="H49" i="11"/>
  <c r="I49" i="11"/>
  <c r="K49" i="11"/>
  <c r="C83" i="11"/>
  <c r="D83" i="11"/>
  <c r="E83" i="11"/>
  <c r="F83" i="11"/>
  <c r="G83" i="11"/>
  <c r="H83" i="11"/>
  <c r="I83" i="11"/>
  <c r="K83" i="11"/>
  <c r="C84" i="11"/>
  <c r="D84" i="11"/>
  <c r="E84" i="11"/>
  <c r="F84" i="11"/>
  <c r="G84" i="11"/>
  <c r="H84" i="11"/>
  <c r="I84" i="11"/>
  <c r="K84" i="11"/>
  <c r="C48" i="11"/>
  <c r="D48" i="11"/>
  <c r="E48" i="11"/>
  <c r="F48" i="11"/>
  <c r="G48" i="11"/>
  <c r="H48" i="11"/>
  <c r="I48" i="11"/>
  <c r="K48" i="11"/>
  <c r="C85" i="11"/>
  <c r="D85" i="11"/>
  <c r="E85" i="11"/>
  <c r="F85" i="11"/>
  <c r="G85" i="11"/>
  <c r="H85" i="11"/>
  <c r="I85" i="11"/>
  <c r="K85" i="11"/>
  <c r="C86" i="11"/>
  <c r="D86" i="11"/>
  <c r="E86" i="11"/>
  <c r="F86" i="11"/>
  <c r="G86" i="11"/>
  <c r="H86" i="11"/>
  <c r="I86" i="11"/>
  <c r="K86" i="11"/>
  <c r="C47" i="11"/>
  <c r="D47" i="11"/>
  <c r="E47" i="11"/>
  <c r="F47" i="11"/>
  <c r="G47" i="11"/>
  <c r="H47" i="11"/>
  <c r="I47" i="11"/>
  <c r="K47" i="11"/>
  <c r="C88" i="11"/>
  <c r="D88" i="11"/>
  <c r="E88" i="11"/>
  <c r="F88" i="11"/>
  <c r="G88" i="11"/>
  <c r="H88" i="11"/>
  <c r="I88" i="11"/>
  <c r="K88" i="11"/>
  <c r="C46" i="11"/>
  <c r="D46" i="11"/>
  <c r="E46" i="11"/>
  <c r="F46" i="11"/>
  <c r="G46" i="11"/>
  <c r="H46" i="11"/>
  <c r="I46" i="11"/>
  <c r="K46" i="11"/>
  <c r="C89" i="11"/>
  <c r="D89" i="11"/>
  <c r="E89" i="11"/>
  <c r="F89" i="11"/>
  <c r="G89" i="11"/>
  <c r="H89" i="11"/>
  <c r="I89" i="11"/>
  <c r="K89" i="11"/>
  <c r="C90" i="11"/>
  <c r="D90" i="11"/>
  <c r="E90" i="11"/>
  <c r="F90" i="11"/>
  <c r="G90" i="11"/>
  <c r="H90" i="11"/>
  <c r="I90" i="11"/>
  <c r="K90" i="11"/>
  <c r="C45" i="11"/>
  <c r="D45" i="11"/>
  <c r="E45" i="11"/>
  <c r="F45" i="11"/>
  <c r="G45" i="11"/>
  <c r="H45" i="11"/>
  <c r="I45" i="11"/>
  <c r="K45" i="11"/>
  <c r="C91" i="11"/>
  <c r="D91" i="11"/>
  <c r="E91" i="11"/>
  <c r="F91" i="11"/>
  <c r="G91" i="11"/>
  <c r="H91" i="11"/>
  <c r="I91" i="11"/>
  <c r="K91" i="11"/>
  <c r="C92" i="11"/>
  <c r="D92" i="11"/>
  <c r="E92" i="11"/>
  <c r="F92" i="11"/>
  <c r="G92" i="11"/>
  <c r="H92" i="11"/>
  <c r="I92" i="11"/>
  <c r="K92" i="11"/>
  <c r="C93" i="11"/>
  <c r="D93" i="11"/>
  <c r="E93" i="11"/>
  <c r="F93" i="11"/>
  <c r="G93" i="11"/>
  <c r="H93" i="11"/>
  <c r="I93" i="11"/>
  <c r="K93" i="11"/>
  <c r="C94" i="11"/>
  <c r="D94" i="11"/>
  <c r="E94" i="11"/>
  <c r="F94" i="11"/>
  <c r="G94" i="11"/>
  <c r="H94" i="11"/>
  <c r="I94" i="11"/>
  <c r="K94" i="11"/>
  <c r="C43" i="11"/>
  <c r="D43" i="11"/>
  <c r="E43" i="11"/>
  <c r="F43" i="11"/>
  <c r="G43" i="11"/>
  <c r="H43" i="11"/>
  <c r="I43" i="11"/>
  <c r="K43" i="11"/>
  <c r="C95" i="11"/>
  <c r="D95" i="11"/>
  <c r="E95" i="11"/>
  <c r="F95" i="11"/>
  <c r="G95" i="11"/>
  <c r="H95" i="11"/>
  <c r="I95" i="11"/>
  <c r="K95" i="11"/>
  <c r="C96" i="11"/>
  <c r="D96" i="11"/>
  <c r="E96" i="11"/>
  <c r="F96" i="11"/>
  <c r="G96" i="11"/>
  <c r="H96" i="11"/>
  <c r="I96" i="11"/>
  <c r="K96" i="11"/>
  <c r="C42" i="11"/>
  <c r="D42" i="11"/>
  <c r="E42" i="11"/>
  <c r="F42" i="11"/>
  <c r="G42" i="11"/>
  <c r="H42" i="11"/>
  <c r="I42" i="11"/>
  <c r="K42" i="11"/>
  <c r="G9" i="14"/>
  <c r="H9" i="14"/>
  <c r="I9" i="14"/>
  <c r="F10" i="14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41" i="13"/>
  <c r="H246" i="13"/>
  <c r="H255" i="13"/>
  <c r="H274" i="13"/>
  <c r="H288" i="13"/>
  <c r="H296" i="13"/>
  <c r="H301" i="13"/>
  <c r="H304" i="13"/>
  <c r="H309" i="13"/>
  <c r="H312" i="13"/>
  <c r="H316" i="13"/>
  <c r="H318" i="13"/>
  <c r="H344" i="13"/>
  <c r="H349" i="13"/>
  <c r="H352" i="13"/>
  <c r="H366" i="13"/>
  <c r="H373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239" i="13"/>
  <c r="H267" i="13"/>
  <c r="H294" i="13"/>
  <c r="H305" i="13"/>
  <c r="H306" i="13"/>
  <c r="H310" i="13"/>
  <c r="H319" i="13"/>
  <c r="H331" i="13"/>
  <c r="H338" i="13"/>
  <c r="H356" i="13"/>
  <c r="H361" i="13"/>
  <c r="H265" i="13"/>
  <c r="H270" i="13"/>
  <c r="H271" i="13"/>
  <c r="H276" i="13"/>
  <c r="H285" i="13"/>
  <c r="H300" i="13"/>
  <c r="H317" i="13"/>
  <c r="H320" i="13"/>
  <c r="H346" i="13"/>
  <c r="H365" i="13"/>
  <c r="H380" i="13"/>
  <c r="H244" i="13"/>
  <c r="H250" i="13"/>
  <c r="H298" i="13"/>
  <c r="H299" i="13"/>
  <c r="H303" i="13"/>
  <c r="H343" i="13"/>
  <c r="H348" i="13"/>
  <c r="H359" i="13"/>
  <c r="H362" i="13"/>
  <c r="H371" i="13"/>
  <c r="H377" i="13"/>
  <c r="H382" i="13"/>
  <c r="H388" i="13"/>
  <c r="H259" i="13"/>
  <c r="H272" i="13"/>
  <c r="H282" i="13"/>
  <c r="H287" i="13"/>
  <c r="H302" i="13"/>
  <c r="H314" i="13"/>
  <c r="H321" i="13"/>
  <c r="H328" i="13"/>
  <c r="H339" i="13"/>
  <c r="H353" i="13"/>
  <c r="H354" i="13"/>
  <c r="H355" i="13"/>
  <c r="H367" i="13"/>
  <c r="H376" i="13"/>
  <c r="H253" i="13"/>
  <c r="H258" i="13"/>
  <c r="H263" i="13"/>
  <c r="H266" i="13"/>
  <c r="H268" i="13"/>
  <c r="H269" i="13"/>
  <c r="H277" i="13"/>
  <c r="H281" i="13"/>
  <c r="H327" i="13"/>
  <c r="H334" i="13"/>
  <c r="H341" i="13"/>
  <c r="H358" i="13"/>
  <c r="H363" i="13"/>
  <c r="H374" i="13"/>
  <c r="H386" i="13"/>
  <c r="H242" i="13"/>
  <c r="H248" i="13"/>
  <c r="H249" i="13"/>
  <c r="H252" i="13"/>
  <c r="H257" i="13"/>
  <c r="H260" i="13"/>
  <c r="H275" i="13"/>
  <c r="H283" i="13"/>
  <c r="H289" i="13"/>
  <c r="H295" i="13"/>
  <c r="H297" i="13"/>
  <c r="H313" i="13"/>
  <c r="H337" i="13"/>
  <c r="H350" i="13"/>
  <c r="H351" i="13"/>
  <c r="H370" i="13"/>
  <c r="H385" i="13"/>
  <c r="H262" i="13"/>
  <c r="H264" i="13"/>
  <c r="H273" i="13"/>
  <c r="H280" i="13"/>
  <c r="H284" i="13"/>
  <c r="H290" i="13"/>
  <c r="H323" i="13"/>
  <c r="H324" i="13"/>
  <c r="H325" i="13"/>
  <c r="H329" i="13"/>
  <c r="H340" i="13"/>
  <c r="H345" i="13"/>
  <c r="H389" i="13"/>
  <c r="H247" i="13"/>
  <c r="H261" i="13"/>
  <c r="H292" i="13"/>
  <c r="H308" i="13"/>
  <c r="H311" i="13"/>
  <c r="H322" i="13"/>
  <c r="H342" i="13"/>
  <c r="H357" i="13"/>
  <c r="H364" i="13"/>
  <c r="H368" i="13"/>
  <c r="H375" i="13"/>
  <c r="H240" i="13"/>
  <c r="H245" i="13"/>
  <c r="H251" i="13"/>
  <c r="H254" i="13"/>
  <c r="H278" i="13"/>
  <c r="H286" i="13"/>
  <c r="H291" i="13"/>
  <c r="H293" i="13"/>
  <c r="H307" i="13"/>
  <c r="H315" i="13"/>
  <c r="H326" i="13"/>
  <c r="H332" i="13"/>
  <c r="H335" i="13"/>
  <c r="H347" i="13"/>
  <c r="H360" i="13"/>
  <c r="H369" i="13"/>
  <c r="H378" i="13"/>
  <c r="H379" i="13"/>
  <c r="H381" i="13"/>
  <c r="H243" i="13"/>
  <c r="H256" i="13"/>
  <c r="H279" i="13"/>
  <c r="H330" i="13"/>
  <c r="H333" i="13"/>
  <c r="H336" i="13"/>
  <c r="H372" i="13"/>
  <c r="H383" i="13"/>
  <c r="H384" i="13"/>
  <c r="H387" i="13"/>
  <c r="H390" i="13"/>
  <c r="M507" i="14"/>
  <c r="N507" i="14"/>
  <c r="M506" i="14"/>
  <c r="N506" i="14"/>
  <c r="M505" i="14"/>
  <c r="N505" i="14"/>
  <c r="M504" i="14"/>
  <c r="N504" i="14"/>
  <c r="M503" i="14"/>
  <c r="N503" i="14"/>
  <c r="M502" i="14"/>
  <c r="N502" i="14"/>
  <c r="M501" i="14"/>
  <c r="N501" i="14"/>
  <c r="M500" i="14"/>
  <c r="N500" i="14"/>
  <c r="M499" i="14"/>
  <c r="N499" i="14"/>
  <c r="M498" i="14"/>
  <c r="N498" i="14"/>
  <c r="M497" i="14"/>
  <c r="N497" i="14"/>
  <c r="M496" i="14"/>
  <c r="N496" i="14"/>
  <c r="M495" i="14"/>
  <c r="N495" i="14"/>
  <c r="M494" i="14"/>
  <c r="N494" i="14"/>
  <c r="M493" i="14"/>
  <c r="N493" i="14"/>
  <c r="M492" i="14"/>
  <c r="N492" i="14"/>
  <c r="M491" i="14"/>
  <c r="N491" i="14"/>
  <c r="M490" i="14"/>
  <c r="N490" i="14"/>
  <c r="M489" i="14"/>
  <c r="N489" i="14"/>
  <c r="M488" i="14"/>
  <c r="N488" i="14"/>
  <c r="M487" i="14"/>
  <c r="N487" i="14"/>
  <c r="M486" i="14"/>
  <c r="N486" i="14"/>
  <c r="M485" i="14"/>
  <c r="N485" i="14"/>
  <c r="M484" i="14"/>
  <c r="N484" i="14"/>
  <c r="M483" i="14"/>
  <c r="N483" i="14"/>
  <c r="M482" i="14"/>
  <c r="N482" i="14"/>
  <c r="M481" i="14"/>
  <c r="N481" i="14"/>
  <c r="M480" i="14"/>
  <c r="N480" i="14"/>
  <c r="M479" i="14"/>
  <c r="N479" i="14"/>
  <c r="M478" i="14"/>
  <c r="N478" i="14"/>
  <c r="M477" i="14"/>
  <c r="N477" i="14"/>
  <c r="M476" i="14"/>
  <c r="N476" i="14"/>
  <c r="M475" i="14"/>
  <c r="N475" i="14"/>
  <c r="M474" i="14"/>
  <c r="N474" i="14"/>
  <c r="M473" i="14"/>
  <c r="N473" i="14"/>
  <c r="M472" i="14"/>
  <c r="N472" i="14"/>
  <c r="M471" i="14"/>
  <c r="N471" i="14"/>
  <c r="M470" i="14"/>
  <c r="N470" i="14"/>
  <c r="M469" i="14"/>
  <c r="N469" i="14"/>
  <c r="M468" i="14"/>
  <c r="N468" i="14"/>
  <c r="M467" i="14"/>
  <c r="N467" i="14"/>
  <c r="M466" i="14"/>
  <c r="N466" i="14"/>
  <c r="M465" i="14"/>
  <c r="N465" i="14"/>
  <c r="M464" i="14"/>
  <c r="N464" i="14"/>
  <c r="M463" i="14"/>
  <c r="N463" i="14"/>
  <c r="M462" i="14"/>
  <c r="N462" i="14"/>
  <c r="M461" i="14"/>
  <c r="N461" i="14"/>
  <c r="M460" i="14"/>
  <c r="N460" i="14"/>
  <c r="M459" i="14"/>
  <c r="N459" i="14"/>
  <c r="M458" i="14"/>
  <c r="N458" i="14"/>
  <c r="M457" i="14"/>
  <c r="N457" i="14"/>
  <c r="M456" i="14"/>
  <c r="N456" i="14"/>
  <c r="M455" i="14"/>
  <c r="N455" i="14"/>
  <c r="M454" i="14"/>
  <c r="N454" i="14"/>
  <c r="M453" i="14"/>
  <c r="N453" i="14"/>
  <c r="M452" i="14"/>
  <c r="N452" i="14"/>
  <c r="M451" i="14"/>
  <c r="N451" i="14"/>
  <c r="M450" i="14"/>
  <c r="N450" i="14"/>
  <c r="M449" i="14"/>
  <c r="N449" i="14"/>
  <c r="M448" i="14"/>
  <c r="N448" i="14"/>
  <c r="M447" i="14"/>
  <c r="N447" i="14"/>
  <c r="M446" i="14"/>
  <c r="N446" i="14"/>
  <c r="M445" i="14"/>
  <c r="N445" i="14"/>
  <c r="M444" i="14"/>
  <c r="N444" i="14"/>
  <c r="M443" i="14"/>
  <c r="N443" i="14"/>
  <c r="M442" i="14"/>
  <c r="N442" i="14"/>
  <c r="M441" i="14"/>
  <c r="N441" i="14"/>
  <c r="M440" i="14"/>
  <c r="N440" i="14"/>
  <c r="M439" i="14"/>
  <c r="N439" i="14"/>
  <c r="M438" i="14"/>
  <c r="N438" i="14"/>
  <c r="M437" i="14"/>
  <c r="N437" i="14"/>
  <c r="M436" i="14"/>
  <c r="N436" i="14"/>
  <c r="M435" i="14"/>
  <c r="N435" i="14"/>
  <c r="M434" i="14"/>
  <c r="N434" i="14"/>
  <c r="M433" i="14"/>
  <c r="N433" i="14"/>
  <c r="M432" i="14"/>
  <c r="N432" i="14"/>
  <c r="M431" i="14"/>
  <c r="N431" i="14"/>
  <c r="M430" i="14"/>
  <c r="N430" i="14"/>
  <c r="M429" i="14"/>
  <c r="N429" i="14"/>
  <c r="M428" i="14"/>
  <c r="N428" i="14"/>
  <c r="M427" i="14"/>
  <c r="N427" i="14"/>
  <c r="M426" i="14"/>
  <c r="N426" i="14"/>
  <c r="M425" i="14"/>
  <c r="N425" i="14"/>
  <c r="M424" i="14"/>
  <c r="N424" i="14"/>
  <c r="M423" i="14"/>
  <c r="N423" i="14"/>
  <c r="M422" i="14"/>
  <c r="N422" i="14"/>
  <c r="M421" i="14"/>
  <c r="N421" i="14"/>
  <c r="M420" i="14"/>
  <c r="N420" i="14"/>
  <c r="M419" i="14"/>
  <c r="N419" i="14"/>
  <c r="M418" i="14"/>
  <c r="N418" i="14"/>
  <c r="M417" i="14"/>
  <c r="N417" i="14"/>
  <c r="M416" i="14"/>
  <c r="N416" i="14"/>
  <c r="M415" i="14"/>
  <c r="N415" i="14"/>
  <c r="M414" i="14"/>
  <c r="N414" i="14"/>
  <c r="M413" i="14"/>
  <c r="N413" i="14"/>
  <c r="M412" i="14"/>
  <c r="N412" i="14"/>
  <c r="M411" i="14"/>
  <c r="N411" i="14"/>
  <c r="M410" i="14"/>
  <c r="N410" i="14"/>
  <c r="M409" i="14"/>
  <c r="N409" i="14"/>
  <c r="M408" i="14"/>
  <c r="N408" i="14"/>
  <c r="M407" i="14"/>
  <c r="N407" i="14"/>
  <c r="M406" i="14"/>
  <c r="N406" i="14"/>
  <c r="M405" i="14"/>
  <c r="N405" i="14"/>
  <c r="M404" i="14"/>
  <c r="N404" i="14"/>
  <c r="M403" i="14"/>
  <c r="N403" i="14"/>
  <c r="M402" i="14"/>
  <c r="N402" i="14"/>
  <c r="M401" i="14"/>
  <c r="N401" i="14"/>
  <c r="M400" i="14"/>
  <c r="N400" i="14"/>
  <c r="M399" i="14"/>
  <c r="N399" i="14"/>
  <c r="M398" i="14"/>
  <c r="N398" i="14"/>
  <c r="M397" i="14"/>
  <c r="N397" i="14"/>
  <c r="M396" i="14"/>
  <c r="N396" i="14"/>
  <c r="M395" i="14"/>
  <c r="N395" i="14"/>
  <c r="M394" i="14"/>
  <c r="N394" i="14"/>
  <c r="M393" i="14"/>
  <c r="N393" i="14"/>
  <c r="M392" i="14"/>
  <c r="N392" i="14"/>
  <c r="M391" i="14"/>
  <c r="N391" i="14"/>
  <c r="M390" i="14"/>
  <c r="N390" i="14"/>
  <c r="M389" i="14"/>
  <c r="N389" i="14"/>
  <c r="M388" i="14"/>
  <c r="N388" i="14"/>
  <c r="M387" i="14"/>
  <c r="N387" i="14"/>
  <c r="M386" i="14"/>
  <c r="N386" i="14"/>
  <c r="M385" i="14"/>
  <c r="N385" i="14"/>
  <c r="M384" i="14"/>
  <c r="N384" i="14"/>
  <c r="M383" i="14"/>
  <c r="N383" i="14"/>
  <c r="M382" i="14"/>
  <c r="N382" i="14"/>
  <c r="M381" i="14"/>
  <c r="N381" i="14"/>
  <c r="M380" i="14"/>
  <c r="N380" i="14"/>
  <c r="M379" i="14"/>
  <c r="N379" i="14"/>
  <c r="M378" i="14"/>
  <c r="N378" i="14"/>
  <c r="M377" i="14"/>
  <c r="N377" i="14"/>
  <c r="M376" i="14"/>
  <c r="N376" i="14"/>
  <c r="M375" i="14"/>
  <c r="N375" i="14"/>
  <c r="M374" i="14"/>
  <c r="N374" i="14"/>
  <c r="M373" i="14"/>
  <c r="N373" i="14"/>
  <c r="M372" i="14"/>
  <c r="N372" i="14"/>
  <c r="M371" i="14"/>
  <c r="N371" i="14"/>
  <c r="M370" i="14"/>
  <c r="N370" i="14"/>
  <c r="M369" i="14"/>
  <c r="N369" i="14"/>
  <c r="M368" i="14"/>
  <c r="N368" i="14"/>
  <c r="M367" i="14"/>
  <c r="N367" i="14"/>
  <c r="M366" i="14"/>
  <c r="N366" i="14"/>
  <c r="M365" i="14"/>
  <c r="N365" i="14"/>
  <c r="M364" i="14"/>
  <c r="N364" i="14"/>
  <c r="M363" i="14"/>
  <c r="N363" i="14"/>
  <c r="M362" i="14"/>
  <c r="N362" i="14"/>
  <c r="M361" i="14"/>
  <c r="N361" i="14"/>
  <c r="M360" i="14"/>
  <c r="N360" i="14"/>
  <c r="M359" i="14"/>
  <c r="N359" i="14"/>
  <c r="M358" i="14"/>
  <c r="N358" i="14"/>
  <c r="M357" i="14"/>
  <c r="N357" i="14"/>
  <c r="M356" i="14"/>
  <c r="N356" i="14"/>
  <c r="M355" i="14"/>
  <c r="N355" i="14"/>
  <c r="M354" i="14"/>
  <c r="N354" i="14"/>
  <c r="M353" i="14"/>
  <c r="N353" i="14"/>
  <c r="M352" i="14"/>
  <c r="N352" i="14"/>
  <c r="M351" i="14"/>
  <c r="N351" i="14"/>
  <c r="M350" i="14"/>
  <c r="N350" i="14"/>
  <c r="M349" i="14"/>
  <c r="N349" i="14"/>
  <c r="M348" i="14"/>
  <c r="N348" i="14"/>
  <c r="M347" i="14"/>
  <c r="N347" i="14"/>
  <c r="M346" i="14"/>
  <c r="N346" i="14"/>
  <c r="M345" i="14"/>
  <c r="N345" i="14"/>
  <c r="M344" i="14"/>
  <c r="N344" i="14"/>
  <c r="M343" i="14"/>
  <c r="N343" i="14"/>
  <c r="M342" i="14"/>
  <c r="N342" i="14"/>
  <c r="M341" i="14"/>
  <c r="N341" i="14"/>
  <c r="M340" i="14"/>
  <c r="N340" i="14"/>
  <c r="M339" i="14"/>
  <c r="N339" i="14"/>
  <c r="M338" i="14"/>
  <c r="N338" i="14"/>
  <c r="M337" i="14"/>
  <c r="N337" i="14"/>
  <c r="M336" i="14"/>
  <c r="N336" i="14"/>
  <c r="M335" i="14"/>
  <c r="N335" i="14"/>
  <c r="M334" i="14"/>
  <c r="N334" i="14"/>
  <c r="M333" i="14"/>
  <c r="N333" i="14"/>
  <c r="M332" i="14"/>
  <c r="N332" i="14"/>
  <c r="M331" i="14"/>
  <c r="N331" i="14"/>
  <c r="M330" i="14"/>
  <c r="N330" i="14"/>
  <c r="M329" i="14"/>
  <c r="N329" i="14"/>
  <c r="M328" i="14"/>
  <c r="N328" i="14"/>
  <c r="M327" i="14"/>
  <c r="N327" i="14"/>
  <c r="M326" i="14"/>
  <c r="N326" i="14"/>
  <c r="M325" i="14"/>
  <c r="N325" i="14"/>
  <c r="M324" i="14"/>
  <c r="N324" i="14"/>
  <c r="M323" i="14"/>
  <c r="N323" i="14"/>
  <c r="M322" i="14"/>
  <c r="N322" i="14"/>
  <c r="M321" i="14"/>
  <c r="N321" i="14"/>
  <c r="M320" i="14"/>
  <c r="N320" i="14"/>
  <c r="M319" i="14"/>
  <c r="N319" i="14"/>
  <c r="M318" i="14"/>
  <c r="N318" i="14"/>
  <c r="M317" i="14"/>
  <c r="N317" i="14"/>
  <c r="M316" i="14"/>
  <c r="N316" i="14"/>
  <c r="M315" i="14"/>
  <c r="N315" i="14"/>
  <c r="M314" i="14"/>
  <c r="N314" i="14"/>
  <c r="M313" i="14"/>
  <c r="N313" i="14"/>
  <c r="M312" i="14"/>
  <c r="N312" i="14"/>
  <c r="M311" i="14"/>
  <c r="N311" i="14"/>
  <c r="M310" i="14"/>
  <c r="N310" i="14"/>
  <c r="M309" i="14"/>
  <c r="N309" i="14"/>
  <c r="M308" i="14"/>
  <c r="N308" i="14"/>
  <c r="M307" i="14"/>
  <c r="N307" i="14"/>
  <c r="M306" i="14"/>
  <c r="N306" i="14"/>
  <c r="M305" i="14"/>
  <c r="N305" i="14"/>
  <c r="M304" i="14"/>
  <c r="N304" i="14"/>
  <c r="M303" i="14"/>
  <c r="N303" i="14"/>
  <c r="M302" i="14"/>
  <c r="N302" i="14"/>
  <c r="M301" i="14"/>
  <c r="N301" i="14"/>
  <c r="M300" i="14"/>
  <c r="N300" i="14"/>
  <c r="M299" i="14"/>
  <c r="N299" i="14"/>
  <c r="M298" i="14"/>
  <c r="N298" i="14"/>
  <c r="M297" i="14"/>
  <c r="N297" i="14"/>
  <c r="M296" i="14"/>
  <c r="N296" i="14"/>
  <c r="M295" i="14"/>
  <c r="N295" i="14"/>
  <c r="M294" i="14"/>
  <c r="N294" i="14"/>
  <c r="M293" i="14"/>
  <c r="N293" i="14"/>
  <c r="M292" i="14"/>
  <c r="N292" i="14"/>
  <c r="M291" i="14"/>
  <c r="N291" i="14"/>
  <c r="M290" i="14"/>
  <c r="N290" i="14"/>
  <c r="M289" i="14"/>
  <c r="N289" i="14"/>
  <c r="M288" i="14"/>
  <c r="N288" i="14"/>
  <c r="M287" i="14"/>
  <c r="N287" i="14"/>
  <c r="M286" i="14"/>
  <c r="N286" i="14"/>
  <c r="M285" i="14"/>
  <c r="N285" i="14"/>
  <c r="M284" i="14"/>
  <c r="N284" i="14"/>
  <c r="M283" i="14"/>
  <c r="N283" i="14"/>
  <c r="M282" i="14"/>
  <c r="N282" i="14"/>
  <c r="M281" i="14"/>
  <c r="N281" i="14"/>
  <c r="M280" i="14"/>
  <c r="N280" i="14"/>
  <c r="M279" i="14"/>
  <c r="N279" i="14"/>
  <c r="M278" i="14"/>
  <c r="N278" i="14"/>
  <c r="M277" i="14"/>
  <c r="N277" i="14"/>
  <c r="M276" i="14"/>
  <c r="N276" i="14"/>
  <c r="M275" i="14"/>
  <c r="N275" i="14"/>
  <c r="M274" i="14"/>
  <c r="N274" i="14"/>
  <c r="M273" i="14"/>
  <c r="N273" i="14"/>
  <c r="M272" i="14"/>
  <c r="N272" i="14"/>
  <c r="M271" i="14"/>
  <c r="N271" i="14"/>
  <c r="M270" i="14"/>
  <c r="N270" i="14"/>
  <c r="M269" i="14"/>
  <c r="N269" i="14"/>
  <c r="M268" i="14"/>
  <c r="N268" i="14"/>
  <c r="M267" i="14"/>
  <c r="N267" i="14"/>
  <c r="M266" i="14"/>
  <c r="N266" i="14"/>
  <c r="M265" i="14"/>
  <c r="N265" i="14"/>
  <c r="M264" i="14"/>
  <c r="N264" i="14"/>
  <c r="M263" i="14"/>
  <c r="N263" i="14"/>
  <c r="M262" i="14"/>
  <c r="N262" i="14"/>
  <c r="M261" i="14"/>
  <c r="N261" i="14"/>
  <c r="M260" i="14"/>
  <c r="N260" i="14"/>
  <c r="M259" i="14"/>
  <c r="N259" i="14"/>
  <c r="M258" i="14"/>
  <c r="N258" i="14"/>
  <c r="M257" i="14"/>
  <c r="N257" i="14"/>
  <c r="M256" i="14"/>
  <c r="N256" i="14"/>
  <c r="M255" i="14"/>
  <c r="N255" i="14"/>
  <c r="M254" i="14"/>
  <c r="N254" i="14"/>
  <c r="M253" i="14"/>
  <c r="N253" i="14"/>
  <c r="M252" i="14"/>
  <c r="N252" i="14"/>
  <c r="M251" i="14"/>
  <c r="N251" i="14"/>
  <c r="M250" i="14"/>
  <c r="N250" i="14"/>
  <c r="M249" i="14"/>
  <c r="N249" i="14"/>
  <c r="M248" i="14"/>
  <c r="N248" i="14"/>
  <c r="M247" i="14"/>
  <c r="N247" i="14"/>
  <c r="M246" i="14"/>
  <c r="N246" i="14"/>
  <c r="M245" i="14"/>
  <c r="N245" i="14"/>
  <c r="M244" i="14"/>
  <c r="N244" i="14"/>
  <c r="M243" i="14"/>
  <c r="N243" i="14"/>
  <c r="M242" i="14"/>
  <c r="N242" i="14"/>
  <c r="M241" i="14"/>
  <c r="N241" i="14"/>
  <c r="M240" i="14"/>
  <c r="N240" i="14"/>
  <c r="M239" i="14"/>
  <c r="N239" i="14"/>
  <c r="M238" i="14"/>
  <c r="N238" i="14"/>
  <c r="M237" i="14"/>
  <c r="N237" i="14"/>
  <c r="M236" i="14"/>
  <c r="N236" i="14"/>
  <c r="M235" i="14"/>
  <c r="N235" i="14"/>
  <c r="M234" i="14"/>
  <c r="N234" i="14"/>
  <c r="M233" i="14"/>
  <c r="N233" i="14"/>
  <c r="M232" i="14"/>
  <c r="N232" i="14"/>
  <c r="M231" i="14"/>
  <c r="N231" i="14"/>
  <c r="M230" i="14"/>
  <c r="N230" i="14"/>
  <c r="M229" i="14"/>
  <c r="N229" i="14"/>
  <c r="M228" i="14"/>
  <c r="N228" i="14"/>
  <c r="M227" i="14"/>
  <c r="N227" i="14"/>
  <c r="M226" i="14"/>
  <c r="N226" i="14"/>
  <c r="M225" i="14"/>
  <c r="N225" i="14"/>
  <c r="M224" i="14"/>
  <c r="N224" i="14"/>
  <c r="M223" i="14"/>
  <c r="N223" i="14"/>
  <c r="M222" i="14"/>
  <c r="N222" i="14"/>
  <c r="M221" i="14"/>
  <c r="N221" i="14"/>
  <c r="M220" i="14"/>
  <c r="N220" i="14"/>
  <c r="M219" i="14"/>
  <c r="N219" i="14"/>
  <c r="M218" i="14"/>
  <c r="N218" i="14"/>
  <c r="M217" i="14"/>
  <c r="N217" i="14"/>
  <c r="M216" i="14"/>
  <c r="N216" i="14"/>
  <c r="M215" i="14"/>
  <c r="N215" i="14"/>
  <c r="M214" i="14"/>
  <c r="N214" i="14"/>
  <c r="M213" i="14"/>
  <c r="N213" i="14"/>
  <c r="M212" i="14"/>
  <c r="N212" i="14"/>
  <c r="M211" i="14"/>
  <c r="N211" i="14"/>
  <c r="M210" i="14"/>
  <c r="N210" i="14"/>
  <c r="M209" i="14"/>
  <c r="N209" i="14"/>
  <c r="M208" i="14"/>
  <c r="N208" i="14"/>
  <c r="M207" i="14"/>
  <c r="N207" i="14"/>
  <c r="M206" i="14"/>
  <c r="N206" i="14"/>
  <c r="M205" i="14"/>
  <c r="N205" i="14"/>
  <c r="M204" i="14"/>
  <c r="N204" i="14"/>
  <c r="M203" i="14"/>
  <c r="N203" i="14"/>
  <c r="M202" i="14"/>
  <c r="N202" i="14"/>
  <c r="M201" i="14"/>
  <c r="N201" i="14"/>
  <c r="M200" i="14"/>
  <c r="N200" i="14"/>
  <c r="M199" i="14"/>
  <c r="N199" i="14"/>
  <c r="M198" i="14"/>
  <c r="N198" i="14"/>
  <c r="M197" i="14"/>
  <c r="N197" i="14"/>
  <c r="M196" i="14"/>
  <c r="N196" i="14"/>
  <c r="M195" i="14"/>
  <c r="N195" i="14"/>
  <c r="M194" i="14"/>
  <c r="N194" i="14"/>
  <c r="M193" i="14"/>
  <c r="N193" i="14"/>
  <c r="M192" i="14"/>
  <c r="N192" i="14"/>
  <c r="M191" i="14"/>
  <c r="N191" i="14"/>
  <c r="M190" i="14"/>
  <c r="N190" i="14"/>
  <c r="M189" i="14"/>
  <c r="N189" i="14"/>
  <c r="M188" i="14"/>
  <c r="N188" i="14"/>
  <c r="M187" i="14"/>
  <c r="N187" i="14"/>
  <c r="M186" i="14"/>
  <c r="N186" i="14"/>
  <c r="M185" i="14"/>
  <c r="N185" i="14"/>
  <c r="M184" i="14"/>
  <c r="N184" i="14"/>
  <c r="M183" i="14"/>
  <c r="N183" i="14"/>
  <c r="M182" i="14"/>
  <c r="N182" i="14"/>
  <c r="M181" i="14"/>
  <c r="N181" i="14"/>
  <c r="M180" i="14"/>
  <c r="N180" i="14"/>
  <c r="M179" i="14"/>
  <c r="N179" i="14"/>
  <c r="M178" i="14"/>
  <c r="N178" i="14"/>
  <c r="M177" i="14"/>
  <c r="N177" i="14"/>
  <c r="M176" i="14"/>
  <c r="N176" i="14"/>
  <c r="M175" i="14"/>
  <c r="N175" i="14"/>
  <c r="M174" i="14"/>
  <c r="N174" i="14"/>
  <c r="M173" i="14"/>
  <c r="N173" i="14"/>
  <c r="M172" i="14"/>
  <c r="N172" i="14"/>
  <c r="M171" i="14"/>
  <c r="N171" i="14"/>
  <c r="M170" i="14"/>
  <c r="N170" i="14"/>
  <c r="M169" i="14"/>
  <c r="N169" i="14"/>
  <c r="M168" i="14"/>
  <c r="N168" i="14"/>
  <c r="M167" i="14"/>
  <c r="N167" i="14"/>
  <c r="M166" i="14"/>
  <c r="N166" i="14"/>
  <c r="M165" i="14"/>
  <c r="N165" i="14"/>
  <c r="M164" i="14"/>
  <c r="N164" i="14"/>
  <c r="M163" i="14"/>
  <c r="N163" i="14"/>
  <c r="M162" i="14"/>
  <c r="N162" i="14"/>
  <c r="M161" i="14"/>
  <c r="N161" i="14"/>
  <c r="M160" i="14"/>
  <c r="N160" i="14"/>
  <c r="M159" i="14"/>
  <c r="N159" i="14"/>
  <c r="M158" i="14"/>
  <c r="N158" i="14"/>
  <c r="M157" i="14"/>
  <c r="N157" i="14"/>
  <c r="M156" i="14"/>
  <c r="N156" i="14"/>
  <c r="M155" i="14"/>
  <c r="N155" i="14"/>
  <c r="M154" i="14"/>
  <c r="N154" i="14"/>
  <c r="M153" i="14"/>
  <c r="N153" i="14"/>
  <c r="M152" i="14"/>
  <c r="N152" i="14"/>
  <c r="M151" i="14"/>
  <c r="N151" i="14"/>
  <c r="M150" i="14"/>
  <c r="N150" i="14"/>
  <c r="M149" i="14"/>
  <c r="N149" i="14"/>
  <c r="M148" i="14"/>
  <c r="N148" i="14"/>
  <c r="M147" i="14"/>
  <c r="N147" i="14"/>
  <c r="M146" i="14"/>
  <c r="N146" i="14"/>
  <c r="M145" i="14"/>
  <c r="N145" i="14"/>
  <c r="M144" i="14"/>
  <c r="N144" i="14"/>
  <c r="M143" i="14"/>
  <c r="N143" i="14"/>
  <c r="M142" i="14"/>
  <c r="N142" i="14"/>
  <c r="M141" i="14"/>
  <c r="N141" i="14"/>
  <c r="M140" i="14"/>
  <c r="N140" i="14"/>
  <c r="M139" i="14"/>
  <c r="N139" i="14"/>
  <c r="M138" i="14"/>
  <c r="N138" i="14"/>
  <c r="M137" i="14"/>
  <c r="N137" i="14"/>
  <c r="M136" i="14"/>
  <c r="N136" i="14"/>
  <c r="M135" i="14"/>
  <c r="N135" i="14"/>
  <c r="M134" i="14"/>
  <c r="N134" i="14"/>
  <c r="M133" i="14"/>
  <c r="N133" i="14"/>
  <c r="M132" i="14"/>
  <c r="N132" i="14"/>
  <c r="M131" i="14"/>
  <c r="N131" i="14"/>
  <c r="M130" i="14"/>
  <c r="N130" i="14"/>
  <c r="M129" i="14"/>
  <c r="N129" i="14"/>
  <c r="M128" i="14"/>
  <c r="N128" i="14"/>
  <c r="M127" i="14"/>
  <c r="N127" i="14"/>
  <c r="M126" i="14"/>
  <c r="N126" i="14"/>
  <c r="M125" i="14"/>
  <c r="N125" i="14"/>
  <c r="M124" i="14"/>
  <c r="N124" i="14"/>
  <c r="M123" i="14"/>
  <c r="N123" i="14"/>
  <c r="M122" i="14"/>
  <c r="N122" i="14"/>
  <c r="M121" i="14"/>
  <c r="N121" i="14"/>
  <c r="M120" i="14"/>
  <c r="N120" i="14"/>
  <c r="M119" i="14"/>
  <c r="N119" i="14"/>
  <c r="M118" i="14"/>
  <c r="N118" i="14"/>
  <c r="M117" i="14"/>
  <c r="N117" i="14"/>
  <c r="M116" i="14"/>
  <c r="N116" i="14"/>
  <c r="M115" i="14"/>
  <c r="N115" i="14"/>
  <c r="M114" i="14"/>
  <c r="N114" i="14"/>
  <c r="M113" i="14"/>
  <c r="N113" i="14"/>
  <c r="M112" i="14"/>
  <c r="N112" i="14"/>
  <c r="M111" i="14"/>
  <c r="N111" i="14"/>
  <c r="M110" i="14"/>
  <c r="N110" i="14"/>
  <c r="M109" i="14"/>
  <c r="N109" i="14"/>
  <c r="M108" i="14"/>
  <c r="N108" i="14"/>
  <c r="M107" i="14"/>
  <c r="N107" i="14"/>
  <c r="M106" i="14"/>
  <c r="N106" i="14"/>
  <c r="M105" i="14"/>
  <c r="N105" i="14"/>
  <c r="M104" i="14"/>
  <c r="N104" i="14"/>
  <c r="M103" i="14"/>
  <c r="N103" i="14"/>
  <c r="M102" i="14"/>
  <c r="N102" i="14"/>
  <c r="M101" i="14"/>
  <c r="N101" i="14"/>
  <c r="M100" i="14"/>
  <c r="N100" i="14"/>
  <c r="M99" i="14"/>
  <c r="N99" i="14"/>
  <c r="M98" i="14"/>
  <c r="N98" i="14"/>
  <c r="M97" i="14"/>
  <c r="N97" i="14"/>
  <c r="M96" i="14"/>
  <c r="N96" i="14"/>
  <c r="M95" i="14"/>
  <c r="N95" i="14"/>
  <c r="M94" i="14"/>
  <c r="N94" i="14"/>
  <c r="M93" i="14"/>
  <c r="N93" i="14"/>
  <c r="M92" i="14"/>
  <c r="N92" i="14"/>
  <c r="M91" i="14"/>
  <c r="N91" i="14"/>
  <c r="M90" i="14"/>
  <c r="N90" i="14"/>
  <c r="M89" i="14"/>
  <c r="N89" i="14"/>
  <c r="M88" i="14"/>
  <c r="N88" i="14"/>
  <c r="M87" i="14"/>
  <c r="N87" i="14"/>
  <c r="M86" i="14"/>
  <c r="N86" i="14"/>
  <c r="M85" i="14"/>
  <c r="N85" i="14"/>
  <c r="M84" i="14"/>
  <c r="N84" i="14"/>
  <c r="M83" i="14"/>
  <c r="N83" i="14"/>
  <c r="M82" i="14"/>
  <c r="N82" i="14"/>
  <c r="M81" i="14"/>
  <c r="N81" i="14"/>
  <c r="M80" i="14"/>
  <c r="N80" i="14"/>
  <c r="M79" i="14"/>
  <c r="N79" i="14"/>
  <c r="M78" i="14"/>
  <c r="N78" i="14"/>
  <c r="M77" i="14"/>
  <c r="N77" i="14"/>
  <c r="M76" i="14"/>
  <c r="N76" i="14"/>
  <c r="M75" i="14"/>
  <c r="N75" i="14"/>
  <c r="M74" i="14"/>
  <c r="N74" i="14"/>
  <c r="M73" i="14"/>
  <c r="N73" i="14"/>
  <c r="M72" i="14"/>
  <c r="N72" i="14"/>
  <c r="M71" i="14"/>
  <c r="N71" i="14"/>
  <c r="M70" i="14"/>
  <c r="N70" i="14"/>
  <c r="M69" i="14"/>
  <c r="N69" i="14"/>
  <c r="M68" i="14"/>
  <c r="N68" i="14"/>
  <c r="M67" i="14"/>
  <c r="N67" i="14"/>
  <c r="M66" i="14"/>
  <c r="N66" i="14"/>
  <c r="M65" i="14"/>
  <c r="N65" i="14"/>
  <c r="M64" i="14"/>
  <c r="N64" i="14"/>
  <c r="M63" i="14"/>
  <c r="N63" i="14"/>
  <c r="M62" i="14"/>
  <c r="N62" i="14"/>
  <c r="M61" i="14"/>
  <c r="N61" i="14"/>
  <c r="M60" i="14"/>
  <c r="N60" i="14"/>
  <c r="M59" i="14"/>
  <c r="N59" i="14"/>
  <c r="M58" i="14"/>
  <c r="N58" i="14"/>
  <c r="M57" i="14"/>
  <c r="N57" i="14"/>
  <c r="M56" i="14"/>
  <c r="N56" i="14"/>
  <c r="M55" i="14"/>
  <c r="N55" i="14"/>
  <c r="M54" i="14"/>
  <c r="N54" i="14"/>
  <c r="M53" i="14"/>
  <c r="N53" i="14"/>
  <c r="M52" i="14"/>
  <c r="N52" i="14"/>
  <c r="M51" i="14"/>
  <c r="N51" i="14"/>
  <c r="M50" i="14"/>
  <c r="N50" i="14"/>
  <c r="M49" i="14"/>
  <c r="N49" i="14"/>
  <c r="M48" i="14"/>
  <c r="N48" i="14"/>
  <c r="M47" i="14"/>
  <c r="N47" i="14"/>
  <c r="M46" i="14"/>
  <c r="N46" i="14"/>
  <c r="M45" i="14"/>
  <c r="N45" i="14"/>
  <c r="M44" i="14"/>
  <c r="N44" i="14"/>
  <c r="M43" i="14"/>
  <c r="N43" i="14"/>
  <c r="M42" i="14"/>
  <c r="N42" i="14"/>
  <c r="M41" i="14"/>
  <c r="N41" i="14"/>
  <c r="M40" i="14"/>
  <c r="N40" i="14"/>
  <c r="M39" i="14"/>
  <c r="N39" i="14"/>
  <c r="M38" i="14"/>
  <c r="N38" i="14"/>
  <c r="M37" i="14"/>
  <c r="N37" i="14"/>
  <c r="M36" i="14"/>
  <c r="N36" i="14"/>
  <c r="M35" i="14"/>
  <c r="N35" i="14"/>
  <c r="M34" i="14"/>
  <c r="N34" i="14"/>
  <c r="M33" i="14"/>
  <c r="N33" i="14"/>
  <c r="M32" i="14"/>
  <c r="N32" i="14"/>
  <c r="M31" i="14"/>
  <c r="N31" i="14"/>
  <c r="M30" i="14"/>
  <c r="N30" i="14"/>
  <c r="M29" i="14"/>
  <c r="N29" i="14"/>
  <c r="M28" i="14"/>
  <c r="N28" i="14"/>
  <c r="M27" i="14"/>
  <c r="N27" i="14"/>
  <c r="M26" i="14"/>
  <c r="N26" i="14"/>
  <c r="M25" i="14"/>
  <c r="N25" i="14"/>
  <c r="M24" i="14"/>
  <c r="N24" i="14"/>
  <c r="M23" i="14"/>
  <c r="N23" i="14"/>
  <c r="M22" i="14"/>
  <c r="N22" i="14"/>
  <c r="M20" i="14"/>
  <c r="N20" i="14"/>
  <c r="M19" i="14"/>
  <c r="N19" i="14"/>
  <c r="M18" i="14"/>
  <c r="N18" i="14"/>
  <c r="M17" i="14"/>
  <c r="N17" i="14"/>
  <c r="M16" i="14"/>
  <c r="N16" i="14"/>
  <c r="M15" i="14"/>
  <c r="N15" i="14"/>
  <c r="M14" i="14"/>
  <c r="N14" i="14"/>
  <c r="M13" i="14"/>
  <c r="N13" i="14"/>
  <c r="M12" i="14"/>
  <c r="N12" i="14"/>
  <c r="M11" i="14"/>
  <c r="N11" i="14"/>
  <c r="M10" i="14"/>
  <c r="N10" i="14"/>
  <c r="M9" i="14"/>
  <c r="N9" i="14"/>
  <c r="M8" i="14"/>
  <c r="N8" i="14"/>
  <c r="C10" i="14"/>
  <c r="C11" i="14"/>
  <c r="C12" i="14"/>
  <c r="C13" i="14"/>
  <c r="C14" i="14"/>
  <c r="G33" i="14" s="1"/>
  <c r="C15" i="14"/>
  <c r="C16" i="14"/>
  <c r="C19" i="14"/>
  <c r="C20" i="14"/>
  <c r="C62" i="14" s="1"/>
  <c r="L8" i="14"/>
  <c r="C18" i="14"/>
  <c r="C68" i="14" s="1"/>
  <c r="K507" i="8"/>
  <c r="L507" i="8"/>
  <c r="M507" i="8"/>
  <c r="K506" i="8"/>
  <c r="L506" i="8"/>
  <c r="M506" i="8"/>
  <c r="K505" i="8"/>
  <c r="L505" i="8"/>
  <c r="M505" i="8"/>
  <c r="K504" i="8"/>
  <c r="L504" i="8"/>
  <c r="M504" i="8"/>
  <c r="K503" i="8"/>
  <c r="L503" i="8"/>
  <c r="M503" i="8"/>
  <c r="K502" i="8"/>
  <c r="L502" i="8"/>
  <c r="M502" i="8"/>
  <c r="K501" i="8"/>
  <c r="L501" i="8"/>
  <c r="M501" i="8"/>
  <c r="K500" i="8"/>
  <c r="L500" i="8"/>
  <c r="M500" i="8"/>
  <c r="K499" i="8"/>
  <c r="L499" i="8"/>
  <c r="M499" i="8"/>
  <c r="K498" i="8"/>
  <c r="L498" i="8"/>
  <c r="M498" i="8"/>
  <c r="K497" i="8"/>
  <c r="L497" i="8"/>
  <c r="M497" i="8"/>
  <c r="K496" i="8"/>
  <c r="L496" i="8"/>
  <c r="M496" i="8"/>
  <c r="K495" i="8"/>
  <c r="L495" i="8"/>
  <c r="M495" i="8"/>
  <c r="K494" i="8"/>
  <c r="L494" i="8"/>
  <c r="M494" i="8"/>
  <c r="K493" i="8"/>
  <c r="L493" i="8"/>
  <c r="M493" i="8"/>
  <c r="K492" i="8"/>
  <c r="L492" i="8"/>
  <c r="M492" i="8"/>
  <c r="K491" i="8"/>
  <c r="L491" i="8"/>
  <c r="M491" i="8"/>
  <c r="K490" i="8"/>
  <c r="L490" i="8"/>
  <c r="M490" i="8"/>
  <c r="K489" i="8"/>
  <c r="L489" i="8"/>
  <c r="M489" i="8"/>
  <c r="K488" i="8"/>
  <c r="L488" i="8"/>
  <c r="M488" i="8"/>
  <c r="K487" i="8"/>
  <c r="L487" i="8"/>
  <c r="M487" i="8"/>
  <c r="K486" i="8"/>
  <c r="L486" i="8"/>
  <c r="M486" i="8"/>
  <c r="K485" i="8"/>
  <c r="L485" i="8"/>
  <c r="M485" i="8"/>
  <c r="K484" i="8"/>
  <c r="L484" i="8"/>
  <c r="M484" i="8"/>
  <c r="K483" i="8"/>
  <c r="L483" i="8"/>
  <c r="M483" i="8"/>
  <c r="K482" i="8"/>
  <c r="L482" i="8"/>
  <c r="M482" i="8"/>
  <c r="K481" i="8"/>
  <c r="L481" i="8"/>
  <c r="M481" i="8"/>
  <c r="K480" i="8"/>
  <c r="L480" i="8"/>
  <c r="M480" i="8"/>
  <c r="K479" i="8"/>
  <c r="L479" i="8"/>
  <c r="M479" i="8"/>
  <c r="K478" i="8"/>
  <c r="L478" i="8"/>
  <c r="M478" i="8"/>
  <c r="K477" i="8"/>
  <c r="L477" i="8"/>
  <c r="M477" i="8"/>
  <c r="K476" i="8"/>
  <c r="L476" i="8"/>
  <c r="M476" i="8"/>
  <c r="K475" i="8"/>
  <c r="L475" i="8"/>
  <c r="M475" i="8"/>
  <c r="K474" i="8"/>
  <c r="L474" i="8"/>
  <c r="M474" i="8"/>
  <c r="K473" i="8"/>
  <c r="L473" i="8"/>
  <c r="M473" i="8"/>
  <c r="K472" i="8"/>
  <c r="L472" i="8"/>
  <c r="M472" i="8"/>
  <c r="K471" i="8"/>
  <c r="L471" i="8"/>
  <c r="M471" i="8"/>
  <c r="K470" i="8"/>
  <c r="L470" i="8"/>
  <c r="M470" i="8"/>
  <c r="K469" i="8"/>
  <c r="L469" i="8"/>
  <c r="M469" i="8"/>
  <c r="K468" i="8"/>
  <c r="L468" i="8"/>
  <c r="M468" i="8"/>
  <c r="K467" i="8"/>
  <c r="L467" i="8"/>
  <c r="M467" i="8"/>
  <c r="K466" i="8"/>
  <c r="L466" i="8"/>
  <c r="M466" i="8"/>
  <c r="K465" i="8"/>
  <c r="L465" i="8"/>
  <c r="M465" i="8"/>
  <c r="K464" i="8"/>
  <c r="L464" i="8"/>
  <c r="M464" i="8"/>
  <c r="K463" i="8"/>
  <c r="L463" i="8"/>
  <c r="M463" i="8"/>
  <c r="K462" i="8"/>
  <c r="L462" i="8"/>
  <c r="M462" i="8"/>
  <c r="K461" i="8"/>
  <c r="L461" i="8"/>
  <c r="M461" i="8"/>
  <c r="K460" i="8"/>
  <c r="L460" i="8"/>
  <c r="M460" i="8"/>
  <c r="K459" i="8"/>
  <c r="L459" i="8"/>
  <c r="M459" i="8"/>
  <c r="K458" i="8"/>
  <c r="L458" i="8"/>
  <c r="M458" i="8"/>
  <c r="K457" i="8"/>
  <c r="L457" i="8"/>
  <c r="M457" i="8"/>
  <c r="K456" i="8"/>
  <c r="L456" i="8"/>
  <c r="M456" i="8"/>
  <c r="K455" i="8"/>
  <c r="L455" i="8"/>
  <c r="M455" i="8"/>
  <c r="K454" i="8"/>
  <c r="L454" i="8"/>
  <c r="M454" i="8"/>
  <c r="K453" i="8"/>
  <c r="L453" i="8"/>
  <c r="M453" i="8"/>
  <c r="K452" i="8"/>
  <c r="L452" i="8"/>
  <c r="M452" i="8"/>
  <c r="K451" i="8"/>
  <c r="L451" i="8"/>
  <c r="M451" i="8"/>
  <c r="K450" i="8"/>
  <c r="L450" i="8"/>
  <c r="M450" i="8"/>
  <c r="K449" i="8"/>
  <c r="L449" i="8"/>
  <c r="M449" i="8"/>
  <c r="K448" i="8"/>
  <c r="L448" i="8"/>
  <c r="M448" i="8"/>
  <c r="K447" i="8"/>
  <c r="L447" i="8"/>
  <c r="M447" i="8"/>
  <c r="K446" i="8"/>
  <c r="L446" i="8"/>
  <c r="M446" i="8"/>
  <c r="K445" i="8"/>
  <c r="L445" i="8"/>
  <c r="M445" i="8"/>
  <c r="K444" i="8"/>
  <c r="L444" i="8"/>
  <c r="M444" i="8"/>
  <c r="K443" i="8"/>
  <c r="L443" i="8"/>
  <c r="M443" i="8"/>
  <c r="K442" i="8"/>
  <c r="L442" i="8"/>
  <c r="M442" i="8"/>
  <c r="K441" i="8"/>
  <c r="L441" i="8"/>
  <c r="M441" i="8"/>
  <c r="K440" i="8"/>
  <c r="L440" i="8"/>
  <c r="M440" i="8"/>
  <c r="K439" i="8"/>
  <c r="L439" i="8"/>
  <c r="M439" i="8"/>
  <c r="K438" i="8"/>
  <c r="L438" i="8"/>
  <c r="M438" i="8"/>
  <c r="K437" i="8"/>
  <c r="L437" i="8"/>
  <c r="M437" i="8"/>
  <c r="K436" i="8"/>
  <c r="L436" i="8"/>
  <c r="M436" i="8"/>
  <c r="K435" i="8"/>
  <c r="L435" i="8"/>
  <c r="M435" i="8"/>
  <c r="K434" i="8"/>
  <c r="L434" i="8"/>
  <c r="M434" i="8"/>
  <c r="K433" i="8"/>
  <c r="L433" i="8"/>
  <c r="M433" i="8"/>
  <c r="K432" i="8"/>
  <c r="L432" i="8"/>
  <c r="M432" i="8"/>
  <c r="K431" i="8"/>
  <c r="L431" i="8"/>
  <c r="M431" i="8"/>
  <c r="K430" i="8"/>
  <c r="L430" i="8"/>
  <c r="M430" i="8"/>
  <c r="K429" i="8"/>
  <c r="L429" i="8"/>
  <c r="M429" i="8"/>
  <c r="K428" i="8"/>
  <c r="L428" i="8"/>
  <c r="M428" i="8"/>
  <c r="K427" i="8"/>
  <c r="L427" i="8"/>
  <c r="M427" i="8"/>
  <c r="K426" i="8"/>
  <c r="L426" i="8"/>
  <c r="M426" i="8"/>
  <c r="K425" i="8"/>
  <c r="L425" i="8"/>
  <c r="M425" i="8"/>
  <c r="K424" i="8"/>
  <c r="L424" i="8"/>
  <c r="M424" i="8"/>
  <c r="K423" i="8"/>
  <c r="L423" i="8"/>
  <c r="M423" i="8"/>
  <c r="K422" i="8"/>
  <c r="L422" i="8"/>
  <c r="M422" i="8"/>
  <c r="K421" i="8"/>
  <c r="L421" i="8"/>
  <c r="M421" i="8"/>
  <c r="K420" i="8"/>
  <c r="L420" i="8"/>
  <c r="M420" i="8"/>
  <c r="K419" i="8"/>
  <c r="L419" i="8"/>
  <c r="M419" i="8"/>
  <c r="K418" i="8"/>
  <c r="L418" i="8"/>
  <c r="M418" i="8"/>
  <c r="K417" i="8"/>
  <c r="L417" i="8"/>
  <c r="M417" i="8"/>
  <c r="K416" i="8"/>
  <c r="L416" i="8"/>
  <c r="M416" i="8"/>
  <c r="K415" i="8"/>
  <c r="L415" i="8"/>
  <c r="M415" i="8"/>
  <c r="K414" i="8"/>
  <c r="L414" i="8"/>
  <c r="M414" i="8"/>
  <c r="K413" i="8"/>
  <c r="L413" i="8"/>
  <c r="M413" i="8"/>
  <c r="K412" i="8"/>
  <c r="L412" i="8"/>
  <c r="M412" i="8"/>
  <c r="K411" i="8"/>
  <c r="L411" i="8"/>
  <c r="M411" i="8"/>
  <c r="K410" i="8"/>
  <c r="L410" i="8"/>
  <c r="M410" i="8"/>
  <c r="K409" i="8"/>
  <c r="L409" i="8"/>
  <c r="M409" i="8"/>
  <c r="K408" i="8"/>
  <c r="L408" i="8"/>
  <c r="M408" i="8"/>
  <c r="K407" i="8"/>
  <c r="L407" i="8"/>
  <c r="M407" i="8"/>
  <c r="K406" i="8"/>
  <c r="L406" i="8"/>
  <c r="M406" i="8"/>
  <c r="K405" i="8"/>
  <c r="L405" i="8"/>
  <c r="M405" i="8"/>
  <c r="K404" i="8"/>
  <c r="L404" i="8"/>
  <c r="M404" i="8"/>
  <c r="K403" i="8"/>
  <c r="L403" i="8"/>
  <c r="M403" i="8"/>
  <c r="K402" i="8"/>
  <c r="L402" i="8"/>
  <c r="M402" i="8"/>
  <c r="K401" i="8"/>
  <c r="L401" i="8"/>
  <c r="M401" i="8"/>
  <c r="K400" i="8"/>
  <c r="L400" i="8"/>
  <c r="M400" i="8"/>
  <c r="K399" i="8"/>
  <c r="L399" i="8"/>
  <c r="M399" i="8"/>
  <c r="K398" i="8"/>
  <c r="L398" i="8"/>
  <c r="M398" i="8"/>
  <c r="K397" i="8"/>
  <c r="L397" i="8"/>
  <c r="M397" i="8"/>
  <c r="K396" i="8"/>
  <c r="L396" i="8"/>
  <c r="M396" i="8"/>
  <c r="K395" i="8"/>
  <c r="L395" i="8"/>
  <c r="M395" i="8"/>
  <c r="K394" i="8"/>
  <c r="L394" i="8"/>
  <c r="M394" i="8"/>
  <c r="K393" i="8"/>
  <c r="L393" i="8"/>
  <c r="M393" i="8"/>
  <c r="K392" i="8"/>
  <c r="L392" i="8"/>
  <c r="M392" i="8"/>
  <c r="K391" i="8"/>
  <c r="L391" i="8"/>
  <c r="M391" i="8"/>
  <c r="K390" i="8"/>
  <c r="L390" i="8"/>
  <c r="M390" i="8"/>
  <c r="K389" i="8"/>
  <c r="L389" i="8"/>
  <c r="M389" i="8"/>
  <c r="K388" i="8"/>
  <c r="L388" i="8"/>
  <c r="M388" i="8"/>
  <c r="K387" i="8"/>
  <c r="L387" i="8"/>
  <c r="M387" i="8"/>
  <c r="K386" i="8"/>
  <c r="L386" i="8"/>
  <c r="M386" i="8"/>
  <c r="K385" i="8"/>
  <c r="L385" i="8"/>
  <c r="M385" i="8"/>
  <c r="K384" i="8"/>
  <c r="L384" i="8"/>
  <c r="M384" i="8"/>
  <c r="K383" i="8"/>
  <c r="L383" i="8"/>
  <c r="M383" i="8"/>
  <c r="K382" i="8"/>
  <c r="L382" i="8"/>
  <c r="M382" i="8"/>
  <c r="K381" i="8"/>
  <c r="L381" i="8"/>
  <c r="M381" i="8"/>
  <c r="K380" i="8"/>
  <c r="L380" i="8"/>
  <c r="M380" i="8"/>
  <c r="K379" i="8"/>
  <c r="L379" i="8"/>
  <c r="M379" i="8"/>
  <c r="K378" i="8"/>
  <c r="L378" i="8"/>
  <c r="M378" i="8"/>
  <c r="K377" i="8"/>
  <c r="L377" i="8"/>
  <c r="M377" i="8"/>
  <c r="K376" i="8"/>
  <c r="L376" i="8"/>
  <c r="M376" i="8"/>
  <c r="K375" i="8"/>
  <c r="L375" i="8"/>
  <c r="M375" i="8"/>
  <c r="K374" i="8"/>
  <c r="L374" i="8"/>
  <c r="M374" i="8"/>
  <c r="K373" i="8"/>
  <c r="L373" i="8"/>
  <c r="M373" i="8"/>
  <c r="K372" i="8"/>
  <c r="L372" i="8"/>
  <c r="M372" i="8"/>
  <c r="K371" i="8"/>
  <c r="L371" i="8"/>
  <c r="M371" i="8"/>
  <c r="K370" i="8"/>
  <c r="L370" i="8"/>
  <c r="M370" i="8"/>
  <c r="K369" i="8"/>
  <c r="L369" i="8"/>
  <c r="M369" i="8"/>
  <c r="K368" i="8"/>
  <c r="L368" i="8"/>
  <c r="M368" i="8"/>
  <c r="K367" i="8"/>
  <c r="L367" i="8"/>
  <c r="M367" i="8"/>
  <c r="K366" i="8"/>
  <c r="L366" i="8"/>
  <c r="M366" i="8"/>
  <c r="K365" i="8"/>
  <c r="L365" i="8"/>
  <c r="M365" i="8"/>
  <c r="K364" i="8"/>
  <c r="L364" i="8"/>
  <c r="M364" i="8"/>
  <c r="K363" i="8"/>
  <c r="L363" i="8"/>
  <c r="M363" i="8"/>
  <c r="K362" i="8"/>
  <c r="L362" i="8"/>
  <c r="M362" i="8"/>
  <c r="K361" i="8"/>
  <c r="L361" i="8"/>
  <c r="M361" i="8"/>
  <c r="K360" i="8"/>
  <c r="L360" i="8"/>
  <c r="M360" i="8"/>
  <c r="K359" i="8"/>
  <c r="L359" i="8"/>
  <c r="M359" i="8"/>
  <c r="K358" i="8"/>
  <c r="L358" i="8"/>
  <c r="M358" i="8"/>
  <c r="K357" i="8"/>
  <c r="L357" i="8"/>
  <c r="M357" i="8"/>
  <c r="K356" i="8"/>
  <c r="L356" i="8"/>
  <c r="M356" i="8"/>
  <c r="K355" i="8"/>
  <c r="L355" i="8"/>
  <c r="M355" i="8"/>
  <c r="K354" i="8"/>
  <c r="L354" i="8"/>
  <c r="M354" i="8"/>
  <c r="K353" i="8"/>
  <c r="L353" i="8"/>
  <c r="M353" i="8"/>
  <c r="K352" i="8"/>
  <c r="L352" i="8"/>
  <c r="M352" i="8"/>
  <c r="K351" i="8"/>
  <c r="L351" i="8"/>
  <c r="M351" i="8"/>
  <c r="K350" i="8"/>
  <c r="L350" i="8"/>
  <c r="M350" i="8"/>
  <c r="K349" i="8"/>
  <c r="L349" i="8"/>
  <c r="M349" i="8"/>
  <c r="K348" i="8"/>
  <c r="L348" i="8"/>
  <c r="M348" i="8"/>
  <c r="K347" i="8"/>
  <c r="L347" i="8"/>
  <c r="M347" i="8"/>
  <c r="K346" i="8"/>
  <c r="L346" i="8"/>
  <c r="M346" i="8"/>
  <c r="K345" i="8"/>
  <c r="L345" i="8"/>
  <c r="M345" i="8"/>
  <c r="K344" i="8"/>
  <c r="L344" i="8"/>
  <c r="M344" i="8"/>
  <c r="K343" i="8"/>
  <c r="L343" i="8"/>
  <c r="M343" i="8"/>
  <c r="K342" i="8"/>
  <c r="L342" i="8"/>
  <c r="M342" i="8"/>
  <c r="K341" i="8"/>
  <c r="L341" i="8"/>
  <c r="M341" i="8"/>
  <c r="K340" i="8"/>
  <c r="L340" i="8"/>
  <c r="M340" i="8"/>
  <c r="K339" i="8"/>
  <c r="L339" i="8"/>
  <c r="M339" i="8"/>
  <c r="K338" i="8"/>
  <c r="L338" i="8"/>
  <c r="M338" i="8"/>
  <c r="K337" i="8"/>
  <c r="L337" i="8"/>
  <c r="M337" i="8"/>
  <c r="K336" i="8"/>
  <c r="L336" i="8"/>
  <c r="M336" i="8"/>
  <c r="K335" i="8"/>
  <c r="L335" i="8"/>
  <c r="M335" i="8"/>
  <c r="K334" i="8"/>
  <c r="L334" i="8"/>
  <c r="M334" i="8"/>
  <c r="K333" i="8"/>
  <c r="L333" i="8"/>
  <c r="M333" i="8"/>
  <c r="K332" i="8"/>
  <c r="L332" i="8"/>
  <c r="M332" i="8"/>
  <c r="K331" i="8"/>
  <c r="L331" i="8"/>
  <c r="M331" i="8"/>
  <c r="K330" i="8"/>
  <c r="L330" i="8"/>
  <c r="M330" i="8"/>
  <c r="K329" i="8"/>
  <c r="L329" i="8"/>
  <c r="M329" i="8"/>
  <c r="K328" i="8"/>
  <c r="L328" i="8"/>
  <c r="M328" i="8"/>
  <c r="K327" i="8"/>
  <c r="L327" i="8"/>
  <c r="M327" i="8"/>
  <c r="K326" i="8"/>
  <c r="L326" i="8"/>
  <c r="M326" i="8"/>
  <c r="K325" i="8"/>
  <c r="L325" i="8"/>
  <c r="M325" i="8"/>
  <c r="K324" i="8"/>
  <c r="L324" i="8"/>
  <c r="M324" i="8"/>
  <c r="K323" i="8"/>
  <c r="L323" i="8"/>
  <c r="M323" i="8"/>
  <c r="K322" i="8"/>
  <c r="L322" i="8"/>
  <c r="M322" i="8"/>
  <c r="K321" i="8"/>
  <c r="L321" i="8"/>
  <c r="M321" i="8"/>
  <c r="K320" i="8"/>
  <c r="L320" i="8"/>
  <c r="M320" i="8"/>
  <c r="K319" i="8"/>
  <c r="L319" i="8"/>
  <c r="M319" i="8"/>
  <c r="K318" i="8"/>
  <c r="L318" i="8"/>
  <c r="M318" i="8"/>
  <c r="K317" i="8"/>
  <c r="L317" i="8"/>
  <c r="M317" i="8"/>
  <c r="K316" i="8"/>
  <c r="L316" i="8"/>
  <c r="M316" i="8"/>
  <c r="K315" i="8"/>
  <c r="L315" i="8"/>
  <c r="M315" i="8"/>
  <c r="K314" i="8"/>
  <c r="L314" i="8"/>
  <c r="M314" i="8"/>
  <c r="K313" i="8"/>
  <c r="L313" i="8"/>
  <c r="M313" i="8"/>
  <c r="K312" i="8"/>
  <c r="L312" i="8"/>
  <c r="M312" i="8"/>
  <c r="K311" i="8"/>
  <c r="L311" i="8"/>
  <c r="M311" i="8"/>
  <c r="K310" i="8"/>
  <c r="L310" i="8"/>
  <c r="M310" i="8"/>
  <c r="K309" i="8"/>
  <c r="L309" i="8"/>
  <c r="M309" i="8"/>
  <c r="K308" i="8"/>
  <c r="L308" i="8"/>
  <c r="M308" i="8"/>
  <c r="K307" i="8"/>
  <c r="L307" i="8"/>
  <c r="M307" i="8"/>
  <c r="K306" i="8"/>
  <c r="L306" i="8"/>
  <c r="M306" i="8"/>
  <c r="K305" i="8"/>
  <c r="L305" i="8"/>
  <c r="M305" i="8"/>
  <c r="K304" i="8"/>
  <c r="L304" i="8"/>
  <c r="M304" i="8"/>
  <c r="K303" i="8"/>
  <c r="L303" i="8"/>
  <c r="M303" i="8"/>
  <c r="K302" i="8"/>
  <c r="L302" i="8"/>
  <c r="M302" i="8"/>
  <c r="K301" i="8"/>
  <c r="L301" i="8"/>
  <c r="M301" i="8"/>
  <c r="K300" i="8"/>
  <c r="L300" i="8"/>
  <c r="M300" i="8"/>
  <c r="K299" i="8"/>
  <c r="L299" i="8"/>
  <c r="M299" i="8"/>
  <c r="K298" i="8"/>
  <c r="L298" i="8"/>
  <c r="M298" i="8"/>
  <c r="K297" i="8"/>
  <c r="L297" i="8"/>
  <c r="M297" i="8"/>
  <c r="K296" i="8"/>
  <c r="L296" i="8"/>
  <c r="M296" i="8"/>
  <c r="K295" i="8"/>
  <c r="L295" i="8"/>
  <c r="M295" i="8"/>
  <c r="K294" i="8"/>
  <c r="L294" i="8"/>
  <c r="M294" i="8"/>
  <c r="K293" i="8"/>
  <c r="L293" i="8"/>
  <c r="M293" i="8"/>
  <c r="K292" i="8"/>
  <c r="L292" i="8"/>
  <c r="M292" i="8"/>
  <c r="K291" i="8"/>
  <c r="L291" i="8"/>
  <c r="M291" i="8"/>
  <c r="K290" i="8"/>
  <c r="L290" i="8"/>
  <c r="M290" i="8"/>
  <c r="K289" i="8"/>
  <c r="L289" i="8"/>
  <c r="M289" i="8"/>
  <c r="K288" i="8"/>
  <c r="L288" i="8"/>
  <c r="M288" i="8"/>
  <c r="K287" i="8"/>
  <c r="L287" i="8"/>
  <c r="M287" i="8"/>
  <c r="K286" i="8"/>
  <c r="L286" i="8"/>
  <c r="M286" i="8"/>
  <c r="K285" i="8"/>
  <c r="L285" i="8"/>
  <c r="M285" i="8"/>
  <c r="K284" i="8"/>
  <c r="L284" i="8"/>
  <c r="M284" i="8"/>
  <c r="K283" i="8"/>
  <c r="L283" i="8"/>
  <c r="M283" i="8"/>
  <c r="K282" i="8"/>
  <c r="L282" i="8"/>
  <c r="M282" i="8"/>
  <c r="K281" i="8"/>
  <c r="L281" i="8"/>
  <c r="M281" i="8"/>
  <c r="K280" i="8"/>
  <c r="L280" i="8"/>
  <c r="M280" i="8"/>
  <c r="K279" i="8"/>
  <c r="L279" i="8"/>
  <c r="M279" i="8"/>
  <c r="K278" i="8"/>
  <c r="L278" i="8"/>
  <c r="M278" i="8"/>
  <c r="K277" i="8"/>
  <c r="L277" i="8"/>
  <c r="M277" i="8"/>
  <c r="K276" i="8"/>
  <c r="L276" i="8"/>
  <c r="M276" i="8"/>
  <c r="K275" i="8"/>
  <c r="L275" i="8"/>
  <c r="M275" i="8"/>
  <c r="K274" i="8"/>
  <c r="L274" i="8"/>
  <c r="M274" i="8"/>
  <c r="K273" i="8"/>
  <c r="L273" i="8"/>
  <c r="M273" i="8"/>
  <c r="K272" i="8"/>
  <c r="L272" i="8"/>
  <c r="M272" i="8"/>
  <c r="K271" i="8"/>
  <c r="L271" i="8"/>
  <c r="M271" i="8"/>
  <c r="K270" i="8"/>
  <c r="L270" i="8"/>
  <c r="M270" i="8"/>
  <c r="K269" i="8"/>
  <c r="L269" i="8"/>
  <c r="M269" i="8"/>
  <c r="K268" i="8"/>
  <c r="L268" i="8"/>
  <c r="M268" i="8"/>
  <c r="K267" i="8"/>
  <c r="L267" i="8"/>
  <c r="M267" i="8"/>
  <c r="K266" i="8"/>
  <c r="L266" i="8"/>
  <c r="M266" i="8"/>
  <c r="K265" i="8"/>
  <c r="L265" i="8"/>
  <c r="M265" i="8"/>
  <c r="K264" i="8"/>
  <c r="L264" i="8"/>
  <c r="M264" i="8"/>
  <c r="K263" i="8"/>
  <c r="L263" i="8"/>
  <c r="M263" i="8"/>
  <c r="K262" i="8"/>
  <c r="L262" i="8"/>
  <c r="M262" i="8"/>
  <c r="K261" i="8"/>
  <c r="L261" i="8"/>
  <c r="M261" i="8"/>
  <c r="K260" i="8"/>
  <c r="L260" i="8"/>
  <c r="M260" i="8"/>
  <c r="K259" i="8"/>
  <c r="L259" i="8"/>
  <c r="M259" i="8"/>
  <c r="K258" i="8"/>
  <c r="L258" i="8"/>
  <c r="M258" i="8"/>
  <c r="K257" i="8"/>
  <c r="L257" i="8"/>
  <c r="M257" i="8"/>
  <c r="K256" i="8"/>
  <c r="L256" i="8"/>
  <c r="M256" i="8"/>
  <c r="K255" i="8"/>
  <c r="L255" i="8"/>
  <c r="M255" i="8"/>
  <c r="K254" i="8"/>
  <c r="L254" i="8"/>
  <c r="M254" i="8"/>
  <c r="K253" i="8"/>
  <c r="L253" i="8"/>
  <c r="M253" i="8"/>
  <c r="K252" i="8"/>
  <c r="L252" i="8"/>
  <c r="M252" i="8"/>
  <c r="K251" i="8"/>
  <c r="L251" i="8"/>
  <c r="M251" i="8"/>
  <c r="K250" i="8"/>
  <c r="L250" i="8"/>
  <c r="M250" i="8"/>
  <c r="K249" i="8"/>
  <c r="L249" i="8"/>
  <c r="M249" i="8"/>
  <c r="K248" i="8"/>
  <c r="L248" i="8"/>
  <c r="M248" i="8"/>
  <c r="K247" i="8"/>
  <c r="L247" i="8"/>
  <c r="M247" i="8"/>
  <c r="K246" i="8"/>
  <c r="L246" i="8"/>
  <c r="M246" i="8"/>
  <c r="K245" i="8"/>
  <c r="L245" i="8"/>
  <c r="M245" i="8"/>
  <c r="K244" i="8"/>
  <c r="L244" i="8"/>
  <c r="M244" i="8"/>
  <c r="K243" i="8"/>
  <c r="L243" i="8"/>
  <c r="M243" i="8"/>
  <c r="K242" i="8"/>
  <c r="L242" i="8"/>
  <c r="M242" i="8"/>
  <c r="K241" i="8"/>
  <c r="L241" i="8"/>
  <c r="M241" i="8"/>
  <c r="K240" i="8"/>
  <c r="L240" i="8"/>
  <c r="M240" i="8"/>
  <c r="K239" i="8"/>
  <c r="L239" i="8"/>
  <c r="M239" i="8"/>
  <c r="K238" i="8"/>
  <c r="L238" i="8"/>
  <c r="M238" i="8"/>
  <c r="K237" i="8"/>
  <c r="L237" i="8"/>
  <c r="M237" i="8"/>
  <c r="K236" i="8"/>
  <c r="L236" i="8"/>
  <c r="M236" i="8"/>
  <c r="K235" i="8"/>
  <c r="L235" i="8"/>
  <c r="M235" i="8"/>
  <c r="K234" i="8"/>
  <c r="L234" i="8"/>
  <c r="M234" i="8"/>
  <c r="K233" i="8"/>
  <c r="L233" i="8"/>
  <c r="M233" i="8"/>
  <c r="K232" i="8"/>
  <c r="L232" i="8"/>
  <c r="M232" i="8"/>
  <c r="K231" i="8"/>
  <c r="L231" i="8"/>
  <c r="M231" i="8"/>
  <c r="K230" i="8"/>
  <c r="L230" i="8"/>
  <c r="M230" i="8"/>
  <c r="K229" i="8"/>
  <c r="L229" i="8"/>
  <c r="M229" i="8"/>
  <c r="K228" i="8"/>
  <c r="L228" i="8"/>
  <c r="M228" i="8"/>
  <c r="K227" i="8"/>
  <c r="L227" i="8"/>
  <c r="M227" i="8"/>
  <c r="K226" i="8"/>
  <c r="L226" i="8"/>
  <c r="M226" i="8"/>
  <c r="K225" i="8"/>
  <c r="L225" i="8"/>
  <c r="M225" i="8"/>
  <c r="K224" i="8"/>
  <c r="L224" i="8"/>
  <c r="M224" i="8"/>
  <c r="K223" i="8"/>
  <c r="L223" i="8"/>
  <c r="M223" i="8"/>
  <c r="K222" i="8"/>
  <c r="L222" i="8"/>
  <c r="M222" i="8"/>
  <c r="K221" i="8"/>
  <c r="L221" i="8"/>
  <c r="M221" i="8"/>
  <c r="K220" i="8"/>
  <c r="L220" i="8"/>
  <c r="M220" i="8"/>
  <c r="K219" i="8"/>
  <c r="L219" i="8"/>
  <c r="M219" i="8"/>
  <c r="K218" i="8"/>
  <c r="L218" i="8"/>
  <c r="M218" i="8"/>
  <c r="K217" i="8"/>
  <c r="L217" i="8"/>
  <c r="M217" i="8"/>
  <c r="K216" i="8"/>
  <c r="L216" i="8"/>
  <c r="M216" i="8"/>
  <c r="K215" i="8"/>
  <c r="L215" i="8"/>
  <c r="M215" i="8"/>
  <c r="K214" i="8"/>
  <c r="L214" i="8"/>
  <c r="M214" i="8"/>
  <c r="K213" i="8"/>
  <c r="L213" i="8"/>
  <c r="M213" i="8"/>
  <c r="K212" i="8"/>
  <c r="L212" i="8"/>
  <c r="M212" i="8"/>
  <c r="K211" i="8"/>
  <c r="L211" i="8"/>
  <c r="M211" i="8"/>
  <c r="K210" i="8"/>
  <c r="L210" i="8"/>
  <c r="M210" i="8"/>
  <c r="K209" i="8"/>
  <c r="L209" i="8"/>
  <c r="M209" i="8"/>
  <c r="K208" i="8"/>
  <c r="L208" i="8"/>
  <c r="M208" i="8"/>
  <c r="K207" i="8"/>
  <c r="L207" i="8"/>
  <c r="M207" i="8"/>
  <c r="K206" i="8"/>
  <c r="L206" i="8"/>
  <c r="M206" i="8"/>
  <c r="K205" i="8"/>
  <c r="L205" i="8"/>
  <c r="M205" i="8"/>
  <c r="K204" i="8"/>
  <c r="L204" i="8"/>
  <c r="M204" i="8"/>
  <c r="K203" i="8"/>
  <c r="L203" i="8"/>
  <c r="M203" i="8"/>
  <c r="K202" i="8"/>
  <c r="L202" i="8"/>
  <c r="M202" i="8"/>
  <c r="K201" i="8"/>
  <c r="L201" i="8"/>
  <c r="M201" i="8"/>
  <c r="K200" i="8"/>
  <c r="L200" i="8"/>
  <c r="M200" i="8"/>
  <c r="K199" i="8"/>
  <c r="L199" i="8"/>
  <c r="M199" i="8"/>
  <c r="K198" i="8"/>
  <c r="L198" i="8"/>
  <c r="M198" i="8"/>
  <c r="K197" i="8"/>
  <c r="L197" i="8"/>
  <c r="M197" i="8"/>
  <c r="K196" i="8"/>
  <c r="L196" i="8"/>
  <c r="M196" i="8"/>
  <c r="K195" i="8"/>
  <c r="L195" i="8"/>
  <c r="M195" i="8"/>
  <c r="K194" i="8"/>
  <c r="L194" i="8"/>
  <c r="M194" i="8"/>
  <c r="K193" i="8"/>
  <c r="L193" i="8"/>
  <c r="M193" i="8"/>
  <c r="K192" i="8"/>
  <c r="L192" i="8"/>
  <c r="M192" i="8"/>
  <c r="K191" i="8"/>
  <c r="L191" i="8"/>
  <c r="M191" i="8"/>
  <c r="K190" i="8"/>
  <c r="L190" i="8"/>
  <c r="M190" i="8"/>
  <c r="K189" i="8"/>
  <c r="L189" i="8"/>
  <c r="M189" i="8"/>
  <c r="K188" i="8"/>
  <c r="L188" i="8"/>
  <c r="M188" i="8"/>
  <c r="K187" i="8"/>
  <c r="L187" i="8"/>
  <c r="M187" i="8"/>
  <c r="K186" i="8"/>
  <c r="L186" i="8"/>
  <c r="M186" i="8"/>
  <c r="K185" i="8"/>
  <c r="L185" i="8"/>
  <c r="M185" i="8"/>
  <c r="K184" i="8"/>
  <c r="L184" i="8"/>
  <c r="M184" i="8"/>
  <c r="K183" i="8"/>
  <c r="L183" i="8"/>
  <c r="M183" i="8"/>
  <c r="K182" i="8"/>
  <c r="L182" i="8"/>
  <c r="M182" i="8"/>
  <c r="K181" i="8"/>
  <c r="L181" i="8"/>
  <c r="M181" i="8"/>
  <c r="K180" i="8"/>
  <c r="L180" i="8"/>
  <c r="M180" i="8"/>
  <c r="K179" i="8"/>
  <c r="L179" i="8"/>
  <c r="M179" i="8"/>
  <c r="K178" i="8"/>
  <c r="L178" i="8"/>
  <c r="M178" i="8"/>
  <c r="K177" i="8"/>
  <c r="L177" i="8"/>
  <c r="M177" i="8"/>
  <c r="K176" i="8"/>
  <c r="L176" i="8"/>
  <c r="M176" i="8"/>
  <c r="K175" i="8"/>
  <c r="L175" i="8"/>
  <c r="M175" i="8"/>
  <c r="K174" i="8"/>
  <c r="L174" i="8"/>
  <c r="M174" i="8"/>
  <c r="K173" i="8"/>
  <c r="L173" i="8"/>
  <c r="M173" i="8"/>
  <c r="K172" i="8"/>
  <c r="L172" i="8"/>
  <c r="M172" i="8"/>
  <c r="K171" i="8"/>
  <c r="L171" i="8"/>
  <c r="M171" i="8"/>
  <c r="K170" i="8"/>
  <c r="L170" i="8"/>
  <c r="M170" i="8"/>
  <c r="K169" i="8"/>
  <c r="L169" i="8"/>
  <c r="M169" i="8"/>
  <c r="K168" i="8"/>
  <c r="L168" i="8"/>
  <c r="M168" i="8"/>
  <c r="K167" i="8"/>
  <c r="L167" i="8"/>
  <c r="M167" i="8"/>
  <c r="K166" i="8"/>
  <c r="L166" i="8"/>
  <c r="M166" i="8"/>
  <c r="K165" i="8"/>
  <c r="L165" i="8"/>
  <c r="M165" i="8"/>
  <c r="K164" i="8"/>
  <c r="L164" i="8"/>
  <c r="M164" i="8"/>
  <c r="K163" i="8"/>
  <c r="L163" i="8"/>
  <c r="M163" i="8"/>
  <c r="K162" i="8"/>
  <c r="L162" i="8"/>
  <c r="M162" i="8"/>
  <c r="K161" i="8"/>
  <c r="L161" i="8"/>
  <c r="M161" i="8"/>
  <c r="K160" i="8"/>
  <c r="L160" i="8"/>
  <c r="M160" i="8"/>
  <c r="K159" i="8"/>
  <c r="L159" i="8"/>
  <c r="M159" i="8"/>
  <c r="K158" i="8"/>
  <c r="L158" i="8"/>
  <c r="M158" i="8"/>
  <c r="K157" i="8"/>
  <c r="L157" i="8"/>
  <c r="M157" i="8"/>
  <c r="K156" i="8"/>
  <c r="L156" i="8"/>
  <c r="M156" i="8"/>
  <c r="K155" i="8"/>
  <c r="L155" i="8"/>
  <c r="M155" i="8"/>
  <c r="K154" i="8"/>
  <c r="L154" i="8"/>
  <c r="M154" i="8"/>
  <c r="K153" i="8"/>
  <c r="L153" i="8"/>
  <c r="M153" i="8"/>
  <c r="K152" i="8"/>
  <c r="L152" i="8"/>
  <c r="M152" i="8"/>
  <c r="K151" i="8"/>
  <c r="L151" i="8"/>
  <c r="M151" i="8"/>
  <c r="K150" i="8"/>
  <c r="L150" i="8"/>
  <c r="M150" i="8"/>
  <c r="K149" i="8"/>
  <c r="L149" i="8"/>
  <c r="M149" i="8"/>
  <c r="K148" i="8"/>
  <c r="L148" i="8"/>
  <c r="M148" i="8"/>
  <c r="K147" i="8"/>
  <c r="L147" i="8"/>
  <c r="M147" i="8"/>
  <c r="K146" i="8"/>
  <c r="L146" i="8"/>
  <c r="M146" i="8"/>
  <c r="K145" i="8"/>
  <c r="L145" i="8"/>
  <c r="M145" i="8"/>
  <c r="K144" i="8"/>
  <c r="L144" i="8"/>
  <c r="M144" i="8"/>
  <c r="K143" i="8"/>
  <c r="L143" i="8"/>
  <c r="M143" i="8"/>
  <c r="K142" i="8"/>
  <c r="L142" i="8"/>
  <c r="M142" i="8"/>
  <c r="K141" i="8"/>
  <c r="L141" i="8"/>
  <c r="M141" i="8"/>
  <c r="K140" i="8"/>
  <c r="L140" i="8"/>
  <c r="M140" i="8"/>
  <c r="K139" i="8"/>
  <c r="L139" i="8"/>
  <c r="M139" i="8"/>
  <c r="K138" i="8"/>
  <c r="L138" i="8"/>
  <c r="M138" i="8"/>
  <c r="K137" i="8"/>
  <c r="L137" i="8"/>
  <c r="M137" i="8"/>
  <c r="K136" i="8"/>
  <c r="L136" i="8"/>
  <c r="M136" i="8"/>
  <c r="K135" i="8"/>
  <c r="L135" i="8"/>
  <c r="M135" i="8"/>
  <c r="K134" i="8"/>
  <c r="L134" i="8"/>
  <c r="M134" i="8"/>
  <c r="K133" i="8"/>
  <c r="L133" i="8"/>
  <c r="M133" i="8"/>
  <c r="K132" i="8"/>
  <c r="L132" i="8"/>
  <c r="M132" i="8"/>
  <c r="K131" i="8"/>
  <c r="L131" i="8"/>
  <c r="M131" i="8"/>
  <c r="K130" i="8"/>
  <c r="L130" i="8"/>
  <c r="M130" i="8"/>
  <c r="K129" i="8"/>
  <c r="L129" i="8"/>
  <c r="M129" i="8"/>
  <c r="K128" i="8"/>
  <c r="L128" i="8"/>
  <c r="M128" i="8"/>
  <c r="K127" i="8"/>
  <c r="L127" i="8"/>
  <c r="M127" i="8"/>
  <c r="K126" i="8"/>
  <c r="L126" i="8"/>
  <c r="M126" i="8"/>
  <c r="K125" i="8"/>
  <c r="L125" i="8"/>
  <c r="M125" i="8"/>
  <c r="K124" i="8"/>
  <c r="L124" i="8"/>
  <c r="M124" i="8"/>
  <c r="K123" i="8"/>
  <c r="L123" i="8"/>
  <c r="M123" i="8"/>
  <c r="K122" i="8"/>
  <c r="L122" i="8"/>
  <c r="M122" i="8"/>
  <c r="K121" i="8"/>
  <c r="L121" i="8"/>
  <c r="M121" i="8"/>
  <c r="K120" i="8"/>
  <c r="L120" i="8"/>
  <c r="M120" i="8"/>
  <c r="K119" i="8"/>
  <c r="L119" i="8"/>
  <c r="M119" i="8"/>
  <c r="K118" i="8"/>
  <c r="L118" i="8"/>
  <c r="M118" i="8"/>
  <c r="K117" i="8"/>
  <c r="L117" i="8"/>
  <c r="M117" i="8"/>
  <c r="K116" i="8"/>
  <c r="L116" i="8"/>
  <c r="M116" i="8"/>
  <c r="K115" i="8"/>
  <c r="L115" i="8"/>
  <c r="M115" i="8"/>
  <c r="K114" i="8"/>
  <c r="L114" i="8"/>
  <c r="M114" i="8"/>
  <c r="K113" i="8"/>
  <c r="L113" i="8"/>
  <c r="M113" i="8"/>
  <c r="K112" i="8"/>
  <c r="L112" i="8"/>
  <c r="M112" i="8"/>
  <c r="K111" i="8"/>
  <c r="L111" i="8"/>
  <c r="M111" i="8"/>
  <c r="K110" i="8"/>
  <c r="L110" i="8"/>
  <c r="M110" i="8"/>
  <c r="K109" i="8"/>
  <c r="L109" i="8"/>
  <c r="M109" i="8"/>
  <c r="K108" i="8"/>
  <c r="L108" i="8"/>
  <c r="M108" i="8"/>
  <c r="K107" i="8"/>
  <c r="L107" i="8"/>
  <c r="M107" i="8"/>
  <c r="K106" i="8"/>
  <c r="L106" i="8"/>
  <c r="M106" i="8"/>
  <c r="K105" i="8"/>
  <c r="L105" i="8"/>
  <c r="M105" i="8"/>
  <c r="K104" i="8"/>
  <c r="L104" i="8"/>
  <c r="M104" i="8"/>
  <c r="K103" i="8"/>
  <c r="L103" i="8"/>
  <c r="M103" i="8"/>
  <c r="K102" i="8"/>
  <c r="L102" i="8"/>
  <c r="M102" i="8"/>
  <c r="K101" i="8"/>
  <c r="L101" i="8"/>
  <c r="M101" i="8"/>
  <c r="K100" i="8"/>
  <c r="L100" i="8"/>
  <c r="M100" i="8"/>
  <c r="K99" i="8"/>
  <c r="L99" i="8"/>
  <c r="M99" i="8"/>
  <c r="K98" i="8"/>
  <c r="L98" i="8"/>
  <c r="M98" i="8"/>
  <c r="K97" i="8"/>
  <c r="L97" i="8"/>
  <c r="M97" i="8"/>
  <c r="K96" i="8"/>
  <c r="L96" i="8"/>
  <c r="M96" i="8"/>
  <c r="K95" i="8"/>
  <c r="L95" i="8"/>
  <c r="M95" i="8"/>
  <c r="K94" i="8"/>
  <c r="L94" i="8"/>
  <c r="M94" i="8"/>
  <c r="K93" i="8"/>
  <c r="L93" i="8"/>
  <c r="M93" i="8"/>
  <c r="K92" i="8"/>
  <c r="L92" i="8"/>
  <c r="M92" i="8"/>
  <c r="K91" i="8"/>
  <c r="L91" i="8"/>
  <c r="M91" i="8"/>
  <c r="K90" i="8"/>
  <c r="L90" i="8"/>
  <c r="M90" i="8"/>
  <c r="K89" i="8"/>
  <c r="L89" i="8"/>
  <c r="M89" i="8"/>
  <c r="K88" i="8"/>
  <c r="L88" i="8"/>
  <c r="M88" i="8"/>
  <c r="K87" i="8"/>
  <c r="L87" i="8"/>
  <c r="M87" i="8"/>
  <c r="K86" i="8"/>
  <c r="L86" i="8"/>
  <c r="M86" i="8"/>
  <c r="K85" i="8"/>
  <c r="L85" i="8"/>
  <c r="M85" i="8"/>
  <c r="K84" i="8"/>
  <c r="L84" i="8"/>
  <c r="M84" i="8"/>
  <c r="K83" i="8"/>
  <c r="L83" i="8"/>
  <c r="M83" i="8"/>
  <c r="K82" i="8"/>
  <c r="L82" i="8"/>
  <c r="M82" i="8"/>
  <c r="K81" i="8"/>
  <c r="L81" i="8"/>
  <c r="M81" i="8"/>
  <c r="K80" i="8"/>
  <c r="L80" i="8"/>
  <c r="M80" i="8"/>
  <c r="K79" i="8"/>
  <c r="L79" i="8"/>
  <c r="M79" i="8"/>
  <c r="K78" i="8"/>
  <c r="L78" i="8"/>
  <c r="M78" i="8"/>
  <c r="K77" i="8"/>
  <c r="L77" i="8"/>
  <c r="M77" i="8"/>
  <c r="K76" i="8"/>
  <c r="L76" i="8"/>
  <c r="M76" i="8"/>
  <c r="K75" i="8"/>
  <c r="L75" i="8"/>
  <c r="M75" i="8"/>
  <c r="K74" i="8"/>
  <c r="L74" i="8"/>
  <c r="M74" i="8"/>
  <c r="K73" i="8"/>
  <c r="L73" i="8"/>
  <c r="M73" i="8"/>
  <c r="K72" i="8"/>
  <c r="L72" i="8"/>
  <c r="M72" i="8"/>
  <c r="K71" i="8"/>
  <c r="L71" i="8"/>
  <c r="M71" i="8"/>
  <c r="K70" i="8"/>
  <c r="L70" i="8"/>
  <c r="M70" i="8"/>
  <c r="K69" i="8"/>
  <c r="L69" i="8"/>
  <c r="M69" i="8"/>
  <c r="K68" i="8"/>
  <c r="L68" i="8"/>
  <c r="M68" i="8"/>
  <c r="K67" i="8"/>
  <c r="L67" i="8"/>
  <c r="M67" i="8"/>
  <c r="K66" i="8"/>
  <c r="L66" i="8"/>
  <c r="M66" i="8"/>
  <c r="K65" i="8"/>
  <c r="L65" i="8"/>
  <c r="M65" i="8"/>
  <c r="K64" i="8"/>
  <c r="L64" i="8"/>
  <c r="M64" i="8"/>
  <c r="K63" i="8"/>
  <c r="L63" i="8"/>
  <c r="M63" i="8"/>
  <c r="K62" i="8"/>
  <c r="L62" i="8"/>
  <c r="M62" i="8"/>
  <c r="K61" i="8"/>
  <c r="L61" i="8"/>
  <c r="M61" i="8"/>
  <c r="K60" i="8"/>
  <c r="L60" i="8"/>
  <c r="M60" i="8"/>
  <c r="K59" i="8"/>
  <c r="L59" i="8"/>
  <c r="M59" i="8"/>
  <c r="K58" i="8"/>
  <c r="L58" i="8"/>
  <c r="M58" i="8"/>
  <c r="K57" i="8"/>
  <c r="L57" i="8"/>
  <c r="M57" i="8"/>
  <c r="K56" i="8"/>
  <c r="L56" i="8"/>
  <c r="M56" i="8"/>
  <c r="K55" i="8"/>
  <c r="L55" i="8"/>
  <c r="M55" i="8"/>
  <c r="K54" i="8"/>
  <c r="L54" i="8"/>
  <c r="M54" i="8"/>
  <c r="K53" i="8"/>
  <c r="L53" i="8"/>
  <c r="M53" i="8"/>
  <c r="K52" i="8"/>
  <c r="L52" i="8"/>
  <c r="M52" i="8"/>
  <c r="K51" i="8"/>
  <c r="L51" i="8"/>
  <c r="M51" i="8"/>
  <c r="K50" i="8"/>
  <c r="L50" i="8"/>
  <c r="M50" i="8"/>
  <c r="K49" i="8"/>
  <c r="L49" i="8"/>
  <c r="M49" i="8"/>
  <c r="K48" i="8"/>
  <c r="L48" i="8"/>
  <c r="M48" i="8"/>
  <c r="K47" i="8"/>
  <c r="L47" i="8"/>
  <c r="M47" i="8"/>
  <c r="K46" i="8"/>
  <c r="L46" i="8"/>
  <c r="M46" i="8"/>
  <c r="K45" i="8"/>
  <c r="L45" i="8"/>
  <c r="M45" i="8"/>
  <c r="K44" i="8"/>
  <c r="L44" i="8"/>
  <c r="M44" i="8"/>
  <c r="K43" i="8"/>
  <c r="L43" i="8"/>
  <c r="M43" i="8"/>
  <c r="K42" i="8"/>
  <c r="L42" i="8"/>
  <c r="M42" i="8"/>
  <c r="K41" i="8"/>
  <c r="L41" i="8"/>
  <c r="M41" i="8"/>
  <c r="K40" i="8"/>
  <c r="L40" i="8"/>
  <c r="M40" i="8"/>
  <c r="K39" i="8"/>
  <c r="L39" i="8"/>
  <c r="M39" i="8"/>
  <c r="K38" i="8"/>
  <c r="L38" i="8"/>
  <c r="M38" i="8"/>
  <c r="K37" i="8"/>
  <c r="L37" i="8"/>
  <c r="M37" i="8"/>
  <c r="K36" i="8"/>
  <c r="L36" i="8"/>
  <c r="M36" i="8"/>
  <c r="K35" i="8"/>
  <c r="L35" i="8"/>
  <c r="M35" i="8"/>
  <c r="K34" i="8"/>
  <c r="L34" i="8"/>
  <c r="M34" i="8"/>
  <c r="K33" i="8"/>
  <c r="L33" i="8"/>
  <c r="M33" i="8"/>
  <c r="K32" i="8"/>
  <c r="L32" i="8"/>
  <c r="M32" i="8"/>
  <c r="K31" i="8"/>
  <c r="L31" i="8"/>
  <c r="M31" i="8"/>
  <c r="K30" i="8"/>
  <c r="L30" i="8"/>
  <c r="M30" i="8"/>
  <c r="K29" i="8"/>
  <c r="L29" i="8"/>
  <c r="M29" i="8"/>
  <c r="K28" i="8"/>
  <c r="L28" i="8"/>
  <c r="M28" i="8"/>
  <c r="K27" i="8"/>
  <c r="L27" i="8"/>
  <c r="M27" i="8"/>
  <c r="K26" i="8"/>
  <c r="L26" i="8"/>
  <c r="M26" i="8"/>
  <c r="K25" i="8"/>
  <c r="L25" i="8"/>
  <c r="M25" i="8"/>
  <c r="K24" i="8"/>
  <c r="L24" i="8"/>
  <c r="M24" i="8"/>
  <c r="K23" i="8"/>
  <c r="L23" i="8"/>
  <c r="M23" i="8"/>
  <c r="K22" i="8"/>
  <c r="L22" i="8"/>
  <c r="M22" i="8"/>
  <c r="K21" i="8"/>
  <c r="L21" i="8"/>
  <c r="M21" i="8"/>
  <c r="K20" i="8"/>
  <c r="L20" i="8"/>
  <c r="M20" i="8"/>
  <c r="K19" i="8"/>
  <c r="L19" i="8"/>
  <c r="M19" i="8"/>
  <c r="K18" i="8"/>
  <c r="L18" i="8"/>
  <c r="M18" i="8"/>
  <c r="K17" i="8"/>
  <c r="L17" i="8"/>
  <c r="M17" i="8"/>
  <c r="K16" i="8"/>
  <c r="L16" i="8"/>
  <c r="M16" i="8"/>
  <c r="K15" i="8"/>
  <c r="L15" i="8"/>
  <c r="M15" i="8"/>
  <c r="K14" i="8"/>
  <c r="L14" i="8"/>
  <c r="M14" i="8"/>
  <c r="K13" i="8"/>
  <c r="L13" i="8"/>
  <c r="M13" i="8"/>
  <c r="K12" i="8"/>
  <c r="L12" i="8"/>
  <c r="M12" i="8"/>
  <c r="K11" i="8"/>
  <c r="L11" i="8"/>
  <c r="M11" i="8"/>
  <c r="K10" i="8"/>
  <c r="L10" i="8"/>
  <c r="M10" i="8"/>
  <c r="K9" i="8"/>
  <c r="L9" i="8"/>
  <c r="M9" i="8"/>
  <c r="K8" i="8"/>
  <c r="L8" i="8"/>
  <c r="M8" i="8"/>
  <c r="C38" i="14"/>
  <c r="C79" i="14" s="1"/>
  <c r="C51" i="14"/>
  <c r="C63" i="14"/>
  <c r="J10" i="1" s="1"/>
  <c r="B15" i="15"/>
  <c r="C15" i="15"/>
  <c r="C26" i="14"/>
  <c r="C77" i="14"/>
  <c r="J21" i="1"/>
  <c r="D23" i="1"/>
  <c r="M24" i="1"/>
  <c r="M25" i="1"/>
  <c r="K26" i="1"/>
  <c r="I21" i="1"/>
  <c r="B27" i="1"/>
  <c r="K27" i="1"/>
  <c r="C21" i="1"/>
  <c r="C22" i="1"/>
  <c r="B24" i="1"/>
  <c r="B25" i="1"/>
  <c r="B26" i="1"/>
  <c r="J27" i="1"/>
  <c r="C28" i="1"/>
  <c r="B22" i="1"/>
  <c r="K22" i="1"/>
  <c r="I23" i="1"/>
  <c r="D24" i="1"/>
  <c r="J25" i="1"/>
  <c r="B28" i="1"/>
  <c r="D22" i="1"/>
  <c r="J23" i="1"/>
  <c r="I24" i="1"/>
  <c r="K25" i="1"/>
  <c r="M26" i="1"/>
  <c r="D28" i="1"/>
  <c r="D21" i="1"/>
  <c r="I22" i="1"/>
  <c r="C23" i="1"/>
  <c r="D26" i="1"/>
  <c r="C27" i="1"/>
  <c r="M28" i="1"/>
  <c r="K21" i="1"/>
  <c r="B23" i="1"/>
  <c r="C24" i="1"/>
  <c r="J24" i="1"/>
  <c r="C25" i="1"/>
  <c r="J26" i="1"/>
  <c r="I27" i="1"/>
  <c r="I28" i="1"/>
  <c r="B21" i="1"/>
  <c r="K23" i="1"/>
  <c r="D25" i="1"/>
  <c r="I26" i="1"/>
  <c r="J28" i="1"/>
  <c r="M22" i="1"/>
  <c r="M23" i="1"/>
  <c r="I25" i="1"/>
  <c r="M27" i="1"/>
  <c r="M21" i="1"/>
  <c r="J22" i="1"/>
  <c r="K24" i="1"/>
  <c r="C26" i="1"/>
  <c r="D27" i="1"/>
  <c r="K28" i="1"/>
  <c r="C65" i="14"/>
  <c r="C75" i="14"/>
  <c r="J30" i="1" s="1"/>
  <c r="C35" i="14"/>
  <c r="K46" i="14"/>
  <c r="K41" i="14"/>
  <c r="G41" i="14"/>
  <c r="H41" i="14"/>
  <c r="J43" i="14"/>
  <c r="G42" i="14"/>
  <c r="H42" i="14"/>
  <c r="I46" i="14"/>
  <c r="I42" i="14"/>
  <c r="I41" i="14"/>
  <c r="K42" i="14"/>
  <c r="J42" i="14"/>
  <c r="G43" i="14"/>
  <c r="H43" i="14"/>
  <c r="I43" i="14"/>
  <c r="K43" i="14"/>
  <c r="H44" i="14"/>
  <c r="I44" i="14"/>
  <c r="G44" i="14"/>
  <c r="K44" i="14"/>
  <c r="J44" i="14"/>
  <c r="G45" i="14"/>
  <c r="H45" i="14"/>
  <c r="J41" i="14"/>
  <c r="I45" i="14"/>
  <c r="J45" i="14"/>
  <c r="K45" i="14"/>
  <c r="G46" i="14"/>
  <c r="H46" i="14"/>
  <c r="J46" i="14"/>
  <c r="W49" i="14" l="1"/>
  <c r="X49" i="14"/>
  <c r="W50" i="14"/>
  <c r="X50" i="14"/>
  <c r="W51" i="14"/>
  <c r="X51" i="14"/>
  <c r="W52" i="14"/>
  <c r="X52" i="14"/>
  <c r="W53" i="14"/>
  <c r="X53" i="14"/>
  <c r="W54" i="14"/>
  <c r="X54" i="14"/>
  <c r="W55" i="14"/>
  <c r="X55" i="14"/>
  <c r="W56" i="14"/>
  <c r="X56" i="14"/>
  <c r="W57" i="14"/>
  <c r="X57" i="14"/>
  <c r="W58" i="14"/>
  <c r="X58" i="14"/>
  <c r="W59" i="14"/>
  <c r="X59" i="14"/>
  <c r="W60" i="14"/>
  <c r="X60" i="14"/>
  <c r="W61" i="14"/>
  <c r="X61" i="14"/>
  <c r="W62" i="14"/>
  <c r="X62" i="14"/>
  <c r="W63" i="14"/>
  <c r="X63" i="14"/>
  <c r="W64" i="14"/>
  <c r="X64" i="14"/>
  <c r="W65" i="14"/>
  <c r="X65" i="14"/>
  <c r="W66" i="14"/>
  <c r="X66" i="14"/>
  <c r="W67" i="14"/>
  <c r="X67" i="14"/>
  <c r="W68" i="14"/>
  <c r="X68" i="14"/>
  <c r="W69" i="14"/>
  <c r="X69" i="14"/>
  <c r="W70" i="14"/>
  <c r="X70" i="14"/>
  <c r="W71" i="14"/>
  <c r="X71" i="14"/>
  <c r="W72" i="14"/>
  <c r="X72" i="14"/>
  <c r="W73" i="14"/>
  <c r="X73" i="14"/>
  <c r="W74" i="14"/>
  <c r="X74" i="14"/>
  <c r="W75" i="14"/>
  <c r="X75" i="14"/>
  <c r="W76" i="14"/>
  <c r="X76" i="14"/>
  <c r="W77" i="14"/>
  <c r="X77" i="14"/>
  <c r="W78" i="14"/>
  <c r="X78" i="14"/>
  <c r="W79" i="14"/>
  <c r="X79" i="14"/>
  <c r="W80" i="14"/>
  <c r="X80" i="14"/>
  <c r="W81" i="14"/>
  <c r="X81" i="14"/>
  <c r="W82" i="14"/>
  <c r="X82" i="14"/>
  <c r="W83" i="14"/>
  <c r="X83" i="14"/>
  <c r="W84" i="14"/>
  <c r="X84" i="14"/>
  <c r="W85" i="14"/>
  <c r="X85" i="14"/>
  <c r="W86" i="14"/>
  <c r="X86" i="14"/>
  <c r="W87" i="14"/>
  <c r="X87" i="14"/>
  <c r="W88" i="14"/>
  <c r="X88" i="14"/>
  <c r="W89" i="14"/>
  <c r="X89" i="14"/>
  <c r="W90" i="14"/>
  <c r="X90" i="14"/>
  <c r="W91" i="14"/>
  <c r="X91" i="14"/>
  <c r="W92" i="14"/>
  <c r="X92" i="14"/>
  <c r="W93" i="14"/>
  <c r="X93" i="14"/>
  <c r="W94" i="14"/>
  <c r="X94" i="14"/>
  <c r="W95" i="14"/>
  <c r="X95" i="14"/>
  <c r="W96" i="14"/>
  <c r="X96" i="14"/>
  <c r="W97" i="14"/>
  <c r="X97" i="14"/>
  <c r="W98" i="14"/>
  <c r="X98" i="14"/>
  <c r="W99" i="14"/>
  <c r="X99" i="14"/>
  <c r="W100" i="14"/>
  <c r="X100" i="14"/>
  <c r="W101" i="14"/>
  <c r="X101" i="14"/>
  <c r="W102" i="14"/>
  <c r="X102" i="14"/>
  <c r="W103" i="14"/>
  <c r="X103" i="14"/>
  <c r="W104" i="14"/>
  <c r="X104" i="14"/>
  <c r="W105" i="14"/>
  <c r="X105" i="14"/>
  <c r="W106" i="14"/>
  <c r="X106" i="14"/>
  <c r="W107" i="14"/>
  <c r="X107" i="14"/>
  <c r="W8" i="14"/>
  <c r="X8" i="14"/>
  <c r="W9" i="14"/>
  <c r="X9" i="14"/>
  <c r="W10" i="14"/>
  <c r="X10" i="14"/>
  <c r="W11" i="14"/>
  <c r="X11" i="14"/>
  <c r="W12" i="14"/>
  <c r="X12" i="14"/>
  <c r="W13" i="14"/>
  <c r="X13" i="14"/>
  <c r="W14" i="14"/>
  <c r="X14" i="14"/>
  <c r="W15" i="14"/>
  <c r="X15" i="14"/>
  <c r="W16" i="14"/>
  <c r="X16" i="14"/>
  <c r="W17" i="14"/>
  <c r="X17" i="14"/>
  <c r="W18" i="14"/>
  <c r="X18" i="14"/>
  <c r="W19" i="14"/>
  <c r="X19" i="14"/>
  <c r="W20" i="14"/>
  <c r="X20" i="14"/>
  <c r="W21" i="14"/>
  <c r="X21" i="14"/>
  <c r="W22" i="14"/>
  <c r="X22" i="14"/>
  <c r="W23" i="14"/>
  <c r="X23" i="14"/>
  <c r="W24" i="14"/>
  <c r="X24" i="14"/>
  <c r="W25" i="14"/>
  <c r="X25" i="14"/>
  <c r="W26" i="14"/>
  <c r="X26" i="14"/>
  <c r="W27" i="14"/>
  <c r="X27" i="14"/>
  <c r="W28" i="14"/>
  <c r="X28" i="14"/>
  <c r="W29" i="14"/>
  <c r="X29" i="14"/>
  <c r="W30" i="14"/>
  <c r="X30" i="14"/>
  <c r="W31" i="14"/>
  <c r="X31" i="14"/>
  <c r="W32" i="14"/>
  <c r="X32" i="14"/>
  <c r="W33" i="14"/>
  <c r="X33" i="14"/>
  <c r="W34" i="14"/>
  <c r="X34" i="14"/>
  <c r="W35" i="14"/>
  <c r="X35" i="14"/>
  <c r="W36" i="14"/>
  <c r="X36" i="14"/>
  <c r="W37" i="14"/>
  <c r="X37" i="14"/>
  <c r="W38" i="14"/>
  <c r="X38" i="14"/>
  <c r="W39" i="14"/>
  <c r="X39" i="14"/>
  <c r="W40" i="14"/>
  <c r="X40" i="14"/>
  <c r="W41" i="14"/>
  <c r="X41" i="14"/>
  <c r="W42" i="14"/>
  <c r="X42" i="14"/>
  <c r="W43" i="14"/>
  <c r="X43" i="14"/>
  <c r="W44" i="14"/>
  <c r="X44" i="14"/>
  <c r="W45" i="14"/>
  <c r="X45" i="14"/>
  <c r="W46" i="14"/>
  <c r="X46" i="14"/>
  <c r="W47" i="14"/>
  <c r="X47" i="14"/>
  <c r="W48" i="14"/>
  <c r="X48" i="14"/>
  <c r="G10" i="14"/>
  <c r="H10" i="14"/>
  <c r="I10" i="14"/>
  <c r="F11" i="14"/>
  <c r="I8" i="13"/>
  <c r="J8" i="13"/>
  <c r="I9" i="13"/>
  <c r="J9" i="13"/>
  <c r="I10" i="13"/>
  <c r="J10" i="13"/>
  <c r="I11" i="13"/>
  <c r="J11" i="13"/>
  <c r="I12" i="13"/>
  <c r="J12" i="13"/>
  <c r="I13" i="13"/>
  <c r="J13" i="13"/>
  <c r="I14" i="13"/>
  <c r="J14" i="13"/>
  <c r="I15" i="13"/>
  <c r="J15" i="13"/>
  <c r="I16" i="13"/>
  <c r="J16" i="13"/>
  <c r="I17" i="13"/>
  <c r="J17" i="13"/>
  <c r="I18" i="13"/>
  <c r="J18" i="13"/>
  <c r="I19" i="13"/>
  <c r="J19" i="13"/>
  <c r="I20" i="13"/>
  <c r="J20" i="13"/>
  <c r="I21" i="13"/>
  <c r="J21" i="13"/>
  <c r="I22" i="13"/>
  <c r="J22" i="13"/>
  <c r="I23" i="13"/>
  <c r="J23" i="13"/>
  <c r="I24" i="13"/>
  <c r="J24" i="13"/>
  <c r="I25" i="13"/>
  <c r="J25" i="13"/>
  <c r="I26" i="13"/>
  <c r="J26" i="13"/>
  <c r="I27" i="13"/>
  <c r="J27" i="13"/>
  <c r="I28" i="13"/>
  <c r="J28" i="13"/>
  <c r="I29" i="13"/>
  <c r="J29" i="13"/>
  <c r="I30" i="13"/>
  <c r="J30" i="13"/>
  <c r="I31" i="13"/>
  <c r="J31" i="13"/>
  <c r="I32" i="13"/>
  <c r="J32" i="13"/>
  <c r="I33" i="13"/>
  <c r="J33" i="13"/>
  <c r="I34" i="13"/>
  <c r="J34" i="13"/>
  <c r="I35" i="13"/>
  <c r="J35" i="13"/>
  <c r="I36" i="13"/>
  <c r="J36" i="13"/>
  <c r="I37" i="13"/>
  <c r="J37" i="13"/>
  <c r="I38" i="13"/>
  <c r="J38" i="13"/>
  <c r="I39" i="13"/>
  <c r="J39" i="13"/>
  <c r="I40" i="13"/>
  <c r="J40" i="13"/>
  <c r="I41" i="13"/>
  <c r="J41" i="13"/>
  <c r="I42" i="13"/>
  <c r="J42" i="13"/>
  <c r="I43" i="13"/>
  <c r="J43" i="13"/>
  <c r="I44" i="13"/>
  <c r="J44" i="13"/>
  <c r="I45" i="13"/>
  <c r="J45" i="13"/>
  <c r="I46" i="13"/>
  <c r="J46" i="13"/>
  <c r="I47" i="13"/>
  <c r="J47" i="13"/>
  <c r="I48" i="13"/>
  <c r="J48" i="13"/>
  <c r="I49" i="13"/>
  <c r="J49" i="13"/>
  <c r="I50" i="13"/>
  <c r="J50" i="13"/>
  <c r="I51" i="13"/>
  <c r="J51" i="13"/>
  <c r="I52" i="13"/>
  <c r="J52" i="13"/>
  <c r="I53" i="13"/>
  <c r="J53" i="13"/>
  <c r="I54" i="13"/>
  <c r="J54" i="13"/>
  <c r="I55" i="13"/>
  <c r="J55" i="13"/>
  <c r="I56" i="13"/>
  <c r="J56" i="13"/>
  <c r="I57" i="13"/>
  <c r="J57" i="13"/>
  <c r="I58" i="13"/>
  <c r="J58" i="13"/>
  <c r="I59" i="13"/>
  <c r="J59" i="13"/>
  <c r="I60" i="13"/>
  <c r="J60" i="13"/>
  <c r="I61" i="13"/>
  <c r="J61" i="13"/>
  <c r="I62" i="13"/>
  <c r="J62" i="13"/>
  <c r="I63" i="13"/>
  <c r="J63" i="13"/>
  <c r="I64" i="13"/>
  <c r="J64" i="13"/>
  <c r="I65" i="13"/>
  <c r="J65" i="13"/>
  <c r="I66" i="13"/>
  <c r="J66" i="13"/>
  <c r="I67" i="13"/>
  <c r="J67" i="13"/>
  <c r="I68" i="13"/>
  <c r="J68" i="13"/>
  <c r="I69" i="13"/>
  <c r="J69" i="13"/>
  <c r="I70" i="13"/>
  <c r="J70" i="13"/>
  <c r="I71" i="13"/>
  <c r="J71" i="13"/>
  <c r="I72" i="13"/>
  <c r="J72" i="13"/>
  <c r="I73" i="13"/>
  <c r="J73" i="13"/>
  <c r="I74" i="13"/>
  <c r="J74" i="13"/>
  <c r="I75" i="13"/>
  <c r="J75" i="13"/>
  <c r="I76" i="13"/>
  <c r="J76" i="13"/>
  <c r="I77" i="13"/>
  <c r="J77" i="13"/>
  <c r="I78" i="13"/>
  <c r="J78" i="13"/>
  <c r="I79" i="13"/>
  <c r="J79" i="13"/>
  <c r="I80" i="13"/>
  <c r="J80" i="13"/>
  <c r="I81" i="13"/>
  <c r="J81" i="13"/>
  <c r="I82" i="13"/>
  <c r="J82" i="13"/>
  <c r="I83" i="13"/>
  <c r="J83" i="13"/>
  <c r="I84" i="13"/>
  <c r="J84" i="13"/>
  <c r="I85" i="13"/>
  <c r="J85" i="13"/>
  <c r="I86" i="13"/>
  <c r="J86" i="13"/>
  <c r="I87" i="13"/>
  <c r="J87" i="13"/>
  <c r="I88" i="13"/>
  <c r="J88" i="13"/>
  <c r="I89" i="13"/>
  <c r="J89" i="13"/>
  <c r="I90" i="13"/>
  <c r="J90" i="13"/>
  <c r="I91" i="13"/>
  <c r="J91" i="13"/>
  <c r="I92" i="13"/>
  <c r="J92" i="13"/>
  <c r="I93" i="13"/>
  <c r="J93" i="13"/>
  <c r="I94" i="13"/>
  <c r="J94" i="13"/>
  <c r="I95" i="13"/>
  <c r="J95" i="13"/>
  <c r="I96" i="13"/>
  <c r="J96" i="13"/>
  <c r="I97" i="13"/>
  <c r="J97" i="13"/>
  <c r="I98" i="13"/>
  <c r="J98" i="13"/>
  <c r="I99" i="13"/>
  <c r="J99" i="13"/>
  <c r="I100" i="13"/>
  <c r="J100" i="13"/>
  <c r="I101" i="13"/>
  <c r="J101" i="13"/>
  <c r="I102" i="13"/>
  <c r="J102" i="13"/>
  <c r="I103" i="13"/>
  <c r="J103" i="13"/>
  <c r="I104" i="13"/>
  <c r="J104" i="13"/>
  <c r="I105" i="13"/>
  <c r="J105" i="13"/>
  <c r="I106" i="13"/>
  <c r="J106" i="13"/>
  <c r="I107" i="13"/>
  <c r="J107" i="13"/>
  <c r="I108" i="13"/>
  <c r="J108" i="13"/>
  <c r="I109" i="13"/>
  <c r="J109" i="13"/>
  <c r="I110" i="13"/>
  <c r="J110" i="13"/>
  <c r="I111" i="13"/>
  <c r="J111" i="13"/>
  <c r="I112" i="13"/>
  <c r="J112" i="13"/>
  <c r="I113" i="13"/>
  <c r="J113" i="13"/>
  <c r="I114" i="13"/>
  <c r="J114" i="13"/>
  <c r="I115" i="13"/>
  <c r="J115" i="13"/>
  <c r="I116" i="13"/>
  <c r="J116" i="13"/>
  <c r="I117" i="13"/>
  <c r="J117" i="13"/>
  <c r="I118" i="13"/>
  <c r="J118" i="13"/>
  <c r="I119" i="13"/>
  <c r="J119" i="13"/>
  <c r="I120" i="13"/>
  <c r="J120" i="13"/>
  <c r="I121" i="13"/>
  <c r="J121" i="13"/>
  <c r="I122" i="13"/>
  <c r="J122" i="13"/>
  <c r="I123" i="13"/>
  <c r="J123" i="13"/>
  <c r="I124" i="13"/>
  <c r="J124" i="13"/>
  <c r="I125" i="13"/>
  <c r="J125" i="13"/>
  <c r="I126" i="13"/>
  <c r="J126" i="13"/>
  <c r="I127" i="13"/>
  <c r="J127" i="13"/>
  <c r="I128" i="13"/>
  <c r="J128" i="13"/>
  <c r="I129" i="13"/>
  <c r="J129" i="13"/>
  <c r="I130" i="13"/>
  <c r="J130" i="13"/>
  <c r="I131" i="13"/>
  <c r="J131" i="13"/>
  <c r="I132" i="13"/>
  <c r="J132" i="13"/>
  <c r="I133" i="13"/>
  <c r="J133" i="13"/>
  <c r="I134" i="13"/>
  <c r="J134" i="13"/>
  <c r="I135" i="13"/>
  <c r="J135" i="13"/>
  <c r="I136" i="13"/>
  <c r="J136" i="13"/>
  <c r="I137" i="13"/>
  <c r="J137" i="13"/>
  <c r="I138" i="13"/>
  <c r="J138" i="13"/>
  <c r="I139" i="13"/>
  <c r="J139" i="13"/>
  <c r="I140" i="13"/>
  <c r="J140" i="13"/>
  <c r="I141" i="13"/>
  <c r="J141" i="13"/>
  <c r="I142" i="13"/>
  <c r="J142" i="13"/>
  <c r="I143" i="13"/>
  <c r="J143" i="13"/>
  <c r="I144" i="13"/>
  <c r="J144" i="13"/>
  <c r="I145" i="13"/>
  <c r="J145" i="13"/>
  <c r="I146" i="13"/>
  <c r="J146" i="13"/>
  <c r="I147" i="13"/>
  <c r="J147" i="13"/>
  <c r="I148" i="13"/>
  <c r="J148" i="13"/>
  <c r="I149" i="13"/>
  <c r="J149" i="13"/>
  <c r="I150" i="13"/>
  <c r="J150" i="13"/>
  <c r="I151" i="13"/>
  <c r="J151" i="13"/>
  <c r="I152" i="13"/>
  <c r="J152" i="13"/>
  <c r="I153" i="13"/>
  <c r="J153" i="13"/>
  <c r="I154" i="13"/>
  <c r="J154" i="13"/>
  <c r="I155" i="13"/>
  <c r="J155" i="13"/>
  <c r="I156" i="13"/>
  <c r="J156" i="13"/>
  <c r="I157" i="13"/>
  <c r="J157" i="13"/>
  <c r="I158" i="13"/>
  <c r="J158" i="13"/>
  <c r="I159" i="13"/>
  <c r="J159" i="13"/>
  <c r="I160" i="13"/>
  <c r="J160" i="13"/>
  <c r="I161" i="13"/>
  <c r="J161" i="13"/>
  <c r="I162" i="13"/>
  <c r="J162" i="13"/>
  <c r="I163" i="13"/>
  <c r="J163" i="13"/>
  <c r="I164" i="13"/>
  <c r="J164" i="13"/>
  <c r="I165" i="13"/>
  <c r="J165" i="13"/>
  <c r="I166" i="13"/>
  <c r="J166" i="13"/>
  <c r="I167" i="13"/>
  <c r="J167" i="13"/>
  <c r="I168" i="13"/>
  <c r="J168" i="13"/>
  <c r="I169" i="13"/>
  <c r="J169" i="13"/>
  <c r="I170" i="13"/>
  <c r="J170" i="13"/>
  <c r="I171" i="13"/>
  <c r="J171" i="13"/>
  <c r="I172" i="13"/>
  <c r="J172" i="13"/>
  <c r="I173" i="13"/>
  <c r="J173" i="13"/>
  <c r="I174" i="13"/>
  <c r="J174" i="13"/>
  <c r="I175" i="13"/>
  <c r="J175" i="13"/>
  <c r="I176" i="13"/>
  <c r="J176" i="13"/>
  <c r="I177" i="13"/>
  <c r="J177" i="13"/>
  <c r="I178" i="13"/>
  <c r="J178" i="13"/>
  <c r="I179" i="13"/>
  <c r="J179" i="13"/>
  <c r="I180" i="13"/>
  <c r="J180" i="13"/>
  <c r="I181" i="13"/>
  <c r="J181" i="13"/>
  <c r="I182" i="13"/>
  <c r="J182" i="13"/>
  <c r="I183" i="13"/>
  <c r="J183" i="13"/>
  <c r="I184" i="13"/>
  <c r="J184" i="13"/>
  <c r="I185" i="13"/>
  <c r="J185" i="13"/>
  <c r="I186" i="13"/>
  <c r="J186" i="13"/>
  <c r="I187" i="13"/>
  <c r="J187" i="13"/>
  <c r="I188" i="13"/>
  <c r="J188" i="13"/>
  <c r="I189" i="13"/>
  <c r="J189" i="13"/>
  <c r="I190" i="13"/>
  <c r="J190" i="13"/>
  <c r="I191" i="13"/>
  <c r="J191" i="13"/>
  <c r="I192" i="13"/>
  <c r="J192" i="13"/>
  <c r="I193" i="13"/>
  <c r="J193" i="13"/>
  <c r="I194" i="13"/>
  <c r="J194" i="13"/>
  <c r="I195" i="13"/>
  <c r="J195" i="13"/>
  <c r="I196" i="13"/>
  <c r="J196" i="13"/>
  <c r="I197" i="13"/>
  <c r="J197" i="13"/>
  <c r="I198" i="13"/>
  <c r="J198" i="13"/>
  <c r="I199" i="13"/>
  <c r="J199" i="13"/>
  <c r="I200" i="13"/>
  <c r="J200" i="13"/>
  <c r="I201" i="13"/>
  <c r="J201" i="13"/>
  <c r="I202" i="13"/>
  <c r="J202" i="13"/>
  <c r="I203" i="13"/>
  <c r="J203" i="13"/>
  <c r="I204" i="13"/>
  <c r="J204" i="13"/>
  <c r="I205" i="13"/>
  <c r="J205" i="13"/>
  <c r="I206" i="13"/>
  <c r="J206" i="13"/>
  <c r="I207" i="13"/>
  <c r="J207" i="13"/>
  <c r="I208" i="13"/>
  <c r="J208" i="13"/>
  <c r="I209" i="13"/>
  <c r="J209" i="13"/>
  <c r="I210" i="13"/>
  <c r="J210" i="13"/>
  <c r="I211" i="13"/>
  <c r="J211" i="13"/>
  <c r="I212" i="13"/>
  <c r="J212" i="13"/>
  <c r="I213" i="13"/>
  <c r="J213" i="13"/>
  <c r="I214" i="13"/>
  <c r="J214" i="13"/>
  <c r="I215" i="13"/>
  <c r="J215" i="13"/>
  <c r="I216" i="13"/>
  <c r="J216" i="13"/>
  <c r="I217" i="13"/>
  <c r="J217" i="13"/>
  <c r="I218" i="13"/>
  <c r="J218" i="13"/>
  <c r="I219" i="13"/>
  <c r="J219" i="13"/>
  <c r="I220" i="13"/>
  <c r="J220" i="13"/>
  <c r="I221" i="13"/>
  <c r="J221" i="13"/>
  <c r="I222" i="13"/>
  <c r="J222" i="13"/>
  <c r="I223" i="13"/>
  <c r="J223" i="13"/>
  <c r="I224" i="13"/>
  <c r="J224" i="13"/>
  <c r="I225" i="13"/>
  <c r="J225" i="13"/>
  <c r="I226" i="13"/>
  <c r="J226" i="13"/>
  <c r="I227" i="13"/>
  <c r="J227" i="13"/>
  <c r="I228" i="13"/>
  <c r="J228" i="13"/>
  <c r="I229" i="13"/>
  <c r="J229" i="13"/>
  <c r="I230" i="13"/>
  <c r="J230" i="13"/>
  <c r="I231" i="13"/>
  <c r="J231" i="13"/>
  <c r="I232" i="13"/>
  <c r="J232" i="13"/>
  <c r="I233" i="13"/>
  <c r="J233" i="13"/>
  <c r="I234" i="13"/>
  <c r="J234" i="13"/>
  <c r="I235" i="13"/>
  <c r="J235" i="13"/>
  <c r="I236" i="13"/>
  <c r="J236" i="13"/>
  <c r="I237" i="13"/>
  <c r="J237" i="13"/>
  <c r="I238" i="13"/>
  <c r="J238" i="13"/>
  <c r="I241" i="13"/>
  <c r="J241" i="13"/>
  <c r="J246" i="13"/>
  <c r="I246" i="13"/>
  <c r="J255" i="13"/>
  <c r="I255" i="13"/>
  <c r="I274" i="13"/>
  <c r="J274" i="13"/>
  <c r="I288" i="13"/>
  <c r="J288" i="13"/>
  <c r="J296" i="13"/>
  <c r="I296" i="13"/>
  <c r="I301" i="13"/>
  <c r="J301" i="13"/>
  <c r="I304" i="13"/>
  <c r="J304" i="13"/>
  <c r="I309" i="13"/>
  <c r="J309" i="13"/>
  <c r="I312" i="13"/>
  <c r="J312" i="13"/>
  <c r="J316" i="13"/>
  <c r="I316" i="13"/>
  <c r="J318" i="13"/>
  <c r="I318" i="13"/>
  <c r="I344" i="13"/>
  <c r="J344" i="13"/>
  <c r="I349" i="13"/>
  <c r="J349" i="13"/>
  <c r="I352" i="13"/>
  <c r="J352" i="13"/>
  <c r="I366" i="13"/>
  <c r="J366" i="13"/>
  <c r="J373" i="13"/>
  <c r="I373" i="13"/>
  <c r="I391" i="13"/>
  <c r="J391" i="13"/>
  <c r="I392" i="13"/>
  <c r="J392" i="13"/>
  <c r="I393" i="13"/>
  <c r="J393" i="13"/>
  <c r="I394" i="13"/>
  <c r="J394" i="13"/>
  <c r="I395" i="13"/>
  <c r="J395" i="13"/>
  <c r="I396" i="13"/>
  <c r="J396" i="13"/>
  <c r="I397" i="13"/>
  <c r="J397" i="13"/>
  <c r="I398" i="13"/>
  <c r="J398" i="13"/>
  <c r="I399" i="13"/>
  <c r="J399" i="13"/>
  <c r="I400" i="13"/>
  <c r="J400" i="13"/>
  <c r="I401" i="13"/>
  <c r="J401" i="13"/>
  <c r="I402" i="13"/>
  <c r="J402" i="13"/>
  <c r="I403" i="13"/>
  <c r="J403" i="13"/>
  <c r="I404" i="13"/>
  <c r="J404" i="13"/>
  <c r="I405" i="13"/>
  <c r="J405" i="13"/>
  <c r="I406" i="13"/>
  <c r="J406" i="13"/>
  <c r="I407" i="13"/>
  <c r="J407" i="13"/>
  <c r="I408" i="13"/>
  <c r="J408" i="13"/>
  <c r="I409" i="13"/>
  <c r="J409" i="13"/>
  <c r="I410" i="13"/>
  <c r="J410" i="13"/>
  <c r="I411" i="13"/>
  <c r="J411" i="13"/>
  <c r="I412" i="13"/>
  <c r="J412" i="13"/>
  <c r="I413" i="13"/>
  <c r="J413" i="13"/>
  <c r="I414" i="13"/>
  <c r="J414" i="13"/>
  <c r="I415" i="13"/>
  <c r="J415" i="13"/>
  <c r="I416" i="13"/>
  <c r="J416" i="13"/>
  <c r="I417" i="13"/>
  <c r="J417" i="13"/>
  <c r="I418" i="13"/>
  <c r="J418" i="13"/>
  <c r="I419" i="13"/>
  <c r="J419" i="13"/>
  <c r="I420" i="13"/>
  <c r="J420" i="13"/>
  <c r="I421" i="13"/>
  <c r="J421" i="13"/>
  <c r="I422" i="13"/>
  <c r="J422" i="13"/>
  <c r="I423" i="13"/>
  <c r="J423" i="13"/>
  <c r="I424" i="13"/>
  <c r="J424" i="13"/>
  <c r="I425" i="13"/>
  <c r="J425" i="13"/>
  <c r="I426" i="13"/>
  <c r="J426" i="13"/>
  <c r="I427" i="13"/>
  <c r="J427" i="13"/>
  <c r="I428" i="13"/>
  <c r="J428" i="13"/>
  <c r="I429" i="13"/>
  <c r="J429" i="13"/>
  <c r="I430" i="13"/>
  <c r="J430" i="13"/>
  <c r="I431" i="13"/>
  <c r="J431" i="13"/>
  <c r="I432" i="13"/>
  <c r="J432" i="13"/>
  <c r="I433" i="13"/>
  <c r="J433" i="13"/>
  <c r="I434" i="13"/>
  <c r="J434" i="13"/>
  <c r="I435" i="13"/>
  <c r="J435" i="13"/>
  <c r="I436" i="13"/>
  <c r="J436" i="13"/>
  <c r="I437" i="13"/>
  <c r="J437" i="13"/>
  <c r="I438" i="13"/>
  <c r="J438" i="13"/>
  <c r="I439" i="13"/>
  <c r="J439" i="13"/>
  <c r="I440" i="13"/>
  <c r="J440" i="13"/>
  <c r="I441" i="13"/>
  <c r="J441" i="13"/>
  <c r="I442" i="13"/>
  <c r="J442" i="13"/>
  <c r="I443" i="13"/>
  <c r="J443" i="13"/>
  <c r="I444" i="13"/>
  <c r="J444" i="13"/>
  <c r="I445" i="13"/>
  <c r="J445" i="13"/>
  <c r="I446" i="13"/>
  <c r="J446" i="13"/>
  <c r="I447" i="13"/>
  <c r="J447" i="13"/>
  <c r="I448" i="13"/>
  <c r="J448" i="13"/>
  <c r="I449" i="13"/>
  <c r="J449" i="13"/>
  <c r="I450" i="13"/>
  <c r="J450" i="13"/>
  <c r="I451" i="13"/>
  <c r="J451" i="13"/>
  <c r="I452" i="13"/>
  <c r="J452" i="13"/>
  <c r="I453" i="13"/>
  <c r="J453" i="13"/>
  <c r="I454" i="13"/>
  <c r="J454" i="13"/>
  <c r="I455" i="13"/>
  <c r="J455" i="13"/>
  <c r="I456" i="13"/>
  <c r="J456" i="13"/>
  <c r="I457" i="13"/>
  <c r="J457" i="13"/>
  <c r="I458" i="13"/>
  <c r="J458" i="13"/>
  <c r="I459" i="13"/>
  <c r="J459" i="13"/>
  <c r="I460" i="13"/>
  <c r="J460" i="13"/>
  <c r="I461" i="13"/>
  <c r="J461" i="13"/>
  <c r="I462" i="13"/>
  <c r="J462" i="13"/>
  <c r="I463" i="13"/>
  <c r="J463" i="13"/>
  <c r="I464" i="13"/>
  <c r="J464" i="13"/>
  <c r="I465" i="13"/>
  <c r="J465" i="13"/>
  <c r="I466" i="13"/>
  <c r="J466" i="13"/>
  <c r="I467" i="13"/>
  <c r="J467" i="13"/>
  <c r="I468" i="13"/>
  <c r="J468" i="13"/>
  <c r="I469" i="13"/>
  <c r="J469" i="13"/>
  <c r="I470" i="13"/>
  <c r="J470" i="13"/>
  <c r="I471" i="13"/>
  <c r="J471" i="13"/>
  <c r="I472" i="13"/>
  <c r="J472" i="13"/>
  <c r="I473" i="13"/>
  <c r="J473" i="13"/>
  <c r="I474" i="13"/>
  <c r="J474" i="13"/>
  <c r="I475" i="13"/>
  <c r="J475" i="13"/>
  <c r="I476" i="13"/>
  <c r="J476" i="13"/>
  <c r="I477" i="13"/>
  <c r="J477" i="13"/>
  <c r="I478" i="13"/>
  <c r="J478" i="13"/>
  <c r="I479" i="13"/>
  <c r="J479" i="13"/>
  <c r="I480" i="13"/>
  <c r="J480" i="13"/>
  <c r="I481" i="13"/>
  <c r="J481" i="13"/>
  <c r="I482" i="13"/>
  <c r="J482" i="13"/>
  <c r="I483" i="13"/>
  <c r="J483" i="13"/>
  <c r="I484" i="13"/>
  <c r="J484" i="13"/>
  <c r="I485" i="13"/>
  <c r="J485" i="13"/>
  <c r="I486" i="13"/>
  <c r="J486" i="13"/>
  <c r="I487" i="13"/>
  <c r="J487" i="13"/>
  <c r="I488" i="13"/>
  <c r="J488" i="13"/>
  <c r="I489" i="13"/>
  <c r="J489" i="13"/>
  <c r="I490" i="13"/>
  <c r="J490" i="13"/>
  <c r="I491" i="13"/>
  <c r="J491" i="13"/>
  <c r="I492" i="13"/>
  <c r="J492" i="13"/>
  <c r="I493" i="13"/>
  <c r="J493" i="13"/>
  <c r="I494" i="13"/>
  <c r="J494" i="13"/>
  <c r="I495" i="13"/>
  <c r="J495" i="13"/>
  <c r="I496" i="13"/>
  <c r="J496" i="13"/>
  <c r="I497" i="13"/>
  <c r="J497" i="13"/>
  <c r="I498" i="13"/>
  <c r="J498" i="13"/>
  <c r="I499" i="13"/>
  <c r="J499" i="13"/>
  <c r="I500" i="13"/>
  <c r="J500" i="13"/>
  <c r="I501" i="13"/>
  <c r="J501" i="13"/>
  <c r="I502" i="13"/>
  <c r="J502" i="13"/>
  <c r="I503" i="13"/>
  <c r="J503" i="13"/>
  <c r="I504" i="13"/>
  <c r="J504" i="13"/>
  <c r="I505" i="13"/>
  <c r="J505" i="13"/>
  <c r="I506" i="13"/>
  <c r="J506" i="13"/>
  <c r="I507" i="13"/>
  <c r="J507" i="13"/>
  <c r="J239" i="13"/>
  <c r="I239" i="13"/>
  <c r="J267" i="13"/>
  <c r="I267" i="13"/>
  <c r="I294" i="13"/>
  <c r="J294" i="13"/>
  <c r="I305" i="13"/>
  <c r="J305" i="13"/>
  <c r="I306" i="13"/>
  <c r="J306" i="13"/>
  <c r="I310" i="13"/>
  <c r="J310" i="13"/>
  <c r="I319" i="13"/>
  <c r="J319" i="13"/>
  <c r="J331" i="13"/>
  <c r="I331" i="13"/>
  <c r="I338" i="13"/>
  <c r="J338" i="13"/>
  <c r="J356" i="13"/>
  <c r="I356" i="13"/>
  <c r="J361" i="13"/>
  <c r="I361" i="13"/>
  <c r="I265" i="13"/>
  <c r="J265" i="13"/>
  <c r="I270" i="13"/>
  <c r="J270" i="13"/>
  <c r="I271" i="13"/>
  <c r="J271" i="13"/>
  <c r="I276" i="13"/>
  <c r="J276" i="13"/>
  <c r="I285" i="13"/>
  <c r="J285" i="13"/>
  <c r="J300" i="13"/>
  <c r="I300" i="13"/>
  <c r="J317" i="13"/>
  <c r="I317" i="13"/>
  <c r="I320" i="13"/>
  <c r="J320" i="13"/>
  <c r="I346" i="13"/>
  <c r="J346" i="13"/>
  <c r="J365" i="13"/>
  <c r="I365" i="13"/>
  <c r="I380" i="13"/>
  <c r="J380" i="13"/>
  <c r="I244" i="13"/>
  <c r="J244" i="13"/>
  <c r="I250" i="13"/>
  <c r="J250" i="13"/>
  <c r="I298" i="13"/>
  <c r="J298" i="13"/>
  <c r="I299" i="13"/>
  <c r="J299" i="13"/>
  <c r="I303" i="13"/>
  <c r="J303" i="13"/>
  <c r="J343" i="13"/>
  <c r="I343" i="13"/>
  <c r="J348" i="13"/>
  <c r="I348" i="13"/>
  <c r="I359" i="13"/>
  <c r="J359" i="13"/>
  <c r="I362" i="13"/>
  <c r="J362" i="13"/>
  <c r="I371" i="13"/>
  <c r="J371" i="13"/>
  <c r="I377" i="13"/>
  <c r="J377" i="13"/>
  <c r="J382" i="13"/>
  <c r="I382" i="13"/>
  <c r="J388" i="13"/>
  <c r="I388" i="13"/>
  <c r="I259" i="13"/>
  <c r="J259" i="13"/>
  <c r="I272" i="13"/>
  <c r="J272" i="13"/>
  <c r="I282" i="13"/>
  <c r="J282" i="13"/>
  <c r="J287" i="13"/>
  <c r="I287" i="13"/>
  <c r="J302" i="13"/>
  <c r="I302" i="13"/>
  <c r="J314" i="13"/>
  <c r="I314" i="13"/>
  <c r="I321" i="13"/>
  <c r="J321" i="13"/>
  <c r="I328" i="13"/>
  <c r="J328" i="13"/>
  <c r="I339" i="13"/>
  <c r="J339" i="13"/>
  <c r="I353" i="13"/>
  <c r="J353" i="13"/>
  <c r="I354" i="13"/>
  <c r="J354" i="13"/>
  <c r="I355" i="13"/>
  <c r="J355" i="13"/>
  <c r="I367" i="13"/>
  <c r="J367" i="13"/>
  <c r="J376" i="13"/>
  <c r="I376" i="13"/>
  <c r="J253" i="13"/>
  <c r="I253" i="13"/>
  <c r="J258" i="13"/>
  <c r="I258" i="13"/>
  <c r="I263" i="13"/>
  <c r="J263" i="13"/>
  <c r="I266" i="13"/>
  <c r="J266" i="13"/>
  <c r="I268" i="13"/>
  <c r="J268" i="13"/>
  <c r="J269" i="13"/>
  <c r="I269" i="13"/>
  <c r="J277" i="13"/>
  <c r="I277" i="13"/>
  <c r="J281" i="13"/>
  <c r="I281" i="13"/>
  <c r="J327" i="13"/>
  <c r="I327" i="13"/>
  <c r="J334" i="13"/>
  <c r="I334" i="13"/>
  <c r="J341" i="13"/>
  <c r="I341" i="13"/>
  <c r="J358" i="13"/>
  <c r="I358" i="13"/>
  <c r="I363" i="13"/>
  <c r="J363" i="13"/>
  <c r="J374" i="13"/>
  <c r="I374" i="13"/>
  <c r="J386" i="13"/>
  <c r="I386" i="13"/>
  <c r="J242" i="13"/>
  <c r="I242" i="13"/>
  <c r="I248" i="13"/>
  <c r="J248" i="13"/>
  <c r="J249" i="13"/>
  <c r="I249" i="13"/>
  <c r="I252" i="13"/>
  <c r="J252" i="13"/>
  <c r="I257" i="13"/>
  <c r="J257" i="13"/>
  <c r="I260" i="13"/>
  <c r="J260" i="13"/>
  <c r="J275" i="13"/>
  <c r="I275" i="13"/>
  <c r="I283" i="13"/>
  <c r="J283" i="13"/>
  <c r="J289" i="13"/>
  <c r="I289" i="13"/>
  <c r="I295" i="13"/>
  <c r="J295" i="13"/>
  <c r="J297" i="13"/>
  <c r="I297" i="13"/>
  <c r="J313" i="13"/>
  <c r="I313" i="13"/>
  <c r="J337" i="13"/>
  <c r="I337" i="13"/>
  <c r="I350" i="13"/>
  <c r="J350" i="13"/>
  <c r="I351" i="13"/>
  <c r="J351" i="13"/>
  <c r="J370" i="13"/>
  <c r="I370" i="13"/>
  <c r="J385" i="13"/>
  <c r="I385" i="13"/>
  <c r="I262" i="13"/>
  <c r="J262" i="13"/>
  <c r="J264" i="13"/>
  <c r="I264" i="13"/>
  <c r="I273" i="13"/>
  <c r="J273" i="13"/>
  <c r="J280" i="13"/>
  <c r="I280" i="13"/>
  <c r="I284" i="13"/>
  <c r="J284" i="13"/>
  <c r="J290" i="13"/>
  <c r="I290" i="13"/>
  <c r="J323" i="13"/>
  <c r="I323" i="13"/>
  <c r="J324" i="13"/>
  <c r="I324" i="13"/>
  <c r="I325" i="13"/>
  <c r="J325" i="13"/>
  <c r="I329" i="13"/>
  <c r="J329" i="13"/>
  <c r="I340" i="13"/>
  <c r="J340" i="13"/>
  <c r="J345" i="13"/>
  <c r="I345" i="13"/>
  <c r="J389" i="13"/>
  <c r="I389" i="13"/>
  <c r="J247" i="13"/>
  <c r="I247" i="13"/>
  <c r="J261" i="13"/>
  <c r="I261" i="13"/>
  <c r="I292" i="13"/>
  <c r="J292" i="13"/>
  <c r="J308" i="13"/>
  <c r="I308" i="13"/>
  <c r="J311" i="13"/>
  <c r="I311" i="13"/>
  <c r="I322" i="13"/>
  <c r="J322" i="13"/>
  <c r="J342" i="13"/>
  <c r="I342" i="13"/>
  <c r="J357" i="13"/>
  <c r="I357" i="13"/>
  <c r="I364" i="13"/>
  <c r="J364" i="13"/>
  <c r="J368" i="13"/>
  <c r="I368" i="13"/>
  <c r="I375" i="13"/>
  <c r="J375" i="13"/>
  <c r="I240" i="13"/>
  <c r="J240" i="13"/>
  <c r="J245" i="13"/>
  <c r="I245" i="13"/>
  <c r="J251" i="13"/>
  <c r="I251" i="13"/>
  <c r="J254" i="13"/>
  <c r="I254" i="13"/>
  <c r="J278" i="13"/>
  <c r="I278" i="13"/>
  <c r="I286" i="13"/>
  <c r="J286" i="13"/>
  <c r="I291" i="13"/>
  <c r="J291" i="13"/>
  <c r="I293" i="13"/>
  <c r="J293" i="13"/>
  <c r="J307" i="13"/>
  <c r="I307" i="13"/>
  <c r="J315" i="13"/>
  <c r="I315" i="13"/>
  <c r="J326" i="13"/>
  <c r="I326" i="13"/>
  <c r="I332" i="13"/>
  <c r="J332" i="13"/>
  <c r="J335" i="13"/>
  <c r="I335" i="13"/>
  <c r="I347" i="13"/>
  <c r="J347" i="13"/>
  <c r="I360" i="13"/>
  <c r="J360" i="13"/>
  <c r="I369" i="13"/>
  <c r="J369" i="13"/>
  <c r="J378" i="13"/>
  <c r="I378" i="13"/>
  <c r="I379" i="13"/>
  <c r="J379" i="13"/>
  <c r="J381" i="13"/>
  <c r="I381" i="13"/>
  <c r="J243" i="13"/>
  <c r="I243" i="13"/>
  <c r="J256" i="13"/>
  <c r="I256" i="13"/>
  <c r="J279" i="13"/>
  <c r="I279" i="13"/>
  <c r="J330" i="13"/>
  <c r="I330" i="13"/>
  <c r="I333" i="13"/>
  <c r="J333" i="13"/>
  <c r="I336" i="13"/>
  <c r="J336" i="13"/>
  <c r="J372" i="13"/>
  <c r="I372" i="13"/>
  <c r="J383" i="13"/>
  <c r="I383" i="13"/>
  <c r="J384" i="13"/>
  <c r="I384" i="13"/>
  <c r="J387" i="13"/>
  <c r="I387" i="13"/>
  <c r="J390" i="13"/>
  <c r="I390" i="13"/>
  <c r="P8" i="14"/>
  <c r="Q8" i="14" s="1"/>
  <c r="B8" i="10" s="1"/>
  <c r="P9" i="14"/>
  <c r="Q9" i="14" s="1"/>
  <c r="B9" i="10" s="1"/>
  <c r="P10" i="14"/>
  <c r="Q10" i="14" s="1"/>
  <c r="B10" i="10" s="1"/>
  <c r="P11" i="14"/>
  <c r="Q11" i="14" s="1"/>
  <c r="B11" i="10" s="1"/>
  <c r="P12" i="14"/>
  <c r="Q12" i="14" s="1"/>
  <c r="B12" i="10" s="1"/>
  <c r="P13" i="14"/>
  <c r="Q13" i="14" s="1"/>
  <c r="B13" i="10" s="1"/>
  <c r="P14" i="14"/>
  <c r="Q14" i="14" s="1"/>
  <c r="B14" i="10" s="1"/>
  <c r="P15" i="14"/>
  <c r="Q15" i="14" s="1"/>
  <c r="B15" i="10" s="1"/>
  <c r="P16" i="14"/>
  <c r="Q16" i="14" s="1"/>
  <c r="B16" i="10" s="1"/>
  <c r="P17" i="14"/>
  <c r="Q17" i="14" s="1"/>
  <c r="B17" i="10" s="1"/>
  <c r="P18" i="14"/>
  <c r="Q18" i="14" s="1"/>
  <c r="B18" i="10" s="1"/>
  <c r="P19" i="14"/>
  <c r="Q19" i="14" s="1"/>
  <c r="B19" i="10" s="1"/>
  <c r="P20" i="14"/>
  <c r="Q20" i="14" s="1"/>
  <c r="B20" i="10" s="1"/>
  <c r="P21" i="14"/>
  <c r="Q21" i="14" s="1"/>
  <c r="B21" i="10" s="1"/>
  <c r="P22" i="14"/>
  <c r="Q22" i="14" s="1"/>
  <c r="B22" i="10" s="1"/>
  <c r="P23" i="14"/>
  <c r="Q23" i="14" s="1"/>
  <c r="B23" i="10" s="1"/>
  <c r="P24" i="14"/>
  <c r="Q24" i="14" s="1"/>
  <c r="B24" i="10" s="1"/>
  <c r="P25" i="14"/>
  <c r="Q25" i="14" s="1"/>
  <c r="B25" i="10" s="1"/>
  <c r="P26" i="14"/>
  <c r="Q26" i="14" s="1"/>
  <c r="B26" i="10" s="1"/>
  <c r="P27" i="14"/>
  <c r="Q27" i="14" s="1"/>
  <c r="B27" i="10" s="1"/>
  <c r="P28" i="14"/>
  <c r="Q28" i="14" s="1"/>
  <c r="B28" i="10" s="1"/>
  <c r="P29" i="14"/>
  <c r="Q29" i="14" s="1"/>
  <c r="B29" i="10" s="1"/>
  <c r="P30" i="14"/>
  <c r="Q30" i="14" s="1"/>
  <c r="B30" i="10" s="1"/>
  <c r="P31" i="14"/>
  <c r="Q31" i="14" s="1"/>
  <c r="B31" i="10" s="1"/>
  <c r="P32" i="14"/>
  <c r="Q32" i="14" s="1"/>
  <c r="B32" i="10" s="1"/>
  <c r="P33" i="14"/>
  <c r="Q33" i="14" s="1"/>
  <c r="B33" i="10" s="1"/>
  <c r="P34" i="14"/>
  <c r="Q34" i="14" s="1"/>
  <c r="B34" i="10" s="1"/>
  <c r="P35" i="14"/>
  <c r="Q35" i="14" s="1"/>
  <c r="B35" i="10" s="1"/>
  <c r="P36" i="14"/>
  <c r="Q36" i="14" s="1"/>
  <c r="B36" i="10" s="1"/>
  <c r="P37" i="14"/>
  <c r="Q37" i="14" s="1"/>
  <c r="B37" i="10" s="1"/>
  <c r="P38" i="14"/>
  <c r="Q38" i="14" s="1"/>
  <c r="B38" i="10" s="1"/>
  <c r="P39" i="14"/>
  <c r="Q39" i="14" s="1"/>
  <c r="B39" i="10" s="1"/>
  <c r="P40" i="14"/>
  <c r="Q40" i="14" s="1"/>
  <c r="B40" i="10" s="1"/>
  <c r="P41" i="14"/>
  <c r="Q41" i="14" s="1"/>
  <c r="B41" i="10" s="1"/>
  <c r="P42" i="14"/>
  <c r="Q42" i="14" s="1"/>
  <c r="B42" i="10" s="1"/>
  <c r="P43" i="14"/>
  <c r="Q43" i="14" s="1"/>
  <c r="B43" i="10" s="1"/>
  <c r="P44" i="14"/>
  <c r="Q44" i="14" s="1"/>
  <c r="B44" i="10" s="1"/>
  <c r="P45" i="14"/>
  <c r="Q45" i="14" s="1"/>
  <c r="B45" i="10" s="1"/>
  <c r="P46" i="14"/>
  <c r="Q46" i="14" s="1"/>
  <c r="B46" i="10" s="1"/>
  <c r="P47" i="14"/>
  <c r="Q47" i="14" s="1"/>
  <c r="B47" i="10" s="1"/>
  <c r="P48" i="14"/>
  <c r="Q48" i="14" s="1"/>
  <c r="B48" i="10" s="1"/>
  <c r="P49" i="14"/>
  <c r="Q49" i="14" s="1"/>
  <c r="B49" i="10" s="1"/>
  <c r="P50" i="14"/>
  <c r="Q50" i="14" s="1"/>
  <c r="B50" i="10" s="1"/>
  <c r="P51" i="14"/>
  <c r="Q51" i="14" s="1"/>
  <c r="B51" i="10" s="1"/>
  <c r="P52" i="14"/>
  <c r="Q52" i="14" s="1"/>
  <c r="B52" i="10" s="1"/>
  <c r="P53" i="14"/>
  <c r="Q53" i="14" s="1"/>
  <c r="B53" i="10" s="1"/>
  <c r="P54" i="14"/>
  <c r="Q54" i="14" s="1"/>
  <c r="B54" i="10" s="1"/>
  <c r="P55" i="14"/>
  <c r="Q55" i="14" s="1"/>
  <c r="B55" i="10" s="1"/>
  <c r="P56" i="14"/>
  <c r="Q56" i="14" s="1"/>
  <c r="B56" i="10" s="1"/>
  <c r="P57" i="14"/>
  <c r="Q57" i="14" s="1"/>
  <c r="B57" i="10" s="1"/>
  <c r="P58" i="14"/>
  <c r="Q58" i="14" s="1"/>
  <c r="B58" i="10" s="1"/>
  <c r="P59" i="14"/>
  <c r="Q59" i="14" s="1"/>
  <c r="B59" i="10" s="1"/>
  <c r="P60" i="14"/>
  <c r="Q60" i="14" s="1"/>
  <c r="B60" i="10" s="1"/>
  <c r="P61" i="14"/>
  <c r="Q61" i="14" s="1"/>
  <c r="B61" i="10" s="1"/>
  <c r="P62" i="14"/>
  <c r="Q62" i="14" s="1"/>
  <c r="B62" i="10" s="1"/>
  <c r="P63" i="14"/>
  <c r="Q63" i="14" s="1"/>
  <c r="B63" i="10" s="1"/>
  <c r="P64" i="14"/>
  <c r="Q64" i="14" s="1"/>
  <c r="B64" i="10" s="1"/>
  <c r="P65" i="14"/>
  <c r="Q65" i="14" s="1"/>
  <c r="B65" i="10" s="1"/>
  <c r="P66" i="14"/>
  <c r="Q66" i="14" s="1"/>
  <c r="B66" i="10" s="1"/>
  <c r="P67" i="14"/>
  <c r="Q67" i="14" s="1"/>
  <c r="B67" i="10" s="1"/>
  <c r="P68" i="14"/>
  <c r="Q68" i="14" s="1"/>
  <c r="B68" i="10" s="1"/>
  <c r="P69" i="14"/>
  <c r="Q69" i="14" s="1"/>
  <c r="B69" i="10" s="1"/>
  <c r="P70" i="14"/>
  <c r="Q70" i="14" s="1"/>
  <c r="B70" i="10" s="1"/>
  <c r="P71" i="14"/>
  <c r="Q71" i="14" s="1"/>
  <c r="B71" i="10" s="1"/>
  <c r="P72" i="14"/>
  <c r="Q72" i="14" s="1"/>
  <c r="B72" i="10" s="1"/>
  <c r="P73" i="14"/>
  <c r="Q73" i="14" s="1"/>
  <c r="B73" i="10" s="1"/>
  <c r="P74" i="14"/>
  <c r="Q74" i="14" s="1"/>
  <c r="B74" i="10" s="1"/>
  <c r="P75" i="14"/>
  <c r="Q75" i="14" s="1"/>
  <c r="B75" i="10" s="1"/>
  <c r="P76" i="14"/>
  <c r="Q76" i="14" s="1"/>
  <c r="B76" i="10" s="1"/>
  <c r="P77" i="14"/>
  <c r="Q77" i="14" s="1"/>
  <c r="B77" i="10" s="1"/>
  <c r="P78" i="14"/>
  <c r="Q78" i="14" s="1"/>
  <c r="B78" i="10" s="1"/>
  <c r="P79" i="14"/>
  <c r="Q79" i="14" s="1"/>
  <c r="B79" i="10" s="1"/>
  <c r="P80" i="14"/>
  <c r="Q80" i="14" s="1"/>
  <c r="B80" i="10" s="1"/>
  <c r="P81" i="14"/>
  <c r="Q81" i="14" s="1"/>
  <c r="B81" i="10" s="1"/>
  <c r="P82" i="14"/>
  <c r="Q82" i="14" s="1"/>
  <c r="B82" i="10" s="1"/>
  <c r="P83" i="14"/>
  <c r="Q83" i="14" s="1"/>
  <c r="B83" i="10" s="1"/>
  <c r="P84" i="14"/>
  <c r="Q84" i="14" s="1"/>
  <c r="B84" i="10" s="1"/>
  <c r="P85" i="14"/>
  <c r="Q85" i="14" s="1"/>
  <c r="B85" i="10" s="1"/>
  <c r="P86" i="14"/>
  <c r="Q86" i="14" s="1"/>
  <c r="B86" i="10" s="1"/>
  <c r="P87" i="14"/>
  <c r="Q87" i="14" s="1"/>
  <c r="B87" i="10" s="1"/>
  <c r="P88" i="14"/>
  <c r="Q88" i="14" s="1"/>
  <c r="B88" i="10" s="1"/>
  <c r="P89" i="14"/>
  <c r="Q89" i="14" s="1"/>
  <c r="B89" i="10" s="1"/>
  <c r="P90" i="14"/>
  <c r="Q90" i="14" s="1"/>
  <c r="B90" i="10" s="1"/>
  <c r="P91" i="14"/>
  <c r="Q91" i="14" s="1"/>
  <c r="B91" i="10" s="1"/>
  <c r="P92" i="14"/>
  <c r="Q92" i="14" s="1"/>
  <c r="B92" i="10" s="1"/>
  <c r="P93" i="14"/>
  <c r="Q93" i="14" s="1"/>
  <c r="B93" i="10" s="1"/>
  <c r="P94" i="14"/>
  <c r="Q94" i="14" s="1"/>
  <c r="B94" i="10" s="1"/>
  <c r="P95" i="14"/>
  <c r="Q95" i="14" s="1"/>
  <c r="B95" i="10" s="1"/>
  <c r="P96" i="14"/>
  <c r="Q96" i="14" s="1"/>
  <c r="B96" i="10" s="1"/>
  <c r="P97" i="14"/>
  <c r="Q97" i="14" s="1"/>
  <c r="B97" i="10" s="1"/>
  <c r="P98" i="14"/>
  <c r="Q98" i="14" s="1"/>
  <c r="B98" i="10" s="1"/>
  <c r="P99" i="14"/>
  <c r="Q99" i="14" s="1"/>
  <c r="B99" i="10" s="1"/>
  <c r="P100" i="14"/>
  <c r="Q100" i="14" s="1"/>
  <c r="B100" i="10" s="1"/>
  <c r="P101" i="14"/>
  <c r="Q101" i="14" s="1"/>
  <c r="B101" i="10" s="1"/>
  <c r="P102" i="14"/>
  <c r="Q102" i="14" s="1"/>
  <c r="B102" i="10" s="1"/>
  <c r="P103" i="14"/>
  <c r="Q103" i="14" s="1"/>
  <c r="B103" i="10" s="1"/>
  <c r="P104" i="14"/>
  <c r="Q104" i="14" s="1"/>
  <c r="B104" i="10" s="1"/>
  <c r="P105" i="14"/>
  <c r="Q105" i="14" s="1"/>
  <c r="B105" i="10" s="1"/>
  <c r="P106" i="14"/>
  <c r="Q106" i="14" s="1"/>
  <c r="B106" i="10" s="1"/>
  <c r="P107" i="14"/>
  <c r="Q107" i="14" s="1"/>
  <c r="B107" i="10" s="1"/>
  <c r="P108" i="14"/>
  <c r="Q108" i="14" s="1"/>
  <c r="B108" i="10" s="1"/>
  <c r="P109" i="14"/>
  <c r="Q109" i="14" s="1"/>
  <c r="B109" i="10" s="1"/>
  <c r="P110" i="14"/>
  <c r="Q110" i="14" s="1"/>
  <c r="B110" i="10" s="1"/>
  <c r="P111" i="14"/>
  <c r="Q111" i="14" s="1"/>
  <c r="B111" i="10" s="1"/>
  <c r="P112" i="14"/>
  <c r="Q112" i="14" s="1"/>
  <c r="B112" i="10" s="1"/>
  <c r="P113" i="14"/>
  <c r="Q113" i="14" s="1"/>
  <c r="B113" i="10" s="1"/>
  <c r="P114" i="14"/>
  <c r="Q114" i="14" s="1"/>
  <c r="B114" i="10" s="1"/>
  <c r="P115" i="14"/>
  <c r="Q115" i="14" s="1"/>
  <c r="B115" i="10" s="1"/>
  <c r="P116" i="14"/>
  <c r="Q116" i="14" s="1"/>
  <c r="B116" i="10" s="1"/>
  <c r="P117" i="14"/>
  <c r="Q117" i="14" s="1"/>
  <c r="B117" i="10" s="1"/>
  <c r="P118" i="14"/>
  <c r="Q118" i="14" s="1"/>
  <c r="B118" i="10" s="1"/>
  <c r="P119" i="14"/>
  <c r="Q119" i="14" s="1"/>
  <c r="B119" i="10" s="1"/>
  <c r="P120" i="14"/>
  <c r="Q120" i="14" s="1"/>
  <c r="B120" i="10" s="1"/>
  <c r="P121" i="14"/>
  <c r="Q121" i="14" s="1"/>
  <c r="B121" i="10" s="1"/>
  <c r="P122" i="14"/>
  <c r="Q122" i="14" s="1"/>
  <c r="B122" i="10" s="1"/>
  <c r="P123" i="14"/>
  <c r="Q123" i="14" s="1"/>
  <c r="B123" i="10" s="1"/>
  <c r="P124" i="14"/>
  <c r="Q124" i="14" s="1"/>
  <c r="B124" i="10" s="1"/>
  <c r="P125" i="14"/>
  <c r="Q125" i="14" s="1"/>
  <c r="B125" i="10" s="1"/>
  <c r="P126" i="14"/>
  <c r="Q126" i="14" s="1"/>
  <c r="B126" i="10" s="1"/>
  <c r="P127" i="14"/>
  <c r="Q127" i="14" s="1"/>
  <c r="B127" i="10" s="1"/>
  <c r="P128" i="14"/>
  <c r="Q128" i="14" s="1"/>
  <c r="B128" i="10" s="1"/>
  <c r="P129" i="14"/>
  <c r="Q129" i="14" s="1"/>
  <c r="B129" i="10" s="1"/>
  <c r="P130" i="14"/>
  <c r="Q130" i="14" s="1"/>
  <c r="B130" i="10" s="1"/>
  <c r="P131" i="14"/>
  <c r="Q131" i="14" s="1"/>
  <c r="B131" i="10" s="1"/>
  <c r="P132" i="14"/>
  <c r="Q132" i="14" s="1"/>
  <c r="B132" i="10" s="1"/>
  <c r="P133" i="14"/>
  <c r="Q133" i="14" s="1"/>
  <c r="B133" i="10" s="1"/>
  <c r="P134" i="14"/>
  <c r="Q134" i="14" s="1"/>
  <c r="B134" i="10" s="1"/>
  <c r="P135" i="14"/>
  <c r="Q135" i="14" s="1"/>
  <c r="B135" i="10" s="1"/>
  <c r="P136" i="14"/>
  <c r="Q136" i="14" s="1"/>
  <c r="B136" i="10" s="1"/>
  <c r="P137" i="14"/>
  <c r="Q137" i="14" s="1"/>
  <c r="B137" i="10" s="1"/>
  <c r="P138" i="14"/>
  <c r="Q138" i="14" s="1"/>
  <c r="B138" i="10" s="1"/>
  <c r="P139" i="14"/>
  <c r="Q139" i="14" s="1"/>
  <c r="B139" i="10" s="1"/>
  <c r="P140" i="14"/>
  <c r="Q140" i="14" s="1"/>
  <c r="B140" i="10" s="1"/>
  <c r="P141" i="14"/>
  <c r="Q141" i="14" s="1"/>
  <c r="B141" i="10" s="1"/>
  <c r="P142" i="14"/>
  <c r="Q142" i="14" s="1"/>
  <c r="B142" i="10" s="1"/>
  <c r="P143" i="14"/>
  <c r="Q143" i="14" s="1"/>
  <c r="B143" i="10" s="1"/>
  <c r="P144" i="14"/>
  <c r="Q144" i="14" s="1"/>
  <c r="B144" i="10" s="1"/>
  <c r="P145" i="14"/>
  <c r="Q145" i="14" s="1"/>
  <c r="B145" i="10" s="1"/>
  <c r="P146" i="14"/>
  <c r="Q146" i="14" s="1"/>
  <c r="B146" i="10" s="1"/>
  <c r="P147" i="14"/>
  <c r="Q147" i="14" s="1"/>
  <c r="B147" i="10" s="1"/>
  <c r="P148" i="14"/>
  <c r="Q148" i="14" s="1"/>
  <c r="B148" i="10" s="1"/>
  <c r="P149" i="14"/>
  <c r="Q149" i="14" s="1"/>
  <c r="B149" i="10" s="1"/>
  <c r="P150" i="14"/>
  <c r="Q150" i="14" s="1"/>
  <c r="B150" i="10" s="1"/>
  <c r="P151" i="14"/>
  <c r="Q151" i="14" s="1"/>
  <c r="B151" i="10" s="1"/>
  <c r="P152" i="14"/>
  <c r="Q152" i="14" s="1"/>
  <c r="B152" i="10" s="1"/>
  <c r="P153" i="14"/>
  <c r="Q153" i="14" s="1"/>
  <c r="B153" i="10" s="1"/>
  <c r="P154" i="14"/>
  <c r="Q154" i="14" s="1"/>
  <c r="B154" i="10" s="1"/>
  <c r="P155" i="14"/>
  <c r="Q155" i="14" s="1"/>
  <c r="B155" i="10" s="1"/>
  <c r="P156" i="14"/>
  <c r="Q156" i="14" s="1"/>
  <c r="B156" i="10" s="1"/>
  <c r="P157" i="14"/>
  <c r="Q157" i="14" s="1"/>
  <c r="B157" i="10" s="1"/>
  <c r="P158" i="14"/>
  <c r="Q158" i="14" s="1"/>
  <c r="B158" i="10" s="1"/>
  <c r="P159" i="14"/>
  <c r="Q159" i="14" s="1"/>
  <c r="B159" i="10" s="1"/>
  <c r="P160" i="14"/>
  <c r="Q160" i="14" s="1"/>
  <c r="B160" i="10" s="1"/>
  <c r="P161" i="14"/>
  <c r="Q161" i="14" s="1"/>
  <c r="B161" i="10" s="1"/>
  <c r="P162" i="14"/>
  <c r="Q162" i="14" s="1"/>
  <c r="B162" i="10" s="1"/>
  <c r="P163" i="14"/>
  <c r="Q163" i="14" s="1"/>
  <c r="B163" i="10" s="1"/>
  <c r="P164" i="14"/>
  <c r="Q164" i="14" s="1"/>
  <c r="B164" i="10" s="1"/>
  <c r="P165" i="14"/>
  <c r="Q165" i="14" s="1"/>
  <c r="B165" i="10" s="1"/>
  <c r="P166" i="14"/>
  <c r="Q166" i="14" s="1"/>
  <c r="B166" i="10" s="1"/>
  <c r="P167" i="14"/>
  <c r="Q167" i="14" s="1"/>
  <c r="B167" i="10" s="1"/>
  <c r="P168" i="14"/>
  <c r="Q168" i="14" s="1"/>
  <c r="B168" i="10" s="1"/>
  <c r="P169" i="14"/>
  <c r="Q169" i="14" s="1"/>
  <c r="B169" i="10" s="1"/>
  <c r="P170" i="14"/>
  <c r="Q170" i="14" s="1"/>
  <c r="B170" i="10" s="1"/>
  <c r="P171" i="14"/>
  <c r="Q171" i="14" s="1"/>
  <c r="B171" i="10" s="1"/>
  <c r="P172" i="14"/>
  <c r="Q172" i="14" s="1"/>
  <c r="B172" i="10" s="1"/>
  <c r="P173" i="14"/>
  <c r="Q173" i="14" s="1"/>
  <c r="B173" i="10" s="1"/>
  <c r="P174" i="14"/>
  <c r="Q174" i="14" s="1"/>
  <c r="B174" i="10" s="1"/>
  <c r="P175" i="14"/>
  <c r="Q175" i="14" s="1"/>
  <c r="B175" i="10" s="1"/>
  <c r="P176" i="14"/>
  <c r="Q176" i="14" s="1"/>
  <c r="B176" i="10" s="1"/>
  <c r="P177" i="14"/>
  <c r="Q177" i="14" s="1"/>
  <c r="B177" i="10" s="1"/>
  <c r="P178" i="14"/>
  <c r="Q178" i="14" s="1"/>
  <c r="B178" i="10" s="1"/>
  <c r="P179" i="14"/>
  <c r="Q179" i="14" s="1"/>
  <c r="B179" i="10" s="1"/>
  <c r="P180" i="14"/>
  <c r="Q180" i="14" s="1"/>
  <c r="B180" i="10" s="1"/>
  <c r="P181" i="14"/>
  <c r="Q181" i="14" s="1"/>
  <c r="B181" i="10" s="1"/>
  <c r="P182" i="14"/>
  <c r="Q182" i="14" s="1"/>
  <c r="B182" i="10" s="1"/>
  <c r="P183" i="14"/>
  <c r="Q183" i="14" s="1"/>
  <c r="B183" i="10" s="1"/>
  <c r="P184" i="14"/>
  <c r="Q184" i="14" s="1"/>
  <c r="B184" i="10" s="1"/>
  <c r="P185" i="14"/>
  <c r="Q185" i="14" s="1"/>
  <c r="B185" i="10" s="1"/>
  <c r="P186" i="14"/>
  <c r="Q186" i="14" s="1"/>
  <c r="B186" i="10" s="1"/>
  <c r="P187" i="14"/>
  <c r="Q187" i="14" s="1"/>
  <c r="B187" i="10" s="1"/>
  <c r="P188" i="14"/>
  <c r="Q188" i="14" s="1"/>
  <c r="B188" i="10" s="1"/>
  <c r="P189" i="14"/>
  <c r="Q189" i="14" s="1"/>
  <c r="B189" i="10" s="1"/>
  <c r="P190" i="14"/>
  <c r="Q190" i="14" s="1"/>
  <c r="B190" i="10" s="1"/>
  <c r="P191" i="14"/>
  <c r="Q191" i="14" s="1"/>
  <c r="B191" i="10" s="1"/>
  <c r="P192" i="14"/>
  <c r="Q192" i="14" s="1"/>
  <c r="B192" i="10" s="1"/>
  <c r="P193" i="14"/>
  <c r="Q193" i="14" s="1"/>
  <c r="B193" i="10" s="1"/>
  <c r="P194" i="14"/>
  <c r="Q194" i="14" s="1"/>
  <c r="B194" i="10" s="1"/>
  <c r="P195" i="14"/>
  <c r="Q195" i="14" s="1"/>
  <c r="B195" i="10" s="1"/>
  <c r="P196" i="14"/>
  <c r="Q196" i="14" s="1"/>
  <c r="B196" i="10" s="1"/>
  <c r="P197" i="14"/>
  <c r="Q197" i="14" s="1"/>
  <c r="B197" i="10" s="1"/>
  <c r="P198" i="14"/>
  <c r="Q198" i="14" s="1"/>
  <c r="B198" i="10" s="1"/>
  <c r="P199" i="14"/>
  <c r="Q199" i="14" s="1"/>
  <c r="B199" i="10" s="1"/>
  <c r="P200" i="14"/>
  <c r="Q200" i="14" s="1"/>
  <c r="B200" i="10" s="1"/>
  <c r="P201" i="14"/>
  <c r="Q201" i="14" s="1"/>
  <c r="B201" i="10" s="1"/>
  <c r="P202" i="14"/>
  <c r="Q202" i="14" s="1"/>
  <c r="B202" i="10" s="1"/>
  <c r="P203" i="14"/>
  <c r="Q203" i="14" s="1"/>
  <c r="B203" i="10" s="1"/>
  <c r="P204" i="14"/>
  <c r="Q204" i="14" s="1"/>
  <c r="B204" i="10" s="1"/>
  <c r="P205" i="14"/>
  <c r="Q205" i="14" s="1"/>
  <c r="B205" i="10" s="1"/>
  <c r="P206" i="14"/>
  <c r="Q206" i="14" s="1"/>
  <c r="B206" i="10" s="1"/>
  <c r="P207" i="14"/>
  <c r="Q207" i="14" s="1"/>
  <c r="B207" i="10" s="1"/>
  <c r="P208" i="14"/>
  <c r="Q208" i="14" s="1"/>
  <c r="B208" i="10" s="1"/>
  <c r="P209" i="14"/>
  <c r="Q209" i="14" s="1"/>
  <c r="B209" i="10" s="1"/>
  <c r="P210" i="14"/>
  <c r="Q210" i="14" s="1"/>
  <c r="B210" i="10" s="1"/>
  <c r="P211" i="14"/>
  <c r="Q211" i="14" s="1"/>
  <c r="B211" i="10" s="1"/>
  <c r="P212" i="14"/>
  <c r="Q212" i="14" s="1"/>
  <c r="B212" i="10" s="1"/>
  <c r="P213" i="14"/>
  <c r="Q213" i="14" s="1"/>
  <c r="B213" i="10" s="1"/>
  <c r="P214" i="14"/>
  <c r="Q214" i="14" s="1"/>
  <c r="B214" i="10" s="1"/>
  <c r="P215" i="14"/>
  <c r="Q215" i="14" s="1"/>
  <c r="B215" i="10" s="1"/>
  <c r="P216" i="14"/>
  <c r="Q216" i="14" s="1"/>
  <c r="B216" i="10" s="1"/>
  <c r="P217" i="14"/>
  <c r="Q217" i="14" s="1"/>
  <c r="B217" i="10" s="1"/>
  <c r="P218" i="14"/>
  <c r="Q218" i="14" s="1"/>
  <c r="B218" i="10" s="1"/>
  <c r="P219" i="14"/>
  <c r="Q219" i="14" s="1"/>
  <c r="B219" i="10" s="1"/>
  <c r="P220" i="14"/>
  <c r="Q220" i="14" s="1"/>
  <c r="B220" i="10" s="1"/>
  <c r="P221" i="14"/>
  <c r="Q221" i="14" s="1"/>
  <c r="B221" i="10" s="1"/>
  <c r="P222" i="14"/>
  <c r="Q222" i="14" s="1"/>
  <c r="B222" i="10" s="1"/>
  <c r="P223" i="14"/>
  <c r="Q223" i="14" s="1"/>
  <c r="B223" i="10" s="1"/>
  <c r="P224" i="14"/>
  <c r="Q224" i="14" s="1"/>
  <c r="B224" i="10" s="1"/>
  <c r="P225" i="14"/>
  <c r="Q225" i="14" s="1"/>
  <c r="B225" i="10" s="1"/>
  <c r="P226" i="14"/>
  <c r="Q226" i="14" s="1"/>
  <c r="B226" i="10" s="1"/>
  <c r="P227" i="14"/>
  <c r="Q227" i="14" s="1"/>
  <c r="B227" i="10" s="1"/>
  <c r="P228" i="14"/>
  <c r="Q228" i="14" s="1"/>
  <c r="B228" i="10" s="1"/>
  <c r="P229" i="14"/>
  <c r="Q229" i="14" s="1"/>
  <c r="B229" i="10" s="1"/>
  <c r="P230" i="14"/>
  <c r="Q230" i="14" s="1"/>
  <c r="B230" i="10" s="1"/>
  <c r="P231" i="14"/>
  <c r="Q231" i="14" s="1"/>
  <c r="B231" i="10" s="1"/>
  <c r="P232" i="14"/>
  <c r="Q232" i="14" s="1"/>
  <c r="B232" i="10" s="1"/>
  <c r="P233" i="14"/>
  <c r="Q233" i="14" s="1"/>
  <c r="B233" i="10" s="1"/>
  <c r="P234" i="14"/>
  <c r="Q234" i="14" s="1"/>
  <c r="B234" i="10" s="1"/>
  <c r="P235" i="14"/>
  <c r="Q235" i="14" s="1"/>
  <c r="B235" i="10" s="1"/>
  <c r="P236" i="14"/>
  <c r="Q236" i="14" s="1"/>
  <c r="B236" i="10" s="1"/>
  <c r="P237" i="14"/>
  <c r="Q237" i="14" s="1"/>
  <c r="B237" i="10" s="1"/>
  <c r="P238" i="14"/>
  <c r="Q238" i="14" s="1"/>
  <c r="B238" i="10" s="1"/>
  <c r="P239" i="14"/>
  <c r="Q239" i="14" s="1"/>
  <c r="B239" i="10" s="1"/>
  <c r="P240" i="14"/>
  <c r="Q240" i="14" s="1"/>
  <c r="B240" i="10" s="1"/>
  <c r="P241" i="14"/>
  <c r="Q241" i="14" s="1"/>
  <c r="B241" i="10" s="1"/>
  <c r="P242" i="14"/>
  <c r="Q242" i="14" s="1"/>
  <c r="B242" i="10" s="1"/>
  <c r="P243" i="14"/>
  <c r="Q243" i="14" s="1"/>
  <c r="B243" i="10" s="1"/>
  <c r="P244" i="14"/>
  <c r="Q244" i="14" s="1"/>
  <c r="B244" i="10" s="1"/>
  <c r="P245" i="14"/>
  <c r="Q245" i="14" s="1"/>
  <c r="B245" i="10" s="1"/>
  <c r="P246" i="14"/>
  <c r="Q246" i="14" s="1"/>
  <c r="B246" i="10" s="1"/>
  <c r="P247" i="14"/>
  <c r="Q247" i="14" s="1"/>
  <c r="B247" i="10" s="1"/>
  <c r="P248" i="14"/>
  <c r="Q248" i="14" s="1"/>
  <c r="B248" i="10" s="1"/>
  <c r="P249" i="14"/>
  <c r="Q249" i="14" s="1"/>
  <c r="B249" i="10" s="1"/>
  <c r="P250" i="14"/>
  <c r="Q250" i="14" s="1"/>
  <c r="B250" i="10" s="1"/>
  <c r="P251" i="14"/>
  <c r="Q251" i="14" s="1"/>
  <c r="B251" i="10" s="1"/>
  <c r="P252" i="14"/>
  <c r="Q252" i="14" s="1"/>
  <c r="B252" i="10" s="1"/>
  <c r="P253" i="14"/>
  <c r="Q253" i="14" s="1"/>
  <c r="B253" i="10" s="1"/>
  <c r="P254" i="14"/>
  <c r="Q254" i="14" s="1"/>
  <c r="B254" i="10" s="1"/>
  <c r="P255" i="14"/>
  <c r="Q255" i="14" s="1"/>
  <c r="B255" i="10" s="1"/>
  <c r="P256" i="14"/>
  <c r="Q256" i="14" s="1"/>
  <c r="B256" i="10" s="1"/>
  <c r="P257" i="14"/>
  <c r="Q257" i="14" s="1"/>
  <c r="B257" i="10" s="1"/>
  <c r="P258" i="14"/>
  <c r="Q258" i="14" s="1"/>
  <c r="B258" i="10" s="1"/>
  <c r="P259" i="14"/>
  <c r="Q259" i="14" s="1"/>
  <c r="B259" i="10" s="1"/>
  <c r="P260" i="14"/>
  <c r="Q260" i="14" s="1"/>
  <c r="B260" i="10" s="1"/>
  <c r="P261" i="14"/>
  <c r="Q261" i="14" s="1"/>
  <c r="B261" i="10" s="1"/>
  <c r="P262" i="14"/>
  <c r="Q262" i="14" s="1"/>
  <c r="B262" i="10" s="1"/>
  <c r="P263" i="14"/>
  <c r="Q263" i="14" s="1"/>
  <c r="B263" i="10" s="1"/>
  <c r="P264" i="14"/>
  <c r="Q264" i="14" s="1"/>
  <c r="B264" i="10" s="1"/>
  <c r="P265" i="14"/>
  <c r="Q265" i="14" s="1"/>
  <c r="B265" i="10" s="1"/>
  <c r="P266" i="14"/>
  <c r="Q266" i="14" s="1"/>
  <c r="B266" i="10" s="1"/>
  <c r="P267" i="14"/>
  <c r="Q267" i="14" s="1"/>
  <c r="B267" i="10" s="1"/>
  <c r="P268" i="14"/>
  <c r="Q268" i="14" s="1"/>
  <c r="B268" i="10" s="1"/>
  <c r="P269" i="14"/>
  <c r="Q269" i="14" s="1"/>
  <c r="B269" i="10" s="1"/>
  <c r="P270" i="14"/>
  <c r="Q270" i="14" s="1"/>
  <c r="B270" i="10" s="1"/>
  <c r="P271" i="14"/>
  <c r="Q271" i="14" s="1"/>
  <c r="B271" i="10" s="1"/>
  <c r="P272" i="14"/>
  <c r="Q272" i="14" s="1"/>
  <c r="B272" i="10" s="1"/>
  <c r="P273" i="14"/>
  <c r="Q273" i="14" s="1"/>
  <c r="B273" i="10" s="1"/>
  <c r="P274" i="14"/>
  <c r="Q274" i="14" s="1"/>
  <c r="B274" i="10" s="1"/>
  <c r="P275" i="14"/>
  <c r="Q275" i="14" s="1"/>
  <c r="B275" i="10" s="1"/>
  <c r="P276" i="14"/>
  <c r="Q276" i="14" s="1"/>
  <c r="B276" i="10" s="1"/>
  <c r="P277" i="14"/>
  <c r="Q277" i="14" s="1"/>
  <c r="B277" i="10" s="1"/>
  <c r="P278" i="14"/>
  <c r="Q278" i="14" s="1"/>
  <c r="B278" i="10" s="1"/>
  <c r="P279" i="14"/>
  <c r="Q279" i="14" s="1"/>
  <c r="B279" i="10" s="1"/>
  <c r="P280" i="14"/>
  <c r="Q280" i="14" s="1"/>
  <c r="B280" i="10" s="1"/>
  <c r="P281" i="14"/>
  <c r="Q281" i="14" s="1"/>
  <c r="B281" i="10" s="1"/>
  <c r="P282" i="14"/>
  <c r="Q282" i="14" s="1"/>
  <c r="B282" i="10" s="1"/>
  <c r="P283" i="14"/>
  <c r="Q283" i="14" s="1"/>
  <c r="B283" i="10" s="1"/>
  <c r="P284" i="14"/>
  <c r="Q284" i="14" s="1"/>
  <c r="B284" i="10" s="1"/>
  <c r="P285" i="14"/>
  <c r="Q285" i="14" s="1"/>
  <c r="B285" i="10" s="1"/>
  <c r="P286" i="14"/>
  <c r="Q286" i="14" s="1"/>
  <c r="B286" i="10" s="1"/>
  <c r="P287" i="14"/>
  <c r="Q287" i="14" s="1"/>
  <c r="B287" i="10" s="1"/>
  <c r="P288" i="14"/>
  <c r="Q288" i="14" s="1"/>
  <c r="B288" i="10" s="1"/>
  <c r="P289" i="14"/>
  <c r="Q289" i="14" s="1"/>
  <c r="B289" i="10" s="1"/>
  <c r="P290" i="14"/>
  <c r="Q290" i="14" s="1"/>
  <c r="B290" i="10" s="1"/>
  <c r="P291" i="14"/>
  <c r="Q291" i="14" s="1"/>
  <c r="B291" i="10" s="1"/>
  <c r="P292" i="14"/>
  <c r="Q292" i="14" s="1"/>
  <c r="B292" i="10" s="1"/>
  <c r="P293" i="14"/>
  <c r="Q293" i="14" s="1"/>
  <c r="B293" i="10" s="1"/>
  <c r="P294" i="14"/>
  <c r="Q294" i="14" s="1"/>
  <c r="B294" i="10" s="1"/>
  <c r="P295" i="14"/>
  <c r="Q295" i="14" s="1"/>
  <c r="B295" i="10" s="1"/>
  <c r="P296" i="14"/>
  <c r="Q296" i="14" s="1"/>
  <c r="B296" i="10" s="1"/>
  <c r="P297" i="14"/>
  <c r="Q297" i="14" s="1"/>
  <c r="B297" i="10" s="1"/>
  <c r="P298" i="14"/>
  <c r="Q298" i="14" s="1"/>
  <c r="B298" i="10" s="1"/>
  <c r="P299" i="14"/>
  <c r="Q299" i="14" s="1"/>
  <c r="B299" i="10" s="1"/>
  <c r="P300" i="14"/>
  <c r="Q300" i="14" s="1"/>
  <c r="B300" i="10" s="1"/>
  <c r="P301" i="14"/>
  <c r="Q301" i="14" s="1"/>
  <c r="B301" i="10" s="1"/>
  <c r="P302" i="14"/>
  <c r="Q302" i="14" s="1"/>
  <c r="B302" i="10" s="1"/>
  <c r="P303" i="14"/>
  <c r="Q303" i="14" s="1"/>
  <c r="B303" i="10" s="1"/>
  <c r="P304" i="14"/>
  <c r="Q304" i="14" s="1"/>
  <c r="B304" i="10" s="1"/>
  <c r="P305" i="14"/>
  <c r="Q305" i="14" s="1"/>
  <c r="B305" i="10" s="1"/>
  <c r="P306" i="14"/>
  <c r="Q306" i="14" s="1"/>
  <c r="B306" i="10" s="1"/>
  <c r="P307" i="14"/>
  <c r="Q307" i="14" s="1"/>
  <c r="B307" i="10" s="1"/>
  <c r="P308" i="14"/>
  <c r="Q308" i="14" s="1"/>
  <c r="B308" i="10" s="1"/>
  <c r="P309" i="14"/>
  <c r="Q309" i="14" s="1"/>
  <c r="B309" i="10" s="1"/>
  <c r="P310" i="14"/>
  <c r="Q310" i="14" s="1"/>
  <c r="B310" i="10" s="1"/>
  <c r="P311" i="14"/>
  <c r="Q311" i="14" s="1"/>
  <c r="B311" i="10" s="1"/>
  <c r="P312" i="14"/>
  <c r="Q312" i="14" s="1"/>
  <c r="B312" i="10" s="1"/>
  <c r="P313" i="14"/>
  <c r="Q313" i="14" s="1"/>
  <c r="B313" i="10" s="1"/>
  <c r="P314" i="14"/>
  <c r="Q314" i="14" s="1"/>
  <c r="B314" i="10" s="1"/>
  <c r="P315" i="14"/>
  <c r="Q315" i="14" s="1"/>
  <c r="B315" i="10" s="1"/>
  <c r="P316" i="14"/>
  <c r="Q316" i="14" s="1"/>
  <c r="B316" i="10" s="1"/>
  <c r="P317" i="14"/>
  <c r="Q317" i="14" s="1"/>
  <c r="B317" i="10" s="1"/>
  <c r="P318" i="14"/>
  <c r="Q318" i="14" s="1"/>
  <c r="B318" i="10" s="1"/>
  <c r="P319" i="14"/>
  <c r="Q319" i="14" s="1"/>
  <c r="B319" i="10" s="1"/>
  <c r="P320" i="14"/>
  <c r="Q320" i="14" s="1"/>
  <c r="B320" i="10" s="1"/>
  <c r="P321" i="14"/>
  <c r="Q321" i="14" s="1"/>
  <c r="B321" i="10" s="1"/>
  <c r="P322" i="14"/>
  <c r="Q322" i="14" s="1"/>
  <c r="B322" i="10" s="1"/>
  <c r="P323" i="14"/>
  <c r="Q323" i="14" s="1"/>
  <c r="B323" i="10" s="1"/>
  <c r="P324" i="14"/>
  <c r="Q324" i="14" s="1"/>
  <c r="B324" i="10" s="1"/>
  <c r="P325" i="14"/>
  <c r="Q325" i="14" s="1"/>
  <c r="B325" i="10" s="1"/>
  <c r="P326" i="14"/>
  <c r="Q326" i="14" s="1"/>
  <c r="B326" i="10" s="1"/>
  <c r="P327" i="14"/>
  <c r="Q327" i="14" s="1"/>
  <c r="B327" i="10" s="1"/>
  <c r="P328" i="14"/>
  <c r="Q328" i="14" s="1"/>
  <c r="B328" i="10" s="1"/>
  <c r="P329" i="14"/>
  <c r="Q329" i="14" s="1"/>
  <c r="B329" i="10" s="1"/>
  <c r="P330" i="14"/>
  <c r="Q330" i="14" s="1"/>
  <c r="B330" i="10" s="1"/>
  <c r="P331" i="14"/>
  <c r="Q331" i="14" s="1"/>
  <c r="B331" i="10" s="1"/>
  <c r="P332" i="14"/>
  <c r="Q332" i="14" s="1"/>
  <c r="B332" i="10" s="1"/>
  <c r="P333" i="14"/>
  <c r="Q333" i="14" s="1"/>
  <c r="B333" i="10" s="1"/>
  <c r="P334" i="14"/>
  <c r="Q334" i="14" s="1"/>
  <c r="B334" i="10" s="1"/>
  <c r="P335" i="14"/>
  <c r="Q335" i="14" s="1"/>
  <c r="B335" i="10" s="1"/>
  <c r="P336" i="14"/>
  <c r="Q336" i="14" s="1"/>
  <c r="B336" i="10" s="1"/>
  <c r="P337" i="14"/>
  <c r="Q337" i="14" s="1"/>
  <c r="B337" i="10" s="1"/>
  <c r="P338" i="14"/>
  <c r="Q338" i="14" s="1"/>
  <c r="B338" i="10" s="1"/>
  <c r="P339" i="14"/>
  <c r="Q339" i="14" s="1"/>
  <c r="B339" i="10" s="1"/>
  <c r="P340" i="14"/>
  <c r="Q340" i="14" s="1"/>
  <c r="B340" i="10" s="1"/>
  <c r="P341" i="14"/>
  <c r="Q341" i="14" s="1"/>
  <c r="B341" i="10" s="1"/>
  <c r="P342" i="14"/>
  <c r="Q342" i="14" s="1"/>
  <c r="B342" i="10" s="1"/>
  <c r="P343" i="14"/>
  <c r="Q343" i="14" s="1"/>
  <c r="B343" i="10" s="1"/>
  <c r="P344" i="14"/>
  <c r="Q344" i="14" s="1"/>
  <c r="B344" i="10" s="1"/>
  <c r="P345" i="14"/>
  <c r="Q345" i="14" s="1"/>
  <c r="B345" i="10" s="1"/>
  <c r="P346" i="14"/>
  <c r="Q346" i="14" s="1"/>
  <c r="B346" i="10" s="1"/>
  <c r="P347" i="14"/>
  <c r="Q347" i="14" s="1"/>
  <c r="B347" i="10" s="1"/>
  <c r="P348" i="14"/>
  <c r="Q348" i="14" s="1"/>
  <c r="B348" i="10" s="1"/>
  <c r="P349" i="14"/>
  <c r="Q349" i="14" s="1"/>
  <c r="B349" i="10" s="1"/>
  <c r="P350" i="14"/>
  <c r="Q350" i="14" s="1"/>
  <c r="B350" i="10" s="1"/>
  <c r="P351" i="14"/>
  <c r="Q351" i="14" s="1"/>
  <c r="B351" i="10" s="1"/>
  <c r="P352" i="14"/>
  <c r="Q352" i="14" s="1"/>
  <c r="B352" i="10" s="1"/>
  <c r="P353" i="14"/>
  <c r="Q353" i="14" s="1"/>
  <c r="B353" i="10" s="1"/>
  <c r="P354" i="14"/>
  <c r="Q354" i="14" s="1"/>
  <c r="B354" i="10" s="1"/>
  <c r="P355" i="14"/>
  <c r="Q355" i="14" s="1"/>
  <c r="B355" i="10" s="1"/>
  <c r="P356" i="14"/>
  <c r="Q356" i="14" s="1"/>
  <c r="B356" i="10" s="1"/>
  <c r="P357" i="14"/>
  <c r="Q357" i="14" s="1"/>
  <c r="B357" i="10" s="1"/>
  <c r="P358" i="14"/>
  <c r="Q358" i="14" s="1"/>
  <c r="B358" i="10" s="1"/>
  <c r="P359" i="14"/>
  <c r="Q359" i="14" s="1"/>
  <c r="B359" i="10" s="1"/>
  <c r="P360" i="14"/>
  <c r="Q360" i="14" s="1"/>
  <c r="B360" i="10" s="1"/>
  <c r="P361" i="14"/>
  <c r="Q361" i="14" s="1"/>
  <c r="B361" i="10" s="1"/>
  <c r="P362" i="14"/>
  <c r="Q362" i="14" s="1"/>
  <c r="B362" i="10" s="1"/>
  <c r="P363" i="14"/>
  <c r="Q363" i="14" s="1"/>
  <c r="B363" i="10" s="1"/>
  <c r="P364" i="14"/>
  <c r="Q364" i="14" s="1"/>
  <c r="B364" i="10" s="1"/>
  <c r="P365" i="14"/>
  <c r="Q365" i="14" s="1"/>
  <c r="B365" i="10" s="1"/>
  <c r="P366" i="14"/>
  <c r="Q366" i="14" s="1"/>
  <c r="B366" i="10" s="1"/>
  <c r="P367" i="14"/>
  <c r="Q367" i="14" s="1"/>
  <c r="B367" i="10" s="1"/>
  <c r="P368" i="14"/>
  <c r="Q368" i="14" s="1"/>
  <c r="B368" i="10" s="1"/>
  <c r="P369" i="14"/>
  <c r="Q369" i="14" s="1"/>
  <c r="B369" i="10" s="1"/>
  <c r="P370" i="14"/>
  <c r="Q370" i="14" s="1"/>
  <c r="B370" i="10" s="1"/>
  <c r="P371" i="14"/>
  <c r="Q371" i="14" s="1"/>
  <c r="B371" i="10" s="1"/>
  <c r="P372" i="14"/>
  <c r="Q372" i="14" s="1"/>
  <c r="B372" i="10" s="1"/>
  <c r="P373" i="14"/>
  <c r="Q373" i="14" s="1"/>
  <c r="B373" i="10" s="1"/>
  <c r="P374" i="14"/>
  <c r="Q374" i="14" s="1"/>
  <c r="B374" i="10" s="1"/>
  <c r="P375" i="14"/>
  <c r="Q375" i="14" s="1"/>
  <c r="B375" i="10" s="1"/>
  <c r="P376" i="14"/>
  <c r="Q376" i="14" s="1"/>
  <c r="B376" i="10" s="1"/>
  <c r="P377" i="14"/>
  <c r="Q377" i="14" s="1"/>
  <c r="B377" i="10" s="1"/>
  <c r="P378" i="14"/>
  <c r="Q378" i="14" s="1"/>
  <c r="B378" i="10" s="1"/>
  <c r="P379" i="14"/>
  <c r="Q379" i="14" s="1"/>
  <c r="B379" i="10" s="1"/>
  <c r="P380" i="14"/>
  <c r="Q380" i="14" s="1"/>
  <c r="B380" i="10" s="1"/>
  <c r="P381" i="14"/>
  <c r="Q381" i="14" s="1"/>
  <c r="B381" i="10" s="1"/>
  <c r="P382" i="14"/>
  <c r="Q382" i="14" s="1"/>
  <c r="B382" i="10" s="1"/>
  <c r="P383" i="14"/>
  <c r="Q383" i="14" s="1"/>
  <c r="B383" i="10" s="1"/>
  <c r="P384" i="14"/>
  <c r="Q384" i="14" s="1"/>
  <c r="B384" i="10" s="1"/>
  <c r="P385" i="14"/>
  <c r="Q385" i="14" s="1"/>
  <c r="B385" i="10" s="1"/>
  <c r="P386" i="14"/>
  <c r="Q386" i="14" s="1"/>
  <c r="B386" i="10" s="1"/>
  <c r="P387" i="14"/>
  <c r="Q387" i="14" s="1"/>
  <c r="B387" i="10" s="1"/>
  <c r="P388" i="14"/>
  <c r="Q388" i="14" s="1"/>
  <c r="B388" i="10" s="1"/>
  <c r="P389" i="14"/>
  <c r="Q389" i="14" s="1"/>
  <c r="B389" i="10" s="1"/>
  <c r="P390" i="14"/>
  <c r="Q390" i="14" s="1"/>
  <c r="B390" i="10" s="1"/>
  <c r="P391" i="14"/>
  <c r="Q391" i="14" s="1"/>
  <c r="B391" i="10" s="1"/>
  <c r="P392" i="14"/>
  <c r="Q392" i="14" s="1"/>
  <c r="B392" i="10" s="1"/>
  <c r="P393" i="14"/>
  <c r="Q393" i="14" s="1"/>
  <c r="B393" i="10" s="1"/>
  <c r="P394" i="14"/>
  <c r="Q394" i="14" s="1"/>
  <c r="B394" i="10" s="1"/>
  <c r="P395" i="14"/>
  <c r="Q395" i="14" s="1"/>
  <c r="B395" i="10" s="1"/>
  <c r="P396" i="14"/>
  <c r="Q396" i="14" s="1"/>
  <c r="B396" i="10" s="1"/>
  <c r="P397" i="14"/>
  <c r="Q397" i="14" s="1"/>
  <c r="B397" i="10" s="1"/>
  <c r="P398" i="14"/>
  <c r="Q398" i="14" s="1"/>
  <c r="B398" i="10" s="1"/>
  <c r="P399" i="14"/>
  <c r="Q399" i="14" s="1"/>
  <c r="B399" i="10" s="1"/>
  <c r="P400" i="14"/>
  <c r="Q400" i="14" s="1"/>
  <c r="B400" i="10" s="1"/>
  <c r="P401" i="14"/>
  <c r="Q401" i="14" s="1"/>
  <c r="B401" i="10" s="1"/>
  <c r="P402" i="14"/>
  <c r="Q402" i="14" s="1"/>
  <c r="B402" i="10" s="1"/>
  <c r="P403" i="14"/>
  <c r="Q403" i="14" s="1"/>
  <c r="B403" i="10" s="1"/>
  <c r="P404" i="14"/>
  <c r="Q404" i="14" s="1"/>
  <c r="B404" i="10" s="1"/>
  <c r="P405" i="14"/>
  <c r="Q405" i="14" s="1"/>
  <c r="B405" i="10" s="1"/>
  <c r="P406" i="14"/>
  <c r="Q406" i="14" s="1"/>
  <c r="B406" i="10" s="1"/>
  <c r="P407" i="14"/>
  <c r="Q407" i="14" s="1"/>
  <c r="B407" i="10" s="1"/>
  <c r="P408" i="14"/>
  <c r="Q408" i="14" s="1"/>
  <c r="B408" i="10" s="1"/>
  <c r="P409" i="14"/>
  <c r="Q409" i="14" s="1"/>
  <c r="B409" i="10" s="1"/>
  <c r="P410" i="14"/>
  <c r="Q410" i="14" s="1"/>
  <c r="B410" i="10" s="1"/>
  <c r="P411" i="14"/>
  <c r="Q411" i="14" s="1"/>
  <c r="B411" i="10" s="1"/>
  <c r="P412" i="14"/>
  <c r="Q412" i="14" s="1"/>
  <c r="B412" i="10" s="1"/>
  <c r="P413" i="14"/>
  <c r="Q413" i="14" s="1"/>
  <c r="B413" i="10" s="1"/>
  <c r="P414" i="14"/>
  <c r="Q414" i="14" s="1"/>
  <c r="B414" i="10" s="1"/>
  <c r="P415" i="14"/>
  <c r="Q415" i="14" s="1"/>
  <c r="B415" i="10" s="1"/>
  <c r="P416" i="14"/>
  <c r="Q416" i="14" s="1"/>
  <c r="B416" i="10" s="1"/>
  <c r="P417" i="14"/>
  <c r="Q417" i="14" s="1"/>
  <c r="B417" i="10" s="1"/>
  <c r="P418" i="14"/>
  <c r="Q418" i="14" s="1"/>
  <c r="B418" i="10" s="1"/>
  <c r="P419" i="14"/>
  <c r="Q419" i="14" s="1"/>
  <c r="B419" i="10" s="1"/>
  <c r="P420" i="14"/>
  <c r="Q420" i="14" s="1"/>
  <c r="B420" i="10" s="1"/>
  <c r="P421" i="14"/>
  <c r="Q421" i="14" s="1"/>
  <c r="B421" i="10" s="1"/>
  <c r="P422" i="14"/>
  <c r="Q422" i="14" s="1"/>
  <c r="B422" i="10" s="1"/>
  <c r="P423" i="14"/>
  <c r="Q423" i="14" s="1"/>
  <c r="B423" i="10" s="1"/>
  <c r="P424" i="14"/>
  <c r="Q424" i="14" s="1"/>
  <c r="B424" i="10" s="1"/>
  <c r="P425" i="14"/>
  <c r="Q425" i="14" s="1"/>
  <c r="B425" i="10" s="1"/>
  <c r="P426" i="14"/>
  <c r="Q426" i="14" s="1"/>
  <c r="B426" i="10" s="1"/>
  <c r="P427" i="14"/>
  <c r="Q427" i="14" s="1"/>
  <c r="B427" i="10" s="1"/>
  <c r="P428" i="14"/>
  <c r="Q428" i="14" s="1"/>
  <c r="B428" i="10" s="1"/>
  <c r="P429" i="14"/>
  <c r="Q429" i="14" s="1"/>
  <c r="B429" i="10" s="1"/>
  <c r="P430" i="14"/>
  <c r="Q430" i="14" s="1"/>
  <c r="B430" i="10" s="1"/>
  <c r="P431" i="14"/>
  <c r="Q431" i="14" s="1"/>
  <c r="B431" i="10" s="1"/>
  <c r="P432" i="14"/>
  <c r="Q432" i="14" s="1"/>
  <c r="B432" i="10" s="1"/>
  <c r="P433" i="14"/>
  <c r="Q433" i="14" s="1"/>
  <c r="B433" i="10" s="1"/>
  <c r="P434" i="14"/>
  <c r="Q434" i="14" s="1"/>
  <c r="B434" i="10" s="1"/>
  <c r="P435" i="14"/>
  <c r="Q435" i="14" s="1"/>
  <c r="B435" i="10" s="1"/>
  <c r="P436" i="14"/>
  <c r="Q436" i="14" s="1"/>
  <c r="B436" i="10" s="1"/>
  <c r="P437" i="14"/>
  <c r="Q437" i="14" s="1"/>
  <c r="B437" i="10" s="1"/>
  <c r="P438" i="14"/>
  <c r="Q438" i="14" s="1"/>
  <c r="B438" i="10" s="1"/>
  <c r="P439" i="14"/>
  <c r="Q439" i="14" s="1"/>
  <c r="B439" i="10" s="1"/>
  <c r="P440" i="14"/>
  <c r="Q440" i="14" s="1"/>
  <c r="B440" i="10" s="1"/>
  <c r="P441" i="14"/>
  <c r="Q441" i="14" s="1"/>
  <c r="B441" i="10" s="1"/>
  <c r="P442" i="14"/>
  <c r="Q442" i="14" s="1"/>
  <c r="B442" i="10" s="1"/>
  <c r="P443" i="14"/>
  <c r="Q443" i="14" s="1"/>
  <c r="B443" i="10" s="1"/>
  <c r="P444" i="14"/>
  <c r="Q444" i="14" s="1"/>
  <c r="B444" i="10" s="1"/>
  <c r="P445" i="14"/>
  <c r="Q445" i="14" s="1"/>
  <c r="B445" i="10" s="1"/>
  <c r="P446" i="14"/>
  <c r="Q446" i="14" s="1"/>
  <c r="B446" i="10" s="1"/>
  <c r="P447" i="14"/>
  <c r="Q447" i="14" s="1"/>
  <c r="B447" i="10" s="1"/>
  <c r="P448" i="14"/>
  <c r="Q448" i="14" s="1"/>
  <c r="B448" i="10" s="1"/>
  <c r="P449" i="14"/>
  <c r="Q449" i="14" s="1"/>
  <c r="B449" i="10" s="1"/>
  <c r="P450" i="14"/>
  <c r="Q450" i="14" s="1"/>
  <c r="B450" i="10" s="1"/>
  <c r="P451" i="14"/>
  <c r="Q451" i="14" s="1"/>
  <c r="B451" i="10" s="1"/>
  <c r="P452" i="14"/>
  <c r="Q452" i="14" s="1"/>
  <c r="B452" i="10" s="1"/>
  <c r="P453" i="14"/>
  <c r="Q453" i="14" s="1"/>
  <c r="B453" i="10" s="1"/>
  <c r="P454" i="14"/>
  <c r="Q454" i="14" s="1"/>
  <c r="B454" i="10" s="1"/>
  <c r="P455" i="14"/>
  <c r="Q455" i="14" s="1"/>
  <c r="B455" i="10" s="1"/>
  <c r="P456" i="14"/>
  <c r="Q456" i="14" s="1"/>
  <c r="B456" i="10" s="1"/>
  <c r="P457" i="14"/>
  <c r="Q457" i="14" s="1"/>
  <c r="B457" i="10" s="1"/>
  <c r="P458" i="14"/>
  <c r="Q458" i="14" s="1"/>
  <c r="B458" i="10" s="1"/>
  <c r="P459" i="14"/>
  <c r="Q459" i="14" s="1"/>
  <c r="B459" i="10" s="1"/>
  <c r="P460" i="14"/>
  <c r="Q460" i="14" s="1"/>
  <c r="B460" i="10" s="1"/>
  <c r="P461" i="14"/>
  <c r="Q461" i="14" s="1"/>
  <c r="B461" i="10" s="1"/>
  <c r="P462" i="14"/>
  <c r="Q462" i="14" s="1"/>
  <c r="B462" i="10" s="1"/>
  <c r="P463" i="14"/>
  <c r="Q463" i="14" s="1"/>
  <c r="B463" i="10" s="1"/>
  <c r="P464" i="14"/>
  <c r="Q464" i="14" s="1"/>
  <c r="B464" i="10" s="1"/>
  <c r="P465" i="14"/>
  <c r="Q465" i="14" s="1"/>
  <c r="B465" i="10" s="1"/>
  <c r="P466" i="14"/>
  <c r="Q466" i="14" s="1"/>
  <c r="B466" i="10" s="1"/>
  <c r="P467" i="14"/>
  <c r="Q467" i="14" s="1"/>
  <c r="B467" i="10" s="1"/>
  <c r="P468" i="14"/>
  <c r="Q468" i="14" s="1"/>
  <c r="B468" i="10" s="1"/>
  <c r="P469" i="14"/>
  <c r="Q469" i="14" s="1"/>
  <c r="B469" i="10" s="1"/>
  <c r="P470" i="14"/>
  <c r="Q470" i="14" s="1"/>
  <c r="B470" i="10" s="1"/>
  <c r="P471" i="14"/>
  <c r="Q471" i="14" s="1"/>
  <c r="B471" i="10" s="1"/>
  <c r="P472" i="14"/>
  <c r="Q472" i="14" s="1"/>
  <c r="B472" i="10" s="1"/>
  <c r="P473" i="14"/>
  <c r="Q473" i="14" s="1"/>
  <c r="B473" i="10" s="1"/>
  <c r="P474" i="14"/>
  <c r="Q474" i="14" s="1"/>
  <c r="B474" i="10" s="1"/>
  <c r="P475" i="14"/>
  <c r="Q475" i="14" s="1"/>
  <c r="B475" i="10" s="1"/>
  <c r="P476" i="14"/>
  <c r="Q476" i="14" s="1"/>
  <c r="B476" i="10" s="1"/>
  <c r="P477" i="14"/>
  <c r="Q477" i="14" s="1"/>
  <c r="B477" i="10" s="1"/>
  <c r="P478" i="14"/>
  <c r="Q478" i="14" s="1"/>
  <c r="B478" i="10" s="1"/>
  <c r="P479" i="14"/>
  <c r="Q479" i="14" s="1"/>
  <c r="B479" i="10" s="1"/>
  <c r="P480" i="14"/>
  <c r="Q480" i="14" s="1"/>
  <c r="B480" i="10" s="1"/>
  <c r="P481" i="14"/>
  <c r="Q481" i="14" s="1"/>
  <c r="B481" i="10" s="1"/>
  <c r="P482" i="14"/>
  <c r="Q482" i="14" s="1"/>
  <c r="B482" i="10" s="1"/>
  <c r="P483" i="14"/>
  <c r="Q483" i="14" s="1"/>
  <c r="B483" i="10" s="1"/>
  <c r="P484" i="14"/>
  <c r="Q484" i="14" s="1"/>
  <c r="B484" i="10" s="1"/>
  <c r="P485" i="14"/>
  <c r="Q485" i="14" s="1"/>
  <c r="B485" i="10" s="1"/>
  <c r="P486" i="14"/>
  <c r="Q486" i="14" s="1"/>
  <c r="B486" i="10" s="1"/>
  <c r="P487" i="14"/>
  <c r="Q487" i="14" s="1"/>
  <c r="B487" i="10" s="1"/>
  <c r="P488" i="14"/>
  <c r="Q488" i="14" s="1"/>
  <c r="B488" i="10" s="1"/>
  <c r="P489" i="14"/>
  <c r="Q489" i="14" s="1"/>
  <c r="B489" i="10" s="1"/>
  <c r="P490" i="14"/>
  <c r="Q490" i="14" s="1"/>
  <c r="B490" i="10" s="1"/>
  <c r="P491" i="14"/>
  <c r="Q491" i="14" s="1"/>
  <c r="B491" i="10" s="1"/>
  <c r="P492" i="14"/>
  <c r="Q492" i="14" s="1"/>
  <c r="B492" i="10" s="1"/>
  <c r="P493" i="14"/>
  <c r="Q493" i="14" s="1"/>
  <c r="B493" i="10" s="1"/>
  <c r="P494" i="14"/>
  <c r="Q494" i="14" s="1"/>
  <c r="B494" i="10" s="1"/>
  <c r="P495" i="14"/>
  <c r="Q495" i="14" s="1"/>
  <c r="B495" i="10" s="1"/>
  <c r="P496" i="14"/>
  <c r="Q496" i="14" s="1"/>
  <c r="B496" i="10" s="1"/>
  <c r="P497" i="14"/>
  <c r="Q497" i="14" s="1"/>
  <c r="B497" i="10" s="1"/>
  <c r="P498" i="14"/>
  <c r="Q498" i="14" s="1"/>
  <c r="B498" i="10" s="1"/>
  <c r="P499" i="14"/>
  <c r="Q499" i="14" s="1"/>
  <c r="B499" i="10" s="1"/>
  <c r="P500" i="14"/>
  <c r="Q500" i="14" s="1"/>
  <c r="B500" i="10" s="1"/>
  <c r="P501" i="14"/>
  <c r="Q501" i="14" s="1"/>
  <c r="B501" i="10" s="1"/>
  <c r="P502" i="14"/>
  <c r="Q502" i="14" s="1"/>
  <c r="B502" i="10" s="1"/>
  <c r="P503" i="14"/>
  <c r="Q503" i="14" s="1"/>
  <c r="B503" i="10" s="1"/>
  <c r="P504" i="14"/>
  <c r="Q504" i="14" s="1"/>
  <c r="B504" i="10" s="1"/>
  <c r="P505" i="14"/>
  <c r="Q505" i="14" s="1"/>
  <c r="B505" i="10" s="1"/>
  <c r="P506" i="14"/>
  <c r="Q506" i="14" s="1"/>
  <c r="B506" i="10" s="1"/>
  <c r="P507" i="14"/>
  <c r="Q507" i="14" s="1"/>
  <c r="B507" i="10" s="1"/>
  <c r="S8" i="14"/>
  <c r="T8" i="14" s="1"/>
  <c r="B15" i="12" s="1"/>
  <c r="S9" i="14"/>
  <c r="T9" i="14" s="1"/>
  <c r="B16" i="12" s="1"/>
  <c r="S10" i="14"/>
  <c r="T10" i="14" s="1"/>
  <c r="B17" i="12" s="1"/>
  <c r="S11" i="14"/>
  <c r="T11" i="14" s="1"/>
  <c r="B18" i="12" s="1"/>
  <c r="S12" i="14"/>
  <c r="T12" i="14" s="1"/>
  <c r="B19" i="12" s="1"/>
  <c r="S13" i="14"/>
  <c r="T13" i="14" s="1"/>
  <c r="B20" i="12" s="1"/>
  <c r="S14" i="14"/>
  <c r="T14" i="14" s="1"/>
  <c r="B21" i="12" s="1"/>
  <c r="S15" i="14"/>
  <c r="T15" i="14" s="1"/>
  <c r="B22" i="12" s="1"/>
  <c r="S16" i="14"/>
  <c r="T16" i="14" s="1"/>
  <c r="B23" i="12" s="1"/>
  <c r="S17" i="14"/>
  <c r="T17" i="14" s="1"/>
  <c r="B24" i="12" s="1"/>
  <c r="S18" i="14"/>
  <c r="T18" i="14" s="1"/>
  <c r="B25" i="12" s="1"/>
  <c r="S19" i="14"/>
  <c r="T19" i="14" s="1"/>
  <c r="B26" i="12" s="1"/>
  <c r="S20" i="14"/>
  <c r="T20" i="14" s="1"/>
  <c r="B27" i="12" s="1"/>
  <c r="S21" i="14"/>
  <c r="T21" i="14" s="1"/>
  <c r="B28" i="12" s="1"/>
  <c r="S22" i="14"/>
  <c r="T22" i="14" s="1"/>
  <c r="B29" i="12" s="1"/>
  <c r="S23" i="14"/>
  <c r="T23" i="14" s="1"/>
  <c r="B30" i="12" s="1"/>
  <c r="S24" i="14"/>
  <c r="T24" i="14" s="1"/>
  <c r="B31" i="12" s="1"/>
  <c r="S25" i="14"/>
  <c r="T25" i="14" s="1"/>
  <c r="B32" i="12" s="1"/>
  <c r="S26" i="14"/>
  <c r="T26" i="14" s="1"/>
  <c r="B33" i="12" s="1"/>
  <c r="S27" i="14"/>
  <c r="T27" i="14" s="1"/>
  <c r="B34" i="12" s="1"/>
  <c r="S28" i="14"/>
  <c r="T28" i="14" s="1"/>
  <c r="B35" i="12" s="1"/>
  <c r="S29" i="14"/>
  <c r="T29" i="14" s="1"/>
  <c r="B36" i="12" s="1"/>
  <c r="S30" i="14"/>
  <c r="T30" i="14" s="1"/>
  <c r="B37" i="12" s="1"/>
  <c r="S31" i="14"/>
  <c r="T31" i="14" s="1"/>
  <c r="B38" i="12" s="1"/>
  <c r="S32" i="14"/>
  <c r="T32" i="14" s="1"/>
  <c r="B39" i="12" s="1"/>
  <c r="S33" i="14"/>
  <c r="T33" i="14" s="1"/>
  <c r="B40" i="12" s="1"/>
  <c r="S34" i="14"/>
  <c r="T34" i="14" s="1"/>
  <c r="B41" i="12" s="1"/>
  <c r="S35" i="14"/>
  <c r="T35" i="14" s="1"/>
  <c r="B42" i="12" s="1"/>
  <c r="S36" i="14"/>
  <c r="T36" i="14" s="1"/>
  <c r="B43" i="12" s="1"/>
  <c r="S37" i="14"/>
  <c r="T37" i="14" s="1"/>
  <c r="B44" i="12" s="1"/>
  <c r="S38" i="14"/>
  <c r="T38" i="14" s="1"/>
  <c r="B45" i="12" s="1"/>
  <c r="S39" i="14"/>
  <c r="T39" i="14" s="1"/>
  <c r="B46" i="12" s="1"/>
  <c r="S40" i="14"/>
  <c r="T40" i="14" s="1"/>
  <c r="B47" i="12" s="1"/>
  <c r="S41" i="14"/>
  <c r="T41" i="14" s="1"/>
  <c r="B48" i="12" s="1"/>
  <c r="S42" i="14"/>
  <c r="T42" i="14" s="1"/>
  <c r="B49" i="12" s="1"/>
  <c r="S43" i="14"/>
  <c r="T43" i="14" s="1"/>
  <c r="B50" i="12" s="1"/>
  <c r="S44" i="14"/>
  <c r="T44" i="14" s="1"/>
  <c r="B51" i="12" s="1"/>
  <c r="S45" i="14"/>
  <c r="T45" i="14" s="1"/>
  <c r="B52" i="12" s="1"/>
  <c r="S46" i="14"/>
  <c r="T46" i="14" s="1"/>
  <c r="B53" i="12" s="1"/>
  <c r="S47" i="14"/>
  <c r="T47" i="14" s="1"/>
  <c r="B54" i="12" s="1"/>
  <c r="S48" i="14"/>
  <c r="T48" i="14" s="1"/>
  <c r="B55" i="12" s="1"/>
  <c r="S49" i="14"/>
  <c r="T49" i="14" s="1"/>
  <c r="B56" i="12" s="1"/>
  <c r="S50" i="14"/>
  <c r="T50" i="14" s="1"/>
  <c r="B57" i="12" s="1"/>
  <c r="S51" i="14"/>
  <c r="T51" i="14" s="1"/>
  <c r="B58" i="12" s="1"/>
  <c r="S52" i="14"/>
  <c r="T52" i="14" s="1"/>
  <c r="B59" i="12" s="1"/>
  <c r="S53" i="14"/>
  <c r="T53" i="14" s="1"/>
  <c r="B60" i="12" s="1"/>
  <c r="S54" i="14"/>
  <c r="T54" i="14" s="1"/>
  <c r="B61" i="12" s="1"/>
  <c r="S55" i="14"/>
  <c r="T55" i="14" s="1"/>
  <c r="B62" i="12" s="1"/>
  <c r="S56" i="14"/>
  <c r="T56" i="14" s="1"/>
  <c r="B63" i="12" s="1"/>
  <c r="S57" i="14"/>
  <c r="T57" i="14" s="1"/>
  <c r="B64" i="12" s="1"/>
  <c r="S58" i="14"/>
  <c r="T58" i="14" s="1"/>
  <c r="B65" i="12" s="1"/>
  <c r="S59" i="14"/>
  <c r="T59" i="14" s="1"/>
  <c r="B66" i="12" s="1"/>
  <c r="S60" i="14"/>
  <c r="T60" i="14" s="1"/>
  <c r="B67" i="12" s="1"/>
  <c r="S61" i="14"/>
  <c r="T61" i="14" s="1"/>
  <c r="B68" i="12" s="1"/>
  <c r="S62" i="14"/>
  <c r="T62" i="14" s="1"/>
  <c r="B69" i="12" s="1"/>
  <c r="S63" i="14"/>
  <c r="T63" i="14" s="1"/>
  <c r="B70" i="12" s="1"/>
  <c r="S64" i="14"/>
  <c r="T64" i="14" s="1"/>
  <c r="B71" i="12" s="1"/>
  <c r="S65" i="14"/>
  <c r="T65" i="14" s="1"/>
  <c r="B72" i="12" s="1"/>
  <c r="S66" i="14"/>
  <c r="T66" i="14" s="1"/>
  <c r="B73" i="12" s="1"/>
  <c r="S67" i="14"/>
  <c r="T67" i="14" s="1"/>
  <c r="B74" i="12" s="1"/>
  <c r="S68" i="14"/>
  <c r="T68" i="14" s="1"/>
  <c r="B75" i="12" s="1"/>
  <c r="S69" i="14"/>
  <c r="T69" i="14" s="1"/>
  <c r="B76" i="12" s="1"/>
  <c r="S70" i="14"/>
  <c r="T70" i="14" s="1"/>
  <c r="B77" i="12" s="1"/>
  <c r="S71" i="14"/>
  <c r="T71" i="14" s="1"/>
  <c r="B78" i="12" s="1"/>
  <c r="S72" i="14"/>
  <c r="T72" i="14" s="1"/>
  <c r="B79" i="12" s="1"/>
  <c r="S73" i="14"/>
  <c r="T73" i="14" s="1"/>
  <c r="B80" i="12" s="1"/>
  <c r="S74" i="14"/>
  <c r="T74" i="14" s="1"/>
  <c r="B81" i="12" s="1"/>
  <c r="S75" i="14"/>
  <c r="T75" i="14" s="1"/>
  <c r="B82" i="12" s="1"/>
  <c r="S76" i="14"/>
  <c r="T76" i="14" s="1"/>
  <c r="B83" i="12" s="1"/>
  <c r="S77" i="14"/>
  <c r="T77" i="14" s="1"/>
  <c r="B84" i="12" s="1"/>
  <c r="S78" i="14"/>
  <c r="T78" i="14" s="1"/>
  <c r="B85" i="12" s="1"/>
  <c r="S79" i="14"/>
  <c r="T79" i="14" s="1"/>
  <c r="B86" i="12" s="1"/>
  <c r="S80" i="14"/>
  <c r="T80" i="14" s="1"/>
  <c r="B87" i="12" s="1"/>
  <c r="S81" i="14"/>
  <c r="T81" i="14" s="1"/>
  <c r="B88" i="12" s="1"/>
  <c r="S82" i="14"/>
  <c r="T82" i="14" s="1"/>
  <c r="B89" i="12" s="1"/>
  <c r="S83" i="14"/>
  <c r="T83" i="14" s="1"/>
  <c r="B90" i="12" s="1"/>
  <c r="S84" i="14"/>
  <c r="T84" i="14" s="1"/>
  <c r="B91" i="12" s="1"/>
  <c r="S85" i="14"/>
  <c r="T85" i="14" s="1"/>
  <c r="B92" i="12" s="1"/>
  <c r="S86" i="14"/>
  <c r="T86" i="14" s="1"/>
  <c r="B93" i="12" s="1"/>
  <c r="S87" i="14"/>
  <c r="T87" i="14" s="1"/>
  <c r="B94" i="12" s="1"/>
  <c r="S88" i="14"/>
  <c r="T88" i="14" s="1"/>
  <c r="B95" i="12" s="1"/>
  <c r="S89" i="14"/>
  <c r="T89" i="14" s="1"/>
  <c r="B96" i="12" s="1"/>
  <c r="S90" i="14"/>
  <c r="T90" i="14" s="1"/>
  <c r="B97" i="12" s="1"/>
  <c r="S91" i="14"/>
  <c r="T91" i="14" s="1"/>
  <c r="B98" i="12" s="1"/>
  <c r="S92" i="14"/>
  <c r="T92" i="14" s="1"/>
  <c r="B99" i="12" s="1"/>
  <c r="S93" i="14"/>
  <c r="T93" i="14" s="1"/>
  <c r="B100" i="12" s="1"/>
  <c r="S94" i="14"/>
  <c r="T94" i="14" s="1"/>
  <c r="B101" i="12" s="1"/>
  <c r="S95" i="14"/>
  <c r="T95" i="14" s="1"/>
  <c r="B102" i="12" s="1"/>
  <c r="S96" i="14"/>
  <c r="T96" i="14" s="1"/>
  <c r="B103" i="12" s="1"/>
  <c r="S97" i="14"/>
  <c r="T97" i="14" s="1"/>
  <c r="B104" i="12" s="1"/>
  <c r="S98" i="14"/>
  <c r="T98" i="14" s="1"/>
  <c r="B105" i="12" s="1"/>
  <c r="S99" i="14"/>
  <c r="T99" i="14" s="1"/>
  <c r="B106" i="12" s="1"/>
  <c r="S100" i="14"/>
  <c r="T100" i="14" s="1"/>
  <c r="B107" i="12" s="1"/>
  <c r="S101" i="14"/>
  <c r="T101" i="14" s="1"/>
  <c r="B108" i="12" s="1"/>
  <c r="S102" i="14"/>
  <c r="T102" i="14" s="1"/>
  <c r="B109" i="12" s="1"/>
  <c r="S103" i="14"/>
  <c r="T103" i="14" s="1"/>
  <c r="B110" i="12" s="1"/>
  <c r="S104" i="14"/>
  <c r="T104" i="14" s="1"/>
  <c r="B111" i="12" s="1"/>
  <c r="S105" i="14"/>
  <c r="T105" i="14" s="1"/>
  <c r="B112" i="12" s="1"/>
  <c r="S106" i="14"/>
  <c r="T106" i="14" s="1"/>
  <c r="B113" i="12" s="1"/>
  <c r="S107" i="14"/>
  <c r="T107" i="14" s="1"/>
  <c r="B114" i="12" s="1"/>
  <c r="S108" i="14"/>
  <c r="T108" i="14" s="1"/>
  <c r="B115" i="12" s="1"/>
  <c r="S109" i="14"/>
  <c r="T109" i="14" s="1"/>
  <c r="B116" i="12" s="1"/>
  <c r="S110" i="14"/>
  <c r="T110" i="14" s="1"/>
  <c r="B117" i="12" s="1"/>
  <c r="S111" i="14"/>
  <c r="T111" i="14" s="1"/>
  <c r="B118" i="12" s="1"/>
  <c r="S112" i="14"/>
  <c r="T112" i="14" s="1"/>
  <c r="B119" i="12" s="1"/>
  <c r="S113" i="14"/>
  <c r="T113" i="14" s="1"/>
  <c r="B120" i="12" s="1"/>
  <c r="S114" i="14"/>
  <c r="T114" i="14" s="1"/>
  <c r="B121" i="12" s="1"/>
  <c r="S115" i="14"/>
  <c r="T115" i="14" s="1"/>
  <c r="B122" i="12" s="1"/>
  <c r="S116" i="14"/>
  <c r="T116" i="14" s="1"/>
  <c r="B123" i="12" s="1"/>
  <c r="S117" i="14"/>
  <c r="T117" i="14" s="1"/>
  <c r="B124" i="12" s="1"/>
  <c r="S118" i="14"/>
  <c r="T118" i="14" s="1"/>
  <c r="B125" i="12" s="1"/>
  <c r="S119" i="14"/>
  <c r="T119" i="14" s="1"/>
  <c r="B126" i="12" s="1"/>
  <c r="S120" i="14"/>
  <c r="T120" i="14" s="1"/>
  <c r="B127" i="12" s="1"/>
  <c r="S121" i="14"/>
  <c r="T121" i="14" s="1"/>
  <c r="B128" i="12" s="1"/>
  <c r="S122" i="14"/>
  <c r="T122" i="14" s="1"/>
  <c r="B129" i="12" s="1"/>
  <c r="S123" i="14"/>
  <c r="T123" i="14" s="1"/>
  <c r="B130" i="12" s="1"/>
  <c r="S124" i="14"/>
  <c r="T124" i="14" s="1"/>
  <c r="B131" i="12" s="1"/>
  <c r="S125" i="14"/>
  <c r="T125" i="14" s="1"/>
  <c r="B132" i="12" s="1"/>
  <c r="S126" i="14"/>
  <c r="T126" i="14" s="1"/>
  <c r="B133" i="12" s="1"/>
  <c r="S127" i="14"/>
  <c r="T127" i="14" s="1"/>
  <c r="B134" i="12" s="1"/>
  <c r="S128" i="14"/>
  <c r="T128" i="14" s="1"/>
  <c r="B135" i="12" s="1"/>
  <c r="S129" i="14"/>
  <c r="T129" i="14" s="1"/>
  <c r="B136" i="12" s="1"/>
  <c r="S130" i="14"/>
  <c r="T130" i="14" s="1"/>
  <c r="B137" i="12" s="1"/>
  <c r="S131" i="14"/>
  <c r="T131" i="14" s="1"/>
  <c r="B138" i="12" s="1"/>
  <c r="S132" i="14"/>
  <c r="T132" i="14" s="1"/>
  <c r="B139" i="12" s="1"/>
  <c r="S133" i="14"/>
  <c r="T133" i="14" s="1"/>
  <c r="B140" i="12" s="1"/>
  <c r="S134" i="14"/>
  <c r="T134" i="14" s="1"/>
  <c r="B141" i="12" s="1"/>
  <c r="S135" i="14"/>
  <c r="T135" i="14" s="1"/>
  <c r="B142" i="12" s="1"/>
  <c r="S136" i="14"/>
  <c r="T136" i="14" s="1"/>
  <c r="B143" i="12" s="1"/>
  <c r="S137" i="14"/>
  <c r="T137" i="14" s="1"/>
  <c r="B144" i="12" s="1"/>
  <c r="S138" i="14"/>
  <c r="T138" i="14" s="1"/>
  <c r="B145" i="12" s="1"/>
  <c r="S139" i="14"/>
  <c r="T139" i="14" s="1"/>
  <c r="B146" i="12" s="1"/>
  <c r="S140" i="14"/>
  <c r="T140" i="14" s="1"/>
  <c r="B147" i="12" s="1"/>
  <c r="S141" i="14"/>
  <c r="T141" i="14" s="1"/>
  <c r="B148" i="12" s="1"/>
  <c r="S142" i="14"/>
  <c r="T142" i="14" s="1"/>
  <c r="B149" i="12" s="1"/>
  <c r="S143" i="14"/>
  <c r="T143" i="14" s="1"/>
  <c r="B150" i="12" s="1"/>
  <c r="S144" i="14"/>
  <c r="T144" i="14" s="1"/>
  <c r="B151" i="12" s="1"/>
  <c r="S145" i="14"/>
  <c r="T145" i="14" s="1"/>
  <c r="B152" i="12" s="1"/>
  <c r="S146" i="14"/>
  <c r="T146" i="14" s="1"/>
  <c r="B153" i="12" s="1"/>
  <c r="S147" i="14"/>
  <c r="T147" i="14" s="1"/>
  <c r="B154" i="12" s="1"/>
  <c r="S148" i="14"/>
  <c r="T148" i="14" s="1"/>
  <c r="B155" i="12" s="1"/>
  <c r="S149" i="14"/>
  <c r="T149" i="14" s="1"/>
  <c r="B156" i="12" s="1"/>
  <c r="S150" i="14"/>
  <c r="T150" i="14" s="1"/>
  <c r="B157" i="12" s="1"/>
  <c r="S151" i="14"/>
  <c r="T151" i="14" s="1"/>
  <c r="B158" i="12" s="1"/>
  <c r="S152" i="14"/>
  <c r="T152" i="14" s="1"/>
  <c r="B159" i="12" s="1"/>
  <c r="S153" i="14"/>
  <c r="T153" i="14" s="1"/>
  <c r="B160" i="12" s="1"/>
  <c r="S154" i="14"/>
  <c r="T154" i="14" s="1"/>
  <c r="B161" i="12" s="1"/>
  <c r="S155" i="14"/>
  <c r="T155" i="14" s="1"/>
  <c r="B162" i="12" s="1"/>
  <c r="S156" i="14"/>
  <c r="T156" i="14" s="1"/>
  <c r="B163" i="12" s="1"/>
  <c r="S157" i="14"/>
  <c r="T157" i="14" s="1"/>
  <c r="B164" i="12" s="1"/>
  <c r="S158" i="14"/>
  <c r="T158" i="14" s="1"/>
  <c r="B165" i="12" s="1"/>
  <c r="S159" i="14"/>
  <c r="T159" i="14" s="1"/>
  <c r="B166" i="12" s="1"/>
  <c r="S160" i="14"/>
  <c r="T160" i="14" s="1"/>
  <c r="B167" i="12" s="1"/>
  <c r="S161" i="14"/>
  <c r="T161" i="14" s="1"/>
  <c r="B168" i="12" s="1"/>
  <c r="S162" i="14"/>
  <c r="T162" i="14" s="1"/>
  <c r="B169" i="12" s="1"/>
  <c r="S163" i="14"/>
  <c r="T163" i="14" s="1"/>
  <c r="B170" i="12" s="1"/>
  <c r="S164" i="14"/>
  <c r="T164" i="14" s="1"/>
  <c r="B171" i="12" s="1"/>
  <c r="S165" i="14"/>
  <c r="T165" i="14" s="1"/>
  <c r="B172" i="12" s="1"/>
  <c r="S166" i="14"/>
  <c r="T166" i="14" s="1"/>
  <c r="B173" i="12" s="1"/>
  <c r="S167" i="14"/>
  <c r="T167" i="14" s="1"/>
  <c r="B174" i="12" s="1"/>
  <c r="S168" i="14"/>
  <c r="T168" i="14" s="1"/>
  <c r="B175" i="12" s="1"/>
  <c r="S169" i="14"/>
  <c r="T169" i="14" s="1"/>
  <c r="B176" i="12" s="1"/>
  <c r="S170" i="14"/>
  <c r="T170" i="14" s="1"/>
  <c r="B177" i="12" s="1"/>
  <c r="S171" i="14"/>
  <c r="T171" i="14" s="1"/>
  <c r="B178" i="12" s="1"/>
  <c r="S172" i="14"/>
  <c r="T172" i="14" s="1"/>
  <c r="B179" i="12" s="1"/>
  <c r="S173" i="14"/>
  <c r="T173" i="14" s="1"/>
  <c r="B180" i="12" s="1"/>
  <c r="S174" i="14"/>
  <c r="T174" i="14" s="1"/>
  <c r="B181" i="12" s="1"/>
  <c r="S175" i="14"/>
  <c r="T175" i="14" s="1"/>
  <c r="B182" i="12" s="1"/>
  <c r="S176" i="14"/>
  <c r="T176" i="14" s="1"/>
  <c r="B183" i="12" s="1"/>
  <c r="S177" i="14"/>
  <c r="T177" i="14" s="1"/>
  <c r="B184" i="12" s="1"/>
  <c r="S178" i="14"/>
  <c r="T178" i="14" s="1"/>
  <c r="B185" i="12" s="1"/>
  <c r="S179" i="14"/>
  <c r="T179" i="14" s="1"/>
  <c r="B186" i="12" s="1"/>
  <c r="S180" i="14"/>
  <c r="T180" i="14" s="1"/>
  <c r="B187" i="12" s="1"/>
  <c r="S181" i="14"/>
  <c r="T181" i="14" s="1"/>
  <c r="B188" i="12" s="1"/>
  <c r="S182" i="14"/>
  <c r="T182" i="14" s="1"/>
  <c r="B189" i="12" s="1"/>
  <c r="S183" i="14"/>
  <c r="T183" i="14" s="1"/>
  <c r="B190" i="12" s="1"/>
  <c r="S184" i="14"/>
  <c r="T184" i="14" s="1"/>
  <c r="B191" i="12" s="1"/>
  <c r="S185" i="14"/>
  <c r="T185" i="14" s="1"/>
  <c r="B192" i="12" s="1"/>
  <c r="S186" i="14"/>
  <c r="T186" i="14" s="1"/>
  <c r="B193" i="12" s="1"/>
  <c r="S187" i="14"/>
  <c r="T187" i="14" s="1"/>
  <c r="B194" i="12" s="1"/>
  <c r="S188" i="14"/>
  <c r="T188" i="14" s="1"/>
  <c r="B195" i="12" s="1"/>
  <c r="S189" i="14"/>
  <c r="T189" i="14" s="1"/>
  <c r="B196" i="12" s="1"/>
  <c r="S190" i="14"/>
  <c r="T190" i="14" s="1"/>
  <c r="B197" i="12" s="1"/>
  <c r="S191" i="14"/>
  <c r="T191" i="14" s="1"/>
  <c r="B198" i="12" s="1"/>
  <c r="S192" i="14"/>
  <c r="T192" i="14" s="1"/>
  <c r="B199" i="12" s="1"/>
  <c r="S193" i="14"/>
  <c r="T193" i="14" s="1"/>
  <c r="B200" i="12" s="1"/>
  <c r="S194" i="14"/>
  <c r="T194" i="14" s="1"/>
  <c r="B201" i="12" s="1"/>
  <c r="S195" i="14"/>
  <c r="T195" i="14" s="1"/>
  <c r="B202" i="12" s="1"/>
  <c r="S196" i="14"/>
  <c r="T196" i="14" s="1"/>
  <c r="B203" i="12" s="1"/>
  <c r="S197" i="14"/>
  <c r="T197" i="14" s="1"/>
  <c r="B204" i="12" s="1"/>
  <c r="S198" i="14"/>
  <c r="T198" i="14" s="1"/>
  <c r="B205" i="12" s="1"/>
  <c r="S199" i="14"/>
  <c r="T199" i="14" s="1"/>
  <c r="B206" i="12" s="1"/>
  <c r="S200" i="14"/>
  <c r="T200" i="14" s="1"/>
  <c r="B207" i="12" s="1"/>
  <c r="S201" i="14"/>
  <c r="T201" i="14" s="1"/>
  <c r="B208" i="12" s="1"/>
  <c r="S202" i="14"/>
  <c r="T202" i="14" s="1"/>
  <c r="B209" i="12" s="1"/>
  <c r="S203" i="14"/>
  <c r="T203" i="14" s="1"/>
  <c r="B210" i="12" s="1"/>
  <c r="S204" i="14"/>
  <c r="T204" i="14" s="1"/>
  <c r="B211" i="12" s="1"/>
  <c r="S205" i="14"/>
  <c r="T205" i="14" s="1"/>
  <c r="B212" i="12" s="1"/>
  <c r="S206" i="14"/>
  <c r="T206" i="14" s="1"/>
  <c r="B213" i="12" s="1"/>
  <c r="S207" i="14"/>
  <c r="T207" i="14" s="1"/>
  <c r="B214" i="12" s="1"/>
  <c r="S208" i="14"/>
  <c r="T208" i="14" s="1"/>
  <c r="B215" i="12" s="1"/>
  <c r="S209" i="14"/>
  <c r="T209" i="14" s="1"/>
  <c r="B216" i="12" s="1"/>
  <c r="S210" i="14"/>
  <c r="T210" i="14" s="1"/>
  <c r="B217" i="12" s="1"/>
  <c r="S211" i="14"/>
  <c r="T211" i="14" s="1"/>
  <c r="B218" i="12" s="1"/>
  <c r="S212" i="14"/>
  <c r="T212" i="14" s="1"/>
  <c r="B219" i="12" s="1"/>
  <c r="S213" i="14"/>
  <c r="T213" i="14" s="1"/>
  <c r="B220" i="12" s="1"/>
  <c r="S214" i="14"/>
  <c r="T214" i="14" s="1"/>
  <c r="B221" i="12" s="1"/>
  <c r="S215" i="14"/>
  <c r="T215" i="14" s="1"/>
  <c r="B222" i="12" s="1"/>
  <c r="S216" i="14"/>
  <c r="T216" i="14" s="1"/>
  <c r="B223" i="12" s="1"/>
  <c r="S217" i="14"/>
  <c r="T217" i="14" s="1"/>
  <c r="B224" i="12" s="1"/>
  <c r="S218" i="14"/>
  <c r="T218" i="14" s="1"/>
  <c r="B225" i="12" s="1"/>
  <c r="S219" i="14"/>
  <c r="T219" i="14" s="1"/>
  <c r="B226" i="12" s="1"/>
  <c r="S220" i="14"/>
  <c r="T220" i="14" s="1"/>
  <c r="B227" i="12" s="1"/>
  <c r="S221" i="14"/>
  <c r="T221" i="14" s="1"/>
  <c r="B228" i="12" s="1"/>
  <c r="S222" i="14"/>
  <c r="T222" i="14" s="1"/>
  <c r="B229" i="12" s="1"/>
  <c r="S223" i="14"/>
  <c r="T223" i="14" s="1"/>
  <c r="B230" i="12" s="1"/>
  <c r="S224" i="14"/>
  <c r="T224" i="14" s="1"/>
  <c r="B231" i="12" s="1"/>
  <c r="S225" i="14"/>
  <c r="T225" i="14" s="1"/>
  <c r="B232" i="12" s="1"/>
  <c r="S226" i="14"/>
  <c r="T226" i="14" s="1"/>
  <c r="B233" i="12" s="1"/>
  <c r="S227" i="14"/>
  <c r="T227" i="14" s="1"/>
  <c r="B234" i="12" s="1"/>
  <c r="S228" i="14"/>
  <c r="T228" i="14" s="1"/>
  <c r="B235" i="12" s="1"/>
  <c r="S229" i="14"/>
  <c r="T229" i="14" s="1"/>
  <c r="B236" i="12" s="1"/>
  <c r="S230" i="14"/>
  <c r="T230" i="14" s="1"/>
  <c r="B237" i="12" s="1"/>
  <c r="S231" i="14"/>
  <c r="T231" i="14" s="1"/>
  <c r="B238" i="12" s="1"/>
  <c r="S232" i="14"/>
  <c r="T232" i="14" s="1"/>
  <c r="B239" i="12" s="1"/>
  <c r="S233" i="14"/>
  <c r="T233" i="14" s="1"/>
  <c r="B240" i="12" s="1"/>
  <c r="S234" i="14"/>
  <c r="T234" i="14" s="1"/>
  <c r="B241" i="12" s="1"/>
  <c r="S235" i="14"/>
  <c r="T235" i="14" s="1"/>
  <c r="B242" i="12" s="1"/>
  <c r="S236" i="14"/>
  <c r="T236" i="14" s="1"/>
  <c r="B243" i="12" s="1"/>
  <c r="S237" i="14"/>
  <c r="T237" i="14" s="1"/>
  <c r="B244" i="12" s="1"/>
  <c r="S238" i="14"/>
  <c r="T238" i="14" s="1"/>
  <c r="B245" i="12" s="1"/>
  <c r="S239" i="14"/>
  <c r="T239" i="14" s="1"/>
  <c r="B246" i="12" s="1"/>
  <c r="S240" i="14"/>
  <c r="T240" i="14" s="1"/>
  <c r="B247" i="12" s="1"/>
  <c r="S241" i="14"/>
  <c r="T241" i="14" s="1"/>
  <c r="B248" i="12" s="1"/>
  <c r="S242" i="14"/>
  <c r="T242" i="14" s="1"/>
  <c r="B249" i="12" s="1"/>
  <c r="S243" i="14"/>
  <c r="T243" i="14" s="1"/>
  <c r="B250" i="12" s="1"/>
  <c r="S244" i="14"/>
  <c r="T244" i="14" s="1"/>
  <c r="B251" i="12" s="1"/>
  <c r="S245" i="14"/>
  <c r="T245" i="14" s="1"/>
  <c r="B252" i="12" s="1"/>
  <c r="S246" i="14"/>
  <c r="T246" i="14" s="1"/>
  <c r="B253" i="12" s="1"/>
  <c r="S247" i="14"/>
  <c r="T247" i="14" s="1"/>
  <c r="B254" i="12" s="1"/>
  <c r="S248" i="14"/>
  <c r="T248" i="14" s="1"/>
  <c r="B255" i="12" s="1"/>
  <c r="S249" i="14"/>
  <c r="T249" i="14" s="1"/>
  <c r="B256" i="12" s="1"/>
  <c r="S250" i="14"/>
  <c r="T250" i="14" s="1"/>
  <c r="B257" i="12" s="1"/>
  <c r="S251" i="14"/>
  <c r="T251" i="14" s="1"/>
  <c r="B258" i="12" s="1"/>
  <c r="S252" i="14"/>
  <c r="T252" i="14" s="1"/>
  <c r="B259" i="12" s="1"/>
  <c r="S253" i="14"/>
  <c r="T253" i="14" s="1"/>
  <c r="B260" i="12" s="1"/>
  <c r="S254" i="14"/>
  <c r="T254" i="14" s="1"/>
  <c r="B261" i="12" s="1"/>
  <c r="S255" i="14"/>
  <c r="T255" i="14" s="1"/>
  <c r="B262" i="12" s="1"/>
  <c r="S256" i="14"/>
  <c r="T256" i="14" s="1"/>
  <c r="B263" i="12" s="1"/>
  <c r="S257" i="14"/>
  <c r="T257" i="14" s="1"/>
  <c r="B264" i="12" s="1"/>
  <c r="S258" i="14"/>
  <c r="T258" i="14" s="1"/>
  <c r="B265" i="12" s="1"/>
  <c r="S259" i="14"/>
  <c r="T259" i="14" s="1"/>
  <c r="B266" i="12" s="1"/>
  <c r="S260" i="14"/>
  <c r="T260" i="14" s="1"/>
  <c r="B267" i="12" s="1"/>
  <c r="S261" i="14"/>
  <c r="T261" i="14" s="1"/>
  <c r="B268" i="12" s="1"/>
  <c r="S262" i="14"/>
  <c r="T262" i="14" s="1"/>
  <c r="B269" i="12" s="1"/>
  <c r="S263" i="14"/>
  <c r="T263" i="14" s="1"/>
  <c r="B270" i="12" s="1"/>
  <c r="S264" i="14"/>
  <c r="T264" i="14" s="1"/>
  <c r="B271" i="12" s="1"/>
  <c r="S265" i="14"/>
  <c r="T265" i="14" s="1"/>
  <c r="B272" i="12" s="1"/>
  <c r="S266" i="14"/>
  <c r="T266" i="14" s="1"/>
  <c r="B273" i="12" s="1"/>
  <c r="S267" i="14"/>
  <c r="T267" i="14" s="1"/>
  <c r="B274" i="12" s="1"/>
  <c r="S268" i="14"/>
  <c r="T268" i="14" s="1"/>
  <c r="B275" i="12" s="1"/>
  <c r="S269" i="14"/>
  <c r="T269" i="14" s="1"/>
  <c r="B276" i="12" s="1"/>
  <c r="S270" i="14"/>
  <c r="T270" i="14" s="1"/>
  <c r="B277" i="12" s="1"/>
  <c r="S271" i="14"/>
  <c r="T271" i="14" s="1"/>
  <c r="B278" i="12" s="1"/>
  <c r="S272" i="14"/>
  <c r="T272" i="14" s="1"/>
  <c r="B279" i="12" s="1"/>
  <c r="S273" i="14"/>
  <c r="T273" i="14" s="1"/>
  <c r="B280" i="12" s="1"/>
  <c r="S274" i="14"/>
  <c r="T274" i="14" s="1"/>
  <c r="B281" i="12" s="1"/>
  <c r="S275" i="14"/>
  <c r="T275" i="14" s="1"/>
  <c r="B282" i="12" s="1"/>
  <c r="S276" i="14"/>
  <c r="T276" i="14" s="1"/>
  <c r="B283" i="12" s="1"/>
  <c r="S277" i="14"/>
  <c r="T277" i="14" s="1"/>
  <c r="B284" i="12" s="1"/>
  <c r="S278" i="14"/>
  <c r="T278" i="14" s="1"/>
  <c r="B285" i="12" s="1"/>
  <c r="S279" i="14"/>
  <c r="T279" i="14" s="1"/>
  <c r="B286" i="12" s="1"/>
  <c r="S280" i="14"/>
  <c r="T280" i="14" s="1"/>
  <c r="B287" i="12" s="1"/>
  <c r="S281" i="14"/>
  <c r="T281" i="14" s="1"/>
  <c r="B288" i="12" s="1"/>
  <c r="S282" i="14"/>
  <c r="T282" i="14" s="1"/>
  <c r="B289" i="12" s="1"/>
  <c r="S283" i="14"/>
  <c r="T283" i="14" s="1"/>
  <c r="B290" i="12" s="1"/>
  <c r="S284" i="14"/>
  <c r="T284" i="14" s="1"/>
  <c r="B291" i="12" s="1"/>
  <c r="S285" i="14"/>
  <c r="T285" i="14" s="1"/>
  <c r="B292" i="12" s="1"/>
  <c r="S286" i="14"/>
  <c r="T286" i="14" s="1"/>
  <c r="B293" i="12" s="1"/>
  <c r="S287" i="14"/>
  <c r="T287" i="14" s="1"/>
  <c r="B294" i="12" s="1"/>
  <c r="S288" i="14"/>
  <c r="T288" i="14" s="1"/>
  <c r="B295" i="12" s="1"/>
  <c r="S289" i="14"/>
  <c r="T289" i="14" s="1"/>
  <c r="B296" i="12" s="1"/>
  <c r="S290" i="14"/>
  <c r="T290" i="14" s="1"/>
  <c r="B297" i="12" s="1"/>
  <c r="S291" i="14"/>
  <c r="T291" i="14" s="1"/>
  <c r="B298" i="12" s="1"/>
  <c r="S292" i="14"/>
  <c r="T292" i="14" s="1"/>
  <c r="B299" i="12" s="1"/>
  <c r="S293" i="14"/>
  <c r="T293" i="14" s="1"/>
  <c r="B300" i="12" s="1"/>
  <c r="S294" i="14"/>
  <c r="T294" i="14" s="1"/>
  <c r="B301" i="12" s="1"/>
  <c r="S295" i="14"/>
  <c r="T295" i="14" s="1"/>
  <c r="B302" i="12" s="1"/>
  <c r="S296" i="14"/>
  <c r="T296" i="14" s="1"/>
  <c r="B303" i="12" s="1"/>
  <c r="S297" i="14"/>
  <c r="T297" i="14" s="1"/>
  <c r="B304" i="12" s="1"/>
  <c r="S298" i="14"/>
  <c r="T298" i="14" s="1"/>
  <c r="B305" i="12" s="1"/>
  <c r="S299" i="14"/>
  <c r="T299" i="14" s="1"/>
  <c r="B306" i="12" s="1"/>
  <c r="S300" i="14"/>
  <c r="T300" i="14" s="1"/>
  <c r="B307" i="12" s="1"/>
  <c r="S301" i="14"/>
  <c r="T301" i="14" s="1"/>
  <c r="B308" i="12" s="1"/>
  <c r="S302" i="14"/>
  <c r="T302" i="14" s="1"/>
  <c r="B309" i="12" s="1"/>
  <c r="S303" i="14"/>
  <c r="T303" i="14" s="1"/>
  <c r="B310" i="12" s="1"/>
  <c r="S304" i="14"/>
  <c r="T304" i="14" s="1"/>
  <c r="B311" i="12" s="1"/>
  <c r="S305" i="14"/>
  <c r="T305" i="14" s="1"/>
  <c r="B312" i="12" s="1"/>
  <c r="S306" i="14"/>
  <c r="T306" i="14" s="1"/>
  <c r="B313" i="12" s="1"/>
  <c r="S307" i="14"/>
  <c r="T307" i="14" s="1"/>
  <c r="B314" i="12" s="1"/>
  <c r="S308" i="14"/>
  <c r="T308" i="14" s="1"/>
  <c r="B315" i="12" s="1"/>
  <c r="S309" i="14"/>
  <c r="T309" i="14" s="1"/>
  <c r="B316" i="12" s="1"/>
  <c r="S310" i="14"/>
  <c r="T310" i="14" s="1"/>
  <c r="B317" i="12" s="1"/>
  <c r="S311" i="14"/>
  <c r="T311" i="14" s="1"/>
  <c r="B318" i="12" s="1"/>
  <c r="S312" i="14"/>
  <c r="T312" i="14" s="1"/>
  <c r="B319" i="12" s="1"/>
  <c r="S313" i="14"/>
  <c r="T313" i="14" s="1"/>
  <c r="B320" i="12" s="1"/>
  <c r="S314" i="14"/>
  <c r="T314" i="14" s="1"/>
  <c r="B321" i="12" s="1"/>
  <c r="S315" i="14"/>
  <c r="T315" i="14" s="1"/>
  <c r="B322" i="12" s="1"/>
  <c r="S316" i="14"/>
  <c r="T316" i="14" s="1"/>
  <c r="B323" i="12" s="1"/>
  <c r="S317" i="14"/>
  <c r="T317" i="14" s="1"/>
  <c r="B324" i="12" s="1"/>
  <c r="S318" i="14"/>
  <c r="T318" i="14" s="1"/>
  <c r="B325" i="12" s="1"/>
  <c r="S319" i="14"/>
  <c r="T319" i="14" s="1"/>
  <c r="B326" i="12" s="1"/>
  <c r="S320" i="14"/>
  <c r="T320" i="14" s="1"/>
  <c r="B327" i="12" s="1"/>
  <c r="S321" i="14"/>
  <c r="T321" i="14" s="1"/>
  <c r="B328" i="12" s="1"/>
  <c r="S322" i="14"/>
  <c r="T322" i="14" s="1"/>
  <c r="B329" i="12" s="1"/>
  <c r="S323" i="14"/>
  <c r="T323" i="14" s="1"/>
  <c r="B330" i="12" s="1"/>
  <c r="S324" i="14"/>
  <c r="T324" i="14" s="1"/>
  <c r="B331" i="12" s="1"/>
  <c r="S325" i="14"/>
  <c r="T325" i="14" s="1"/>
  <c r="B332" i="12" s="1"/>
  <c r="S326" i="14"/>
  <c r="T326" i="14" s="1"/>
  <c r="B333" i="12" s="1"/>
  <c r="S327" i="14"/>
  <c r="T327" i="14" s="1"/>
  <c r="B334" i="12" s="1"/>
  <c r="S328" i="14"/>
  <c r="T328" i="14" s="1"/>
  <c r="B335" i="12" s="1"/>
  <c r="S329" i="14"/>
  <c r="T329" i="14" s="1"/>
  <c r="B336" i="12" s="1"/>
  <c r="S330" i="14"/>
  <c r="T330" i="14" s="1"/>
  <c r="B337" i="12" s="1"/>
  <c r="S331" i="14"/>
  <c r="T331" i="14" s="1"/>
  <c r="B338" i="12" s="1"/>
  <c r="S332" i="14"/>
  <c r="T332" i="14" s="1"/>
  <c r="B339" i="12" s="1"/>
  <c r="S333" i="14"/>
  <c r="T333" i="14" s="1"/>
  <c r="B340" i="12" s="1"/>
  <c r="S334" i="14"/>
  <c r="T334" i="14" s="1"/>
  <c r="B341" i="12" s="1"/>
  <c r="S335" i="14"/>
  <c r="T335" i="14" s="1"/>
  <c r="B342" i="12" s="1"/>
  <c r="S336" i="14"/>
  <c r="T336" i="14" s="1"/>
  <c r="B343" i="12" s="1"/>
  <c r="S337" i="14"/>
  <c r="T337" i="14" s="1"/>
  <c r="B344" i="12" s="1"/>
  <c r="S338" i="14"/>
  <c r="T338" i="14" s="1"/>
  <c r="B345" i="12" s="1"/>
  <c r="S339" i="14"/>
  <c r="T339" i="14" s="1"/>
  <c r="B346" i="12" s="1"/>
  <c r="S340" i="14"/>
  <c r="T340" i="14" s="1"/>
  <c r="B347" i="12" s="1"/>
  <c r="S341" i="14"/>
  <c r="T341" i="14" s="1"/>
  <c r="B348" i="12" s="1"/>
  <c r="S342" i="14"/>
  <c r="T342" i="14" s="1"/>
  <c r="B349" i="12" s="1"/>
  <c r="S343" i="14"/>
  <c r="T343" i="14" s="1"/>
  <c r="B350" i="12" s="1"/>
  <c r="S344" i="14"/>
  <c r="T344" i="14" s="1"/>
  <c r="B351" i="12" s="1"/>
  <c r="S345" i="14"/>
  <c r="T345" i="14" s="1"/>
  <c r="B352" i="12" s="1"/>
  <c r="S346" i="14"/>
  <c r="T346" i="14" s="1"/>
  <c r="B353" i="12" s="1"/>
  <c r="S347" i="14"/>
  <c r="T347" i="14" s="1"/>
  <c r="B354" i="12" s="1"/>
  <c r="S348" i="14"/>
  <c r="T348" i="14" s="1"/>
  <c r="B355" i="12" s="1"/>
  <c r="S349" i="14"/>
  <c r="T349" i="14" s="1"/>
  <c r="B356" i="12" s="1"/>
  <c r="S350" i="14"/>
  <c r="T350" i="14" s="1"/>
  <c r="B357" i="12" s="1"/>
  <c r="S351" i="14"/>
  <c r="T351" i="14" s="1"/>
  <c r="B358" i="12" s="1"/>
  <c r="S352" i="14"/>
  <c r="T352" i="14" s="1"/>
  <c r="B359" i="12" s="1"/>
  <c r="S353" i="14"/>
  <c r="T353" i="14" s="1"/>
  <c r="B360" i="12" s="1"/>
  <c r="S354" i="14"/>
  <c r="T354" i="14" s="1"/>
  <c r="B361" i="12" s="1"/>
  <c r="S355" i="14"/>
  <c r="T355" i="14" s="1"/>
  <c r="B362" i="12" s="1"/>
  <c r="S356" i="14"/>
  <c r="T356" i="14" s="1"/>
  <c r="B363" i="12" s="1"/>
  <c r="S357" i="14"/>
  <c r="T357" i="14" s="1"/>
  <c r="B364" i="12" s="1"/>
  <c r="S358" i="14"/>
  <c r="T358" i="14" s="1"/>
  <c r="B365" i="12" s="1"/>
  <c r="S359" i="14"/>
  <c r="T359" i="14" s="1"/>
  <c r="B366" i="12" s="1"/>
  <c r="S360" i="14"/>
  <c r="T360" i="14" s="1"/>
  <c r="B367" i="12" s="1"/>
  <c r="S361" i="14"/>
  <c r="T361" i="14" s="1"/>
  <c r="B368" i="12" s="1"/>
  <c r="S362" i="14"/>
  <c r="T362" i="14" s="1"/>
  <c r="B369" i="12" s="1"/>
  <c r="S363" i="14"/>
  <c r="T363" i="14" s="1"/>
  <c r="B370" i="12" s="1"/>
  <c r="S364" i="14"/>
  <c r="T364" i="14" s="1"/>
  <c r="B371" i="12" s="1"/>
  <c r="S365" i="14"/>
  <c r="T365" i="14" s="1"/>
  <c r="B372" i="12" s="1"/>
  <c r="S366" i="14"/>
  <c r="T366" i="14" s="1"/>
  <c r="B373" i="12" s="1"/>
  <c r="S367" i="14"/>
  <c r="T367" i="14" s="1"/>
  <c r="B374" i="12" s="1"/>
  <c r="S368" i="14"/>
  <c r="T368" i="14" s="1"/>
  <c r="B375" i="12" s="1"/>
  <c r="S369" i="14"/>
  <c r="T369" i="14" s="1"/>
  <c r="B376" i="12" s="1"/>
  <c r="S370" i="14"/>
  <c r="T370" i="14" s="1"/>
  <c r="B377" i="12" s="1"/>
  <c r="S371" i="14"/>
  <c r="T371" i="14" s="1"/>
  <c r="B378" i="12" s="1"/>
  <c r="S372" i="14"/>
  <c r="T372" i="14" s="1"/>
  <c r="B379" i="12" s="1"/>
  <c r="S373" i="14"/>
  <c r="T373" i="14" s="1"/>
  <c r="B380" i="12" s="1"/>
  <c r="S374" i="14"/>
  <c r="T374" i="14" s="1"/>
  <c r="B381" i="12" s="1"/>
  <c r="S375" i="14"/>
  <c r="T375" i="14" s="1"/>
  <c r="B382" i="12" s="1"/>
  <c r="S376" i="14"/>
  <c r="T376" i="14" s="1"/>
  <c r="B383" i="12" s="1"/>
  <c r="S377" i="14"/>
  <c r="T377" i="14" s="1"/>
  <c r="B384" i="12" s="1"/>
  <c r="S378" i="14"/>
  <c r="T378" i="14" s="1"/>
  <c r="B385" i="12" s="1"/>
  <c r="S379" i="14"/>
  <c r="T379" i="14" s="1"/>
  <c r="B386" i="12" s="1"/>
  <c r="S380" i="14"/>
  <c r="T380" i="14" s="1"/>
  <c r="B387" i="12" s="1"/>
  <c r="S381" i="14"/>
  <c r="T381" i="14" s="1"/>
  <c r="B388" i="12" s="1"/>
  <c r="S382" i="14"/>
  <c r="T382" i="14" s="1"/>
  <c r="B389" i="12" s="1"/>
  <c r="S383" i="14"/>
  <c r="T383" i="14" s="1"/>
  <c r="B390" i="12" s="1"/>
  <c r="S384" i="14"/>
  <c r="T384" i="14" s="1"/>
  <c r="B391" i="12" s="1"/>
  <c r="S385" i="14"/>
  <c r="T385" i="14" s="1"/>
  <c r="B392" i="12" s="1"/>
  <c r="S386" i="14"/>
  <c r="T386" i="14" s="1"/>
  <c r="B393" i="12" s="1"/>
  <c r="S387" i="14"/>
  <c r="T387" i="14" s="1"/>
  <c r="B394" i="12" s="1"/>
  <c r="S388" i="14"/>
  <c r="T388" i="14" s="1"/>
  <c r="B395" i="12" s="1"/>
  <c r="S389" i="14"/>
  <c r="T389" i="14" s="1"/>
  <c r="B396" i="12" s="1"/>
  <c r="S390" i="14"/>
  <c r="T390" i="14" s="1"/>
  <c r="B397" i="12" s="1"/>
  <c r="S391" i="14"/>
  <c r="T391" i="14" s="1"/>
  <c r="B398" i="12" s="1"/>
  <c r="S392" i="14"/>
  <c r="T392" i="14" s="1"/>
  <c r="B399" i="12" s="1"/>
  <c r="S393" i="14"/>
  <c r="T393" i="14" s="1"/>
  <c r="B400" i="12" s="1"/>
  <c r="S394" i="14"/>
  <c r="T394" i="14" s="1"/>
  <c r="B401" i="12" s="1"/>
  <c r="S395" i="14"/>
  <c r="T395" i="14" s="1"/>
  <c r="B402" i="12" s="1"/>
  <c r="S396" i="14"/>
  <c r="T396" i="14" s="1"/>
  <c r="B403" i="12" s="1"/>
  <c r="S397" i="14"/>
  <c r="T397" i="14" s="1"/>
  <c r="B404" i="12" s="1"/>
  <c r="S398" i="14"/>
  <c r="T398" i="14" s="1"/>
  <c r="B405" i="12" s="1"/>
  <c r="S399" i="14"/>
  <c r="T399" i="14" s="1"/>
  <c r="B406" i="12" s="1"/>
  <c r="S400" i="14"/>
  <c r="T400" i="14" s="1"/>
  <c r="B407" i="12" s="1"/>
  <c r="S401" i="14"/>
  <c r="T401" i="14" s="1"/>
  <c r="B408" i="12" s="1"/>
  <c r="S402" i="14"/>
  <c r="T402" i="14" s="1"/>
  <c r="B409" i="12" s="1"/>
  <c r="S403" i="14"/>
  <c r="T403" i="14" s="1"/>
  <c r="B410" i="12" s="1"/>
  <c r="S404" i="14"/>
  <c r="T404" i="14" s="1"/>
  <c r="B411" i="12" s="1"/>
  <c r="S405" i="14"/>
  <c r="T405" i="14" s="1"/>
  <c r="B412" i="12" s="1"/>
  <c r="S406" i="14"/>
  <c r="T406" i="14" s="1"/>
  <c r="B413" i="12" s="1"/>
  <c r="S407" i="14"/>
  <c r="T407" i="14" s="1"/>
  <c r="B414" i="12" s="1"/>
  <c r="S408" i="14"/>
  <c r="T408" i="14" s="1"/>
  <c r="B415" i="12" s="1"/>
  <c r="S409" i="14"/>
  <c r="T409" i="14" s="1"/>
  <c r="B416" i="12" s="1"/>
  <c r="S410" i="14"/>
  <c r="T410" i="14" s="1"/>
  <c r="B417" i="12" s="1"/>
  <c r="S411" i="14"/>
  <c r="T411" i="14" s="1"/>
  <c r="B418" i="12" s="1"/>
  <c r="S412" i="14"/>
  <c r="T412" i="14" s="1"/>
  <c r="B419" i="12" s="1"/>
  <c r="S413" i="14"/>
  <c r="T413" i="14" s="1"/>
  <c r="B420" i="12" s="1"/>
  <c r="S414" i="14"/>
  <c r="T414" i="14" s="1"/>
  <c r="B421" i="12" s="1"/>
  <c r="S415" i="14"/>
  <c r="T415" i="14" s="1"/>
  <c r="B422" i="12" s="1"/>
  <c r="S416" i="14"/>
  <c r="T416" i="14" s="1"/>
  <c r="B423" i="12" s="1"/>
  <c r="S417" i="14"/>
  <c r="T417" i="14" s="1"/>
  <c r="B424" i="12" s="1"/>
  <c r="S418" i="14"/>
  <c r="T418" i="14" s="1"/>
  <c r="B425" i="12" s="1"/>
  <c r="S419" i="14"/>
  <c r="T419" i="14" s="1"/>
  <c r="B426" i="12" s="1"/>
  <c r="S420" i="14"/>
  <c r="T420" i="14" s="1"/>
  <c r="B427" i="12" s="1"/>
  <c r="S421" i="14"/>
  <c r="T421" i="14" s="1"/>
  <c r="B428" i="12" s="1"/>
  <c r="S422" i="14"/>
  <c r="T422" i="14" s="1"/>
  <c r="B429" i="12" s="1"/>
  <c r="S423" i="14"/>
  <c r="T423" i="14" s="1"/>
  <c r="B430" i="12" s="1"/>
  <c r="S424" i="14"/>
  <c r="T424" i="14" s="1"/>
  <c r="B431" i="12" s="1"/>
  <c r="S425" i="14"/>
  <c r="T425" i="14" s="1"/>
  <c r="B432" i="12" s="1"/>
  <c r="S426" i="14"/>
  <c r="T426" i="14" s="1"/>
  <c r="B433" i="12" s="1"/>
  <c r="S427" i="14"/>
  <c r="T427" i="14" s="1"/>
  <c r="B434" i="12" s="1"/>
  <c r="S428" i="14"/>
  <c r="T428" i="14" s="1"/>
  <c r="B435" i="12" s="1"/>
  <c r="S429" i="14"/>
  <c r="T429" i="14" s="1"/>
  <c r="B436" i="12" s="1"/>
  <c r="S430" i="14"/>
  <c r="T430" i="14" s="1"/>
  <c r="B437" i="12" s="1"/>
  <c r="S431" i="14"/>
  <c r="T431" i="14" s="1"/>
  <c r="B438" i="12" s="1"/>
  <c r="S432" i="14"/>
  <c r="T432" i="14" s="1"/>
  <c r="B439" i="12" s="1"/>
  <c r="S433" i="14"/>
  <c r="T433" i="14" s="1"/>
  <c r="B440" i="12" s="1"/>
  <c r="S434" i="14"/>
  <c r="T434" i="14" s="1"/>
  <c r="B441" i="12" s="1"/>
  <c r="S435" i="14"/>
  <c r="T435" i="14" s="1"/>
  <c r="B442" i="12" s="1"/>
  <c r="S436" i="14"/>
  <c r="T436" i="14" s="1"/>
  <c r="B443" i="12" s="1"/>
  <c r="S437" i="14"/>
  <c r="T437" i="14" s="1"/>
  <c r="B444" i="12" s="1"/>
  <c r="S438" i="14"/>
  <c r="T438" i="14" s="1"/>
  <c r="B445" i="12" s="1"/>
  <c r="S439" i="14"/>
  <c r="T439" i="14" s="1"/>
  <c r="B446" i="12" s="1"/>
  <c r="S440" i="14"/>
  <c r="T440" i="14" s="1"/>
  <c r="B447" i="12" s="1"/>
  <c r="S441" i="14"/>
  <c r="T441" i="14" s="1"/>
  <c r="B448" i="12" s="1"/>
  <c r="S442" i="14"/>
  <c r="T442" i="14" s="1"/>
  <c r="B449" i="12" s="1"/>
  <c r="S443" i="14"/>
  <c r="T443" i="14" s="1"/>
  <c r="B450" i="12" s="1"/>
  <c r="S444" i="14"/>
  <c r="T444" i="14" s="1"/>
  <c r="B451" i="12" s="1"/>
  <c r="S445" i="14"/>
  <c r="T445" i="14" s="1"/>
  <c r="B452" i="12" s="1"/>
  <c r="S446" i="14"/>
  <c r="T446" i="14" s="1"/>
  <c r="B453" i="12" s="1"/>
  <c r="S447" i="14"/>
  <c r="T447" i="14" s="1"/>
  <c r="B454" i="12" s="1"/>
  <c r="S448" i="14"/>
  <c r="T448" i="14" s="1"/>
  <c r="B455" i="12" s="1"/>
  <c r="S449" i="14"/>
  <c r="T449" i="14" s="1"/>
  <c r="B456" i="12" s="1"/>
  <c r="S450" i="14"/>
  <c r="T450" i="14" s="1"/>
  <c r="B457" i="12" s="1"/>
  <c r="S451" i="14"/>
  <c r="T451" i="14" s="1"/>
  <c r="B458" i="12" s="1"/>
  <c r="S452" i="14"/>
  <c r="T452" i="14" s="1"/>
  <c r="B459" i="12" s="1"/>
  <c r="S453" i="14"/>
  <c r="T453" i="14" s="1"/>
  <c r="B460" i="12" s="1"/>
  <c r="S454" i="14"/>
  <c r="T454" i="14" s="1"/>
  <c r="B461" i="12" s="1"/>
  <c r="S455" i="14"/>
  <c r="T455" i="14" s="1"/>
  <c r="B462" i="12" s="1"/>
  <c r="S456" i="14"/>
  <c r="T456" i="14" s="1"/>
  <c r="B463" i="12" s="1"/>
  <c r="S457" i="14"/>
  <c r="T457" i="14" s="1"/>
  <c r="B464" i="12" s="1"/>
  <c r="S458" i="14"/>
  <c r="T458" i="14" s="1"/>
  <c r="B465" i="12" s="1"/>
  <c r="S459" i="14"/>
  <c r="T459" i="14" s="1"/>
  <c r="B466" i="12" s="1"/>
  <c r="S460" i="14"/>
  <c r="T460" i="14" s="1"/>
  <c r="B467" i="12" s="1"/>
  <c r="S461" i="14"/>
  <c r="T461" i="14" s="1"/>
  <c r="B468" i="12" s="1"/>
  <c r="S462" i="14"/>
  <c r="T462" i="14" s="1"/>
  <c r="B469" i="12" s="1"/>
  <c r="S463" i="14"/>
  <c r="T463" i="14" s="1"/>
  <c r="B470" i="12" s="1"/>
  <c r="S464" i="14"/>
  <c r="T464" i="14" s="1"/>
  <c r="B471" i="12" s="1"/>
  <c r="S465" i="14"/>
  <c r="T465" i="14" s="1"/>
  <c r="B472" i="12" s="1"/>
  <c r="S466" i="14"/>
  <c r="T466" i="14" s="1"/>
  <c r="B473" i="12" s="1"/>
  <c r="S467" i="14"/>
  <c r="T467" i="14" s="1"/>
  <c r="B474" i="12" s="1"/>
  <c r="S468" i="14"/>
  <c r="T468" i="14" s="1"/>
  <c r="B475" i="12" s="1"/>
  <c r="S469" i="14"/>
  <c r="T469" i="14" s="1"/>
  <c r="B476" i="12" s="1"/>
  <c r="S470" i="14"/>
  <c r="T470" i="14" s="1"/>
  <c r="B477" i="12" s="1"/>
  <c r="S471" i="14"/>
  <c r="T471" i="14" s="1"/>
  <c r="B478" i="12" s="1"/>
  <c r="S472" i="14"/>
  <c r="T472" i="14" s="1"/>
  <c r="B479" i="12" s="1"/>
  <c r="S473" i="14"/>
  <c r="T473" i="14" s="1"/>
  <c r="B480" i="12" s="1"/>
  <c r="S474" i="14"/>
  <c r="T474" i="14" s="1"/>
  <c r="B481" i="12" s="1"/>
  <c r="S475" i="14"/>
  <c r="T475" i="14" s="1"/>
  <c r="B482" i="12" s="1"/>
  <c r="S476" i="14"/>
  <c r="T476" i="14" s="1"/>
  <c r="B483" i="12" s="1"/>
  <c r="S477" i="14"/>
  <c r="T477" i="14" s="1"/>
  <c r="B484" i="12" s="1"/>
  <c r="S478" i="14"/>
  <c r="T478" i="14" s="1"/>
  <c r="B485" i="12" s="1"/>
  <c r="S479" i="14"/>
  <c r="T479" i="14" s="1"/>
  <c r="B486" i="12" s="1"/>
  <c r="S480" i="14"/>
  <c r="T480" i="14" s="1"/>
  <c r="B487" i="12" s="1"/>
  <c r="S481" i="14"/>
  <c r="T481" i="14" s="1"/>
  <c r="B488" i="12" s="1"/>
  <c r="S482" i="14"/>
  <c r="T482" i="14" s="1"/>
  <c r="B489" i="12" s="1"/>
  <c r="S483" i="14"/>
  <c r="T483" i="14" s="1"/>
  <c r="B490" i="12" s="1"/>
  <c r="S484" i="14"/>
  <c r="T484" i="14" s="1"/>
  <c r="B491" i="12" s="1"/>
  <c r="S485" i="14"/>
  <c r="T485" i="14" s="1"/>
  <c r="B492" i="12" s="1"/>
  <c r="S486" i="14"/>
  <c r="T486" i="14" s="1"/>
  <c r="B493" i="12" s="1"/>
  <c r="S487" i="14"/>
  <c r="T487" i="14" s="1"/>
  <c r="B494" i="12" s="1"/>
  <c r="S488" i="14"/>
  <c r="T488" i="14" s="1"/>
  <c r="B495" i="12" s="1"/>
  <c r="S489" i="14"/>
  <c r="T489" i="14" s="1"/>
  <c r="B496" i="12" s="1"/>
  <c r="S490" i="14"/>
  <c r="T490" i="14" s="1"/>
  <c r="B497" i="12" s="1"/>
  <c r="S491" i="14"/>
  <c r="T491" i="14" s="1"/>
  <c r="B498" i="12" s="1"/>
  <c r="S492" i="14"/>
  <c r="T492" i="14" s="1"/>
  <c r="B499" i="12" s="1"/>
  <c r="S493" i="14"/>
  <c r="T493" i="14" s="1"/>
  <c r="B500" i="12" s="1"/>
  <c r="S494" i="14"/>
  <c r="T494" i="14" s="1"/>
  <c r="B501" i="12" s="1"/>
  <c r="S495" i="14"/>
  <c r="T495" i="14" s="1"/>
  <c r="B502" i="12" s="1"/>
  <c r="S496" i="14"/>
  <c r="T496" i="14" s="1"/>
  <c r="B503" i="12" s="1"/>
  <c r="S497" i="14"/>
  <c r="T497" i="14" s="1"/>
  <c r="B504" i="12" s="1"/>
  <c r="S498" i="14"/>
  <c r="T498" i="14" s="1"/>
  <c r="B505" i="12" s="1"/>
  <c r="S499" i="14"/>
  <c r="T499" i="14" s="1"/>
  <c r="B506" i="12" s="1"/>
  <c r="S500" i="14"/>
  <c r="T500" i="14" s="1"/>
  <c r="B507" i="12" s="1"/>
  <c r="S501" i="14"/>
  <c r="T501" i="14" s="1"/>
  <c r="B508" i="12" s="1"/>
  <c r="S502" i="14"/>
  <c r="T502" i="14" s="1"/>
  <c r="B509" i="12" s="1"/>
  <c r="S503" i="14"/>
  <c r="T503" i="14" s="1"/>
  <c r="B510" i="12" s="1"/>
  <c r="S504" i="14"/>
  <c r="T504" i="14" s="1"/>
  <c r="B511" i="12" s="1"/>
  <c r="S505" i="14"/>
  <c r="T505" i="14" s="1"/>
  <c r="B512" i="12" s="1"/>
  <c r="S506" i="14"/>
  <c r="T506" i="14" s="1"/>
  <c r="B513" i="12" s="1"/>
  <c r="S507" i="14"/>
  <c r="T507" i="14" s="1"/>
  <c r="B514" i="12" s="1"/>
  <c r="C17" i="14"/>
  <c r="G35" i="14"/>
  <c r="C74" i="14"/>
  <c r="G30" i="14"/>
  <c r="C70" i="14"/>
  <c r="G31" i="14"/>
  <c r="C71" i="14"/>
  <c r="G32" i="14"/>
  <c r="C72" i="14"/>
  <c r="G34" i="14"/>
  <c r="C73" i="14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C52" i="14"/>
  <c r="C53" i="14"/>
  <c r="C6" i="1" s="1"/>
  <c r="C54" i="14"/>
  <c r="B14" i="15"/>
  <c r="C14" i="15"/>
  <c r="C39" i="14"/>
  <c r="C80" i="14" s="1"/>
  <c r="G11" i="14" l="1"/>
  <c r="H11" i="14"/>
  <c r="I11" i="14"/>
  <c r="F12" i="14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C15" i="12"/>
  <c r="D15" i="12"/>
  <c r="E15" i="12"/>
  <c r="F15" i="12"/>
  <c r="G15" i="12"/>
  <c r="H15" i="12"/>
  <c r="I15" i="12"/>
  <c r="J15" i="12"/>
  <c r="K15" i="12"/>
  <c r="L15" i="12"/>
  <c r="M15" i="12"/>
  <c r="C41" i="14"/>
  <c r="C16" i="12"/>
  <c r="D16" i="12"/>
  <c r="E16" i="12"/>
  <c r="F16" i="12"/>
  <c r="G16" i="12"/>
  <c r="H16" i="12"/>
  <c r="I16" i="12"/>
  <c r="J16" i="12"/>
  <c r="K16" i="12"/>
  <c r="L16" i="12"/>
  <c r="M16" i="12"/>
  <c r="C17" i="12"/>
  <c r="D17" i="12"/>
  <c r="E17" i="12"/>
  <c r="F17" i="12"/>
  <c r="G17" i="12"/>
  <c r="H17" i="12"/>
  <c r="I17" i="12"/>
  <c r="J17" i="12"/>
  <c r="K17" i="12"/>
  <c r="L17" i="12"/>
  <c r="M17" i="12"/>
  <c r="C18" i="12"/>
  <c r="D18" i="12"/>
  <c r="E18" i="12"/>
  <c r="F18" i="12"/>
  <c r="G18" i="12"/>
  <c r="H18" i="12"/>
  <c r="I18" i="12"/>
  <c r="J18" i="12"/>
  <c r="K18" i="12"/>
  <c r="L18" i="12"/>
  <c r="M18" i="12"/>
  <c r="C19" i="12"/>
  <c r="D19" i="12"/>
  <c r="E19" i="12"/>
  <c r="F19" i="12"/>
  <c r="G19" i="12"/>
  <c r="H19" i="12"/>
  <c r="I19" i="12"/>
  <c r="J19" i="12"/>
  <c r="K19" i="12"/>
  <c r="L19" i="12"/>
  <c r="M19" i="12"/>
  <c r="C20" i="12"/>
  <c r="D20" i="12"/>
  <c r="E20" i="12"/>
  <c r="F20" i="12"/>
  <c r="G20" i="12"/>
  <c r="H20" i="12"/>
  <c r="I20" i="12"/>
  <c r="J20" i="12"/>
  <c r="K20" i="12"/>
  <c r="L20" i="12"/>
  <c r="M20" i="12"/>
  <c r="C21" i="12"/>
  <c r="D21" i="12"/>
  <c r="E21" i="12"/>
  <c r="F21" i="12"/>
  <c r="G21" i="12"/>
  <c r="H21" i="12"/>
  <c r="I21" i="12"/>
  <c r="J21" i="12"/>
  <c r="K21" i="12"/>
  <c r="L21" i="12"/>
  <c r="M21" i="12"/>
  <c r="C22" i="12"/>
  <c r="D22" i="12"/>
  <c r="E22" i="12"/>
  <c r="F22" i="12"/>
  <c r="G22" i="12"/>
  <c r="H22" i="12"/>
  <c r="I22" i="12"/>
  <c r="J22" i="12"/>
  <c r="K22" i="12"/>
  <c r="L22" i="12"/>
  <c r="M22" i="12"/>
  <c r="C23" i="12"/>
  <c r="D23" i="12"/>
  <c r="E23" i="12"/>
  <c r="F23" i="12"/>
  <c r="G23" i="12"/>
  <c r="H23" i="12"/>
  <c r="I23" i="12"/>
  <c r="J23" i="12"/>
  <c r="K23" i="12"/>
  <c r="L23" i="12"/>
  <c r="M23" i="12"/>
  <c r="C24" i="12"/>
  <c r="D24" i="12"/>
  <c r="E24" i="12"/>
  <c r="F24" i="12"/>
  <c r="G24" i="12"/>
  <c r="H24" i="12"/>
  <c r="I24" i="12"/>
  <c r="J24" i="12"/>
  <c r="K24" i="12"/>
  <c r="L24" i="12"/>
  <c r="M24" i="12"/>
  <c r="C25" i="12"/>
  <c r="D25" i="12"/>
  <c r="E25" i="12"/>
  <c r="F25" i="12"/>
  <c r="G25" i="12"/>
  <c r="H25" i="12"/>
  <c r="I25" i="12"/>
  <c r="J25" i="12"/>
  <c r="K25" i="12"/>
  <c r="L25" i="12"/>
  <c r="M25" i="12"/>
  <c r="C26" i="12"/>
  <c r="D26" i="12"/>
  <c r="E26" i="12"/>
  <c r="F26" i="12"/>
  <c r="G26" i="12"/>
  <c r="H26" i="12"/>
  <c r="I26" i="12"/>
  <c r="J26" i="12"/>
  <c r="K26" i="12"/>
  <c r="L26" i="12"/>
  <c r="M26" i="12"/>
  <c r="C27" i="12"/>
  <c r="D27" i="12"/>
  <c r="E27" i="12"/>
  <c r="F27" i="12"/>
  <c r="G27" i="12"/>
  <c r="H27" i="12"/>
  <c r="I27" i="12"/>
  <c r="J27" i="12"/>
  <c r="K27" i="12"/>
  <c r="L27" i="12"/>
  <c r="M27" i="12"/>
  <c r="C28" i="12"/>
  <c r="D28" i="12"/>
  <c r="E28" i="12"/>
  <c r="F28" i="12"/>
  <c r="G28" i="12"/>
  <c r="H28" i="12"/>
  <c r="I28" i="12"/>
  <c r="J28" i="12"/>
  <c r="K28" i="12"/>
  <c r="L28" i="12"/>
  <c r="M28" i="12"/>
  <c r="C29" i="12"/>
  <c r="D29" i="12"/>
  <c r="E29" i="12"/>
  <c r="F29" i="12"/>
  <c r="G29" i="12"/>
  <c r="H29" i="12"/>
  <c r="I29" i="12"/>
  <c r="J29" i="12"/>
  <c r="K29" i="12"/>
  <c r="L29" i="12"/>
  <c r="M29" i="12"/>
  <c r="C30" i="12"/>
  <c r="D30" i="12"/>
  <c r="E30" i="12"/>
  <c r="F30" i="12"/>
  <c r="G30" i="12"/>
  <c r="H30" i="12"/>
  <c r="I30" i="12"/>
  <c r="J30" i="12"/>
  <c r="K30" i="12"/>
  <c r="L30" i="12"/>
  <c r="M30" i="12"/>
  <c r="C31" i="12"/>
  <c r="D31" i="12"/>
  <c r="E31" i="12"/>
  <c r="F31" i="12"/>
  <c r="G31" i="12"/>
  <c r="H31" i="12"/>
  <c r="I31" i="12"/>
  <c r="J31" i="12"/>
  <c r="K31" i="12"/>
  <c r="L31" i="12"/>
  <c r="M31" i="12"/>
  <c r="C32" i="12"/>
  <c r="D32" i="12"/>
  <c r="E32" i="12"/>
  <c r="F32" i="12"/>
  <c r="G32" i="12"/>
  <c r="H32" i="12"/>
  <c r="I32" i="12"/>
  <c r="J32" i="12"/>
  <c r="K32" i="12"/>
  <c r="L32" i="12"/>
  <c r="M32" i="12"/>
  <c r="C33" i="12"/>
  <c r="D33" i="12"/>
  <c r="E33" i="12"/>
  <c r="F33" i="12"/>
  <c r="G33" i="12"/>
  <c r="H33" i="12"/>
  <c r="I33" i="12"/>
  <c r="J33" i="12"/>
  <c r="K33" i="12"/>
  <c r="L33" i="12"/>
  <c r="M33" i="12"/>
  <c r="C34" i="12"/>
  <c r="D34" i="12"/>
  <c r="E34" i="12"/>
  <c r="F34" i="12"/>
  <c r="G34" i="12"/>
  <c r="H34" i="12"/>
  <c r="I34" i="12"/>
  <c r="J34" i="12"/>
  <c r="K34" i="12"/>
  <c r="L34" i="12"/>
  <c r="M34" i="12"/>
  <c r="C35" i="12"/>
  <c r="D35" i="12"/>
  <c r="E35" i="12"/>
  <c r="F35" i="12"/>
  <c r="G35" i="12"/>
  <c r="H35" i="12"/>
  <c r="I35" i="12"/>
  <c r="J35" i="12"/>
  <c r="K35" i="12"/>
  <c r="L35" i="12"/>
  <c r="M35" i="12"/>
  <c r="C36" i="12"/>
  <c r="D36" i="12"/>
  <c r="E36" i="12"/>
  <c r="F36" i="12"/>
  <c r="G36" i="12"/>
  <c r="H36" i="12"/>
  <c r="I36" i="12"/>
  <c r="J36" i="12"/>
  <c r="K36" i="12"/>
  <c r="L36" i="12"/>
  <c r="M36" i="12"/>
  <c r="C37" i="12"/>
  <c r="D37" i="12"/>
  <c r="E37" i="12"/>
  <c r="F37" i="12"/>
  <c r="G37" i="12"/>
  <c r="H37" i="12"/>
  <c r="I37" i="12"/>
  <c r="J37" i="12"/>
  <c r="K37" i="12"/>
  <c r="L37" i="12"/>
  <c r="M37" i="12"/>
  <c r="C38" i="12"/>
  <c r="D38" i="12"/>
  <c r="E38" i="12"/>
  <c r="F38" i="12"/>
  <c r="G38" i="12"/>
  <c r="H38" i="12"/>
  <c r="I38" i="12"/>
  <c r="J38" i="12"/>
  <c r="K38" i="12"/>
  <c r="L38" i="12"/>
  <c r="M38" i="12"/>
  <c r="C39" i="12"/>
  <c r="D39" i="12"/>
  <c r="E39" i="12"/>
  <c r="F39" i="12"/>
  <c r="G39" i="12"/>
  <c r="H39" i="12"/>
  <c r="I39" i="12"/>
  <c r="J39" i="12"/>
  <c r="K39" i="12"/>
  <c r="L39" i="12"/>
  <c r="M39" i="12"/>
  <c r="C40" i="12"/>
  <c r="D40" i="12"/>
  <c r="E40" i="12"/>
  <c r="F40" i="12"/>
  <c r="G40" i="12"/>
  <c r="H40" i="12"/>
  <c r="I40" i="12"/>
  <c r="J40" i="12"/>
  <c r="K40" i="12"/>
  <c r="L40" i="12"/>
  <c r="M40" i="12"/>
  <c r="C41" i="12"/>
  <c r="D41" i="12"/>
  <c r="E41" i="12"/>
  <c r="F41" i="12"/>
  <c r="G41" i="12"/>
  <c r="H41" i="12"/>
  <c r="I41" i="12"/>
  <c r="J41" i="12"/>
  <c r="K41" i="12"/>
  <c r="L41" i="12"/>
  <c r="M41" i="12"/>
  <c r="C42" i="12"/>
  <c r="D42" i="12"/>
  <c r="E42" i="12"/>
  <c r="F42" i="12"/>
  <c r="G42" i="12"/>
  <c r="H42" i="12"/>
  <c r="I42" i="12"/>
  <c r="J42" i="12"/>
  <c r="K42" i="12"/>
  <c r="L42" i="12"/>
  <c r="M42" i="12"/>
  <c r="C43" i="12"/>
  <c r="D43" i="12"/>
  <c r="E43" i="12"/>
  <c r="F43" i="12"/>
  <c r="G43" i="12"/>
  <c r="H43" i="12"/>
  <c r="I43" i="12"/>
  <c r="J43" i="12"/>
  <c r="K43" i="12"/>
  <c r="L43" i="12"/>
  <c r="M43" i="12"/>
  <c r="C44" i="12"/>
  <c r="D44" i="12"/>
  <c r="E44" i="12"/>
  <c r="F44" i="12"/>
  <c r="G44" i="12"/>
  <c r="H44" i="12"/>
  <c r="I44" i="12"/>
  <c r="J44" i="12"/>
  <c r="K44" i="12"/>
  <c r="L44" i="12"/>
  <c r="M44" i="12"/>
  <c r="C45" i="12"/>
  <c r="D45" i="12"/>
  <c r="E45" i="12"/>
  <c r="F45" i="12"/>
  <c r="G45" i="12"/>
  <c r="H45" i="12"/>
  <c r="I45" i="12"/>
  <c r="J45" i="12"/>
  <c r="K45" i="12"/>
  <c r="L45" i="12"/>
  <c r="M45" i="12"/>
  <c r="C46" i="12"/>
  <c r="D46" i="12"/>
  <c r="E46" i="12"/>
  <c r="F46" i="12"/>
  <c r="G46" i="12"/>
  <c r="H46" i="12"/>
  <c r="I46" i="12"/>
  <c r="J46" i="12"/>
  <c r="K46" i="12"/>
  <c r="L46" i="12"/>
  <c r="M46" i="12"/>
  <c r="C47" i="12"/>
  <c r="D47" i="12"/>
  <c r="E47" i="12"/>
  <c r="F47" i="12"/>
  <c r="G47" i="12"/>
  <c r="H47" i="12"/>
  <c r="I47" i="12"/>
  <c r="J47" i="12"/>
  <c r="K47" i="12"/>
  <c r="L47" i="12"/>
  <c r="M47" i="12"/>
  <c r="C48" i="12"/>
  <c r="D48" i="12"/>
  <c r="E48" i="12"/>
  <c r="F48" i="12"/>
  <c r="G48" i="12"/>
  <c r="H48" i="12"/>
  <c r="I48" i="12"/>
  <c r="J48" i="12"/>
  <c r="K48" i="12"/>
  <c r="L48" i="12"/>
  <c r="M48" i="12"/>
  <c r="C49" i="12"/>
  <c r="D49" i="12"/>
  <c r="E49" i="12"/>
  <c r="F49" i="12"/>
  <c r="G49" i="12"/>
  <c r="H49" i="12"/>
  <c r="I49" i="12"/>
  <c r="J49" i="12"/>
  <c r="K49" i="12"/>
  <c r="L49" i="12"/>
  <c r="M49" i="12"/>
  <c r="C50" i="12"/>
  <c r="D50" i="12"/>
  <c r="E50" i="12"/>
  <c r="F50" i="12"/>
  <c r="G50" i="12"/>
  <c r="H50" i="12"/>
  <c r="I50" i="12"/>
  <c r="J50" i="12"/>
  <c r="K50" i="12"/>
  <c r="L50" i="12"/>
  <c r="M50" i="12"/>
  <c r="C51" i="12"/>
  <c r="D51" i="12"/>
  <c r="E51" i="12"/>
  <c r="F51" i="12"/>
  <c r="G51" i="12"/>
  <c r="H51" i="12"/>
  <c r="I51" i="12"/>
  <c r="J51" i="12"/>
  <c r="K51" i="12"/>
  <c r="L51" i="12"/>
  <c r="M51" i="12"/>
  <c r="C52" i="12"/>
  <c r="D52" i="12"/>
  <c r="E52" i="12"/>
  <c r="F52" i="12"/>
  <c r="G52" i="12"/>
  <c r="H52" i="12"/>
  <c r="I52" i="12"/>
  <c r="J52" i="12"/>
  <c r="K52" i="12"/>
  <c r="L52" i="12"/>
  <c r="M52" i="12"/>
  <c r="C53" i="12"/>
  <c r="D53" i="12"/>
  <c r="E53" i="12"/>
  <c r="F53" i="12"/>
  <c r="G53" i="12"/>
  <c r="H53" i="12"/>
  <c r="I53" i="12"/>
  <c r="J53" i="12"/>
  <c r="K53" i="12"/>
  <c r="L53" i="12"/>
  <c r="M53" i="12"/>
  <c r="C54" i="12"/>
  <c r="D54" i="12"/>
  <c r="E54" i="12"/>
  <c r="F54" i="12"/>
  <c r="G54" i="12"/>
  <c r="H54" i="12"/>
  <c r="I54" i="12"/>
  <c r="J54" i="12"/>
  <c r="K54" i="12"/>
  <c r="L54" i="12"/>
  <c r="M54" i="12"/>
  <c r="C55" i="12"/>
  <c r="D55" i="12"/>
  <c r="E55" i="12"/>
  <c r="F55" i="12"/>
  <c r="G55" i="12"/>
  <c r="H55" i="12"/>
  <c r="I55" i="12"/>
  <c r="J55" i="12"/>
  <c r="K55" i="12"/>
  <c r="L55" i="12"/>
  <c r="M55" i="12"/>
  <c r="C56" i="12"/>
  <c r="D56" i="12"/>
  <c r="E56" i="12"/>
  <c r="F56" i="12"/>
  <c r="G56" i="12"/>
  <c r="H56" i="12"/>
  <c r="I56" i="12"/>
  <c r="J56" i="12"/>
  <c r="K56" i="12"/>
  <c r="L56" i="12"/>
  <c r="M56" i="12"/>
  <c r="C57" i="12"/>
  <c r="D57" i="12"/>
  <c r="E57" i="12"/>
  <c r="F57" i="12"/>
  <c r="G57" i="12"/>
  <c r="H57" i="12"/>
  <c r="I57" i="12"/>
  <c r="J57" i="12"/>
  <c r="K57" i="12"/>
  <c r="L57" i="12"/>
  <c r="M57" i="12"/>
  <c r="C58" i="12"/>
  <c r="D58" i="12"/>
  <c r="E58" i="12"/>
  <c r="F58" i="12"/>
  <c r="G58" i="12"/>
  <c r="H58" i="12"/>
  <c r="I58" i="12"/>
  <c r="J58" i="12"/>
  <c r="K58" i="12"/>
  <c r="L58" i="12"/>
  <c r="M58" i="12"/>
  <c r="C59" i="12"/>
  <c r="D59" i="12"/>
  <c r="E59" i="12"/>
  <c r="F59" i="12"/>
  <c r="G59" i="12"/>
  <c r="H59" i="12"/>
  <c r="I59" i="12"/>
  <c r="J59" i="12"/>
  <c r="K59" i="12"/>
  <c r="L59" i="12"/>
  <c r="M59" i="12"/>
  <c r="C60" i="12"/>
  <c r="D60" i="12"/>
  <c r="E60" i="12"/>
  <c r="F60" i="12"/>
  <c r="G60" i="12"/>
  <c r="H60" i="12"/>
  <c r="I60" i="12"/>
  <c r="J60" i="12"/>
  <c r="K60" i="12"/>
  <c r="L60" i="12"/>
  <c r="M60" i="12"/>
  <c r="C61" i="12"/>
  <c r="D61" i="12"/>
  <c r="E61" i="12"/>
  <c r="F61" i="12"/>
  <c r="G61" i="12"/>
  <c r="H61" i="12"/>
  <c r="I61" i="12"/>
  <c r="J61" i="12"/>
  <c r="K61" i="12"/>
  <c r="L61" i="12"/>
  <c r="M61" i="12"/>
  <c r="C62" i="12"/>
  <c r="D62" i="12"/>
  <c r="E62" i="12"/>
  <c r="F62" i="12"/>
  <c r="G62" i="12"/>
  <c r="H62" i="12"/>
  <c r="I62" i="12"/>
  <c r="J62" i="12"/>
  <c r="K62" i="12"/>
  <c r="L62" i="12"/>
  <c r="M62" i="12"/>
  <c r="C63" i="12"/>
  <c r="D63" i="12"/>
  <c r="E63" i="12"/>
  <c r="F63" i="12"/>
  <c r="G63" i="12"/>
  <c r="H63" i="12"/>
  <c r="I63" i="12"/>
  <c r="J63" i="12"/>
  <c r="K63" i="12"/>
  <c r="L63" i="12"/>
  <c r="M63" i="12"/>
  <c r="C64" i="12"/>
  <c r="D64" i="12"/>
  <c r="E64" i="12"/>
  <c r="F64" i="12"/>
  <c r="G64" i="12"/>
  <c r="H64" i="12"/>
  <c r="I64" i="12"/>
  <c r="J64" i="12"/>
  <c r="K64" i="12"/>
  <c r="L64" i="12"/>
  <c r="M64" i="12"/>
  <c r="C65" i="12"/>
  <c r="D65" i="12"/>
  <c r="E65" i="12"/>
  <c r="F65" i="12"/>
  <c r="G65" i="12"/>
  <c r="H65" i="12"/>
  <c r="I65" i="12"/>
  <c r="J65" i="12"/>
  <c r="K65" i="12"/>
  <c r="L65" i="12"/>
  <c r="M65" i="12"/>
  <c r="C66" i="12"/>
  <c r="D66" i="12"/>
  <c r="E66" i="12"/>
  <c r="F66" i="12"/>
  <c r="G66" i="12"/>
  <c r="H66" i="12"/>
  <c r="I66" i="12"/>
  <c r="J66" i="12"/>
  <c r="K66" i="12"/>
  <c r="L66" i="12"/>
  <c r="M66" i="12"/>
  <c r="C67" i="12"/>
  <c r="D67" i="12"/>
  <c r="E67" i="12"/>
  <c r="F67" i="12"/>
  <c r="G67" i="12"/>
  <c r="H67" i="12"/>
  <c r="I67" i="12"/>
  <c r="J67" i="12"/>
  <c r="K67" i="12"/>
  <c r="L67" i="12"/>
  <c r="M67" i="12"/>
  <c r="C68" i="12"/>
  <c r="D68" i="12"/>
  <c r="E68" i="12"/>
  <c r="F68" i="12"/>
  <c r="G68" i="12"/>
  <c r="H68" i="12"/>
  <c r="I68" i="12"/>
  <c r="J68" i="12"/>
  <c r="K68" i="12"/>
  <c r="L68" i="12"/>
  <c r="M68" i="12"/>
  <c r="C69" i="12"/>
  <c r="D69" i="12"/>
  <c r="E69" i="12"/>
  <c r="F69" i="12"/>
  <c r="G69" i="12"/>
  <c r="H69" i="12"/>
  <c r="I69" i="12"/>
  <c r="J69" i="12"/>
  <c r="K69" i="12"/>
  <c r="L69" i="12"/>
  <c r="M69" i="12"/>
  <c r="C70" i="12"/>
  <c r="D70" i="12"/>
  <c r="E70" i="12"/>
  <c r="F70" i="12"/>
  <c r="G70" i="12"/>
  <c r="H70" i="12"/>
  <c r="I70" i="12"/>
  <c r="J70" i="12"/>
  <c r="K70" i="12"/>
  <c r="L70" i="12"/>
  <c r="M70" i="12"/>
  <c r="C71" i="12"/>
  <c r="D71" i="12"/>
  <c r="E71" i="12"/>
  <c r="F71" i="12"/>
  <c r="G71" i="12"/>
  <c r="H71" i="12"/>
  <c r="I71" i="12"/>
  <c r="J71" i="12"/>
  <c r="K71" i="12"/>
  <c r="L71" i="12"/>
  <c r="M71" i="12"/>
  <c r="C72" i="12"/>
  <c r="D72" i="12"/>
  <c r="E72" i="12"/>
  <c r="F72" i="12"/>
  <c r="G72" i="12"/>
  <c r="H72" i="12"/>
  <c r="I72" i="12"/>
  <c r="J72" i="12"/>
  <c r="K72" i="12"/>
  <c r="L72" i="12"/>
  <c r="M72" i="12"/>
  <c r="C73" i="12"/>
  <c r="D73" i="12"/>
  <c r="E73" i="12"/>
  <c r="F73" i="12"/>
  <c r="G73" i="12"/>
  <c r="H73" i="12"/>
  <c r="I73" i="12"/>
  <c r="J73" i="12"/>
  <c r="K73" i="12"/>
  <c r="L73" i="12"/>
  <c r="M73" i="12"/>
  <c r="C74" i="12"/>
  <c r="D74" i="12"/>
  <c r="E74" i="12"/>
  <c r="F74" i="12"/>
  <c r="G74" i="12"/>
  <c r="H74" i="12"/>
  <c r="I74" i="12"/>
  <c r="J74" i="12"/>
  <c r="K74" i="12"/>
  <c r="L74" i="12"/>
  <c r="M74" i="12"/>
  <c r="C75" i="12"/>
  <c r="D75" i="12"/>
  <c r="E75" i="12"/>
  <c r="F75" i="12"/>
  <c r="G75" i="12"/>
  <c r="H75" i="12"/>
  <c r="I75" i="12"/>
  <c r="J75" i="12"/>
  <c r="K75" i="12"/>
  <c r="L75" i="12"/>
  <c r="M75" i="12"/>
  <c r="C76" i="12"/>
  <c r="D76" i="12"/>
  <c r="E76" i="12"/>
  <c r="F76" i="12"/>
  <c r="G76" i="12"/>
  <c r="H76" i="12"/>
  <c r="I76" i="12"/>
  <c r="J76" i="12"/>
  <c r="K76" i="12"/>
  <c r="L76" i="12"/>
  <c r="M76" i="12"/>
  <c r="C77" i="12"/>
  <c r="D77" i="12"/>
  <c r="E77" i="12"/>
  <c r="F77" i="12"/>
  <c r="G77" i="12"/>
  <c r="H77" i="12"/>
  <c r="I77" i="12"/>
  <c r="J77" i="12"/>
  <c r="K77" i="12"/>
  <c r="L77" i="12"/>
  <c r="M77" i="12"/>
  <c r="C78" i="12"/>
  <c r="D78" i="12"/>
  <c r="E78" i="12"/>
  <c r="F78" i="12"/>
  <c r="G78" i="12"/>
  <c r="H78" i="12"/>
  <c r="I78" i="12"/>
  <c r="J78" i="12"/>
  <c r="K78" i="12"/>
  <c r="L78" i="12"/>
  <c r="M78" i="12"/>
  <c r="C79" i="12"/>
  <c r="D79" i="12"/>
  <c r="E79" i="12"/>
  <c r="F79" i="12"/>
  <c r="G79" i="12"/>
  <c r="H79" i="12"/>
  <c r="I79" i="12"/>
  <c r="J79" i="12"/>
  <c r="K79" i="12"/>
  <c r="L79" i="12"/>
  <c r="M79" i="12"/>
  <c r="C80" i="12"/>
  <c r="D80" i="12"/>
  <c r="E80" i="12"/>
  <c r="F80" i="12"/>
  <c r="G80" i="12"/>
  <c r="H80" i="12"/>
  <c r="I80" i="12"/>
  <c r="J80" i="12"/>
  <c r="K80" i="12"/>
  <c r="L80" i="12"/>
  <c r="M80" i="12"/>
  <c r="C81" i="12"/>
  <c r="D81" i="12"/>
  <c r="E81" i="12"/>
  <c r="F81" i="12"/>
  <c r="G81" i="12"/>
  <c r="H81" i="12"/>
  <c r="I81" i="12"/>
  <c r="J81" i="12"/>
  <c r="K81" i="12"/>
  <c r="L81" i="12"/>
  <c r="M81" i="12"/>
  <c r="C82" i="12"/>
  <c r="D82" i="12"/>
  <c r="E82" i="12"/>
  <c r="F82" i="12"/>
  <c r="G82" i="12"/>
  <c r="H82" i="12"/>
  <c r="I82" i="12"/>
  <c r="J82" i="12"/>
  <c r="K82" i="12"/>
  <c r="L82" i="12"/>
  <c r="M82" i="12"/>
  <c r="C83" i="12"/>
  <c r="D83" i="12"/>
  <c r="E83" i="12"/>
  <c r="F83" i="12"/>
  <c r="G83" i="12"/>
  <c r="H83" i="12"/>
  <c r="I83" i="12"/>
  <c r="J83" i="12"/>
  <c r="K83" i="12"/>
  <c r="L83" i="12"/>
  <c r="M83" i="12"/>
  <c r="C84" i="12"/>
  <c r="D84" i="12"/>
  <c r="E84" i="12"/>
  <c r="F84" i="12"/>
  <c r="G84" i="12"/>
  <c r="H84" i="12"/>
  <c r="I84" i="12"/>
  <c r="J84" i="12"/>
  <c r="K84" i="12"/>
  <c r="L84" i="12"/>
  <c r="M84" i="12"/>
  <c r="C85" i="12"/>
  <c r="D85" i="12"/>
  <c r="E85" i="12"/>
  <c r="F85" i="12"/>
  <c r="G85" i="12"/>
  <c r="H85" i="12"/>
  <c r="I85" i="12"/>
  <c r="J85" i="12"/>
  <c r="K85" i="12"/>
  <c r="L85" i="12"/>
  <c r="M85" i="12"/>
  <c r="C86" i="12"/>
  <c r="D86" i="12"/>
  <c r="E86" i="12"/>
  <c r="F86" i="12"/>
  <c r="G86" i="12"/>
  <c r="H86" i="12"/>
  <c r="I86" i="12"/>
  <c r="J86" i="12"/>
  <c r="K86" i="12"/>
  <c r="L86" i="12"/>
  <c r="M86" i="12"/>
  <c r="C87" i="12"/>
  <c r="D87" i="12"/>
  <c r="E87" i="12"/>
  <c r="F87" i="12"/>
  <c r="G87" i="12"/>
  <c r="H87" i="12"/>
  <c r="I87" i="12"/>
  <c r="J87" i="12"/>
  <c r="K87" i="12"/>
  <c r="L87" i="12"/>
  <c r="M87" i="12"/>
  <c r="C88" i="12"/>
  <c r="D88" i="12"/>
  <c r="E88" i="12"/>
  <c r="F88" i="12"/>
  <c r="G88" i="12"/>
  <c r="H88" i="12"/>
  <c r="I88" i="12"/>
  <c r="J88" i="12"/>
  <c r="K88" i="12"/>
  <c r="L88" i="12"/>
  <c r="M88" i="12"/>
  <c r="C89" i="12"/>
  <c r="D89" i="12"/>
  <c r="E89" i="12"/>
  <c r="F89" i="12"/>
  <c r="G89" i="12"/>
  <c r="H89" i="12"/>
  <c r="I89" i="12"/>
  <c r="J89" i="12"/>
  <c r="K89" i="12"/>
  <c r="L89" i="12"/>
  <c r="M89" i="12"/>
  <c r="C90" i="12"/>
  <c r="D90" i="12"/>
  <c r="E90" i="12"/>
  <c r="F90" i="12"/>
  <c r="G90" i="12"/>
  <c r="H90" i="12"/>
  <c r="I90" i="12"/>
  <c r="J90" i="12"/>
  <c r="K90" i="12"/>
  <c r="L90" i="12"/>
  <c r="M90" i="12"/>
  <c r="C91" i="12"/>
  <c r="D91" i="12"/>
  <c r="E91" i="12"/>
  <c r="F91" i="12"/>
  <c r="G91" i="12"/>
  <c r="H91" i="12"/>
  <c r="I91" i="12"/>
  <c r="J91" i="12"/>
  <c r="K91" i="12"/>
  <c r="L91" i="12"/>
  <c r="M91" i="12"/>
  <c r="C92" i="12"/>
  <c r="D92" i="12"/>
  <c r="E92" i="12"/>
  <c r="F92" i="12"/>
  <c r="G92" i="12"/>
  <c r="H92" i="12"/>
  <c r="I92" i="12"/>
  <c r="J92" i="12"/>
  <c r="K92" i="12"/>
  <c r="L92" i="12"/>
  <c r="M92" i="12"/>
  <c r="C93" i="12"/>
  <c r="D93" i="12"/>
  <c r="E93" i="12"/>
  <c r="F93" i="12"/>
  <c r="G93" i="12"/>
  <c r="H93" i="12"/>
  <c r="I93" i="12"/>
  <c r="J93" i="12"/>
  <c r="K93" i="12"/>
  <c r="L93" i="12"/>
  <c r="M93" i="12"/>
  <c r="C94" i="12"/>
  <c r="D94" i="12"/>
  <c r="E94" i="12"/>
  <c r="F94" i="12"/>
  <c r="G94" i="12"/>
  <c r="H94" i="12"/>
  <c r="I94" i="12"/>
  <c r="J94" i="12"/>
  <c r="K94" i="12"/>
  <c r="L94" i="12"/>
  <c r="M94" i="12"/>
  <c r="C95" i="12"/>
  <c r="D95" i="12"/>
  <c r="E95" i="12"/>
  <c r="F95" i="12"/>
  <c r="G95" i="12"/>
  <c r="H95" i="12"/>
  <c r="I95" i="12"/>
  <c r="J95" i="12"/>
  <c r="K95" i="12"/>
  <c r="L95" i="12"/>
  <c r="M95" i="12"/>
  <c r="C96" i="12"/>
  <c r="D96" i="12"/>
  <c r="E96" i="12"/>
  <c r="F96" i="12"/>
  <c r="G96" i="12"/>
  <c r="H96" i="12"/>
  <c r="I96" i="12"/>
  <c r="J96" i="12"/>
  <c r="K96" i="12"/>
  <c r="L96" i="12"/>
  <c r="M96" i="12"/>
  <c r="C97" i="12"/>
  <c r="D97" i="12"/>
  <c r="E97" i="12"/>
  <c r="F97" i="12"/>
  <c r="G97" i="12"/>
  <c r="H97" i="12"/>
  <c r="I97" i="12"/>
  <c r="J97" i="12"/>
  <c r="K97" i="12"/>
  <c r="L97" i="12"/>
  <c r="M97" i="12"/>
  <c r="C98" i="12"/>
  <c r="D98" i="12"/>
  <c r="E98" i="12"/>
  <c r="F98" i="12"/>
  <c r="G98" i="12"/>
  <c r="H98" i="12"/>
  <c r="I98" i="12"/>
  <c r="J98" i="12"/>
  <c r="K98" i="12"/>
  <c r="L98" i="12"/>
  <c r="M98" i="12"/>
  <c r="C99" i="12"/>
  <c r="D99" i="12"/>
  <c r="E99" i="12"/>
  <c r="F99" i="12"/>
  <c r="G99" i="12"/>
  <c r="H99" i="12"/>
  <c r="I99" i="12"/>
  <c r="J99" i="12"/>
  <c r="K99" i="12"/>
  <c r="L99" i="12"/>
  <c r="M99" i="12"/>
  <c r="C100" i="12"/>
  <c r="D100" i="12"/>
  <c r="E100" i="12"/>
  <c r="F100" i="12"/>
  <c r="G100" i="12"/>
  <c r="H100" i="12"/>
  <c r="I100" i="12"/>
  <c r="J100" i="12"/>
  <c r="K100" i="12"/>
  <c r="L100" i="12"/>
  <c r="M100" i="12"/>
  <c r="C101" i="12"/>
  <c r="D101" i="12"/>
  <c r="E101" i="12"/>
  <c r="F101" i="12"/>
  <c r="G101" i="12"/>
  <c r="H101" i="12"/>
  <c r="I101" i="12"/>
  <c r="J101" i="12"/>
  <c r="K101" i="12"/>
  <c r="L101" i="12"/>
  <c r="M101" i="12"/>
  <c r="C102" i="12"/>
  <c r="D102" i="12"/>
  <c r="E102" i="12"/>
  <c r="F102" i="12"/>
  <c r="G102" i="12"/>
  <c r="H102" i="12"/>
  <c r="I102" i="12"/>
  <c r="J102" i="12"/>
  <c r="K102" i="12"/>
  <c r="L102" i="12"/>
  <c r="M102" i="12"/>
  <c r="C103" i="12"/>
  <c r="D103" i="12"/>
  <c r="E103" i="12"/>
  <c r="F103" i="12"/>
  <c r="G103" i="12"/>
  <c r="H103" i="12"/>
  <c r="I103" i="12"/>
  <c r="J103" i="12"/>
  <c r="K103" i="12"/>
  <c r="L103" i="12"/>
  <c r="M103" i="12"/>
  <c r="C104" i="12"/>
  <c r="D104" i="12"/>
  <c r="E104" i="12"/>
  <c r="F104" i="12"/>
  <c r="G104" i="12"/>
  <c r="H104" i="12"/>
  <c r="I104" i="12"/>
  <c r="J104" i="12"/>
  <c r="K104" i="12"/>
  <c r="L104" i="12"/>
  <c r="M104" i="12"/>
  <c r="C105" i="12"/>
  <c r="D105" i="12"/>
  <c r="E105" i="12"/>
  <c r="F105" i="12"/>
  <c r="G105" i="12"/>
  <c r="H105" i="12"/>
  <c r="I105" i="12"/>
  <c r="J105" i="12"/>
  <c r="K105" i="12"/>
  <c r="L105" i="12"/>
  <c r="M105" i="12"/>
  <c r="C106" i="12"/>
  <c r="D106" i="12"/>
  <c r="E106" i="12"/>
  <c r="F106" i="12"/>
  <c r="G106" i="12"/>
  <c r="H106" i="12"/>
  <c r="I106" i="12"/>
  <c r="J106" i="12"/>
  <c r="K106" i="12"/>
  <c r="L106" i="12"/>
  <c r="M106" i="12"/>
  <c r="C107" i="12"/>
  <c r="D107" i="12"/>
  <c r="E107" i="12"/>
  <c r="F107" i="12"/>
  <c r="G107" i="12"/>
  <c r="H107" i="12"/>
  <c r="I107" i="12"/>
  <c r="J107" i="12"/>
  <c r="K107" i="12"/>
  <c r="L107" i="12"/>
  <c r="M107" i="12"/>
  <c r="C108" i="12"/>
  <c r="D108" i="12"/>
  <c r="E108" i="12"/>
  <c r="F108" i="12"/>
  <c r="G108" i="12"/>
  <c r="H108" i="12"/>
  <c r="I108" i="12"/>
  <c r="J108" i="12"/>
  <c r="K108" i="12"/>
  <c r="L108" i="12"/>
  <c r="M108" i="12"/>
  <c r="C109" i="12"/>
  <c r="D109" i="12"/>
  <c r="E109" i="12"/>
  <c r="F109" i="12"/>
  <c r="G109" i="12"/>
  <c r="H109" i="12"/>
  <c r="I109" i="12"/>
  <c r="J109" i="12"/>
  <c r="K109" i="12"/>
  <c r="L109" i="12"/>
  <c r="M109" i="12"/>
  <c r="C110" i="12"/>
  <c r="D110" i="12"/>
  <c r="E110" i="12"/>
  <c r="F110" i="12"/>
  <c r="G110" i="12"/>
  <c r="H110" i="12"/>
  <c r="I110" i="12"/>
  <c r="J110" i="12"/>
  <c r="K110" i="12"/>
  <c r="L110" i="12"/>
  <c r="M110" i="12"/>
  <c r="C111" i="12"/>
  <c r="D111" i="12"/>
  <c r="E111" i="12"/>
  <c r="F111" i="12"/>
  <c r="G111" i="12"/>
  <c r="H111" i="12"/>
  <c r="I111" i="12"/>
  <c r="J111" i="12"/>
  <c r="K111" i="12"/>
  <c r="L111" i="12"/>
  <c r="M111" i="12"/>
  <c r="C112" i="12"/>
  <c r="D112" i="12"/>
  <c r="E112" i="12"/>
  <c r="F112" i="12"/>
  <c r="G112" i="12"/>
  <c r="H112" i="12"/>
  <c r="I112" i="12"/>
  <c r="J112" i="12"/>
  <c r="K112" i="12"/>
  <c r="L112" i="12"/>
  <c r="M112" i="12"/>
  <c r="C113" i="12"/>
  <c r="D113" i="12"/>
  <c r="E113" i="12"/>
  <c r="F113" i="12"/>
  <c r="G113" i="12"/>
  <c r="H113" i="12"/>
  <c r="I113" i="12"/>
  <c r="J113" i="12"/>
  <c r="K113" i="12"/>
  <c r="L113" i="12"/>
  <c r="M113" i="12"/>
  <c r="C114" i="12"/>
  <c r="D114" i="12"/>
  <c r="E114" i="12"/>
  <c r="F114" i="12"/>
  <c r="G114" i="12"/>
  <c r="H114" i="12"/>
  <c r="I114" i="12"/>
  <c r="J114" i="12"/>
  <c r="K114" i="12"/>
  <c r="L114" i="12"/>
  <c r="M114" i="12"/>
  <c r="C115" i="12"/>
  <c r="D115" i="12"/>
  <c r="E115" i="12"/>
  <c r="F115" i="12"/>
  <c r="G115" i="12"/>
  <c r="H115" i="12"/>
  <c r="I115" i="12"/>
  <c r="J115" i="12"/>
  <c r="K115" i="12"/>
  <c r="L115" i="12"/>
  <c r="M115" i="12"/>
  <c r="C116" i="12"/>
  <c r="D116" i="12"/>
  <c r="E116" i="12"/>
  <c r="F116" i="12"/>
  <c r="G116" i="12"/>
  <c r="H116" i="12"/>
  <c r="I116" i="12"/>
  <c r="J116" i="12"/>
  <c r="K116" i="12"/>
  <c r="L116" i="12"/>
  <c r="M116" i="12"/>
  <c r="C117" i="12"/>
  <c r="D117" i="12"/>
  <c r="E117" i="12"/>
  <c r="F117" i="12"/>
  <c r="G117" i="12"/>
  <c r="H117" i="12"/>
  <c r="I117" i="12"/>
  <c r="J117" i="12"/>
  <c r="K117" i="12"/>
  <c r="L117" i="12"/>
  <c r="M117" i="12"/>
  <c r="C118" i="12"/>
  <c r="D118" i="12"/>
  <c r="E118" i="12"/>
  <c r="F118" i="12"/>
  <c r="G118" i="12"/>
  <c r="H118" i="12"/>
  <c r="I118" i="12"/>
  <c r="J118" i="12"/>
  <c r="K118" i="12"/>
  <c r="L118" i="12"/>
  <c r="M118" i="12"/>
  <c r="C119" i="12"/>
  <c r="D119" i="12"/>
  <c r="E119" i="12"/>
  <c r="F119" i="12"/>
  <c r="G119" i="12"/>
  <c r="H119" i="12"/>
  <c r="I119" i="12"/>
  <c r="J119" i="12"/>
  <c r="K119" i="12"/>
  <c r="L119" i="12"/>
  <c r="M119" i="12"/>
  <c r="C120" i="12"/>
  <c r="D120" i="12"/>
  <c r="E120" i="12"/>
  <c r="F120" i="12"/>
  <c r="G120" i="12"/>
  <c r="H120" i="12"/>
  <c r="I120" i="12"/>
  <c r="J120" i="12"/>
  <c r="K120" i="12"/>
  <c r="L120" i="12"/>
  <c r="M120" i="12"/>
  <c r="C121" i="12"/>
  <c r="D121" i="12"/>
  <c r="E121" i="12"/>
  <c r="F121" i="12"/>
  <c r="G121" i="12"/>
  <c r="H121" i="12"/>
  <c r="I121" i="12"/>
  <c r="J121" i="12"/>
  <c r="K121" i="12"/>
  <c r="L121" i="12"/>
  <c r="M121" i="12"/>
  <c r="C122" i="12"/>
  <c r="D122" i="12"/>
  <c r="E122" i="12"/>
  <c r="F122" i="12"/>
  <c r="G122" i="12"/>
  <c r="H122" i="12"/>
  <c r="I122" i="12"/>
  <c r="J122" i="12"/>
  <c r="K122" i="12"/>
  <c r="L122" i="12"/>
  <c r="M122" i="12"/>
  <c r="C123" i="12"/>
  <c r="D123" i="12"/>
  <c r="E123" i="12"/>
  <c r="F123" i="12"/>
  <c r="G123" i="12"/>
  <c r="H123" i="12"/>
  <c r="I123" i="12"/>
  <c r="J123" i="12"/>
  <c r="K123" i="12"/>
  <c r="L123" i="12"/>
  <c r="M123" i="12"/>
  <c r="C124" i="12"/>
  <c r="D124" i="12"/>
  <c r="E124" i="12"/>
  <c r="F124" i="12"/>
  <c r="G124" i="12"/>
  <c r="H124" i="12"/>
  <c r="I124" i="12"/>
  <c r="J124" i="12"/>
  <c r="K124" i="12"/>
  <c r="L124" i="12"/>
  <c r="M124" i="12"/>
  <c r="C125" i="12"/>
  <c r="D125" i="12"/>
  <c r="E125" i="12"/>
  <c r="F125" i="12"/>
  <c r="G125" i="12"/>
  <c r="H125" i="12"/>
  <c r="I125" i="12"/>
  <c r="J125" i="12"/>
  <c r="K125" i="12"/>
  <c r="L125" i="12"/>
  <c r="M125" i="12"/>
  <c r="C126" i="12"/>
  <c r="D126" i="12"/>
  <c r="E126" i="12"/>
  <c r="F126" i="12"/>
  <c r="G126" i="12"/>
  <c r="H126" i="12"/>
  <c r="I126" i="12"/>
  <c r="J126" i="12"/>
  <c r="K126" i="12"/>
  <c r="L126" i="12"/>
  <c r="M126" i="12"/>
  <c r="C127" i="12"/>
  <c r="D127" i="12"/>
  <c r="E127" i="12"/>
  <c r="F127" i="12"/>
  <c r="G127" i="12"/>
  <c r="H127" i="12"/>
  <c r="I127" i="12"/>
  <c r="J127" i="12"/>
  <c r="K127" i="12"/>
  <c r="L127" i="12"/>
  <c r="M127" i="12"/>
  <c r="C128" i="12"/>
  <c r="D128" i="12"/>
  <c r="E128" i="12"/>
  <c r="F128" i="12"/>
  <c r="G128" i="12"/>
  <c r="H128" i="12"/>
  <c r="I128" i="12"/>
  <c r="J128" i="12"/>
  <c r="K128" i="12"/>
  <c r="L128" i="12"/>
  <c r="M128" i="12"/>
  <c r="C129" i="12"/>
  <c r="D129" i="12"/>
  <c r="E129" i="12"/>
  <c r="F129" i="12"/>
  <c r="G129" i="12"/>
  <c r="H129" i="12"/>
  <c r="I129" i="12"/>
  <c r="J129" i="12"/>
  <c r="K129" i="12"/>
  <c r="L129" i="12"/>
  <c r="M129" i="12"/>
  <c r="C130" i="12"/>
  <c r="D130" i="12"/>
  <c r="E130" i="12"/>
  <c r="F130" i="12"/>
  <c r="G130" i="12"/>
  <c r="H130" i="12"/>
  <c r="I130" i="12"/>
  <c r="J130" i="12"/>
  <c r="K130" i="12"/>
  <c r="L130" i="12"/>
  <c r="M130" i="12"/>
  <c r="C131" i="12"/>
  <c r="D131" i="12"/>
  <c r="E131" i="12"/>
  <c r="F131" i="12"/>
  <c r="G131" i="12"/>
  <c r="H131" i="12"/>
  <c r="I131" i="12"/>
  <c r="J131" i="12"/>
  <c r="K131" i="12"/>
  <c r="L131" i="12"/>
  <c r="M131" i="12"/>
  <c r="C132" i="12"/>
  <c r="D132" i="12"/>
  <c r="E132" i="12"/>
  <c r="F132" i="12"/>
  <c r="G132" i="12"/>
  <c r="H132" i="12"/>
  <c r="I132" i="12"/>
  <c r="J132" i="12"/>
  <c r="K132" i="12"/>
  <c r="L132" i="12"/>
  <c r="M132" i="12"/>
  <c r="C133" i="12"/>
  <c r="D133" i="12"/>
  <c r="E133" i="12"/>
  <c r="F133" i="12"/>
  <c r="G133" i="12"/>
  <c r="H133" i="12"/>
  <c r="I133" i="12"/>
  <c r="J133" i="12"/>
  <c r="K133" i="12"/>
  <c r="L133" i="12"/>
  <c r="M133" i="12"/>
  <c r="C134" i="12"/>
  <c r="D134" i="12"/>
  <c r="E134" i="12"/>
  <c r="F134" i="12"/>
  <c r="G134" i="12"/>
  <c r="H134" i="12"/>
  <c r="I134" i="12"/>
  <c r="J134" i="12"/>
  <c r="K134" i="12"/>
  <c r="L134" i="12"/>
  <c r="M134" i="12"/>
  <c r="C135" i="12"/>
  <c r="D135" i="12"/>
  <c r="E135" i="12"/>
  <c r="F135" i="12"/>
  <c r="G135" i="12"/>
  <c r="H135" i="12"/>
  <c r="I135" i="12"/>
  <c r="J135" i="12"/>
  <c r="K135" i="12"/>
  <c r="L135" i="12"/>
  <c r="M135" i="12"/>
  <c r="C136" i="12"/>
  <c r="D136" i="12"/>
  <c r="E136" i="12"/>
  <c r="F136" i="12"/>
  <c r="G136" i="12"/>
  <c r="H136" i="12"/>
  <c r="I136" i="12"/>
  <c r="J136" i="12"/>
  <c r="K136" i="12"/>
  <c r="L136" i="12"/>
  <c r="M136" i="12"/>
  <c r="C137" i="12"/>
  <c r="D137" i="12"/>
  <c r="E137" i="12"/>
  <c r="F137" i="12"/>
  <c r="G137" i="12"/>
  <c r="H137" i="12"/>
  <c r="I137" i="12"/>
  <c r="J137" i="12"/>
  <c r="K137" i="12"/>
  <c r="L137" i="12"/>
  <c r="M137" i="12"/>
  <c r="C138" i="12"/>
  <c r="D138" i="12"/>
  <c r="E138" i="12"/>
  <c r="F138" i="12"/>
  <c r="G138" i="12"/>
  <c r="H138" i="12"/>
  <c r="I138" i="12"/>
  <c r="J138" i="12"/>
  <c r="K138" i="12"/>
  <c r="L138" i="12"/>
  <c r="M138" i="12"/>
  <c r="C139" i="12"/>
  <c r="D139" i="12"/>
  <c r="E139" i="12"/>
  <c r="F139" i="12"/>
  <c r="G139" i="12"/>
  <c r="H139" i="12"/>
  <c r="I139" i="12"/>
  <c r="J139" i="12"/>
  <c r="K139" i="12"/>
  <c r="L139" i="12"/>
  <c r="M139" i="12"/>
  <c r="C140" i="12"/>
  <c r="D140" i="12"/>
  <c r="E140" i="12"/>
  <c r="F140" i="12"/>
  <c r="G140" i="12"/>
  <c r="H140" i="12"/>
  <c r="I140" i="12"/>
  <c r="J140" i="12"/>
  <c r="K140" i="12"/>
  <c r="L140" i="12"/>
  <c r="M140" i="12"/>
  <c r="C141" i="12"/>
  <c r="D141" i="12"/>
  <c r="E141" i="12"/>
  <c r="F141" i="12"/>
  <c r="G141" i="12"/>
  <c r="H141" i="12"/>
  <c r="I141" i="12"/>
  <c r="J141" i="12"/>
  <c r="K141" i="12"/>
  <c r="L141" i="12"/>
  <c r="M141" i="12"/>
  <c r="C142" i="12"/>
  <c r="D142" i="12"/>
  <c r="E142" i="12"/>
  <c r="F142" i="12"/>
  <c r="G142" i="12"/>
  <c r="H142" i="12"/>
  <c r="I142" i="12"/>
  <c r="J142" i="12"/>
  <c r="K142" i="12"/>
  <c r="L142" i="12"/>
  <c r="M142" i="12"/>
  <c r="C143" i="12"/>
  <c r="D143" i="12"/>
  <c r="E143" i="12"/>
  <c r="F143" i="12"/>
  <c r="G143" i="12"/>
  <c r="H143" i="12"/>
  <c r="I143" i="12"/>
  <c r="J143" i="12"/>
  <c r="K143" i="12"/>
  <c r="L143" i="12"/>
  <c r="M143" i="12"/>
  <c r="C144" i="12"/>
  <c r="D144" i="12"/>
  <c r="E144" i="12"/>
  <c r="F144" i="12"/>
  <c r="G144" i="12"/>
  <c r="H144" i="12"/>
  <c r="I144" i="12"/>
  <c r="J144" i="12"/>
  <c r="K144" i="12"/>
  <c r="L144" i="12"/>
  <c r="M144" i="12"/>
  <c r="C145" i="12"/>
  <c r="D145" i="12"/>
  <c r="E145" i="12"/>
  <c r="F145" i="12"/>
  <c r="G145" i="12"/>
  <c r="H145" i="12"/>
  <c r="I145" i="12"/>
  <c r="J145" i="12"/>
  <c r="K145" i="12"/>
  <c r="L145" i="12"/>
  <c r="M145" i="12"/>
  <c r="C146" i="12"/>
  <c r="D146" i="12"/>
  <c r="E146" i="12"/>
  <c r="F146" i="12"/>
  <c r="G146" i="12"/>
  <c r="H146" i="12"/>
  <c r="I146" i="12"/>
  <c r="J146" i="12"/>
  <c r="K146" i="12"/>
  <c r="L146" i="12"/>
  <c r="M146" i="12"/>
  <c r="C147" i="12"/>
  <c r="D147" i="12"/>
  <c r="E147" i="12"/>
  <c r="F147" i="12"/>
  <c r="G147" i="12"/>
  <c r="H147" i="12"/>
  <c r="I147" i="12"/>
  <c r="J147" i="12"/>
  <c r="K147" i="12"/>
  <c r="L147" i="12"/>
  <c r="M147" i="12"/>
  <c r="C148" i="12"/>
  <c r="D148" i="12"/>
  <c r="E148" i="12"/>
  <c r="F148" i="12"/>
  <c r="G148" i="12"/>
  <c r="H148" i="12"/>
  <c r="I148" i="12"/>
  <c r="J148" i="12"/>
  <c r="K148" i="12"/>
  <c r="L148" i="12"/>
  <c r="M148" i="12"/>
  <c r="C149" i="12"/>
  <c r="D149" i="12"/>
  <c r="E149" i="12"/>
  <c r="F149" i="12"/>
  <c r="G149" i="12"/>
  <c r="H149" i="12"/>
  <c r="I149" i="12"/>
  <c r="J149" i="12"/>
  <c r="K149" i="12"/>
  <c r="L149" i="12"/>
  <c r="M149" i="12"/>
  <c r="C150" i="12"/>
  <c r="D150" i="12"/>
  <c r="E150" i="12"/>
  <c r="F150" i="12"/>
  <c r="G150" i="12"/>
  <c r="H150" i="12"/>
  <c r="I150" i="12"/>
  <c r="J150" i="12"/>
  <c r="K150" i="12"/>
  <c r="L150" i="12"/>
  <c r="M150" i="12"/>
  <c r="C151" i="12"/>
  <c r="D151" i="12"/>
  <c r="E151" i="12"/>
  <c r="F151" i="12"/>
  <c r="G151" i="12"/>
  <c r="H151" i="12"/>
  <c r="I151" i="12"/>
  <c r="J151" i="12"/>
  <c r="K151" i="12"/>
  <c r="L151" i="12"/>
  <c r="M151" i="12"/>
  <c r="C152" i="12"/>
  <c r="D152" i="12"/>
  <c r="E152" i="12"/>
  <c r="F152" i="12"/>
  <c r="G152" i="12"/>
  <c r="H152" i="12"/>
  <c r="I152" i="12"/>
  <c r="J152" i="12"/>
  <c r="K152" i="12"/>
  <c r="L152" i="12"/>
  <c r="M152" i="12"/>
  <c r="C153" i="12"/>
  <c r="D153" i="12"/>
  <c r="E153" i="12"/>
  <c r="F153" i="12"/>
  <c r="G153" i="12"/>
  <c r="H153" i="12"/>
  <c r="I153" i="12"/>
  <c r="J153" i="12"/>
  <c r="K153" i="12"/>
  <c r="L153" i="12"/>
  <c r="M153" i="12"/>
  <c r="C154" i="12"/>
  <c r="D154" i="12"/>
  <c r="E154" i="12"/>
  <c r="F154" i="12"/>
  <c r="G154" i="12"/>
  <c r="H154" i="12"/>
  <c r="I154" i="12"/>
  <c r="J154" i="12"/>
  <c r="K154" i="12"/>
  <c r="L154" i="12"/>
  <c r="M154" i="12"/>
  <c r="C155" i="12"/>
  <c r="D155" i="12"/>
  <c r="E155" i="12"/>
  <c r="F155" i="12"/>
  <c r="G155" i="12"/>
  <c r="H155" i="12"/>
  <c r="I155" i="12"/>
  <c r="J155" i="12"/>
  <c r="K155" i="12"/>
  <c r="L155" i="12"/>
  <c r="M155" i="12"/>
  <c r="C156" i="12"/>
  <c r="D156" i="12"/>
  <c r="E156" i="12"/>
  <c r="F156" i="12"/>
  <c r="G156" i="12"/>
  <c r="H156" i="12"/>
  <c r="I156" i="12"/>
  <c r="J156" i="12"/>
  <c r="K156" i="12"/>
  <c r="L156" i="12"/>
  <c r="M156" i="12"/>
  <c r="C157" i="12"/>
  <c r="D157" i="12"/>
  <c r="E157" i="12"/>
  <c r="F157" i="12"/>
  <c r="G157" i="12"/>
  <c r="H157" i="12"/>
  <c r="I157" i="12"/>
  <c r="J157" i="12"/>
  <c r="K157" i="12"/>
  <c r="L157" i="12"/>
  <c r="M157" i="12"/>
  <c r="C158" i="12"/>
  <c r="D158" i="12"/>
  <c r="E158" i="12"/>
  <c r="F158" i="12"/>
  <c r="G158" i="12"/>
  <c r="H158" i="12"/>
  <c r="I158" i="12"/>
  <c r="J158" i="12"/>
  <c r="K158" i="12"/>
  <c r="L158" i="12"/>
  <c r="M158" i="12"/>
  <c r="C159" i="12"/>
  <c r="D159" i="12"/>
  <c r="E159" i="12"/>
  <c r="F159" i="12"/>
  <c r="G159" i="12"/>
  <c r="H159" i="12"/>
  <c r="I159" i="12"/>
  <c r="J159" i="12"/>
  <c r="K159" i="12"/>
  <c r="L159" i="12"/>
  <c r="M159" i="12"/>
  <c r="C160" i="12"/>
  <c r="D160" i="12"/>
  <c r="E160" i="12"/>
  <c r="F160" i="12"/>
  <c r="G160" i="12"/>
  <c r="H160" i="12"/>
  <c r="I160" i="12"/>
  <c r="J160" i="12"/>
  <c r="K160" i="12"/>
  <c r="L160" i="12"/>
  <c r="M160" i="12"/>
  <c r="C161" i="12"/>
  <c r="D161" i="12"/>
  <c r="E161" i="12"/>
  <c r="F161" i="12"/>
  <c r="G161" i="12"/>
  <c r="H161" i="12"/>
  <c r="I161" i="12"/>
  <c r="J161" i="12"/>
  <c r="K161" i="12"/>
  <c r="L161" i="12"/>
  <c r="M161" i="12"/>
  <c r="C162" i="12"/>
  <c r="D162" i="12"/>
  <c r="E162" i="12"/>
  <c r="F162" i="12"/>
  <c r="G162" i="12"/>
  <c r="H162" i="12"/>
  <c r="I162" i="12"/>
  <c r="J162" i="12"/>
  <c r="K162" i="12"/>
  <c r="L162" i="12"/>
  <c r="M162" i="12"/>
  <c r="C163" i="12"/>
  <c r="D163" i="12"/>
  <c r="E163" i="12"/>
  <c r="F163" i="12"/>
  <c r="G163" i="12"/>
  <c r="H163" i="12"/>
  <c r="I163" i="12"/>
  <c r="J163" i="12"/>
  <c r="K163" i="12"/>
  <c r="L163" i="12"/>
  <c r="M163" i="12"/>
  <c r="C164" i="12"/>
  <c r="D164" i="12"/>
  <c r="E164" i="12"/>
  <c r="F164" i="12"/>
  <c r="G164" i="12"/>
  <c r="H164" i="12"/>
  <c r="I164" i="12"/>
  <c r="J164" i="12"/>
  <c r="K164" i="12"/>
  <c r="L164" i="12"/>
  <c r="M164" i="12"/>
  <c r="C165" i="12"/>
  <c r="D165" i="12"/>
  <c r="E165" i="12"/>
  <c r="F165" i="12"/>
  <c r="G165" i="12"/>
  <c r="H165" i="12"/>
  <c r="I165" i="12"/>
  <c r="J165" i="12"/>
  <c r="K165" i="12"/>
  <c r="L165" i="12"/>
  <c r="M165" i="12"/>
  <c r="C166" i="12"/>
  <c r="D166" i="12"/>
  <c r="E166" i="12"/>
  <c r="F166" i="12"/>
  <c r="G166" i="12"/>
  <c r="H166" i="12"/>
  <c r="I166" i="12"/>
  <c r="J166" i="12"/>
  <c r="K166" i="12"/>
  <c r="L166" i="12"/>
  <c r="M166" i="12"/>
  <c r="C167" i="12"/>
  <c r="D167" i="12"/>
  <c r="E167" i="12"/>
  <c r="F167" i="12"/>
  <c r="G167" i="12"/>
  <c r="H167" i="12"/>
  <c r="I167" i="12"/>
  <c r="J167" i="12"/>
  <c r="K167" i="12"/>
  <c r="L167" i="12"/>
  <c r="M167" i="12"/>
  <c r="C168" i="12"/>
  <c r="D168" i="12"/>
  <c r="E168" i="12"/>
  <c r="F168" i="12"/>
  <c r="G168" i="12"/>
  <c r="H168" i="12"/>
  <c r="I168" i="12"/>
  <c r="J168" i="12"/>
  <c r="K168" i="12"/>
  <c r="L168" i="12"/>
  <c r="M168" i="12"/>
  <c r="C169" i="12"/>
  <c r="D169" i="12"/>
  <c r="E169" i="12"/>
  <c r="F169" i="12"/>
  <c r="G169" i="12"/>
  <c r="H169" i="12"/>
  <c r="I169" i="12"/>
  <c r="J169" i="12"/>
  <c r="K169" i="12"/>
  <c r="L169" i="12"/>
  <c r="M169" i="12"/>
  <c r="C170" i="12"/>
  <c r="D170" i="12"/>
  <c r="E170" i="12"/>
  <c r="F170" i="12"/>
  <c r="G170" i="12"/>
  <c r="H170" i="12"/>
  <c r="I170" i="12"/>
  <c r="J170" i="12"/>
  <c r="K170" i="12"/>
  <c r="L170" i="12"/>
  <c r="M170" i="12"/>
  <c r="C171" i="12"/>
  <c r="D171" i="12"/>
  <c r="E171" i="12"/>
  <c r="F171" i="12"/>
  <c r="G171" i="12"/>
  <c r="H171" i="12"/>
  <c r="I171" i="12"/>
  <c r="J171" i="12"/>
  <c r="K171" i="12"/>
  <c r="L171" i="12"/>
  <c r="M171" i="12"/>
  <c r="C172" i="12"/>
  <c r="D172" i="12"/>
  <c r="E172" i="12"/>
  <c r="F172" i="12"/>
  <c r="G172" i="12"/>
  <c r="H172" i="12"/>
  <c r="I172" i="12"/>
  <c r="J172" i="12"/>
  <c r="K172" i="12"/>
  <c r="L172" i="12"/>
  <c r="M172" i="12"/>
  <c r="C173" i="12"/>
  <c r="D173" i="12"/>
  <c r="E173" i="12"/>
  <c r="F173" i="12"/>
  <c r="G173" i="12"/>
  <c r="H173" i="12"/>
  <c r="I173" i="12"/>
  <c r="J173" i="12"/>
  <c r="K173" i="12"/>
  <c r="L173" i="12"/>
  <c r="M173" i="12"/>
  <c r="C174" i="12"/>
  <c r="D174" i="12"/>
  <c r="E174" i="12"/>
  <c r="F174" i="12"/>
  <c r="G174" i="12"/>
  <c r="H174" i="12"/>
  <c r="I174" i="12"/>
  <c r="J174" i="12"/>
  <c r="K174" i="12"/>
  <c r="L174" i="12"/>
  <c r="M174" i="12"/>
  <c r="C175" i="12"/>
  <c r="D175" i="12"/>
  <c r="E175" i="12"/>
  <c r="F175" i="12"/>
  <c r="G175" i="12"/>
  <c r="H175" i="12"/>
  <c r="I175" i="12"/>
  <c r="J175" i="12"/>
  <c r="K175" i="12"/>
  <c r="L175" i="12"/>
  <c r="M175" i="12"/>
  <c r="C176" i="12"/>
  <c r="D176" i="12"/>
  <c r="E176" i="12"/>
  <c r="F176" i="12"/>
  <c r="G176" i="12"/>
  <c r="H176" i="12"/>
  <c r="I176" i="12"/>
  <c r="J176" i="12"/>
  <c r="K176" i="12"/>
  <c r="L176" i="12"/>
  <c r="M176" i="12"/>
  <c r="C177" i="12"/>
  <c r="D177" i="12"/>
  <c r="E177" i="12"/>
  <c r="F177" i="12"/>
  <c r="G177" i="12"/>
  <c r="H177" i="12"/>
  <c r="I177" i="12"/>
  <c r="J177" i="12"/>
  <c r="K177" i="12"/>
  <c r="L177" i="12"/>
  <c r="M177" i="12"/>
  <c r="C178" i="12"/>
  <c r="D178" i="12"/>
  <c r="E178" i="12"/>
  <c r="F178" i="12"/>
  <c r="G178" i="12"/>
  <c r="H178" i="12"/>
  <c r="I178" i="12"/>
  <c r="J178" i="12"/>
  <c r="K178" i="12"/>
  <c r="L178" i="12"/>
  <c r="M178" i="12"/>
  <c r="C179" i="12"/>
  <c r="D179" i="12"/>
  <c r="E179" i="12"/>
  <c r="F179" i="12"/>
  <c r="G179" i="12"/>
  <c r="H179" i="12"/>
  <c r="I179" i="12"/>
  <c r="J179" i="12"/>
  <c r="K179" i="12"/>
  <c r="L179" i="12"/>
  <c r="M179" i="12"/>
  <c r="C180" i="12"/>
  <c r="D180" i="12"/>
  <c r="E180" i="12"/>
  <c r="F180" i="12"/>
  <c r="G180" i="12"/>
  <c r="H180" i="12"/>
  <c r="I180" i="12"/>
  <c r="J180" i="12"/>
  <c r="K180" i="12"/>
  <c r="L180" i="12"/>
  <c r="M180" i="12"/>
  <c r="C181" i="12"/>
  <c r="D181" i="12"/>
  <c r="E181" i="12"/>
  <c r="F181" i="12"/>
  <c r="G181" i="12"/>
  <c r="H181" i="12"/>
  <c r="I181" i="12"/>
  <c r="J181" i="12"/>
  <c r="K181" i="12"/>
  <c r="L181" i="12"/>
  <c r="M181" i="12"/>
  <c r="C182" i="12"/>
  <c r="D182" i="12"/>
  <c r="E182" i="12"/>
  <c r="F182" i="12"/>
  <c r="G182" i="12"/>
  <c r="H182" i="12"/>
  <c r="I182" i="12"/>
  <c r="J182" i="12"/>
  <c r="K182" i="12"/>
  <c r="L182" i="12"/>
  <c r="M182" i="12"/>
  <c r="C183" i="12"/>
  <c r="D183" i="12"/>
  <c r="E183" i="12"/>
  <c r="F183" i="12"/>
  <c r="G183" i="12"/>
  <c r="H183" i="12"/>
  <c r="I183" i="12"/>
  <c r="J183" i="12"/>
  <c r="K183" i="12"/>
  <c r="L183" i="12"/>
  <c r="M183" i="12"/>
  <c r="C184" i="12"/>
  <c r="D184" i="12"/>
  <c r="E184" i="12"/>
  <c r="F184" i="12"/>
  <c r="G184" i="12"/>
  <c r="H184" i="12"/>
  <c r="I184" i="12"/>
  <c r="J184" i="12"/>
  <c r="K184" i="12"/>
  <c r="L184" i="12"/>
  <c r="M184" i="12"/>
  <c r="C185" i="12"/>
  <c r="D185" i="12"/>
  <c r="E185" i="12"/>
  <c r="F185" i="12"/>
  <c r="G185" i="12"/>
  <c r="H185" i="12"/>
  <c r="I185" i="12"/>
  <c r="J185" i="12"/>
  <c r="K185" i="12"/>
  <c r="L185" i="12"/>
  <c r="M185" i="12"/>
  <c r="C186" i="12"/>
  <c r="D186" i="12"/>
  <c r="E186" i="12"/>
  <c r="F186" i="12"/>
  <c r="G186" i="12"/>
  <c r="H186" i="12"/>
  <c r="I186" i="12"/>
  <c r="J186" i="12"/>
  <c r="K186" i="12"/>
  <c r="L186" i="12"/>
  <c r="M186" i="12"/>
  <c r="C187" i="12"/>
  <c r="D187" i="12"/>
  <c r="E187" i="12"/>
  <c r="F187" i="12"/>
  <c r="G187" i="12"/>
  <c r="H187" i="12"/>
  <c r="I187" i="12"/>
  <c r="J187" i="12"/>
  <c r="K187" i="12"/>
  <c r="L187" i="12"/>
  <c r="M187" i="12"/>
  <c r="C188" i="12"/>
  <c r="D188" i="12"/>
  <c r="E188" i="12"/>
  <c r="F188" i="12"/>
  <c r="G188" i="12"/>
  <c r="H188" i="12"/>
  <c r="I188" i="12"/>
  <c r="J188" i="12"/>
  <c r="K188" i="12"/>
  <c r="L188" i="12"/>
  <c r="M188" i="12"/>
  <c r="C189" i="12"/>
  <c r="D189" i="12"/>
  <c r="E189" i="12"/>
  <c r="F189" i="12"/>
  <c r="G189" i="12"/>
  <c r="H189" i="12"/>
  <c r="I189" i="12"/>
  <c r="J189" i="12"/>
  <c r="K189" i="12"/>
  <c r="L189" i="12"/>
  <c r="M189" i="12"/>
  <c r="C190" i="12"/>
  <c r="D190" i="12"/>
  <c r="E190" i="12"/>
  <c r="F190" i="12"/>
  <c r="G190" i="12"/>
  <c r="H190" i="12"/>
  <c r="I190" i="12"/>
  <c r="J190" i="12"/>
  <c r="K190" i="12"/>
  <c r="L190" i="12"/>
  <c r="M190" i="12"/>
  <c r="C191" i="12"/>
  <c r="D191" i="12"/>
  <c r="E191" i="12"/>
  <c r="F191" i="12"/>
  <c r="G191" i="12"/>
  <c r="H191" i="12"/>
  <c r="I191" i="12"/>
  <c r="J191" i="12"/>
  <c r="K191" i="12"/>
  <c r="L191" i="12"/>
  <c r="M191" i="12"/>
  <c r="C192" i="12"/>
  <c r="D192" i="12"/>
  <c r="E192" i="12"/>
  <c r="F192" i="12"/>
  <c r="G192" i="12"/>
  <c r="H192" i="12"/>
  <c r="I192" i="12"/>
  <c r="J192" i="12"/>
  <c r="K192" i="12"/>
  <c r="L192" i="12"/>
  <c r="M192" i="12"/>
  <c r="C193" i="12"/>
  <c r="D193" i="12"/>
  <c r="E193" i="12"/>
  <c r="F193" i="12"/>
  <c r="G193" i="12"/>
  <c r="H193" i="12"/>
  <c r="I193" i="12"/>
  <c r="J193" i="12"/>
  <c r="K193" i="12"/>
  <c r="L193" i="12"/>
  <c r="M193" i="12"/>
  <c r="C194" i="12"/>
  <c r="D194" i="12"/>
  <c r="E194" i="12"/>
  <c r="F194" i="12"/>
  <c r="G194" i="12"/>
  <c r="H194" i="12"/>
  <c r="I194" i="12"/>
  <c r="J194" i="12"/>
  <c r="K194" i="12"/>
  <c r="L194" i="12"/>
  <c r="M194" i="12"/>
  <c r="C195" i="12"/>
  <c r="D195" i="12"/>
  <c r="E195" i="12"/>
  <c r="F195" i="12"/>
  <c r="G195" i="12"/>
  <c r="H195" i="12"/>
  <c r="I195" i="12"/>
  <c r="J195" i="12"/>
  <c r="K195" i="12"/>
  <c r="L195" i="12"/>
  <c r="M195" i="12"/>
  <c r="C196" i="12"/>
  <c r="D196" i="12"/>
  <c r="E196" i="12"/>
  <c r="F196" i="12"/>
  <c r="G196" i="12"/>
  <c r="H196" i="12"/>
  <c r="I196" i="12"/>
  <c r="J196" i="12"/>
  <c r="K196" i="12"/>
  <c r="L196" i="12"/>
  <c r="M196" i="12"/>
  <c r="C197" i="12"/>
  <c r="D197" i="12"/>
  <c r="E197" i="12"/>
  <c r="F197" i="12"/>
  <c r="G197" i="12"/>
  <c r="H197" i="12"/>
  <c r="I197" i="12"/>
  <c r="J197" i="12"/>
  <c r="K197" i="12"/>
  <c r="L197" i="12"/>
  <c r="M197" i="12"/>
  <c r="C198" i="12"/>
  <c r="D198" i="12"/>
  <c r="E198" i="12"/>
  <c r="F198" i="12"/>
  <c r="G198" i="12"/>
  <c r="H198" i="12"/>
  <c r="I198" i="12"/>
  <c r="J198" i="12"/>
  <c r="K198" i="12"/>
  <c r="L198" i="12"/>
  <c r="M198" i="12"/>
  <c r="C199" i="12"/>
  <c r="D199" i="12"/>
  <c r="E199" i="12"/>
  <c r="F199" i="12"/>
  <c r="G199" i="12"/>
  <c r="H199" i="12"/>
  <c r="I199" i="12"/>
  <c r="J199" i="12"/>
  <c r="K199" i="12"/>
  <c r="L199" i="12"/>
  <c r="M199" i="12"/>
  <c r="C200" i="12"/>
  <c r="D200" i="12"/>
  <c r="E200" i="12"/>
  <c r="F200" i="12"/>
  <c r="G200" i="12"/>
  <c r="H200" i="12"/>
  <c r="I200" i="12"/>
  <c r="J200" i="12"/>
  <c r="K200" i="12"/>
  <c r="L200" i="12"/>
  <c r="M200" i="12"/>
  <c r="C201" i="12"/>
  <c r="D201" i="12"/>
  <c r="E201" i="12"/>
  <c r="F201" i="12"/>
  <c r="G201" i="12"/>
  <c r="H201" i="12"/>
  <c r="I201" i="12"/>
  <c r="J201" i="12"/>
  <c r="K201" i="12"/>
  <c r="L201" i="12"/>
  <c r="M201" i="12"/>
  <c r="C202" i="12"/>
  <c r="D202" i="12"/>
  <c r="E202" i="12"/>
  <c r="F202" i="12"/>
  <c r="G202" i="12"/>
  <c r="H202" i="12"/>
  <c r="I202" i="12"/>
  <c r="J202" i="12"/>
  <c r="K202" i="12"/>
  <c r="L202" i="12"/>
  <c r="M202" i="12"/>
  <c r="C203" i="12"/>
  <c r="D203" i="12"/>
  <c r="E203" i="12"/>
  <c r="F203" i="12"/>
  <c r="G203" i="12"/>
  <c r="H203" i="12"/>
  <c r="I203" i="12"/>
  <c r="J203" i="12"/>
  <c r="K203" i="12"/>
  <c r="L203" i="12"/>
  <c r="M203" i="12"/>
  <c r="C204" i="12"/>
  <c r="D204" i="12"/>
  <c r="E204" i="12"/>
  <c r="F204" i="12"/>
  <c r="G204" i="12"/>
  <c r="H204" i="12"/>
  <c r="I204" i="12"/>
  <c r="J204" i="12"/>
  <c r="K204" i="12"/>
  <c r="L204" i="12"/>
  <c r="M204" i="12"/>
  <c r="C205" i="12"/>
  <c r="D205" i="12"/>
  <c r="E205" i="12"/>
  <c r="F205" i="12"/>
  <c r="G205" i="12"/>
  <c r="H205" i="12"/>
  <c r="I205" i="12"/>
  <c r="J205" i="12"/>
  <c r="K205" i="12"/>
  <c r="L205" i="12"/>
  <c r="M205" i="12"/>
  <c r="C206" i="12"/>
  <c r="D206" i="12"/>
  <c r="E206" i="12"/>
  <c r="F206" i="12"/>
  <c r="G206" i="12"/>
  <c r="H206" i="12"/>
  <c r="I206" i="12"/>
  <c r="J206" i="12"/>
  <c r="K206" i="12"/>
  <c r="L206" i="12"/>
  <c r="M206" i="12"/>
  <c r="C207" i="12"/>
  <c r="D207" i="12"/>
  <c r="E207" i="12"/>
  <c r="F207" i="12"/>
  <c r="G207" i="12"/>
  <c r="H207" i="12"/>
  <c r="I207" i="12"/>
  <c r="J207" i="12"/>
  <c r="K207" i="12"/>
  <c r="L207" i="12"/>
  <c r="M207" i="12"/>
  <c r="C208" i="12"/>
  <c r="D208" i="12"/>
  <c r="E208" i="12"/>
  <c r="F208" i="12"/>
  <c r="G208" i="12"/>
  <c r="H208" i="12"/>
  <c r="I208" i="12"/>
  <c r="J208" i="12"/>
  <c r="K208" i="12"/>
  <c r="L208" i="12"/>
  <c r="M208" i="12"/>
  <c r="C209" i="12"/>
  <c r="D209" i="12"/>
  <c r="E209" i="12"/>
  <c r="F209" i="12"/>
  <c r="G209" i="12"/>
  <c r="H209" i="12"/>
  <c r="I209" i="12"/>
  <c r="J209" i="12"/>
  <c r="K209" i="12"/>
  <c r="L209" i="12"/>
  <c r="M209" i="12"/>
  <c r="C210" i="12"/>
  <c r="D210" i="12"/>
  <c r="E210" i="12"/>
  <c r="F210" i="12"/>
  <c r="G210" i="12"/>
  <c r="H210" i="12"/>
  <c r="I210" i="12"/>
  <c r="J210" i="12"/>
  <c r="K210" i="12"/>
  <c r="L210" i="12"/>
  <c r="M210" i="12"/>
  <c r="C211" i="12"/>
  <c r="D211" i="12"/>
  <c r="E211" i="12"/>
  <c r="F211" i="12"/>
  <c r="G211" i="12"/>
  <c r="H211" i="12"/>
  <c r="I211" i="12"/>
  <c r="J211" i="12"/>
  <c r="K211" i="12"/>
  <c r="L211" i="12"/>
  <c r="M211" i="12"/>
  <c r="C212" i="12"/>
  <c r="D212" i="12"/>
  <c r="E212" i="12"/>
  <c r="F212" i="12"/>
  <c r="G212" i="12"/>
  <c r="H212" i="12"/>
  <c r="I212" i="12"/>
  <c r="J212" i="12"/>
  <c r="K212" i="12"/>
  <c r="L212" i="12"/>
  <c r="M212" i="12"/>
  <c r="C213" i="12"/>
  <c r="D213" i="12"/>
  <c r="E213" i="12"/>
  <c r="F213" i="12"/>
  <c r="G213" i="12"/>
  <c r="H213" i="12"/>
  <c r="I213" i="12"/>
  <c r="J213" i="12"/>
  <c r="K213" i="12"/>
  <c r="L213" i="12"/>
  <c r="M213" i="12"/>
  <c r="C214" i="12"/>
  <c r="D214" i="12"/>
  <c r="E214" i="12"/>
  <c r="F214" i="12"/>
  <c r="G214" i="12"/>
  <c r="H214" i="12"/>
  <c r="I214" i="12"/>
  <c r="J214" i="12"/>
  <c r="K214" i="12"/>
  <c r="L214" i="12"/>
  <c r="M214" i="12"/>
  <c r="C215" i="12"/>
  <c r="D215" i="12"/>
  <c r="E215" i="12"/>
  <c r="F215" i="12"/>
  <c r="G215" i="12"/>
  <c r="H215" i="12"/>
  <c r="I215" i="12"/>
  <c r="J215" i="12"/>
  <c r="K215" i="12"/>
  <c r="L215" i="12"/>
  <c r="M215" i="12"/>
  <c r="C216" i="12"/>
  <c r="D216" i="12"/>
  <c r="E216" i="12"/>
  <c r="F216" i="12"/>
  <c r="G216" i="12"/>
  <c r="H216" i="12"/>
  <c r="I216" i="12"/>
  <c r="J216" i="12"/>
  <c r="K216" i="12"/>
  <c r="L216" i="12"/>
  <c r="M216" i="12"/>
  <c r="C217" i="12"/>
  <c r="D217" i="12"/>
  <c r="E217" i="12"/>
  <c r="F217" i="12"/>
  <c r="G217" i="12"/>
  <c r="H217" i="12"/>
  <c r="I217" i="12"/>
  <c r="J217" i="12"/>
  <c r="K217" i="12"/>
  <c r="L217" i="12"/>
  <c r="M217" i="12"/>
  <c r="C218" i="12"/>
  <c r="D218" i="12"/>
  <c r="E218" i="12"/>
  <c r="F218" i="12"/>
  <c r="G218" i="12"/>
  <c r="H218" i="12"/>
  <c r="I218" i="12"/>
  <c r="J218" i="12"/>
  <c r="K218" i="12"/>
  <c r="L218" i="12"/>
  <c r="M218" i="12"/>
  <c r="C219" i="12"/>
  <c r="D219" i="12"/>
  <c r="E219" i="12"/>
  <c r="F219" i="12"/>
  <c r="G219" i="12"/>
  <c r="H219" i="12"/>
  <c r="I219" i="12"/>
  <c r="J219" i="12"/>
  <c r="K219" i="12"/>
  <c r="L219" i="12"/>
  <c r="M219" i="12"/>
  <c r="C220" i="12"/>
  <c r="D220" i="12"/>
  <c r="E220" i="12"/>
  <c r="F220" i="12"/>
  <c r="G220" i="12"/>
  <c r="H220" i="12"/>
  <c r="I220" i="12"/>
  <c r="J220" i="12"/>
  <c r="K220" i="12"/>
  <c r="L220" i="12"/>
  <c r="M220" i="12"/>
  <c r="C221" i="12"/>
  <c r="D221" i="12"/>
  <c r="E221" i="12"/>
  <c r="F221" i="12"/>
  <c r="G221" i="12"/>
  <c r="H221" i="12"/>
  <c r="I221" i="12"/>
  <c r="J221" i="12"/>
  <c r="K221" i="12"/>
  <c r="L221" i="12"/>
  <c r="M221" i="12"/>
  <c r="C222" i="12"/>
  <c r="D222" i="12"/>
  <c r="E222" i="12"/>
  <c r="F222" i="12"/>
  <c r="G222" i="12"/>
  <c r="H222" i="12"/>
  <c r="I222" i="12"/>
  <c r="J222" i="12"/>
  <c r="K222" i="12"/>
  <c r="L222" i="12"/>
  <c r="M222" i="12"/>
  <c r="C223" i="12"/>
  <c r="D223" i="12"/>
  <c r="E223" i="12"/>
  <c r="F223" i="12"/>
  <c r="G223" i="12"/>
  <c r="H223" i="12"/>
  <c r="I223" i="12"/>
  <c r="J223" i="12"/>
  <c r="K223" i="12"/>
  <c r="L223" i="12"/>
  <c r="M223" i="12"/>
  <c r="C224" i="12"/>
  <c r="D224" i="12"/>
  <c r="E224" i="12"/>
  <c r="F224" i="12"/>
  <c r="G224" i="12"/>
  <c r="H224" i="12"/>
  <c r="I224" i="12"/>
  <c r="J224" i="12"/>
  <c r="K224" i="12"/>
  <c r="L224" i="12"/>
  <c r="M224" i="12"/>
  <c r="C225" i="12"/>
  <c r="D225" i="12"/>
  <c r="E225" i="12"/>
  <c r="F225" i="12"/>
  <c r="G225" i="12"/>
  <c r="H225" i="12"/>
  <c r="I225" i="12"/>
  <c r="J225" i="12"/>
  <c r="K225" i="12"/>
  <c r="L225" i="12"/>
  <c r="M225" i="12"/>
  <c r="C226" i="12"/>
  <c r="D226" i="12"/>
  <c r="E226" i="12"/>
  <c r="F226" i="12"/>
  <c r="G226" i="12"/>
  <c r="H226" i="12"/>
  <c r="I226" i="12"/>
  <c r="J226" i="12"/>
  <c r="K226" i="12"/>
  <c r="L226" i="12"/>
  <c r="M226" i="12"/>
  <c r="C227" i="12"/>
  <c r="D227" i="12"/>
  <c r="E227" i="12"/>
  <c r="F227" i="12"/>
  <c r="G227" i="12"/>
  <c r="H227" i="12"/>
  <c r="I227" i="12"/>
  <c r="J227" i="12"/>
  <c r="K227" i="12"/>
  <c r="L227" i="12"/>
  <c r="M227" i="12"/>
  <c r="C228" i="12"/>
  <c r="D228" i="12"/>
  <c r="E228" i="12"/>
  <c r="F228" i="12"/>
  <c r="G228" i="12"/>
  <c r="H228" i="12"/>
  <c r="I228" i="12"/>
  <c r="J228" i="12"/>
  <c r="K228" i="12"/>
  <c r="L228" i="12"/>
  <c r="M228" i="12"/>
  <c r="C229" i="12"/>
  <c r="D229" i="12"/>
  <c r="E229" i="12"/>
  <c r="F229" i="12"/>
  <c r="G229" i="12"/>
  <c r="H229" i="12"/>
  <c r="I229" i="12"/>
  <c r="J229" i="12"/>
  <c r="K229" i="12"/>
  <c r="L229" i="12"/>
  <c r="M229" i="12"/>
  <c r="C230" i="12"/>
  <c r="D230" i="12"/>
  <c r="E230" i="12"/>
  <c r="F230" i="12"/>
  <c r="G230" i="12"/>
  <c r="H230" i="12"/>
  <c r="I230" i="12"/>
  <c r="J230" i="12"/>
  <c r="K230" i="12"/>
  <c r="L230" i="12"/>
  <c r="M230" i="12"/>
  <c r="C231" i="12"/>
  <c r="D231" i="12"/>
  <c r="E231" i="12"/>
  <c r="F231" i="12"/>
  <c r="G231" i="12"/>
  <c r="H231" i="12"/>
  <c r="I231" i="12"/>
  <c r="J231" i="12"/>
  <c r="K231" i="12"/>
  <c r="L231" i="12"/>
  <c r="M231" i="12"/>
  <c r="C232" i="12"/>
  <c r="D232" i="12"/>
  <c r="E232" i="12"/>
  <c r="F232" i="12"/>
  <c r="G232" i="12"/>
  <c r="H232" i="12"/>
  <c r="I232" i="12"/>
  <c r="J232" i="12"/>
  <c r="K232" i="12"/>
  <c r="L232" i="12"/>
  <c r="M232" i="12"/>
  <c r="C233" i="12"/>
  <c r="D233" i="12"/>
  <c r="E233" i="12"/>
  <c r="F233" i="12"/>
  <c r="G233" i="12"/>
  <c r="H233" i="12"/>
  <c r="I233" i="12"/>
  <c r="J233" i="12"/>
  <c r="K233" i="12"/>
  <c r="L233" i="12"/>
  <c r="M233" i="12"/>
  <c r="C234" i="12"/>
  <c r="D234" i="12"/>
  <c r="E234" i="12"/>
  <c r="F234" i="12"/>
  <c r="G234" i="12"/>
  <c r="H234" i="12"/>
  <c r="I234" i="12"/>
  <c r="J234" i="12"/>
  <c r="K234" i="12"/>
  <c r="L234" i="12"/>
  <c r="M234" i="12"/>
  <c r="C235" i="12"/>
  <c r="D235" i="12"/>
  <c r="E235" i="12"/>
  <c r="F235" i="12"/>
  <c r="G235" i="12"/>
  <c r="H235" i="12"/>
  <c r="I235" i="12"/>
  <c r="J235" i="12"/>
  <c r="K235" i="12"/>
  <c r="L235" i="12"/>
  <c r="M235" i="12"/>
  <c r="C236" i="12"/>
  <c r="D236" i="12"/>
  <c r="E236" i="12"/>
  <c r="F236" i="12"/>
  <c r="G236" i="12"/>
  <c r="H236" i="12"/>
  <c r="I236" i="12"/>
  <c r="J236" i="12"/>
  <c r="K236" i="12"/>
  <c r="L236" i="12"/>
  <c r="M236" i="12"/>
  <c r="C237" i="12"/>
  <c r="D237" i="12"/>
  <c r="E237" i="12"/>
  <c r="F237" i="12"/>
  <c r="G237" i="12"/>
  <c r="H237" i="12"/>
  <c r="I237" i="12"/>
  <c r="J237" i="12"/>
  <c r="K237" i="12"/>
  <c r="L237" i="12"/>
  <c r="M237" i="12"/>
  <c r="C238" i="12"/>
  <c r="D238" i="12"/>
  <c r="E238" i="12"/>
  <c r="F238" i="12"/>
  <c r="G238" i="12"/>
  <c r="H238" i="12"/>
  <c r="I238" i="12"/>
  <c r="J238" i="12"/>
  <c r="K238" i="12"/>
  <c r="L238" i="12"/>
  <c r="M238" i="12"/>
  <c r="C239" i="12"/>
  <c r="D239" i="12"/>
  <c r="E239" i="12"/>
  <c r="F239" i="12"/>
  <c r="G239" i="12"/>
  <c r="H239" i="12"/>
  <c r="I239" i="12"/>
  <c r="J239" i="12"/>
  <c r="K239" i="12"/>
  <c r="L239" i="12"/>
  <c r="M239" i="12"/>
  <c r="C240" i="12"/>
  <c r="D240" i="12"/>
  <c r="E240" i="12"/>
  <c r="F240" i="12"/>
  <c r="G240" i="12"/>
  <c r="H240" i="12"/>
  <c r="I240" i="12"/>
  <c r="J240" i="12"/>
  <c r="K240" i="12"/>
  <c r="L240" i="12"/>
  <c r="M240" i="12"/>
  <c r="C241" i="12"/>
  <c r="D241" i="12"/>
  <c r="E241" i="12"/>
  <c r="F241" i="12"/>
  <c r="G241" i="12"/>
  <c r="H241" i="12"/>
  <c r="I241" i="12"/>
  <c r="J241" i="12"/>
  <c r="K241" i="12"/>
  <c r="L241" i="12"/>
  <c r="M241" i="12"/>
  <c r="C242" i="12"/>
  <c r="D242" i="12"/>
  <c r="E242" i="12"/>
  <c r="F242" i="12"/>
  <c r="G242" i="12"/>
  <c r="H242" i="12"/>
  <c r="I242" i="12"/>
  <c r="J242" i="12"/>
  <c r="K242" i="12"/>
  <c r="L242" i="12"/>
  <c r="M242" i="12"/>
  <c r="C243" i="12"/>
  <c r="D243" i="12"/>
  <c r="E243" i="12"/>
  <c r="F243" i="12"/>
  <c r="G243" i="12"/>
  <c r="H243" i="12"/>
  <c r="I243" i="12"/>
  <c r="J243" i="12"/>
  <c r="K243" i="12"/>
  <c r="L243" i="12"/>
  <c r="M243" i="12"/>
  <c r="C244" i="12"/>
  <c r="D244" i="12"/>
  <c r="E244" i="12"/>
  <c r="F244" i="12"/>
  <c r="G244" i="12"/>
  <c r="H244" i="12"/>
  <c r="I244" i="12"/>
  <c r="J244" i="12"/>
  <c r="K244" i="12"/>
  <c r="L244" i="12"/>
  <c r="M244" i="12"/>
  <c r="C245" i="12"/>
  <c r="D245" i="12"/>
  <c r="E245" i="12"/>
  <c r="F245" i="12"/>
  <c r="G245" i="12"/>
  <c r="H245" i="12"/>
  <c r="I245" i="12"/>
  <c r="J245" i="12"/>
  <c r="K245" i="12"/>
  <c r="L245" i="12"/>
  <c r="M245" i="12"/>
  <c r="C246" i="12"/>
  <c r="D246" i="12"/>
  <c r="E246" i="12"/>
  <c r="F246" i="12"/>
  <c r="G246" i="12"/>
  <c r="H246" i="12"/>
  <c r="I246" i="12"/>
  <c r="J246" i="12"/>
  <c r="K246" i="12"/>
  <c r="L246" i="12"/>
  <c r="M246" i="12"/>
  <c r="C247" i="12"/>
  <c r="D247" i="12"/>
  <c r="E247" i="12"/>
  <c r="F247" i="12"/>
  <c r="G247" i="12"/>
  <c r="H247" i="12"/>
  <c r="I247" i="12"/>
  <c r="J247" i="12"/>
  <c r="K247" i="12"/>
  <c r="L247" i="12"/>
  <c r="M247" i="12"/>
  <c r="C248" i="12"/>
  <c r="D248" i="12"/>
  <c r="E248" i="12"/>
  <c r="F248" i="12"/>
  <c r="G248" i="12"/>
  <c r="H248" i="12"/>
  <c r="I248" i="12"/>
  <c r="J248" i="12"/>
  <c r="K248" i="12"/>
  <c r="L248" i="12"/>
  <c r="M248" i="12"/>
  <c r="C249" i="12"/>
  <c r="D249" i="12"/>
  <c r="E249" i="12"/>
  <c r="F249" i="12"/>
  <c r="G249" i="12"/>
  <c r="H249" i="12"/>
  <c r="I249" i="12"/>
  <c r="J249" i="12"/>
  <c r="K249" i="12"/>
  <c r="L249" i="12"/>
  <c r="M249" i="12"/>
  <c r="C250" i="12"/>
  <c r="D250" i="12"/>
  <c r="E250" i="12"/>
  <c r="F250" i="12"/>
  <c r="G250" i="12"/>
  <c r="H250" i="12"/>
  <c r="I250" i="12"/>
  <c r="J250" i="12"/>
  <c r="K250" i="12"/>
  <c r="L250" i="12"/>
  <c r="M250" i="12"/>
  <c r="C251" i="12"/>
  <c r="D251" i="12"/>
  <c r="E251" i="12"/>
  <c r="F251" i="12"/>
  <c r="G251" i="12"/>
  <c r="H251" i="12"/>
  <c r="I251" i="12"/>
  <c r="J251" i="12"/>
  <c r="K251" i="12"/>
  <c r="L251" i="12"/>
  <c r="M251" i="12"/>
  <c r="C252" i="12"/>
  <c r="D252" i="12"/>
  <c r="E252" i="12"/>
  <c r="F252" i="12"/>
  <c r="G252" i="12"/>
  <c r="H252" i="12"/>
  <c r="I252" i="12"/>
  <c r="J252" i="12"/>
  <c r="K252" i="12"/>
  <c r="L252" i="12"/>
  <c r="M252" i="12"/>
  <c r="C253" i="12"/>
  <c r="D253" i="12"/>
  <c r="E253" i="12"/>
  <c r="F253" i="12"/>
  <c r="G253" i="12"/>
  <c r="H253" i="12"/>
  <c r="I253" i="12"/>
  <c r="J253" i="12"/>
  <c r="K253" i="12"/>
  <c r="L253" i="12"/>
  <c r="M253" i="12"/>
  <c r="C254" i="12"/>
  <c r="D254" i="12"/>
  <c r="E254" i="12"/>
  <c r="F254" i="12"/>
  <c r="G254" i="12"/>
  <c r="H254" i="12"/>
  <c r="I254" i="12"/>
  <c r="J254" i="12"/>
  <c r="K254" i="12"/>
  <c r="L254" i="12"/>
  <c r="M254" i="12"/>
  <c r="C255" i="12"/>
  <c r="D255" i="12"/>
  <c r="E255" i="12"/>
  <c r="F255" i="12"/>
  <c r="G255" i="12"/>
  <c r="H255" i="12"/>
  <c r="I255" i="12"/>
  <c r="J255" i="12"/>
  <c r="K255" i="12"/>
  <c r="L255" i="12"/>
  <c r="M255" i="12"/>
  <c r="C256" i="12"/>
  <c r="D256" i="12"/>
  <c r="E256" i="12"/>
  <c r="F256" i="12"/>
  <c r="G256" i="12"/>
  <c r="H256" i="12"/>
  <c r="I256" i="12"/>
  <c r="J256" i="12"/>
  <c r="K256" i="12"/>
  <c r="L256" i="12"/>
  <c r="M256" i="12"/>
  <c r="C257" i="12"/>
  <c r="D257" i="12"/>
  <c r="E257" i="12"/>
  <c r="F257" i="12"/>
  <c r="G257" i="12"/>
  <c r="H257" i="12"/>
  <c r="I257" i="12"/>
  <c r="J257" i="12"/>
  <c r="K257" i="12"/>
  <c r="L257" i="12"/>
  <c r="M257" i="12"/>
  <c r="C258" i="12"/>
  <c r="D258" i="12"/>
  <c r="E258" i="12"/>
  <c r="F258" i="12"/>
  <c r="G258" i="12"/>
  <c r="H258" i="12"/>
  <c r="I258" i="12"/>
  <c r="J258" i="12"/>
  <c r="K258" i="12"/>
  <c r="L258" i="12"/>
  <c r="M258" i="12"/>
  <c r="C259" i="12"/>
  <c r="D259" i="12"/>
  <c r="E259" i="12"/>
  <c r="F259" i="12"/>
  <c r="G259" i="12"/>
  <c r="H259" i="12"/>
  <c r="I259" i="12"/>
  <c r="J259" i="12"/>
  <c r="K259" i="12"/>
  <c r="L259" i="12"/>
  <c r="M259" i="12"/>
  <c r="C260" i="12"/>
  <c r="D260" i="12"/>
  <c r="E260" i="12"/>
  <c r="F260" i="12"/>
  <c r="G260" i="12"/>
  <c r="H260" i="12"/>
  <c r="I260" i="12"/>
  <c r="J260" i="12"/>
  <c r="K260" i="12"/>
  <c r="L260" i="12"/>
  <c r="M260" i="12"/>
  <c r="C261" i="12"/>
  <c r="D261" i="12"/>
  <c r="E261" i="12"/>
  <c r="F261" i="12"/>
  <c r="G261" i="12"/>
  <c r="H261" i="12"/>
  <c r="I261" i="12"/>
  <c r="J261" i="12"/>
  <c r="K261" i="12"/>
  <c r="L261" i="12"/>
  <c r="M261" i="12"/>
  <c r="C262" i="12"/>
  <c r="D262" i="12"/>
  <c r="E262" i="12"/>
  <c r="F262" i="12"/>
  <c r="G262" i="12"/>
  <c r="H262" i="12"/>
  <c r="I262" i="12"/>
  <c r="J262" i="12"/>
  <c r="K262" i="12"/>
  <c r="L262" i="12"/>
  <c r="M262" i="12"/>
  <c r="C263" i="12"/>
  <c r="D263" i="12"/>
  <c r="E263" i="12"/>
  <c r="F263" i="12"/>
  <c r="G263" i="12"/>
  <c r="H263" i="12"/>
  <c r="I263" i="12"/>
  <c r="J263" i="12"/>
  <c r="K263" i="12"/>
  <c r="L263" i="12"/>
  <c r="M263" i="12"/>
  <c r="C264" i="12"/>
  <c r="D264" i="12"/>
  <c r="E264" i="12"/>
  <c r="F264" i="12"/>
  <c r="G264" i="12"/>
  <c r="H264" i="12"/>
  <c r="I264" i="12"/>
  <c r="J264" i="12"/>
  <c r="K264" i="12"/>
  <c r="L264" i="12"/>
  <c r="M264" i="12"/>
  <c r="C265" i="12"/>
  <c r="D265" i="12"/>
  <c r="E265" i="12"/>
  <c r="F265" i="12"/>
  <c r="G265" i="12"/>
  <c r="H265" i="12"/>
  <c r="I265" i="12"/>
  <c r="J265" i="12"/>
  <c r="K265" i="12"/>
  <c r="L265" i="12"/>
  <c r="M265" i="12"/>
  <c r="C266" i="12"/>
  <c r="D266" i="12"/>
  <c r="E266" i="12"/>
  <c r="F266" i="12"/>
  <c r="G266" i="12"/>
  <c r="H266" i="12"/>
  <c r="I266" i="12"/>
  <c r="J266" i="12"/>
  <c r="K266" i="12"/>
  <c r="L266" i="12"/>
  <c r="M266" i="12"/>
  <c r="C267" i="12"/>
  <c r="D267" i="12"/>
  <c r="E267" i="12"/>
  <c r="F267" i="12"/>
  <c r="G267" i="12"/>
  <c r="H267" i="12"/>
  <c r="I267" i="12"/>
  <c r="J267" i="12"/>
  <c r="K267" i="12"/>
  <c r="L267" i="12"/>
  <c r="M267" i="12"/>
  <c r="C268" i="12"/>
  <c r="D268" i="12"/>
  <c r="E268" i="12"/>
  <c r="F268" i="12"/>
  <c r="G268" i="12"/>
  <c r="H268" i="12"/>
  <c r="I268" i="12"/>
  <c r="J268" i="12"/>
  <c r="K268" i="12"/>
  <c r="L268" i="12"/>
  <c r="M268" i="12"/>
  <c r="C269" i="12"/>
  <c r="D269" i="12"/>
  <c r="E269" i="12"/>
  <c r="F269" i="12"/>
  <c r="G269" i="12"/>
  <c r="H269" i="12"/>
  <c r="I269" i="12"/>
  <c r="J269" i="12"/>
  <c r="K269" i="12"/>
  <c r="L269" i="12"/>
  <c r="M269" i="12"/>
  <c r="C270" i="12"/>
  <c r="D270" i="12"/>
  <c r="E270" i="12"/>
  <c r="F270" i="12"/>
  <c r="G270" i="12"/>
  <c r="H270" i="12"/>
  <c r="I270" i="12"/>
  <c r="J270" i="12"/>
  <c r="K270" i="12"/>
  <c r="L270" i="12"/>
  <c r="M270" i="12"/>
  <c r="C271" i="12"/>
  <c r="D271" i="12"/>
  <c r="E271" i="12"/>
  <c r="F271" i="12"/>
  <c r="G271" i="12"/>
  <c r="H271" i="12"/>
  <c r="I271" i="12"/>
  <c r="J271" i="12"/>
  <c r="K271" i="12"/>
  <c r="L271" i="12"/>
  <c r="M271" i="12"/>
  <c r="C272" i="12"/>
  <c r="D272" i="12"/>
  <c r="E272" i="12"/>
  <c r="F272" i="12"/>
  <c r="G272" i="12"/>
  <c r="H272" i="12"/>
  <c r="I272" i="12"/>
  <c r="J272" i="12"/>
  <c r="K272" i="12"/>
  <c r="L272" i="12"/>
  <c r="M272" i="12"/>
  <c r="C273" i="12"/>
  <c r="D273" i="12"/>
  <c r="E273" i="12"/>
  <c r="F273" i="12"/>
  <c r="G273" i="12"/>
  <c r="H273" i="12"/>
  <c r="I273" i="12"/>
  <c r="J273" i="12"/>
  <c r="K273" i="12"/>
  <c r="L273" i="12"/>
  <c r="M273" i="12"/>
  <c r="C274" i="12"/>
  <c r="D274" i="12"/>
  <c r="E274" i="12"/>
  <c r="F274" i="12"/>
  <c r="G274" i="12"/>
  <c r="H274" i="12"/>
  <c r="I274" i="12"/>
  <c r="J274" i="12"/>
  <c r="K274" i="12"/>
  <c r="L274" i="12"/>
  <c r="M274" i="12"/>
  <c r="C275" i="12"/>
  <c r="D275" i="12"/>
  <c r="E275" i="12"/>
  <c r="F275" i="12"/>
  <c r="G275" i="12"/>
  <c r="H275" i="12"/>
  <c r="I275" i="12"/>
  <c r="J275" i="12"/>
  <c r="K275" i="12"/>
  <c r="L275" i="12"/>
  <c r="M275" i="12"/>
  <c r="C276" i="12"/>
  <c r="D276" i="12"/>
  <c r="E276" i="12"/>
  <c r="F276" i="12"/>
  <c r="G276" i="12"/>
  <c r="H276" i="12"/>
  <c r="I276" i="12"/>
  <c r="J276" i="12"/>
  <c r="K276" i="12"/>
  <c r="L276" i="12"/>
  <c r="M276" i="12"/>
  <c r="C277" i="12"/>
  <c r="D277" i="12"/>
  <c r="E277" i="12"/>
  <c r="F277" i="12"/>
  <c r="G277" i="12"/>
  <c r="H277" i="12"/>
  <c r="I277" i="12"/>
  <c r="J277" i="12"/>
  <c r="K277" i="12"/>
  <c r="L277" i="12"/>
  <c r="M277" i="12"/>
  <c r="C278" i="12"/>
  <c r="D278" i="12"/>
  <c r="E278" i="12"/>
  <c r="F278" i="12"/>
  <c r="G278" i="12"/>
  <c r="H278" i="12"/>
  <c r="I278" i="12"/>
  <c r="J278" i="12"/>
  <c r="K278" i="12"/>
  <c r="L278" i="12"/>
  <c r="M278" i="12"/>
  <c r="C279" i="12"/>
  <c r="D279" i="12"/>
  <c r="E279" i="12"/>
  <c r="F279" i="12"/>
  <c r="G279" i="12"/>
  <c r="H279" i="12"/>
  <c r="I279" i="12"/>
  <c r="J279" i="12"/>
  <c r="K279" i="12"/>
  <c r="L279" i="12"/>
  <c r="M279" i="12"/>
  <c r="C280" i="12"/>
  <c r="D280" i="12"/>
  <c r="E280" i="12"/>
  <c r="F280" i="12"/>
  <c r="G280" i="12"/>
  <c r="H280" i="12"/>
  <c r="I280" i="12"/>
  <c r="J280" i="12"/>
  <c r="K280" i="12"/>
  <c r="L280" i="12"/>
  <c r="M280" i="12"/>
  <c r="C281" i="12"/>
  <c r="D281" i="12"/>
  <c r="E281" i="12"/>
  <c r="F281" i="12"/>
  <c r="G281" i="12"/>
  <c r="H281" i="12"/>
  <c r="I281" i="12"/>
  <c r="J281" i="12"/>
  <c r="K281" i="12"/>
  <c r="L281" i="12"/>
  <c r="M281" i="12"/>
  <c r="C282" i="12"/>
  <c r="D282" i="12"/>
  <c r="E282" i="12"/>
  <c r="F282" i="12"/>
  <c r="G282" i="12"/>
  <c r="H282" i="12"/>
  <c r="I282" i="12"/>
  <c r="J282" i="12"/>
  <c r="K282" i="12"/>
  <c r="L282" i="12"/>
  <c r="M282" i="12"/>
  <c r="C283" i="12"/>
  <c r="D283" i="12"/>
  <c r="E283" i="12"/>
  <c r="F283" i="12"/>
  <c r="G283" i="12"/>
  <c r="H283" i="12"/>
  <c r="I283" i="12"/>
  <c r="J283" i="12"/>
  <c r="K283" i="12"/>
  <c r="L283" i="12"/>
  <c r="M283" i="12"/>
  <c r="C284" i="12"/>
  <c r="D284" i="12"/>
  <c r="E284" i="12"/>
  <c r="F284" i="12"/>
  <c r="G284" i="12"/>
  <c r="H284" i="12"/>
  <c r="I284" i="12"/>
  <c r="J284" i="12"/>
  <c r="K284" i="12"/>
  <c r="L284" i="12"/>
  <c r="M284" i="12"/>
  <c r="C285" i="12"/>
  <c r="D285" i="12"/>
  <c r="E285" i="12"/>
  <c r="F285" i="12"/>
  <c r="G285" i="12"/>
  <c r="H285" i="12"/>
  <c r="I285" i="12"/>
  <c r="J285" i="12"/>
  <c r="K285" i="12"/>
  <c r="L285" i="12"/>
  <c r="M285" i="12"/>
  <c r="C286" i="12"/>
  <c r="D286" i="12"/>
  <c r="E286" i="12"/>
  <c r="F286" i="12"/>
  <c r="G286" i="12"/>
  <c r="H286" i="12"/>
  <c r="I286" i="12"/>
  <c r="J286" i="12"/>
  <c r="K286" i="12"/>
  <c r="L286" i="12"/>
  <c r="M286" i="12"/>
  <c r="C287" i="12"/>
  <c r="D287" i="12"/>
  <c r="E287" i="12"/>
  <c r="F287" i="12"/>
  <c r="G287" i="12"/>
  <c r="H287" i="12"/>
  <c r="I287" i="12"/>
  <c r="J287" i="12"/>
  <c r="K287" i="12"/>
  <c r="L287" i="12"/>
  <c r="M287" i="12"/>
  <c r="C288" i="12"/>
  <c r="D288" i="12"/>
  <c r="E288" i="12"/>
  <c r="F288" i="12"/>
  <c r="G288" i="12"/>
  <c r="H288" i="12"/>
  <c r="I288" i="12"/>
  <c r="J288" i="12"/>
  <c r="K288" i="12"/>
  <c r="L288" i="12"/>
  <c r="M288" i="12"/>
  <c r="C289" i="12"/>
  <c r="D289" i="12"/>
  <c r="E289" i="12"/>
  <c r="F289" i="12"/>
  <c r="G289" i="12"/>
  <c r="H289" i="12"/>
  <c r="I289" i="12"/>
  <c r="J289" i="12"/>
  <c r="K289" i="12"/>
  <c r="L289" i="12"/>
  <c r="M289" i="12"/>
  <c r="C290" i="12"/>
  <c r="D290" i="12"/>
  <c r="E290" i="12"/>
  <c r="F290" i="12"/>
  <c r="G290" i="12"/>
  <c r="H290" i="12"/>
  <c r="I290" i="12"/>
  <c r="J290" i="12"/>
  <c r="K290" i="12"/>
  <c r="L290" i="12"/>
  <c r="M290" i="12"/>
  <c r="C291" i="12"/>
  <c r="D291" i="12"/>
  <c r="E291" i="12"/>
  <c r="F291" i="12"/>
  <c r="G291" i="12"/>
  <c r="H291" i="12"/>
  <c r="I291" i="12"/>
  <c r="J291" i="12"/>
  <c r="K291" i="12"/>
  <c r="L291" i="12"/>
  <c r="M291" i="12"/>
  <c r="C292" i="12"/>
  <c r="D292" i="12"/>
  <c r="E292" i="12"/>
  <c r="F292" i="12"/>
  <c r="G292" i="12"/>
  <c r="H292" i="12"/>
  <c r="I292" i="12"/>
  <c r="J292" i="12"/>
  <c r="K292" i="12"/>
  <c r="L292" i="12"/>
  <c r="M292" i="12"/>
  <c r="C293" i="12"/>
  <c r="D293" i="12"/>
  <c r="E293" i="12"/>
  <c r="F293" i="12"/>
  <c r="G293" i="12"/>
  <c r="H293" i="12"/>
  <c r="I293" i="12"/>
  <c r="J293" i="12"/>
  <c r="K293" i="12"/>
  <c r="L293" i="12"/>
  <c r="M293" i="12"/>
  <c r="C294" i="12"/>
  <c r="D294" i="12"/>
  <c r="E294" i="12"/>
  <c r="F294" i="12"/>
  <c r="G294" i="12"/>
  <c r="H294" i="12"/>
  <c r="I294" i="12"/>
  <c r="J294" i="12"/>
  <c r="K294" i="12"/>
  <c r="L294" i="12"/>
  <c r="M294" i="12"/>
  <c r="C295" i="12"/>
  <c r="D295" i="12"/>
  <c r="E295" i="12"/>
  <c r="F295" i="12"/>
  <c r="G295" i="12"/>
  <c r="H295" i="12"/>
  <c r="I295" i="12"/>
  <c r="J295" i="12"/>
  <c r="K295" i="12"/>
  <c r="L295" i="12"/>
  <c r="M295" i="12"/>
  <c r="C296" i="12"/>
  <c r="D296" i="12"/>
  <c r="E296" i="12"/>
  <c r="F296" i="12"/>
  <c r="G296" i="12"/>
  <c r="H296" i="12"/>
  <c r="I296" i="12"/>
  <c r="J296" i="12"/>
  <c r="K296" i="12"/>
  <c r="L296" i="12"/>
  <c r="M296" i="12"/>
  <c r="C297" i="12"/>
  <c r="D297" i="12"/>
  <c r="E297" i="12"/>
  <c r="F297" i="12"/>
  <c r="G297" i="12"/>
  <c r="H297" i="12"/>
  <c r="I297" i="12"/>
  <c r="J297" i="12"/>
  <c r="K297" i="12"/>
  <c r="L297" i="12"/>
  <c r="M297" i="12"/>
  <c r="C298" i="12"/>
  <c r="D298" i="12"/>
  <c r="E298" i="12"/>
  <c r="F298" i="12"/>
  <c r="G298" i="12"/>
  <c r="H298" i="12"/>
  <c r="I298" i="12"/>
  <c r="J298" i="12"/>
  <c r="K298" i="12"/>
  <c r="L298" i="12"/>
  <c r="M298" i="12"/>
  <c r="C299" i="12"/>
  <c r="D299" i="12"/>
  <c r="E299" i="12"/>
  <c r="F299" i="12"/>
  <c r="G299" i="12"/>
  <c r="H299" i="12"/>
  <c r="I299" i="12"/>
  <c r="J299" i="12"/>
  <c r="K299" i="12"/>
  <c r="L299" i="12"/>
  <c r="M299" i="12"/>
  <c r="C300" i="12"/>
  <c r="D300" i="12"/>
  <c r="E300" i="12"/>
  <c r="F300" i="12"/>
  <c r="G300" i="12"/>
  <c r="H300" i="12"/>
  <c r="I300" i="12"/>
  <c r="J300" i="12"/>
  <c r="K300" i="12"/>
  <c r="L300" i="12"/>
  <c r="M300" i="12"/>
  <c r="C301" i="12"/>
  <c r="D301" i="12"/>
  <c r="E301" i="12"/>
  <c r="F301" i="12"/>
  <c r="G301" i="12"/>
  <c r="H301" i="12"/>
  <c r="I301" i="12"/>
  <c r="J301" i="12"/>
  <c r="K301" i="12"/>
  <c r="L301" i="12"/>
  <c r="M301" i="12"/>
  <c r="C302" i="12"/>
  <c r="D302" i="12"/>
  <c r="E302" i="12"/>
  <c r="F302" i="12"/>
  <c r="G302" i="12"/>
  <c r="H302" i="12"/>
  <c r="I302" i="12"/>
  <c r="J302" i="12"/>
  <c r="K302" i="12"/>
  <c r="L302" i="12"/>
  <c r="M302" i="12"/>
  <c r="C303" i="12"/>
  <c r="D303" i="12"/>
  <c r="E303" i="12"/>
  <c r="F303" i="12"/>
  <c r="G303" i="12"/>
  <c r="H303" i="12"/>
  <c r="I303" i="12"/>
  <c r="J303" i="12"/>
  <c r="K303" i="12"/>
  <c r="L303" i="12"/>
  <c r="M303" i="12"/>
  <c r="C304" i="12"/>
  <c r="D304" i="12"/>
  <c r="E304" i="12"/>
  <c r="F304" i="12"/>
  <c r="G304" i="12"/>
  <c r="H304" i="12"/>
  <c r="I304" i="12"/>
  <c r="J304" i="12"/>
  <c r="K304" i="12"/>
  <c r="L304" i="12"/>
  <c r="M304" i="12"/>
  <c r="C305" i="12"/>
  <c r="D305" i="12"/>
  <c r="E305" i="12"/>
  <c r="F305" i="12"/>
  <c r="G305" i="12"/>
  <c r="H305" i="12"/>
  <c r="I305" i="12"/>
  <c r="J305" i="12"/>
  <c r="K305" i="12"/>
  <c r="L305" i="12"/>
  <c r="M305" i="12"/>
  <c r="C306" i="12"/>
  <c r="D306" i="12"/>
  <c r="E306" i="12"/>
  <c r="F306" i="12"/>
  <c r="G306" i="12"/>
  <c r="H306" i="12"/>
  <c r="I306" i="12"/>
  <c r="J306" i="12"/>
  <c r="K306" i="12"/>
  <c r="L306" i="12"/>
  <c r="M306" i="12"/>
  <c r="C307" i="12"/>
  <c r="D307" i="12"/>
  <c r="E307" i="12"/>
  <c r="F307" i="12"/>
  <c r="G307" i="12"/>
  <c r="H307" i="12"/>
  <c r="I307" i="12"/>
  <c r="J307" i="12"/>
  <c r="K307" i="12"/>
  <c r="L307" i="12"/>
  <c r="M307" i="12"/>
  <c r="C308" i="12"/>
  <c r="D308" i="12"/>
  <c r="E308" i="12"/>
  <c r="F308" i="12"/>
  <c r="G308" i="12"/>
  <c r="H308" i="12"/>
  <c r="I308" i="12"/>
  <c r="J308" i="12"/>
  <c r="K308" i="12"/>
  <c r="L308" i="12"/>
  <c r="M308" i="12"/>
  <c r="C309" i="12"/>
  <c r="D309" i="12"/>
  <c r="E309" i="12"/>
  <c r="F309" i="12"/>
  <c r="G309" i="12"/>
  <c r="H309" i="12"/>
  <c r="I309" i="12"/>
  <c r="J309" i="12"/>
  <c r="K309" i="12"/>
  <c r="L309" i="12"/>
  <c r="M309" i="12"/>
  <c r="C310" i="12"/>
  <c r="D310" i="12"/>
  <c r="E310" i="12"/>
  <c r="F310" i="12"/>
  <c r="G310" i="12"/>
  <c r="H310" i="12"/>
  <c r="I310" i="12"/>
  <c r="J310" i="12"/>
  <c r="K310" i="12"/>
  <c r="L310" i="12"/>
  <c r="M310" i="12"/>
  <c r="C311" i="12"/>
  <c r="D311" i="12"/>
  <c r="E311" i="12"/>
  <c r="F311" i="12"/>
  <c r="G311" i="12"/>
  <c r="H311" i="12"/>
  <c r="I311" i="12"/>
  <c r="J311" i="12"/>
  <c r="K311" i="12"/>
  <c r="L311" i="12"/>
  <c r="M311" i="12"/>
  <c r="C312" i="12"/>
  <c r="D312" i="12"/>
  <c r="E312" i="12"/>
  <c r="F312" i="12"/>
  <c r="G312" i="12"/>
  <c r="H312" i="12"/>
  <c r="I312" i="12"/>
  <c r="J312" i="12"/>
  <c r="K312" i="12"/>
  <c r="L312" i="12"/>
  <c r="M312" i="12"/>
  <c r="C313" i="12"/>
  <c r="D313" i="12"/>
  <c r="E313" i="12"/>
  <c r="F313" i="12"/>
  <c r="G313" i="12"/>
  <c r="H313" i="12"/>
  <c r="I313" i="12"/>
  <c r="J313" i="12"/>
  <c r="K313" i="12"/>
  <c r="L313" i="12"/>
  <c r="M313" i="12"/>
  <c r="C314" i="12"/>
  <c r="D314" i="12"/>
  <c r="E314" i="12"/>
  <c r="F314" i="12"/>
  <c r="G314" i="12"/>
  <c r="H314" i="12"/>
  <c r="I314" i="12"/>
  <c r="J314" i="12"/>
  <c r="K314" i="12"/>
  <c r="L314" i="12"/>
  <c r="M314" i="12"/>
  <c r="C315" i="12"/>
  <c r="D315" i="12"/>
  <c r="E315" i="12"/>
  <c r="F315" i="12"/>
  <c r="G315" i="12"/>
  <c r="H315" i="12"/>
  <c r="I315" i="12"/>
  <c r="J315" i="12"/>
  <c r="K315" i="12"/>
  <c r="L315" i="12"/>
  <c r="M315" i="12"/>
  <c r="C316" i="12"/>
  <c r="D316" i="12"/>
  <c r="E316" i="12"/>
  <c r="F316" i="12"/>
  <c r="G316" i="12"/>
  <c r="H316" i="12"/>
  <c r="I316" i="12"/>
  <c r="J316" i="12"/>
  <c r="K316" i="12"/>
  <c r="L316" i="12"/>
  <c r="M316" i="12"/>
  <c r="C317" i="12"/>
  <c r="D317" i="12"/>
  <c r="E317" i="12"/>
  <c r="F317" i="12"/>
  <c r="G317" i="12"/>
  <c r="H317" i="12"/>
  <c r="I317" i="12"/>
  <c r="J317" i="12"/>
  <c r="K317" i="12"/>
  <c r="L317" i="12"/>
  <c r="M317" i="12"/>
  <c r="C318" i="12"/>
  <c r="D318" i="12"/>
  <c r="E318" i="12"/>
  <c r="F318" i="12"/>
  <c r="G318" i="12"/>
  <c r="H318" i="12"/>
  <c r="I318" i="12"/>
  <c r="J318" i="12"/>
  <c r="K318" i="12"/>
  <c r="L318" i="12"/>
  <c r="M318" i="12"/>
  <c r="C319" i="12"/>
  <c r="D319" i="12"/>
  <c r="E319" i="12"/>
  <c r="F319" i="12"/>
  <c r="G319" i="12"/>
  <c r="H319" i="12"/>
  <c r="I319" i="12"/>
  <c r="J319" i="12"/>
  <c r="K319" i="12"/>
  <c r="L319" i="12"/>
  <c r="M319" i="12"/>
  <c r="C320" i="12"/>
  <c r="D320" i="12"/>
  <c r="E320" i="12"/>
  <c r="F320" i="12"/>
  <c r="G320" i="12"/>
  <c r="H320" i="12"/>
  <c r="I320" i="12"/>
  <c r="J320" i="12"/>
  <c r="K320" i="12"/>
  <c r="L320" i="12"/>
  <c r="M320" i="12"/>
  <c r="C321" i="12"/>
  <c r="D321" i="12"/>
  <c r="E321" i="12"/>
  <c r="F321" i="12"/>
  <c r="G321" i="12"/>
  <c r="H321" i="12"/>
  <c r="I321" i="12"/>
  <c r="J321" i="12"/>
  <c r="K321" i="12"/>
  <c r="L321" i="12"/>
  <c r="M321" i="12"/>
  <c r="C322" i="12"/>
  <c r="D322" i="12"/>
  <c r="E322" i="12"/>
  <c r="F322" i="12"/>
  <c r="G322" i="12"/>
  <c r="H322" i="12"/>
  <c r="I322" i="12"/>
  <c r="J322" i="12"/>
  <c r="K322" i="12"/>
  <c r="L322" i="12"/>
  <c r="M322" i="12"/>
  <c r="C323" i="12"/>
  <c r="D323" i="12"/>
  <c r="E323" i="12"/>
  <c r="F323" i="12"/>
  <c r="G323" i="12"/>
  <c r="H323" i="12"/>
  <c r="I323" i="12"/>
  <c r="J323" i="12"/>
  <c r="K323" i="12"/>
  <c r="L323" i="12"/>
  <c r="M323" i="12"/>
  <c r="C324" i="12"/>
  <c r="D324" i="12"/>
  <c r="E324" i="12"/>
  <c r="F324" i="12"/>
  <c r="G324" i="12"/>
  <c r="H324" i="12"/>
  <c r="I324" i="12"/>
  <c r="J324" i="12"/>
  <c r="K324" i="12"/>
  <c r="L324" i="12"/>
  <c r="M324" i="12"/>
  <c r="C325" i="12"/>
  <c r="D325" i="12"/>
  <c r="E325" i="12"/>
  <c r="F325" i="12"/>
  <c r="G325" i="12"/>
  <c r="H325" i="12"/>
  <c r="I325" i="12"/>
  <c r="J325" i="12"/>
  <c r="K325" i="12"/>
  <c r="L325" i="12"/>
  <c r="M325" i="12"/>
  <c r="C326" i="12"/>
  <c r="D326" i="12"/>
  <c r="E326" i="12"/>
  <c r="F326" i="12"/>
  <c r="G326" i="12"/>
  <c r="H326" i="12"/>
  <c r="I326" i="12"/>
  <c r="J326" i="12"/>
  <c r="K326" i="12"/>
  <c r="L326" i="12"/>
  <c r="M326" i="12"/>
  <c r="C327" i="12"/>
  <c r="D327" i="12"/>
  <c r="E327" i="12"/>
  <c r="F327" i="12"/>
  <c r="G327" i="12"/>
  <c r="H327" i="12"/>
  <c r="I327" i="12"/>
  <c r="J327" i="12"/>
  <c r="K327" i="12"/>
  <c r="L327" i="12"/>
  <c r="M327" i="12"/>
  <c r="C328" i="12"/>
  <c r="D328" i="12"/>
  <c r="E328" i="12"/>
  <c r="F328" i="12"/>
  <c r="G328" i="12"/>
  <c r="H328" i="12"/>
  <c r="I328" i="12"/>
  <c r="J328" i="12"/>
  <c r="K328" i="12"/>
  <c r="L328" i="12"/>
  <c r="M328" i="12"/>
  <c r="C329" i="12"/>
  <c r="D329" i="12"/>
  <c r="E329" i="12"/>
  <c r="F329" i="12"/>
  <c r="G329" i="12"/>
  <c r="H329" i="12"/>
  <c r="I329" i="12"/>
  <c r="J329" i="12"/>
  <c r="K329" i="12"/>
  <c r="L329" i="12"/>
  <c r="M329" i="12"/>
  <c r="C330" i="12"/>
  <c r="D330" i="12"/>
  <c r="E330" i="12"/>
  <c r="F330" i="12"/>
  <c r="G330" i="12"/>
  <c r="H330" i="12"/>
  <c r="I330" i="12"/>
  <c r="J330" i="12"/>
  <c r="K330" i="12"/>
  <c r="L330" i="12"/>
  <c r="M330" i="12"/>
  <c r="C331" i="12"/>
  <c r="D331" i="12"/>
  <c r="E331" i="12"/>
  <c r="F331" i="12"/>
  <c r="G331" i="12"/>
  <c r="H331" i="12"/>
  <c r="I331" i="12"/>
  <c r="J331" i="12"/>
  <c r="K331" i="12"/>
  <c r="L331" i="12"/>
  <c r="M331" i="12"/>
  <c r="C332" i="12"/>
  <c r="D332" i="12"/>
  <c r="E332" i="12"/>
  <c r="F332" i="12"/>
  <c r="G332" i="12"/>
  <c r="H332" i="12"/>
  <c r="I332" i="12"/>
  <c r="J332" i="12"/>
  <c r="K332" i="12"/>
  <c r="L332" i="12"/>
  <c r="M332" i="12"/>
  <c r="C333" i="12"/>
  <c r="D333" i="12"/>
  <c r="E333" i="12"/>
  <c r="F333" i="12"/>
  <c r="G333" i="12"/>
  <c r="H333" i="12"/>
  <c r="I333" i="12"/>
  <c r="J333" i="12"/>
  <c r="K333" i="12"/>
  <c r="L333" i="12"/>
  <c r="M333" i="12"/>
  <c r="C334" i="12"/>
  <c r="D334" i="12"/>
  <c r="E334" i="12"/>
  <c r="F334" i="12"/>
  <c r="G334" i="12"/>
  <c r="H334" i="12"/>
  <c r="I334" i="12"/>
  <c r="J334" i="12"/>
  <c r="K334" i="12"/>
  <c r="L334" i="12"/>
  <c r="M334" i="12"/>
  <c r="C335" i="12"/>
  <c r="D335" i="12"/>
  <c r="E335" i="12"/>
  <c r="F335" i="12"/>
  <c r="G335" i="12"/>
  <c r="H335" i="12"/>
  <c r="I335" i="12"/>
  <c r="J335" i="12"/>
  <c r="K335" i="12"/>
  <c r="L335" i="12"/>
  <c r="M335" i="12"/>
  <c r="C336" i="12"/>
  <c r="D336" i="12"/>
  <c r="E336" i="12"/>
  <c r="F336" i="12"/>
  <c r="G336" i="12"/>
  <c r="H336" i="12"/>
  <c r="I336" i="12"/>
  <c r="J336" i="12"/>
  <c r="K336" i="12"/>
  <c r="L336" i="12"/>
  <c r="M336" i="12"/>
  <c r="C337" i="12"/>
  <c r="D337" i="12"/>
  <c r="E337" i="12"/>
  <c r="F337" i="12"/>
  <c r="G337" i="12"/>
  <c r="H337" i="12"/>
  <c r="I337" i="12"/>
  <c r="J337" i="12"/>
  <c r="K337" i="12"/>
  <c r="L337" i="12"/>
  <c r="M337" i="12"/>
  <c r="C338" i="12"/>
  <c r="D338" i="12"/>
  <c r="E338" i="12"/>
  <c r="F338" i="12"/>
  <c r="G338" i="12"/>
  <c r="H338" i="12"/>
  <c r="I338" i="12"/>
  <c r="J338" i="12"/>
  <c r="K338" i="12"/>
  <c r="L338" i="12"/>
  <c r="M338" i="12"/>
  <c r="C339" i="12"/>
  <c r="D339" i="12"/>
  <c r="E339" i="12"/>
  <c r="F339" i="12"/>
  <c r="G339" i="12"/>
  <c r="H339" i="12"/>
  <c r="I339" i="12"/>
  <c r="J339" i="12"/>
  <c r="K339" i="12"/>
  <c r="L339" i="12"/>
  <c r="M339" i="12"/>
  <c r="C340" i="12"/>
  <c r="D340" i="12"/>
  <c r="E340" i="12"/>
  <c r="F340" i="12"/>
  <c r="G340" i="12"/>
  <c r="H340" i="12"/>
  <c r="I340" i="12"/>
  <c r="J340" i="12"/>
  <c r="K340" i="12"/>
  <c r="L340" i="12"/>
  <c r="M340" i="12"/>
  <c r="C341" i="12"/>
  <c r="D341" i="12"/>
  <c r="E341" i="12"/>
  <c r="F341" i="12"/>
  <c r="G341" i="12"/>
  <c r="H341" i="12"/>
  <c r="I341" i="12"/>
  <c r="J341" i="12"/>
  <c r="K341" i="12"/>
  <c r="L341" i="12"/>
  <c r="M341" i="12"/>
  <c r="C342" i="12"/>
  <c r="D342" i="12"/>
  <c r="E342" i="12"/>
  <c r="F342" i="12"/>
  <c r="G342" i="12"/>
  <c r="H342" i="12"/>
  <c r="I342" i="12"/>
  <c r="J342" i="12"/>
  <c r="K342" i="12"/>
  <c r="L342" i="12"/>
  <c r="M342" i="12"/>
  <c r="C343" i="12"/>
  <c r="D343" i="12"/>
  <c r="E343" i="12"/>
  <c r="F343" i="12"/>
  <c r="G343" i="12"/>
  <c r="H343" i="12"/>
  <c r="I343" i="12"/>
  <c r="J343" i="12"/>
  <c r="K343" i="12"/>
  <c r="L343" i="12"/>
  <c r="M343" i="12"/>
  <c r="C344" i="12"/>
  <c r="D344" i="12"/>
  <c r="E344" i="12"/>
  <c r="F344" i="12"/>
  <c r="G344" i="12"/>
  <c r="H344" i="12"/>
  <c r="I344" i="12"/>
  <c r="J344" i="12"/>
  <c r="K344" i="12"/>
  <c r="L344" i="12"/>
  <c r="M344" i="12"/>
  <c r="C345" i="12"/>
  <c r="D345" i="12"/>
  <c r="E345" i="12"/>
  <c r="F345" i="12"/>
  <c r="G345" i="12"/>
  <c r="H345" i="12"/>
  <c r="I345" i="12"/>
  <c r="J345" i="12"/>
  <c r="K345" i="12"/>
  <c r="L345" i="12"/>
  <c r="M345" i="12"/>
  <c r="C346" i="12"/>
  <c r="D346" i="12"/>
  <c r="E346" i="12"/>
  <c r="F346" i="12"/>
  <c r="G346" i="12"/>
  <c r="H346" i="12"/>
  <c r="I346" i="12"/>
  <c r="J346" i="12"/>
  <c r="K346" i="12"/>
  <c r="L346" i="12"/>
  <c r="M346" i="12"/>
  <c r="C347" i="12"/>
  <c r="D347" i="12"/>
  <c r="E347" i="12"/>
  <c r="F347" i="12"/>
  <c r="G347" i="12"/>
  <c r="H347" i="12"/>
  <c r="I347" i="12"/>
  <c r="J347" i="12"/>
  <c r="K347" i="12"/>
  <c r="L347" i="12"/>
  <c r="M347" i="12"/>
  <c r="C348" i="12"/>
  <c r="D348" i="12"/>
  <c r="E348" i="12"/>
  <c r="F348" i="12"/>
  <c r="G348" i="12"/>
  <c r="H348" i="12"/>
  <c r="I348" i="12"/>
  <c r="J348" i="12"/>
  <c r="K348" i="12"/>
  <c r="L348" i="12"/>
  <c r="M348" i="12"/>
  <c r="C349" i="12"/>
  <c r="D349" i="12"/>
  <c r="E349" i="12"/>
  <c r="F349" i="12"/>
  <c r="G349" i="12"/>
  <c r="H349" i="12"/>
  <c r="I349" i="12"/>
  <c r="J349" i="12"/>
  <c r="K349" i="12"/>
  <c r="L349" i="12"/>
  <c r="M349" i="12"/>
  <c r="C350" i="12"/>
  <c r="D350" i="12"/>
  <c r="E350" i="12"/>
  <c r="F350" i="12"/>
  <c r="G350" i="12"/>
  <c r="H350" i="12"/>
  <c r="I350" i="12"/>
  <c r="J350" i="12"/>
  <c r="K350" i="12"/>
  <c r="L350" i="12"/>
  <c r="M350" i="12"/>
  <c r="C351" i="12"/>
  <c r="D351" i="12"/>
  <c r="E351" i="12"/>
  <c r="F351" i="12"/>
  <c r="G351" i="12"/>
  <c r="H351" i="12"/>
  <c r="I351" i="12"/>
  <c r="J351" i="12"/>
  <c r="K351" i="12"/>
  <c r="L351" i="12"/>
  <c r="M351" i="12"/>
  <c r="C352" i="12"/>
  <c r="D352" i="12"/>
  <c r="E352" i="12"/>
  <c r="F352" i="12"/>
  <c r="G352" i="12"/>
  <c r="H352" i="12"/>
  <c r="I352" i="12"/>
  <c r="J352" i="12"/>
  <c r="K352" i="12"/>
  <c r="L352" i="12"/>
  <c r="M352" i="12"/>
  <c r="C353" i="12"/>
  <c r="D353" i="12"/>
  <c r="E353" i="12"/>
  <c r="F353" i="12"/>
  <c r="G353" i="12"/>
  <c r="H353" i="12"/>
  <c r="I353" i="12"/>
  <c r="J353" i="12"/>
  <c r="K353" i="12"/>
  <c r="L353" i="12"/>
  <c r="M353" i="12"/>
  <c r="C354" i="12"/>
  <c r="D354" i="12"/>
  <c r="E354" i="12"/>
  <c r="F354" i="12"/>
  <c r="G354" i="12"/>
  <c r="H354" i="12"/>
  <c r="I354" i="12"/>
  <c r="J354" i="12"/>
  <c r="K354" i="12"/>
  <c r="L354" i="12"/>
  <c r="M354" i="12"/>
  <c r="C355" i="12"/>
  <c r="D355" i="12"/>
  <c r="E355" i="12"/>
  <c r="F355" i="12"/>
  <c r="G355" i="12"/>
  <c r="H355" i="12"/>
  <c r="I355" i="12"/>
  <c r="J355" i="12"/>
  <c r="K355" i="12"/>
  <c r="L355" i="12"/>
  <c r="M355" i="12"/>
  <c r="C356" i="12"/>
  <c r="D356" i="12"/>
  <c r="E356" i="12"/>
  <c r="F356" i="12"/>
  <c r="G356" i="12"/>
  <c r="H356" i="12"/>
  <c r="I356" i="12"/>
  <c r="J356" i="12"/>
  <c r="K356" i="12"/>
  <c r="L356" i="12"/>
  <c r="M356" i="12"/>
  <c r="C357" i="12"/>
  <c r="D357" i="12"/>
  <c r="E357" i="12"/>
  <c r="F357" i="12"/>
  <c r="G357" i="12"/>
  <c r="H357" i="12"/>
  <c r="I357" i="12"/>
  <c r="J357" i="12"/>
  <c r="K357" i="12"/>
  <c r="L357" i="12"/>
  <c r="M357" i="12"/>
  <c r="C358" i="12"/>
  <c r="D358" i="12"/>
  <c r="E358" i="12"/>
  <c r="F358" i="12"/>
  <c r="G358" i="12"/>
  <c r="H358" i="12"/>
  <c r="I358" i="12"/>
  <c r="J358" i="12"/>
  <c r="K358" i="12"/>
  <c r="L358" i="12"/>
  <c r="M358" i="12"/>
  <c r="C359" i="12"/>
  <c r="D359" i="12"/>
  <c r="E359" i="12"/>
  <c r="F359" i="12"/>
  <c r="G359" i="12"/>
  <c r="H359" i="12"/>
  <c r="I359" i="12"/>
  <c r="J359" i="12"/>
  <c r="K359" i="12"/>
  <c r="L359" i="12"/>
  <c r="M359" i="12"/>
  <c r="C360" i="12"/>
  <c r="D360" i="12"/>
  <c r="E360" i="12"/>
  <c r="F360" i="12"/>
  <c r="G360" i="12"/>
  <c r="H360" i="12"/>
  <c r="I360" i="12"/>
  <c r="J360" i="12"/>
  <c r="K360" i="12"/>
  <c r="L360" i="12"/>
  <c r="M360" i="12"/>
  <c r="C361" i="12"/>
  <c r="D361" i="12"/>
  <c r="E361" i="12"/>
  <c r="F361" i="12"/>
  <c r="G361" i="12"/>
  <c r="H361" i="12"/>
  <c r="I361" i="12"/>
  <c r="J361" i="12"/>
  <c r="K361" i="12"/>
  <c r="L361" i="12"/>
  <c r="M361" i="12"/>
  <c r="C362" i="12"/>
  <c r="D362" i="12"/>
  <c r="E362" i="12"/>
  <c r="F362" i="12"/>
  <c r="G362" i="12"/>
  <c r="H362" i="12"/>
  <c r="I362" i="12"/>
  <c r="J362" i="12"/>
  <c r="K362" i="12"/>
  <c r="L362" i="12"/>
  <c r="M362" i="12"/>
  <c r="C363" i="12"/>
  <c r="D363" i="12"/>
  <c r="E363" i="12"/>
  <c r="F363" i="12"/>
  <c r="G363" i="12"/>
  <c r="H363" i="12"/>
  <c r="I363" i="12"/>
  <c r="J363" i="12"/>
  <c r="K363" i="12"/>
  <c r="L363" i="12"/>
  <c r="M363" i="12"/>
  <c r="C364" i="12"/>
  <c r="D364" i="12"/>
  <c r="E364" i="12"/>
  <c r="F364" i="12"/>
  <c r="G364" i="12"/>
  <c r="H364" i="12"/>
  <c r="I364" i="12"/>
  <c r="J364" i="12"/>
  <c r="K364" i="12"/>
  <c r="L364" i="12"/>
  <c r="M364" i="12"/>
  <c r="C365" i="12"/>
  <c r="D365" i="12"/>
  <c r="E365" i="12"/>
  <c r="F365" i="12"/>
  <c r="G365" i="12"/>
  <c r="H365" i="12"/>
  <c r="I365" i="12"/>
  <c r="J365" i="12"/>
  <c r="K365" i="12"/>
  <c r="L365" i="12"/>
  <c r="M365" i="12"/>
  <c r="C366" i="12"/>
  <c r="D366" i="12"/>
  <c r="E366" i="12"/>
  <c r="F366" i="12"/>
  <c r="G366" i="12"/>
  <c r="H366" i="12"/>
  <c r="I366" i="12"/>
  <c r="J366" i="12"/>
  <c r="K366" i="12"/>
  <c r="L366" i="12"/>
  <c r="M366" i="12"/>
  <c r="C367" i="12"/>
  <c r="D367" i="12"/>
  <c r="E367" i="12"/>
  <c r="F367" i="12"/>
  <c r="G367" i="12"/>
  <c r="H367" i="12"/>
  <c r="I367" i="12"/>
  <c r="J367" i="12"/>
  <c r="K367" i="12"/>
  <c r="L367" i="12"/>
  <c r="M367" i="12"/>
  <c r="C368" i="12"/>
  <c r="D368" i="12"/>
  <c r="E368" i="12"/>
  <c r="F368" i="12"/>
  <c r="G368" i="12"/>
  <c r="H368" i="12"/>
  <c r="I368" i="12"/>
  <c r="J368" i="12"/>
  <c r="K368" i="12"/>
  <c r="L368" i="12"/>
  <c r="M368" i="12"/>
  <c r="C369" i="12"/>
  <c r="D369" i="12"/>
  <c r="E369" i="12"/>
  <c r="F369" i="12"/>
  <c r="G369" i="12"/>
  <c r="H369" i="12"/>
  <c r="I369" i="12"/>
  <c r="J369" i="12"/>
  <c r="K369" i="12"/>
  <c r="L369" i="12"/>
  <c r="M369" i="12"/>
  <c r="C370" i="12"/>
  <c r="D370" i="12"/>
  <c r="E370" i="12"/>
  <c r="F370" i="12"/>
  <c r="G370" i="12"/>
  <c r="H370" i="12"/>
  <c r="I370" i="12"/>
  <c r="J370" i="12"/>
  <c r="K370" i="12"/>
  <c r="L370" i="12"/>
  <c r="M370" i="12"/>
  <c r="C371" i="12"/>
  <c r="D371" i="12"/>
  <c r="E371" i="12"/>
  <c r="F371" i="12"/>
  <c r="G371" i="12"/>
  <c r="H371" i="12"/>
  <c r="I371" i="12"/>
  <c r="J371" i="12"/>
  <c r="K371" i="12"/>
  <c r="L371" i="12"/>
  <c r="M371" i="12"/>
  <c r="C372" i="12"/>
  <c r="D372" i="12"/>
  <c r="E372" i="12"/>
  <c r="F372" i="12"/>
  <c r="G372" i="12"/>
  <c r="H372" i="12"/>
  <c r="I372" i="12"/>
  <c r="J372" i="12"/>
  <c r="K372" i="12"/>
  <c r="L372" i="12"/>
  <c r="M372" i="12"/>
  <c r="C373" i="12"/>
  <c r="D373" i="12"/>
  <c r="E373" i="12"/>
  <c r="F373" i="12"/>
  <c r="G373" i="12"/>
  <c r="H373" i="12"/>
  <c r="I373" i="12"/>
  <c r="J373" i="12"/>
  <c r="K373" i="12"/>
  <c r="L373" i="12"/>
  <c r="M373" i="12"/>
  <c r="C374" i="12"/>
  <c r="D374" i="12"/>
  <c r="E374" i="12"/>
  <c r="F374" i="12"/>
  <c r="G374" i="12"/>
  <c r="H374" i="12"/>
  <c r="I374" i="12"/>
  <c r="J374" i="12"/>
  <c r="K374" i="12"/>
  <c r="L374" i="12"/>
  <c r="M374" i="12"/>
  <c r="C375" i="12"/>
  <c r="D375" i="12"/>
  <c r="E375" i="12"/>
  <c r="F375" i="12"/>
  <c r="G375" i="12"/>
  <c r="H375" i="12"/>
  <c r="I375" i="12"/>
  <c r="J375" i="12"/>
  <c r="K375" i="12"/>
  <c r="L375" i="12"/>
  <c r="M375" i="12"/>
  <c r="C376" i="12"/>
  <c r="D376" i="12"/>
  <c r="E376" i="12"/>
  <c r="F376" i="12"/>
  <c r="G376" i="12"/>
  <c r="H376" i="12"/>
  <c r="I376" i="12"/>
  <c r="J376" i="12"/>
  <c r="K376" i="12"/>
  <c r="L376" i="12"/>
  <c r="M376" i="12"/>
  <c r="C377" i="12"/>
  <c r="D377" i="12"/>
  <c r="E377" i="12"/>
  <c r="F377" i="12"/>
  <c r="G377" i="12"/>
  <c r="H377" i="12"/>
  <c r="I377" i="12"/>
  <c r="J377" i="12"/>
  <c r="K377" i="12"/>
  <c r="L377" i="12"/>
  <c r="M377" i="12"/>
  <c r="C378" i="12"/>
  <c r="D378" i="12"/>
  <c r="E378" i="12"/>
  <c r="F378" i="12"/>
  <c r="G378" i="12"/>
  <c r="H378" i="12"/>
  <c r="I378" i="12"/>
  <c r="J378" i="12"/>
  <c r="K378" i="12"/>
  <c r="L378" i="12"/>
  <c r="M378" i="12"/>
  <c r="C379" i="12"/>
  <c r="D379" i="12"/>
  <c r="E379" i="12"/>
  <c r="F379" i="12"/>
  <c r="G379" i="12"/>
  <c r="H379" i="12"/>
  <c r="I379" i="12"/>
  <c r="J379" i="12"/>
  <c r="K379" i="12"/>
  <c r="L379" i="12"/>
  <c r="M379" i="12"/>
  <c r="C380" i="12"/>
  <c r="D380" i="12"/>
  <c r="E380" i="12"/>
  <c r="F380" i="12"/>
  <c r="G380" i="12"/>
  <c r="H380" i="12"/>
  <c r="I380" i="12"/>
  <c r="J380" i="12"/>
  <c r="K380" i="12"/>
  <c r="L380" i="12"/>
  <c r="M380" i="12"/>
  <c r="C381" i="12"/>
  <c r="D381" i="12"/>
  <c r="E381" i="12"/>
  <c r="F381" i="12"/>
  <c r="G381" i="12"/>
  <c r="H381" i="12"/>
  <c r="I381" i="12"/>
  <c r="J381" i="12"/>
  <c r="K381" i="12"/>
  <c r="L381" i="12"/>
  <c r="M381" i="12"/>
  <c r="C382" i="12"/>
  <c r="D382" i="12"/>
  <c r="E382" i="12"/>
  <c r="F382" i="12"/>
  <c r="G382" i="12"/>
  <c r="H382" i="12"/>
  <c r="I382" i="12"/>
  <c r="J382" i="12"/>
  <c r="K382" i="12"/>
  <c r="L382" i="12"/>
  <c r="M382" i="12"/>
  <c r="C383" i="12"/>
  <c r="D383" i="12"/>
  <c r="E383" i="12"/>
  <c r="F383" i="12"/>
  <c r="G383" i="12"/>
  <c r="H383" i="12"/>
  <c r="I383" i="12"/>
  <c r="J383" i="12"/>
  <c r="K383" i="12"/>
  <c r="L383" i="12"/>
  <c r="M383" i="12"/>
  <c r="C384" i="12"/>
  <c r="D384" i="12"/>
  <c r="E384" i="12"/>
  <c r="F384" i="12"/>
  <c r="G384" i="12"/>
  <c r="H384" i="12"/>
  <c r="I384" i="12"/>
  <c r="J384" i="12"/>
  <c r="K384" i="12"/>
  <c r="L384" i="12"/>
  <c r="M384" i="12"/>
  <c r="C385" i="12"/>
  <c r="D385" i="12"/>
  <c r="E385" i="12"/>
  <c r="F385" i="12"/>
  <c r="G385" i="12"/>
  <c r="H385" i="12"/>
  <c r="I385" i="12"/>
  <c r="J385" i="12"/>
  <c r="K385" i="12"/>
  <c r="L385" i="12"/>
  <c r="M385" i="12"/>
  <c r="C386" i="12"/>
  <c r="D386" i="12"/>
  <c r="E386" i="12"/>
  <c r="F386" i="12"/>
  <c r="G386" i="12"/>
  <c r="H386" i="12"/>
  <c r="I386" i="12"/>
  <c r="J386" i="12"/>
  <c r="K386" i="12"/>
  <c r="L386" i="12"/>
  <c r="M386" i="12"/>
  <c r="C387" i="12"/>
  <c r="D387" i="12"/>
  <c r="E387" i="12"/>
  <c r="F387" i="12"/>
  <c r="G387" i="12"/>
  <c r="H387" i="12"/>
  <c r="I387" i="12"/>
  <c r="J387" i="12"/>
  <c r="K387" i="12"/>
  <c r="L387" i="12"/>
  <c r="M387" i="12"/>
  <c r="C388" i="12"/>
  <c r="D388" i="12"/>
  <c r="E388" i="12"/>
  <c r="F388" i="12"/>
  <c r="G388" i="12"/>
  <c r="H388" i="12"/>
  <c r="I388" i="12"/>
  <c r="J388" i="12"/>
  <c r="K388" i="12"/>
  <c r="L388" i="12"/>
  <c r="M388" i="12"/>
  <c r="C389" i="12"/>
  <c r="D389" i="12"/>
  <c r="E389" i="12"/>
  <c r="F389" i="12"/>
  <c r="G389" i="12"/>
  <c r="H389" i="12"/>
  <c r="I389" i="12"/>
  <c r="J389" i="12"/>
  <c r="K389" i="12"/>
  <c r="L389" i="12"/>
  <c r="M389" i="12"/>
  <c r="C390" i="12"/>
  <c r="D390" i="12"/>
  <c r="E390" i="12"/>
  <c r="F390" i="12"/>
  <c r="G390" i="12"/>
  <c r="H390" i="12"/>
  <c r="I390" i="12"/>
  <c r="J390" i="12"/>
  <c r="K390" i="12"/>
  <c r="L390" i="12"/>
  <c r="M390" i="12"/>
  <c r="C391" i="12"/>
  <c r="D391" i="12"/>
  <c r="E391" i="12"/>
  <c r="F391" i="12"/>
  <c r="G391" i="12"/>
  <c r="H391" i="12"/>
  <c r="I391" i="12"/>
  <c r="J391" i="12"/>
  <c r="K391" i="12"/>
  <c r="L391" i="12"/>
  <c r="M391" i="12"/>
  <c r="C392" i="12"/>
  <c r="D392" i="12"/>
  <c r="E392" i="12"/>
  <c r="F392" i="12"/>
  <c r="G392" i="12"/>
  <c r="H392" i="12"/>
  <c r="I392" i="12"/>
  <c r="J392" i="12"/>
  <c r="K392" i="12"/>
  <c r="L392" i="12"/>
  <c r="M392" i="12"/>
  <c r="C393" i="12"/>
  <c r="D393" i="12"/>
  <c r="E393" i="12"/>
  <c r="F393" i="12"/>
  <c r="G393" i="12"/>
  <c r="H393" i="12"/>
  <c r="I393" i="12"/>
  <c r="J393" i="12"/>
  <c r="K393" i="12"/>
  <c r="L393" i="12"/>
  <c r="M393" i="12"/>
  <c r="C394" i="12"/>
  <c r="D394" i="12"/>
  <c r="E394" i="12"/>
  <c r="F394" i="12"/>
  <c r="G394" i="12"/>
  <c r="H394" i="12"/>
  <c r="I394" i="12"/>
  <c r="J394" i="12"/>
  <c r="K394" i="12"/>
  <c r="L394" i="12"/>
  <c r="M394" i="12"/>
  <c r="C395" i="12"/>
  <c r="D395" i="12"/>
  <c r="E395" i="12"/>
  <c r="F395" i="12"/>
  <c r="G395" i="12"/>
  <c r="H395" i="12"/>
  <c r="I395" i="12"/>
  <c r="J395" i="12"/>
  <c r="K395" i="12"/>
  <c r="L395" i="12"/>
  <c r="M395" i="12"/>
  <c r="C396" i="12"/>
  <c r="D396" i="12"/>
  <c r="E396" i="12"/>
  <c r="F396" i="12"/>
  <c r="G396" i="12"/>
  <c r="H396" i="12"/>
  <c r="I396" i="12"/>
  <c r="J396" i="12"/>
  <c r="K396" i="12"/>
  <c r="L396" i="12"/>
  <c r="M396" i="12"/>
  <c r="C397" i="12"/>
  <c r="D397" i="12"/>
  <c r="E397" i="12"/>
  <c r="F397" i="12"/>
  <c r="G397" i="12"/>
  <c r="H397" i="12"/>
  <c r="I397" i="12"/>
  <c r="J397" i="12"/>
  <c r="K397" i="12"/>
  <c r="L397" i="12"/>
  <c r="M397" i="12"/>
  <c r="C398" i="12"/>
  <c r="D398" i="12"/>
  <c r="E398" i="12"/>
  <c r="F398" i="12"/>
  <c r="G398" i="12"/>
  <c r="H398" i="12"/>
  <c r="I398" i="12"/>
  <c r="J398" i="12"/>
  <c r="K398" i="12"/>
  <c r="L398" i="12"/>
  <c r="M398" i="12"/>
  <c r="C399" i="12"/>
  <c r="D399" i="12"/>
  <c r="E399" i="12"/>
  <c r="F399" i="12"/>
  <c r="G399" i="12"/>
  <c r="H399" i="12"/>
  <c r="I399" i="12"/>
  <c r="J399" i="12"/>
  <c r="K399" i="12"/>
  <c r="L399" i="12"/>
  <c r="M399" i="12"/>
  <c r="C400" i="12"/>
  <c r="D400" i="12"/>
  <c r="E400" i="12"/>
  <c r="F400" i="12"/>
  <c r="G400" i="12"/>
  <c r="H400" i="12"/>
  <c r="I400" i="12"/>
  <c r="J400" i="12"/>
  <c r="K400" i="12"/>
  <c r="L400" i="12"/>
  <c r="M400" i="12"/>
  <c r="C401" i="12"/>
  <c r="D401" i="12"/>
  <c r="E401" i="12"/>
  <c r="F401" i="12"/>
  <c r="G401" i="12"/>
  <c r="H401" i="12"/>
  <c r="I401" i="12"/>
  <c r="J401" i="12"/>
  <c r="K401" i="12"/>
  <c r="L401" i="12"/>
  <c r="M401" i="12"/>
  <c r="C402" i="12"/>
  <c r="D402" i="12"/>
  <c r="E402" i="12"/>
  <c r="F402" i="12"/>
  <c r="G402" i="12"/>
  <c r="H402" i="12"/>
  <c r="I402" i="12"/>
  <c r="J402" i="12"/>
  <c r="K402" i="12"/>
  <c r="L402" i="12"/>
  <c r="M402" i="12"/>
  <c r="C403" i="12"/>
  <c r="D403" i="12"/>
  <c r="E403" i="12"/>
  <c r="F403" i="12"/>
  <c r="G403" i="12"/>
  <c r="H403" i="12"/>
  <c r="I403" i="12"/>
  <c r="J403" i="12"/>
  <c r="K403" i="12"/>
  <c r="L403" i="12"/>
  <c r="M403" i="12"/>
  <c r="C404" i="12"/>
  <c r="D404" i="12"/>
  <c r="E404" i="12"/>
  <c r="F404" i="12"/>
  <c r="G404" i="12"/>
  <c r="H404" i="12"/>
  <c r="I404" i="12"/>
  <c r="J404" i="12"/>
  <c r="K404" i="12"/>
  <c r="L404" i="12"/>
  <c r="M404" i="12"/>
  <c r="C405" i="12"/>
  <c r="D405" i="12"/>
  <c r="E405" i="12"/>
  <c r="F405" i="12"/>
  <c r="G405" i="12"/>
  <c r="H405" i="12"/>
  <c r="I405" i="12"/>
  <c r="J405" i="12"/>
  <c r="K405" i="12"/>
  <c r="L405" i="12"/>
  <c r="M405" i="12"/>
  <c r="C406" i="12"/>
  <c r="D406" i="12"/>
  <c r="E406" i="12"/>
  <c r="F406" i="12"/>
  <c r="G406" i="12"/>
  <c r="H406" i="12"/>
  <c r="I406" i="12"/>
  <c r="J406" i="12"/>
  <c r="K406" i="12"/>
  <c r="L406" i="12"/>
  <c r="M406" i="12"/>
  <c r="C407" i="12"/>
  <c r="D407" i="12"/>
  <c r="E407" i="12"/>
  <c r="F407" i="12"/>
  <c r="G407" i="12"/>
  <c r="H407" i="12"/>
  <c r="I407" i="12"/>
  <c r="J407" i="12"/>
  <c r="K407" i="12"/>
  <c r="L407" i="12"/>
  <c r="M407" i="12"/>
  <c r="C408" i="12"/>
  <c r="D408" i="12"/>
  <c r="E408" i="12"/>
  <c r="F408" i="12"/>
  <c r="G408" i="12"/>
  <c r="H408" i="12"/>
  <c r="I408" i="12"/>
  <c r="J408" i="12"/>
  <c r="K408" i="12"/>
  <c r="L408" i="12"/>
  <c r="M408" i="12"/>
  <c r="C409" i="12"/>
  <c r="D409" i="12"/>
  <c r="E409" i="12"/>
  <c r="F409" i="12"/>
  <c r="G409" i="12"/>
  <c r="H409" i="12"/>
  <c r="I409" i="12"/>
  <c r="J409" i="12"/>
  <c r="K409" i="12"/>
  <c r="L409" i="12"/>
  <c r="M409" i="12"/>
  <c r="C410" i="12"/>
  <c r="D410" i="12"/>
  <c r="E410" i="12"/>
  <c r="F410" i="12"/>
  <c r="G410" i="12"/>
  <c r="H410" i="12"/>
  <c r="I410" i="12"/>
  <c r="J410" i="12"/>
  <c r="K410" i="12"/>
  <c r="L410" i="12"/>
  <c r="M410" i="12"/>
  <c r="C411" i="12"/>
  <c r="D411" i="12"/>
  <c r="E411" i="12"/>
  <c r="F411" i="12"/>
  <c r="G411" i="12"/>
  <c r="H411" i="12"/>
  <c r="I411" i="12"/>
  <c r="J411" i="12"/>
  <c r="K411" i="12"/>
  <c r="L411" i="12"/>
  <c r="M411" i="12"/>
  <c r="C412" i="12"/>
  <c r="D412" i="12"/>
  <c r="E412" i="12"/>
  <c r="F412" i="12"/>
  <c r="G412" i="12"/>
  <c r="H412" i="12"/>
  <c r="I412" i="12"/>
  <c r="J412" i="12"/>
  <c r="K412" i="12"/>
  <c r="L412" i="12"/>
  <c r="M412" i="12"/>
  <c r="C413" i="12"/>
  <c r="D413" i="12"/>
  <c r="E413" i="12"/>
  <c r="F413" i="12"/>
  <c r="G413" i="12"/>
  <c r="H413" i="12"/>
  <c r="I413" i="12"/>
  <c r="J413" i="12"/>
  <c r="K413" i="12"/>
  <c r="L413" i="12"/>
  <c r="M413" i="12"/>
  <c r="C414" i="12"/>
  <c r="D414" i="12"/>
  <c r="E414" i="12"/>
  <c r="F414" i="12"/>
  <c r="G414" i="12"/>
  <c r="H414" i="12"/>
  <c r="I414" i="12"/>
  <c r="J414" i="12"/>
  <c r="K414" i="12"/>
  <c r="L414" i="12"/>
  <c r="M414" i="12"/>
  <c r="C415" i="12"/>
  <c r="D415" i="12"/>
  <c r="E415" i="12"/>
  <c r="F415" i="12"/>
  <c r="G415" i="12"/>
  <c r="H415" i="12"/>
  <c r="I415" i="12"/>
  <c r="J415" i="12"/>
  <c r="K415" i="12"/>
  <c r="L415" i="12"/>
  <c r="M415" i="12"/>
  <c r="C416" i="12"/>
  <c r="D416" i="12"/>
  <c r="E416" i="12"/>
  <c r="F416" i="12"/>
  <c r="G416" i="12"/>
  <c r="H416" i="12"/>
  <c r="I416" i="12"/>
  <c r="J416" i="12"/>
  <c r="K416" i="12"/>
  <c r="L416" i="12"/>
  <c r="M416" i="12"/>
  <c r="C417" i="12"/>
  <c r="D417" i="12"/>
  <c r="E417" i="12"/>
  <c r="F417" i="12"/>
  <c r="G417" i="12"/>
  <c r="H417" i="12"/>
  <c r="I417" i="12"/>
  <c r="J417" i="12"/>
  <c r="K417" i="12"/>
  <c r="L417" i="12"/>
  <c r="M417" i="12"/>
  <c r="C418" i="12"/>
  <c r="D418" i="12"/>
  <c r="E418" i="12"/>
  <c r="F418" i="12"/>
  <c r="G418" i="12"/>
  <c r="H418" i="12"/>
  <c r="I418" i="12"/>
  <c r="J418" i="12"/>
  <c r="K418" i="12"/>
  <c r="L418" i="12"/>
  <c r="M418" i="12"/>
  <c r="C419" i="12"/>
  <c r="D419" i="12"/>
  <c r="E419" i="12"/>
  <c r="F419" i="12"/>
  <c r="G419" i="12"/>
  <c r="H419" i="12"/>
  <c r="I419" i="12"/>
  <c r="J419" i="12"/>
  <c r="K419" i="12"/>
  <c r="L419" i="12"/>
  <c r="M419" i="12"/>
  <c r="C420" i="12"/>
  <c r="D420" i="12"/>
  <c r="E420" i="12"/>
  <c r="F420" i="12"/>
  <c r="G420" i="12"/>
  <c r="H420" i="12"/>
  <c r="I420" i="12"/>
  <c r="J420" i="12"/>
  <c r="K420" i="12"/>
  <c r="L420" i="12"/>
  <c r="M420" i="12"/>
  <c r="C421" i="12"/>
  <c r="D421" i="12"/>
  <c r="E421" i="12"/>
  <c r="F421" i="12"/>
  <c r="G421" i="12"/>
  <c r="H421" i="12"/>
  <c r="I421" i="12"/>
  <c r="J421" i="12"/>
  <c r="K421" i="12"/>
  <c r="L421" i="12"/>
  <c r="M421" i="12"/>
  <c r="C422" i="12"/>
  <c r="D422" i="12"/>
  <c r="E422" i="12"/>
  <c r="F422" i="12"/>
  <c r="G422" i="12"/>
  <c r="H422" i="12"/>
  <c r="I422" i="12"/>
  <c r="J422" i="12"/>
  <c r="K422" i="12"/>
  <c r="L422" i="12"/>
  <c r="M422" i="12"/>
  <c r="C423" i="12"/>
  <c r="D423" i="12"/>
  <c r="E423" i="12"/>
  <c r="F423" i="12"/>
  <c r="G423" i="12"/>
  <c r="H423" i="12"/>
  <c r="I423" i="12"/>
  <c r="J423" i="12"/>
  <c r="K423" i="12"/>
  <c r="L423" i="12"/>
  <c r="M423" i="12"/>
  <c r="C424" i="12"/>
  <c r="D424" i="12"/>
  <c r="E424" i="12"/>
  <c r="F424" i="12"/>
  <c r="G424" i="12"/>
  <c r="H424" i="12"/>
  <c r="I424" i="12"/>
  <c r="J424" i="12"/>
  <c r="K424" i="12"/>
  <c r="L424" i="12"/>
  <c r="M424" i="12"/>
  <c r="C425" i="12"/>
  <c r="D425" i="12"/>
  <c r="E425" i="12"/>
  <c r="F425" i="12"/>
  <c r="G425" i="12"/>
  <c r="H425" i="12"/>
  <c r="I425" i="12"/>
  <c r="J425" i="12"/>
  <c r="K425" i="12"/>
  <c r="L425" i="12"/>
  <c r="M425" i="12"/>
  <c r="C426" i="12"/>
  <c r="D426" i="12"/>
  <c r="E426" i="12"/>
  <c r="F426" i="12"/>
  <c r="G426" i="12"/>
  <c r="H426" i="12"/>
  <c r="I426" i="12"/>
  <c r="J426" i="12"/>
  <c r="K426" i="12"/>
  <c r="L426" i="12"/>
  <c r="M426" i="12"/>
  <c r="C427" i="12"/>
  <c r="D427" i="12"/>
  <c r="E427" i="12"/>
  <c r="F427" i="12"/>
  <c r="G427" i="12"/>
  <c r="H427" i="12"/>
  <c r="I427" i="12"/>
  <c r="J427" i="12"/>
  <c r="K427" i="12"/>
  <c r="L427" i="12"/>
  <c r="M427" i="12"/>
  <c r="C428" i="12"/>
  <c r="D428" i="12"/>
  <c r="E428" i="12"/>
  <c r="F428" i="12"/>
  <c r="G428" i="12"/>
  <c r="H428" i="12"/>
  <c r="I428" i="12"/>
  <c r="J428" i="12"/>
  <c r="K428" i="12"/>
  <c r="L428" i="12"/>
  <c r="M428" i="12"/>
  <c r="C429" i="12"/>
  <c r="D429" i="12"/>
  <c r="E429" i="12"/>
  <c r="F429" i="12"/>
  <c r="G429" i="12"/>
  <c r="H429" i="12"/>
  <c r="I429" i="12"/>
  <c r="J429" i="12"/>
  <c r="K429" i="12"/>
  <c r="L429" i="12"/>
  <c r="M429" i="12"/>
  <c r="C430" i="12"/>
  <c r="D430" i="12"/>
  <c r="E430" i="12"/>
  <c r="F430" i="12"/>
  <c r="G430" i="12"/>
  <c r="H430" i="12"/>
  <c r="I430" i="12"/>
  <c r="J430" i="12"/>
  <c r="K430" i="12"/>
  <c r="L430" i="12"/>
  <c r="M430" i="12"/>
  <c r="C431" i="12"/>
  <c r="D431" i="12"/>
  <c r="E431" i="12"/>
  <c r="F431" i="12"/>
  <c r="G431" i="12"/>
  <c r="H431" i="12"/>
  <c r="I431" i="12"/>
  <c r="J431" i="12"/>
  <c r="K431" i="12"/>
  <c r="L431" i="12"/>
  <c r="M431" i="12"/>
  <c r="C432" i="12"/>
  <c r="D432" i="12"/>
  <c r="E432" i="12"/>
  <c r="F432" i="12"/>
  <c r="G432" i="12"/>
  <c r="H432" i="12"/>
  <c r="I432" i="12"/>
  <c r="J432" i="12"/>
  <c r="K432" i="12"/>
  <c r="L432" i="12"/>
  <c r="M432" i="12"/>
  <c r="C433" i="12"/>
  <c r="D433" i="12"/>
  <c r="E433" i="12"/>
  <c r="F433" i="12"/>
  <c r="G433" i="12"/>
  <c r="H433" i="12"/>
  <c r="I433" i="12"/>
  <c r="J433" i="12"/>
  <c r="K433" i="12"/>
  <c r="L433" i="12"/>
  <c r="M433" i="12"/>
  <c r="C434" i="12"/>
  <c r="D434" i="12"/>
  <c r="E434" i="12"/>
  <c r="F434" i="12"/>
  <c r="G434" i="12"/>
  <c r="H434" i="12"/>
  <c r="I434" i="12"/>
  <c r="J434" i="12"/>
  <c r="K434" i="12"/>
  <c r="L434" i="12"/>
  <c r="M434" i="12"/>
  <c r="C435" i="12"/>
  <c r="D435" i="12"/>
  <c r="E435" i="12"/>
  <c r="F435" i="12"/>
  <c r="G435" i="12"/>
  <c r="H435" i="12"/>
  <c r="I435" i="12"/>
  <c r="J435" i="12"/>
  <c r="K435" i="12"/>
  <c r="L435" i="12"/>
  <c r="M435" i="12"/>
  <c r="C436" i="12"/>
  <c r="D436" i="12"/>
  <c r="E436" i="12"/>
  <c r="F436" i="12"/>
  <c r="G436" i="12"/>
  <c r="H436" i="12"/>
  <c r="I436" i="12"/>
  <c r="J436" i="12"/>
  <c r="K436" i="12"/>
  <c r="L436" i="12"/>
  <c r="M436" i="12"/>
  <c r="C437" i="12"/>
  <c r="D437" i="12"/>
  <c r="E437" i="12"/>
  <c r="F437" i="12"/>
  <c r="G437" i="12"/>
  <c r="H437" i="12"/>
  <c r="I437" i="12"/>
  <c r="J437" i="12"/>
  <c r="K437" i="12"/>
  <c r="L437" i="12"/>
  <c r="M437" i="12"/>
  <c r="C438" i="12"/>
  <c r="D438" i="12"/>
  <c r="E438" i="12"/>
  <c r="F438" i="12"/>
  <c r="G438" i="12"/>
  <c r="H438" i="12"/>
  <c r="I438" i="12"/>
  <c r="J438" i="12"/>
  <c r="K438" i="12"/>
  <c r="L438" i="12"/>
  <c r="M438" i="12"/>
  <c r="C439" i="12"/>
  <c r="D439" i="12"/>
  <c r="E439" i="12"/>
  <c r="F439" i="12"/>
  <c r="G439" i="12"/>
  <c r="H439" i="12"/>
  <c r="I439" i="12"/>
  <c r="J439" i="12"/>
  <c r="K439" i="12"/>
  <c r="L439" i="12"/>
  <c r="M439" i="12"/>
  <c r="C440" i="12"/>
  <c r="D440" i="12"/>
  <c r="E440" i="12"/>
  <c r="F440" i="12"/>
  <c r="G440" i="12"/>
  <c r="H440" i="12"/>
  <c r="I440" i="12"/>
  <c r="J440" i="12"/>
  <c r="K440" i="12"/>
  <c r="L440" i="12"/>
  <c r="M440" i="12"/>
  <c r="C441" i="12"/>
  <c r="D441" i="12"/>
  <c r="E441" i="12"/>
  <c r="F441" i="12"/>
  <c r="G441" i="12"/>
  <c r="H441" i="12"/>
  <c r="I441" i="12"/>
  <c r="J441" i="12"/>
  <c r="K441" i="12"/>
  <c r="L441" i="12"/>
  <c r="M441" i="12"/>
  <c r="C442" i="12"/>
  <c r="D442" i="12"/>
  <c r="E442" i="12"/>
  <c r="F442" i="12"/>
  <c r="G442" i="12"/>
  <c r="H442" i="12"/>
  <c r="I442" i="12"/>
  <c r="J442" i="12"/>
  <c r="K442" i="12"/>
  <c r="L442" i="12"/>
  <c r="M442" i="12"/>
  <c r="C443" i="12"/>
  <c r="D443" i="12"/>
  <c r="E443" i="12"/>
  <c r="F443" i="12"/>
  <c r="G443" i="12"/>
  <c r="H443" i="12"/>
  <c r="I443" i="12"/>
  <c r="J443" i="12"/>
  <c r="K443" i="12"/>
  <c r="L443" i="12"/>
  <c r="M443" i="12"/>
  <c r="C444" i="12"/>
  <c r="D444" i="12"/>
  <c r="E444" i="12"/>
  <c r="F444" i="12"/>
  <c r="G444" i="12"/>
  <c r="H444" i="12"/>
  <c r="I444" i="12"/>
  <c r="J444" i="12"/>
  <c r="K444" i="12"/>
  <c r="L444" i="12"/>
  <c r="M444" i="12"/>
  <c r="C445" i="12"/>
  <c r="D445" i="12"/>
  <c r="E445" i="12"/>
  <c r="F445" i="12"/>
  <c r="G445" i="12"/>
  <c r="H445" i="12"/>
  <c r="I445" i="12"/>
  <c r="J445" i="12"/>
  <c r="K445" i="12"/>
  <c r="L445" i="12"/>
  <c r="M445" i="12"/>
  <c r="C446" i="12"/>
  <c r="D446" i="12"/>
  <c r="E446" i="12"/>
  <c r="F446" i="12"/>
  <c r="G446" i="12"/>
  <c r="H446" i="12"/>
  <c r="I446" i="12"/>
  <c r="J446" i="12"/>
  <c r="K446" i="12"/>
  <c r="L446" i="12"/>
  <c r="M446" i="12"/>
  <c r="C447" i="12"/>
  <c r="D447" i="12"/>
  <c r="E447" i="12"/>
  <c r="F447" i="12"/>
  <c r="G447" i="12"/>
  <c r="H447" i="12"/>
  <c r="I447" i="12"/>
  <c r="J447" i="12"/>
  <c r="K447" i="12"/>
  <c r="L447" i="12"/>
  <c r="M447" i="12"/>
  <c r="C448" i="12"/>
  <c r="D448" i="12"/>
  <c r="E448" i="12"/>
  <c r="F448" i="12"/>
  <c r="G448" i="12"/>
  <c r="H448" i="12"/>
  <c r="I448" i="12"/>
  <c r="J448" i="12"/>
  <c r="K448" i="12"/>
  <c r="L448" i="12"/>
  <c r="M448" i="12"/>
  <c r="C449" i="12"/>
  <c r="D449" i="12"/>
  <c r="E449" i="12"/>
  <c r="F449" i="12"/>
  <c r="G449" i="12"/>
  <c r="H449" i="12"/>
  <c r="I449" i="12"/>
  <c r="J449" i="12"/>
  <c r="K449" i="12"/>
  <c r="L449" i="12"/>
  <c r="M449" i="12"/>
  <c r="C450" i="12"/>
  <c r="D450" i="12"/>
  <c r="E450" i="12"/>
  <c r="F450" i="12"/>
  <c r="G450" i="12"/>
  <c r="H450" i="12"/>
  <c r="I450" i="12"/>
  <c r="J450" i="12"/>
  <c r="K450" i="12"/>
  <c r="L450" i="12"/>
  <c r="M450" i="12"/>
  <c r="C451" i="12"/>
  <c r="D451" i="12"/>
  <c r="E451" i="12"/>
  <c r="F451" i="12"/>
  <c r="G451" i="12"/>
  <c r="H451" i="12"/>
  <c r="I451" i="12"/>
  <c r="J451" i="12"/>
  <c r="K451" i="12"/>
  <c r="L451" i="12"/>
  <c r="M451" i="12"/>
  <c r="C452" i="12"/>
  <c r="D452" i="12"/>
  <c r="E452" i="12"/>
  <c r="F452" i="12"/>
  <c r="G452" i="12"/>
  <c r="H452" i="12"/>
  <c r="I452" i="12"/>
  <c r="J452" i="12"/>
  <c r="K452" i="12"/>
  <c r="L452" i="12"/>
  <c r="M452" i="12"/>
  <c r="C453" i="12"/>
  <c r="D453" i="12"/>
  <c r="E453" i="12"/>
  <c r="F453" i="12"/>
  <c r="G453" i="12"/>
  <c r="H453" i="12"/>
  <c r="I453" i="12"/>
  <c r="J453" i="12"/>
  <c r="K453" i="12"/>
  <c r="L453" i="12"/>
  <c r="M453" i="12"/>
  <c r="C454" i="12"/>
  <c r="D454" i="12"/>
  <c r="E454" i="12"/>
  <c r="F454" i="12"/>
  <c r="G454" i="12"/>
  <c r="H454" i="12"/>
  <c r="I454" i="12"/>
  <c r="J454" i="12"/>
  <c r="K454" i="12"/>
  <c r="L454" i="12"/>
  <c r="M454" i="12"/>
  <c r="C455" i="12"/>
  <c r="D455" i="12"/>
  <c r="E455" i="12"/>
  <c r="F455" i="12"/>
  <c r="G455" i="12"/>
  <c r="H455" i="12"/>
  <c r="I455" i="12"/>
  <c r="J455" i="12"/>
  <c r="K455" i="12"/>
  <c r="L455" i="12"/>
  <c r="M455" i="12"/>
  <c r="C456" i="12"/>
  <c r="D456" i="12"/>
  <c r="E456" i="12"/>
  <c r="F456" i="12"/>
  <c r="G456" i="12"/>
  <c r="H456" i="12"/>
  <c r="I456" i="12"/>
  <c r="J456" i="12"/>
  <c r="K456" i="12"/>
  <c r="L456" i="12"/>
  <c r="M456" i="12"/>
  <c r="C457" i="12"/>
  <c r="D457" i="12"/>
  <c r="E457" i="12"/>
  <c r="F457" i="12"/>
  <c r="G457" i="12"/>
  <c r="H457" i="12"/>
  <c r="I457" i="12"/>
  <c r="J457" i="12"/>
  <c r="K457" i="12"/>
  <c r="L457" i="12"/>
  <c r="M457" i="12"/>
  <c r="C458" i="12"/>
  <c r="D458" i="12"/>
  <c r="E458" i="12"/>
  <c r="F458" i="12"/>
  <c r="G458" i="12"/>
  <c r="H458" i="12"/>
  <c r="I458" i="12"/>
  <c r="J458" i="12"/>
  <c r="K458" i="12"/>
  <c r="L458" i="12"/>
  <c r="M458" i="12"/>
  <c r="C459" i="12"/>
  <c r="D459" i="12"/>
  <c r="E459" i="12"/>
  <c r="F459" i="12"/>
  <c r="G459" i="12"/>
  <c r="H459" i="12"/>
  <c r="I459" i="12"/>
  <c r="J459" i="12"/>
  <c r="K459" i="12"/>
  <c r="L459" i="12"/>
  <c r="M459" i="12"/>
  <c r="C460" i="12"/>
  <c r="D460" i="12"/>
  <c r="E460" i="12"/>
  <c r="F460" i="12"/>
  <c r="G460" i="12"/>
  <c r="H460" i="12"/>
  <c r="I460" i="12"/>
  <c r="J460" i="12"/>
  <c r="K460" i="12"/>
  <c r="L460" i="12"/>
  <c r="M460" i="12"/>
  <c r="C461" i="12"/>
  <c r="D461" i="12"/>
  <c r="E461" i="12"/>
  <c r="F461" i="12"/>
  <c r="G461" i="12"/>
  <c r="H461" i="12"/>
  <c r="I461" i="12"/>
  <c r="J461" i="12"/>
  <c r="K461" i="12"/>
  <c r="L461" i="12"/>
  <c r="M461" i="12"/>
  <c r="C462" i="12"/>
  <c r="D462" i="12"/>
  <c r="E462" i="12"/>
  <c r="F462" i="12"/>
  <c r="G462" i="12"/>
  <c r="H462" i="12"/>
  <c r="I462" i="12"/>
  <c r="J462" i="12"/>
  <c r="K462" i="12"/>
  <c r="L462" i="12"/>
  <c r="M462" i="12"/>
  <c r="C463" i="12"/>
  <c r="D463" i="12"/>
  <c r="E463" i="12"/>
  <c r="F463" i="12"/>
  <c r="G463" i="12"/>
  <c r="H463" i="12"/>
  <c r="I463" i="12"/>
  <c r="J463" i="12"/>
  <c r="K463" i="12"/>
  <c r="L463" i="12"/>
  <c r="M463" i="12"/>
  <c r="C464" i="12"/>
  <c r="D464" i="12"/>
  <c r="E464" i="12"/>
  <c r="F464" i="12"/>
  <c r="G464" i="12"/>
  <c r="H464" i="12"/>
  <c r="I464" i="12"/>
  <c r="J464" i="12"/>
  <c r="K464" i="12"/>
  <c r="L464" i="12"/>
  <c r="M464" i="12"/>
  <c r="C465" i="12"/>
  <c r="D465" i="12"/>
  <c r="E465" i="12"/>
  <c r="F465" i="12"/>
  <c r="G465" i="12"/>
  <c r="H465" i="12"/>
  <c r="I465" i="12"/>
  <c r="J465" i="12"/>
  <c r="K465" i="12"/>
  <c r="L465" i="12"/>
  <c r="M465" i="12"/>
  <c r="C466" i="12"/>
  <c r="D466" i="12"/>
  <c r="E466" i="12"/>
  <c r="F466" i="12"/>
  <c r="G466" i="12"/>
  <c r="H466" i="12"/>
  <c r="I466" i="12"/>
  <c r="J466" i="12"/>
  <c r="K466" i="12"/>
  <c r="L466" i="12"/>
  <c r="M466" i="12"/>
  <c r="C467" i="12"/>
  <c r="D467" i="12"/>
  <c r="E467" i="12"/>
  <c r="F467" i="12"/>
  <c r="G467" i="12"/>
  <c r="H467" i="12"/>
  <c r="I467" i="12"/>
  <c r="J467" i="12"/>
  <c r="K467" i="12"/>
  <c r="L467" i="12"/>
  <c r="M467" i="12"/>
  <c r="C468" i="12"/>
  <c r="D468" i="12"/>
  <c r="E468" i="12"/>
  <c r="F468" i="12"/>
  <c r="G468" i="12"/>
  <c r="H468" i="12"/>
  <c r="I468" i="12"/>
  <c r="J468" i="12"/>
  <c r="K468" i="12"/>
  <c r="L468" i="12"/>
  <c r="M468" i="12"/>
  <c r="C469" i="12"/>
  <c r="D469" i="12"/>
  <c r="E469" i="12"/>
  <c r="F469" i="12"/>
  <c r="G469" i="12"/>
  <c r="H469" i="12"/>
  <c r="I469" i="12"/>
  <c r="J469" i="12"/>
  <c r="K469" i="12"/>
  <c r="L469" i="12"/>
  <c r="M469" i="12"/>
  <c r="C470" i="12"/>
  <c r="D470" i="12"/>
  <c r="E470" i="12"/>
  <c r="F470" i="12"/>
  <c r="G470" i="12"/>
  <c r="H470" i="12"/>
  <c r="I470" i="12"/>
  <c r="J470" i="12"/>
  <c r="K470" i="12"/>
  <c r="L470" i="12"/>
  <c r="M470" i="12"/>
  <c r="C471" i="12"/>
  <c r="D471" i="12"/>
  <c r="E471" i="12"/>
  <c r="F471" i="12"/>
  <c r="G471" i="12"/>
  <c r="H471" i="12"/>
  <c r="I471" i="12"/>
  <c r="J471" i="12"/>
  <c r="K471" i="12"/>
  <c r="L471" i="12"/>
  <c r="M471" i="12"/>
  <c r="C472" i="12"/>
  <c r="D472" i="12"/>
  <c r="E472" i="12"/>
  <c r="F472" i="12"/>
  <c r="G472" i="12"/>
  <c r="H472" i="12"/>
  <c r="I472" i="12"/>
  <c r="J472" i="12"/>
  <c r="K472" i="12"/>
  <c r="L472" i="12"/>
  <c r="M472" i="12"/>
  <c r="C473" i="12"/>
  <c r="D473" i="12"/>
  <c r="E473" i="12"/>
  <c r="F473" i="12"/>
  <c r="G473" i="12"/>
  <c r="H473" i="12"/>
  <c r="I473" i="12"/>
  <c r="J473" i="12"/>
  <c r="K473" i="12"/>
  <c r="L473" i="12"/>
  <c r="M473" i="12"/>
  <c r="C474" i="12"/>
  <c r="D474" i="12"/>
  <c r="E474" i="12"/>
  <c r="F474" i="12"/>
  <c r="G474" i="12"/>
  <c r="H474" i="12"/>
  <c r="I474" i="12"/>
  <c r="J474" i="12"/>
  <c r="K474" i="12"/>
  <c r="L474" i="12"/>
  <c r="M474" i="12"/>
  <c r="C475" i="12"/>
  <c r="D475" i="12"/>
  <c r="E475" i="12"/>
  <c r="F475" i="12"/>
  <c r="G475" i="12"/>
  <c r="H475" i="12"/>
  <c r="I475" i="12"/>
  <c r="J475" i="12"/>
  <c r="K475" i="12"/>
  <c r="L475" i="12"/>
  <c r="M475" i="12"/>
  <c r="C476" i="12"/>
  <c r="D476" i="12"/>
  <c r="E476" i="12"/>
  <c r="F476" i="12"/>
  <c r="G476" i="12"/>
  <c r="H476" i="12"/>
  <c r="I476" i="12"/>
  <c r="J476" i="12"/>
  <c r="K476" i="12"/>
  <c r="L476" i="12"/>
  <c r="M476" i="12"/>
  <c r="C477" i="12"/>
  <c r="D477" i="12"/>
  <c r="E477" i="12"/>
  <c r="F477" i="12"/>
  <c r="G477" i="12"/>
  <c r="H477" i="12"/>
  <c r="I477" i="12"/>
  <c r="J477" i="12"/>
  <c r="K477" i="12"/>
  <c r="L477" i="12"/>
  <c r="M477" i="12"/>
  <c r="C478" i="12"/>
  <c r="D478" i="12"/>
  <c r="E478" i="12"/>
  <c r="F478" i="12"/>
  <c r="G478" i="12"/>
  <c r="H478" i="12"/>
  <c r="I478" i="12"/>
  <c r="J478" i="12"/>
  <c r="K478" i="12"/>
  <c r="L478" i="12"/>
  <c r="M478" i="12"/>
  <c r="C479" i="12"/>
  <c r="D479" i="12"/>
  <c r="E479" i="12"/>
  <c r="F479" i="12"/>
  <c r="G479" i="12"/>
  <c r="H479" i="12"/>
  <c r="I479" i="12"/>
  <c r="J479" i="12"/>
  <c r="K479" i="12"/>
  <c r="L479" i="12"/>
  <c r="M479" i="12"/>
  <c r="C480" i="12"/>
  <c r="D480" i="12"/>
  <c r="E480" i="12"/>
  <c r="F480" i="12"/>
  <c r="G480" i="12"/>
  <c r="H480" i="12"/>
  <c r="I480" i="12"/>
  <c r="J480" i="12"/>
  <c r="K480" i="12"/>
  <c r="L480" i="12"/>
  <c r="M480" i="12"/>
  <c r="C481" i="12"/>
  <c r="D481" i="12"/>
  <c r="E481" i="12"/>
  <c r="F481" i="12"/>
  <c r="G481" i="12"/>
  <c r="H481" i="12"/>
  <c r="I481" i="12"/>
  <c r="J481" i="12"/>
  <c r="K481" i="12"/>
  <c r="L481" i="12"/>
  <c r="M481" i="12"/>
  <c r="C482" i="12"/>
  <c r="D482" i="12"/>
  <c r="E482" i="12"/>
  <c r="F482" i="12"/>
  <c r="G482" i="12"/>
  <c r="H482" i="12"/>
  <c r="I482" i="12"/>
  <c r="J482" i="12"/>
  <c r="K482" i="12"/>
  <c r="L482" i="12"/>
  <c r="M482" i="12"/>
  <c r="C483" i="12"/>
  <c r="D483" i="12"/>
  <c r="E483" i="12"/>
  <c r="F483" i="12"/>
  <c r="G483" i="12"/>
  <c r="H483" i="12"/>
  <c r="I483" i="12"/>
  <c r="J483" i="12"/>
  <c r="K483" i="12"/>
  <c r="L483" i="12"/>
  <c r="M483" i="12"/>
  <c r="C484" i="12"/>
  <c r="D484" i="12"/>
  <c r="E484" i="12"/>
  <c r="F484" i="12"/>
  <c r="G484" i="12"/>
  <c r="H484" i="12"/>
  <c r="I484" i="12"/>
  <c r="J484" i="12"/>
  <c r="K484" i="12"/>
  <c r="L484" i="12"/>
  <c r="M484" i="12"/>
  <c r="C485" i="12"/>
  <c r="D485" i="12"/>
  <c r="E485" i="12"/>
  <c r="F485" i="12"/>
  <c r="G485" i="12"/>
  <c r="H485" i="12"/>
  <c r="I485" i="12"/>
  <c r="J485" i="12"/>
  <c r="K485" i="12"/>
  <c r="L485" i="12"/>
  <c r="M485" i="12"/>
  <c r="C486" i="12"/>
  <c r="D486" i="12"/>
  <c r="E486" i="12"/>
  <c r="F486" i="12"/>
  <c r="G486" i="12"/>
  <c r="H486" i="12"/>
  <c r="I486" i="12"/>
  <c r="J486" i="12"/>
  <c r="K486" i="12"/>
  <c r="L486" i="12"/>
  <c r="M486" i="12"/>
  <c r="C487" i="12"/>
  <c r="D487" i="12"/>
  <c r="E487" i="12"/>
  <c r="F487" i="12"/>
  <c r="G487" i="12"/>
  <c r="H487" i="12"/>
  <c r="I487" i="12"/>
  <c r="J487" i="12"/>
  <c r="K487" i="12"/>
  <c r="L487" i="12"/>
  <c r="M487" i="12"/>
  <c r="C488" i="12"/>
  <c r="D488" i="12"/>
  <c r="E488" i="12"/>
  <c r="F488" i="12"/>
  <c r="G488" i="12"/>
  <c r="H488" i="12"/>
  <c r="I488" i="12"/>
  <c r="J488" i="12"/>
  <c r="K488" i="12"/>
  <c r="L488" i="12"/>
  <c r="M488" i="12"/>
  <c r="C489" i="12"/>
  <c r="D489" i="12"/>
  <c r="E489" i="12"/>
  <c r="F489" i="12"/>
  <c r="G489" i="12"/>
  <c r="H489" i="12"/>
  <c r="I489" i="12"/>
  <c r="J489" i="12"/>
  <c r="K489" i="12"/>
  <c r="L489" i="12"/>
  <c r="M489" i="12"/>
  <c r="C490" i="12"/>
  <c r="D490" i="12"/>
  <c r="E490" i="12"/>
  <c r="F490" i="12"/>
  <c r="G490" i="12"/>
  <c r="H490" i="12"/>
  <c r="I490" i="12"/>
  <c r="J490" i="12"/>
  <c r="K490" i="12"/>
  <c r="L490" i="12"/>
  <c r="M490" i="12"/>
  <c r="C491" i="12"/>
  <c r="D491" i="12"/>
  <c r="E491" i="12"/>
  <c r="F491" i="12"/>
  <c r="G491" i="12"/>
  <c r="H491" i="12"/>
  <c r="I491" i="12"/>
  <c r="J491" i="12"/>
  <c r="K491" i="12"/>
  <c r="L491" i="12"/>
  <c r="M491" i="12"/>
  <c r="C492" i="12"/>
  <c r="D492" i="12"/>
  <c r="E492" i="12"/>
  <c r="F492" i="12"/>
  <c r="G492" i="12"/>
  <c r="H492" i="12"/>
  <c r="I492" i="12"/>
  <c r="J492" i="12"/>
  <c r="K492" i="12"/>
  <c r="L492" i="12"/>
  <c r="M492" i="12"/>
  <c r="C493" i="12"/>
  <c r="D493" i="12"/>
  <c r="E493" i="12"/>
  <c r="F493" i="12"/>
  <c r="G493" i="12"/>
  <c r="H493" i="12"/>
  <c r="I493" i="12"/>
  <c r="J493" i="12"/>
  <c r="K493" i="12"/>
  <c r="L493" i="12"/>
  <c r="M493" i="12"/>
  <c r="C494" i="12"/>
  <c r="D494" i="12"/>
  <c r="E494" i="12"/>
  <c r="F494" i="12"/>
  <c r="G494" i="12"/>
  <c r="H494" i="12"/>
  <c r="I494" i="12"/>
  <c r="J494" i="12"/>
  <c r="K494" i="12"/>
  <c r="L494" i="12"/>
  <c r="M494" i="12"/>
  <c r="C495" i="12"/>
  <c r="D495" i="12"/>
  <c r="E495" i="12"/>
  <c r="F495" i="12"/>
  <c r="G495" i="12"/>
  <c r="H495" i="12"/>
  <c r="I495" i="12"/>
  <c r="J495" i="12"/>
  <c r="K495" i="12"/>
  <c r="L495" i="12"/>
  <c r="M495" i="12"/>
  <c r="C496" i="12"/>
  <c r="D496" i="12"/>
  <c r="E496" i="12"/>
  <c r="F496" i="12"/>
  <c r="G496" i="12"/>
  <c r="H496" i="12"/>
  <c r="I496" i="12"/>
  <c r="J496" i="12"/>
  <c r="K496" i="12"/>
  <c r="L496" i="12"/>
  <c r="M496" i="12"/>
  <c r="C497" i="12"/>
  <c r="D497" i="12"/>
  <c r="E497" i="12"/>
  <c r="F497" i="12"/>
  <c r="G497" i="12"/>
  <c r="H497" i="12"/>
  <c r="I497" i="12"/>
  <c r="J497" i="12"/>
  <c r="K497" i="12"/>
  <c r="L497" i="12"/>
  <c r="M497" i="12"/>
  <c r="C498" i="12"/>
  <c r="D498" i="12"/>
  <c r="E498" i="12"/>
  <c r="F498" i="12"/>
  <c r="G498" i="12"/>
  <c r="H498" i="12"/>
  <c r="I498" i="12"/>
  <c r="J498" i="12"/>
  <c r="K498" i="12"/>
  <c r="L498" i="12"/>
  <c r="M498" i="12"/>
  <c r="C499" i="12"/>
  <c r="D499" i="12"/>
  <c r="E499" i="12"/>
  <c r="F499" i="12"/>
  <c r="G499" i="12"/>
  <c r="H499" i="12"/>
  <c r="I499" i="12"/>
  <c r="J499" i="12"/>
  <c r="K499" i="12"/>
  <c r="L499" i="12"/>
  <c r="M499" i="12"/>
  <c r="C500" i="12"/>
  <c r="D500" i="12"/>
  <c r="E500" i="12"/>
  <c r="F500" i="12"/>
  <c r="G500" i="12"/>
  <c r="H500" i="12"/>
  <c r="I500" i="12"/>
  <c r="J500" i="12"/>
  <c r="K500" i="12"/>
  <c r="L500" i="12"/>
  <c r="M500" i="12"/>
  <c r="C501" i="12"/>
  <c r="D501" i="12"/>
  <c r="E501" i="12"/>
  <c r="F501" i="12"/>
  <c r="G501" i="12"/>
  <c r="H501" i="12"/>
  <c r="I501" i="12"/>
  <c r="J501" i="12"/>
  <c r="K501" i="12"/>
  <c r="L501" i="12"/>
  <c r="M501" i="12"/>
  <c r="C502" i="12"/>
  <c r="D502" i="12"/>
  <c r="E502" i="12"/>
  <c r="F502" i="12"/>
  <c r="G502" i="12"/>
  <c r="H502" i="12"/>
  <c r="I502" i="12"/>
  <c r="J502" i="12"/>
  <c r="K502" i="12"/>
  <c r="L502" i="12"/>
  <c r="M502" i="12"/>
  <c r="C503" i="12"/>
  <c r="D503" i="12"/>
  <c r="E503" i="12"/>
  <c r="F503" i="12"/>
  <c r="G503" i="12"/>
  <c r="H503" i="12"/>
  <c r="I503" i="12"/>
  <c r="J503" i="12"/>
  <c r="K503" i="12"/>
  <c r="L503" i="12"/>
  <c r="M503" i="12"/>
  <c r="C504" i="12"/>
  <c r="D504" i="12"/>
  <c r="E504" i="12"/>
  <c r="F504" i="12"/>
  <c r="G504" i="12"/>
  <c r="H504" i="12"/>
  <c r="I504" i="12"/>
  <c r="J504" i="12"/>
  <c r="K504" i="12"/>
  <c r="L504" i="12"/>
  <c r="M504" i="12"/>
  <c r="C505" i="12"/>
  <c r="D505" i="12"/>
  <c r="E505" i="12"/>
  <c r="F505" i="12"/>
  <c r="G505" i="12"/>
  <c r="H505" i="12"/>
  <c r="I505" i="12"/>
  <c r="J505" i="12"/>
  <c r="K505" i="12"/>
  <c r="L505" i="12"/>
  <c r="M505" i="12"/>
  <c r="C506" i="12"/>
  <c r="D506" i="12"/>
  <c r="E506" i="12"/>
  <c r="F506" i="12"/>
  <c r="G506" i="12"/>
  <c r="H506" i="12"/>
  <c r="I506" i="12"/>
  <c r="J506" i="12"/>
  <c r="K506" i="12"/>
  <c r="L506" i="12"/>
  <c r="M506" i="12"/>
  <c r="C507" i="12"/>
  <c r="D507" i="12"/>
  <c r="E507" i="12"/>
  <c r="F507" i="12"/>
  <c r="G507" i="12"/>
  <c r="H507" i="12"/>
  <c r="I507" i="12"/>
  <c r="J507" i="12"/>
  <c r="K507" i="12"/>
  <c r="L507" i="12"/>
  <c r="M507" i="12"/>
  <c r="C508" i="12"/>
  <c r="D508" i="12"/>
  <c r="E508" i="12"/>
  <c r="F508" i="12"/>
  <c r="G508" i="12"/>
  <c r="H508" i="12"/>
  <c r="I508" i="12"/>
  <c r="J508" i="12"/>
  <c r="K508" i="12"/>
  <c r="L508" i="12"/>
  <c r="M508" i="12"/>
  <c r="C509" i="12"/>
  <c r="D509" i="12"/>
  <c r="E509" i="12"/>
  <c r="F509" i="12"/>
  <c r="G509" i="12"/>
  <c r="H509" i="12"/>
  <c r="I509" i="12"/>
  <c r="J509" i="12"/>
  <c r="K509" i="12"/>
  <c r="L509" i="12"/>
  <c r="M509" i="12"/>
  <c r="C510" i="12"/>
  <c r="D510" i="12"/>
  <c r="E510" i="12"/>
  <c r="F510" i="12"/>
  <c r="G510" i="12"/>
  <c r="H510" i="12"/>
  <c r="I510" i="12"/>
  <c r="J510" i="12"/>
  <c r="K510" i="12"/>
  <c r="L510" i="12"/>
  <c r="M510" i="12"/>
  <c r="C511" i="12"/>
  <c r="D511" i="12"/>
  <c r="E511" i="12"/>
  <c r="F511" i="12"/>
  <c r="G511" i="12"/>
  <c r="H511" i="12"/>
  <c r="I511" i="12"/>
  <c r="J511" i="12"/>
  <c r="K511" i="12"/>
  <c r="L511" i="12"/>
  <c r="M511" i="12"/>
  <c r="C512" i="12"/>
  <c r="D512" i="12"/>
  <c r="E512" i="12"/>
  <c r="F512" i="12"/>
  <c r="G512" i="12"/>
  <c r="H512" i="12"/>
  <c r="I512" i="12"/>
  <c r="J512" i="12"/>
  <c r="K512" i="12"/>
  <c r="L512" i="12"/>
  <c r="M512" i="12"/>
  <c r="C513" i="12"/>
  <c r="D513" i="12"/>
  <c r="E513" i="12"/>
  <c r="F513" i="12"/>
  <c r="G513" i="12"/>
  <c r="H513" i="12"/>
  <c r="I513" i="12"/>
  <c r="J513" i="12"/>
  <c r="K513" i="12"/>
  <c r="L513" i="12"/>
  <c r="M513" i="12"/>
  <c r="C514" i="12"/>
  <c r="D514" i="12"/>
  <c r="E514" i="12"/>
  <c r="F514" i="12"/>
  <c r="G514" i="12"/>
  <c r="H514" i="12"/>
  <c r="I514" i="12"/>
  <c r="J514" i="12"/>
  <c r="K514" i="12"/>
  <c r="L514" i="12"/>
  <c r="M514" i="12"/>
  <c r="C64" i="14"/>
  <c r="C69" i="14"/>
  <c r="I18" i="14"/>
  <c r="J18" i="14"/>
  <c r="I19" i="14"/>
  <c r="J19" i="14"/>
  <c r="I20" i="14"/>
  <c r="J20" i="14"/>
  <c r="I21" i="14"/>
  <c r="J21" i="14"/>
  <c r="I22" i="14"/>
  <c r="J22" i="14"/>
  <c r="I23" i="14"/>
  <c r="J23" i="14"/>
  <c r="I24" i="14"/>
  <c r="J24" i="14"/>
  <c r="I25" i="14"/>
  <c r="J25" i="14"/>
  <c r="G12" i="14" l="1"/>
  <c r="H12" i="14"/>
  <c r="I12" i="14"/>
  <c r="F13" i="14"/>
  <c r="C81" i="14"/>
  <c r="C42" i="14"/>
  <c r="C43" i="14"/>
  <c r="C83" i="14" s="1"/>
  <c r="J11" i="12" s="1"/>
  <c r="G13" i="14" l="1"/>
  <c r="H13" i="14"/>
  <c r="I13" i="14"/>
  <c r="J10" i="12"/>
  <c r="C82" i="14"/>
</calcChain>
</file>

<file path=xl/sharedStrings.xml><?xml version="1.0" encoding="utf-8"?>
<sst xmlns="http://schemas.openxmlformats.org/spreadsheetml/2006/main" count="697" uniqueCount="511">
  <si>
    <t>Configuración del sistema</t>
  </si>
  <si>
    <t>Capa de configuración (oculta) · Solo administrador · Cambios aquí afectan todo el libro</t>
  </si>
  <si>
    <t>PARÁMETROS DEL TENANT</t>
  </si>
  <si>
    <t>Parámetro</t>
  </si>
  <si>
    <t>Valor</t>
  </si>
  <si>
    <t>Descripción</t>
  </si>
  <si>
    <t>Empresa (cliente)</t>
  </si>
  <si>
    <t>NOMBRE DE SU EMPRESA</t>
  </si>
  <si>
    <t>Nombre que aparece en la portada y en los documentos.</t>
  </si>
  <si>
    <t>NIT / Identificación</t>
  </si>
  <si>
    <t>Identificación tributaria del cliente.</t>
  </si>
  <si>
    <t>Sede / Bodega</t>
  </si>
  <si>
    <t>Bodega principal</t>
  </si>
  <si>
    <t>Ubicación física que controla este libro (un libro por bodega en V1).</t>
  </si>
  <si>
    <t>Moneda</t>
  </si>
  <si>
    <t>COP</t>
  </si>
  <si>
    <t>Informativo. Los formatos de valor usan el símbolo $.</t>
  </si>
  <si>
    <t>Margen de alerta preventiva</t>
  </si>
  <si>
    <t>Un producto pasa a BAJO cuando su stock es ≤ Mínimo × (1 + margen).</t>
  </si>
  <si>
    <t>Días para considerar sin rotación</t>
  </si>
  <si>
    <t>Productos con stock y sin movimientos en este plazo se marcan como inventario inmovilizado.</t>
  </si>
  <si>
    <t>Fecha mínima permitida</t>
  </si>
  <si>
    <t>Fechas anteriores son rechazadas por la validación de la bitácora y del formulario.</t>
  </si>
  <si>
    <t>Versión del sistema</t>
  </si>
  <si>
    <t>1.2.0</t>
  </si>
  <si>
    <t>Versión del motor M-INV.</t>
  </si>
  <si>
    <t>Edición</t>
  </si>
  <si>
    <t>Estándar</t>
  </si>
  <si>
    <t>Estándar = .xlsx sin macros · Plus = .xlsm con formulario guiado y automatizaciones.</t>
  </si>
  <si>
    <t>Fecha de generación</t>
  </si>
  <si>
    <t>Fecha en que se generó este libro.</t>
  </si>
  <si>
    <t>Implementado por</t>
  </si>
  <si>
    <t>Z&amp;P Software Fast Solutions</t>
  </si>
  <si>
    <t>Proveedor del software.</t>
  </si>
  <si>
    <t>Bitácora sellada hasta el ID</t>
  </si>
  <si>
    <t>Lo actualiza la edición Plus al sellar registros (no editar a mano).</t>
  </si>
  <si>
    <t>TIPOS DE MOVIMIENTO  (definen el FactorStock de la bitácora)</t>
  </si>
  <si>
    <t>Tipo</t>
  </si>
  <si>
    <t>FactorStock</t>
  </si>
  <si>
    <t>SALDO INICIAL</t>
  </si>
  <si>
    <t>Carga del inventario existente al implementar el sistema (una vez por producto).</t>
  </si>
  <si>
    <t>ENTRADA</t>
  </si>
  <si>
    <t>Compra, recepción de mercancía o devolución de un cliente.</t>
  </si>
  <si>
    <t>SALIDA</t>
  </si>
  <si>
    <t>Venta, despacho a cliente o consumo interno.</t>
  </si>
  <si>
    <t>AJUSTE (+)</t>
  </si>
  <si>
    <t>Sobrante encontrado en conteo físico. Exige observación.</t>
  </si>
  <si>
    <t>AJUSTE (-)</t>
  </si>
  <si>
    <t>Merma, daño, pérdida o faltante en conteo físico. Exige observación.</t>
  </si>
  <si>
    <t>SEMÁFORO DE STOCK  (reglas de 15_STOCK, 16_ALERTAS y 18_PEDIDO)</t>
  </si>
  <si>
    <t>Estado</t>
  </si>
  <si>
    <t>Prioridad</t>
  </si>
  <si>
    <t>Regla</t>
  </si>
  <si>
    <t>Acción</t>
  </si>
  <si>
    <t>INCONSISTENTE</t>
  </si>
  <si>
    <t>Stock negativo: se registraron salidas mayores a lo disponible.</t>
  </si>
  <si>
    <t>Auditar la bitácora y registrar un AJUSTE</t>
  </si>
  <si>
    <t>AGOTADO</t>
  </si>
  <si>
    <t>Stock en cero.</t>
  </si>
  <si>
    <t>Reabastecer de inmediato</t>
  </si>
  <si>
    <t>CRÍTICO</t>
  </si>
  <si>
    <t>Stock en o por debajo del mínimo.</t>
  </si>
  <si>
    <t>Emitir orden de compra</t>
  </si>
  <si>
    <t>BAJO</t>
  </si>
  <si>
    <t>Stock cercano al mínimo (dentro del margen de alerta).</t>
  </si>
  <si>
    <t>Programar reposición</t>
  </si>
  <si>
    <t>ÓPTIMO</t>
  </si>
  <si>
    <t>Stock entre el margen de alerta y el máximo.</t>
  </si>
  <si>
    <t>Sin acción</t>
  </si>
  <si>
    <t>SOBRESTOCK</t>
  </si>
  <si>
    <t>Stock por encima del máximo.</t>
  </si>
  <si>
    <t>Frenar compras / rotar inventario</t>
  </si>
  <si>
    <t>INACTIVO</t>
  </si>
  <si>
    <t>Producto descontinuado (Activo = NO).</t>
  </si>
  <si>
    <t>RESPONSABLES  (listas de la bitácora, el formulario y la toma física)</t>
  </si>
  <si>
    <t>Nombre</t>
  </si>
  <si>
    <t>Cargo</t>
  </si>
  <si>
    <t>ADMINISTRADOR</t>
  </si>
  <si>
    <t>Administrador del sistema</t>
  </si>
  <si>
    <t>BODEGA</t>
  </si>
  <si>
    <t>Operador de bodega</t>
  </si>
  <si>
    <t>COMPRAS</t>
  </si>
  <si>
    <t>Responsable de compras</t>
  </si>
  <si>
    <t>Categorías</t>
  </si>
  <si>
    <t>Capa de configuración (oculta) · Primer nivel de la lista en cascada</t>
  </si>
  <si>
    <t>Código</t>
  </si>
  <si>
    <t>Categoría</t>
  </si>
  <si>
    <t>MP</t>
  </si>
  <si>
    <t>MATERIA PRIMA</t>
  </si>
  <si>
    <t>Insumos que se transforman en producto</t>
  </si>
  <si>
    <t>PT</t>
  </si>
  <si>
    <t>PRODUCTO TERMINADO</t>
  </si>
  <si>
    <t>Artículos listos para la venta</t>
  </si>
  <si>
    <t>INS</t>
  </si>
  <si>
    <t>INSUMOS</t>
  </si>
  <si>
    <t>Materiales de consumo de la operación</t>
  </si>
  <si>
    <t>REP</t>
  </si>
  <si>
    <t>REPUESTOS</t>
  </si>
  <si>
    <t>Partes y repuestos de mantenimiento</t>
  </si>
  <si>
    <t>EMP</t>
  </si>
  <si>
    <t>EMPAQUES</t>
  </si>
  <si>
    <t>Material de empaque y embalaje</t>
  </si>
  <si>
    <t>GEN</t>
  </si>
  <si>
    <t>GENERAL</t>
  </si>
  <si>
    <t>Artículos sin categoría específica</t>
  </si>
  <si>
    <t>Unidades de medida</t>
  </si>
  <si>
    <t>Capa de configuración (oculta) · Define si la cantidad admite decimales</t>
  </si>
  <si>
    <t>Unidad</t>
  </si>
  <si>
    <t>Decimales</t>
  </si>
  <si>
    <t>UND</t>
  </si>
  <si>
    <t>NO</t>
  </si>
  <si>
    <t>Pieza individual</t>
  </si>
  <si>
    <t>CAJA</t>
  </si>
  <si>
    <t>Caja</t>
  </si>
  <si>
    <t>Caja cerrada del proveedor</t>
  </si>
  <si>
    <t>PAQ</t>
  </si>
  <si>
    <t>Paquete</t>
  </si>
  <si>
    <t>Paquete o bolsa cerrada</t>
  </si>
  <si>
    <t>PAR</t>
  </si>
  <si>
    <t>Par</t>
  </si>
  <si>
    <t>Par (guantes, botas)</t>
  </si>
  <si>
    <t>ROLLO</t>
  </si>
  <si>
    <t>Rollo</t>
  </si>
  <si>
    <t>Rollo completo</t>
  </si>
  <si>
    <t>KG</t>
  </si>
  <si>
    <t>Kilogramo</t>
  </si>
  <si>
    <t>SI</t>
  </si>
  <si>
    <t>Peso en kilogramos</t>
  </si>
  <si>
    <t>GL</t>
  </si>
  <si>
    <t>Galón</t>
  </si>
  <si>
    <t>Volumen en galones</t>
  </si>
  <si>
    <t>LT</t>
  </si>
  <si>
    <t>Litro</t>
  </si>
  <si>
    <t>Volumen en litros</t>
  </si>
  <si>
    <t>MT</t>
  </si>
  <si>
    <t>Metro</t>
  </si>
  <si>
    <t>Longitud en metros</t>
  </si>
  <si>
    <t>Proveedores</t>
  </si>
  <si>
    <t>Datos maestros · Quién le vende cada producto y en cuántos días entrega</t>
  </si>
  <si>
    <t>Proveedor</t>
  </si>
  <si>
    <t>NIT</t>
  </si>
  <si>
    <t>Contacto</t>
  </si>
  <si>
    <t>Teléfono</t>
  </si>
  <si>
    <t>Correo</t>
  </si>
  <si>
    <t>DiasEntrega</t>
  </si>
  <si>
    <t>Productos</t>
  </si>
  <si>
    <t>EnAlerta</t>
  </si>
  <si>
    <t>Validación</t>
  </si>
  <si>
    <t>✎</t>
  </si>
  <si>
    <t>ƒx</t>
  </si>
  <si>
    <t>Catálogo de productos</t>
  </si>
  <si>
    <t>Datos maestros · Cada producto se registra una sola vez · Nunca borre filas (use Activo = NO)</t>
  </si>
  <si>
    <t>SKU</t>
  </si>
  <si>
    <t>Producto</t>
  </si>
  <si>
    <t>StockMin</t>
  </si>
  <si>
    <t>StockMax</t>
  </si>
  <si>
    <t>CostoUnitario</t>
  </si>
  <si>
    <t>Ubicación</t>
  </si>
  <si>
    <t>Activo</t>
  </si>
  <si>
    <t>Etiqueta</t>
  </si>
  <si>
    <t>Movimientos</t>
  </si>
  <si>
    <t>Bitácora de movimientos</t>
  </si>
  <si>
    <t>Capa de escritura · Registro inmutable (append-only) de entradas, salidas y ajustes</t>
  </si>
  <si>
    <t>ID</t>
  </si>
  <si>
    <t>Fecha</t>
  </si>
  <si>
    <t>Cantidad</t>
  </si>
  <si>
    <t>CantidadNeta</t>
  </si>
  <si>
    <t>Saldo</t>
  </si>
  <si>
    <t>Documento</t>
  </si>
  <si>
    <t>Responsable</t>
  </si>
  <si>
    <t>Observaciones</t>
  </si>
  <si>
    <t>Toma física de inventario</t>
  </si>
  <si>
    <t>Comando · Compare el conteo con el sistema y convierta las diferencias en ajustes de la bitácora</t>
  </si>
  <si>
    <t>StockSistema</t>
  </si>
  <si>
    <t>Conteo</t>
  </si>
  <si>
    <t>Diferencia</t>
  </si>
  <si>
    <t>ValorDiferencia</t>
  </si>
  <si>
    <t>Resultado</t>
  </si>
  <si>
    <t>AjusteSugerido</t>
  </si>
  <si>
    <t>Fecha:</t>
  </si>
  <si>
    <t>Responsable:</t>
  </si>
  <si>
    <t>Stock actual</t>
  </si>
  <si>
    <t>Capa de lectura · Proyección calculada con SUMAR.SI.CONJUNTO sobre la bitácora (no editable)</t>
  </si>
  <si>
    <t>Entradas</t>
  </si>
  <si>
    <t>Salidas</t>
  </si>
  <si>
    <t>StockActual</t>
  </si>
  <si>
    <t>Nivel</t>
  </si>
  <si>
    <t>ValorInventario</t>
  </si>
  <si>
    <t>UltimoMov</t>
  </si>
  <si>
    <t>DiasSinMov</t>
  </si>
  <si>
    <t>Alertas de inventario</t>
  </si>
  <si>
    <t>Capa de lectura · Productos que requieren acción, ordenados por prioridad (se actualiza sola)</t>
  </si>
  <si>
    <t>#</t>
  </si>
  <si>
    <t>Stock</t>
  </si>
  <si>
    <t>Mínimo</t>
  </si>
  <si>
    <t>Máximo</t>
  </si>
  <si>
    <t>Faltante</t>
  </si>
  <si>
    <t>SugeridoPedir</t>
  </si>
  <si>
    <t>AcciónSugerida</t>
  </si>
  <si>
    <t>Consulta de producto</t>
  </si>
  <si>
    <t>Capa de lectura · Busque un producto y vea su ficha, su evolución y su historial (kardex)</t>
  </si>
  <si>
    <t>CATEGORÍA  (opcional)</t>
  </si>
  <si>
    <t>BUSCAR  (nombre o SKU)</t>
  </si>
  <si>
    <t>PRODUCTO</t>
  </si>
  <si>
    <t>STOCK ACTUAL</t>
  </si>
  <si>
    <t>ESTADO</t>
  </si>
  <si>
    <t>VALOR</t>
  </si>
  <si>
    <t>ÚLTIMO MOVIMIENTO</t>
  </si>
  <si>
    <t>DÍAS SIN MOVIMIENTO</t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</si>
  <si>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HISTORIAL DE MOVIMIENTOS  (del más reciente al más antiguo)</t>
    </r>
  </si>
  <si>
    <t>Entrada (+)</t>
  </si>
  <si>
    <t>Salida (-)</t>
  </si>
  <si>
    <t>Pedido sugerido de compra</t>
  </si>
  <si>
    <t>Capa de lectura · Qué comprar, cuánto y a quién · Filtre por proveedor e imprima (Ctrl + P)</t>
  </si>
  <si>
    <t>Sugerido por M-INV a partir de las alertas de stock (reposición hasta el máximo).</t>
  </si>
  <si>
    <t>Filtrar por proveedor:</t>
  </si>
  <si>
    <t>(Todos)</t>
  </si>
  <si>
    <t>PEDIDO SUGERIDO</t>
  </si>
  <si>
    <t>Elaboró: ______________    Aprobó: ______________</t>
  </si>
  <si>
    <t>A pedir</t>
  </si>
  <si>
    <t>Costo unit.</t>
  </si>
  <si>
    <t>Subtotal</t>
  </si>
  <si>
    <t>Motor de listas</t>
  </si>
  <si>
    <t>Motor interno (oculto) · Listas en cascada, búsqueda por texto y proveedores</t>
  </si>
  <si>
    <t>Categoría válida</t>
  </si>
  <si>
    <t>Clave de orden</t>
  </si>
  <si>
    <t>k</t>
  </si>
  <si>
    <t>Clave k-ésima</t>
  </si>
  <si>
    <t>Categoría ordenada</t>
  </si>
  <si>
    <t>Etiqueta ordenada</t>
  </si>
  <si>
    <t>k formulario</t>
  </si>
  <si>
    <t>Lista formulario</t>
  </si>
  <si>
    <t>k consulta</t>
  </si>
  <si>
    <t>Lista consulta</t>
  </si>
  <si>
    <t>Filtro proveedor</t>
  </si>
  <si>
    <t>k proveedor</t>
  </si>
  <si>
    <t>— Sin productos activos en esta categoría —</t>
  </si>
  <si>
    <t>— Ningún producto coincide con la búsqueda —</t>
  </si>
  <si>
    <t>— Registre proveedores en 04_PROVEEDORES —</t>
  </si>
  <si>
    <t>Motor de indicadores</t>
  </si>
  <si>
    <t>Motor interno (oculto) · KPIs, asistente, series de gráficos, rankings y cálculos del formulario</t>
  </si>
  <si>
    <t>INDICADORES (nombres definidos)</t>
  </si>
  <si>
    <t>ACTIVIDAD MENSUAL (6 meses)</t>
  </si>
  <si>
    <t>TOP 8 POR VALOR</t>
  </si>
  <si>
    <t>SALUD DEL INVENTARIO</t>
  </si>
  <si>
    <t>ESTADO POR CATEGORÍA</t>
  </si>
  <si>
    <t>CLAVES POR PRODUCTO</t>
  </si>
  <si>
    <t>RANKING DE ALERTAS</t>
  </si>
  <si>
    <t>RANKING DEL PEDIDO</t>
  </si>
  <si>
    <t>SERIE DE LA CONSULTA</t>
  </si>
  <si>
    <t>Indicador</t>
  </si>
  <si>
    <t>Nombre definido</t>
  </si>
  <si>
    <t>Productos en catálogo</t>
  </si>
  <si>
    <t>kpiCatalogo</t>
  </si>
  <si>
    <t>Productos activos</t>
  </si>
  <si>
    <t>kpiActivos</t>
  </si>
  <si>
    <t>Inconsistentes</t>
  </si>
  <si>
    <t>kpiInconsistentes</t>
  </si>
  <si>
    <t>Agotados</t>
  </si>
  <si>
    <t>kpiAgotados</t>
  </si>
  <si>
    <t>Críticos</t>
  </si>
  <si>
    <t>kpiCriticos</t>
  </si>
  <si>
    <t>Bajos (preventivos)</t>
  </si>
  <si>
    <t>kpiBajos</t>
  </si>
  <si>
    <t>Óptimos</t>
  </si>
  <si>
    <t>kpiOptimos</t>
  </si>
  <si>
    <t>Sobrestock</t>
  </si>
  <si>
    <t>kpiSobrestock</t>
  </si>
  <si>
    <t>Inactivos</t>
  </si>
  <si>
    <t>kpiInactivos</t>
  </si>
  <si>
    <t>En alerta (requieren acción)</t>
  </si>
  <si>
    <t>kpiEnAlerta</t>
  </si>
  <si>
    <t>Valor del inventario</t>
  </si>
  <si>
    <t>kpiValor</t>
  </si>
  <si>
    <t>Productos sin rotación</t>
  </si>
  <si>
    <t>kpiSinRotacion</t>
  </si>
  <si>
    <t>Valor inmovilizado</t>
  </si>
  <si>
    <t>kpiValorSinRot</t>
  </si>
  <si>
    <t>Proveedores registrados</t>
  </si>
  <si>
    <t>kpiProveedores</t>
  </si>
  <si>
    <t>kpiCategorias</t>
  </si>
  <si>
    <t>Registros en la bitácora</t>
  </si>
  <si>
    <t>kpiRegistros</t>
  </si>
  <si>
    <t>Capacidad de la bitácora</t>
  </si>
  <si>
    <t>kpiCapacidad</t>
  </si>
  <si>
    <t>Último ID registrado</t>
  </si>
  <si>
    <t>kpiUltimoID</t>
  </si>
  <si>
    <t>Fila libre en bitácora</t>
  </si>
  <si>
    <t>kpiFilaLibreMov</t>
  </si>
  <si>
    <t>Fila libre en catálogo</t>
  </si>
  <si>
    <t>kpiFilaLibreProd</t>
  </si>
  <si>
    <t>Fila libre en proveedores</t>
  </si>
  <si>
    <t>kpiFilaLibreProv</t>
  </si>
  <si>
    <t>Movimientos del mes</t>
  </si>
  <si>
    <t>kpiMovMes</t>
  </si>
  <si>
    <t>Ingresos del mes (sin saldo inicial)</t>
  </si>
  <si>
    <t>kpiIngMes</t>
  </si>
  <si>
    <t>Egresos del mes</t>
  </si>
  <si>
    <t>kpiEgrMes</t>
  </si>
  <si>
    <t>Fecha del último movimiento</t>
  </si>
  <si>
    <t>kpiUltFecha</t>
  </si>
  <si>
    <t>Registros con error (✖)</t>
  </si>
  <si>
    <t>kpiErrores</t>
  </si>
  <si>
    <t>Registros por revisar (⚠)</t>
  </si>
  <si>
    <t>kpiAdvertencias</t>
  </si>
  <si>
    <t>Productos con SALDO INICIAL</t>
  </si>
  <si>
    <t>kpiConSaldoInicial</t>
  </si>
  <si>
    <t>Movimientos operativos (sin saldo inicial)</t>
  </si>
  <si>
    <t>kpiOperativos</t>
  </si>
  <si>
    <t>Productos contados</t>
  </si>
  <si>
    <t>kpiConteoContados</t>
  </si>
  <si>
    <t>Productos con diferencia</t>
  </si>
  <si>
    <t>kpiConteoDif</t>
  </si>
  <si>
    <t>Valor neto de diferencias</t>
  </si>
  <si>
    <t>kpiConteoValor</t>
  </si>
  <si>
    <t>Fila del proveedor filtrado</t>
  </si>
  <si>
    <t>pdProvFila</t>
  </si>
  <si>
    <t>Líneas del pedido</t>
  </si>
  <si>
    <t>kpiPedidoLineas</t>
  </si>
  <si>
    <t>Total estimado del pedido</t>
  </si>
  <si>
    <t>kpiPedidoTotal</t>
  </si>
  <si>
    <t>Proveedores en el pedido</t>
  </si>
  <si>
    <t>kpiPedidoProv</t>
  </si>
  <si>
    <t>SKU consultado</t>
  </si>
  <si>
    <t>kxSKU</t>
  </si>
  <si>
    <t>Fila del SKU en 15_STOCK</t>
  </si>
  <si>
    <t>kxFila</t>
  </si>
  <si>
    <t>¿Existe el SKU?</t>
  </si>
  <si>
    <t>kxExiste</t>
  </si>
  <si>
    <t>Movimientos del SKU</t>
  </si>
  <si>
    <t>kxN</t>
  </si>
  <si>
    <t>Stock del SKU (para formatos condicionales)</t>
  </si>
  <si>
    <t>kxStock</t>
  </si>
  <si>
    <t>Movimientos mostrados</t>
  </si>
  <si>
    <t>kxMostrados</t>
  </si>
  <si>
    <t>Productos que coinciden</t>
  </si>
  <si>
    <t>kxCoinciden</t>
  </si>
  <si>
    <t>Próximo paso (código)</t>
  </si>
  <si>
    <t>kpiPaso</t>
  </si>
  <si>
    <t>Nivel (1 rojo, 2 ámbar, 3 azul, 4 verde)</t>
  </si>
  <si>
    <t>kpiPasoNivel</t>
  </si>
  <si>
    <t>Mensaje del próximo paso</t>
  </si>
  <si>
    <t>txtPaso</t>
  </si>
  <si>
    <t>Texto del botón del próximo paso</t>
  </si>
  <si>
    <t>txtPasoBoton</t>
  </si>
  <si>
    <t>Nota tarjeta activos</t>
  </si>
  <si>
    <t>txtActivosNota</t>
  </si>
  <si>
    <t>Nota tarjeta agotados</t>
  </si>
  <si>
    <t>txtAgotNota</t>
  </si>
  <si>
    <t>Nota tarjeta críticos</t>
  </si>
  <si>
    <t>txtCritNota</t>
  </si>
  <si>
    <t>Nota tarjeta preventivos</t>
  </si>
  <si>
    <t>txtBajosNota</t>
  </si>
  <si>
    <t>Nota tarjeta óptimos</t>
  </si>
  <si>
    <t>txtOptNota</t>
  </si>
  <si>
    <t>Nota tarjeta valor</t>
  </si>
  <si>
    <t>txtValorNota</t>
  </si>
  <si>
    <t>Nota tarjeta movimientos</t>
  </si>
  <si>
    <t>txtMovNota</t>
  </si>
  <si>
    <t>Nota tarjeta sin rotación</t>
  </si>
  <si>
    <t>txtSinRotNota</t>
  </si>
  <si>
    <t>Integridad de la bitácora</t>
  </si>
  <si>
    <t>txtIntegridad</t>
  </si>
  <si>
    <t>Texto mosaico alertas</t>
  </si>
  <si>
    <t>txtAlertasBtn</t>
  </si>
  <si>
    <t>Chip registros</t>
  </si>
  <si>
    <t>txtRegistros</t>
  </si>
  <si>
    <t>Chip productos</t>
  </si>
  <si>
    <t>txtProductos</t>
  </si>
  <si>
    <t>Chip proveedores</t>
  </si>
  <si>
    <t>txtProveedores</t>
  </si>
  <si>
    <t>Chip valor</t>
  </si>
  <si>
    <t>txtValor</t>
  </si>
  <si>
    <t>Chip en alerta</t>
  </si>
  <si>
    <t>txtEnAlerta</t>
  </si>
  <si>
    <t>Chip agotados</t>
  </si>
  <si>
    <t>txtChipAgot</t>
  </si>
  <si>
    <t>Chip críticos</t>
  </si>
  <si>
    <t>txtChipCrit</t>
  </si>
  <si>
    <t>Chip preventivos</t>
  </si>
  <si>
    <t>txtChipBajo</t>
  </si>
  <si>
    <t>Chip sobrestock</t>
  </si>
  <si>
    <t>txtChipSobre</t>
  </si>
  <si>
    <t>Chip inconsistentes</t>
  </si>
  <si>
    <t>txtChipIncons</t>
  </si>
  <si>
    <t>Pie de portada</t>
  </si>
  <si>
    <t>txtBitacora</t>
  </si>
  <si>
    <t>Subtítulo portada</t>
  </si>
  <si>
    <t>txtEmpresa</t>
  </si>
  <si>
    <t>Último registro</t>
  </si>
  <si>
    <t>txtUltimoRegistro</t>
  </si>
  <si>
    <t>Chip contados</t>
  </si>
  <si>
    <t>txtConteoContados</t>
  </si>
  <si>
    <t>Chip diferencias</t>
  </si>
  <si>
    <t>txtConteoDif</t>
  </si>
  <si>
    <t>Chip valor diferencias</t>
  </si>
  <si>
    <t>txtConteoValor</t>
  </si>
  <si>
    <t>Chip líneas pedido</t>
  </si>
  <si>
    <t>txtPedidoLineas</t>
  </si>
  <si>
    <t>Chip total pedido</t>
  </si>
  <si>
    <t>txtPedidoTotal</t>
  </si>
  <si>
    <t>Resumen pedido</t>
  </si>
  <si>
    <t>txtPedidoResumen</t>
  </si>
  <si>
    <t>Contacto del proveedor filtrado</t>
  </si>
  <si>
    <t>txtPedidoContacto</t>
  </si>
  <si>
    <t>Entrega estimada</t>
  </si>
  <si>
    <t>txtPedidoEntrega</t>
  </si>
  <si>
    <t>Chip consulta</t>
  </si>
  <si>
    <t>txtKardexResumen</t>
  </si>
  <si>
    <t>Coincidencias de búsqueda</t>
  </si>
  <si>
    <t>txtKardexCoinciden</t>
  </si>
  <si>
    <t>Ficha: categoría, proveedor, ubicación</t>
  </si>
  <si>
    <t>txtKardexMeta</t>
  </si>
  <si>
    <t>Ficha: totales</t>
  </si>
  <si>
    <t>txtKardexTotales</t>
  </si>
  <si>
    <t>Historial: mostrando</t>
  </si>
  <si>
    <t>txtKardexMostrando</t>
  </si>
  <si>
    <t>Inicio de mes</t>
  </si>
  <si>
    <t>Mes</t>
  </si>
  <si>
    <t>Ingresos</t>
  </si>
  <si>
    <t>Egresos</t>
  </si>
  <si>
    <t>Clave</t>
  </si>
  <si>
    <t>Fila</t>
  </si>
  <si>
    <t>Color</t>
  </si>
  <si>
    <t>Agotado</t>
  </si>
  <si>
    <t>#9B1C1C</t>
  </si>
  <si>
    <t>Crítico</t>
  </si>
  <si>
    <t>#D32F2F</t>
  </si>
  <si>
    <t>Preventivo</t>
  </si>
  <si>
    <t>#F59E0B</t>
  </si>
  <si>
    <t>Óptimo</t>
  </si>
  <si>
    <t>#2E7D32</t>
  </si>
  <si>
    <t>#1565C0</t>
  </si>
  <si>
    <t>Inconsistente</t>
  </si>
  <si>
    <t>#8E24AA</t>
  </si>
  <si>
    <t>Clave valor</t>
  </si>
  <si>
    <t>Clave alerta</t>
  </si>
  <si>
    <t>Clave pedido</t>
  </si>
  <si>
    <t>Clave k</t>
  </si>
  <si>
    <t>Fila stock</t>
  </si>
  <si>
    <t>j</t>
  </si>
  <si>
    <t>M-INV · Sistema de Inventarios</t>
  </si>
  <si>
    <t>M-INV V1.2.0</t>
  </si>
  <si>
    <t>PRÓXIMO PASO</t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</si>
  <si>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INDICADORES CLAVE</t>
    </r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</si>
  <si>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ANÁLISIS DEL INVENTARIO</t>
    </r>
  </si>
  <si>
    <r>
      <rPr>
        <b/>
        <sz val="10"/>
        <color rgb="FF1565C0"/>
        <rFont val="Segoe UI"/>
        <family val="2"/>
      </rPr>
      <t xml:space="preserve">▍ </t>
    </r>
    <r>
      <rPr>
        <b/>
        <sz val="9"/>
        <color rgb="FF5F6B7A"/>
        <rFont val="Segoe UI"/>
        <family val="2"/>
      </rPr>
      <t>ÚLTIMOS MOVIMIENTOS</t>
    </r>
  </si>
  <si>
    <r>
      <rPr>
        <b/>
        <sz val="8.5"/>
        <color rgb="FF1F2937"/>
        <rFont val="Segoe UI"/>
        <family val="2"/>
      </rPr>
      <t xml:space="preserve">            M-INV V1.2.0</t>
    </r>
    <r>
      <rPr>
        <sz val="8.5"/>
        <color rgb="FF5F6B7A"/>
        <rFont val="Segoe UI"/>
        <family val="2"/>
      </rPr>
      <t xml:space="preserve">  ·  CQRS: escritura en 10_MOVIMIENTOS → lectura en 15_STOCK y 16_ALERTAS  ·  Z&amp;P Software Fast Solutions</t>
    </r>
  </si>
  <si>
    <t>Guía rápida</t>
  </si>
  <si>
    <t>Aprenda a operar M-INV en 5 minutos · Rutas por rol, pasos y código de colores</t>
  </si>
  <si>
    <t>¿QUÉ NECESITA HACER HOY?</t>
  </si>
  <si>
    <t>PRIMEROS PASOS  ·  implementación (el estado se actualiza solo)</t>
  </si>
  <si>
    <t>¿CÓMO FUNCIONA M-INV?</t>
  </si>
  <si>
    <t>M-INV separa ESCRIBIR de LEER (arquitectura CQRS). Usted solo escribe movimientos; el stock, las alertas, el pedido y el tablero se calculan solos. Así el inventario siempre es trazable y nadie puede "inventar" un saldo.</t>
  </si>
  <si>
    <t>Regla de oro: el stock NUNCA se escribe a mano. Cada cambio es un registro nuevo en la bitácora con su FactorStock (+1 suma, -1 resta); 15_STOCK suma esos registros con SUMAR.SI.CONJUNTO.</t>
  </si>
  <si>
    <t>REGISTRAR UN MOVIMIENTO EN LA BITÁCORA</t>
  </si>
  <si>
    <t>Pulse «REGISTRAR» en la portada: el cursor queda en la siguiente fila libre, resaltada en azul claro.</t>
  </si>
  <si>
    <t>Fecha: escríbala (dd/mm/aaaa) o presione Ctrl + ; para la fecha de hoy.</t>
  </si>
  <si>
    <t>Tipo: ENTRADA, SALIDA, AJUSTE (+), AJUSTE (-) o SALDO INICIAL. El sistema asigna el FactorStock.</t>
  </si>
  <si>
    <t>Categoría y luego Producto: la lista de productos se filtra por la categoría elegida (Alt + ↓).</t>
  </si>
  <si>
    <t>Cantidad: siempre positiva y en la unidad que muestra la columna Unidad. El signo lo pone el sistema.</t>
  </si>
  <si>
    <t>Documento (opcional), Responsable y Observaciones (obligatorias en los ajustes).</t>
  </si>
  <si>
    <t>Revise la columna Estado: debe decir ✔ Registrado. Si ve ✖ o ⚠, lea el mensaje y corrija.</t>
  </si>
  <si>
    <t>CONSULTAR UN PRODUCTO (KARDEX)</t>
  </si>
  <si>
    <t>Pulse «CONSULTAR» en la portada. En Buscar escriba parte del nombre o del SKU (o elija una Categoría).</t>
  </si>
  <si>
    <t>Elija el producto en la lista: verá su stock, semáforo, valor, días sin movimiento y un gráfico de evolución.</t>
  </si>
  <si>
    <t>Abajo está su historial: cada entrada, salida y ajuste con el saldo que dejó (los 100 más recientes).</t>
  </si>
  <si>
    <t>CÓDIGO DE COLORES</t>
  </si>
  <si>
    <t>Texto</t>
  </si>
  <si>
    <t xml:space="preserve">  ✎  Celda de ingreso: usted escribe o selecciona.</t>
  </si>
  <si>
    <t>Cálculo</t>
  </si>
  <si>
    <t xml:space="preserve">  ƒx  Celda calculada: bloqueada, la llena el sistema.</t>
  </si>
  <si>
    <t>TIPOS DE MOVIMIENTO</t>
  </si>
  <si>
    <t>Uso</t>
  </si>
  <si>
    <t>¿ME EQUIVOQUÉ? ASÍ SE CORRIGE</t>
  </si>
  <si>
    <t>La bitácora es inmutable: nunca borre ni sobrescriba un movimiento registrado. Corrija con un movimiento compensatorio y deje la explicación en Observaciones.</t>
  </si>
  <si>
    <t>Ejemplo: se registró una SALIDA de 10 UND pero eran 8 → registre un AJUSTE (+) de 2 UND con la observación «Corrección del registro ID 245».</t>
  </si>
  <si>
    <t>TOMA FÍSICA (CONTEO DE INVENTARIO)</t>
  </si>
  <si>
    <t>Abra «CONTEO». Filtre por Ubicación o Categoría para recorrer la bodega en orden.</t>
  </si>
  <si>
    <t>Para un conteo ciego, oculte la columna StockSistema antes de imprimir la hoja.</t>
  </si>
  <si>
    <t>Escriba en Conteo lo que encontró. Deje vacío lo que no contó: solo se ajusta lo contado.</t>
  </si>
  <si>
    <t>Revise Resultado (✔ cuadra · ▲ sobrante · ▼ faltante) y el valor de cada diferencia.</t>
  </si>
  <si>
    <t>Registre en la bitácora el AjusteSugerido de cada fila (tipo AJUSTE con observación) y luego borre los conteos.</t>
  </si>
  <si>
    <t>PEDIDO SUGERIDO DE COMPRA</t>
  </si>
  <si>
    <t>Abra «PEDIDO»: lista lo agotado, crítico y preventivo con la cantidad para volver al stock máximo.</t>
  </si>
  <si>
    <t>Elija un proveedor en el filtro para ver solo sus productos, su contacto y la fecha estimada de entrega.</t>
  </si>
  <si>
    <t>Imprima o guarde en PDF (Ctrl + P) y envíelo al proveedor.</t>
  </si>
  <si>
    <t>Cuando llegue la mercancía regístrela como ENTRADA.</t>
  </si>
  <si>
    <t>ATAJOS</t>
  </si>
  <si>
    <t>Ctrl + ;</t>
  </si>
  <si>
    <t xml:space="preserve">  Inserta la fecha de hoy en la celda.</t>
  </si>
  <si>
    <t>Alt + ↓</t>
  </si>
  <si>
    <t xml:space="preserve">  Abre la lista desplegable de la celda seleccionada.</t>
  </si>
  <si>
    <t>Tab</t>
  </si>
  <si>
    <t xml:space="preserve">  Salta al siguiente campo editable (las columnas calculadas se omiten solas).</t>
  </si>
  <si>
    <t>Ctrl + Z</t>
  </si>
  <si>
    <t xml:space="preserve">  Deshace el último cambio (antes de guardar).</t>
  </si>
  <si>
    <t>Ctrl + P</t>
  </si>
  <si>
    <t xml:space="preserve">  Imprime la hoja activa (pedido, stock, conteo…).</t>
  </si>
  <si>
    <t>PREGUNTAS FRECUENTES</t>
  </si>
  <si>
    <t>▸ ¿Por qué no puedo escribir en algunas columnas?</t>
  </si>
  <si>
    <t xml:space="preserve">   Son cálculos protegidos (ƒx). El bloqueo evita que una fórmula se borre por accidente.</t>
  </si>
  <si>
    <t>▸ ¿Por qué aparece «✖ Stock insuficiente»?</t>
  </si>
  <si>
    <t xml:space="preserve">   La salida supera el saldo disponible del producto. Verifique la cantidad o registre primero la entrada.</t>
  </si>
  <si>
    <t>▸ ¿Cómo agrego un producto o un proveedor?</t>
  </si>
  <si>
    <t xml:space="preserve">   En CATÁLOGO pulse «Registrar nuevo producto» (el SKU debe ser único y sin espacios); los proveedores se crean en 04_PROVEEDORES.</t>
  </si>
  <si>
    <t>▸ ¿Cómo descontinúo un producto?</t>
  </si>
  <si>
    <t xml:space="preserve">   Escriba NO en la columna Activo: sale de las listas pero conserva todo su historial.</t>
  </si>
  <si>
    <t>▸ ¿Qué pasa cuando la bitácora se llena?</t>
  </si>
  <si>
    <t xml:space="preserve">   La capacidad es de 5.000 registros. Antes del límite, Z&amp;P realiza el cierre de período: archivo histórico + saldos iniciales en un libro nuevo.</t>
  </si>
  <si>
    <t>M-INV V1.2.0 · Z&amp;P Software Fast Solutions · Documentación técnica en el repositorio ZP-MINV-Platform (docs/)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</si>
</sst>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Hoy · &quot;dd/mm/yyyy"/>
    <numFmt numFmtId="165" formatCode="dd/mm/yyyy"/>
    <numFmt numFmtId="166" formatCode="\+#,##0;\-#,##0;0"/>
    <numFmt numFmtId="167" formatCode="0&quot; días&quot;"/>
    <numFmt numFmtId="168" formatCode="\+0;\-0;0"/>
    <numFmt numFmtId="169" formatCode="\$\ #,##0"/>
    <numFmt numFmtId="170" formatCode="\$\ #,##0;\-\$\ #,##0;\$\ 0"/>
    <numFmt numFmtId="171" formatCode="0&quot; d&quot;"/>
    <numFmt numFmtId="172" formatCode="#,##0;\-#,##0;0"/>
    <numFmt numFmtId="173" formatCode="[=1]0&quot; día&quot;;0&quot; días&quot;"/>
    <numFmt numFmtId="174" formatCode="&quot;N.º PS-&quot;0"/>
    <numFmt numFmtId="175" formatCode="&quot;Fecha: &quot;dd/mm/yyyy"/>
    <numFmt numFmtId="176" formatCode="&quot;Total estimado: $ &quot;#,##0"/>
    <numFmt numFmtId="177" formatCode="#,##0.##"/>
    <numFmt numFmtId="178" formatCode="&quot;de &quot;#,##0&quot; en el catálogo&quot;"/>
    <numFmt numFmtId="179" formatCode="0%&quot; del catálogo activo&quot;"/>
    <numFmt numFmtId="180" formatCode="&quot;hasta &quot;0%&quot; por encima del mínimo&quot;"/>
    <numFmt numFmtId="181" formatCode="&quot;● &quot;@"/>
  </numFmts>
  <fonts count="71" x14ac:knownFonts="1">
    <font>
      <sz val="11"/>
      <color theme="1"/>
      <name val="Calibri"/>
      <family val="2"/>
      <scheme val="minor"/>
    </font>
    <font>
      <sz val="10"/>
      <color rgb="FF1F2937"/>
      <name val="Segoe UI"/>
      <family val="2"/>
    </font>
    <font>
      <sz val="18"/>
      <color rgb="FFFFFFFF"/>
      <name val="Segoe UI Semibold"/>
      <family val="2"/>
    </font>
    <font>
      <sz val="10"/>
      <color rgb="FFDCE7F3"/>
      <name val="Segoe UI"/>
      <family val="2"/>
    </font>
    <font>
      <sz val="10"/>
      <color rgb="FF9FB3C8"/>
      <name val="Segoe UI"/>
      <family val="2"/>
    </font>
    <font>
      <sz val="8.5"/>
      <color rgb="FF9FB3C8"/>
      <name val="Segoe UI"/>
      <family val="2"/>
    </font>
    <font>
      <b/>
      <sz val="8.5"/>
      <color rgb="FF1565C0"/>
      <name val="Segoe UI"/>
      <family val="2"/>
    </font>
    <font>
      <b/>
      <sz val="10.5"/>
      <color rgb="FF1565C0"/>
      <name val="Segoe UI"/>
      <family val="2"/>
    </font>
    <font>
      <b/>
      <sz val="9"/>
      <color rgb="FF2E7D32"/>
      <name val="Segoe UI"/>
      <family val="2"/>
    </font>
    <font>
      <b/>
      <sz val="9"/>
      <color rgb="FFFFFFFF"/>
      <name val="Segoe UI"/>
      <family val="2"/>
    </font>
    <font>
      <sz val="9"/>
      <color rgb="FF1F2937"/>
      <name val="Segoe UI"/>
      <family val="2"/>
    </font>
    <font>
      <b/>
      <sz val="9"/>
      <color rgb="FF1F2937"/>
      <name val="Segoe UI"/>
      <family val="2"/>
    </font>
    <font>
      <sz val="9"/>
      <color rgb="FF5F6B7A"/>
      <name val="Segoe UI"/>
      <family val="2"/>
    </font>
    <font>
      <sz val="8.5"/>
      <color rgb="FF5F6B7A"/>
      <name val="Segoe UI"/>
      <family val="2"/>
    </font>
    <font>
      <sz val="16"/>
      <color rgb="FFFFFFFF"/>
      <name val="Segoe UI Semibold"/>
      <family val="2"/>
    </font>
    <font>
      <sz val="9"/>
      <color rgb="FF9FB3C8"/>
      <name val="Segoe UI"/>
      <family val="2"/>
    </font>
    <font>
      <b/>
      <sz val="9.5"/>
      <color rgb="FFFFFFFF"/>
      <name val="Segoe UI"/>
      <family val="2"/>
    </font>
    <font>
      <b/>
      <sz val="10"/>
      <color rgb="FF1F2937"/>
      <name val="Segoe UI"/>
      <family val="2"/>
    </font>
    <font>
      <b/>
      <sz val="10"/>
      <color rgb="FF0D47A1"/>
      <name val="Segoe UI"/>
      <family val="2"/>
    </font>
    <font>
      <b/>
      <sz val="10"/>
      <color rgb="FF6A1B9A"/>
      <name val="Segoe UI"/>
      <family val="2"/>
    </font>
    <font>
      <b/>
      <sz val="10"/>
      <color rgb="FFFFFFFF"/>
      <name val="Segoe UI"/>
      <family val="2"/>
    </font>
    <font>
      <b/>
      <sz val="10"/>
      <color rgb="FFC62828"/>
      <name val="Segoe UI"/>
      <family val="2"/>
    </font>
    <font>
      <b/>
      <sz val="10"/>
      <color rgb="FFB45309"/>
      <name val="Segoe UI"/>
      <family val="2"/>
    </font>
    <font>
      <b/>
      <sz val="10"/>
      <color rgb="FF2E7D32"/>
      <name val="Segoe UI"/>
      <family val="2"/>
    </font>
    <font>
      <b/>
      <sz val="10"/>
      <color rgb="FF1565C0"/>
      <name val="Segoe UI"/>
      <family val="2"/>
    </font>
    <font>
      <b/>
      <sz val="10"/>
      <color rgb="FF555F6D"/>
      <name val="Segoe UI"/>
      <family val="2"/>
    </font>
    <font>
      <b/>
      <sz val="9"/>
      <color rgb="FF1565C0"/>
      <name val="Segoe UI"/>
      <family val="2"/>
    </font>
    <font>
      <i/>
      <sz val="9"/>
      <color rgb="FF5F6E84"/>
      <name val="Segoe UI"/>
      <family val="2"/>
    </font>
    <font>
      <sz val="10"/>
      <color rgb="FF334155"/>
      <name val="Segoe UI"/>
      <family val="2"/>
    </font>
    <font>
      <b/>
      <sz val="10"/>
      <color rgb="FF334155"/>
      <name val="Segoe UI"/>
      <family val="2"/>
    </font>
    <font>
      <sz val="10"/>
      <color rgb="FF5F6E84"/>
      <name val="Segoe UI"/>
      <family val="2"/>
    </font>
    <font>
      <b/>
      <sz val="8.5"/>
      <color rgb="FF5F6B7A"/>
      <name val="Segoe UI"/>
      <family val="2"/>
    </font>
    <font>
      <sz val="11"/>
      <color rgb="FF1F2937"/>
      <name val="Segoe UI"/>
      <family val="2"/>
    </font>
    <font>
      <b/>
      <sz val="11"/>
      <color rgb="FF1F2937"/>
      <name val="Segoe UI"/>
      <family val="2"/>
    </font>
    <font>
      <i/>
      <sz val="8.5"/>
      <color rgb="FF5F6B7A"/>
      <name val="Segoe UI"/>
      <family val="2"/>
    </font>
    <font>
      <sz val="13"/>
      <color rgb="FF1F2937"/>
      <name val="Segoe UI Semibold"/>
      <family val="2"/>
    </font>
    <font>
      <b/>
      <sz val="8"/>
      <color rgb="FF5F6B7A"/>
      <name val="Segoe UI"/>
      <family val="2"/>
    </font>
    <font>
      <sz val="24"/>
      <color rgb="FF1F2937"/>
      <name val="Segoe UI Semibold"/>
      <family val="2"/>
    </font>
    <font>
      <sz val="15"/>
      <color rgb="FF0D47A1"/>
      <name val="Segoe UI Semibold"/>
      <family val="2"/>
    </font>
    <font>
      <b/>
      <sz val="10"/>
      <color rgb="FF5F6B7A"/>
      <name val="Segoe UI"/>
      <family val="2"/>
    </font>
    <font>
      <sz val="9"/>
      <color rgb="FF5F6E84"/>
      <name val="Segoe UI"/>
      <family val="2"/>
    </font>
    <font>
      <b/>
      <sz val="9"/>
      <color rgb="FFC62828"/>
      <name val="Segoe UI"/>
      <family val="2"/>
    </font>
    <font>
      <sz val="14"/>
      <color rgb="FF1F2937"/>
      <name val="Segoe UI Semibold"/>
      <family val="2"/>
    </font>
    <font>
      <sz val="16"/>
      <color rgb="FF0B1F33"/>
      <name val="Segoe UI Semibold"/>
      <family val="2"/>
    </font>
    <font>
      <sz val="14"/>
      <color rgb="FF0D47A1"/>
      <name val="Segoe UI Semibold"/>
      <family val="2"/>
    </font>
    <font>
      <b/>
      <sz val="9"/>
      <color rgb="FF00796B"/>
      <name val="Segoe UI"/>
      <family val="2"/>
    </font>
    <font>
      <sz val="9.5"/>
      <color rgb="FF5F6E84"/>
      <name val="Segoe UI"/>
      <family val="2"/>
    </font>
    <font>
      <sz val="9.5"/>
      <color rgb="FF1F2937"/>
      <name val="Segoe UI"/>
      <family val="2"/>
    </font>
    <font>
      <sz val="9.5"/>
      <color rgb="FF5F6B7A"/>
      <name val="Segoe UI"/>
      <family val="2"/>
    </font>
    <font>
      <b/>
      <sz val="10.5"/>
      <color rgb="FF0D47A1"/>
      <name val="Segoe UI"/>
      <family val="2"/>
    </font>
    <font>
      <b/>
      <sz val="9.5"/>
      <color rgb="FF1F2937"/>
      <name val="Segoe UI"/>
      <family val="2"/>
    </font>
    <font>
      <sz val="10"/>
      <color rgb="FFFFFFFF"/>
      <name val="Segoe UI"/>
      <family val="2"/>
    </font>
    <font>
      <sz val="8.5"/>
      <color rgb="FF1F2937"/>
      <name val="Segoe UI"/>
      <family val="2"/>
    </font>
    <font>
      <sz val="9"/>
      <color rgb="FF9B1C1C"/>
      <name val="Segoe UI"/>
      <family val="2"/>
    </font>
    <font>
      <sz val="9"/>
      <color rgb="FFD32F2F"/>
      <name val="Segoe UI"/>
      <family val="2"/>
    </font>
    <font>
      <sz val="9"/>
      <color rgb="FFF59E0B"/>
      <name val="Segoe UI"/>
      <family val="2"/>
    </font>
    <font>
      <sz val="9"/>
      <color rgb="FF2E7D32"/>
      <name val="Segoe UI"/>
      <family val="2"/>
    </font>
    <font>
      <sz val="9"/>
      <color rgb="FF1565C0"/>
      <name val="Segoe UI"/>
      <family val="2"/>
    </font>
    <font>
      <sz val="9"/>
      <color rgb="FF8E24AA"/>
      <name val="Segoe UI"/>
      <family val="2"/>
    </font>
    <font>
      <sz val="8"/>
      <color rgb="FF5F6B7A"/>
      <name val="Segoe UI"/>
      <family val="2"/>
    </font>
    <font>
      <b/>
      <sz val="11"/>
      <color rgb="FF1565C0"/>
      <name val="Segoe UI"/>
      <family val="2"/>
    </font>
    <font>
      <b/>
      <sz val="14"/>
      <color rgb="FF5F6B7A"/>
      <name val="Segoe UI"/>
      <family val="2"/>
    </font>
    <font>
      <b/>
      <sz val="11"/>
      <color rgb="FFFFFFFF"/>
      <name val="Segoe UI"/>
      <family val="2"/>
    </font>
    <font>
      <b/>
      <sz val="9"/>
      <color rgb="FF6A1B9A"/>
      <name val="Segoe UI"/>
      <family val="2"/>
    </font>
    <font>
      <b/>
      <sz val="9"/>
      <color rgb="FFB45309"/>
      <name val="Segoe UI"/>
      <family val="2"/>
    </font>
    <font>
      <b/>
      <sz val="9"/>
      <color rgb="FF555F6D"/>
      <name val="Segoe UI"/>
      <family val="2"/>
    </font>
    <font>
      <i/>
      <sz val="9"/>
      <color rgb="FF5F6B7A"/>
      <name val="Segoe UI"/>
      <family val="2"/>
    </font>
    <font>
      <b/>
      <sz val="10"/>
      <color rgb="FF0B1F33"/>
      <name val="Segoe UI"/>
      <family val="2"/>
    </font>
    <font>
      <sz val="8.5"/>
      <color rgb="FF5F6E84"/>
      <name val="Segoe UI"/>
      <family val="2"/>
    </font>
    <font>
      <b/>
      <sz val="9"/>
      <color rgb="FF5F6B7A"/>
      <name val="Segoe UI"/>
      <family val="2"/>
    </font>
    <font>
      <b/>
      <sz val="8.5"/>
      <color rgb="FF1F2937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3F5F8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rgb="FF5E35B1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BF360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8FB3DE"/>
      </left>
      <right style="thin">
        <color rgb="FF8FB3DE"/>
      </right>
      <top style="thin">
        <color rgb="FF8FB3DE"/>
      </top>
      <bottom style="thin">
        <color rgb="FF8FB3D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/>
      <diagonal/>
    </border>
    <border>
      <left style="thin">
        <color rgb="FFDDE3EA"/>
      </left>
      <right style="thin">
        <color rgb="FFDDE3EA"/>
      </right>
      <top/>
      <bottom/>
      <diagonal/>
    </border>
    <border>
      <left style="thin">
        <color rgb="FFDDE3EA"/>
      </left>
      <right/>
      <top/>
      <bottom/>
      <diagonal/>
    </border>
    <border>
      <left/>
      <right style="thin">
        <color rgb="FFDDE3EA"/>
      </right>
      <top/>
      <bottom/>
      <diagonal/>
    </border>
    <border>
      <left style="thin">
        <color rgb="FFDDE3EA"/>
      </left>
      <right style="thin">
        <color rgb="FFDDE3EA"/>
      </right>
      <top/>
      <bottom style="thin">
        <color rgb="FFDDE3EA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  <protection hidden="1"/>
    </xf>
    <xf numFmtId="0" fontId="1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65" fontId="10" fillId="6" borderId="1" xfId="0" applyNumberFormat="1" applyFont="1" applyFill="1" applyBorder="1" applyAlignment="1" applyProtection="1">
      <alignment horizontal="center" vertical="center"/>
      <protection hidden="1"/>
    </xf>
    <xf numFmtId="0" fontId="11" fillId="6" borderId="1" xfId="0" applyFont="1" applyFill="1" applyBorder="1" applyAlignment="1" applyProtection="1">
      <alignment horizontal="center" vertical="center"/>
      <protection hidden="1"/>
    </xf>
    <xf numFmtId="166" fontId="11" fillId="6" borderId="1" xfId="0" applyNumberFormat="1" applyFont="1" applyFill="1" applyBorder="1" applyAlignment="1" applyProtection="1">
      <alignment horizontal="right" vertical="center" indent="1"/>
      <protection hidden="1"/>
    </xf>
    <xf numFmtId="0" fontId="10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6" fillId="7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indent="1"/>
    </xf>
    <xf numFmtId="0" fontId="18" fillId="6" borderId="4" xfId="0" applyFont="1" applyFill="1" applyBorder="1" applyAlignment="1" applyProtection="1">
      <alignment horizontal="left" vertical="center" indent="1"/>
      <protection locked="0"/>
    </xf>
    <xf numFmtId="0" fontId="12" fillId="0" borderId="3" xfId="0" applyFont="1" applyBorder="1" applyAlignment="1">
      <alignment horizontal="left" vertical="center" wrapText="1" indent="1"/>
    </xf>
    <xf numFmtId="9" fontId="18" fillId="6" borderId="4" xfId="0" applyNumberFormat="1" applyFont="1" applyFill="1" applyBorder="1" applyAlignment="1" applyProtection="1">
      <alignment horizontal="left" vertical="center" indent="1"/>
      <protection locked="0"/>
    </xf>
    <xf numFmtId="167" fontId="18" fillId="6" borderId="4" xfId="0" applyNumberFormat="1" applyFont="1" applyFill="1" applyBorder="1" applyAlignment="1" applyProtection="1">
      <alignment horizontal="left" vertical="center" indent="1"/>
      <protection locked="0"/>
    </xf>
    <xf numFmtId="165" fontId="18" fillId="6" borderId="4" xfId="0" applyNumberFormat="1" applyFont="1" applyFill="1" applyBorder="1" applyAlignment="1" applyProtection="1">
      <alignment horizontal="left" vertical="center" indent="1"/>
      <protection locked="0"/>
    </xf>
    <xf numFmtId="1" fontId="18" fillId="6" borderId="4" xfId="0" applyNumberFormat="1" applyFont="1" applyFill="1" applyBorder="1" applyAlignment="1" applyProtection="1">
      <alignment horizontal="left" vertical="center" indent="1"/>
      <protection locked="0"/>
    </xf>
    <xf numFmtId="168" fontId="17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19" fillId="9" borderId="3" xfId="0" applyFont="1" applyFill="1" applyBorder="1" applyAlignment="1">
      <alignment horizontal="left" vertical="center" indent="1"/>
    </xf>
    <xf numFmtId="0" fontId="17" fillId="0" borderId="3" xfId="0" applyFont="1" applyBorder="1" applyAlignment="1">
      <alignment horizontal="center" vertical="center"/>
    </xf>
    <xf numFmtId="0" fontId="20" fillId="10" borderId="3" xfId="0" applyFont="1" applyFill="1" applyBorder="1" applyAlignment="1">
      <alignment horizontal="left" vertical="center" indent="1"/>
    </xf>
    <xf numFmtId="0" fontId="21" fillId="11" borderId="3" xfId="0" applyFont="1" applyFill="1" applyBorder="1" applyAlignment="1">
      <alignment horizontal="left" vertical="center" indent="1"/>
    </xf>
    <xf numFmtId="0" fontId="22" fillId="12" borderId="3" xfId="0" applyFont="1" applyFill="1" applyBorder="1" applyAlignment="1">
      <alignment horizontal="left" vertical="center" indent="1"/>
    </xf>
    <xf numFmtId="0" fontId="23" fillId="13" borderId="3" xfId="0" applyFont="1" applyFill="1" applyBorder="1" applyAlignment="1">
      <alignment horizontal="left" vertical="center" indent="1"/>
    </xf>
    <xf numFmtId="0" fontId="24" fillId="4" borderId="3" xfId="0" applyFont="1" applyFill="1" applyBorder="1" applyAlignment="1">
      <alignment horizontal="left" vertical="center" indent="1"/>
    </xf>
    <xf numFmtId="0" fontId="25" fillId="14" borderId="3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" fillId="6" borderId="4" xfId="0" applyFont="1" applyFill="1" applyBorder="1" applyAlignment="1" applyProtection="1">
      <alignment horizontal="left" vertical="center" indent="1"/>
      <protection locked="0"/>
    </xf>
    <xf numFmtId="0" fontId="1" fillId="6" borderId="4" xfId="0" applyFont="1" applyFill="1" applyBorder="1" applyAlignment="1" applyProtection="1">
      <alignment horizontal="center" vertical="center"/>
      <protection locked="0"/>
    </xf>
    <xf numFmtId="3" fontId="1" fillId="6" borderId="4" xfId="0" applyNumberFormat="1" applyFont="1" applyFill="1" applyBorder="1" applyAlignment="1" applyProtection="1">
      <alignment horizontal="right" vertical="center" indent="1"/>
      <protection locked="0"/>
    </xf>
    <xf numFmtId="0" fontId="28" fillId="15" borderId="5" xfId="0" applyFont="1" applyFill="1" applyBorder="1" applyAlignment="1" applyProtection="1">
      <alignment horizontal="center" vertical="center"/>
      <protection hidden="1"/>
    </xf>
    <xf numFmtId="0" fontId="29" fillId="15" borderId="5" xfId="0" applyFont="1" applyFill="1" applyBorder="1" applyAlignment="1" applyProtection="1">
      <alignment horizontal="left" vertical="center" indent="1"/>
      <protection hidden="1"/>
    </xf>
    <xf numFmtId="169" fontId="1" fillId="6" borderId="4" xfId="0" applyNumberFormat="1" applyFont="1" applyFill="1" applyBorder="1" applyAlignment="1" applyProtection="1">
      <alignment horizontal="right" vertical="center" indent="1"/>
      <protection locked="0"/>
    </xf>
    <xf numFmtId="0" fontId="28" fillId="15" borderId="5" xfId="0" applyFont="1" applyFill="1" applyBorder="1" applyAlignment="1" applyProtection="1">
      <alignment horizontal="left" vertical="center" indent="1"/>
      <protection hidden="1"/>
    </xf>
    <xf numFmtId="0" fontId="1" fillId="0" borderId="3" xfId="0" applyFont="1" applyBorder="1" applyAlignment="1">
      <alignment horizontal="center" vertical="center"/>
    </xf>
    <xf numFmtId="0" fontId="30" fillId="15" borderId="5" xfId="0" applyFont="1" applyFill="1" applyBorder="1" applyAlignment="1" applyProtection="1">
      <alignment horizontal="center" vertical="center"/>
      <protection hidden="1"/>
    </xf>
    <xf numFmtId="165" fontId="1" fillId="6" borderId="4" xfId="0" applyNumberFormat="1" applyFont="1" applyFill="1" applyBorder="1" applyAlignment="1" applyProtection="1">
      <alignment horizontal="center" vertical="center"/>
      <protection locked="0"/>
    </xf>
    <xf numFmtId="168" fontId="29" fillId="15" borderId="5" xfId="0" applyNumberFormat="1" applyFont="1" applyFill="1" applyBorder="1" applyAlignment="1" applyProtection="1">
      <alignment horizontal="center" vertical="center"/>
      <protection hidden="1"/>
    </xf>
    <xf numFmtId="166" fontId="28" fillId="15" borderId="5" xfId="0" applyNumberFormat="1" applyFont="1" applyFill="1" applyBorder="1" applyAlignment="1" applyProtection="1">
      <alignment horizontal="right" vertical="center" indent="1"/>
      <protection hidden="1"/>
    </xf>
    <xf numFmtId="3" fontId="29" fillId="15" borderId="5" xfId="0" applyNumberFormat="1" applyFont="1" applyFill="1" applyBorder="1" applyAlignment="1" applyProtection="1">
      <alignment horizontal="right" vertical="center" indent="1"/>
      <protection hidden="1"/>
    </xf>
    <xf numFmtId="0" fontId="11" fillId="3" borderId="0" xfId="0" applyFont="1" applyFill="1" applyAlignment="1">
      <alignment horizontal="right" vertical="center" indent="1"/>
    </xf>
    <xf numFmtId="165" fontId="1" fillId="6" borderId="4" xfId="0" applyNumberFormat="1" applyFont="1" applyFill="1" applyBorder="1" applyAlignment="1" applyProtection="1">
      <alignment horizontal="left" vertical="center" indent="1"/>
      <protection locked="0"/>
    </xf>
    <xf numFmtId="170" fontId="28" fillId="15" borderId="5" xfId="0" applyNumberFormat="1" applyFont="1" applyFill="1" applyBorder="1" applyAlignment="1" applyProtection="1">
      <alignment horizontal="right" vertical="center" inden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 indent="1"/>
      <protection hidden="1"/>
    </xf>
    <xf numFmtId="3" fontId="1" fillId="0" borderId="0" xfId="0" applyNumberFormat="1" applyFont="1" applyAlignment="1" applyProtection="1">
      <alignment horizontal="right" vertical="center" indent="1"/>
      <protection hidden="1"/>
    </xf>
    <xf numFmtId="3" fontId="17" fillId="0" borderId="0" xfId="0" applyNumberFormat="1" applyFont="1" applyAlignment="1" applyProtection="1">
      <alignment horizontal="right" vertical="center" indent="1"/>
      <protection hidden="1"/>
    </xf>
    <xf numFmtId="9" fontId="1" fillId="0" borderId="0" xfId="0" applyNumberFormat="1" applyFont="1" applyAlignment="1" applyProtection="1">
      <alignment horizontal="right" vertical="center" indent="1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169" fontId="1" fillId="0" borderId="0" xfId="0" applyNumberFormat="1" applyFont="1" applyAlignment="1" applyProtection="1">
      <alignment horizontal="right" vertical="center" indent="1"/>
      <protection hidden="1"/>
    </xf>
    <xf numFmtId="165" fontId="1" fillId="0" borderId="0" xfId="0" applyNumberFormat="1" applyFont="1" applyAlignment="1" applyProtection="1">
      <alignment horizontal="center" vertical="center"/>
      <protection hidden="1"/>
    </xf>
    <xf numFmtId="171" fontId="1" fillId="0" borderId="0" xfId="0" applyNumberFormat="1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6" fillId="6" borderId="8" xfId="0" applyFont="1" applyFill="1" applyBorder="1" applyAlignment="1" applyProtection="1">
      <alignment horizontal="center" vertical="center"/>
      <protection hidden="1"/>
    </xf>
    <xf numFmtId="0" fontId="36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5" fontId="10" fillId="0" borderId="0" xfId="0" applyNumberFormat="1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3" fontId="8" fillId="0" borderId="0" xfId="0" applyNumberFormat="1" applyFont="1" applyAlignment="1" applyProtection="1">
      <alignment horizontal="right" vertical="center" indent="1"/>
      <protection hidden="1"/>
    </xf>
    <xf numFmtId="3" fontId="41" fillId="0" borderId="0" xfId="0" applyNumberFormat="1" applyFont="1" applyAlignment="1" applyProtection="1">
      <alignment horizontal="right" vertical="center" indent="1"/>
      <protection hidden="1"/>
    </xf>
    <xf numFmtId="3" fontId="11" fillId="0" borderId="0" xfId="0" applyNumberFormat="1" applyFont="1" applyAlignment="1" applyProtection="1">
      <alignment horizontal="right" vertical="center" indent="1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" fillId="6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 wrapText="1"/>
    </xf>
    <xf numFmtId="0" fontId="46" fillId="0" borderId="0" xfId="0" applyFont="1" applyAlignment="1" applyProtection="1">
      <alignment horizontal="center" vertical="center"/>
      <protection hidden="1"/>
    </xf>
    <xf numFmtId="0" fontId="47" fillId="0" borderId="0" xfId="0" applyFont="1" applyAlignment="1" applyProtection="1">
      <alignment horizontal="left" vertical="center" indent="1"/>
      <protection hidden="1"/>
    </xf>
    <xf numFmtId="0" fontId="47" fillId="0" borderId="0" xfId="0" applyFont="1" applyAlignment="1" applyProtection="1">
      <alignment horizontal="center" vertical="center"/>
      <protection hidden="1"/>
    </xf>
    <xf numFmtId="3" fontId="47" fillId="0" borderId="0" xfId="0" applyNumberFormat="1" applyFont="1" applyAlignment="1" applyProtection="1">
      <alignment horizontal="right" vertical="center" indent="1"/>
      <protection hidden="1"/>
    </xf>
    <xf numFmtId="3" fontId="48" fillId="0" borderId="0" xfId="0" applyNumberFormat="1" applyFont="1" applyAlignment="1" applyProtection="1">
      <alignment horizontal="right" vertical="center" indent="1"/>
      <protection hidden="1"/>
    </xf>
    <xf numFmtId="0" fontId="11" fillId="0" borderId="0" xfId="0" applyFont="1" applyAlignment="1" applyProtection="1">
      <alignment horizontal="left" vertical="center" indent="1"/>
      <protection hidden="1"/>
    </xf>
    <xf numFmtId="3" fontId="49" fillId="0" borderId="0" xfId="0" applyNumberFormat="1" applyFont="1" applyAlignment="1" applyProtection="1">
      <alignment horizontal="right" vertical="center" indent="1"/>
      <protection hidden="1"/>
    </xf>
    <xf numFmtId="169" fontId="47" fillId="0" borderId="0" xfId="0" applyNumberFormat="1" applyFont="1" applyAlignment="1" applyProtection="1">
      <alignment horizontal="right" vertical="center" indent="1"/>
      <protection hidden="1"/>
    </xf>
    <xf numFmtId="169" fontId="50" fillId="0" borderId="0" xfId="0" applyNumberFormat="1" applyFont="1" applyAlignment="1" applyProtection="1">
      <alignment horizontal="right" vertical="center" indent="1"/>
      <protection hidden="1"/>
    </xf>
    <xf numFmtId="0" fontId="51" fillId="2" borderId="0" xfId="0" applyFont="1" applyFill="1" applyAlignment="1">
      <alignment vertical="center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 indent="1"/>
    </xf>
    <xf numFmtId="3" fontId="11" fillId="0" borderId="3" xfId="0" applyNumberFormat="1" applyFont="1" applyBorder="1" applyAlignment="1" applyProtection="1">
      <alignment horizontal="right" vertical="center"/>
      <protection hidden="1"/>
    </xf>
    <xf numFmtId="0" fontId="13" fillId="0" borderId="3" xfId="0" applyFont="1" applyBorder="1" applyAlignment="1">
      <alignment horizontal="left" vertical="center" indent="1"/>
    </xf>
    <xf numFmtId="165" fontId="10" fillId="0" borderId="0" xfId="0" applyNumberFormat="1" applyFont="1" applyAlignment="1" applyProtection="1">
      <alignment vertical="center"/>
      <protection hidden="1"/>
    </xf>
    <xf numFmtId="0" fontId="52" fillId="0" borderId="0" xfId="0" applyFont="1" applyAlignment="1" applyProtection="1">
      <alignment vertical="center"/>
      <protection hidden="1"/>
    </xf>
    <xf numFmtId="0" fontId="52" fillId="0" borderId="0" xfId="0" applyFont="1" applyAlignment="1">
      <alignment horizontal="center" vertical="center"/>
    </xf>
    <xf numFmtId="165" fontId="52" fillId="0" borderId="0" xfId="0" applyNumberFormat="1" applyFont="1" applyAlignment="1" applyProtection="1">
      <alignment vertical="center"/>
      <protection hidden="1"/>
    </xf>
    <xf numFmtId="169" fontId="11" fillId="0" borderId="3" xfId="0" applyNumberFormat="1" applyFont="1" applyBorder="1" applyAlignment="1" applyProtection="1">
      <alignment horizontal="right" vertical="center"/>
      <protection hidden="1"/>
    </xf>
    <xf numFmtId="169" fontId="10" fillId="0" borderId="0" xfId="0" applyNumberFormat="1" applyFont="1" applyAlignment="1" applyProtection="1">
      <alignment vertical="center"/>
      <protection hidden="1"/>
    </xf>
    <xf numFmtId="1" fontId="11" fillId="0" borderId="3" xfId="0" applyNumberFormat="1" applyFont="1" applyBorder="1" applyAlignment="1" applyProtection="1">
      <alignment horizontal="right" vertical="center"/>
      <protection hidden="1"/>
    </xf>
    <xf numFmtId="0" fontId="10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65" fontId="11" fillId="0" borderId="3" xfId="0" applyNumberFormat="1" applyFont="1" applyBorder="1" applyAlignment="1" applyProtection="1">
      <alignment horizontal="right" vertical="center"/>
      <protection hidden="1"/>
    </xf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49" fontId="11" fillId="0" borderId="3" xfId="0" applyNumberFormat="1" applyFont="1" applyBorder="1" applyAlignment="1" applyProtection="1">
      <alignment horizontal="right" vertical="center"/>
      <protection hidden="1"/>
    </xf>
    <xf numFmtId="0" fontId="11" fillId="0" borderId="3" xfId="0" applyFont="1" applyBorder="1" applyAlignment="1" applyProtection="1">
      <alignment horizontal="right" vertical="center"/>
      <protection hidden="1"/>
    </xf>
    <xf numFmtId="177" fontId="11" fillId="0" borderId="3" xfId="0" applyNumberFormat="1" applyFont="1" applyBorder="1" applyAlignment="1" applyProtection="1">
      <alignment horizontal="right" vertical="center"/>
      <protection hidden="1"/>
    </xf>
    <xf numFmtId="178" fontId="11" fillId="0" borderId="3" xfId="0" applyNumberFormat="1" applyFont="1" applyBorder="1" applyAlignment="1" applyProtection="1">
      <alignment horizontal="right" vertical="center"/>
      <protection hidden="1"/>
    </xf>
    <xf numFmtId="179" fontId="11" fillId="0" borderId="3" xfId="0" applyNumberFormat="1" applyFont="1" applyBorder="1" applyAlignment="1" applyProtection="1">
      <alignment horizontal="right" vertical="center"/>
      <protection hidden="1"/>
    </xf>
    <xf numFmtId="180" fontId="11" fillId="0" borderId="3" xfId="0" applyNumberFormat="1" applyFont="1" applyBorder="1" applyAlignment="1" applyProtection="1">
      <alignment horizontal="right" vertical="center"/>
      <protection hidden="1"/>
    </xf>
    <xf numFmtId="0" fontId="61" fillId="6" borderId="3" xfId="0" applyFont="1" applyFill="1" applyBorder="1" applyAlignment="1" applyProtection="1">
      <alignment horizontal="center" vertical="center"/>
      <protection hidden="1"/>
    </xf>
    <xf numFmtId="0" fontId="62" fillId="8" borderId="0" xfId="0" applyFont="1" applyFill="1" applyAlignment="1">
      <alignment horizontal="center" vertical="center"/>
    </xf>
    <xf numFmtId="0" fontId="62" fillId="16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left" vertical="center" indent="1"/>
    </xf>
    <xf numFmtId="0" fontId="28" fillId="15" borderId="5" xfId="0" applyFont="1" applyFill="1" applyBorder="1" applyAlignment="1">
      <alignment horizontal="left" vertical="center" indent="1"/>
    </xf>
    <xf numFmtId="168" fontId="50" fillId="6" borderId="1" xfId="0" applyNumberFormat="1" applyFont="1" applyFill="1" applyBorder="1" applyAlignment="1" applyProtection="1">
      <alignment horizontal="center" vertical="center"/>
      <protection hidden="1"/>
    </xf>
    <xf numFmtId="0" fontId="62" fillId="17" borderId="0" xfId="0" applyFont="1" applyFill="1" applyAlignment="1">
      <alignment horizontal="center" vertical="center"/>
    </xf>
    <xf numFmtId="0" fontId="62" fillId="18" borderId="0" xfId="0" applyFont="1" applyFill="1" applyAlignment="1">
      <alignment horizontal="center" vertical="center"/>
    </xf>
    <xf numFmtId="164" fontId="3" fillId="2" borderId="0" xfId="0" applyNumberFormat="1" applyFont="1" applyFill="1" applyAlignment="1" applyProtection="1">
      <alignment horizontal="right" vertical="center"/>
      <protection hidden="1"/>
    </xf>
    <xf numFmtId="0" fontId="5" fillId="2" borderId="0" xfId="0" applyFont="1" applyFill="1" applyAlignment="1">
      <alignment horizontal="right" vertical="center"/>
    </xf>
    <xf numFmtId="0" fontId="7" fillId="4" borderId="0" xfId="0" applyFont="1" applyFill="1" applyAlignment="1" applyProtection="1">
      <alignment horizontal="left" vertical="center" indent="1"/>
      <protection hidden="1"/>
    </xf>
    <xf numFmtId="0" fontId="8" fillId="3" borderId="0" xfId="0" applyFont="1" applyFill="1" applyAlignment="1" applyProtection="1">
      <alignment horizontal="right" vertical="center"/>
      <protection hidden="1"/>
    </xf>
    <xf numFmtId="0" fontId="9" fillId="5" borderId="0" xfId="0" applyFont="1" applyFill="1" applyAlignment="1">
      <alignment horizontal="left" vertical="center" indent="1"/>
    </xf>
    <xf numFmtId="0" fontId="10" fillId="6" borderId="1" xfId="0" applyFont="1" applyFill="1" applyBorder="1" applyAlignment="1" applyProtection="1">
      <alignment horizontal="left" vertical="center" indent="1"/>
      <protection hidden="1"/>
    </xf>
    <xf numFmtId="0" fontId="13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3" fillId="3" borderId="0" xfId="0" applyFont="1" applyFill="1" applyAlignment="1" applyProtection="1">
      <alignment horizontal="right" vertical="center"/>
      <protection hidden="1"/>
    </xf>
    <xf numFmtId="0" fontId="31" fillId="3" borderId="0" xfId="0" applyFont="1" applyFill="1" applyAlignment="1">
      <alignment horizontal="left" vertical="center" indent="1"/>
    </xf>
    <xf numFmtId="0" fontId="32" fillId="6" borderId="4" xfId="0" applyFont="1" applyFill="1" applyBorder="1" applyAlignment="1" applyProtection="1">
      <alignment horizontal="left" vertical="center" indent="1"/>
      <protection locked="0"/>
    </xf>
    <xf numFmtId="0" fontId="33" fillId="6" borderId="4" xfId="0" applyFont="1" applyFill="1" applyBorder="1" applyAlignment="1" applyProtection="1">
      <alignment horizontal="left" vertical="center" indent="1"/>
      <protection locked="0"/>
    </xf>
    <xf numFmtId="0" fontId="34" fillId="3" borderId="0" xfId="0" applyFont="1" applyFill="1" applyAlignment="1" applyProtection="1">
      <alignment horizontal="left" vertical="center" indent="1"/>
      <protection hidden="1"/>
    </xf>
    <xf numFmtId="0" fontId="35" fillId="6" borderId="6" xfId="0" applyFont="1" applyFill="1" applyBorder="1" applyAlignment="1" applyProtection="1">
      <alignment horizontal="left" vertical="center" indent="1"/>
      <protection hidden="1"/>
    </xf>
    <xf numFmtId="0" fontId="12" fillId="6" borderId="7" xfId="0" applyFont="1" applyFill="1" applyBorder="1" applyAlignment="1" applyProtection="1">
      <alignment horizontal="left" vertical="center" indent="1"/>
      <protection hidden="1"/>
    </xf>
    <xf numFmtId="0" fontId="36" fillId="6" borderId="8" xfId="0" applyFont="1" applyFill="1" applyBorder="1" applyAlignment="1" applyProtection="1">
      <alignment horizontal="center" vertical="center"/>
      <protection hidden="1"/>
    </xf>
    <xf numFmtId="0" fontId="36" fillId="6" borderId="0" xfId="0" applyFont="1" applyFill="1" applyAlignment="1" applyProtection="1">
      <alignment horizontal="center" vertical="center"/>
      <protection hidden="1"/>
    </xf>
    <xf numFmtId="0" fontId="36" fillId="6" borderId="9" xfId="0" applyFont="1" applyFill="1" applyBorder="1" applyAlignment="1" applyProtection="1">
      <alignment horizontal="center" vertical="center"/>
      <protection hidden="1"/>
    </xf>
    <xf numFmtId="172" fontId="37" fillId="6" borderId="8" xfId="0" applyNumberFormat="1" applyFont="1" applyFill="1" applyBorder="1" applyAlignment="1" applyProtection="1">
      <alignment horizontal="center" vertical="center"/>
      <protection hidden="1"/>
    </xf>
    <xf numFmtId="0" fontId="17" fillId="6" borderId="0" xfId="0" applyFont="1" applyFill="1" applyAlignment="1" applyProtection="1">
      <alignment horizontal="center" vertical="center"/>
      <protection hidden="1"/>
    </xf>
    <xf numFmtId="169" fontId="38" fillId="6" borderId="9" xfId="0" applyNumberFormat="1" applyFont="1" applyFill="1" applyBorder="1" applyAlignment="1" applyProtection="1">
      <alignment horizontal="center" vertical="center"/>
      <protection hidden="1"/>
    </xf>
    <xf numFmtId="0" fontId="39" fillId="6" borderId="8" xfId="0" applyFont="1" applyFill="1" applyBorder="1" applyAlignment="1" applyProtection="1">
      <alignment horizontal="center" vertical="center"/>
      <protection hidden="1"/>
    </xf>
    <xf numFmtId="165" fontId="33" fillId="6" borderId="0" xfId="0" applyNumberFormat="1" applyFont="1" applyFill="1" applyAlignment="1" applyProtection="1">
      <alignment horizontal="center" vertical="center"/>
      <protection hidden="1"/>
    </xf>
    <xf numFmtId="173" fontId="33" fillId="6" borderId="9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 indent="1"/>
      <protection hidden="1"/>
    </xf>
    <xf numFmtId="0" fontId="42" fillId="6" borderId="0" xfId="0" applyFont="1" applyFill="1" applyAlignment="1" applyProtection="1">
      <alignment horizontal="left" vertical="center" indent="1"/>
      <protection hidden="1"/>
    </xf>
    <xf numFmtId="0" fontId="12" fillId="6" borderId="0" xfId="0" applyFont="1" applyFill="1" applyAlignment="1" applyProtection="1">
      <alignment horizontal="left" vertical="center" indent="1"/>
      <protection hidden="1"/>
    </xf>
    <xf numFmtId="0" fontId="34" fillId="6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right" vertical="center" indent="1"/>
    </xf>
    <xf numFmtId="0" fontId="17" fillId="6" borderId="4" xfId="0" applyFont="1" applyFill="1" applyBorder="1" applyAlignment="1" applyProtection="1">
      <alignment horizontal="left" vertical="center" indent="1"/>
      <protection locked="0"/>
    </xf>
    <xf numFmtId="0" fontId="10" fillId="6" borderId="0" xfId="0" applyFont="1" applyFill="1" applyAlignment="1" applyProtection="1">
      <alignment horizontal="left" vertical="center" indent="1"/>
      <protection hidden="1"/>
    </xf>
    <xf numFmtId="0" fontId="45" fillId="6" borderId="0" xfId="0" applyFont="1" applyFill="1" applyAlignment="1" applyProtection="1">
      <alignment horizontal="left" vertical="center" indent="1"/>
      <protection hidden="1"/>
    </xf>
    <xf numFmtId="0" fontId="43" fillId="6" borderId="0" xfId="0" applyFont="1" applyFill="1" applyAlignment="1">
      <alignment horizontal="right" vertical="center" indent="1"/>
    </xf>
    <xf numFmtId="174" fontId="17" fillId="6" borderId="0" xfId="0" applyNumberFormat="1" applyFont="1" applyFill="1" applyAlignment="1" applyProtection="1">
      <alignment horizontal="right" vertical="center" indent="1"/>
      <protection hidden="1"/>
    </xf>
    <xf numFmtId="175" fontId="10" fillId="6" borderId="0" xfId="0" applyNumberFormat="1" applyFont="1" applyFill="1" applyAlignment="1" applyProtection="1">
      <alignment horizontal="right" vertical="center" indent="1"/>
      <protection hidden="1"/>
    </xf>
    <xf numFmtId="176" fontId="44" fillId="6" borderId="0" xfId="0" applyNumberFormat="1" applyFont="1" applyFill="1" applyAlignment="1" applyProtection="1">
      <alignment horizontal="right" vertical="center" indent="1"/>
      <protection hidden="1"/>
    </xf>
    <xf numFmtId="0" fontId="12" fillId="6" borderId="0" xfId="0" applyFont="1" applyFill="1" applyAlignment="1" applyProtection="1">
      <alignment horizontal="right" vertical="center" indent="1"/>
      <protection hidden="1"/>
    </xf>
    <xf numFmtId="0" fontId="12" fillId="6" borderId="0" xfId="0" applyFont="1" applyFill="1" applyAlignment="1">
      <alignment horizontal="right" vertical="center" indent="1"/>
    </xf>
    <xf numFmtId="0" fontId="60" fillId="3" borderId="0" xfId="0" applyFont="1" applyFill="1" applyAlignment="1">
      <alignment vertical="center"/>
    </xf>
    <xf numFmtId="0" fontId="1" fillId="6" borderId="3" xfId="0" applyFont="1" applyFill="1" applyBorder="1" applyAlignment="1" applyProtection="1">
      <alignment horizontal="left" vertical="center" indent="1"/>
      <protection hidden="1"/>
    </xf>
    <xf numFmtId="0" fontId="1" fillId="6" borderId="3" xfId="0" applyFont="1" applyFill="1" applyBorder="1" applyAlignment="1">
      <alignment vertical="center"/>
    </xf>
    <xf numFmtId="0" fontId="1" fillId="3" borderId="0" xfId="0" applyFont="1" applyFill="1" applyAlignment="1">
      <alignment vertical="top" wrapText="1"/>
    </xf>
    <xf numFmtId="0" fontId="12" fillId="3" borderId="0" xfId="0" applyFont="1" applyFill="1" applyAlignment="1">
      <alignment vertical="top" wrapText="1"/>
    </xf>
    <xf numFmtId="0" fontId="1" fillId="6" borderId="3" xfId="0" applyFont="1" applyFill="1" applyBorder="1" applyAlignment="1">
      <alignment horizontal="left" vertical="center" wrapText="1" indent="1"/>
    </xf>
    <xf numFmtId="181" fontId="63" fillId="9" borderId="0" xfId="0" applyNumberFormat="1" applyFont="1" applyFill="1" applyAlignment="1">
      <alignment horizontal="center" vertical="center"/>
    </xf>
    <xf numFmtId="0" fontId="47" fillId="3" borderId="0" xfId="0" applyFont="1" applyFill="1" applyAlignment="1" applyProtection="1">
      <alignment horizontal="left" vertical="center" indent="1"/>
      <protection hidden="1"/>
    </xf>
    <xf numFmtId="181" fontId="9" fillId="10" borderId="0" xfId="0" applyNumberFormat="1" applyFont="1" applyFill="1" applyAlignment="1">
      <alignment horizontal="center" vertical="center"/>
    </xf>
    <xf numFmtId="181" fontId="41" fillId="11" borderId="0" xfId="0" applyNumberFormat="1" applyFont="1" applyFill="1" applyAlignment="1">
      <alignment horizontal="center" vertical="center"/>
    </xf>
    <xf numFmtId="181" fontId="64" fillId="12" borderId="0" xfId="0" applyNumberFormat="1" applyFont="1" applyFill="1" applyAlignment="1">
      <alignment horizontal="center" vertical="center"/>
    </xf>
    <xf numFmtId="181" fontId="8" fillId="13" borderId="0" xfId="0" applyNumberFormat="1" applyFont="1" applyFill="1" applyAlignment="1">
      <alignment horizontal="center" vertical="center"/>
    </xf>
    <xf numFmtId="181" fontId="26" fillId="4" borderId="0" xfId="0" applyNumberFormat="1" applyFont="1" applyFill="1" applyAlignment="1">
      <alignment horizontal="center" vertical="center"/>
    </xf>
    <xf numFmtId="181" fontId="65" fillId="14" borderId="0" xfId="0" applyNumberFormat="1" applyFont="1" applyFill="1" applyAlignment="1">
      <alignment horizontal="center" vertical="center"/>
    </xf>
    <xf numFmtId="0" fontId="66" fillId="3" borderId="0" xfId="0" applyFont="1" applyFill="1" applyAlignment="1" applyProtection="1">
      <alignment vertical="center"/>
      <protection hidden="1"/>
    </xf>
    <xf numFmtId="0" fontId="9" fillId="5" borderId="0" xfId="0" applyFont="1" applyFill="1" applyAlignment="1">
      <alignment horizontal="center" vertical="center"/>
    </xf>
    <xf numFmtId="0" fontId="50" fillId="6" borderId="1" xfId="0" applyFont="1" applyFill="1" applyBorder="1" applyAlignment="1" applyProtection="1">
      <alignment horizontal="left" vertical="center" indent="1"/>
      <protection hidden="1"/>
    </xf>
    <xf numFmtId="0" fontId="47" fillId="6" borderId="1" xfId="0" applyFont="1" applyFill="1" applyBorder="1" applyAlignment="1" applyProtection="1">
      <alignment horizontal="left" vertical="center" indent="1"/>
      <protection hidden="1"/>
    </xf>
    <xf numFmtId="0" fontId="50" fillId="6" borderId="11" xfId="0" applyFont="1" applyFill="1" applyBorder="1" applyAlignment="1">
      <alignment horizontal="center" vertical="center"/>
    </xf>
    <xf numFmtId="0" fontId="67" fillId="3" borderId="0" xfId="0" applyFont="1" applyFill="1" applyAlignment="1">
      <alignment vertical="center"/>
    </xf>
    <xf numFmtId="0" fontId="68" fillId="3" borderId="0" xfId="0" applyFont="1" applyFill="1" applyAlignment="1">
      <alignment horizontal="center" vertical="center"/>
    </xf>
  </cellXfs>
  <cellStyles count="1">
    <cellStyle name="Normal" xfId="0" builtinId="0"/>
  </cellStyles>
  <dxfs count="159">
    <dxf>
      <font>
        <color rgb="FFC62828"/>
      </font>
    </dxf>
    <dxf>
      <font>
        <color rgb="FF2E7D32"/>
      </font>
    </dxf>
    <dxf>
      <font>
        <color rgb="FF2E7D32"/>
      </font>
      <fill>
        <patternFill>
          <bgColor rgb="FFE8F5E9"/>
        </patternFill>
      </fill>
    </dxf>
    <dxf>
      <numFmt numFmtId="4" formatCode="#,##0.00"/>
    </dxf>
    <dxf>
      <font>
        <b/>
        <color rgb="FF555F6D"/>
      </font>
      <numFmt numFmtId="181" formatCode="&quot;● &quot;@"/>
      <fill>
        <patternFill>
          <bgColor rgb="FFF3F4F6"/>
        </patternFill>
      </fill>
    </dxf>
    <dxf>
      <font>
        <b/>
        <color rgb="FF1565C0"/>
      </font>
      <numFmt numFmtId="181" formatCode="&quot;● &quot;@"/>
      <fill>
        <patternFill>
          <bgColor rgb="FFE3F2FD"/>
        </patternFill>
      </fill>
    </dxf>
    <dxf>
      <font>
        <b/>
        <color rgb="FF2E7D32"/>
      </font>
      <numFmt numFmtId="181" formatCode="&quot;● &quot;@"/>
      <fill>
        <patternFill>
          <bgColor rgb="FFE8F5E9"/>
        </patternFill>
      </fill>
    </dxf>
    <dxf>
      <font>
        <b/>
        <color rgb="FFB45309"/>
      </font>
      <numFmt numFmtId="181" formatCode="&quot;● &quot;@"/>
      <fill>
        <patternFill>
          <bgColor rgb="FFFEF3C7"/>
        </patternFill>
      </fill>
    </dxf>
    <dxf>
      <font>
        <b/>
        <color rgb="FFC62828"/>
      </font>
      <numFmt numFmtId="181" formatCode="&quot;● &quot;@"/>
      <fill>
        <patternFill>
          <bgColor rgb="FFFDECEA"/>
        </patternFill>
      </fill>
    </dxf>
    <dxf>
      <font>
        <b/>
        <color rgb="FFFFFFFF"/>
      </font>
      <numFmt numFmtId="181" formatCode="&quot;● &quot;@"/>
      <fill>
        <patternFill>
          <bgColor rgb="FFB71C1C"/>
        </patternFill>
      </fill>
    </dxf>
    <dxf>
      <font>
        <b/>
        <color rgb="FF6A1B9A"/>
      </font>
      <numFmt numFmtId="181" formatCode="&quot;● &quot;@"/>
      <fill>
        <patternFill>
          <bgColor rgb="FFF3E5F5"/>
        </patternFill>
      </fill>
    </dxf>
    <dxf>
      <numFmt numFmtId="4" formatCode="#,##0.00"/>
    </dxf>
    <dxf>
      <font>
        <b/>
        <color rgb="FF0D47A1"/>
      </font>
    </dxf>
    <dxf>
      <border>
        <left/>
        <right/>
        <top/>
        <bottom style="thin">
          <color rgb="FFE5E7EB"/>
        </bottom>
        <vertical/>
        <horizontal/>
      </border>
    </dxf>
    <dxf>
      <fill>
        <patternFill>
          <bgColor rgb="FFF8FAFC"/>
        </patternFill>
      </fill>
    </dxf>
    <dxf>
      <border>
        <left/>
        <right/>
        <top style="medium">
          <color rgb="FF1565C0"/>
        </top>
        <bottom/>
        <vertical/>
        <horizontal/>
      </border>
    </dxf>
    <dxf>
      <font>
        <color rgb="FFB45309"/>
      </font>
      <fill>
        <patternFill>
          <bgColor rgb="FFFEF3C7"/>
        </patternFill>
      </fill>
    </dxf>
    <dxf>
      <numFmt numFmtId="4" formatCode="#,##0.00"/>
    </dxf>
    <dxf>
      <font>
        <b/>
        <color rgb="FF555F6D"/>
      </font>
      <numFmt numFmtId="181" formatCode="&quot;● &quot;@"/>
      <fill>
        <patternFill>
          <bgColor rgb="FFF3F4F6"/>
        </patternFill>
      </fill>
    </dxf>
    <dxf>
      <font>
        <b/>
        <color rgb="FF1565C0"/>
      </font>
      <numFmt numFmtId="181" formatCode="&quot;● &quot;@"/>
      <fill>
        <patternFill>
          <bgColor rgb="FFE3F2FD"/>
        </patternFill>
      </fill>
    </dxf>
    <dxf>
      <font>
        <b/>
        <color rgb="FF2E7D32"/>
      </font>
      <numFmt numFmtId="181" formatCode="&quot;● &quot;@"/>
      <fill>
        <patternFill>
          <bgColor rgb="FFE8F5E9"/>
        </patternFill>
      </fill>
    </dxf>
    <dxf>
      <font>
        <b/>
        <color rgb="FFB45309"/>
      </font>
      <numFmt numFmtId="181" formatCode="&quot;● &quot;@"/>
      <fill>
        <patternFill>
          <bgColor rgb="FFFEF3C7"/>
        </patternFill>
      </fill>
    </dxf>
    <dxf>
      <font>
        <b/>
        <color rgb="FFC62828"/>
      </font>
      <numFmt numFmtId="181" formatCode="&quot;● &quot;@"/>
      <fill>
        <patternFill>
          <bgColor rgb="FFFDECEA"/>
        </patternFill>
      </fill>
    </dxf>
    <dxf>
      <font>
        <b/>
        <color rgb="FFFFFFFF"/>
      </font>
      <numFmt numFmtId="181" formatCode="&quot;● &quot;@"/>
      <fill>
        <patternFill>
          <bgColor rgb="FFB71C1C"/>
        </patternFill>
      </fill>
    </dxf>
    <dxf>
      <font>
        <b/>
        <color rgb="FF6A1B9A"/>
      </font>
      <numFmt numFmtId="181" formatCode="&quot;● &quot;@"/>
      <fill>
        <patternFill>
          <bgColor rgb="FFF3E5F5"/>
        </patternFill>
      </fill>
    </dxf>
    <dxf>
      <font>
        <color rgb="FFC62828"/>
      </font>
    </dxf>
    <dxf>
      <font>
        <color rgb="FF2E7D32"/>
      </font>
    </dxf>
    <dxf>
      <border>
        <left/>
        <right/>
        <top/>
        <bottom style="thin">
          <color rgb="FFE5E7EB"/>
        </bottom>
        <vertical/>
        <horizontal/>
      </border>
    </dxf>
    <dxf>
      <fill>
        <patternFill>
          <bgColor rgb="FFF8FAFC"/>
        </patternFill>
      </fill>
    </dxf>
    <dxf>
      <numFmt numFmtId="4" formatCode="#,##0.00"/>
    </dxf>
    <dxf>
      <font>
        <color rgb="FF555F6D"/>
      </font>
    </dxf>
    <dxf>
      <font>
        <color rgb="FF1565C0"/>
      </font>
    </dxf>
    <dxf>
      <font>
        <color rgb="FF2E7D32"/>
      </font>
    </dxf>
    <dxf>
      <font>
        <color rgb="FFB45309"/>
      </font>
    </dxf>
    <dxf>
      <font>
        <color rgb="FFC62828"/>
      </font>
    </dxf>
    <dxf>
      <font>
        <color rgb="FFB71C1C"/>
      </font>
    </dxf>
    <dxf>
      <font>
        <color rgb="FF6A1B9A"/>
      </font>
    </dxf>
    <dxf>
      <font>
        <b/>
        <color rgb="FF0D47A1"/>
      </font>
    </dxf>
    <dxf>
      <numFmt numFmtId="4" formatCode="#,##0.00"/>
    </dxf>
    <dxf>
      <numFmt numFmtId="4" formatCode="#,##0.00"/>
    </dxf>
    <dxf>
      <font>
        <b/>
        <color rgb="FF555F6D"/>
      </font>
      <numFmt numFmtId="181" formatCode="&quot;● &quot;@"/>
      <fill>
        <patternFill>
          <bgColor rgb="FFF3F4F6"/>
        </patternFill>
      </fill>
    </dxf>
    <dxf>
      <font>
        <b/>
        <color rgb="FF1565C0"/>
      </font>
      <numFmt numFmtId="181" formatCode="&quot;● &quot;@"/>
      <fill>
        <patternFill>
          <bgColor rgb="FFE3F2FD"/>
        </patternFill>
      </fill>
    </dxf>
    <dxf>
      <font>
        <b/>
        <color rgb="FF2E7D32"/>
      </font>
      <numFmt numFmtId="181" formatCode="&quot;● &quot;@"/>
      <fill>
        <patternFill>
          <bgColor rgb="FFE8F5E9"/>
        </patternFill>
      </fill>
    </dxf>
    <dxf>
      <font>
        <b/>
        <color rgb="FFB45309"/>
      </font>
      <numFmt numFmtId="181" formatCode="&quot;● &quot;@"/>
      <fill>
        <patternFill>
          <bgColor rgb="FFFEF3C7"/>
        </patternFill>
      </fill>
    </dxf>
    <dxf>
      <font>
        <b/>
        <color rgb="FFC62828"/>
      </font>
      <numFmt numFmtId="181" formatCode="&quot;● &quot;@"/>
      <fill>
        <patternFill>
          <bgColor rgb="FFFDECEA"/>
        </patternFill>
      </fill>
    </dxf>
    <dxf>
      <font>
        <b/>
        <color rgb="FFFFFFFF"/>
      </font>
      <numFmt numFmtId="181" formatCode="&quot;● &quot;@"/>
      <fill>
        <patternFill>
          <bgColor rgb="FFB71C1C"/>
        </patternFill>
      </fill>
    </dxf>
    <dxf>
      <font>
        <b/>
        <color rgb="FF6A1B9A"/>
      </font>
      <numFmt numFmtId="181" formatCode="&quot;● &quot;@"/>
      <fill>
        <patternFill>
          <bgColor rgb="FFF3E5F5"/>
        </patternFill>
      </fill>
    </dxf>
    <dxf>
      <border>
        <left/>
        <right/>
        <top/>
        <bottom style="thin">
          <color rgb="FFE5E7EB"/>
        </bottom>
        <vertical/>
        <horizontal/>
      </border>
    </dxf>
    <dxf>
      <fill>
        <patternFill>
          <bgColor rgb="FFF8FAFC"/>
        </patternFill>
      </fill>
    </dxf>
    <dxf>
      <font>
        <b/>
        <color rgb="FFFFFFFF"/>
      </font>
      <fill>
        <patternFill>
          <bgColor rgb="FF555F6D"/>
        </patternFill>
      </fill>
    </dxf>
    <dxf>
      <font>
        <b/>
        <color rgb="FFFFFFFF"/>
      </font>
      <fill>
        <patternFill>
          <bgColor rgb="FF1565C0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B45309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FFFFFF"/>
      </font>
      <fill>
        <patternFill>
          <bgColor rgb="FFB71C1C"/>
        </patternFill>
      </fill>
    </dxf>
    <dxf>
      <font>
        <b/>
        <color rgb="FFFFFFFF"/>
      </font>
      <fill>
        <patternFill>
          <bgColor rgb="FF6A1B9A"/>
        </patternFill>
      </fill>
    </dxf>
    <dxf>
      <font>
        <b/>
        <color rgb="FFB45309"/>
      </font>
      <fill>
        <patternFill>
          <bgColor rgb="FFFEF3C7"/>
        </patternFill>
      </fill>
    </dxf>
    <dxf>
      <font>
        <b/>
        <color rgb="FF555F6D"/>
      </font>
      <numFmt numFmtId="181" formatCode="&quot;● &quot;@"/>
      <fill>
        <patternFill>
          <bgColor rgb="FFF3F4F6"/>
        </patternFill>
      </fill>
    </dxf>
    <dxf>
      <font>
        <b/>
        <color rgb="FF1565C0"/>
      </font>
      <numFmt numFmtId="181" formatCode="&quot;● &quot;@"/>
      <fill>
        <patternFill>
          <bgColor rgb="FFE3F2FD"/>
        </patternFill>
      </fill>
    </dxf>
    <dxf>
      <font>
        <b/>
        <color rgb="FF2E7D32"/>
      </font>
      <numFmt numFmtId="181" formatCode="&quot;● &quot;@"/>
      <fill>
        <patternFill>
          <bgColor rgb="FFE8F5E9"/>
        </patternFill>
      </fill>
    </dxf>
    <dxf>
      <font>
        <b/>
        <color rgb="FFB45309"/>
      </font>
      <numFmt numFmtId="181" formatCode="&quot;● &quot;@"/>
      <fill>
        <patternFill>
          <bgColor rgb="FFFEF3C7"/>
        </patternFill>
      </fill>
    </dxf>
    <dxf>
      <font>
        <b/>
        <color rgb="FFC62828"/>
      </font>
      <numFmt numFmtId="181" formatCode="&quot;● &quot;@"/>
      <fill>
        <patternFill>
          <bgColor rgb="FFFDECEA"/>
        </patternFill>
      </fill>
    </dxf>
    <dxf>
      <font>
        <b/>
        <color rgb="FFFFFFFF"/>
      </font>
      <numFmt numFmtId="181" formatCode="&quot;● &quot;@"/>
      <fill>
        <patternFill>
          <bgColor rgb="FFB71C1C"/>
        </patternFill>
      </fill>
    </dxf>
    <dxf>
      <font>
        <b/>
        <color rgb="FF6A1B9A"/>
      </font>
      <numFmt numFmtId="181" formatCode="&quot;● &quot;@"/>
      <fill>
        <patternFill>
          <bgColor rgb="FFF3E5F5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font>
        <color rgb="FF1565C0"/>
      </font>
    </dxf>
    <dxf>
      <font>
        <color rgb="FF2E7D32"/>
      </font>
    </dxf>
    <dxf>
      <font>
        <color rgb="FFB45309"/>
      </font>
    </dxf>
    <dxf>
      <font>
        <color rgb="FF6A1B9A"/>
      </font>
    </dxf>
    <dxf>
      <font>
        <color rgb="FFC62828"/>
      </font>
    </dxf>
    <dxf>
      <font>
        <color rgb="FFC62828"/>
      </font>
    </dxf>
    <dxf>
      <numFmt numFmtId="4" formatCode="#,##0.00"/>
    </dxf>
    <dxf>
      <numFmt numFmtId="4" formatCode="#,##0.00"/>
    </dxf>
    <dxf>
      <border>
        <left/>
        <right/>
        <top/>
        <bottom style="thin">
          <color rgb="FFE5E7EB"/>
        </bottom>
        <vertical/>
        <horizontal/>
      </border>
    </dxf>
    <dxf>
      <fill>
        <patternFill>
          <bgColor rgb="FFF8FAFC"/>
        </patternFill>
      </fill>
    </dxf>
    <dxf>
      <font>
        <color rgb="FFC62828"/>
      </font>
    </dxf>
    <dxf>
      <font>
        <color rgb="FF1565C0"/>
      </font>
    </dxf>
    <dxf>
      <font>
        <color rgb="FFC62828"/>
      </font>
      <fill>
        <patternFill>
          <bgColor rgb="FFFDECEA"/>
        </patternFill>
      </fill>
    </dxf>
    <dxf>
      <font>
        <color rgb="FF1565C0"/>
      </font>
      <fill>
        <patternFill>
          <bgColor rgb="FFE3F2FD"/>
        </patternFill>
      </fill>
    </dxf>
    <dxf>
      <font>
        <color rgb="FF2E7D32"/>
      </font>
    </dxf>
    <dxf>
      <font>
        <color rgb="FFC62828"/>
      </font>
    </dxf>
    <dxf>
      <font>
        <color rgb="FF1565C0"/>
      </font>
    </dxf>
    <dxf>
      <numFmt numFmtId="4" formatCode="#,##0.00"/>
    </dxf>
    <dxf>
      <font>
        <color rgb="FFC62828"/>
      </font>
    </dxf>
    <dxf>
      <font>
        <color rgb="FF1565C0"/>
      </font>
    </dxf>
    <dxf>
      <numFmt numFmtId="4" formatCode="#,##0.00"/>
    </dxf>
    <dxf>
      <font>
        <b/>
      </font>
      <fill>
        <patternFill>
          <bgColor rgb="FFEAF3FE"/>
        </patternFill>
      </fill>
    </dxf>
    <dxf>
      <numFmt numFmtId="4" formatCode="#,##0.00"/>
    </dxf>
    <dxf>
      <font>
        <i/>
        <color rgb="FF5F6E84"/>
      </font>
    </dxf>
    <dxf>
      <font>
        <color rgb="FF5F6B7A"/>
      </font>
    </dxf>
    <dxf>
      <font>
        <color rgb="FF5F6E84"/>
      </font>
    </dxf>
    <dxf>
      <font>
        <color rgb="FF2E7D32"/>
      </font>
    </dxf>
    <dxf>
      <font>
        <b/>
        <color rgb="FFB45309"/>
      </font>
      <fill>
        <patternFill>
          <bgColor rgb="FFFEF3C7"/>
        </patternFill>
      </fill>
    </dxf>
    <dxf>
      <font>
        <b/>
        <color rgb="FFC62828"/>
      </font>
      <fill>
        <patternFill>
          <bgColor rgb="FFFDECEA"/>
        </patternFill>
      </fill>
    </dxf>
    <dxf>
      <font>
        <b/>
        <color rgb="FFC62828"/>
      </font>
    </dxf>
    <dxf>
      <numFmt numFmtId="4" formatCode="#,##0.00"/>
    </dxf>
    <dxf>
      <numFmt numFmtId="182" formatCode="\+#,##0.00;\-#,##0.00;0"/>
    </dxf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numFmt numFmtId="4" formatCode="#,##0.00"/>
    </dxf>
    <dxf>
      <font>
        <color rgb="FFC62828"/>
      </font>
    </dxf>
    <dxf>
      <font>
        <color rgb="FF2E7D32"/>
      </font>
    </dxf>
    <dxf>
      <fill>
        <patternFill>
          <bgColor rgb="FFEAF3FE"/>
        </patternFill>
      </fill>
    </dxf>
    <dxf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5F6B7A"/>
      </font>
    </dxf>
    <dxf>
      <font>
        <color rgb="FF5F6E84"/>
      </font>
    </dxf>
    <dxf>
      <font>
        <color rgb="FF2E7D32"/>
      </font>
    </dxf>
    <dxf>
      <font>
        <b/>
        <color rgb="FFB45309"/>
      </font>
      <fill>
        <patternFill>
          <bgColor rgb="FFFEF3C7"/>
        </patternFill>
      </fill>
    </dxf>
    <dxf>
      <font>
        <b/>
        <color rgb="FFC62828"/>
      </font>
      <fill>
        <patternFill>
          <bgColor rgb="FFFDECEA"/>
        </patternFill>
      </fill>
    </dxf>
    <dxf>
      <numFmt numFmtId="4" formatCode="#,##0.00"/>
    </dxf>
    <dxf>
      <numFmt numFmtId="4" formatCode="#,##0.00"/>
    </dxf>
    <dxf>
      <font>
        <i/>
        <color rgb="FF5F6E84"/>
      </font>
    </dxf>
    <dxf>
      <fill>
        <patternFill>
          <bgColor rgb="FFEAF3FE"/>
        </patternFill>
      </fill>
    </dxf>
    <dxf>
      <font>
        <color rgb="FF5F6B7A"/>
      </font>
    </dxf>
    <dxf>
      <font>
        <color rgb="FF5F6E84"/>
      </font>
    </dxf>
    <dxf>
      <font>
        <color rgb="FF2E7D32"/>
      </font>
    </dxf>
    <dxf>
      <font>
        <b/>
        <color rgb="FFB45309"/>
      </font>
      <fill>
        <patternFill>
          <bgColor rgb="FFFEF3C7"/>
        </patternFill>
      </fill>
    </dxf>
    <dxf>
      <font>
        <b/>
        <color rgb="FFC62828"/>
      </font>
      <fill>
        <patternFill>
          <bgColor rgb="FFFDECEA"/>
        </patternFill>
      </fill>
    </dxf>
    <dxf>
      <font>
        <b/>
        <color rgb="FFC62828"/>
      </font>
    </dxf>
    <dxf>
      <fill>
        <patternFill>
          <bgColor rgb="FFEAF3FE"/>
        </patternFill>
      </fill>
    </dxf>
    <dxf>
      <font>
        <color rgb="FFB45309"/>
      </font>
    </dxf>
    <dxf>
      <font>
        <color rgb="FFC62828"/>
      </font>
    </dxf>
    <dxf>
      <numFmt numFmtId="182" formatCode="\+#,##0.00;\-#,##0.00;0"/>
    </dxf>
    <dxf>
      <font>
        <color rgb="FFC62828"/>
      </font>
    </dxf>
    <dxf>
      <font>
        <color rgb="FF2E7D32"/>
      </font>
    </dxf>
    <dxf>
      <font>
        <color rgb="FFC62828"/>
      </font>
    </dxf>
    <dxf>
      <font>
        <color rgb="FF2E7D32"/>
      </font>
    </dxf>
    <dxf>
      <font>
        <color rgb="FF2E7D32"/>
      </font>
      <fill>
        <patternFill>
          <bgColor rgb="FFE8F5E9"/>
        </patternFill>
      </fill>
    </dxf>
    <dxf>
      <font>
        <color rgb="FF1565C0"/>
      </font>
      <fill>
        <patternFill>
          <bgColor rgb="FFE3F2FD"/>
        </patternFill>
      </fill>
    </dxf>
    <dxf>
      <font>
        <color rgb="FFB45309"/>
      </font>
      <fill>
        <patternFill>
          <bgColor rgb="FFFEF3C7"/>
        </patternFill>
      </fill>
    </dxf>
    <dxf>
      <font>
        <color rgb="FFC62828"/>
      </font>
      <fill>
        <patternFill>
          <bgColor rgb="FFFDECEA"/>
        </patternFill>
      </fill>
    </dxf>
    <dxf>
      <font>
        <color rgb="FF1F2937"/>
      </font>
      <numFmt numFmtId="171" formatCode="0&quot; d&quot;"/>
    </dxf>
    <dxf>
      <font>
        <color rgb="FF1F2937"/>
      </font>
      <numFmt numFmtId="165" formatCode="dd/mm/yyyy"/>
    </dxf>
    <dxf>
      <font>
        <color rgb="FF1F2937"/>
      </font>
      <numFmt numFmtId="169" formatCode="\$\ #,##0"/>
    </dxf>
    <dxf>
      <font>
        <b/>
        <color rgb="FF1F2937"/>
      </font>
    </dxf>
    <dxf>
      <font>
        <color rgb="FF1F2937"/>
      </font>
      <numFmt numFmtId="13" formatCode="0%"/>
    </dxf>
    <dxf>
      <font>
        <b/>
        <color rgb="FF1F2937"/>
      </font>
      <numFmt numFmtId="3" formatCode="#,##0"/>
    </dxf>
    <dxf>
      <font>
        <color rgb="FF1F2937"/>
      </font>
      <numFmt numFmtId="3" formatCode="#,##0"/>
    </dxf>
    <dxf>
      <font>
        <color rgb="FF1F2937"/>
      </font>
      <numFmt numFmtId="3" formatCode="#,##0"/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numFmt numFmtId="166" formatCode="\+#,##0;\-#,##0;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numFmt numFmtId="3" formatCode="#,##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numFmt numFmtId="166" formatCode="\+#,##0;\-#,##0;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numFmt numFmtId="168" formatCode="\+0;\-0;0"/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5F6E84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color rgb="FF334155"/>
      </font>
      <fill>
        <patternFill>
          <bgColor rgb="FFF1F4F8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Salud del inventario (productos por semáforo)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Salud del inventario</c:v>
          </c:tx>
          <c:dPt>
            <c:idx val="0"/>
            <c:bubble3D val="0"/>
            <c:spPr>
              <a:solidFill>
                <a:srgbClr val="9B1C1C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589E-4CA4-9E4E-69DDA783EEE0}"/>
              </c:ext>
            </c:extLst>
          </c:dPt>
          <c:dPt>
            <c:idx val="1"/>
            <c:bubble3D val="0"/>
            <c:spPr>
              <a:solidFill>
                <a:srgbClr val="D32F2F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89E-4CA4-9E4E-69DDA783EEE0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589E-4CA4-9E4E-69DDA783EEE0}"/>
              </c:ext>
            </c:extLst>
          </c:dPt>
          <c:dPt>
            <c:idx val="3"/>
            <c:bubble3D val="0"/>
            <c:spPr>
              <a:solidFill>
                <a:srgbClr val="2E7D32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89E-4CA4-9E4E-69DDA783EEE0}"/>
              </c:ext>
            </c:extLst>
          </c:dPt>
          <c:dPt>
            <c:idx val="4"/>
            <c:bubble3D val="0"/>
            <c:spPr>
              <a:solidFill>
                <a:srgbClr val="1565C0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589E-4CA4-9E4E-69DDA783EEE0}"/>
              </c:ext>
            </c:extLst>
          </c:dPt>
          <c:dPt>
            <c:idx val="5"/>
            <c:bubble3D val="0"/>
            <c:spPr>
              <a:solidFill>
                <a:srgbClr val="8E24AA"/>
              </a:solidFill>
              <a:ln w="1905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89E-4CA4-9E4E-69DDA783EEE0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89E-4CA4-9E4E-69DDA783EEE0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89E-4CA4-9E4E-69DDA783EEE0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0B1F33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89E-4CA4-9E4E-69DDA783EEE0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89E-4CA4-9E4E-69DDA783EEE0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89E-4CA4-9E4E-69DDA783EEE0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>
                    <a:defRPr sz="900" b="1" baseline="0">
                      <a:solidFill>
                        <a:srgbClr val="FFFFFF"/>
                      </a:solidFill>
                      <a:latin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89E-4CA4-9E4E-69DDA783EEE0}"/>
                </c:ext>
              </c:extLst>
            </c:dLbl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'91_KPIS'!$F$30:$F$35</c:f>
              <c:strCache>
                <c:ptCount val="6"/>
                <c:pt idx="0">
                  <c:v>Agotado</c:v>
                </c:pt>
                <c:pt idx="1">
                  <c:v>Crítico</c:v>
                </c:pt>
                <c:pt idx="2">
                  <c:v>Preventivo</c:v>
                </c:pt>
                <c:pt idx="3">
                  <c:v>Óptimo</c:v>
                </c:pt>
                <c:pt idx="4">
                  <c:v>Sobrestock</c:v>
                </c:pt>
                <c:pt idx="5">
                  <c:v>Inconsistente</c:v>
                </c:pt>
              </c:strCache>
            </c:strRef>
          </c:cat>
          <c:val>
            <c:numRef>
              <c:f>'91_KPIS'!$G$30:$G$35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9E-4CA4-9E4E-69DDA783E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 rtl="0">
            <a:defRPr sz="850" baseline="0">
              <a:solidFill>
                <a:srgbClr val="1F2937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Actividad: movimientos por mes (últimos 6 meses)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 (+)</c:v>
          </c:tx>
          <c:spPr>
            <a:solidFill>
              <a:srgbClr val="2E7D32"/>
            </a:solidFill>
            <a:ln>
              <a:noFill/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'91_KPIS'!$G$8:$G$13</c:f>
              <c:strCache>
                <c:ptCount val="6"/>
                <c:pt idx="0">
                  <c:v>Abr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Ago 26</c:v>
                </c:pt>
                <c:pt idx="5">
                  <c:v>Sep 26</c:v>
                </c:pt>
              </c:strCache>
            </c:strRef>
          </c:cat>
          <c:val>
            <c:numRef>
              <c:f>'91_KPIS'!$H$8:$H$13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4-46FE-B9DB-F16509DF718A}"/>
            </c:ext>
          </c:extLst>
        </c:ser>
        <c:ser>
          <c:idx val="1"/>
          <c:order val="1"/>
          <c:tx>
            <c:v>Egresos (-)</c:v>
          </c:tx>
          <c:spPr>
            <a:solidFill>
              <a:srgbClr val="C62828"/>
            </a:solidFill>
            <a:ln>
              <a:noFill/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'91_KPIS'!$G$8:$G$13</c:f>
              <c:strCache>
                <c:ptCount val="6"/>
                <c:pt idx="0">
                  <c:v>Abr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Ago 26</c:v>
                </c:pt>
                <c:pt idx="5">
                  <c:v>Sep 26</c:v>
                </c:pt>
              </c:strCache>
            </c:strRef>
          </c:cat>
          <c:val>
            <c:numRef>
              <c:f>'91_KPIS'!$I$8:$I$13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4-46FE-B9DB-F16509DF7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6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5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#,##0" sourceLinked="1"/>
        <c:majorTickMark val="out"/>
        <c:minorTickMark val="none"/>
        <c:tickLblPos val="none"/>
        <c:spPr>
          <a:ln>
            <a:noFill/>
          </a:ln>
        </c:sp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850" baseline="0">
              <a:solidFill>
                <a:srgbClr val="1F2937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Top 8 productos por valor de inventario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1E88E5"/>
            </a:solidFill>
            <a:ln>
              <a:noFill/>
            </a:ln>
          </c:spPr>
          <c:invertIfNegative val="0"/>
          <c:dLbls>
            <c:numFmt formatCode="\$\ #,##0.0,,&quot; M&quot;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'91_KPIS'!$I$18:$I$25</c:f>
            </c:numRef>
          </c:cat>
          <c:val>
            <c:numRef>
              <c:f>'91_KPIS'!$J$18:$J$25</c:f>
              <c:numCache>
                <c:formatCode>\$\ 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9-4B23-B943-5AEA1F2B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5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\$\ #,##0" sourceLinked="1"/>
        <c:majorTickMark val="out"/>
        <c:minorTickMark val="none"/>
        <c:tickLblPos val="none"/>
        <c:spPr>
          <a:ln>
            <a:noFill/>
          </a:ln>
        </c:spPr>
        <c:crossAx val="5003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50" b="1" baseline="0">
                <a:solidFill>
                  <a:srgbClr val="1F2937"/>
                </a:solidFill>
                <a:latin typeface="Segoe UI"/>
              </a:rPr>
              <a:t>Semáforo por categoría (n.º de productos)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'91_KPIS'!$G$39</c:f>
              <c:strCache>
                <c:ptCount val="1"/>
                <c:pt idx="0">
                  <c:v>Agotado</c:v>
                </c:pt>
              </c:strCache>
            </c:strRef>
          </c:tx>
          <c:spPr>
            <a:solidFill>
              <a:srgbClr val="9B1C1C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MATERIA PRIMA</c:v>
                </c:pt>
                <c:pt idx="1">
                  <c:v>PRODUCTO TERMINADO</c:v>
                </c:pt>
                <c:pt idx="2">
                  <c:v>INSUMOS</c:v>
                </c:pt>
                <c:pt idx="3">
                  <c:v>REPUESTOS</c:v>
                </c:pt>
                <c:pt idx="4">
                  <c:v>EMPAQUES</c:v>
                </c:pt>
                <c:pt idx="5">
                  <c:v>GENERAL</c:v>
                </c:pt>
              </c:strCache>
            </c:strRef>
          </c:cat>
          <c:val>
            <c:numRef>
              <c:f>'91_KPIS'!$G$41:$G$46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F-46E4-827E-1C7AA189A4A7}"/>
            </c:ext>
          </c:extLst>
        </c:ser>
        <c:ser>
          <c:idx val="1"/>
          <c:order val="1"/>
          <c:tx>
            <c:strRef>
              <c:f>'91_KPIS'!$H$39</c:f>
              <c:strCache>
                <c:ptCount val="1"/>
                <c:pt idx="0">
                  <c:v>Crítico</c:v>
                </c:pt>
              </c:strCache>
            </c:strRef>
          </c:tx>
          <c:spPr>
            <a:solidFill>
              <a:srgbClr val="D32F2F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MATERIA PRIMA</c:v>
                </c:pt>
                <c:pt idx="1">
                  <c:v>PRODUCTO TERMINADO</c:v>
                </c:pt>
                <c:pt idx="2">
                  <c:v>INSUMOS</c:v>
                </c:pt>
                <c:pt idx="3">
                  <c:v>REPUESTOS</c:v>
                </c:pt>
                <c:pt idx="4">
                  <c:v>EMPAQUES</c:v>
                </c:pt>
                <c:pt idx="5">
                  <c:v>GENERAL</c:v>
                </c:pt>
              </c:strCache>
            </c:strRef>
          </c:cat>
          <c:val>
            <c:numRef>
              <c:f>'91_KPIS'!$H$41:$H$46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F-46E4-827E-1C7AA189A4A7}"/>
            </c:ext>
          </c:extLst>
        </c:ser>
        <c:ser>
          <c:idx val="2"/>
          <c:order val="2"/>
          <c:tx>
            <c:strRef>
              <c:f>'91_KPIS'!$I$39</c:f>
              <c:strCache>
                <c:ptCount val="1"/>
                <c:pt idx="0">
                  <c:v>Preventivo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0B1F33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MATERIA PRIMA</c:v>
                </c:pt>
                <c:pt idx="1">
                  <c:v>PRODUCTO TERMINADO</c:v>
                </c:pt>
                <c:pt idx="2">
                  <c:v>INSUMOS</c:v>
                </c:pt>
                <c:pt idx="3">
                  <c:v>REPUESTOS</c:v>
                </c:pt>
                <c:pt idx="4">
                  <c:v>EMPAQUES</c:v>
                </c:pt>
                <c:pt idx="5">
                  <c:v>GENERAL</c:v>
                </c:pt>
              </c:strCache>
            </c:strRef>
          </c:cat>
          <c:val>
            <c:numRef>
              <c:f>'91_KPIS'!$I$41:$I$46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F-46E4-827E-1C7AA189A4A7}"/>
            </c:ext>
          </c:extLst>
        </c:ser>
        <c:ser>
          <c:idx val="3"/>
          <c:order val="3"/>
          <c:tx>
            <c:strRef>
              <c:f>'91_KPIS'!$J$39</c:f>
              <c:strCache>
                <c:ptCount val="1"/>
                <c:pt idx="0">
                  <c:v>Óptimo</c:v>
                </c:pt>
              </c:strCache>
            </c:strRef>
          </c:tx>
          <c:spPr>
            <a:solidFill>
              <a:srgbClr val="2E7D32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MATERIA PRIMA</c:v>
                </c:pt>
                <c:pt idx="1">
                  <c:v>PRODUCTO TERMINADO</c:v>
                </c:pt>
                <c:pt idx="2">
                  <c:v>INSUMOS</c:v>
                </c:pt>
                <c:pt idx="3">
                  <c:v>REPUESTOS</c:v>
                </c:pt>
                <c:pt idx="4">
                  <c:v>EMPAQUES</c:v>
                </c:pt>
                <c:pt idx="5">
                  <c:v>GENERAL</c:v>
                </c:pt>
              </c:strCache>
            </c:strRef>
          </c:cat>
          <c:val>
            <c:numRef>
              <c:f>'91_KPIS'!$J$41:$J$46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F-46E4-827E-1C7AA189A4A7}"/>
            </c:ext>
          </c:extLst>
        </c:ser>
        <c:ser>
          <c:idx val="4"/>
          <c:order val="4"/>
          <c:tx>
            <c:strRef>
              <c:f>'91_KPIS'!$K$39</c:f>
              <c:strCache>
                <c:ptCount val="1"/>
                <c:pt idx="0">
                  <c:v>Sobrestock</c:v>
                </c:pt>
              </c:strCache>
            </c:strRef>
          </c:tx>
          <c:spPr>
            <a:solidFill>
              <a:srgbClr val="1565C0"/>
            </a:solidFill>
            <a:ln w="9525">
              <a:solidFill>
                <a:srgbClr val="FFFFFF"/>
              </a:solidFill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'91_KPIS'!$F$41:$F$46</c:f>
              <c:strCache>
                <c:ptCount val="6"/>
                <c:pt idx="0">
                  <c:v>MATERIA PRIMA</c:v>
                </c:pt>
                <c:pt idx="1">
                  <c:v>PRODUCTO TERMINADO</c:v>
                </c:pt>
                <c:pt idx="2">
                  <c:v>INSUMOS</c:v>
                </c:pt>
                <c:pt idx="3">
                  <c:v>REPUESTOS</c:v>
                </c:pt>
                <c:pt idx="4">
                  <c:v>EMPAQUES</c:v>
                </c:pt>
                <c:pt idx="5">
                  <c:v>GENERAL</c:v>
                </c:pt>
              </c:strCache>
            </c:strRef>
          </c:cat>
          <c:val>
            <c:numRef>
              <c:f>'91_KPIS'!$K$41:$K$46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DF-46E4-827E-1C7AA189A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5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#,##0" sourceLinked="1"/>
        <c:majorTickMark val="out"/>
        <c:minorTickMark val="none"/>
        <c:tickLblPos val="none"/>
        <c:spPr>
          <a:ln>
            <a:noFill/>
          </a:ln>
        </c:spPr>
        <c:crossAx val="50040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1F2937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baseline="0">
                <a:solidFill>
                  <a:srgbClr val="1F2937"/>
                </a:solidFill>
                <a:latin typeface="Segoe UI"/>
              </a:defRPr>
            </a:pPr>
            <a:r>
              <a:rPr lang="en-US" sz="1000" b="1" baseline="0">
                <a:solidFill>
                  <a:srgbClr val="1F2937"/>
                </a:solidFill>
                <a:latin typeface="Segoe UI"/>
              </a:rPr>
              <a:t>Evolución del stock (saldo después de cada movimiento)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Saldo</c:v>
          </c:tx>
          <c:spPr>
            <a:ln w="28575">
              <a:solidFill>
                <a:srgbClr val="1565C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 w="19050">
                <a:solidFill>
                  <a:srgbClr val="1565C0"/>
                </a:solidFill>
              </a:ln>
            </c:spPr>
          </c:marker>
          <c:xVal>
            <c:numRef>
              <c:f>'91_KPIS'!$W$8:$W$107</c:f>
              <c:numCache>
                <c:formatCode>dd/mm/yyyy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'91_KPIS'!$X$8:$X$107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3-43B3-B178-351BD07B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800" baseline="0">
                <a:solidFill>
                  <a:srgbClr val="5F6B7A"/>
                </a:solidFill>
                <a:latin typeface="Segoe UI"/>
              </a:defRPr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F6B7A"/>
                </a:solidFill>
                <a:latin typeface="Segoe UI"/>
              </a:defRPr>
            </a:pPr>
            <a:endParaRPr lang="en-US"/>
          </a:p>
        </c:txPr>
        <c:crossAx val="5005000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rRegistrar"/><Relationship Id="rId13" Type="http://schemas.openxmlformats.org/officeDocument/2006/relationships/hyperlink" Target="#'13_CONTEO'!A1"/><Relationship Id="rId18" Type="http://schemas.openxmlformats.org/officeDocument/2006/relationships/image" Target="../media/image4.png"/><Relationship Id="rId3" Type="http://schemas.openxmlformats.org/officeDocument/2006/relationships/chart" Target="../charts/chart1.xml"/><Relationship Id="rId21" Type="http://schemas.openxmlformats.org/officeDocument/2006/relationships/image" Target="../media/image7.png"/><Relationship Id="rId7" Type="http://schemas.openxmlformats.org/officeDocument/2006/relationships/hyperlink" Target="#irSiguientePaso"/><Relationship Id="rId12" Type="http://schemas.openxmlformats.org/officeDocument/2006/relationships/hyperlink" Target="#'18_PEDIDO'!A1"/><Relationship Id="rId17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hyperlink" Target="#irBitacora"/><Relationship Id="rId20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hyperlink" Target="#'16_ALERTAS'!A1"/><Relationship Id="rId24" Type="http://schemas.openxmlformats.org/officeDocument/2006/relationships/image" Target="../media/image10.png"/><Relationship Id="rId5" Type="http://schemas.openxmlformats.org/officeDocument/2006/relationships/chart" Target="../charts/chart3.xml"/><Relationship Id="rId15" Type="http://schemas.openxmlformats.org/officeDocument/2006/relationships/hyperlink" Target="#'99_AYUDA'!A1"/><Relationship Id="rId23" Type="http://schemas.openxmlformats.org/officeDocument/2006/relationships/image" Target="../media/image9.png"/><Relationship Id="rId10" Type="http://schemas.openxmlformats.org/officeDocument/2006/relationships/hyperlink" Target="#'15_STOCK'!A1"/><Relationship Id="rId19" Type="http://schemas.openxmlformats.org/officeDocument/2006/relationships/image" Target="../media/image5.png"/><Relationship Id="rId4" Type="http://schemas.openxmlformats.org/officeDocument/2006/relationships/chart" Target="../charts/chart2.xml"/><Relationship Id="rId9" Type="http://schemas.openxmlformats.org/officeDocument/2006/relationships/hyperlink" Target="#irConsultar"/><Relationship Id="rId14" Type="http://schemas.openxmlformats.org/officeDocument/2006/relationships/hyperlink" Target="#'05_PRODUCTOS'!A1"/><Relationship Id="rId22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5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12.png"/><Relationship Id="rId17" Type="http://schemas.openxmlformats.org/officeDocument/2006/relationships/image" Target="../media/image10.png"/><Relationship Id="rId2" Type="http://schemas.openxmlformats.org/officeDocument/2006/relationships/hyperlink" Target="#irRegistrar"/><Relationship Id="rId16" Type="http://schemas.openxmlformats.org/officeDocument/2006/relationships/image" Target="../media/image7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3.png"/><Relationship Id="rId5" Type="http://schemas.openxmlformats.org/officeDocument/2006/relationships/hyperlink" Target="#'16_ALERTAS'!A1"/><Relationship Id="rId15" Type="http://schemas.openxmlformats.org/officeDocument/2006/relationships/image" Target="../media/image4.png"/><Relationship Id="rId10" Type="http://schemas.openxmlformats.org/officeDocument/2006/relationships/image" Target="../media/image11.png"/><Relationship Id="rId4" Type="http://schemas.openxmlformats.org/officeDocument/2006/relationships/hyperlink" Target="#'15_STOCK'!A1"/><Relationship Id="rId9" Type="http://schemas.openxmlformats.org/officeDocument/2006/relationships/hyperlink" Target="#irFilaLibreProv"/><Relationship Id="rId1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12.png"/><Relationship Id="rId18" Type="http://schemas.openxmlformats.org/officeDocument/2006/relationships/image" Target="../media/image10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3.png"/><Relationship Id="rId17" Type="http://schemas.openxmlformats.org/officeDocument/2006/relationships/image" Target="../media/image7.png"/><Relationship Id="rId2" Type="http://schemas.openxmlformats.org/officeDocument/2006/relationships/hyperlink" Target="#irRegistrar"/><Relationship Id="rId16" Type="http://schemas.openxmlformats.org/officeDocument/2006/relationships/image" Target="../media/image4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11.png"/><Relationship Id="rId5" Type="http://schemas.openxmlformats.org/officeDocument/2006/relationships/hyperlink" Target="#'16_ALERTAS'!A1"/><Relationship Id="rId15" Type="http://schemas.openxmlformats.org/officeDocument/2006/relationships/image" Target="../media/image6.png"/><Relationship Id="rId10" Type="http://schemas.openxmlformats.org/officeDocument/2006/relationships/hyperlink" Target="#'04_PROVEEDORES'!A1"/><Relationship Id="rId4" Type="http://schemas.openxmlformats.org/officeDocument/2006/relationships/hyperlink" Target="#'15_STOCK'!A1"/><Relationship Id="rId9" Type="http://schemas.openxmlformats.org/officeDocument/2006/relationships/hyperlink" Target="#irFilaLibreProd"/><Relationship Id="rId1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6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5.png"/><Relationship Id="rId2" Type="http://schemas.openxmlformats.org/officeDocument/2006/relationships/hyperlink" Target="#irRegistrar"/><Relationship Id="rId16" Type="http://schemas.openxmlformats.org/officeDocument/2006/relationships/image" Target="../media/image10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13.png"/><Relationship Id="rId5" Type="http://schemas.openxmlformats.org/officeDocument/2006/relationships/hyperlink" Target="#'16_ALERTAS'!A1"/><Relationship Id="rId15" Type="http://schemas.openxmlformats.org/officeDocument/2006/relationships/image" Target="../media/image7.png"/><Relationship Id="rId10" Type="http://schemas.openxmlformats.org/officeDocument/2006/relationships/image" Target="../media/image3.png"/><Relationship Id="rId4" Type="http://schemas.openxmlformats.org/officeDocument/2006/relationships/hyperlink" Target="#'15_STOCK'!A1"/><Relationship Id="rId9" Type="http://schemas.openxmlformats.org/officeDocument/2006/relationships/image" Target="../media/image11.png"/><Relationship Id="rId1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6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5.png"/><Relationship Id="rId2" Type="http://schemas.openxmlformats.org/officeDocument/2006/relationships/hyperlink" Target="#irRegistrar"/><Relationship Id="rId16" Type="http://schemas.openxmlformats.org/officeDocument/2006/relationships/image" Target="../media/image10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12.png"/><Relationship Id="rId5" Type="http://schemas.openxmlformats.org/officeDocument/2006/relationships/hyperlink" Target="#'16_ALERTAS'!A1"/><Relationship Id="rId15" Type="http://schemas.openxmlformats.org/officeDocument/2006/relationships/image" Target="../media/image7.png"/><Relationship Id="rId10" Type="http://schemas.openxmlformats.org/officeDocument/2006/relationships/image" Target="../media/image3.png"/><Relationship Id="rId4" Type="http://schemas.openxmlformats.org/officeDocument/2006/relationships/hyperlink" Target="#'15_STOCK'!A1"/><Relationship Id="rId9" Type="http://schemas.openxmlformats.org/officeDocument/2006/relationships/image" Target="../media/image11.png"/><Relationship Id="rId1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6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14.png"/><Relationship Id="rId2" Type="http://schemas.openxmlformats.org/officeDocument/2006/relationships/hyperlink" Target="#irRegistrar"/><Relationship Id="rId16" Type="http://schemas.openxmlformats.org/officeDocument/2006/relationships/image" Target="../media/image10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12.png"/><Relationship Id="rId5" Type="http://schemas.openxmlformats.org/officeDocument/2006/relationships/hyperlink" Target="#'16_ALERTAS'!A1"/><Relationship Id="rId15" Type="http://schemas.openxmlformats.org/officeDocument/2006/relationships/image" Target="../media/image7.png"/><Relationship Id="rId10" Type="http://schemas.openxmlformats.org/officeDocument/2006/relationships/image" Target="../media/image3.png"/><Relationship Id="rId4" Type="http://schemas.openxmlformats.org/officeDocument/2006/relationships/hyperlink" Target="#'15_STOCK'!A1"/><Relationship Id="rId9" Type="http://schemas.openxmlformats.org/officeDocument/2006/relationships/image" Target="../media/image11.png"/><Relationship Id="rId1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15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5.png"/><Relationship Id="rId2" Type="http://schemas.openxmlformats.org/officeDocument/2006/relationships/hyperlink" Target="#irRegistrar"/><Relationship Id="rId16" Type="http://schemas.openxmlformats.org/officeDocument/2006/relationships/image" Target="../media/image10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12.png"/><Relationship Id="rId5" Type="http://schemas.openxmlformats.org/officeDocument/2006/relationships/hyperlink" Target="#'16_ALERTAS'!A1"/><Relationship Id="rId15" Type="http://schemas.openxmlformats.org/officeDocument/2006/relationships/image" Target="../media/image7.png"/><Relationship Id="rId10" Type="http://schemas.openxmlformats.org/officeDocument/2006/relationships/image" Target="../media/image3.png"/><Relationship Id="rId4" Type="http://schemas.openxmlformats.org/officeDocument/2006/relationships/hyperlink" Target="#'15_STOCK'!A1"/><Relationship Id="rId9" Type="http://schemas.openxmlformats.org/officeDocument/2006/relationships/image" Target="../media/image11.png"/><Relationship Id="rId1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18_PEDIDO'!A1"/><Relationship Id="rId13" Type="http://schemas.openxmlformats.org/officeDocument/2006/relationships/image" Target="../media/image5.png"/><Relationship Id="rId3" Type="http://schemas.openxmlformats.org/officeDocument/2006/relationships/hyperlink" Target="#irRegistrar"/><Relationship Id="rId7" Type="http://schemas.openxmlformats.org/officeDocument/2006/relationships/hyperlink" Target="#irConsultar"/><Relationship Id="rId12" Type="http://schemas.openxmlformats.org/officeDocument/2006/relationships/image" Target="../media/image12.png"/><Relationship Id="rId17" Type="http://schemas.openxmlformats.org/officeDocument/2006/relationships/image" Target="../media/image10.png"/><Relationship Id="rId2" Type="http://schemas.openxmlformats.org/officeDocument/2006/relationships/hyperlink" Target="#'00_PORTADA'!A1"/><Relationship Id="rId16" Type="http://schemas.openxmlformats.org/officeDocument/2006/relationships/image" Target="../media/image7.png"/><Relationship Id="rId1" Type="http://schemas.openxmlformats.org/officeDocument/2006/relationships/chart" Target="../charts/chart5.xml"/><Relationship Id="rId6" Type="http://schemas.openxmlformats.org/officeDocument/2006/relationships/hyperlink" Target="#'16_ALERTAS'!A1"/><Relationship Id="rId11" Type="http://schemas.openxmlformats.org/officeDocument/2006/relationships/image" Target="../media/image3.png"/><Relationship Id="rId5" Type="http://schemas.openxmlformats.org/officeDocument/2006/relationships/hyperlink" Target="#'15_STOCK'!A1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hyperlink" Target="#irBitacora"/><Relationship Id="rId9" Type="http://schemas.openxmlformats.org/officeDocument/2006/relationships/hyperlink" Target="#'99_AYUDA'!A1"/><Relationship Id="rId1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6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image" Target="../media/image5.png"/><Relationship Id="rId2" Type="http://schemas.openxmlformats.org/officeDocument/2006/relationships/hyperlink" Target="#irRegistrar"/><Relationship Id="rId16" Type="http://schemas.openxmlformats.org/officeDocument/2006/relationships/image" Target="../media/image10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image" Target="../media/image12.png"/><Relationship Id="rId5" Type="http://schemas.openxmlformats.org/officeDocument/2006/relationships/hyperlink" Target="#'16_ALERTAS'!A1"/><Relationship Id="rId15" Type="http://schemas.openxmlformats.org/officeDocument/2006/relationships/image" Target="../media/image17.png"/><Relationship Id="rId10" Type="http://schemas.openxmlformats.org/officeDocument/2006/relationships/image" Target="../media/image3.png"/><Relationship Id="rId4" Type="http://schemas.openxmlformats.org/officeDocument/2006/relationships/hyperlink" Target="#'15_STOCK'!A1"/><Relationship Id="rId9" Type="http://schemas.openxmlformats.org/officeDocument/2006/relationships/image" Target="../media/image11.png"/><Relationship Id="rId1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99_AYUDA'!A1"/><Relationship Id="rId13" Type="http://schemas.openxmlformats.org/officeDocument/2006/relationships/image" Target="../media/image11.png"/><Relationship Id="rId18" Type="http://schemas.openxmlformats.org/officeDocument/2006/relationships/image" Target="../media/image4.png"/><Relationship Id="rId3" Type="http://schemas.openxmlformats.org/officeDocument/2006/relationships/hyperlink" Target="#irBitacora"/><Relationship Id="rId7" Type="http://schemas.openxmlformats.org/officeDocument/2006/relationships/hyperlink" Target="#'18_PEDIDO'!A1"/><Relationship Id="rId12" Type="http://schemas.openxmlformats.org/officeDocument/2006/relationships/hyperlink" Target="#irFilaLibreProd"/><Relationship Id="rId17" Type="http://schemas.openxmlformats.org/officeDocument/2006/relationships/image" Target="../media/image6.png"/><Relationship Id="rId2" Type="http://schemas.openxmlformats.org/officeDocument/2006/relationships/hyperlink" Target="#irRegistrar"/><Relationship Id="rId16" Type="http://schemas.openxmlformats.org/officeDocument/2006/relationships/image" Target="../media/image5.png"/><Relationship Id="rId20" Type="http://schemas.openxmlformats.org/officeDocument/2006/relationships/image" Target="../media/image18.png"/><Relationship Id="rId1" Type="http://schemas.openxmlformats.org/officeDocument/2006/relationships/hyperlink" Target="#'00_PORTADA'!A1"/><Relationship Id="rId6" Type="http://schemas.openxmlformats.org/officeDocument/2006/relationships/hyperlink" Target="#irConsultar"/><Relationship Id="rId11" Type="http://schemas.openxmlformats.org/officeDocument/2006/relationships/hyperlink" Target="#'04_PROVEEDORES'!A1"/><Relationship Id="rId5" Type="http://schemas.openxmlformats.org/officeDocument/2006/relationships/hyperlink" Target="#'16_ALERTAS'!A1"/><Relationship Id="rId15" Type="http://schemas.openxmlformats.org/officeDocument/2006/relationships/image" Target="../media/image12.png"/><Relationship Id="rId10" Type="http://schemas.openxmlformats.org/officeDocument/2006/relationships/hyperlink" Target="#'05_PRODUCTOS'!A1"/><Relationship Id="rId19" Type="http://schemas.openxmlformats.org/officeDocument/2006/relationships/image" Target="../media/image7.png"/><Relationship Id="rId4" Type="http://schemas.openxmlformats.org/officeDocument/2006/relationships/hyperlink" Target="#'15_STOCK'!A1"/><Relationship Id="rId9" Type="http://schemas.openxmlformats.org/officeDocument/2006/relationships/hyperlink" Target="#'13_CONTEO'!A1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4</xdr:col>
      <xdr:colOff>857250</xdr:colOff>
      <xdr:row>16</xdr:row>
      <xdr:rowOff>0</xdr:rowOff>
    </xdr:to>
    <xdr:sp macro="" textlink="">
      <xdr:nvSpPr>
        <xdr:cNvPr id="66" name="TextBox 65" descr="Marco gráfico salud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8600" y="5200650"/>
          <a:ext cx="35433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5</xdr:col>
      <xdr:colOff>114300</xdr:colOff>
      <xdr:row>15</xdr:row>
      <xdr:rowOff>0</xdr:rowOff>
    </xdr:from>
    <xdr:to>
      <xdr:col>13</xdr:col>
      <xdr:colOff>0</xdr:colOff>
      <xdr:row>16</xdr:row>
      <xdr:rowOff>0</xdr:rowOff>
    </xdr:to>
    <xdr:sp macro="" textlink="">
      <xdr:nvSpPr>
        <xdr:cNvPr id="67" name="TextBox 66" descr="Marco gráfico actividad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3924300" y="5200650"/>
          <a:ext cx="70485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819150</xdr:colOff>
      <xdr:row>18</xdr:row>
      <xdr:rowOff>0</xdr:rowOff>
    </xdr:to>
    <xdr:sp macro="" textlink="">
      <xdr:nvSpPr>
        <xdr:cNvPr id="68" name="TextBox 67" descr="Marco gráfico top valor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228600" y="8115300"/>
          <a:ext cx="52959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17</xdr:row>
      <xdr:rowOff>0</xdr:rowOff>
    </xdr:from>
    <xdr:to>
      <xdr:col>13</xdr:col>
      <xdr:colOff>0</xdr:colOff>
      <xdr:row>18</xdr:row>
      <xdr:rowOff>0</xdr:rowOff>
    </xdr:to>
    <xdr:sp macro="" textlink="">
      <xdr:nvSpPr>
        <xdr:cNvPr id="69" name="TextBox 68" descr="Marco gráfico categorías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5676900" y="8115300"/>
          <a:ext cx="5295900" cy="276225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47625</xdr:rowOff>
    </xdr:from>
    <xdr:to>
      <xdr:col>2</xdr:col>
      <xdr:colOff>533400</xdr:colOff>
      <xdr:row>2</xdr:row>
      <xdr:rowOff>152400</xdr:rowOff>
    </xdr:to>
    <xdr:pic>
      <xdr:nvPicPr>
        <xdr:cNvPr id="2" name="Picture 1" descr="Logo del cliente (reemplazabl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1925"/>
          <a:ext cx="142875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57150</xdr:rowOff>
    </xdr:from>
    <xdr:to>
      <xdr:col>1</xdr:col>
      <xdr:colOff>268224</xdr:colOff>
      <xdr:row>29</xdr:row>
      <xdr:rowOff>325374</xdr:rowOff>
    </xdr:to>
    <xdr:pic>
      <xdr:nvPicPr>
        <xdr:cNvPr id="11" name="Picture 10" descr="Z&amp;P Software Fast Solutions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696950"/>
          <a:ext cx="268224" cy="2682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</xdr:row>
      <xdr:rowOff>57150</xdr:rowOff>
    </xdr:from>
    <xdr:to>
      <xdr:col>4</xdr:col>
      <xdr:colOff>781050</xdr:colOff>
      <xdr:row>15</xdr:row>
      <xdr:rowOff>2705100</xdr:rowOff>
    </xdr:to>
    <xdr:graphicFrame macro="">
      <xdr:nvGraphicFramePr>
        <xdr:cNvPr id="12" name="Chart 11" descr="Gráfico de salud del inventari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190500</xdr:colOff>
      <xdr:row>15</xdr:row>
      <xdr:rowOff>57150</xdr:rowOff>
    </xdr:from>
    <xdr:to>
      <xdr:col>12</xdr:col>
      <xdr:colOff>819150</xdr:colOff>
      <xdr:row>15</xdr:row>
      <xdr:rowOff>2705100</xdr:rowOff>
    </xdr:to>
    <xdr:graphicFrame macro="">
      <xdr:nvGraphicFramePr>
        <xdr:cNvPr id="13" name="Chart 12" descr="Gráfico de actividad mensual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76200</xdr:colOff>
      <xdr:row>17</xdr:row>
      <xdr:rowOff>57150</xdr:rowOff>
    </xdr:from>
    <xdr:to>
      <xdr:col>6</xdr:col>
      <xdr:colOff>742950</xdr:colOff>
      <xdr:row>17</xdr:row>
      <xdr:rowOff>2705100</xdr:rowOff>
    </xdr:to>
    <xdr:graphicFrame macro="">
      <xdr:nvGraphicFramePr>
        <xdr:cNvPr id="14" name="Chart 13" descr="Gráfico top 8 productos por valor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152400</xdr:colOff>
      <xdr:row>17</xdr:row>
      <xdr:rowOff>57150</xdr:rowOff>
    </xdr:from>
    <xdr:to>
      <xdr:col>12</xdr:col>
      <xdr:colOff>819150</xdr:colOff>
      <xdr:row>17</xdr:row>
      <xdr:rowOff>2705100</xdr:rowOff>
    </xdr:to>
    <xdr:graphicFrame macro="">
      <xdr:nvGraphicFramePr>
        <xdr:cNvPr id="15" name="Chart 14" descr="Gráfico semáforo por categorí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133350</xdr:colOff>
      <xdr:row>1</xdr:row>
      <xdr:rowOff>142875</xdr:rowOff>
    </xdr:from>
    <xdr:to>
      <xdr:col>11</xdr:col>
      <xdr:colOff>571500</xdr:colOff>
      <xdr:row>2</xdr:row>
      <xdr:rowOff>66675</xdr:rowOff>
    </xdr:to>
    <xdr:sp macro="" textlink="">
      <xdr:nvSpPr>
        <xdr:cNvPr id="16" name="TextBox 15" descr="Edición del libro: EDICIÓN ESTÁNDAR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8420100" y="257175"/>
          <a:ext cx="13335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>
              <a:solidFill>
                <a:srgbClr val="FFFFFF"/>
              </a:solidFill>
              <a:latin typeface="Segoe UI Semibold"/>
              <a:cs typeface="Segoe UI Semibold"/>
            </a:rPr>
            <a:t>EDICIÓN ESTÁNDAR</a:t>
          </a:r>
        </a:p>
      </xdr:txBody>
    </xdr:sp>
    <xdr:clientData/>
  </xdr:twoCellAnchor>
  <xdr:twoCellAnchor editAs="oneCell">
    <xdr:from>
      <xdr:col>11</xdr:col>
      <xdr:colOff>95250</xdr:colOff>
      <xdr:row>5</xdr:row>
      <xdr:rowOff>66675</xdr:rowOff>
    </xdr:from>
    <xdr:to>
      <xdr:col>12</xdr:col>
      <xdr:colOff>800100</xdr:colOff>
      <xdr:row>5</xdr:row>
      <xdr:rowOff>352425</xdr:rowOff>
    </xdr:to>
    <xdr:sp macro="" textlink="'91_KPIS'!$C$54">
      <xdr:nvSpPr>
        <xdr:cNvPr id="17" name="TextBox 16" descr="Ir al próximo paso">
          <a:hlinkClick xmlns:r="http://schemas.openxmlformats.org/officeDocument/2006/relationships" r:id="rId7" tooltip="Ir directamente a donde se resuelve este paso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9277350" y="1000125"/>
          <a:ext cx="1600200" cy="285750"/>
        </a:xfrm>
        <a:prstGeom prst="roundRect">
          <a:avLst>
            <a:gd name="adj" fmla="val 22000"/>
          </a:avLst>
        </a:prstGeom>
        <a:solidFill>
          <a:srgbClr val="FFFFFF"/>
        </a:solidFill>
        <a:ln w="12700" cmpd="sng">
          <a:solidFill>
            <a:srgbClr val="DDE3EA"/>
          </a:solidFill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50">
              <a:solidFill>
                <a:srgbClr val="0D47A1"/>
              </a:solidFill>
              <a:latin typeface="Segoe UI Semibold"/>
              <a:cs typeface="Segoe UI Semibold"/>
            </a:rPr>
            <a:pPr/>
            <a:t>Ver guía  ➜</a:t>
          </a:fld>
          <a:endParaRPr lang="en-US" sz="950">
            <a:solidFill>
              <a:srgbClr val="0D47A1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342900</xdr:colOff>
      <xdr:row>8</xdr:row>
      <xdr:rowOff>0</xdr:rowOff>
    </xdr:to>
    <xdr:sp macro="" textlink="">
      <xdr:nvSpPr>
        <xdr:cNvPr id="18" name="TextBox 17" descr="Botón REGISTRAR">
          <a:hlinkClick xmlns:r="http://schemas.openxmlformats.org/officeDocument/2006/relationships" r:id="rId8" tooltip="Registrar entrada, salida o ajuste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28600" y="1485900"/>
          <a:ext cx="1238250" cy="819150"/>
        </a:xfrm>
        <a:prstGeom prst="roundRect">
          <a:avLst>
            <a:gd name="adj" fmla="val 9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2</xdr:col>
      <xdr:colOff>457200</xdr:colOff>
      <xdr:row>7</xdr:row>
      <xdr:rowOff>0</xdr:rowOff>
    </xdr:from>
    <xdr:to>
      <xdr:col>3</xdr:col>
      <xdr:colOff>800100</xdr:colOff>
      <xdr:row>8</xdr:row>
      <xdr:rowOff>0</xdr:rowOff>
    </xdr:to>
    <xdr:sp macro="" textlink="">
      <xdr:nvSpPr>
        <xdr:cNvPr id="19" name="TextBox 18" descr="Botón CONSULTAR">
          <a:hlinkClick xmlns:r="http://schemas.openxmlformats.org/officeDocument/2006/relationships" r:id="rId9" tooltip="Consultar un producto (kardex)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81150" y="1485900"/>
          <a:ext cx="1238250" cy="819150"/>
        </a:xfrm>
        <a:prstGeom prst="roundRect">
          <a:avLst>
            <a:gd name="adj" fmla="val 9000"/>
          </a:avLst>
        </a:prstGeom>
        <a:solidFill>
          <a:srgbClr val="283593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4</xdr:col>
      <xdr:colOff>19050</xdr:colOff>
      <xdr:row>7</xdr:row>
      <xdr:rowOff>0</xdr:rowOff>
    </xdr:from>
    <xdr:to>
      <xdr:col>5</xdr:col>
      <xdr:colOff>361950</xdr:colOff>
      <xdr:row>8</xdr:row>
      <xdr:rowOff>0</xdr:rowOff>
    </xdr:to>
    <xdr:sp macro="" textlink="">
      <xdr:nvSpPr>
        <xdr:cNvPr id="20" name="TextBox 19" descr="Botón STOCK">
          <a:hlinkClick xmlns:r="http://schemas.openxmlformats.org/officeDocument/2006/relationships" r:id="rId10" tooltip="Ver el stock actual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933700" y="1485900"/>
          <a:ext cx="1238250" cy="819150"/>
        </a:xfrm>
        <a:prstGeom prst="roundRect">
          <a:avLst>
            <a:gd name="adj" fmla="val 9000"/>
          </a:avLst>
        </a:prstGeom>
        <a:solidFill>
          <a:srgbClr val="00796B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5</xdr:col>
      <xdr:colOff>476250</xdr:colOff>
      <xdr:row>7</xdr:row>
      <xdr:rowOff>0</xdr:rowOff>
    </xdr:from>
    <xdr:to>
      <xdr:col>6</xdr:col>
      <xdr:colOff>819150</xdr:colOff>
      <xdr:row>8</xdr:row>
      <xdr:rowOff>0</xdr:rowOff>
    </xdr:to>
    <xdr:sp macro="" textlink="'91_KPIS'!$C$64">
      <xdr:nvSpPr>
        <xdr:cNvPr id="21" name="TextBox 20" descr="Botón ALERTAS">
          <a:hlinkClick xmlns:r="http://schemas.openxmlformats.org/officeDocument/2006/relationships" r:id="rId11" tooltip="Productos que requieren acción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86250" y="1485900"/>
          <a:ext cx="1238250" cy="819150"/>
        </a:xfrm>
        <a:prstGeom prst="roundRect">
          <a:avLst>
            <a:gd name="adj" fmla="val 9000"/>
          </a:avLst>
        </a:prstGeom>
        <a:solidFill>
          <a:srgbClr val="C62828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fld id="{B8ADDEFE-BF52-4FD4-8C5D-6B85EF6FF707}" type="TxLink"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pPr/>
            <a:t>ALERTAS (0)</a:t>
          </a:fld>
          <a:endParaRPr lang="en-US" sz="950">
            <a:solidFill>
              <a:srgbClr val="FFFFFF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7</xdr:col>
      <xdr:colOff>38100</xdr:colOff>
      <xdr:row>7</xdr:row>
      <xdr:rowOff>0</xdr:rowOff>
    </xdr:from>
    <xdr:to>
      <xdr:col>8</xdr:col>
      <xdr:colOff>381000</xdr:colOff>
      <xdr:row>8</xdr:row>
      <xdr:rowOff>0</xdr:rowOff>
    </xdr:to>
    <xdr:sp macro="" textlink="">
      <xdr:nvSpPr>
        <xdr:cNvPr id="22" name="TextBox 21" descr="Botón PEDIDO">
          <a:hlinkClick xmlns:r="http://schemas.openxmlformats.org/officeDocument/2006/relationships" r:id="rId12" tooltip="Pedido sugerido de compra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5638800" y="1485900"/>
          <a:ext cx="1238250" cy="819150"/>
        </a:xfrm>
        <a:prstGeom prst="roundRect">
          <a:avLst>
            <a:gd name="adj" fmla="val 9000"/>
          </a:avLst>
        </a:prstGeom>
        <a:solidFill>
          <a:srgbClr val="BF360C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8</xdr:col>
      <xdr:colOff>495300</xdr:colOff>
      <xdr:row>7</xdr:row>
      <xdr:rowOff>0</xdr:rowOff>
    </xdr:from>
    <xdr:to>
      <xdr:col>9</xdr:col>
      <xdr:colOff>838200</xdr:colOff>
      <xdr:row>8</xdr:row>
      <xdr:rowOff>0</xdr:rowOff>
    </xdr:to>
    <xdr:sp macro="" textlink="">
      <xdr:nvSpPr>
        <xdr:cNvPr id="23" name="TextBox 22" descr="Botón CONTEO">
          <a:hlinkClick xmlns:r="http://schemas.openxmlformats.org/officeDocument/2006/relationships" r:id="rId13" tooltip="Toma física de inventario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991350" y="1485900"/>
          <a:ext cx="1238250" cy="819150"/>
        </a:xfrm>
        <a:prstGeom prst="roundRect">
          <a:avLst>
            <a:gd name="adj" fmla="val 9000"/>
          </a:avLst>
        </a:prstGeom>
        <a:solidFill>
          <a:srgbClr val="2E7D32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CONTEO</a:t>
          </a:r>
        </a:p>
      </xdr:txBody>
    </xdr:sp>
    <xdr:clientData/>
  </xdr:twoCellAnchor>
  <xdr:twoCellAnchor editAs="oneCell">
    <xdr:from>
      <xdr:col>10</xdr:col>
      <xdr:colOff>57150</xdr:colOff>
      <xdr:row>7</xdr:row>
      <xdr:rowOff>0</xdr:rowOff>
    </xdr:from>
    <xdr:to>
      <xdr:col>11</xdr:col>
      <xdr:colOff>400050</xdr:colOff>
      <xdr:row>8</xdr:row>
      <xdr:rowOff>0</xdr:rowOff>
    </xdr:to>
    <xdr:sp macro="" textlink="">
      <xdr:nvSpPr>
        <xdr:cNvPr id="24" name="TextBox 23" descr="Botón CATÁLOGO">
          <a:hlinkClick xmlns:r="http://schemas.openxmlformats.org/officeDocument/2006/relationships" r:id="rId14" tooltip="Productos y proveedores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8343900" y="1485900"/>
          <a:ext cx="1238250" cy="819150"/>
        </a:xfrm>
        <a:prstGeom prst="roundRect">
          <a:avLst>
            <a:gd name="adj" fmla="val 9000"/>
          </a:avLst>
        </a:prstGeom>
        <a:solidFill>
          <a:srgbClr val="5E35B1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CATÁLOGO</a:t>
          </a:r>
        </a:p>
      </xdr:txBody>
    </xdr:sp>
    <xdr:clientData/>
  </xdr:twoCellAnchor>
  <xdr:twoCellAnchor editAs="oneCell">
    <xdr:from>
      <xdr:col>11</xdr:col>
      <xdr:colOff>514350</xdr:colOff>
      <xdr:row>7</xdr:row>
      <xdr:rowOff>0</xdr:rowOff>
    </xdr:from>
    <xdr:to>
      <xdr:col>12</xdr:col>
      <xdr:colOff>857250</xdr:colOff>
      <xdr:row>8</xdr:row>
      <xdr:rowOff>0</xdr:rowOff>
    </xdr:to>
    <xdr:sp macro="" textlink="">
      <xdr:nvSpPr>
        <xdr:cNvPr id="25" name="TextBox 24" descr="Botón GUÍA">
          <a:hlinkClick xmlns:r="http://schemas.openxmlformats.org/officeDocument/2006/relationships" r:id="rId15" tooltip="Aprenda a usar M-INV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9696450" y="1485900"/>
          <a:ext cx="1238250" cy="819150"/>
        </a:xfrm>
        <a:prstGeom prst="roundRect">
          <a:avLst>
            <a:gd name="adj" fmla="val 9000"/>
          </a:avLst>
        </a:prstGeom>
        <a:solidFill>
          <a:srgbClr val="455A64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b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3</xdr:col>
      <xdr:colOff>781050</xdr:colOff>
      <xdr:row>11</xdr:row>
      <xdr:rowOff>0</xdr:rowOff>
    </xdr:to>
    <xdr:sp macro="" textlink="">
      <xdr:nvSpPr>
        <xdr:cNvPr id="26" name="TextBox 25" descr="Tarjeta PRODUCTOS ACTIVOS">
          <a:hlinkClick xmlns:r="http://schemas.openxmlformats.org/officeDocument/2006/relationships" r:id="rId10" tooltip="Ver detalle: productos activos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28600" y="27051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133350</xdr:colOff>
      <xdr:row>10</xdr:row>
      <xdr:rowOff>209550</xdr:rowOff>
    </xdr:from>
    <xdr:to>
      <xdr:col>1</xdr:col>
      <xdr:colOff>180975</xdr:colOff>
      <xdr:row>10</xdr:row>
      <xdr:rowOff>742950</xdr:rowOff>
    </xdr:to>
    <xdr:sp macro="" textlink="">
      <xdr:nvSpPr>
        <xdr:cNvPr id="27" name="TextBox 26" descr="Acento PRODUCTOS ACTIVOS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1950" y="2914650"/>
          <a:ext cx="47625" cy="533400"/>
        </a:xfrm>
        <a:prstGeom prst="roundRect">
          <a:avLst>
            <a:gd name="adj" fmla="val 50000"/>
          </a:avLst>
        </a:prstGeom>
        <a:solidFill>
          <a:srgbClr val="1565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285750</xdr:colOff>
      <xdr:row>10</xdr:row>
      <xdr:rowOff>123825</xdr:rowOff>
    </xdr:from>
    <xdr:to>
      <xdr:col>3</xdr:col>
      <xdr:colOff>647700</xdr:colOff>
      <xdr:row>10</xdr:row>
      <xdr:rowOff>295275</xdr:rowOff>
    </xdr:to>
    <xdr:sp macro="" textlink="">
      <xdr:nvSpPr>
        <xdr:cNvPr id="28" name="TextBox 27" descr="Título PRODUCTOS ACTIVOS">
          <a:hlinkClick xmlns:r="http://schemas.openxmlformats.org/officeDocument/2006/relationships" r:id="rId10" tooltip="Ver detalle: productos activos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514350" y="28289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PRODUCTOS ACTIVOS</a:t>
          </a:r>
        </a:p>
      </xdr:txBody>
    </xdr:sp>
    <xdr:clientData/>
  </xdr:twoCellAnchor>
  <xdr:twoCellAnchor editAs="oneCell">
    <xdr:from>
      <xdr:col>1</xdr:col>
      <xdr:colOff>285750</xdr:colOff>
      <xdr:row>10</xdr:row>
      <xdr:rowOff>304800</xdr:rowOff>
    </xdr:from>
    <xdr:to>
      <xdr:col>3</xdr:col>
      <xdr:colOff>647700</xdr:colOff>
      <xdr:row>10</xdr:row>
      <xdr:rowOff>685800</xdr:rowOff>
    </xdr:to>
    <xdr:sp macro="" textlink="'91_KPIS'!$C$9">
      <xdr:nvSpPr>
        <xdr:cNvPr id="29" name="TextBox 28" descr="Valor PRODUCTOS ACTIVOS">
          <a:hlinkClick xmlns:r="http://schemas.openxmlformats.org/officeDocument/2006/relationships" r:id="rId10" tooltip="Ver detalle: productos activos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514350" y="30099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0B1F33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0B1F33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</xdr:col>
      <xdr:colOff>285750</xdr:colOff>
      <xdr:row>10</xdr:row>
      <xdr:rowOff>685800</xdr:rowOff>
    </xdr:from>
    <xdr:to>
      <xdr:col>3</xdr:col>
      <xdr:colOff>647700</xdr:colOff>
      <xdr:row>10</xdr:row>
      <xdr:rowOff>857250</xdr:rowOff>
    </xdr:to>
    <xdr:sp macro="" textlink="'91_KPIS'!$C$55">
      <xdr:nvSpPr>
        <xdr:cNvPr id="30" name="TextBox 29" descr="Nota PRODUCTOS ACTIVOS">
          <a:hlinkClick xmlns:r="http://schemas.openxmlformats.org/officeDocument/2006/relationships" r:id="rId10" tooltip="Ver detalle: productos activos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14350" y="33909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de 0 en el catálogo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38100</xdr:colOff>
      <xdr:row>10</xdr:row>
      <xdr:rowOff>0</xdr:rowOff>
    </xdr:from>
    <xdr:to>
      <xdr:col>6</xdr:col>
      <xdr:colOff>819150</xdr:colOff>
      <xdr:row>11</xdr:row>
      <xdr:rowOff>0</xdr:rowOff>
    </xdr:to>
    <xdr:sp macro="" textlink="">
      <xdr:nvSpPr>
        <xdr:cNvPr id="31" name="TextBox 30" descr="Tarjeta AGOTADOS">
          <a:hlinkClick xmlns:r="http://schemas.openxmlformats.org/officeDocument/2006/relationships" r:id="rId11" tooltip="Ver detalle: agotados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952750" y="27051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171450</xdr:colOff>
      <xdr:row>10</xdr:row>
      <xdr:rowOff>209550</xdr:rowOff>
    </xdr:from>
    <xdr:to>
      <xdr:col>4</xdr:col>
      <xdr:colOff>219075</xdr:colOff>
      <xdr:row>10</xdr:row>
      <xdr:rowOff>742950</xdr:rowOff>
    </xdr:to>
    <xdr:sp macro="" textlink="">
      <xdr:nvSpPr>
        <xdr:cNvPr id="32" name="TextBox 31" descr="Acento AGOTADOS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086100" y="2914650"/>
          <a:ext cx="47625" cy="533400"/>
        </a:xfrm>
        <a:prstGeom prst="roundRect">
          <a:avLst>
            <a:gd name="adj" fmla="val 50000"/>
          </a:avLst>
        </a:prstGeom>
        <a:solidFill>
          <a:srgbClr val="B7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323850</xdr:colOff>
      <xdr:row>10</xdr:row>
      <xdr:rowOff>123825</xdr:rowOff>
    </xdr:from>
    <xdr:to>
      <xdr:col>6</xdr:col>
      <xdr:colOff>685800</xdr:colOff>
      <xdr:row>10</xdr:row>
      <xdr:rowOff>295275</xdr:rowOff>
    </xdr:to>
    <xdr:sp macro="" textlink="">
      <xdr:nvSpPr>
        <xdr:cNvPr id="33" name="TextBox 32" descr="Título AGOTADOS">
          <a:hlinkClick xmlns:r="http://schemas.openxmlformats.org/officeDocument/2006/relationships" r:id="rId11" tooltip="Ver detalle: agotados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238500" y="28289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AGOTADOS</a:t>
          </a:r>
        </a:p>
      </xdr:txBody>
    </xdr:sp>
    <xdr:clientData/>
  </xdr:twoCellAnchor>
  <xdr:twoCellAnchor editAs="oneCell">
    <xdr:from>
      <xdr:col>4</xdr:col>
      <xdr:colOff>323850</xdr:colOff>
      <xdr:row>10</xdr:row>
      <xdr:rowOff>304800</xdr:rowOff>
    </xdr:from>
    <xdr:to>
      <xdr:col>6</xdr:col>
      <xdr:colOff>685800</xdr:colOff>
      <xdr:row>10</xdr:row>
      <xdr:rowOff>685800</xdr:rowOff>
    </xdr:to>
    <xdr:sp macro="" textlink="'91_KPIS'!$C$11">
      <xdr:nvSpPr>
        <xdr:cNvPr id="34" name="TextBox 33" descr="Valor AGOTADOS">
          <a:hlinkClick xmlns:r="http://schemas.openxmlformats.org/officeDocument/2006/relationships" r:id="rId11" tooltip="Ver detalle: agotados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238500" y="30099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B71C1C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B71C1C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4</xdr:col>
      <xdr:colOff>323850</xdr:colOff>
      <xdr:row>10</xdr:row>
      <xdr:rowOff>685800</xdr:rowOff>
    </xdr:from>
    <xdr:to>
      <xdr:col>6</xdr:col>
      <xdr:colOff>685800</xdr:colOff>
      <xdr:row>10</xdr:row>
      <xdr:rowOff>857250</xdr:rowOff>
    </xdr:to>
    <xdr:sp macro="" textlink="'91_KPIS'!$C$56">
      <xdr:nvSpPr>
        <xdr:cNvPr id="35" name="TextBox 34" descr="Nota AGOTADOS">
          <a:hlinkClick xmlns:r="http://schemas.openxmlformats.org/officeDocument/2006/relationships" r:id="rId11" tooltip="Ver detalle: agotados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238500" y="33909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0% del catálogo activo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10</xdr:row>
      <xdr:rowOff>0</xdr:rowOff>
    </xdr:from>
    <xdr:to>
      <xdr:col>9</xdr:col>
      <xdr:colOff>857250</xdr:colOff>
      <xdr:row>11</xdr:row>
      <xdr:rowOff>0</xdr:rowOff>
    </xdr:to>
    <xdr:sp macro="" textlink="">
      <xdr:nvSpPr>
        <xdr:cNvPr id="36" name="TextBox 35" descr="Tarjeta STOCK CRÍTICO">
          <a:hlinkClick xmlns:r="http://schemas.openxmlformats.org/officeDocument/2006/relationships" r:id="rId11" tooltip="Ver detalle: stock crítico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676900" y="27051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209550</xdr:colOff>
      <xdr:row>10</xdr:row>
      <xdr:rowOff>209550</xdr:rowOff>
    </xdr:from>
    <xdr:to>
      <xdr:col>7</xdr:col>
      <xdr:colOff>257175</xdr:colOff>
      <xdr:row>10</xdr:row>
      <xdr:rowOff>742950</xdr:rowOff>
    </xdr:to>
    <xdr:sp macro="" textlink="">
      <xdr:nvSpPr>
        <xdr:cNvPr id="37" name="TextBox 36" descr="Acento STOCK CRÍTIC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5810250" y="2914650"/>
          <a:ext cx="47625" cy="533400"/>
        </a:xfrm>
        <a:prstGeom prst="roundRect">
          <a:avLst>
            <a:gd name="adj" fmla="val 50000"/>
          </a:avLst>
        </a:prstGeom>
        <a:solidFill>
          <a:srgbClr val="E5393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361950</xdr:colOff>
      <xdr:row>10</xdr:row>
      <xdr:rowOff>123825</xdr:rowOff>
    </xdr:from>
    <xdr:to>
      <xdr:col>9</xdr:col>
      <xdr:colOff>723900</xdr:colOff>
      <xdr:row>10</xdr:row>
      <xdr:rowOff>295275</xdr:rowOff>
    </xdr:to>
    <xdr:sp macro="" textlink="">
      <xdr:nvSpPr>
        <xdr:cNvPr id="38" name="TextBox 37" descr="Título STOCK CRÍTICO">
          <a:hlinkClick xmlns:r="http://schemas.openxmlformats.org/officeDocument/2006/relationships" r:id="rId11" tooltip="Ver detalle: stock crítico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5962650" y="28289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STOCK CRÍTICO</a:t>
          </a:r>
        </a:p>
      </xdr:txBody>
    </xdr:sp>
    <xdr:clientData/>
  </xdr:twoCellAnchor>
  <xdr:twoCellAnchor editAs="oneCell">
    <xdr:from>
      <xdr:col>7</xdr:col>
      <xdr:colOff>361950</xdr:colOff>
      <xdr:row>10</xdr:row>
      <xdr:rowOff>304800</xdr:rowOff>
    </xdr:from>
    <xdr:to>
      <xdr:col>9</xdr:col>
      <xdr:colOff>723900</xdr:colOff>
      <xdr:row>10</xdr:row>
      <xdr:rowOff>685800</xdr:rowOff>
    </xdr:to>
    <xdr:sp macro="" textlink="'91_KPIS'!$C$12">
      <xdr:nvSpPr>
        <xdr:cNvPr id="39" name="TextBox 38" descr="Valor STOCK CRÍTICO">
          <a:hlinkClick xmlns:r="http://schemas.openxmlformats.org/officeDocument/2006/relationships" r:id="rId11" tooltip="Ver detalle: stock crítico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5962650" y="30099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D32F2F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D32F2F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7</xdr:col>
      <xdr:colOff>361950</xdr:colOff>
      <xdr:row>10</xdr:row>
      <xdr:rowOff>685800</xdr:rowOff>
    </xdr:from>
    <xdr:to>
      <xdr:col>9</xdr:col>
      <xdr:colOff>723900</xdr:colOff>
      <xdr:row>10</xdr:row>
      <xdr:rowOff>857250</xdr:rowOff>
    </xdr:to>
    <xdr:sp macro="" textlink="'91_KPIS'!$C$57">
      <xdr:nvSpPr>
        <xdr:cNvPr id="40" name="TextBox 39" descr="Nota STOCK CRÍTICO">
          <a:hlinkClick xmlns:r="http://schemas.openxmlformats.org/officeDocument/2006/relationships" r:id="rId11" tooltip="Ver detalle: stock crítico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962650" y="33909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en o por debajo del stock mínimo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114300</xdr:colOff>
      <xdr:row>10</xdr:row>
      <xdr:rowOff>0</xdr:rowOff>
    </xdr:from>
    <xdr:to>
      <xdr:col>13</xdr:col>
      <xdr:colOff>0</xdr:colOff>
      <xdr:row>11</xdr:row>
      <xdr:rowOff>0</xdr:rowOff>
    </xdr:to>
    <xdr:sp macro="" textlink="">
      <xdr:nvSpPr>
        <xdr:cNvPr id="41" name="TextBox 40" descr="Tarjeta ALERTA PREVENTIVA">
          <a:hlinkClick xmlns:r="http://schemas.openxmlformats.org/officeDocument/2006/relationships" r:id="rId11" tooltip="Ver detalle: alerta preventiva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8401050" y="27051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247650</xdr:colOff>
      <xdr:row>10</xdr:row>
      <xdr:rowOff>209550</xdr:rowOff>
    </xdr:from>
    <xdr:to>
      <xdr:col>10</xdr:col>
      <xdr:colOff>295275</xdr:colOff>
      <xdr:row>10</xdr:row>
      <xdr:rowOff>742950</xdr:rowOff>
    </xdr:to>
    <xdr:sp macro="" textlink="">
      <xdr:nvSpPr>
        <xdr:cNvPr id="42" name="TextBox 41" descr="Acento ALERTA PREVENTIVA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8534400" y="2914650"/>
          <a:ext cx="47625" cy="533400"/>
        </a:xfrm>
        <a:prstGeom prst="roundRect">
          <a:avLst>
            <a:gd name="adj" fmla="val 50000"/>
          </a:avLst>
        </a:prstGeom>
        <a:solidFill>
          <a:srgbClr val="F59E0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400050</xdr:colOff>
      <xdr:row>10</xdr:row>
      <xdr:rowOff>123825</xdr:rowOff>
    </xdr:from>
    <xdr:to>
      <xdr:col>12</xdr:col>
      <xdr:colOff>762000</xdr:colOff>
      <xdr:row>10</xdr:row>
      <xdr:rowOff>295275</xdr:rowOff>
    </xdr:to>
    <xdr:sp macro="" textlink="">
      <xdr:nvSpPr>
        <xdr:cNvPr id="43" name="TextBox 42" descr="Título ALERTA PREVENTIVA">
          <a:hlinkClick xmlns:r="http://schemas.openxmlformats.org/officeDocument/2006/relationships" r:id="rId11" tooltip="Ver detalle: alerta preventiva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8686800" y="28289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ALERTA PREVENTIVA</a:t>
          </a:r>
        </a:p>
      </xdr:txBody>
    </xdr:sp>
    <xdr:clientData/>
  </xdr:twoCellAnchor>
  <xdr:twoCellAnchor editAs="oneCell">
    <xdr:from>
      <xdr:col>10</xdr:col>
      <xdr:colOff>400050</xdr:colOff>
      <xdr:row>10</xdr:row>
      <xdr:rowOff>304800</xdr:rowOff>
    </xdr:from>
    <xdr:to>
      <xdr:col>12</xdr:col>
      <xdr:colOff>762000</xdr:colOff>
      <xdr:row>10</xdr:row>
      <xdr:rowOff>685800</xdr:rowOff>
    </xdr:to>
    <xdr:sp macro="" textlink="'91_KPIS'!$C$13">
      <xdr:nvSpPr>
        <xdr:cNvPr id="44" name="TextBox 43" descr="Valor ALERTA PREVENTIVA">
          <a:hlinkClick xmlns:r="http://schemas.openxmlformats.org/officeDocument/2006/relationships" r:id="rId11" tooltip="Ver detalle: alerta preventiva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8686800" y="30099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B45309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B45309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10</xdr:col>
      <xdr:colOff>400050</xdr:colOff>
      <xdr:row>10</xdr:row>
      <xdr:rowOff>685800</xdr:rowOff>
    </xdr:from>
    <xdr:to>
      <xdr:col>12</xdr:col>
      <xdr:colOff>762000</xdr:colOff>
      <xdr:row>10</xdr:row>
      <xdr:rowOff>857250</xdr:rowOff>
    </xdr:to>
    <xdr:sp macro="" textlink="'91_KPIS'!$C$58">
      <xdr:nvSpPr>
        <xdr:cNvPr id="45" name="TextBox 44" descr="Nota ALERTA PREVENTIVA">
          <a:hlinkClick xmlns:r="http://schemas.openxmlformats.org/officeDocument/2006/relationships" r:id="rId11" tooltip="Ver detalle: alerta preventiva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8686800" y="33909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hasta 20% por encima del mínimo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781050</xdr:colOff>
      <xdr:row>13</xdr:row>
      <xdr:rowOff>0</xdr:rowOff>
    </xdr:to>
    <xdr:sp macro="" textlink="">
      <xdr:nvSpPr>
        <xdr:cNvPr id="46" name="TextBox 45" descr="Tarjeta STOCK ÓPTIMO">
          <a:hlinkClick xmlns:r="http://schemas.openxmlformats.org/officeDocument/2006/relationships" r:id="rId10" tooltip="Ver detalle: stock óptimo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228600" y="38100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133350</xdr:colOff>
      <xdr:row>12</xdr:row>
      <xdr:rowOff>209550</xdr:rowOff>
    </xdr:from>
    <xdr:to>
      <xdr:col>1</xdr:col>
      <xdr:colOff>180975</xdr:colOff>
      <xdr:row>12</xdr:row>
      <xdr:rowOff>742950</xdr:rowOff>
    </xdr:to>
    <xdr:sp macro="" textlink="">
      <xdr:nvSpPr>
        <xdr:cNvPr id="47" name="TextBox 46" descr="Acento STOCK ÓPTIM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61950" y="4019550"/>
          <a:ext cx="47625" cy="533400"/>
        </a:xfrm>
        <a:prstGeom prst="roundRect">
          <a:avLst>
            <a:gd name="adj" fmla="val 50000"/>
          </a:avLst>
        </a:prstGeom>
        <a:solidFill>
          <a:srgbClr val="43A0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285750</xdr:colOff>
      <xdr:row>12</xdr:row>
      <xdr:rowOff>123825</xdr:rowOff>
    </xdr:from>
    <xdr:to>
      <xdr:col>3</xdr:col>
      <xdr:colOff>647700</xdr:colOff>
      <xdr:row>12</xdr:row>
      <xdr:rowOff>295275</xdr:rowOff>
    </xdr:to>
    <xdr:sp macro="" textlink="">
      <xdr:nvSpPr>
        <xdr:cNvPr id="48" name="TextBox 47" descr="Título STOCK ÓPTIMO">
          <a:hlinkClick xmlns:r="http://schemas.openxmlformats.org/officeDocument/2006/relationships" r:id="rId10" tooltip="Ver detalle: stock óptimo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514350" y="39338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STOCK ÓPTIMO</a:t>
          </a:r>
        </a:p>
      </xdr:txBody>
    </xdr:sp>
    <xdr:clientData/>
  </xdr:twoCellAnchor>
  <xdr:twoCellAnchor editAs="oneCell">
    <xdr:from>
      <xdr:col>1</xdr:col>
      <xdr:colOff>285750</xdr:colOff>
      <xdr:row>12</xdr:row>
      <xdr:rowOff>304800</xdr:rowOff>
    </xdr:from>
    <xdr:to>
      <xdr:col>3</xdr:col>
      <xdr:colOff>647700</xdr:colOff>
      <xdr:row>12</xdr:row>
      <xdr:rowOff>685800</xdr:rowOff>
    </xdr:to>
    <xdr:sp macro="" textlink="'91_KPIS'!$C$14">
      <xdr:nvSpPr>
        <xdr:cNvPr id="49" name="TextBox 48" descr="Valor STOCK ÓPTIMO">
          <a:hlinkClick xmlns:r="http://schemas.openxmlformats.org/officeDocument/2006/relationships" r:id="rId10" tooltip="Ver detalle: stock óptimo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514350" y="41148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2E7D32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2E7D32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</xdr:col>
      <xdr:colOff>285750</xdr:colOff>
      <xdr:row>12</xdr:row>
      <xdr:rowOff>685800</xdr:rowOff>
    </xdr:from>
    <xdr:to>
      <xdr:col>3</xdr:col>
      <xdr:colOff>647700</xdr:colOff>
      <xdr:row>12</xdr:row>
      <xdr:rowOff>857250</xdr:rowOff>
    </xdr:to>
    <xdr:sp macro="" textlink="'91_KPIS'!$C$59">
      <xdr:nvSpPr>
        <xdr:cNvPr id="50" name="TextBox 49" descr="Nota STOCK ÓPTIMO">
          <a:hlinkClick xmlns:r="http://schemas.openxmlformats.org/officeDocument/2006/relationships" r:id="rId10" tooltip="Ver detalle: stock óptimo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514350" y="44958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0% del catálogo activo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38100</xdr:colOff>
      <xdr:row>12</xdr:row>
      <xdr:rowOff>0</xdr:rowOff>
    </xdr:from>
    <xdr:to>
      <xdr:col>6</xdr:col>
      <xdr:colOff>819150</xdr:colOff>
      <xdr:row>13</xdr:row>
      <xdr:rowOff>0</xdr:rowOff>
    </xdr:to>
    <xdr:sp macro="" textlink="">
      <xdr:nvSpPr>
        <xdr:cNvPr id="51" name="TextBox 50" descr="Tarjeta VALOR DEL INVENTARIO">
          <a:hlinkClick xmlns:r="http://schemas.openxmlformats.org/officeDocument/2006/relationships" r:id="rId10" tooltip="Ver detalle: valor del inventario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952750" y="38100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171450</xdr:colOff>
      <xdr:row>12</xdr:row>
      <xdr:rowOff>209550</xdr:rowOff>
    </xdr:from>
    <xdr:to>
      <xdr:col>4</xdr:col>
      <xdr:colOff>219075</xdr:colOff>
      <xdr:row>12</xdr:row>
      <xdr:rowOff>742950</xdr:rowOff>
    </xdr:to>
    <xdr:sp macro="" textlink="">
      <xdr:nvSpPr>
        <xdr:cNvPr id="52" name="TextBox 51" descr="Acento VALOR DEL INVENTARI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3086100" y="4019550"/>
          <a:ext cx="47625" cy="533400"/>
        </a:xfrm>
        <a:prstGeom prst="roundRect">
          <a:avLst>
            <a:gd name="adj" fmla="val 50000"/>
          </a:avLst>
        </a:prstGeom>
        <a:solidFill>
          <a:srgbClr val="0D47A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323850</xdr:colOff>
      <xdr:row>12</xdr:row>
      <xdr:rowOff>123825</xdr:rowOff>
    </xdr:from>
    <xdr:to>
      <xdr:col>6</xdr:col>
      <xdr:colOff>685800</xdr:colOff>
      <xdr:row>12</xdr:row>
      <xdr:rowOff>295275</xdr:rowOff>
    </xdr:to>
    <xdr:sp macro="" textlink="">
      <xdr:nvSpPr>
        <xdr:cNvPr id="53" name="TextBox 52" descr="Título VALOR DEL INVENTARIO">
          <a:hlinkClick xmlns:r="http://schemas.openxmlformats.org/officeDocument/2006/relationships" r:id="rId10" tooltip="Ver detalle: valor del inventario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238500" y="39338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VALOR DEL INVENTARIO</a:t>
          </a:r>
        </a:p>
      </xdr:txBody>
    </xdr:sp>
    <xdr:clientData/>
  </xdr:twoCellAnchor>
  <xdr:twoCellAnchor editAs="oneCell">
    <xdr:from>
      <xdr:col>4</xdr:col>
      <xdr:colOff>323850</xdr:colOff>
      <xdr:row>12</xdr:row>
      <xdr:rowOff>304800</xdr:rowOff>
    </xdr:from>
    <xdr:to>
      <xdr:col>6</xdr:col>
      <xdr:colOff>685800</xdr:colOff>
      <xdr:row>12</xdr:row>
      <xdr:rowOff>685800</xdr:rowOff>
    </xdr:to>
    <xdr:sp macro="" textlink="'91_KPIS'!$C$18">
      <xdr:nvSpPr>
        <xdr:cNvPr id="54" name="TextBox 53" descr="Valor VALOR DEL INVENTARIO">
          <a:hlinkClick xmlns:r="http://schemas.openxmlformats.org/officeDocument/2006/relationships" r:id="rId10" tooltip="Ver detalle: valor del inventario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238500" y="41148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0D47A1"/>
              </a:solidFill>
              <a:latin typeface="Segoe UI Semibold"/>
              <a:cs typeface="Segoe UI Semibold"/>
            </a:rPr>
            <a:pPr/>
            <a:t>$ 0</a:t>
          </a:fld>
          <a:endParaRPr lang="en-US" sz="2200">
            <a:solidFill>
              <a:srgbClr val="0D47A1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4</xdr:col>
      <xdr:colOff>323850</xdr:colOff>
      <xdr:row>12</xdr:row>
      <xdr:rowOff>685800</xdr:rowOff>
    </xdr:from>
    <xdr:to>
      <xdr:col>6</xdr:col>
      <xdr:colOff>685800</xdr:colOff>
      <xdr:row>12</xdr:row>
      <xdr:rowOff>857250</xdr:rowOff>
    </xdr:to>
    <xdr:sp macro="" textlink="'91_KPIS'!$C$60">
      <xdr:nvSpPr>
        <xdr:cNvPr id="55" name="TextBox 54" descr="Nota VALOR DEL INVENTARIO">
          <a:hlinkClick xmlns:r="http://schemas.openxmlformats.org/officeDocument/2006/relationships" r:id="rId10" tooltip="Ver detalle: valor del inventario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3238500" y="44958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a costo unitario de catálogo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12</xdr:row>
      <xdr:rowOff>0</xdr:rowOff>
    </xdr:from>
    <xdr:to>
      <xdr:col>9</xdr:col>
      <xdr:colOff>857250</xdr:colOff>
      <xdr:row>13</xdr:row>
      <xdr:rowOff>0</xdr:rowOff>
    </xdr:to>
    <xdr:sp macro="" textlink="">
      <xdr:nvSpPr>
        <xdr:cNvPr id="56" name="TextBox 55" descr="Tarjeta MOVIMIENTOS DEL MES">
          <a:hlinkClick xmlns:r="http://schemas.openxmlformats.org/officeDocument/2006/relationships" r:id="rId16" tooltip="Ver detalle: movimientos del mes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676900" y="38100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209550</xdr:colOff>
      <xdr:row>12</xdr:row>
      <xdr:rowOff>209550</xdr:rowOff>
    </xdr:from>
    <xdr:to>
      <xdr:col>7</xdr:col>
      <xdr:colOff>257175</xdr:colOff>
      <xdr:row>12</xdr:row>
      <xdr:rowOff>742950</xdr:rowOff>
    </xdr:to>
    <xdr:sp macro="" textlink="">
      <xdr:nvSpPr>
        <xdr:cNvPr id="57" name="TextBox 56" descr="Acento MOVIMIENTOS DEL MES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810250" y="4019550"/>
          <a:ext cx="47625" cy="533400"/>
        </a:xfrm>
        <a:prstGeom prst="roundRect">
          <a:avLst>
            <a:gd name="adj" fmla="val 50000"/>
          </a:avLst>
        </a:prstGeom>
        <a:solidFill>
          <a:srgbClr val="00796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361950</xdr:colOff>
      <xdr:row>12</xdr:row>
      <xdr:rowOff>123825</xdr:rowOff>
    </xdr:from>
    <xdr:to>
      <xdr:col>9</xdr:col>
      <xdr:colOff>723900</xdr:colOff>
      <xdr:row>12</xdr:row>
      <xdr:rowOff>295275</xdr:rowOff>
    </xdr:to>
    <xdr:sp macro="" textlink="">
      <xdr:nvSpPr>
        <xdr:cNvPr id="58" name="TextBox 57" descr="Título MOVIMIENTOS DEL MES">
          <a:hlinkClick xmlns:r="http://schemas.openxmlformats.org/officeDocument/2006/relationships" r:id="rId16" tooltip="Ver detalle: movimientos del mes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5962650" y="39338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MOVIMIENTOS DEL MES</a:t>
          </a:r>
        </a:p>
      </xdr:txBody>
    </xdr:sp>
    <xdr:clientData/>
  </xdr:twoCellAnchor>
  <xdr:twoCellAnchor editAs="oneCell">
    <xdr:from>
      <xdr:col>7</xdr:col>
      <xdr:colOff>361950</xdr:colOff>
      <xdr:row>12</xdr:row>
      <xdr:rowOff>304800</xdr:rowOff>
    </xdr:from>
    <xdr:to>
      <xdr:col>9</xdr:col>
      <xdr:colOff>723900</xdr:colOff>
      <xdr:row>12</xdr:row>
      <xdr:rowOff>685800</xdr:rowOff>
    </xdr:to>
    <xdr:sp macro="" textlink="'91_KPIS'!$C$29">
      <xdr:nvSpPr>
        <xdr:cNvPr id="59" name="TextBox 58" descr="Valor MOVIMIENTOS DEL MES">
          <a:hlinkClick xmlns:r="http://schemas.openxmlformats.org/officeDocument/2006/relationships" r:id="rId16" tooltip="Ver detalle: movimientos del mes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5962650" y="41148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00796B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00796B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7</xdr:col>
      <xdr:colOff>361950</xdr:colOff>
      <xdr:row>12</xdr:row>
      <xdr:rowOff>685800</xdr:rowOff>
    </xdr:from>
    <xdr:to>
      <xdr:col>9</xdr:col>
      <xdr:colOff>723900</xdr:colOff>
      <xdr:row>12</xdr:row>
      <xdr:rowOff>857250</xdr:rowOff>
    </xdr:to>
    <xdr:sp macro="" textlink="'91_KPIS'!$C$61">
      <xdr:nvSpPr>
        <xdr:cNvPr id="60" name="TextBox 59" descr="Nota MOVIMIENTOS DEL MES">
          <a:hlinkClick xmlns:r="http://schemas.openxmlformats.org/officeDocument/2006/relationships" r:id="rId16" tooltip="Ver detalle: movimientos del mes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5962650" y="44958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▲ 0 ingresos    ▼ 0 egresos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114300</xdr:colOff>
      <xdr:row>12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61" name="TextBox 60" descr="Tarjeta SIN ROTACIÓN">
          <a:hlinkClick xmlns:r="http://schemas.openxmlformats.org/officeDocument/2006/relationships" r:id="rId10" tooltip="Ver detalle: sin rotación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8401050" y="3810000"/>
          <a:ext cx="2571750" cy="9525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247650</xdr:colOff>
      <xdr:row>12</xdr:row>
      <xdr:rowOff>209550</xdr:rowOff>
    </xdr:from>
    <xdr:to>
      <xdr:col>10</xdr:col>
      <xdr:colOff>295275</xdr:colOff>
      <xdr:row>12</xdr:row>
      <xdr:rowOff>742950</xdr:rowOff>
    </xdr:to>
    <xdr:sp macro="" textlink="">
      <xdr:nvSpPr>
        <xdr:cNvPr id="62" name="TextBox 61" descr="Acento SIN ROTACIÓN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8534400" y="4019550"/>
          <a:ext cx="47625" cy="533400"/>
        </a:xfrm>
        <a:prstGeom prst="roundRect">
          <a:avLst>
            <a:gd name="adj" fmla="val 50000"/>
          </a:avLst>
        </a:prstGeom>
        <a:solidFill>
          <a:srgbClr val="8D6E6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400050</xdr:colOff>
      <xdr:row>12</xdr:row>
      <xdr:rowOff>123825</xdr:rowOff>
    </xdr:from>
    <xdr:to>
      <xdr:col>12</xdr:col>
      <xdr:colOff>762000</xdr:colOff>
      <xdr:row>12</xdr:row>
      <xdr:rowOff>295275</xdr:rowOff>
    </xdr:to>
    <xdr:sp macro="" textlink="">
      <xdr:nvSpPr>
        <xdr:cNvPr id="63" name="TextBox 62" descr="Título SIN ROTACIÓN">
          <a:hlinkClick xmlns:r="http://schemas.openxmlformats.org/officeDocument/2006/relationships" r:id="rId10" tooltip="Ver detalle: sin rotación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8686800" y="3933825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b="1">
              <a:solidFill>
                <a:srgbClr val="5F6B7A"/>
              </a:solidFill>
              <a:latin typeface="Segoe UI"/>
              <a:cs typeface="Segoe UI"/>
            </a:rPr>
            <a:t>SIN ROTACIÓN</a:t>
          </a:r>
        </a:p>
      </xdr:txBody>
    </xdr:sp>
    <xdr:clientData/>
  </xdr:twoCellAnchor>
  <xdr:twoCellAnchor editAs="oneCell">
    <xdr:from>
      <xdr:col>10</xdr:col>
      <xdr:colOff>400050</xdr:colOff>
      <xdr:row>12</xdr:row>
      <xdr:rowOff>304800</xdr:rowOff>
    </xdr:from>
    <xdr:to>
      <xdr:col>12</xdr:col>
      <xdr:colOff>762000</xdr:colOff>
      <xdr:row>12</xdr:row>
      <xdr:rowOff>685800</xdr:rowOff>
    </xdr:to>
    <xdr:sp macro="" textlink="'91_KPIS'!$C$19">
      <xdr:nvSpPr>
        <xdr:cNvPr id="64" name="TextBox 63" descr="Valor SIN ROTACIÓN">
          <a:hlinkClick xmlns:r="http://schemas.openxmlformats.org/officeDocument/2006/relationships" r:id="rId10" tooltip="Ver detalle: sin rotación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8686800" y="4114800"/>
          <a:ext cx="2152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2200">
              <a:solidFill>
                <a:srgbClr val="6D4C41"/>
              </a:solidFill>
              <a:latin typeface="Segoe UI Semibold"/>
              <a:cs typeface="Segoe UI Semibold"/>
            </a:rPr>
            <a:pPr/>
            <a:t>0</a:t>
          </a:fld>
          <a:endParaRPr lang="en-US" sz="2200">
            <a:solidFill>
              <a:srgbClr val="6D4C41"/>
            </a:solidFill>
            <a:latin typeface="Segoe UI Semibold"/>
            <a:cs typeface="Segoe UI Semibold"/>
          </a:endParaRPr>
        </a:p>
      </xdr:txBody>
    </xdr:sp>
    <xdr:clientData/>
  </xdr:twoCellAnchor>
  <xdr:twoCellAnchor editAs="oneCell">
    <xdr:from>
      <xdr:col>10</xdr:col>
      <xdr:colOff>400050</xdr:colOff>
      <xdr:row>12</xdr:row>
      <xdr:rowOff>685800</xdr:rowOff>
    </xdr:from>
    <xdr:to>
      <xdr:col>12</xdr:col>
      <xdr:colOff>762000</xdr:colOff>
      <xdr:row>12</xdr:row>
      <xdr:rowOff>857250</xdr:rowOff>
    </xdr:to>
    <xdr:sp macro="" textlink="'91_KPIS'!$C$62">
      <xdr:nvSpPr>
        <xdr:cNvPr id="65" name="TextBox 64" descr="Nota SIN ROTACIÓN">
          <a:hlinkClick xmlns:r="http://schemas.openxmlformats.org/officeDocument/2006/relationships" r:id="rId10" tooltip="Ver detalle: sin rotación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8686800" y="4495800"/>
          <a:ext cx="21526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fld id="{B8ADDEFE-BF52-4FD4-8C5D-6B85EF6FF707}" type="TxLink">
            <a:rPr lang="en-US" sz="850">
              <a:solidFill>
                <a:srgbClr val="5F6B7A"/>
              </a:solidFill>
              <a:latin typeface="Segoe UI"/>
              <a:cs typeface="Segoe UI"/>
            </a:rPr>
            <a:pPr/>
            <a:t>+60 días sin movimiento · $ 0</a:t>
          </a:fld>
          <a:endParaRPr lang="en-US" sz="850">
            <a:solidFill>
              <a:srgbClr val="5F6B7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11</xdr:col>
      <xdr:colOff>95250</xdr:colOff>
      <xdr:row>18</xdr:row>
      <xdr:rowOff>57150</xdr:rowOff>
    </xdr:from>
    <xdr:to>
      <xdr:col>13</xdr:col>
      <xdr:colOff>0</xdr:colOff>
      <xdr:row>18</xdr:row>
      <xdr:rowOff>266700</xdr:rowOff>
    </xdr:to>
    <xdr:sp macro="" textlink="">
      <xdr:nvSpPr>
        <xdr:cNvPr id="70" name="TextBox 69" descr="Ir a la bitácora">
          <a:hlinkClick xmlns:r="http://schemas.openxmlformats.org/officeDocument/2006/relationships" r:id="rId16" tooltip="Abrir 10_MOVIMIENTOS en la siguiente fila libre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9277350" y="10934700"/>
          <a:ext cx="16954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r"/>
          <a:r>
            <a:rPr lang="en-US" sz="900" b="1">
              <a:solidFill>
                <a:srgbClr val="1565C0"/>
              </a:solidFill>
              <a:latin typeface="Segoe UI"/>
              <a:cs typeface="Segoe UI"/>
            </a:rPr>
            <a:t>Ver bitácora completa  ➜</a:t>
          </a:r>
        </a:p>
      </xdr:txBody>
    </xdr:sp>
    <xdr:clientData/>
  </xdr:twoCellAnchor>
  <xdr:twoCellAnchor editAs="oneCell">
    <xdr:from>
      <xdr:col>1</xdr:col>
      <xdr:colOff>476250</xdr:colOff>
      <xdr:row>7</xdr:row>
      <xdr:rowOff>133350</xdr:rowOff>
    </xdr:from>
    <xdr:to>
      <xdr:col>1</xdr:col>
      <xdr:colOff>762000</xdr:colOff>
      <xdr:row>7</xdr:row>
      <xdr:rowOff>419100</xdr:rowOff>
    </xdr:to>
    <xdr:pic>
      <xdr:nvPicPr>
        <xdr:cNvPr id="3" name="Picture 2" descr="Icono movimiento">
          <a:hlinkClick xmlns:r="http://schemas.openxmlformats.org/officeDocument/2006/relationships" r:id="rId8" tooltip="Registrar entrada, salida o ajuste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485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</xdr:row>
      <xdr:rowOff>133350</xdr:rowOff>
    </xdr:from>
    <xdr:to>
      <xdr:col>3</xdr:col>
      <xdr:colOff>323850</xdr:colOff>
      <xdr:row>7</xdr:row>
      <xdr:rowOff>419100</xdr:rowOff>
    </xdr:to>
    <xdr:pic>
      <xdr:nvPicPr>
        <xdr:cNvPr id="4" name="Picture 3" descr="Icono buscar">
          <a:hlinkClick xmlns:r="http://schemas.openxmlformats.org/officeDocument/2006/relationships" r:id="rId9" tooltip="Consultar un producto (kardex)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5740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7</xdr:row>
      <xdr:rowOff>133350</xdr:rowOff>
    </xdr:from>
    <xdr:to>
      <xdr:col>4</xdr:col>
      <xdr:colOff>781050</xdr:colOff>
      <xdr:row>7</xdr:row>
      <xdr:rowOff>419100</xdr:rowOff>
    </xdr:to>
    <xdr:pic>
      <xdr:nvPicPr>
        <xdr:cNvPr id="5" name="Picture 4" descr="Icono stock">
          <a:hlinkClick xmlns:r="http://schemas.openxmlformats.org/officeDocument/2006/relationships" r:id="rId10" tooltip="Ver el stock actual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0995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7</xdr:row>
      <xdr:rowOff>133350</xdr:rowOff>
    </xdr:from>
    <xdr:to>
      <xdr:col>6</xdr:col>
      <xdr:colOff>342900</xdr:colOff>
      <xdr:row>7</xdr:row>
      <xdr:rowOff>419100</xdr:rowOff>
    </xdr:to>
    <xdr:pic>
      <xdr:nvPicPr>
        <xdr:cNvPr id="6" name="Picture 5" descr="Icono alertas">
          <a:hlinkClick xmlns:r="http://schemas.openxmlformats.org/officeDocument/2006/relationships" r:id="rId11" tooltip="Productos que requieren acción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6250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7</xdr:row>
      <xdr:rowOff>133350</xdr:rowOff>
    </xdr:from>
    <xdr:to>
      <xdr:col>7</xdr:col>
      <xdr:colOff>800100</xdr:colOff>
      <xdr:row>7</xdr:row>
      <xdr:rowOff>419100</xdr:rowOff>
    </xdr:to>
    <xdr:pic>
      <xdr:nvPicPr>
        <xdr:cNvPr id="7" name="Picture 6" descr="Icono pedido">
          <a:hlinkClick xmlns:r="http://schemas.openxmlformats.org/officeDocument/2006/relationships" r:id="rId12" tooltip="Pedido sugerido de compra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1505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7</xdr:row>
      <xdr:rowOff>133350</xdr:rowOff>
    </xdr:from>
    <xdr:to>
      <xdr:col>9</xdr:col>
      <xdr:colOff>361950</xdr:colOff>
      <xdr:row>7</xdr:row>
      <xdr:rowOff>419100</xdr:rowOff>
    </xdr:to>
    <xdr:pic>
      <xdr:nvPicPr>
        <xdr:cNvPr id="8" name="Picture 7" descr="Icono conteo">
          <a:hlinkClick xmlns:r="http://schemas.openxmlformats.org/officeDocument/2006/relationships" r:id="rId13" tooltip="Toma física de inventario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6760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7</xdr:row>
      <xdr:rowOff>133350</xdr:rowOff>
    </xdr:from>
    <xdr:to>
      <xdr:col>10</xdr:col>
      <xdr:colOff>819150</xdr:colOff>
      <xdr:row>7</xdr:row>
      <xdr:rowOff>419100</xdr:rowOff>
    </xdr:to>
    <xdr:pic>
      <xdr:nvPicPr>
        <xdr:cNvPr id="9" name="Picture 8" descr="Icono catalogo">
          <a:hlinkClick xmlns:r="http://schemas.openxmlformats.org/officeDocument/2006/relationships" r:id="rId14" tooltip="Productos y proveedores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820150" y="16192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7</xdr:row>
      <xdr:rowOff>133350</xdr:rowOff>
    </xdr:from>
    <xdr:to>
      <xdr:col>12</xdr:col>
      <xdr:colOff>381000</xdr:colOff>
      <xdr:row>7</xdr:row>
      <xdr:rowOff>419100</xdr:rowOff>
    </xdr:to>
    <xdr:pic>
      <xdr:nvPicPr>
        <xdr:cNvPr id="10" name="Picture 9" descr="Icono ayuda">
          <a:hlinkClick xmlns:r="http://schemas.openxmlformats.org/officeDocument/2006/relationships" r:id="rId15" tooltip="Aprenda a usar M-INV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172700" y="1619250"/>
          <a:ext cx="285750" cy="285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1</xdr:row>
      <xdr:rowOff>28575</xdr:rowOff>
    </xdr:from>
    <xdr:to>
      <xdr:col>3</xdr:col>
      <xdr:colOff>171450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3</xdr:col>
      <xdr:colOff>228600</xdr:colOff>
      <xdr:row>1</xdr:row>
      <xdr:rowOff>28575</xdr:rowOff>
    </xdr:from>
    <xdr:to>
      <xdr:col>3</xdr:col>
      <xdr:colOff>1219200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3</xdr:col>
      <xdr:colOff>1276350</xdr:colOff>
      <xdr:row>1</xdr:row>
      <xdr:rowOff>28575</xdr:rowOff>
    </xdr:from>
    <xdr:to>
      <xdr:col>4</xdr:col>
      <xdr:colOff>647700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4</xdr:col>
      <xdr:colOff>704850</xdr:colOff>
      <xdr:row>1</xdr:row>
      <xdr:rowOff>28575</xdr:rowOff>
    </xdr:from>
    <xdr:to>
      <xdr:col>5</xdr:col>
      <xdr:colOff>514350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5</xdr:col>
      <xdr:colOff>571500</xdr:colOff>
      <xdr:row>1</xdr:row>
      <xdr:rowOff>28575</xdr:rowOff>
    </xdr:from>
    <xdr:to>
      <xdr:col>5</xdr:col>
      <xdr:colOff>1562100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5</xdr:col>
      <xdr:colOff>1619250</xdr:colOff>
      <xdr:row>1</xdr:row>
      <xdr:rowOff>28575</xdr:rowOff>
    </xdr:from>
    <xdr:to>
      <xdr:col>6</xdr:col>
      <xdr:colOff>228600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6</xdr:col>
      <xdr:colOff>285750</xdr:colOff>
      <xdr:row>1</xdr:row>
      <xdr:rowOff>28575</xdr:rowOff>
    </xdr:from>
    <xdr:to>
      <xdr:col>7</xdr:col>
      <xdr:colOff>285750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7</xdr:col>
      <xdr:colOff>342900</xdr:colOff>
      <xdr:row>1</xdr:row>
      <xdr:rowOff>28575</xdr:rowOff>
    </xdr:from>
    <xdr:to>
      <xdr:col>8</xdr:col>
      <xdr:colOff>381000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1</xdr:col>
      <xdr:colOff>1809750</xdr:colOff>
      <xdr:row>4</xdr:row>
      <xdr:rowOff>276225</xdr:rowOff>
    </xdr:to>
    <xdr:sp macro="" textlink="'91_KPIS'!$C$67">
      <xdr:nvSpPr>
        <xdr:cNvPr id="18" name="TextBox 17" descr="Contador de proveedores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152400" y="714375"/>
          <a:ext cx="1809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Proveedores: 0 de 100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1905000</xdr:colOff>
      <xdr:row>4</xdr:row>
      <xdr:rowOff>28575</xdr:rowOff>
    </xdr:from>
    <xdr:to>
      <xdr:col>3</xdr:col>
      <xdr:colOff>666750</xdr:colOff>
      <xdr:row>4</xdr:row>
      <xdr:rowOff>295275</xdr:rowOff>
    </xdr:to>
    <xdr:sp macro="" textlink="">
      <xdr:nvSpPr>
        <xdr:cNvPr id="19" name="TextBox 18" descr="＋  Registrar nuevo proveedor">
          <a:hlinkClick xmlns:r="http://schemas.openxmlformats.org/officeDocument/2006/relationships" r:id="rId9" tooltip="Ir a la siguiente fila libre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057400" y="695325"/>
          <a:ext cx="2286000" cy="26670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＋  Registrar nuevo proveedor</a:t>
          </a:r>
        </a:p>
      </xdr:txBody>
    </xdr:sp>
    <xdr:clientData/>
  </xdr:twoCellAnchor>
  <xdr:twoCellAnchor editAs="oneCell">
    <xdr:from>
      <xdr:col>3</xdr:col>
      <xdr:colOff>819150</xdr:colOff>
      <xdr:row>4</xdr:row>
      <xdr:rowOff>47625</xdr:rowOff>
    </xdr:from>
    <xdr:to>
      <xdr:col>4</xdr:col>
      <xdr:colOff>628650</xdr:colOff>
      <xdr:row>4</xdr:row>
      <xdr:rowOff>276225</xdr:rowOff>
    </xdr:to>
    <xdr:sp macro="" textlink="">
      <xdr:nvSpPr>
        <xdr:cNvPr id="20" name="TextBox 19" descr="Leyenda: celda de ingreso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495800" y="714375"/>
          <a:ext cx="1428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8FB3D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✎  Usted diligencia</a:t>
          </a:r>
        </a:p>
      </xdr:txBody>
    </xdr:sp>
    <xdr:clientData/>
  </xdr:twoCellAnchor>
  <xdr:twoCellAnchor editAs="oneCell">
    <xdr:from>
      <xdr:col>4</xdr:col>
      <xdr:colOff>704850</xdr:colOff>
      <xdr:row>4</xdr:row>
      <xdr:rowOff>47625</xdr:rowOff>
    </xdr:from>
    <xdr:to>
      <xdr:col>5</xdr:col>
      <xdr:colOff>1143000</xdr:colOff>
      <xdr:row>4</xdr:row>
      <xdr:rowOff>276225</xdr:rowOff>
    </xdr:to>
    <xdr:sp macro="" textlink="">
      <xdr:nvSpPr>
        <xdr:cNvPr id="21" name="TextBox 20" descr="Leyenda: celda calculada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000750" y="714375"/>
          <a:ext cx="1619250" cy="228600"/>
        </a:xfrm>
        <a:prstGeom prst="roundRect">
          <a:avLst>
            <a:gd name="adj" fmla="val 50000"/>
          </a:avLst>
        </a:prstGeom>
        <a:solidFill>
          <a:srgbClr val="F1F4F8"/>
        </a:solidFill>
        <a:ln w="12700" cmpd="sng">
          <a:solidFill>
            <a:srgbClr val="E2E8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334155"/>
              </a:solidFill>
              <a:latin typeface="Segoe UI"/>
              <a:cs typeface="Segoe UI"/>
            </a:rPr>
            <a:t>ƒx  Cálculo automático</a:t>
          </a:r>
        </a:p>
      </xdr:txBody>
    </xdr:sp>
    <xdr:clientData/>
  </xdr:twoCellAnchor>
  <xdr:twoCellAnchor editAs="oneCell">
    <xdr:from>
      <xdr:col>5</xdr:col>
      <xdr:colOff>1295400</xdr:colOff>
      <xdr:row>4</xdr:row>
      <xdr:rowOff>47625</xdr:rowOff>
    </xdr:from>
    <xdr:to>
      <xdr:col>9</xdr:col>
      <xdr:colOff>1352550</xdr:colOff>
      <xdr:row>4</xdr:row>
      <xdr:rowOff>276225</xdr:rowOff>
    </xdr:to>
    <xdr:sp macro="" textlink="">
      <xdr:nvSpPr>
        <xdr:cNvPr id="22" name="TextBox 21" descr="Nota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7772400" y="714375"/>
          <a:ext cx="5334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Asigne un proveedor a cada producto en 05_PRODUCTOS para agrupar el pedido sugerido.</a:t>
          </a:r>
        </a:p>
      </xdr:txBody>
    </xdr:sp>
    <xdr:clientData/>
  </xdr:twoCellAnchor>
  <xdr:twoCellAnchor editAs="oneCell">
    <xdr:from>
      <xdr:col>2</xdr:col>
      <xdr:colOff>504825</xdr:colOff>
      <xdr:row>1</xdr:row>
      <xdr:rowOff>76200</xdr:rowOff>
    </xdr:from>
    <xdr:to>
      <xdr:col>2</xdr:col>
      <xdr:colOff>657225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1</xdr:row>
      <xdr:rowOff>76200</xdr:rowOff>
    </xdr:from>
    <xdr:to>
      <xdr:col>3</xdr:col>
      <xdr:colOff>466725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76200</xdr:rowOff>
    </xdr:from>
    <xdr:to>
      <xdr:col>3</xdr:col>
      <xdr:colOff>1514475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790575</xdr:colOff>
      <xdr:row>1</xdr:row>
      <xdr:rowOff>76200</xdr:rowOff>
    </xdr:from>
    <xdr:to>
      <xdr:col>4</xdr:col>
      <xdr:colOff>942975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657225</xdr:colOff>
      <xdr:row>1</xdr:row>
      <xdr:rowOff>76200</xdr:rowOff>
    </xdr:from>
    <xdr:to>
      <xdr:col>5</xdr:col>
      <xdr:colOff>809625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1704975</xdr:colOff>
      <xdr:row>1</xdr:row>
      <xdr:rowOff>76200</xdr:rowOff>
    </xdr:from>
    <xdr:to>
      <xdr:col>5</xdr:col>
      <xdr:colOff>1857375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1</xdr:row>
      <xdr:rowOff>76200</xdr:rowOff>
    </xdr:from>
    <xdr:to>
      <xdr:col>6</xdr:col>
      <xdr:colOff>523875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1</xdr:row>
      <xdr:rowOff>76200</xdr:rowOff>
    </xdr:from>
    <xdr:to>
      <xdr:col>7</xdr:col>
      <xdr:colOff>581025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1828800</xdr:colOff>
      <xdr:row>1</xdr:row>
      <xdr:rowOff>28575</xdr:rowOff>
    </xdr:from>
    <xdr:to>
      <xdr:col>3</xdr:col>
      <xdr:colOff>57150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3</xdr:col>
      <xdr:colOff>114300</xdr:colOff>
      <xdr:row>1</xdr:row>
      <xdr:rowOff>28575</xdr:rowOff>
    </xdr:from>
    <xdr:to>
      <xdr:col>3</xdr:col>
      <xdr:colOff>1104900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3</xdr:col>
      <xdr:colOff>1162050</xdr:colOff>
      <xdr:row>1</xdr:row>
      <xdr:rowOff>28575</xdr:rowOff>
    </xdr:from>
    <xdr:to>
      <xdr:col>4</xdr:col>
      <xdr:colOff>552450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4</xdr:col>
      <xdr:colOff>609600</xdr:colOff>
      <xdr:row>1</xdr:row>
      <xdr:rowOff>28575</xdr:rowOff>
    </xdr:from>
    <xdr:to>
      <xdr:col>5</xdr:col>
      <xdr:colOff>800100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5</xdr:col>
      <xdr:colOff>857250</xdr:colOff>
      <xdr:row>1</xdr:row>
      <xdr:rowOff>28575</xdr:rowOff>
    </xdr:from>
    <xdr:to>
      <xdr:col>7</xdr:col>
      <xdr:colOff>19050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7</xdr:col>
      <xdr:colOff>76200</xdr:colOff>
      <xdr:row>1</xdr:row>
      <xdr:rowOff>28575</xdr:rowOff>
    </xdr:from>
    <xdr:to>
      <xdr:col>7</xdr:col>
      <xdr:colOff>1066800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7</xdr:col>
      <xdr:colOff>1123950</xdr:colOff>
      <xdr:row>1</xdr:row>
      <xdr:rowOff>28575</xdr:rowOff>
    </xdr:from>
    <xdr:to>
      <xdr:col>8</xdr:col>
      <xdr:colOff>971550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8</xdr:col>
      <xdr:colOff>1028700</xdr:colOff>
      <xdr:row>1</xdr:row>
      <xdr:rowOff>28575</xdr:rowOff>
    </xdr:from>
    <xdr:to>
      <xdr:col>9</xdr:col>
      <xdr:colOff>19050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2</xdr:col>
      <xdr:colOff>1123950</xdr:colOff>
      <xdr:row>4</xdr:row>
      <xdr:rowOff>276225</xdr:rowOff>
    </xdr:to>
    <xdr:sp macro="" textlink="'91_KPIS'!$C$66">
      <xdr:nvSpPr>
        <xdr:cNvPr id="18" name="TextBox 17" descr="Contador de productos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152400" y="714375"/>
          <a:ext cx="2000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Productos: 0 de 500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2</xdr:col>
      <xdr:colOff>1219200</xdr:colOff>
      <xdr:row>4</xdr:row>
      <xdr:rowOff>28575</xdr:rowOff>
    </xdr:from>
    <xdr:to>
      <xdr:col>3</xdr:col>
      <xdr:colOff>647700</xdr:colOff>
      <xdr:row>4</xdr:row>
      <xdr:rowOff>295275</xdr:rowOff>
    </xdr:to>
    <xdr:sp macro="" textlink="">
      <xdr:nvSpPr>
        <xdr:cNvPr id="19" name="TextBox 18" descr="＋  Registrar nuevo producto">
          <a:hlinkClick xmlns:r="http://schemas.openxmlformats.org/officeDocument/2006/relationships" r:id="rId9" tooltip="Ir a la siguiente fila libre del catálogo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247900" y="695325"/>
          <a:ext cx="2190750" cy="26670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＋  Registrar nuevo producto</a:t>
          </a:r>
        </a:p>
      </xdr:txBody>
    </xdr:sp>
    <xdr:clientData/>
  </xdr:twoCellAnchor>
  <xdr:twoCellAnchor editAs="oneCell">
    <xdr:from>
      <xdr:col>3</xdr:col>
      <xdr:colOff>742950</xdr:colOff>
      <xdr:row>4</xdr:row>
      <xdr:rowOff>28575</xdr:rowOff>
    </xdr:from>
    <xdr:to>
      <xdr:col>4</xdr:col>
      <xdr:colOff>571500</xdr:colOff>
      <xdr:row>4</xdr:row>
      <xdr:rowOff>295275</xdr:rowOff>
    </xdr:to>
    <xdr:sp macro="" textlink="">
      <xdr:nvSpPr>
        <xdr:cNvPr id="20" name="TextBox 19" descr="Proveedores  ➜">
          <a:hlinkClick xmlns:r="http://schemas.openxmlformats.org/officeDocument/2006/relationships" r:id="rId10" tooltip="Administrar proveedores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4533900" y="695325"/>
          <a:ext cx="1428750" cy="266700"/>
        </a:xfrm>
        <a:prstGeom prst="roundRect">
          <a:avLst>
            <a:gd name="adj" fmla="val 22000"/>
          </a:avLst>
        </a:prstGeom>
        <a:solidFill>
          <a:srgbClr val="455A64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Proveedores  ➜</a:t>
          </a:r>
        </a:p>
      </xdr:txBody>
    </xdr:sp>
    <xdr:clientData/>
  </xdr:twoCellAnchor>
  <xdr:twoCellAnchor editAs="oneCell">
    <xdr:from>
      <xdr:col>4</xdr:col>
      <xdr:colOff>723900</xdr:colOff>
      <xdr:row>4</xdr:row>
      <xdr:rowOff>47625</xdr:rowOff>
    </xdr:from>
    <xdr:to>
      <xdr:col>6</xdr:col>
      <xdr:colOff>438150</xdr:colOff>
      <xdr:row>4</xdr:row>
      <xdr:rowOff>276225</xdr:rowOff>
    </xdr:to>
    <xdr:sp macro="" textlink="">
      <xdr:nvSpPr>
        <xdr:cNvPr id="21" name="TextBox 20" descr="Leyenda: celda de ingreso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6115050" y="714375"/>
          <a:ext cx="1428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8FB3D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✎  Usted diligencia</a:t>
          </a:r>
        </a:p>
      </xdr:txBody>
    </xdr:sp>
    <xdr:clientData/>
  </xdr:twoCellAnchor>
  <xdr:twoCellAnchor editAs="oneCell">
    <xdr:from>
      <xdr:col>6</xdr:col>
      <xdr:colOff>514350</xdr:colOff>
      <xdr:row>4</xdr:row>
      <xdr:rowOff>47625</xdr:rowOff>
    </xdr:from>
    <xdr:to>
      <xdr:col>8</xdr:col>
      <xdr:colOff>76200</xdr:colOff>
      <xdr:row>4</xdr:row>
      <xdr:rowOff>276225</xdr:rowOff>
    </xdr:to>
    <xdr:sp macro="" textlink="">
      <xdr:nvSpPr>
        <xdr:cNvPr id="22" name="TextBox 21" descr="Leyenda: celda calculada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7620000" y="714375"/>
          <a:ext cx="1619250" cy="228600"/>
        </a:xfrm>
        <a:prstGeom prst="roundRect">
          <a:avLst>
            <a:gd name="adj" fmla="val 50000"/>
          </a:avLst>
        </a:prstGeom>
        <a:solidFill>
          <a:srgbClr val="F1F4F8"/>
        </a:solidFill>
        <a:ln w="12700" cmpd="sng">
          <a:solidFill>
            <a:srgbClr val="E2E8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334155"/>
              </a:solidFill>
              <a:latin typeface="Segoe UI"/>
              <a:cs typeface="Segoe UI"/>
            </a:rPr>
            <a:t>ƒx  Cálculo automático</a:t>
          </a:r>
        </a:p>
      </xdr:txBody>
    </xdr:sp>
    <xdr:clientData/>
  </xdr:twoCellAnchor>
  <xdr:twoCellAnchor editAs="oneCell">
    <xdr:from>
      <xdr:col>8</xdr:col>
      <xdr:colOff>228600</xdr:colOff>
      <xdr:row>4</xdr:row>
      <xdr:rowOff>47625</xdr:rowOff>
    </xdr:from>
    <xdr:to>
      <xdr:col>11</xdr:col>
      <xdr:colOff>2019300</xdr:colOff>
      <xdr:row>4</xdr:row>
      <xdr:rowOff>276225</xdr:rowOff>
    </xdr:to>
    <xdr:sp macro="" textlink="">
      <xdr:nvSpPr>
        <xdr:cNvPr id="23" name="TextBox 22" descr="Nota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391650" y="714375"/>
          <a:ext cx="5334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Para descontinuar escriba NO en Activo. Nunca borre filas ni cambie un SKU con movimientos.</a:t>
          </a:r>
        </a:p>
      </xdr:txBody>
    </xdr:sp>
    <xdr:clientData/>
  </xdr:twoCellAnchor>
  <xdr:twoCellAnchor editAs="oneCell">
    <xdr:from>
      <xdr:col>2</xdr:col>
      <xdr:colOff>1914525</xdr:colOff>
      <xdr:row>1</xdr:row>
      <xdr:rowOff>76200</xdr:rowOff>
    </xdr:from>
    <xdr:to>
      <xdr:col>2</xdr:col>
      <xdr:colOff>2066925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</xdr:row>
      <xdr:rowOff>76200</xdr:rowOff>
    </xdr:from>
    <xdr:to>
      <xdr:col>3</xdr:col>
      <xdr:colOff>352425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1247775</xdr:colOff>
      <xdr:row>1</xdr:row>
      <xdr:rowOff>76200</xdr:rowOff>
    </xdr:from>
    <xdr:to>
      <xdr:col>3</xdr:col>
      <xdr:colOff>1400175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695325</xdr:colOff>
      <xdr:row>1</xdr:row>
      <xdr:rowOff>76200</xdr:rowOff>
    </xdr:from>
    <xdr:to>
      <xdr:col>5</xdr:col>
      <xdr:colOff>47625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</xdr:row>
      <xdr:rowOff>76200</xdr:rowOff>
    </xdr:from>
    <xdr:to>
      <xdr:col>6</xdr:col>
      <xdr:colOff>180975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1</xdr:row>
      <xdr:rowOff>76200</xdr:rowOff>
    </xdr:from>
    <xdr:to>
      <xdr:col>7</xdr:col>
      <xdr:colOff>314325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</xdr:row>
      <xdr:rowOff>76200</xdr:rowOff>
    </xdr:from>
    <xdr:to>
      <xdr:col>8</xdr:col>
      <xdr:colOff>219075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1114425</xdr:colOff>
      <xdr:row>1</xdr:row>
      <xdr:rowOff>76200</xdr:rowOff>
    </xdr:from>
    <xdr:to>
      <xdr:col>8</xdr:col>
      <xdr:colOff>1266825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</xdr:row>
      <xdr:rowOff>28575</xdr:rowOff>
    </xdr:from>
    <xdr:to>
      <xdr:col>4</xdr:col>
      <xdr:colOff>1219200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4</xdr:col>
      <xdr:colOff>1276350</xdr:colOff>
      <xdr:row>1</xdr:row>
      <xdr:rowOff>28575</xdr:rowOff>
    </xdr:from>
    <xdr:to>
      <xdr:col>5</xdr:col>
      <xdr:colOff>628650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5</xdr:col>
      <xdr:colOff>685800</xdr:colOff>
      <xdr:row>1</xdr:row>
      <xdr:rowOff>28575</xdr:rowOff>
    </xdr:from>
    <xdr:to>
      <xdr:col>5</xdr:col>
      <xdr:colOff>1676400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5</xdr:col>
      <xdr:colOff>1733550</xdr:colOff>
      <xdr:row>1</xdr:row>
      <xdr:rowOff>28575</xdr:rowOff>
    </xdr:from>
    <xdr:to>
      <xdr:col>6</xdr:col>
      <xdr:colOff>57150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6</xdr:col>
      <xdr:colOff>114300</xdr:colOff>
      <xdr:row>1</xdr:row>
      <xdr:rowOff>28575</xdr:rowOff>
    </xdr:from>
    <xdr:to>
      <xdr:col>7</xdr:col>
      <xdr:colOff>342900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7</xdr:col>
      <xdr:colOff>400050</xdr:colOff>
      <xdr:row>1</xdr:row>
      <xdr:rowOff>28575</xdr:rowOff>
    </xdr:from>
    <xdr:to>
      <xdr:col>8</xdr:col>
      <xdr:colOff>647700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8</xdr:col>
      <xdr:colOff>704850</xdr:colOff>
      <xdr:row>1</xdr:row>
      <xdr:rowOff>28575</xdr:rowOff>
    </xdr:from>
    <xdr:to>
      <xdr:col>9</xdr:col>
      <xdr:colOff>876300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9</xdr:col>
      <xdr:colOff>933450</xdr:colOff>
      <xdr:row>1</xdr:row>
      <xdr:rowOff>28575</xdr:rowOff>
    </xdr:from>
    <xdr:to>
      <xdr:col>10</xdr:col>
      <xdr:colOff>933450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3</xdr:col>
      <xdr:colOff>933450</xdr:colOff>
      <xdr:row>4</xdr:row>
      <xdr:rowOff>276225</xdr:rowOff>
    </xdr:to>
    <xdr:sp macro="" textlink="'91_KPIS'!$C$65">
      <xdr:nvSpPr>
        <xdr:cNvPr id="18" name="TextBox 17" descr="Contador de registros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152400" y="714375"/>
          <a:ext cx="22860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Registros: 0 de 5.000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1028700</xdr:colOff>
      <xdr:row>4</xdr:row>
      <xdr:rowOff>28575</xdr:rowOff>
    </xdr:from>
    <xdr:to>
      <xdr:col>5</xdr:col>
      <xdr:colOff>647700</xdr:colOff>
      <xdr:row>4</xdr:row>
      <xdr:rowOff>295275</xdr:rowOff>
    </xdr:to>
    <xdr:sp macro="" textlink="">
      <xdr:nvSpPr>
        <xdr:cNvPr id="19" name="TextBox 18" descr="＋  Registrar nuevo movimiento">
          <a:hlinkClick xmlns:r="http://schemas.openxmlformats.org/officeDocument/2006/relationships" r:id="rId2" tooltip="Ir a la siguiente fila libre de la bitácora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533650" y="695325"/>
          <a:ext cx="2381250" cy="26670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＋  Registrar nuevo movimiento</a:t>
          </a:r>
        </a:p>
      </xdr:txBody>
    </xdr:sp>
    <xdr:clientData/>
  </xdr:twoCellAnchor>
  <xdr:twoCellAnchor editAs="oneCell">
    <xdr:from>
      <xdr:col>5</xdr:col>
      <xdr:colOff>800100</xdr:colOff>
      <xdr:row>4</xdr:row>
      <xdr:rowOff>47625</xdr:rowOff>
    </xdr:from>
    <xdr:to>
      <xdr:col>5</xdr:col>
      <xdr:colOff>2228850</xdr:colOff>
      <xdr:row>4</xdr:row>
      <xdr:rowOff>276225</xdr:rowOff>
    </xdr:to>
    <xdr:sp macro="" textlink="">
      <xdr:nvSpPr>
        <xdr:cNvPr id="20" name="TextBox 19" descr="Leyenda: celda de ingreso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5067300" y="714375"/>
          <a:ext cx="1428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8FB3D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✎  Usted diligencia</a:t>
          </a:r>
        </a:p>
      </xdr:txBody>
    </xdr:sp>
    <xdr:clientData/>
  </xdr:twoCellAnchor>
  <xdr:twoCellAnchor editAs="oneCell">
    <xdr:from>
      <xdr:col>5</xdr:col>
      <xdr:colOff>2305050</xdr:colOff>
      <xdr:row>4</xdr:row>
      <xdr:rowOff>47625</xdr:rowOff>
    </xdr:from>
    <xdr:to>
      <xdr:col>7</xdr:col>
      <xdr:colOff>495300</xdr:colOff>
      <xdr:row>4</xdr:row>
      <xdr:rowOff>276225</xdr:rowOff>
    </xdr:to>
    <xdr:sp macro="" textlink="">
      <xdr:nvSpPr>
        <xdr:cNvPr id="21" name="TextBox 20" descr="Leyenda: celda calculada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6572250" y="714375"/>
          <a:ext cx="1619250" cy="228600"/>
        </a:xfrm>
        <a:prstGeom prst="roundRect">
          <a:avLst>
            <a:gd name="adj" fmla="val 50000"/>
          </a:avLst>
        </a:prstGeom>
        <a:solidFill>
          <a:srgbClr val="F1F4F8"/>
        </a:solidFill>
        <a:ln w="12700" cmpd="sng">
          <a:solidFill>
            <a:srgbClr val="E2E8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334155"/>
              </a:solidFill>
              <a:latin typeface="Segoe UI"/>
              <a:cs typeface="Segoe UI"/>
            </a:rPr>
            <a:t>ƒx  Cálculo automático</a:t>
          </a:r>
        </a:p>
      </xdr:txBody>
    </xdr:sp>
    <xdr:clientData/>
  </xdr:twoCellAnchor>
  <xdr:twoCellAnchor editAs="oneCell">
    <xdr:from>
      <xdr:col>7</xdr:col>
      <xdr:colOff>647700</xdr:colOff>
      <xdr:row>4</xdr:row>
      <xdr:rowOff>47625</xdr:rowOff>
    </xdr:from>
    <xdr:to>
      <xdr:col>13</xdr:col>
      <xdr:colOff>876300</xdr:colOff>
      <xdr:row>4</xdr:row>
      <xdr:rowOff>276225</xdr:rowOff>
    </xdr:to>
    <xdr:sp macro="" textlink="">
      <xdr:nvSpPr>
        <xdr:cNvPr id="22" name="TextBox 21" descr="Nota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8343900" y="714375"/>
          <a:ext cx="62865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Registro inmutable: nunca borre filas. Los errores se corrigen con un AJUSTE y su observación.</a:t>
          </a:r>
        </a:p>
      </xdr:txBody>
    </xdr:sp>
    <xdr:clientData/>
  </xdr:twoCellAnchor>
  <xdr:twoCellAnchor editAs="oneCell">
    <xdr:from>
      <xdr:col>4</xdr:col>
      <xdr:colOff>314325</xdr:colOff>
      <xdr:row>1</xdr:row>
      <xdr:rowOff>76200</xdr:rowOff>
    </xdr:from>
    <xdr:to>
      <xdr:col>4</xdr:col>
      <xdr:colOff>466725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1362075</xdr:colOff>
      <xdr:row>1</xdr:row>
      <xdr:rowOff>76200</xdr:rowOff>
    </xdr:from>
    <xdr:to>
      <xdr:col>4</xdr:col>
      <xdr:colOff>1514475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771525</xdr:colOff>
      <xdr:row>1</xdr:row>
      <xdr:rowOff>76200</xdr:rowOff>
    </xdr:from>
    <xdr:to>
      <xdr:col>5</xdr:col>
      <xdr:colOff>923925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1819275</xdr:colOff>
      <xdr:row>1</xdr:row>
      <xdr:rowOff>76200</xdr:rowOff>
    </xdr:from>
    <xdr:to>
      <xdr:col>5</xdr:col>
      <xdr:colOff>1971675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1</xdr:row>
      <xdr:rowOff>76200</xdr:rowOff>
    </xdr:from>
    <xdr:to>
      <xdr:col>6</xdr:col>
      <xdr:colOff>352425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1</xdr:row>
      <xdr:rowOff>76200</xdr:rowOff>
    </xdr:from>
    <xdr:to>
      <xdr:col>7</xdr:col>
      <xdr:colOff>638175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790575</xdr:colOff>
      <xdr:row>1</xdr:row>
      <xdr:rowOff>76200</xdr:rowOff>
    </xdr:from>
    <xdr:to>
      <xdr:col>9</xdr:col>
      <xdr:colOff>123825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1</xdr:row>
      <xdr:rowOff>76200</xdr:rowOff>
    </xdr:from>
    <xdr:to>
      <xdr:col>10</xdr:col>
      <xdr:colOff>180975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1962150</xdr:colOff>
      <xdr:row>1</xdr:row>
      <xdr:rowOff>28575</xdr:rowOff>
    </xdr:from>
    <xdr:to>
      <xdr:col>3</xdr:col>
      <xdr:colOff>381000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29146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3</xdr:col>
      <xdr:colOff>438150</xdr:colOff>
      <xdr:row>1</xdr:row>
      <xdr:rowOff>28575</xdr:rowOff>
    </xdr:from>
    <xdr:to>
      <xdr:col>3</xdr:col>
      <xdr:colOff>1428750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39624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3</xdr:col>
      <xdr:colOff>1485900</xdr:colOff>
      <xdr:row>1</xdr:row>
      <xdr:rowOff>28575</xdr:rowOff>
    </xdr:from>
    <xdr:to>
      <xdr:col>5</xdr:col>
      <xdr:colOff>38100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0101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5</xdr:col>
      <xdr:colOff>95250</xdr:colOff>
      <xdr:row>1</xdr:row>
      <xdr:rowOff>28575</xdr:rowOff>
    </xdr:from>
    <xdr:to>
      <xdr:col>6</xdr:col>
      <xdr:colOff>381000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60579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6</xdr:col>
      <xdr:colOff>438150</xdr:colOff>
      <xdr:row>1</xdr:row>
      <xdr:rowOff>28575</xdr:rowOff>
    </xdr:from>
    <xdr:to>
      <xdr:col>7</xdr:col>
      <xdr:colOff>819150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71056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7</xdr:col>
      <xdr:colOff>876300</xdr:colOff>
      <xdr:row>1</xdr:row>
      <xdr:rowOff>28575</xdr:rowOff>
    </xdr:from>
    <xdr:to>
      <xdr:col>8</xdr:col>
      <xdr:colOff>704850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81534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8</xdr:col>
      <xdr:colOff>762000</xdr:colOff>
      <xdr:row>1</xdr:row>
      <xdr:rowOff>28575</xdr:rowOff>
    </xdr:from>
    <xdr:to>
      <xdr:col>9</xdr:col>
      <xdr:colOff>762000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92011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9</xdr:col>
      <xdr:colOff>819150</xdr:colOff>
      <xdr:row>1</xdr:row>
      <xdr:rowOff>28575</xdr:rowOff>
    </xdr:from>
    <xdr:to>
      <xdr:col>10</xdr:col>
      <xdr:colOff>819150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102489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2</xdr:col>
      <xdr:colOff>819150</xdr:colOff>
      <xdr:row>4</xdr:row>
      <xdr:rowOff>276225</xdr:rowOff>
    </xdr:to>
    <xdr:sp macro="" textlink="'91_KPIS'!$C$78">
      <xdr:nvSpPr>
        <xdr:cNvPr id="18" name="TextBox 17" descr="Productos contados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152400" y="714375"/>
          <a:ext cx="1619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Contados: 0 de 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2</xdr:col>
      <xdr:colOff>895350</xdr:colOff>
      <xdr:row>4</xdr:row>
      <xdr:rowOff>47625</xdr:rowOff>
    </xdr:from>
    <xdr:to>
      <xdr:col>2</xdr:col>
      <xdr:colOff>2514600</xdr:colOff>
      <xdr:row>4</xdr:row>
      <xdr:rowOff>276225</xdr:rowOff>
    </xdr:to>
    <xdr:sp macro="" textlink="'91_KPIS'!$C$79">
      <xdr:nvSpPr>
        <xdr:cNvPr id="19" name="TextBox 18" descr="Productos con diferencia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1847850" y="714375"/>
          <a:ext cx="1619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Con diferencia: 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19050</xdr:colOff>
      <xdr:row>4</xdr:row>
      <xdr:rowOff>47625</xdr:rowOff>
    </xdr:from>
    <xdr:to>
      <xdr:col>4</xdr:col>
      <xdr:colOff>495300</xdr:colOff>
      <xdr:row>4</xdr:row>
      <xdr:rowOff>276225</xdr:rowOff>
    </xdr:to>
    <xdr:sp macro="" textlink="'91_KPIS'!$C$80">
      <xdr:nvSpPr>
        <xdr:cNvPr id="20" name="TextBox 19" descr="Valor neto de las diferencias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3543300" y="714375"/>
          <a:ext cx="2000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0D47A1"/>
              </a:solidFill>
              <a:latin typeface="Segoe UI"/>
              <a:cs typeface="Segoe UI"/>
            </a:rPr>
            <a:pPr/>
            <a:t>Valor neto: $ 0</a:t>
          </a:fld>
          <a:endParaRPr lang="en-US" sz="900" b="1">
            <a:solidFill>
              <a:srgbClr val="0D47A1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609600</xdr:colOff>
      <xdr:row>4</xdr:row>
      <xdr:rowOff>47625</xdr:rowOff>
    </xdr:from>
    <xdr:to>
      <xdr:col>8</xdr:col>
      <xdr:colOff>742950</xdr:colOff>
      <xdr:row>4</xdr:row>
      <xdr:rowOff>276225</xdr:rowOff>
    </xdr:to>
    <xdr:sp macro="" textlink="">
      <xdr:nvSpPr>
        <xdr:cNvPr id="21" name="TextBox 20" descr="Nota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5657850" y="714375"/>
          <a:ext cx="3524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Registre en la Bitácora el AjusteSugerido de cada fila y luego borre los conteos.</a:t>
          </a:r>
        </a:p>
      </xdr:txBody>
    </xdr:sp>
    <xdr:clientData/>
  </xdr:twoCellAnchor>
  <xdr:twoCellAnchor editAs="oneCell">
    <xdr:from>
      <xdr:col>2</xdr:col>
      <xdr:colOff>2047875</xdr:colOff>
      <xdr:row>1</xdr:row>
      <xdr:rowOff>76200</xdr:rowOff>
    </xdr:from>
    <xdr:to>
      <xdr:col>2</xdr:col>
      <xdr:colOff>2200275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03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523875</xdr:colOff>
      <xdr:row>1</xdr:row>
      <xdr:rowOff>76200</xdr:rowOff>
    </xdr:from>
    <xdr:to>
      <xdr:col>3</xdr:col>
      <xdr:colOff>676275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481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</xdr:row>
      <xdr:rowOff>76200</xdr:rowOff>
    </xdr:from>
    <xdr:to>
      <xdr:col>4</xdr:col>
      <xdr:colOff>200025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958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1</xdr:row>
      <xdr:rowOff>76200</xdr:rowOff>
    </xdr:from>
    <xdr:to>
      <xdr:col>5</xdr:col>
      <xdr:colOff>333375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436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1</xdr:row>
      <xdr:rowOff>76200</xdr:rowOff>
    </xdr:from>
    <xdr:to>
      <xdr:col>7</xdr:col>
      <xdr:colOff>66675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913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962025</xdr:colOff>
      <xdr:row>1</xdr:row>
      <xdr:rowOff>76200</xdr:rowOff>
    </xdr:from>
    <xdr:to>
      <xdr:col>7</xdr:col>
      <xdr:colOff>1114425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391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847725</xdr:colOff>
      <xdr:row>1</xdr:row>
      <xdr:rowOff>76200</xdr:rowOff>
    </xdr:from>
    <xdr:to>
      <xdr:col>9</xdr:col>
      <xdr:colOff>9525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868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904875</xdr:colOff>
      <xdr:row>1</xdr:row>
      <xdr:rowOff>76200</xdr:rowOff>
    </xdr:from>
    <xdr:to>
      <xdr:col>10</xdr:col>
      <xdr:colOff>66675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33462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1905000</xdr:colOff>
      <xdr:row>1</xdr:row>
      <xdr:rowOff>28575</xdr:rowOff>
    </xdr:from>
    <xdr:to>
      <xdr:col>3</xdr:col>
      <xdr:colOff>323850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3</xdr:col>
      <xdr:colOff>381000</xdr:colOff>
      <xdr:row>1</xdr:row>
      <xdr:rowOff>28575</xdr:rowOff>
    </xdr:from>
    <xdr:to>
      <xdr:col>3</xdr:col>
      <xdr:colOff>1371600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3</xdr:col>
      <xdr:colOff>1428750</xdr:colOff>
      <xdr:row>1</xdr:row>
      <xdr:rowOff>28575</xdr:rowOff>
    </xdr:from>
    <xdr:to>
      <xdr:col>4</xdr:col>
      <xdr:colOff>819150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4</xdr:col>
      <xdr:colOff>876300</xdr:colOff>
      <xdr:row>1</xdr:row>
      <xdr:rowOff>28575</xdr:rowOff>
    </xdr:from>
    <xdr:to>
      <xdr:col>4</xdr:col>
      <xdr:colOff>1866900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5</xdr:col>
      <xdr:colOff>19050</xdr:colOff>
      <xdr:row>1</xdr:row>
      <xdr:rowOff>28575</xdr:rowOff>
    </xdr:from>
    <xdr:to>
      <xdr:col>6</xdr:col>
      <xdr:colOff>266700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6</xdr:col>
      <xdr:colOff>323850</xdr:colOff>
      <xdr:row>1</xdr:row>
      <xdr:rowOff>28575</xdr:rowOff>
    </xdr:from>
    <xdr:to>
      <xdr:col>7</xdr:col>
      <xdr:colOff>609600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7</xdr:col>
      <xdr:colOff>666750</xdr:colOff>
      <xdr:row>1</xdr:row>
      <xdr:rowOff>28575</xdr:rowOff>
    </xdr:from>
    <xdr:to>
      <xdr:col>8</xdr:col>
      <xdr:colOff>819150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9</xdr:col>
      <xdr:colOff>38100</xdr:colOff>
      <xdr:row>1</xdr:row>
      <xdr:rowOff>28575</xdr:rowOff>
    </xdr:from>
    <xdr:to>
      <xdr:col>9</xdr:col>
      <xdr:colOff>1028700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2</xdr:col>
      <xdr:colOff>1104900</xdr:colOff>
      <xdr:row>4</xdr:row>
      <xdr:rowOff>276225</xdr:rowOff>
    </xdr:to>
    <xdr:sp macro="" textlink="'91_KPIS'!$C$66">
      <xdr:nvSpPr>
        <xdr:cNvPr id="18" name="TextBox 17" descr="Contador de productos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52400" y="714375"/>
          <a:ext cx="19050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Productos: 0 de 500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2</xdr:col>
      <xdr:colOff>1200150</xdr:colOff>
      <xdr:row>4</xdr:row>
      <xdr:rowOff>47625</xdr:rowOff>
    </xdr:from>
    <xdr:to>
      <xdr:col>3</xdr:col>
      <xdr:colOff>1390650</xdr:colOff>
      <xdr:row>4</xdr:row>
      <xdr:rowOff>276225</xdr:rowOff>
    </xdr:to>
    <xdr:sp macro="" textlink="'91_KPIS'!$C$68">
      <xdr:nvSpPr>
        <xdr:cNvPr id="19" name="TextBox 18" descr="Valor del inventari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2152650" y="714375"/>
          <a:ext cx="2762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0D47A1"/>
              </a:solidFill>
              <a:latin typeface="Segoe UI"/>
              <a:cs typeface="Segoe UI"/>
            </a:rPr>
            <a:pPr/>
            <a:t>Valor del inventario: $ 0</a:t>
          </a:fld>
          <a:endParaRPr lang="en-US" sz="900" b="1">
            <a:solidFill>
              <a:srgbClr val="0D47A1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1543050</xdr:colOff>
      <xdr:row>4</xdr:row>
      <xdr:rowOff>66675</xdr:rowOff>
    </xdr:from>
    <xdr:to>
      <xdr:col>4</xdr:col>
      <xdr:colOff>1209675</xdr:colOff>
      <xdr:row>4</xdr:row>
      <xdr:rowOff>257175</xdr:rowOff>
    </xdr:to>
    <xdr:sp macro="" textlink="">
      <xdr:nvSpPr>
        <xdr:cNvPr id="20" name="TextBox 19" descr="Leyenda semáforo: INCONSISTENTE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5067300" y="733425"/>
          <a:ext cx="1266825" cy="190500"/>
        </a:xfrm>
        <a:prstGeom prst="roundRect">
          <a:avLst>
            <a:gd name="adj" fmla="val 50000"/>
          </a:avLst>
        </a:prstGeom>
        <a:solidFill>
          <a:srgbClr val="F3E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6A1B9A"/>
              </a:solidFill>
              <a:latin typeface="Segoe UI"/>
              <a:cs typeface="Segoe UI"/>
            </a:rPr>
            <a:t>INCONSISTENTE</a:t>
          </a:r>
        </a:p>
      </xdr:txBody>
    </xdr:sp>
    <xdr:clientData/>
  </xdr:twoCellAnchor>
  <xdr:twoCellAnchor editAs="oneCell">
    <xdr:from>
      <xdr:col>4</xdr:col>
      <xdr:colOff>1266825</xdr:colOff>
      <xdr:row>4</xdr:row>
      <xdr:rowOff>66675</xdr:rowOff>
    </xdr:from>
    <xdr:to>
      <xdr:col>5</xdr:col>
      <xdr:colOff>200025</xdr:colOff>
      <xdr:row>4</xdr:row>
      <xdr:rowOff>257175</xdr:rowOff>
    </xdr:to>
    <xdr:sp macro="" textlink="">
      <xdr:nvSpPr>
        <xdr:cNvPr id="21" name="TextBox 20" descr="Leyenda semáforo: AGOTADO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6391275" y="733425"/>
          <a:ext cx="838200" cy="190500"/>
        </a:xfrm>
        <a:prstGeom prst="roundRect">
          <a:avLst>
            <a:gd name="adj" fmla="val 50000"/>
          </a:avLst>
        </a:prstGeom>
        <a:solidFill>
          <a:srgbClr val="B7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FFFFFF"/>
              </a:solidFill>
              <a:latin typeface="Segoe UI"/>
              <a:cs typeface="Segoe UI"/>
            </a:rPr>
            <a:t>AGOTADO</a:t>
          </a:r>
        </a:p>
      </xdr:txBody>
    </xdr:sp>
    <xdr:clientData/>
  </xdr:twoCellAnchor>
  <xdr:twoCellAnchor editAs="oneCell">
    <xdr:from>
      <xdr:col>5</xdr:col>
      <xdr:colOff>257175</xdr:colOff>
      <xdr:row>4</xdr:row>
      <xdr:rowOff>66675</xdr:rowOff>
    </xdr:from>
    <xdr:to>
      <xdr:col>6</xdr:col>
      <xdr:colOff>352425</xdr:colOff>
      <xdr:row>4</xdr:row>
      <xdr:rowOff>257175</xdr:rowOff>
    </xdr:to>
    <xdr:sp macro="" textlink="">
      <xdr:nvSpPr>
        <xdr:cNvPr id="22" name="TextBox 21" descr="Leyenda semáforo: CRÍTICO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7286625" y="733425"/>
          <a:ext cx="838200" cy="190500"/>
        </a:xfrm>
        <a:prstGeom prst="roundRect">
          <a:avLst>
            <a:gd name="adj" fmla="val 50000"/>
          </a:avLst>
        </a:prstGeom>
        <a:solidFill>
          <a:srgbClr val="FDEC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C62828"/>
              </a:solidFill>
              <a:latin typeface="Segoe UI"/>
              <a:cs typeface="Segoe UI"/>
            </a:rPr>
            <a:t>CRÍTICO</a:t>
          </a:r>
        </a:p>
      </xdr:txBody>
    </xdr:sp>
    <xdr:clientData/>
  </xdr:twoCellAnchor>
  <xdr:twoCellAnchor editAs="oneCell">
    <xdr:from>
      <xdr:col>6</xdr:col>
      <xdr:colOff>409575</xdr:colOff>
      <xdr:row>4</xdr:row>
      <xdr:rowOff>66675</xdr:rowOff>
    </xdr:from>
    <xdr:to>
      <xdr:col>7</xdr:col>
      <xdr:colOff>333375</xdr:colOff>
      <xdr:row>4</xdr:row>
      <xdr:rowOff>257175</xdr:rowOff>
    </xdr:to>
    <xdr:sp macro="" textlink="">
      <xdr:nvSpPr>
        <xdr:cNvPr id="23" name="TextBox 22" descr="Leyenda semáforo: BAJO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8181975" y="733425"/>
          <a:ext cx="628650" cy="190500"/>
        </a:xfrm>
        <a:prstGeom prst="roundRect">
          <a:avLst>
            <a:gd name="adj" fmla="val 50000"/>
          </a:avLst>
        </a:prstGeom>
        <a:solidFill>
          <a:srgbClr val="FEF3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B45309"/>
              </a:solidFill>
              <a:latin typeface="Segoe UI"/>
              <a:cs typeface="Segoe UI"/>
            </a:rPr>
            <a:t>BAJO</a:t>
          </a:r>
        </a:p>
      </xdr:txBody>
    </xdr:sp>
    <xdr:clientData/>
  </xdr:twoCellAnchor>
  <xdr:twoCellAnchor editAs="oneCell">
    <xdr:from>
      <xdr:col>7</xdr:col>
      <xdr:colOff>390525</xdr:colOff>
      <xdr:row>4</xdr:row>
      <xdr:rowOff>66675</xdr:rowOff>
    </xdr:from>
    <xdr:to>
      <xdr:col>8</xdr:col>
      <xdr:colOff>323850</xdr:colOff>
      <xdr:row>4</xdr:row>
      <xdr:rowOff>257175</xdr:rowOff>
    </xdr:to>
    <xdr:sp macro="" textlink="">
      <xdr:nvSpPr>
        <xdr:cNvPr id="24" name="TextBox 23" descr="Leyenda semáforo: ÓPTIMO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8867775" y="733425"/>
          <a:ext cx="771525" cy="190500"/>
        </a:xfrm>
        <a:prstGeom prst="roundRect">
          <a:avLst>
            <a:gd name="adj" fmla="val 50000"/>
          </a:avLst>
        </a:prstGeom>
        <a:solidFill>
          <a:srgbClr val="E8F5E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2E7D32"/>
              </a:solidFill>
              <a:latin typeface="Segoe UI"/>
              <a:cs typeface="Segoe UI"/>
            </a:rPr>
            <a:t>ÓPTIMO</a:t>
          </a:r>
        </a:p>
      </xdr:txBody>
    </xdr:sp>
    <xdr:clientData/>
  </xdr:twoCellAnchor>
  <xdr:twoCellAnchor editAs="oneCell">
    <xdr:from>
      <xdr:col>8</xdr:col>
      <xdr:colOff>381000</xdr:colOff>
      <xdr:row>4</xdr:row>
      <xdr:rowOff>66675</xdr:rowOff>
    </xdr:from>
    <xdr:to>
      <xdr:col>9</xdr:col>
      <xdr:colOff>600075</xdr:colOff>
      <xdr:row>4</xdr:row>
      <xdr:rowOff>257175</xdr:rowOff>
    </xdr:to>
    <xdr:sp macro="" textlink="">
      <xdr:nvSpPr>
        <xdr:cNvPr id="25" name="TextBox 24" descr="Leyenda semáforo: SOBRESTOCK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9696450" y="733425"/>
          <a:ext cx="1057275" cy="190500"/>
        </a:xfrm>
        <a:prstGeom prst="roundRect">
          <a:avLst>
            <a:gd name="adj" fmla="val 50000"/>
          </a:avLst>
        </a:prstGeom>
        <a:solidFill>
          <a:srgbClr val="E3F2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1565C0"/>
              </a:solidFill>
              <a:latin typeface="Segoe UI"/>
              <a:cs typeface="Segoe UI"/>
            </a:rPr>
            <a:t>SOBRESTOCK</a:t>
          </a:r>
        </a:p>
      </xdr:txBody>
    </xdr:sp>
    <xdr:clientData/>
  </xdr:twoCellAnchor>
  <xdr:twoCellAnchor editAs="oneCell">
    <xdr:from>
      <xdr:col>9</xdr:col>
      <xdr:colOff>657225</xdr:colOff>
      <xdr:row>4</xdr:row>
      <xdr:rowOff>66675</xdr:rowOff>
    </xdr:from>
    <xdr:to>
      <xdr:col>10</xdr:col>
      <xdr:colOff>504825</xdr:colOff>
      <xdr:row>4</xdr:row>
      <xdr:rowOff>257175</xdr:rowOff>
    </xdr:to>
    <xdr:sp macro="" textlink="">
      <xdr:nvSpPr>
        <xdr:cNvPr id="26" name="TextBox 25" descr="Leyenda semáforo: INACTIVO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0810875" y="733425"/>
          <a:ext cx="914400" cy="190500"/>
        </a:xfrm>
        <a:prstGeom prst="roundRect">
          <a:avLst>
            <a:gd name="adj" fmla="val 50000"/>
          </a:avLst>
        </a:prstGeom>
        <a:solidFill>
          <a:srgbClr val="F3F4F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00" b="1">
              <a:solidFill>
                <a:srgbClr val="555F6D"/>
              </a:solidFill>
              <a:latin typeface="Segoe UI"/>
              <a:cs typeface="Segoe UI"/>
            </a:rPr>
            <a:t>INACTIVO</a:t>
          </a:r>
        </a:p>
      </xdr:txBody>
    </xdr:sp>
    <xdr:clientData/>
  </xdr:twoCellAnchor>
  <xdr:twoCellAnchor editAs="oneCell">
    <xdr:from>
      <xdr:col>2</xdr:col>
      <xdr:colOff>1990725</xdr:colOff>
      <xdr:row>1</xdr:row>
      <xdr:rowOff>76200</xdr:rowOff>
    </xdr:from>
    <xdr:to>
      <xdr:col>2</xdr:col>
      <xdr:colOff>2143125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1</xdr:row>
      <xdr:rowOff>76200</xdr:rowOff>
    </xdr:from>
    <xdr:to>
      <xdr:col>3</xdr:col>
      <xdr:colOff>619125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3</xdr:col>
      <xdr:colOff>1514475</xdr:colOff>
      <xdr:row>1</xdr:row>
      <xdr:rowOff>76200</xdr:rowOff>
    </xdr:from>
    <xdr:to>
      <xdr:col>4</xdr:col>
      <xdr:colOff>66675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962025</xdr:colOff>
      <xdr:row>1</xdr:row>
      <xdr:rowOff>76200</xdr:rowOff>
    </xdr:from>
    <xdr:to>
      <xdr:col>4</xdr:col>
      <xdr:colOff>1114425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</xdr:row>
      <xdr:rowOff>76200</xdr:rowOff>
    </xdr:from>
    <xdr:to>
      <xdr:col>5</xdr:col>
      <xdr:colOff>257175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1</xdr:row>
      <xdr:rowOff>76200</xdr:rowOff>
    </xdr:from>
    <xdr:to>
      <xdr:col>6</xdr:col>
      <xdr:colOff>561975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752475</xdr:colOff>
      <xdr:row>1</xdr:row>
      <xdr:rowOff>76200</xdr:rowOff>
    </xdr:from>
    <xdr:to>
      <xdr:col>8</xdr:col>
      <xdr:colOff>66675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</xdr:row>
      <xdr:rowOff>76200</xdr:rowOff>
    </xdr:from>
    <xdr:to>
      <xdr:col>9</xdr:col>
      <xdr:colOff>276225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1</xdr:row>
      <xdr:rowOff>28575</xdr:rowOff>
    </xdr:from>
    <xdr:to>
      <xdr:col>4</xdr:col>
      <xdr:colOff>1181100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4</xdr:col>
      <xdr:colOff>1238250</xdr:colOff>
      <xdr:row>1</xdr:row>
      <xdr:rowOff>28575</xdr:rowOff>
    </xdr:from>
    <xdr:to>
      <xdr:col>4</xdr:col>
      <xdr:colOff>2228850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4</xdr:col>
      <xdr:colOff>2286000</xdr:colOff>
      <xdr:row>1</xdr:row>
      <xdr:rowOff>28575</xdr:rowOff>
    </xdr:from>
    <xdr:to>
      <xdr:col>5</xdr:col>
      <xdr:colOff>704850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5</xdr:col>
      <xdr:colOff>762000</xdr:colOff>
      <xdr:row>1</xdr:row>
      <xdr:rowOff>28575</xdr:rowOff>
    </xdr:from>
    <xdr:to>
      <xdr:col>6</xdr:col>
      <xdr:colOff>152400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6</xdr:col>
      <xdr:colOff>209550</xdr:colOff>
      <xdr:row>1</xdr:row>
      <xdr:rowOff>28575</xdr:rowOff>
    </xdr:from>
    <xdr:to>
      <xdr:col>6</xdr:col>
      <xdr:colOff>1200150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6</xdr:col>
      <xdr:colOff>1257300</xdr:colOff>
      <xdr:row>1</xdr:row>
      <xdr:rowOff>28575</xdr:rowOff>
    </xdr:from>
    <xdr:to>
      <xdr:col>7</xdr:col>
      <xdr:colOff>342900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7</xdr:col>
      <xdr:colOff>400050</xdr:colOff>
      <xdr:row>1</xdr:row>
      <xdr:rowOff>28575</xdr:rowOff>
    </xdr:from>
    <xdr:to>
      <xdr:col>8</xdr:col>
      <xdr:colOff>571500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8</xdr:col>
      <xdr:colOff>628650</xdr:colOff>
      <xdr:row>1</xdr:row>
      <xdr:rowOff>28575</xdr:rowOff>
    </xdr:from>
    <xdr:to>
      <xdr:col>9</xdr:col>
      <xdr:colOff>742950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3</xdr:col>
      <xdr:colOff>190500</xdr:colOff>
      <xdr:row>4</xdr:row>
      <xdr:rowOff>276225</xdr:rowOff>
    </xdr:to>
    <xdr:sp macro="" textlink="'91_KPIS'!$C$69">
      <xdr:nvSpPr>
        <xdr:cNvPr id="18" name="TextBox 17" descr="Productos en alerta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152400" y="714375"/>
          <a:ext cx="19050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Requieren acción: 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3</xdr:col>
      <xdr:colOff>285750</xdr:colOff>
      <xdr:row>4</xdr:row>
      <xdr:rowOff>47625</xdr:rowOff>
    </xdr:from>
    <xdr:to>
      <xdr:col>4</xdr:col>
      <xdr:colOff>990600</xdr:colOff>
      <xdr:row>4</xdr:row>
      <xdr:rowOff>276225</xdr:rowOff>
    </xdr:to>
    <xdr:sp macro="" textlink="'91_KPIS'!$C$70">
      <xdr:nvSpPr>
        <xdr:cNvPr id="19" name="TextBox 18" descr="Contador AGOTADO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2152650" y="714375"/>
          <a:ext cx="1504950" cy="228600"/>
        </a:xfrm>
        <a:prstGeom prst="roundRect">
          <a:avLst>
            <a:gd name="adj" fmla="val 50000"/>
          </a:avLst>
        </a:prstGeom>
        <a:solidFill>
          <a:srgbClr val="B71C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FFFFFF"/>
              </a:solidFill>
              <a:latin typeface="Segoe UI"/>
              <a:cs typeface="Segoe UI"/>
            </a:rPr>
            <a:pPr/>
            <a:t>● Agotados: 0</a:t>
          </a:fld>
          <a:endParaRPr lang="en-US" sz="850" b="1">
            <a:solidFill>
              <a:srgbClr val="FFFFFF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1047750</xdr:colOff>
      <xdr:row>4</xdr:row>
      <xdr:rowOff>47625</xdr:rowOff>
    </xdr:from>
    <xdr:to>
      <xdr:col>4</xdr:col>
      <xdr:colOff>2552700</xdr:colOff>
      <xdr:row>4</xdr:row>
      <xdr:rowOff>276225</xdr:rowOff>
    </xdr:to>
    <xdr:sp macro="" textlink="'91_KPIS'!$C$71">
      <xdr:nvSpPr>
        <xdr:cNvPr id="20" name="TextBox 19" descr="Contador CRÍTICO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3714750" y="714375"/>
          <a:ext cx="1504950" cy="228600"/>
        </a:xfrm>
        <a:prstGeom prst="roundRect">
          <a:avLst>
            <a:gd name="adj" fmla="val 50000"/>
          </a:avLst>
        </a:prstGeom>
        <a:solidFill>
          <a:srgbClr val="FDECE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C62828"/>
              </a:solidFill>
              <a:latin typeface="Segoe UI"/>
              <a:cs typeface="Segoe UI"/>
            </a:rPr>
            <a:pPr/>
            <a:t>● Críticos: 0</a:t>
          </a:fld>
          <a:endParaRPr lang="en-US" sz="850" b="1">
            <a:solidFill>
              <a:srgbClr val="C62828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5</xdr:col>
      <xdr:colOff>38100</xdr:colOff>
      <xdr:row>4</xdr:row>
      <xdr:rowOff>47625</xdr:rowOff>
    </xdr:from>
    <xdr:to>
      <xdr:col>5</xdr:col>
      <xdr:colOff>1543050</xdr:colOff>
      <xdr:row>4</xdr:row>
      <xdr:rowOff>276225</xdr:rowOff>
    </xdr:to>
    <xdr:sp macro="" textlink="'91_KPIS'!$C$72">
      <xdr:nvSpPr>
        <xdr:cNvPr id="21" name="TextBox 20" descr="Contador BAJO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5276850" y="714375"/>
          <a:ext cx="1504950" cy="228600"/>
        </a:xfrm>
        <a:prstGeom prst="roundRect">
          <a:avLst>
            <a:gd name="adj" fmla="val 50000"/>
          </a:avLst>
        </a:prstGeom>
        <a:solidFill>
          <a:srgbClr val="FEF3C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B45309"/>
              </a:solidFill>
              <a:latin typeface="Segoe UI"/>
              <a:cs typeface="Segoe UI"/>
            </a:rPr>
            <a:pPr/>
            <a:t>● Preventivos: 0</a:t>
          </a:fld>
          <a:endParaRPr lang="en-US" sz="850" b="1">
            <a:solidFill>
              <a:srgbClr val="B45309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6</xdr:col>
      <xdr:colOff>0</xdr:colOff>
      <xdr:row>4</xdr:row>
      <xdr:rowOff>47625</xdr:rowOff>
    </xdr:from>
    <xdr:to>
      <xdr:col>6</xdr:col>
      <xdr:colOff>1504950</xdr:colOff>
      <xdr:row>4</xdr:row>
      <xdr:rowOff>276225</xdr:rowOff>
    </xdr:to>
    <xdr:sp macro="" textlink="'91_KPIS'!$C$73">
      <xdr:nvSpPr>
        <xdr:cNvPr id="22" name="TextBox 21" descr="Contador SOBRESTOCK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6838950" y="714375"/>
          <a:ext cx="1504950" cy="228600"/>
        </a:xfrm>
        <a:prstGeom prst="roundRect">
          <a:avLst>
            <a:gd name="adj" fmla="val 50000"/>
          </a:avLst>
        </a:prstGeom>
        <a:solidFill>
          <a:srgbClr val="E3F2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1565C0"/>
              </a:solidFill>
              <a:latin typeface="Segoe UI"/>
              <a:cs typeface="Segoe UI"/>
            </a:rPr>
            <a:pPr/>
            <a:t>● Sobrestock: 0</a:t>
          </a:fld>
          <a:endParaRPr lang="en-US" sz="850" b="1">
            <a:solidFill>
              <a:srgbClr val="1565C0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6</xdr:col>
      <xdr:colOff>1562100</xdr:colOff>
      <xdr:row>4</xdr:row>
      <xdr:rowOff>47625</xdr:rowOff>
    </xdr:from>
    <xdr:to>
      <xdr:col>8</xdr:col>
      <xdr:colOff>342900</xdr:colOff>
      <xdr:row>4</xdr:row>
      <xdr:rowOff>276225</xdr:rowOff>
    </xdr:to>
    <xdr:sp macro="" textlink="'91_KPIS'!$C$74">
      <xdr:nvSpPr>
        <xdr:cNvPr id="23" name="TextBox 22" descr="Contador INCONSISTENTE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8401050" y="714375"/>
          <a:ext cx="1504950" cy="228600"/>
        </a:xfrm>
        <a:prstGeom prst="roundRect">
          <a:avLst>
            <a:gd name="adj" fmla="val 50000"/>
          </a:avLst>
        </a:prstGeom>
        <a:solidFill>
          <a:srgbClr val="F3E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850" b="1">
              <a:solidFill>
                <a:srgbClr val="6A1B9A"/>
              </a:solidFill>
              <a:latin typeface="Segoe UI"/>
              <a:cs typeface="Segoe UI"/>
            </a:rPr>
            <a:pPr/>
            <a:t>● Inconsistentes: 0</a:t>
          </a:fld>
          <a:endParaRPr lang="en-US" sz="850" b="1">
            <a:solidFill>
              <a:srgbClr val="6A1B9A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276225</xdr:colOff>
      <xdr:row>1</xdr:row>
      <xdr:rowOff>76200</xdr:rowOff>
    </xdr:from>
    <xdr:to>
      <xdr:col>4</xdr:col>
      <xdr:colOff>428625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1323975</xdr:colOff>
      <xdr:row>1</xdr:row>
      <xdr:rowOff>76200</xdr:rowOff>
    </xdr:from>
    <xdr:to>
      <xdr:col>4</xdr:col>
      <xdr:colOff>1476375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2371725</xdr:colOff>
      <xdr:row>1</xdr:row>
      <xdr:rowOff>76200</xdr:rowOff>
    </xdr:from>
    <xdr:to>
      <xdr:col>4</xdr:col>
      <xdr:colOff>2524125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847725</xdr:colOff>
      <xdr:row>1</xdr:row>
      <xdr:rowOff>76200</xdr:rowOff>
    </xdr:from>
    <xdr:to>
      <xdr:col>5</xdr:col>
      <xdr:colOff>1000125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295275</xdr:colOff>
      <xdr:row>1</xdr:row>
      <xdr:rowOff>76200</xdr:rowOff>
    </xdr:from>
    <xdr:to>
      <xdr:col>6</xdr:col>
      <xdr:colOff>447675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1343025</xdr:colOff>
      <xdr:row>1</xdr:row>
      <xdr:rowOff>76200</xdr:rowOff>
    </xdr:from>
    <xdr:to>
      <xdr:col>6</xdr:col>
      <xdr:colOff>1495425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1</xdr:row>
      <xdr:rowOff>76200</xdr:rowOff>
    </xdr:from>
    <xdr:to>
      <xdr:col>7</xdr:col>
      <xdr:colOff>638175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</xdr:row>
      <xdr:rowOff>76200</xdr:rowOff>
    </xdr:from>
    <xdr:to>
      <xdr:col>8</xdr:col>
      <xdr:colOff>866775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10</xdr:row>
      <xdr:rowOff>0</xdr:rowOff>
    </xdr:from>
    <xdr:to>
      <xdr:col>13</xdr:col>
      <xdr:colOff>0</xdr:colOff>
      <xdr:row>18</xdr:row>
      <xdr:rowOff>0</xdr:rowOff>
    </xdr:to>
    <xdr:sp macro="" textlink="">
      <xdr:nvSpPr>
        <xdr:cNvPr id="22" name="TextBox 21" descr="Marco gráfico evolución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5600700" y="1943100"/>
          <a:ext cx="5372100" cy="2286000"/>
        </a:xfrm>
        <a:prstGeom prst="roundRect">
          <a:avLst>
            <a:gd name="adj" fmla="val 40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76200</xdr:colOff>
      <xdr:row>10</xdr:row>
      <xdr:rowOff>57150</xdr:rowOff>
    </xdr:from>
    <xdr:to>
      <xdr:col>12</xdr:col>
      <xdr:colOff>819150</xdr:colOff>
      <xdr:row>17</xdr:row>
      <xdr:rowOff>228600</xdr:rowOff>
    </xdr:to>
    <xdr:graphicFrame macro="">
      <xdr:nvGraphicFramePr>
        <xdr:cNvPr id="10" name="Chart 9" descr="Gráfico de evolución del stock del producto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838200</xdr:colOff>
      <xdr:row>1</xdr:row>
      <xdr:rowOff>28575</xdr:rowOff>
    </xdr:from>
    <xdr:to>
      <xdr:col>5</xdr:col>
      <xdr:colOff>38100</xdr:colOff>
      <xdr:row>1</xdr:row>
      <xdr:rowOff>276225</xdr:rowOff>
    </xdr:to>
    <xdr:sp macro="" textlink="">
      <xdr:nvSpPr>
        <xdr:cNvPr id="11" name="TextBox 10" descr="Navegación: Volver a la portada">
          <a:hlinkClick xmlns:r="http://schemas.openxmlformats.org/officeDocument/2006/relationships" r:id="rId2" tooltip="Volver a la portada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5</xdr:col>
      <xdr:colOff>95250</xdr:colOff>
      <xdr:row>1</xdr:row>
      <xdr:rowOff>28575</xdr:rowOff>
    </xdr:from>
    <xdr:to>
      <xdr:col>6</xdr:col>
      <xdr:colOff>190500</xdr:colOff>
      <xdr:row>1</xdr:row>
      <xdr:rowOff>276225</xdr:rowOff>
    </xdr:to>
    <xdr:sp macro="" textlink="">
      <xdr:nvSpPr>
        <xdr:cNvPr id="12" name="TextBox 11" descr="Navegación: Registrar un movimiento">
          <a:hlinkClick xmlns:r="http://schemas.openxmlformats.org/officeDocument/2006/relationships" r:id="rId3" tooltip="Registrar un movimiento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6</xdr:col>
      <xdr:colOff>247650</xdr:colOff>
      <xdr:row>1</xdr:row>
      <xdr:rowOff>28575</xdr:rowOff>
    </xdr:from>
    <xdr:to>
      <xdr:col>7</xdr:col>
      <xdr:colOff>342900</xdr:colOff>
      <xdr:row>1</xdr:row>
      <xdr:rowOff>276225</xdr:rowOff>
    </xdr:to>
    <xdr:sp macro="" textlink="">
      <xdr:nvSpPr>
        <xdr:cNvPr id="13" name="TextBox 12" descr="Navegación: Ver la bitácora de movimientos">
          <a:hlinkClick xmlns:r="http://schemas.openxmlformats.org/officeDocument/2006/relationships" r:id="rId4" tooltip="Ver la bitácora de movimientos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7</xdr:col>
      <xdr:colOff>400050</xdr:colOff>
      <xdr:row>1</xdr:row>
      <xdr:rowOff>28575</xdr:rowOff>
    </xdr:from>
    <xdr:to>
      <xdr:col>8</xdr:col>
      <xdr:colOff>495300</xdr:colOff>
      <xdr:row>1</xdr:row>
      <xdr:rowOff>276225</xdr:rowOff>
    </xdr:to>
    <xdr:sp macro="" textlink="">
      <xdr:nvSpPr>
        <xdr:cNvPr id="14" name="TextBox 13" descr="Navegación: Ver el stock actual">
          <a:hlinkClick xmlns:r="http://schemas.openxmlformats.org/officeDocument/2006/relationships" r:id="rId5" tooltip="Ver el stock actual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8</xdr:col>
      <xdr:colOff>552450</xdr:colOff>
      <xdr:row>1</xdr:row>
      <xdr:rowOff>28575</xdr:rowOff>
    </xdr:from>
    <xdr:to>
      <xdr:col>9</xdr:col>
      <xdr:colOff>647700</xdr:colOff>
      <xdr:row>1</xdr:row>
      <xdr:rowOff>276225</xdr:rowOff>
    </xdr:to>
    <xdr:sp macro="" textlink="">
      <xdr:nvSpPr>
        <xdr:cNvPr id="15" name="TextBox 14" descr="Navegación: Productos que requieren acción">
          <a:hlinkClick xmlns:r="http://schemas.openxmlformats.org/officeDocument/2006/relationships" r:id="rId6" tooltip="Productos que requieren acción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9</xdr:col>
      <xdr:colOff>704850</xdr:colOff>
      <xdr:row>1</xdr:row>
      <xdr:rowOff>28575</xdr:rowOff>
    </xdr:from>
    <xdr:to>
      <xdr:col>10</xdr:col>
      <xdr:colOff>800100</xdr:colOff>
      <xdr:row>1</xdr:row>
      <xdr:rowOff>276225</xdr:rowOff>
    </xdr:to>
    <xdr:sp macro="" textlink="">
      <xdr:nvSpPr>
        <xdr:cNvPr id="16" name="TextBox 15" descr="Navegación: Consultar un producto (kardex)">
          <a:hlinkClick xmlns:r="http://schemas.openxmlformats.org/officeDocument/2006/relationships" r:id="rId7" tooltip="Consultar un producto (kardex)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10</xdr:col>
      <xdr:colOff>857250</xdr:colOff>
      <xdr:row>1</xdr:row>
      <xdr:rowOff>28575</xdr:rowOff>
    </xdr:from>
    <xdr:to>
      <xdr:col>12</xdr:col>
      <xdr:colOff>57150</xdr:colOff>
      <xdr:row>1</xdr:row>
      <xdr:rowOff>276225</xdr:rowOff>
    </xdr:to>
    <xdr:sp macro="" textlink="">
      <xdr:nvSpPr>
        <xdr:cNvPr id="17" name="TextBox 16" descr="Navegación: Pedido sugerido de compra">
          <a:hlinkClick xmlns:r="http://schemas.openxmlformats.org/officeDocument/2006/relationships" r:id="rId8" tooltip="Pedido sugerido de compra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12</xdr:col>
      <xdr:colOff>114300</xdr:colOff>
      <xdr:row>1</xdr:row>
      <xdr:rowOff>28575</xdr:rowOff>
    </xdr:from>
    <xdr:to>
      <xdr:col>13</xdr:col>
      <xdr:colOff>209550</xdr:colOff>
      <xdr:row>1</xdr:row>
      <xdr:rowOff>276225</xdr:rowOff>
    </xdr:to>
    <xdr:sp macro="" textlink="">
      <xdr:nvSpPr>
        <xdr:cNvPr id="18" name="TextBox 17" descr="Navegación: Guía rápida de uso">
          <a:hlinkClick xmlns:r="http://schemas.openxmlformats.org/officeDocument/2006/relationships" r:id="rId9" tooltip="Guía rápida de uso"/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0</xdr:col>
      <xdr:colOff>152400</xdr:colOff>
      <xdr:row>4</xdr:row>
      <xdr:rowOff>47625</xdr:rowOff>
    </xdr:from>
    <xdr:to>
      <xdr:col>4</xdr:col>
      <xdr:colOff>381000</xdr:colOff>
      <xdr:row>4</xdr:row>
      <xdr:rowOff>276225</xdr:rowOff>
    </xdr:to>
    <xdr:sp macro="" textlink="'91_KPIS'!$C$86">
      <xdr:nvSpPr>
        <xdr:cNvPr id="19" name="TextBox 18" descr="Resumen de la consulta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152400" y="714375"/>
          <a:ext cx="31432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Elija un producto para consultarlo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476250</xdr:colOff>
      <xdr:row>4</xdr:row>
      <xdr:rowOff>28575</xdr:rowOff>
    </xdr:from>
    <xdr:to>
      <xdr:col>6</xdr:col>
      <xdr:colOff>781050</xdr:colOff>
      <xdr:row>4</xdr:row>
      <xdr:rowOff>295275</xdr:rowOff>
    </xdr:to>
    <xdr:sp macro="" textlink="">
      <xdr:nvSpPr>
        <xdr:cNvPr id="20" name="TextBox 19" descr="＋  Registrar movimiento">
          <a:hlinkClick xmlns:r="http://schemas.openxmlformats.org/officeDocument/2006/relationships" r:id="rId3" tooltip="Ir a la siguiente fila libre de la bitácora"/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3390900" y="695325"/>
          <a:ext cx="2095500" cy="26670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＋  Registrar movimiento</a:t>
          </a:r>
        </a:p>
      </xdr:txBody>
    </xdr:sp>
    <xdr:clientData/>
  </xdr:twoCellAnchor>
  <xdr:twoCellAnchor editAs="oneCell">
    <xdr:from>
      <xdr:col>8</xdr:col>
      <xdr:colOff>95250</xdr:colOff>
      <xdr:row>4</xdr:row>
      <xdr:rowOff>47625</xdr:rowOff>
    </xdr:from>
    <xdr:to>
      <xdr:col>13</xdr:col>
      <xdr:colOff>190500</xdr:colOff>
      <xdr:row>4</xdr:row>
      <xdr:rowOff>276225</xdr:rowOff>
    </xdr:to>
    <xdr:sp macro="" textlink="">
      <xdr:nvSpPr>
        <xdr:cNvPr id="21" name="TextBox 20" descr="Nota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6591300" y="714375"/>
          <a:ext cx="4572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Tip: en Buscar escriba parte del nombre o del SKU; en Producto elija con Alt + ↓.</a:t>
          </a:r>
        </a:p>
      </xdr:txBody>
    </xdr:sp>
    <xdr:clientData/>
  </xdr:twoCellAnchor>
  <xdr:twoCellAnchor editAs="oneCell">
    <xdr:from>
      <xdr:col>4</xdr:col>
      <xdr:colOff>28575</xdr:colOff>
      <xdr:row>1</xdr:row>
      <xdr:rowOff>76200</xdr:rowOff>
    </xdr:from>
    <xdr:to>
      <xdr:col>4</xdr:col>
      <xdr:colOff>180975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2" tooltip="Volver a la portada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1</xdr:row>
      <xdr:rowOff>76200</xdr:rowOff>
    </xdr:from>
    <xdr:to>
      <xdr:col>5</xdr:col>
      <xdr:colOff>333375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3" tooltip="Registrar un movimiento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</xdr:row>
      <xdr:rowOff>76200</xdr:rowOff>
    </xdr:from>
    <xdr:to>
      <xdr:col>6</xdr:col>
      <xdr:colOff>485775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4" tooltip="Ver la bitácora de movimientos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1</xdr:row>
      <xdr:rowOff>76200</xdr:rowOff>
    </xdr:from>
    <xdr:to>
      <xdr:col>7</xdr:col>
      <xdr:colOff>638175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5" tooltip="Ver el stock actual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638175</xdr:colOff>
      <xdr:row>1</xdr:row>
      <xdr:rowOff>76200</xdr:rowOff>
    </xdr:from>
    <xdr:to>
      <xdr:col>8</xdr:col>
      <xdr:colOff>790575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6" tooltip="Productos que requieren acción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790575</xdr:colOff>
      <xdr:row>1</xdr:row>
      <xdr:rowOff>76200</xdr:rowOff>
    </xdr:from>
    <xdr:to>
      <xdr:col>10</xdr:col>
      <xdr:colOff>47625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7" tooltip="Consultar un producto (kardex)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1</xdr:row>
      <xdr:rowOff>76200</xdr:rowOff>
    </xdr:from>
    <xdr:to>
      <xdr:col>11</xdr:col>
      <xdr:colOff>200025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8" tooltip="Pedido sugerido de compra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1</xdr:row>
      <xdr:rowOff>76200</xdr:rowOff>
    </xdr:from>
    <xdr:to>
      <xdr:col>12</xdr:col>
      <xdr:colOff>352425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9" tooltip="Guía rápida de uso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1</xdr:row>
      <xdr:rowOff>28575</xdr:rowOff>
    </xdr:from>
    <xdr:to>
      <xdr:col>4</xdr:col>
      <xdr:colOff>361950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29146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4</xdr:col>
      <xdr:colOff>419100</xdr:colOff>
      <xdr:row>1</xdr:row>
      <xdr:rowOff>28575</xdr:rowOff>
    </xdr:from>
    <xdr:to>
      <xdr:col>4</xdr:col>
      <xdr:colOff>1409700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39624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4</xdr:col>
      <xdr:colOff>1466850</xdr:colOff>
      <xdr:row>1</xdr:row>
      <xdr:rowOff>28575</xdr:rowOff>
    </xdr:from>
    <xdr:to>
      <xdr:col>4</xdr:col>
      <xdr:colOff>2457450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50101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4</xdr:col>
      <xdr:colOff>2514600</xdr:colOff>
      <xdr:row>1</xdr:row>
      <xdr:rowOff>28575</xdr:rowOff>
    </xdr:from>
    <xdr:to>
      <xdr:col>6</xdr:col>
      <xdr:colOff>133350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60579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6</xdr:col>
      <xdr:colOff>190500</xdr:colOff>
      <xdr:row>1</xdr:row>
      <xdr:rowOff>28575</xdr:rowOff>
    </xdr:from>
    <xdr:to>
      <xdr:col>7</xdr:col>
      <xdr:colOff>381000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71056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7</xdr:col>
      <xdr:colOff>438150</xdr:colOff>
      <xdr:row>1</xdr:row>
      <xdr:rowOff>28575</xdr:rowOff>
    </xdr:from>
    <xdr:to>
      <xdr:col>8</xdr:col>
      <xdr:colOff>571500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81534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8</xdr:col>
      <xdr:colOff>628650</xdr:colOff>
      <xdr:row>1</xdr:row>
      <xdr:rowOff>28575</xdr:rowOff>
    </xdr:from>
    <xdr:to>
      <xdr:col>9</xdr:col>
      <xdr:colOff>762000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9201150" y="104775"/>
          <a:ext cx="990600" cy="24765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9</xdr:col>
      <xdr:colOff>819150</xdr:colOff>
      <xdr:row>1</xdr:row>
      <xdr:rowOff>28575</xdr:rowOff>
    </xdr:from>
    <xdr:to>
      <xdr:col>10</xdr:col>
      <xdr:colOff>628650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102489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4</xdr:row>
      <xdr:rowOff>47625</xdr:rowOff>
    </xdr:from>
    <xdr:to>
      <xdr:col>2</xdr:col>
      <xdr:colOff>1428750</xdr:colOff>
      <xdr:row>4</xdr:row>
      <xdr:rowOff>276225</xdr:rowOff>
    </xdr:to>
    <xdr:sp macro="" textlink="'91_KPIS'!$C$81">
      <xdr:nvSpPr>
        <xdr:cNvPr id="18" name="TextBox 17" descr="Líneas del pedido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152400" y="714375"/>
          <a:ext cx="180975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1F2937"/>
              </a:solidFill>
              <a:latin typeface="Segoe UI"/>
              <a:cs typeface="Segoe UI"/>
            </a:rPr>
            <a:pPr/>
            <a:t>Líneas: 0</a:t>
          </a:fld>
          <a:endParaRPr lang="en-US" sz="900" b="1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2</xdr:col>
      <xdr:colOff>1524000</xdr:colOff>
      <xdr:row>4</xdr:row>
      <xdr:rowOff>47625</xdr:rowOff>
    </xdr:from>
    <xdr:to>
      <xdr:col>4</xdr:col>
      <xdr:colOff>1371600</xdr:colOff>
      <xdr:row>4</xdr:row>
      <xdr:rowOff>276225</xdr:rowOff>
    </xdr:to>
    <xdr:sp macro="" textlink="'91_KPIS'!$C$82">
      <xdr:nvSpPr>
        <xdr:cNvPr id="19" name="TextBox 18" descr="Total estimado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2057400" y="714375"/>
          <a:ext cx="2857500" cy="228600"/>
        </a:xfrm>
        <a:prstGeom prst="roundRect">
          <a:avLst>
            <a:gd name="adj" fmla="val 50000"/>
          </a:avLst>
        </a:prstGeom>
        <a:solidFill>
          <a:srgbClr val="FFFFFF"/>
        </a:solidFill>
        <a:ln w="12700" cmpd="sng">
          <a:solidFill>
            <a:srgbClr val="DDE3E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fld id="{B8ADDEFE-BF52-4FD4-8C5D-6B85EF6FF707}" type="TxLink">
            <a:rPr lang="en-US" sz="900" b="1">
              <a:solidFill>
                <a:srgbClr val="0D47A1"/>
              </a:solidFill>
              <a:latin typeface="Segoe UI"/>
              <a:cs typeface="Segoe UI"/>
            </a:rPr>
            <a:pPr/>
            <a:t>Total estimado: $ 0</a:t>
          </a:fld>
          <a:endParaRPr lang="en-US" sz="900" b="1">
            <a:solidFill>
              <a:srgbClr val="0D47A1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1524000</xdr:colOff>
      <xdr:row>4</xdr:row>
      <xdr:rowOff>47625</xdr:rowOff>
    </xdr:from>
    <xdr:to>
      <xdr:col>9</xdr:col>
      <xdr:colOff>19050</xdr:colOff>
      <xdr:row>4</xdr:row>
      <xdr:rowOff>276225</xdr:rowOff>
    </xdr:to>
    <xdr:sp macro="" textlink="">
      <xdr:nvSpPr>
        <xdr:cNvPr id="20" name="TextBox 19" descr="Nota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5067300" y="714375"/>
          <a:ext cx="43815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/>
        <a:p>
          <a:pPr algn="l"/>
          <a:r>
            <a:rPr lang="en-US" sz="850" i="1">
              <a:solidFill>
                <a:srgbClr val="5F6B7A"/>
              </a:solidFill>
              <a:latin typeface="Segoe UI"/>
              <a:cs typeface="Segoe UI"/>
            </a:rPr>
            <a:t>Para registrar la compra al recibirla use Registrar (tipo ENTRADA).</a:t>
          </a:r>
        </a:p>
      </xdr:txBody>
    </xdr:sp>
    <xdr:clientData/>
  </xdr:twoCellAnchor>
  <xdr:twoCellAnchor editAs="oneCell">
    <xdr:from>
      <xdr:col>3</xdr:col>
      <xdr:colOff>257175</xdr:colOff>
      <xdr:row>1</xdr:row>
      <xdr:rowOff>76200</xdr:rowOff>
    </xdr:from>
    <xdr:to>
      <xdr:col>3</xdr:col>
      <xdr:colOff>409575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03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1</xdr:row>
      <xdr:rowOff>76200</xdr:rowOff>
    </xdr:from>
    <xdr:to>
      <xdr:col>4</xdr:col>
      <xdr:colOff>657225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481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1552575</xdr:colOff>
      <xdr:row>1</xdr:row>
      <xdr:rowOff>76200</xdr:rowOff>
    </xdr:from>
    <xdr:to>
      <xdr:col>4</xdr:col>
      <xdr:colOff>1704975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0958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</xdr:row>
      <xdr:rowOff>76200</xdr:rowOff>
    </xdr:from>
    <xdr:to>
      <xdr:col>5</xdr:col>
      <xdr:colOff>180975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436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1</xdr:row>
      <xdr:rowOff>76200</xdr:rowOff>
    </xdr:from>
    <xdr:to>
      <xdr:col>6</xdr:col>
      <xdr:colOff>428625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913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523875</xdr:colOff>
      <xdr:row>1</xdr:row>
      <xdr:rowOff>76200</xdr:rowOff>
    </xdr:from>
    <xdr:to>
      <xdr:col>7</xdr:col>
      <xdr:colOff>676275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391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</xdr:row>
      <xdr:rowOff>76200</xdr:rowOff>
    </xdr:from>
    <xdr:to>
      <xdr:col>9</xdr:col>
      <xdr:colOff>9525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868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904875</xdr:colOff>
      <xdr:row>1</xdr:row>
      <xdr:rowOff>76200</xdr:rowOff>
    </xdr:from>
    <xdr:to>
      <xdr:col>9</xdr:col>
      <xdr:colOff>1057275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334625" y="152400"/>
          <a:ext cx="152400" cy="152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1</xdr:row>
      <xdr:rowOff>28575</xdr:rowOff>
    </xdr:from>
    <xdr:to>
      <xdr:col>5</xdr:col>
      <xdr:colOff>38100</xdr:colOff>
      <xdr:row>1</xdr:row>
      <xdr:rowOff>276225</xdr:rowOff>
    </xdr:to>
    <xdr:sp macro="" textlink="">
      <xdr:nvSpPr>
        <xdr:cNvPr id="10" name="TextBox 9" descr="Navegación: Volver a la portada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2857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Inicio</a:t>
          </a:r>
        </a:p>
      </xdr:txBody>
    </xdr:sp>
    <xdr:clientData/>
  </xdr:twoCellAnchor>
  <xdr:twoCellAnchor editAs="oneCell">
    <xdr:from>
      <xdr:col>5</xdr:col>
      <xdr:colOff>95250</xdr:colOff>
      <xdr:row>1</xdr:row>
      <xdr:rowOff>28575</xdr:rowOff>
    </xdr:from>
    <xdr:to>
      <xdr:col>6</xdr:col>
      <xdr:colOff>190500</xdr:colOff>
      <xdr:row>1</xdr:row>
      <xdr:rowOff>276225</xdr:rowOff>
    </xdr:to>
    <xdr:sp macro="" textlink="">
      <xdr:nvSpPr>
        <xdr:cNvPr id="11" name="TextBox 10" descr="Navegación: Registrar un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3905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6</xdr:col>
      <xdr:colOff>247650</xdr:colOff>
      <xdr:row>1</xdr:row>
      <xdr:rowOff>28575</xdr:rowOff>
    </xdr:from>
    <xdr:to>
      <xdr:col>7</xdr:col>
      <xdr:colOff>342900</xdr:colOff>
      <xdr:row>1</xdr:row>
      <xdr:rowOff>276225</xdr:rowOff>
    </xdr:to>
    <xdr:sp macro="" textlink="">
      <xdr:nvSpPr>
        <xdr:cNvPr id="12" name="TextBox 11" descr="Navegación: Ver la bitácora de movimientos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4953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Bitácora</a:t>
          </a:r>
        </a:p>
      </xdr:txBody>
    </xdr:sp>
    <xdr:clientData/>
  </xdr:twoCellAnchor>
  <xdr:twoCellAnchor editAs="oneCell">
    <xdr:from>
      <xdr:col>7</xdr:col>
      <xdr:colOff>400050</xdr:colOff>
      <xdr:row>1</xdr:row>
      <xdr:rowOff>28575</xdr:rowOff>
    </xdr:from>
    <xdr:to>
      <xdr:col>8</xdr:col>
      <xdr:colOff>495300</xdr:colOff>
      <xdr:row>1</xdr:row>
      <xdr:rowOff>276225</xdr:rowOff>
    </xdr:to>
    <xdr:sp macro="" textlink="">
      <xdr:nvSpPr>
        <xdr:cNvPr id="13" name="TextBox 12" descr="Navegación: Ver el stock actual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60007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Stock</a:t>
          </a:r>
        </a:p>
      </xdr:txBody>
    </xdr:sp>
    <xdr:clientData/>
  </xdr:twoCellAnchor>
  <xdr:twoCellAnchor editAs="oneCell">
    <xdr:from>
      <xdr:col>8</xdr:col>
      <xdr:colOff>552450</xdr:colOff>
      <xdr:row>1</xdr:row>
      <xdr:rowOff>28575</xdr:rowOff>
    </xdr:from>
    <xdr:to>
      <xdr:col>9</xdr:col>
      <xdr:colOff>647700</xdr:colOff>
      <xdr:row>1</xdr:row>
      <xdr:rowOff>276225</xdr:rowOff>
    </xdr:to>
    <xdr:sp macro="" textlink="">
      <xdr:nvSpPr>
        <xdr:cNvPr id="14" name="TextBox 13" descr="Navegación: Productos que requieren acción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/>
      </xdr:nvSpPr>
      <xdr:spPr>
        <a:xfrm>
          <a:off x="70485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Alertas</a:t>
          </a:r>
        </a:p>
      </xdr:txBody>
    </xdr:sp>
    <xdr:clientData/>
  </xdr:twoCellAnchor>
  <xdr:twoCellAnchor editAs="oneCell">
    <xdr:from>
      <xdr:col>9</xdr:col>
      <xdr:colOff>704850</xdr:colOff>
      <xdr:row>1</xdr:row>
      <xdr:rowOff>28575</xdr:rowOff>
    </xdr:from>
    <xdr:to>
      <xdr:col>10</xdr:col>
      <xdr:colOff>800100</xdr:colOff>
      <xdr:row>1</xdr:row>
      <xdr:rowOff>276225</xdr:rowOff>
    </xdr:to>
    <xdr:sp macro="" textlink="">
      <xdr:nvSpPr>
        <xdr:cNvPr id="15" name="TextBox 14" descr="Navegación: Consultar un producto (kardex)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09625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Consultar</a:t>
          </a:r>
        </a:p>
      </xdr:txBody>
    </xdr:sp>
    <xdr:clientData/>
  </xdr:twoCellAnchor>
  <xdr:twoCellAnchor editAs="oneCell">
    <xdr:from>
      <xdr:col>10</xdr:col>
      <xdr:colOff>857250</xdr:colOff>
      <xdr:row>1</xdr:row>
      <xdr:rowOff>28575</xdr:rowOff>
    </xdr:from>
    <xdr:to>
      <xdr:col>12</xdr:col>
      <xdr:colOff>57150</xdr:colOff>
      <xdr:row>1</xdr:row>
      <xdr:rowOff>276225</xdr:rowOff>
    </xdr:to>
    <xdr:sp macro="" textlink="">
      <xdr:nvSpPr>
        <xdr:cNvPr id="16" name="TextBox 15" descr="Navegación: Pedido sugerido de compra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9144000" y="104775"/>
          <a:ext cx="990600" cy="247650"/>
        </a:xfrm>
        <a:prstGeom prst="roundRect">
          <a:avLst>
            <a:gd name="adj" fmla="val 50000"/>
          </a:avLst>
        </a:prstGeom>
        <a:solidFill>
          <a:srgbClr val="1C3A5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DCE7F3"/>
              </a:solidFill>
              <a:latin typeface="Segoe UI Semibold"/>
              <a:cs typeface="Segoe UI Semibold"/>
            </a:rPr>
            <a:t>Pedido</a:t>
          </a:r>
        </a:p>
      </xdr:txBody>
    </xdr:sp>
    <xdr:clientData/>
  </xdr:twoCellAnchor>
  <xdr:twoCellAnchor editAs="oneCell">
    <xdr:from>
      <xdr:col>12</xdr:col>
      <xdr:colOff>114300</xdr:colOff>
      <xdr:row>1</xdr:row>
      <xdr:rowOff>28575</xdr:rowOff>
    </xdr:from>
    <xdr:to>
      <xdr:col>13</xdr:col>
      <xdr:colOff>209550</xdr:colOff>
      <xdr:row>1</xdr:row>
      <xdr:rowOff>276225</xdr:rowOff>
    </xdr:to>
    <xdr:sp macro="" textlink="">
      <xdr:nvSpPr>
        <xdr:cNvPr id="17" name="TextBox 16" descr="Navegación: Guía rápida de uso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10191750" y="104775"/>
          <a:ext cx="990600" cy="247650"/>
        </a:xfrm>
        <a:prstGeom prst="roundRect">
          <a:avLst>
            <a:gd name="adj" fmla="val 50000"/>
          </a:avLst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/>
        <a:lstStyle/>
        <a:p>
          <a:pPr algn="l"/>
          <a:r>
            <a:rPr lang="en-US" sz="900">
              <a:solidFill>
                <a:srgbClr val="0B1F33"/>
              </a:solidFill>
              <a:latin typeface="Segoe UI Semibold"/>
              <a:cs typeface="Segoe UI Semibold"/>
            </a:rPr>
            <a:t>Guía</a:t>
          </a:r>
        </a:p>
      </xdr:txBody>
    </xdr:sp>
    <xdr:clientData/>
  </xdr:twoCellAnchor>
  <xdr:twoCellAnchor editAs="oneCell">
    <xdr:from>
      <xdr:col>1</xdr:col>
      <xdr:colOff>0</xdr:colOff>
      <xdr:row>6</xdr:row>
      <xdr:rowOff>57150</xdr:rowOff>
    </xdr:from>
    <xdr:to>
      <xdr:col>3</xdr:col>
      <xdr:colOff>781050</xdr:colOff>
      <xdr:row>6</xdr:row>
      <xdr:rowOff>1466850</xdr:rowOff>
    </xdr:to>
    <xdr:sp macro="" textlink="">
      <xdr:nvSpPr>
        <xdr:cNvPr id="18" name="TextBox 17" descr="Rol BODEGA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/>
      </xdr:nvSpPr>
      <xdr:spPr>
        <a:xfrm>
          <a:off x="228600" y="1181100"/>
          <a:ext cx="2571750" cy="14097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</xdr:col>
      <xdr:colOff>133350</xdr:colOff>
      <xdr:row>6</xdr:row>
      <xdr:rowOff>152400</xdr:rowOff>
    </xdr:from>
    <xdr:to>
      <xdr:col>3</xdr:col>
      <xdr:colOff>647700</xdr:colOff>
      <xdr:row>6</xdr:row>
      <xdr:rowOff>400050</xdr:rowOff>
    </xdr:to>
    <xdr:sp macro="" textlink="">
      <xdr:nvSpPr>
        <xdr:cNvPr id="19" name="TextBox 18" descr="Rol BODEGA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361950" y="1276350"/>
          <a:ext cx="2305050" cy="247650"/>
        </a:xfrm>
        <a:prstGeom prst="roundRect">
          <a:avLst>
            <a:gd name="adj" fmla="val 50000"/>
          </a:avLst>
        </a:prstGeom>
        <a:solidFill>
          <a:srgbClr val="1565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BODEGA</a:t>
          </a:r>
        </a:p>
      </xdr:txBody>
    </xdr:sp>
    <xdr:clientData/>
  </xdr:twoCellAnchor>
  <xdr:twoCellAnchor editAs="oneCell">
    <xdr:from>
      <xdr:col>1</xdr:col>
      <xdr:colOff>152400</xdr:colOff>
      <xdr:row>6</xdr:row>
      <xdr:rowOff>476250</xdr:rowOff>
    </xdr:from>
    <xdr:to>
      <xdr:col>3</xdr:col>
      <xdr:colOff>628650</xdr:colOff>
      <xdr:row>6</xdr:row>
      <xdr:rowOff>895350</xdr:rowOff>
    </xdr:to>
    <xdr:sp macro="" textlink="">
      <xdr:nvSpPr>
        <xdr:cNvPr id="20" name="TextBox 19" descr="Registrar lo que entra y sale de la bodega y contar la mercancía.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/>
      </xdr:nvSpPr>
      <xdr:spPr>
        <a:xfrm>
          <a:off x="381000" y="1600200"/>
          <a:ext cx="22669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algn="l"/>
          <a:r>
            <a:rPr lang="en-US" sz="950">
              <a:solidFill>
                <a:srgbClr val="1F2937"/>
              </a:solidFill>
              <a:latin typeface="Segoe UI"/>
              <a:cs typeface="Segoe UI"/>
            </a:rPr>
            <a:t>Registrar lo que entra y sale de la bodega y contar la mercancía.</a:t>
          </a:r>
        </a:p>
      </xdr:txBody>
    </xdr:sp>
    <xdr:clientData/>
  </xdr:twoCellAnchor>
  <xdr:twoCellAnchor editAs="oneCell">
    <xdr:from>
      <xdr:col>1</xdr:col>
      <xdr:colOff>133350</xdr:colOff>
      <xdr:row>6</xdr:row>
      <xdr:rowOff>990600</xdr:rowOff>
    </xdr:from>
    <xdr:to>
      <xdr:col>2</xdr:col>
      <xdr:colOff>361950</xdr:colOff>
      <xdr:row>6</xdr:row>
      <xdr:rowOff>1314450</xdr:rowOff>
    </xdr:to>
    <xdr:sp macro="" textlink="">
      <xdr:nvSpPr>
        <xdr:cNvPr id="21" name="TextBox 20" descr="BODEGA: Registrar">
          <a:hlinkClick xmlns:r="http://schemas.openxmlformats.org/officeDocument/2006/relationships" r:id="rId2" tooltip="Registrar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/>
      </xdr:nvSpPr>
      <xdr:spPr>
        <a:xfrm>
          <a:off x="361950" y="2114550"/>
          <a:ext cx="1123950" cy="32385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Registrar</a:t>
          </a:r>
        </a:p>
      </xdr:txBody>
    </xdr:sp>
    <xdr:clientData/>
  </xdr:twoCellAnchor>
  <xdr:twoCellAnchor editAs="oneCell">
    <xdr:from>
      <xdr:col>2</xdr:col>
      <xdr:colOff>419100</xdr:colOff>
      <xdr:row>6</xdr:row>
      <xdr:rowOff>990600</xdr:rowOff>
    </xdr:from>
    <xdr:to>
      <xdr:col>3</xdr:col>
      <xdr:colOff>647700</xdr:colOff>
      <xdr:row>6</xdr:row>
      <xdr:rowOff>1314450</xdr:rowOff>
    </xdr:to>
    <xdr:sp macro="" textlink="">
      <xdr:nvSpPr>
        <xdr:cNvPr id="22" name="TextBox 21" descr="BODEGA: Toma física">
          <a:hlinkClick xmlns:r="http://schemas.openxmlformats.org/officeDocument/2006/relationships" r:id="rId9" tooltip="Toma física"/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 txBox="1"/>
      </xdr:nvSpPr>
      <xdr:spPr>
        <a:xfrm>
          <a:off x="1543050" y="2114550"/>
          <a:ext cx="1123950" cy="323850"/>
        </a:xfrm>
        <a:prstGeom prst="roundRect">
          <a:avLst>
            <a:gd name="adj" fmla="val 22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Toma física</a:t>
          </a:r>
        </a:p>
      </xdr:txBody>
    </xdr:sp>
    <xdr:clientData/>
  </xdr:twoCellAnchor>
  <xdr:twoCellAnchor editAs="oneCell">
    <xdr:from>
      <xdr:col>4</xdr:col>
      <xdr:colOff>38100</xdr:colOff>
      <xdr:row>6</xdr:row>
      <xdr:rowOff>57150</xdr:rowOff>
    </xdr:from>
    <xdr:to>
      <xdr:col>6</xdr:col>
      <xdr:colOff>819150</xdr:colOff>
      <xdr:row>6</xdr:row>
      <xdr:rowOff>1466850</xdr:rowOff>
    </xdr:to>
    <xdr:sp macro="" textlink="">
      <xdr:nvSpPr>
        <xdr:cNvPr id="23" name="TextBox 22" descr="Rol COMPRAS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 txBox="1"/>
      </xdr:nvSpPr>
      <xdr:spPr>
        <a:xfrm>
          <a:off x="2952750" y="1181100"/>
          <a:ext cx="2571750" cy="14097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4</xdr:col>
      <xdr:colOff>171450</xdr:colOff>
      <xdr:row>6</xdr:row>
      <xdr:rowOff>152400</xdr:rowOff>
    </xdr:from>
    <xdr:to>
      <xdr:col>6</xdr:col>
      <xdr:colOff>685800</xdr:colOff>
      <xdr:row>6</xdr:row>
      <xdr:rowOff>400050</xdr:rowOff>
    </xdr:to>
    <xdr:sp macro="" textlink="">
      <xdr:nvSpPr>
        <xdr:cNvPr id="24" name="TextBox 23" descr="Rol COMPRAS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3086100" y="1276350"/>
          <a:ext cx="2305050" cy="247650"/>
        </a:xfrm>
        <a:prstGeom prst="roundRect">
          <a:avLst>
            <a:gd name="adj" fmla="val 50000"/>
          </a:avLst>
        </a:prstGeom>
        <a:solidFill>
          <a:srgbClr val="BF360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COMPRAS</a:t>
          </a:r>
        </a:p>
      </xdr:txBody>
    </xdr:sp>
    <xdr:clientData/>
  </xdr:twoCellAnchor>
  <xdr:twoCellAnchor editAs="oneCell">
    <xdr:from>
      <xdr:col>4</xdr:col>
      <xdr:colOff>190500</xdr:colOff>
      <xdr:row>6</xdr:row>
      <xdr:rowOff>476250</xdr:rowOff>
    </xdr:from>
    <xdr:to>
      <xdr:col>6</xdr:col>
      <xdr:colOff>666750</xdr:colOff>
      <xdr:row>6</xdr:row>
      <xdr:rowOff>895350</xdr:rowOff>
    </xdr:to>
    <xdr:sp macro="" textlink="">
      <xdr:nvSpPr>
        <xdr:cNvPr id="25" name="TextBox 24" descr="Saber qué pedir, cuánto y a qué proveedor, antes de que se agote.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3105150" y="1600200"/>
          <a:ext cx="22669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algn="l"/>
          <a:r>
            <a:rPr lang="en-US" sz="950">
              <a:solidFill>
                <a:srgbClr val="1F2937"/>
              </a:solidFill>
              <a:latin typeface="Segoe UI"/>
              <a:cs typeface="Segoe UI"/>
            </a:rPr>
            <a:t>Saber qué pedir, cuánto y a qué proveedor, antes de que se agote.</a:t>
          </a:r>
        </a:p>
      </xdr:txBody>
    </xdr:sp>
    <xdr:clientData/>
  </xdr:twoCellAnchor>
  <xdr:twoCellAnchor editAs="oneCell">
    <xdr:from>
      <xdr:col>4</xdr:col>
      <xdr:colOff>171450</xdr:colOff>
      <xdr:row>6</xdr:row>
      <xdr:rowOff>990600</xdr:rowOff>
    </xdr:from>
    <xdr:to>
      <xdr:col>5</xdr:col>
      <xdr:colOff>400050</xdr:colOff>
      <xdr:row>6</xdr:row>
      <xdr:rowOff>1314450</xdr:rowOff>
    </xdr:to>
    <xdr:sp macro="" textlink="">
      <xdr:nvSpPr>
        <xdr:cNvPr id="26" name="TextBox 25" descr="COMPRAS: Ver alertas">
          <a:hlinkClick xmlns:r="http://schemas.openxmlformats.org/officeDocument/2006/relationships" r:id="rId5" tooltip="Ver alertas"/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3086100" y="2114550"/>
          <a:ext cx="1123950" cy="323850"/>
        </a:xfrm>
        <a:prstGeom prst="roundRect">
          <a:avLst>
            <a:gd name="adj" fmla="val 22000"/>
          </a:avLst>
        </a:prstGeom>
        <a:solidFill>
          <a:srgbClr val="BF360C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Ver alertas</a:t>
          </a:r>
        </a:p>
      </xdr:txBody>
    </xdr:sp>
    <xdr:clientData/>
  </xdr:twoCellAnchor>
  <xdr:twoCellAnchor editAs="oneCell">
    <xdr:from>
      <xdr:col>5</xdr:col>
      <xdr:colOff>457200</xdr:colOff>
      <xdr:row>6</xdr:row>
      <xdr:rowOff>990600</xdr:rowOff>
    </xdr:from>
    <xdr:to>
      <xdr:col>6</xdr:col>
      <xdr:colOff>685800</xdr:colOff>
      <xdr:row>6</xdr:row>
      <xdr:rowOff>1314450</xdr:rowOff>
    </xdr:to>
    <xdr:sp macro="" textlink="">
      <xdr:nvSpPr>
        <xdr:cNvPr id="27" name="TextBox 26" descr="COMPRAS: Pedido sugerido">
          <a:hlinkClick xmlns:r="http://schemas.openxmlformats.org/officeDocument/2006/relationships" r:id="rId7" tooltip="Pedido sugerido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4267200" y="2114550"/>
          <a:ext cx="1123950" cy="323850"/>
        </a:xfrm>
        <a:prstGeom prst="roundRect">
          <a:avLst>
            <a:gd name="adj" fmla="val 22000"/>
          </a:avLst>
        </a:prstGeom>
        <a:solidFill>
          <a:srgbClr val="BF360C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Pedido sugerido</a:t>
          </a:r>
        </a:p>
      </xdr:txBody>
    </xdr:sp>
    <xdr:clientData/>
  </xdr:twoCellAnchor>
  <xdr:twoCellAnchor editAs="oneCell">
    <xdr:from>
      <xdr:col>7</xdr:col>
      <xdr:colOff>76200</xdr:colOff>
      <xdr:row>6</xdr:row>
      <xdr:rowOff>57150</xdr:rowOff>
    </xdr:from>
    <xdr:to>
      <xdr:col>9</xdr:col>
      <xdr:colOff>857250</xdr:colOff>
      <xdr:row>6</xdr:row>
      <xdr:rowOff>1466850</xdr:rowOff>
    </xdr:to>
    <xdr:sp macro="" textlink="">
      <xdr:nvSpPr>
        <xdr:cNvPr id="28" name="TextBox 27" descr="Rol GERENCIA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5676900" y="1181100"/>
          <a:ext cx="2571750" cy="14097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7</xdr:col>
      <xdr:colOff>209550</xdr:colOff>
      <xdr:row>6</xdr:row>
      <xdr:rowOff>152400</xdr:rowOff>
    </xdr:from>
    <xdr:to>
      <xdr:col>9</xdr:col>
      <xdr:colOff>723900</xdr:colOff>
      <xdr:row>6</xdr:row>
      <xdr:rowOff>400050</xdr:rowOff>
    </xdr:to>
    <xdr:sp macro="" textlink="">
      <xdr:nvSpPr>
        <xdr:cNvPr id="29" name="TextBox 28" descr="Rol GERENCIA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5810250" y="1276350"/>
          <a:ext cx="2305050" cy="247650"/>
        </a:xfrm>
        <a:prstGeom prst="roundRect">
          <a:avLst>
            <a:gd name="adj" fmla="val 50000"/>
          </a:avLst>
        </a:prstGeom>
        <a:solidFill>
          <a:srgbClr val="00796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GERENCIA</a:t>
          </a:r>
        </a:p>
      </xdr:txBody>
    </xdr:sp>
    <xdr:clientData/>
  </xdr:twoCellAnchor>
  <xdr:twoCellAnchor editAs="oneCell">
    <xdr:from>
      <xdr:col>7</xdr:col>
      <xdr:colOff>228600</xdr:colOff>
      <xdr:row>6</xdr:row>
      <xdr:rowOff>476250</xdr:rowOff>
    </xdr:from>
    <xdr:to>
      <xdr:col>9</xdr:col>
      <xdr:colOff>704850</xdr:colOff>
      <xdr:row>6</xdr:row>
      <xdr:rowOff>895350</xdr:rowOff>
    </xdr:to>
    <xdr:sp macro="" textlink="">
      <xdr:nvSpPr>
        <xdr:cNvPr id="30" name="TextBox 29" descr="Ver la salud y el valor del inventario de un vistazo.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 txBox="1"/>
      </xdr:nvSpPr>
      <xdr:spPr>
        <a:xfrm>
          <a:off x="5829300" y="1600200"/>
          <a:ext cx="22669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algn="l"/>
          <a:r>
            <a:rPr lang="en-US" sz="950">
              <a:solidFill>
                <a:srgbClr val="1F2937"/>
              </a:solidFill>
              <a:latin typeface="Segoe UI"/>
              <a:cs typeface="Segoe UI"/>
            </a:rPr>
            <a:t>Ver la salud y el valor del inventario de un vistazo.</a:t>
          </a:r>
        </a:p>
      </xdr:txBody>
    </xdr:sp>
    <xdr:clientData/>
  </xdr:twoCellAnchor>
  <xdr:twoCellAnchor editAs="oneCell">
    <xdr:from>
      <xdr:col>7</xdr:col>
      <xdr:colOff>209550</xdr:colOff>
      <xdr:row>6</xdr:row>
      <xdr:rowOff>990600</xdr:rowOff>
    </xdr:from>
    <xdr:to>
      <xdr:col>8</xdr:col>
      <xdr:colOff>438150</xdr:colOff>
      <xdr:row>6</xdr:row>
      <xdr:rowOff>1314450</xdr:rowOff>
    </xdr:to>
    <xdr:sp macro="" textlink="">
      <xdr:nvSpPr>
        <xdr:cNvPr id="31" name="TextBox 30" descr="GERENCIA: Tablero">
          <a:hlinkClick xmlns:r="http://schemas.openxmlformats.org/officeDocument/2006/relationships" r:id="rId1" tooltip="Tablero"/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 txBox="1"/>
      </xdr:nvSpPr>
      <xdr:spPr>
        <a:xfrm>
          <a:off x="5810250" y="2114550"/>
          <a:ext cx="1123950" cy="323850"/>
        </a:xfrm>
        <a:prstGeom prst="roundRect">
          <a:avLst>
            <a:gd name="adj" fmla="val 22000"/>
          </a:avLst>
        </a:prstGeom>
        <a:solidFill>
          <a:srgbClr val="00796B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Tablero</a:t>
          </a:r>
        </a:p>
      </xdr:txBody>
    </xdr:sp>
    <xdr:clientData/>
  </xdr:twoCellAnchor>
  <xdr:twoCellAnchor editAs="oneCell">
    <xdr:from>
      <xdr:col>8</xdr:col>
      <xdr:colOff>495300</xdr:colOff>
      <xdr:row>6</xdr:row>
      <xdr:rowOff>990600</xdr:rowOff>
    </xdr:from>
    <xdr:to>
      <xdr:col>9</xdr:col>
      <xdr:colOff>723900</xdr:colOff>
      <xdr:row>6</xdr:row>
      <xdr:rowOff>1314450</xdr:rowOff>
    </xdr:to>
    <xdr:sp macro="" textlink="">
      <xdr:nvSpPr>
        <xdr:cNvPr id="32" name="TextBox 31" descr="GERENCIA: Stock actual">
          <a:hlinkClick xmlns:r="http://schemas.openxmlformats.org/officeDocument/2006/relationships" r:id="rId4" tooltip="Stock actual"/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 txBox="1"/>
      </xdr:nvSpPr>
      <xdr:spPr>
        <a:xfrm>
          <a:off x="6991350" y="2114550"/>
          <a:ext cx="1123950" cy="323850"/>
        </a:xfrm>
        <a:prstGeom prst="roundRect">
          <a:avLst>
            <a:gd name="adj" fmla="val 22000"/>
          </a:avLst>
        </a:prstGeom>
        <a:solidFill>
          <a:srgbClr val="00796B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Stock actual</a:t>
          </a:r>
        </a:p>
      </xdr:txBody>
    </xdr:sp>
    <xdr:clientData/>
  </xdr:twoCellAnchor>
  <xdr:twoCellAnchor editAs="oneCell">
    <xdr:from>
      <xdr:col>10</xdr:col>
      <xdr:colOff>114300</xdr:colOff>
      <xdr:row>6</xdr:row>
      <xdr:rowOff>57150</xdr:rowOff>
    </xdr:from>
    <xdr:to>
      <xdr:col>13</xdr:col>
      <xdr:colOff>0</xdr:colOff>
      <xdr:row>6</xdr:row>
      <xdr:rowOff>1466850</xdr:rowOff>
    </xdr:to>
    <xdr:sp macro="" textlink="">
      <xdr:nvSpPr>
        <xdr:cNvPr id="33" name="TextBox 32" descr="Rol ADMINISTRACIÓN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 txBox="1"/>
      </xdr:nvSpPr>
      <xdr:spPr>
        <a:xfrm>
          <a:off x="8401050" y="1181100"/>
          <a:ext cx="2571750" cy="1409700"/>
        </a:xfrm>
        <a:prstGeom prst="roundRect">
          <a:avLst>
            <a:gd name="adj" fmla="val 6500"/>
          </a:avLst>
        </a:prstGeom>
        <a:solidFill>
          <a:srgbClr val="FFFFFF"/>
        </a:solidFill>
        <a:ln w="9525" cmpd="sng">
          <a:noFill/>
        </a:ln>
        <a:effectLst>
          <a:outerShdw blurRad="63500" dist="12700" dir="5400000" algn="t" rotWithShape="0">
            <a:srgbClr val="0B1F33">
              <a:alpha val="14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000">
            <a:solidFill>
              <a:srgbClr val="1F2937"/>
            </a:solidFill>
            <a:latin typeface="Segoe UI"/>
            <a:cs typeface="Segoe UI"/>
          </a:endParaRPr>
        </a:p>
      </xdr:txBody>
    </xdr:sp>
    <xdr:clientData/>
  </xdr:twoCellAnchor>
  <xdr:twoCellAnchor editAs="oneCell">
    <xdr:from>
      <xdr:col>10</xdr:col>
      <xdr:colOff>247650</xdr:colOff>
      <xdr:row>6</xdr:row>
      <xdr:rowOff>152400</xdr:rowOff>
    </xdr:from>
    <xdr:to>
      <xdr:col>12</xdr:col>
      <xdr:colOff>762000</xdr:colOff>
      <xdr:row>6</xdr:row>
      <xdr:rowOff>400050</xdr:rowOff>
    </xdr:to>
    <xdr:sp macro="" textlink="">
      <xdr:nvSpPr>
        <xdr:cNvPr id="34" name="TextBox 33" descr="Rol ADMINISTRACIÓN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8534400" y="1276350"/>
          <a:ext cx="2305050" cy="247650"/>
        </a:xfrm>
        <a:prstGeom prst="roundRect">
          <a:avLst>
            <a:gd name="adj" fmla="val 50000"/>
          </a:avLst>
        </a:prstGeom>
        <a:solidFill>
          <a:srgbClr val="5E35B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47650" tIns="0" rIns="76200" bIns="0" rtlCol="0" anchor="ctr" anchorCtr="1"/>
        <a:lstStyle/>
        <a:p>
          <a:pPr algn="ctr"/>
          <a:r>
            <a:rPr lang="en-US" sz="950">
              <a:solidFill>
                <a:srgbClr val="FFFFFF"/>
              </a:solidFill>
              <a:latin typeface="Segoe UI Semibold"/>
              <a:cs typeface="Segoe UI Semibold"/>
            </a:rPr>
            <a:t>ADMINISTRACIÓN</a:t>
          </a:r>
        </a:p>
      </xdr:txBody>
    </xdr:sp>
    <xdr:clientData/>
  </xdr:twoCellAnchor>
  <xdr:twoCellAnchor editAs="oneCell">
    <xdr:from>
      <xdr:col>10</xdr:col>
      <xdr:colOff>266700</xdr:colOff>
      <xdr:row>6</xdr:row>
      <xdr:rowOff>476250</xdr:rowOff>
    </xdr:from>
    <xdr:to>
      <xdr:col>12</xdr:col>
      <xdr:colOff>742950</xdr:colOff>
      <xdr:row>6</xdr:row>
      <xdr:rowOff>895350</xdr:rowOff>
    </xdr:to>
    <xdr:sp macro="" textlink="">
      <xdr:nvSpPr>
        <xdr:cNvPr id="35" name="TextBox 34" descr="Mantener productos y proveedores al día.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8553450" y="1600200"/>
          <a:ext cx="22669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pPr algn="l"/>
          <a:r>
            <a:rPr lang="en-US" sz="950">
              <a:solidFill>
                <a:srgbClr val="1F2937"/>
              </a:solidFill>
              <a:latin typeface="Segoe UI"/>
              <a:cs typeface="Segoe UI"/>
            </a:rPr>
            <a:t>Mantener productos y proveedores al día.</a:t>
          </a:r>
        </a:p>
      </xdr:txBody>
    </xdr:sp>
    <xdr:clientData/>
  </xdr:twoCellAnchor>
  <xdr:twoCellAnchor editAs="oneCell">
    <xdr:from>
      <xdr:col>10</xdr:col>
      <xdr:colOff>247650</xdr:colOff>
      <xdr:row>6</xdr:row>
      <xdr:rowOff>990600</xdr:rowOff>
    </xdr:from>
    <xdr:to>
      <xdr:col>11</xdr:col>
      <xdr:colOff>476250</xdr:colOff>
      <xdr:row>6</xdr:row>
      <xdr:rowOff>1314450</xdr:rowOff>
    </xdr:to>
    <xdr:sp macro="" textlink="">
      <xdr:nvSpPr>
        <xdr:cNvPr id="36" name="TextBox 35" descr="ADMINISTRACIÓN: Catálogo">
          <a:hlinkClick xmlns:r="http://schemas.openxmlformats.org/officeDocument/2006/relationships" r:id="rId10" tooltip="Catálogo"/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8534400" y="2114550"/>
          <a:ext cx="1123950" cy="323850"/>
        </a:xfrm>
        <a:prstGeom prst="roundRect">
          <a:avLst>
            <a:gd name="adj" fmla="val 22000"/>
          </a:avLst>
        </a:prstGeom>
        <a:solidFill>
          <a:srgbClr val="5E35B1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Catálogo</a:t>
          </a:r>
        </a:p>
      </xdr:txBody>
    </xdr:sp>
    <xdr:clientData/>
  </xdr:twoCellAnchor>
  <xdr:twoCellAnchor editAs="oneCell">
    <xdr:from>
      <xdr:col>11</xdr:col>
      <xdr:colOff>533400</xdr:colOff>
      <xdr:row>6</xdr:row>
      <xdr:rowOff>990600</xdr:rowOff>
    </xdr:from>
    <xdr:to>
      <xdr:col>12</xdr:col>
      <xdr:colOff>762000</xdr:colOff>
      <xdr:row>6</xdr:row>
      <xdr:rowOff>1314450</xdr:rowOff>
    </xdr:to>
    <xdr:sp macro="" textlink="">
      <xdr:nvSpPr>
        <xdr:cNvPr id="37" name="TextBox 36" descr="ADMINISTRACIÓN: Proveedores">
          <a:hlinkClick xmlns:r="http://schemas.openxmlformats.org/officeDocument/2006/relationships" r:id="rId11" tooltip="Proveedores"/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 txBox="1"/>
      </xdr:nvSpPr>
      <xdr:spPr>
        <a:xfrm>
          <a:off x="9715500" y="2114550"/>
          <a:ext cx="1123950" cy="323850"/>
        </a:xfrm>
        <a:prstGeom prst="roundRect">
          <a:avLst>
            <a:gd name="adj" fmla="val 22000"/>
          </a:avLst>
        </a:prstGeom>
        <a:solidFill>
          <a:srgbClr val="5E35B1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900">
              <a:solidFill>
                <a:srgbClr val="FFFFFF"/>
              </a:solidFill>
              <a:latin typeface="Segoe UI Semibold"/>
              <a:cs typeface="Segoe UI Semibold"/>
            </a:rPr>
            <a:t>Proveedores</a:t>
          </a:r>
        </a:p>
      </xdr:txBody>
    </xdr:sp>
    <xdr:clientData/>
  </xdr:twoCellAnchor>
  <xdr:twoCellAnchor editAs="oneCell">
    <xdr:from>
      <xdr:col>11</xdr:col>
      <xdr:colOff>190500</xdr:colOff>
      <xdr:row>11</xdr:row>
      <xdr:rowOff>47625</xdr:rowOff>
    </xdr:from>
    <xdr:to>
      <xdr:col>12</xdr:col>
      <xdr:colOff>704850</xdr:colOff>
      <xdr:row>11</xdr:row>
      <xdr:rowOff>257175</xdr:rowOff>
    </xdr:to>
    <xdr:sp macro="" textlink="">
      <xdr:nvSpPr>
        <xdr:cNvPr id="38" name="TextBox 37" descr="Ir al paso">
          <a:hlinkClick xmlns:r="http://schemas.openxmlformats.org/officeDocument/2006/relationships" r:id="rId11" tooltip="Ir a esta tarea"/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 txBox="1"/>
      </xdr:nvSpPr>
      <xdr:spPr>
        <a:xfrm>
          <a:off x="9372600" y="3724275"/>
          <a:ext cx="1409700" cy="209550"/>
        </a:xfrm>
        <a:prstGeom prst="roundRect">
          <a:avLst>
            <a:gd name="adj" fmla="val 50000"/>
          </a:avLst>
        </a:prstGeom>
        <a:solidFill>
          <a:srgbClr val="EAF3F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Ir  ➜</a:t>
          </a:r>
        </a:p>
      </xdr:txBody>
    </xdr:sp>
    <xdr:clientData/>
  </xdr:twoCellAnchor>
  <xdr:twoCellAnchor editAs="oneCell">
    <xdr:from>
      <xdr:col>11</xdr:col>
      <xdr:colOff>190500</xdr:colOff>
      <xdr:row>12</xdr:row>
      <xdr:rowOff>47625</xdr:rowOff>
    </xdr:from>
    <xdr:to>
      <xdr:col>12</xdr:col>
      <xdr:colOff>704850</xdr:colOff>
      <xdr:row>12</xdr:row>
      <xdr:rowOff>257175</xdr:rowOff>
    </xdr:to>
    <xdr:sp macro="" textlink="">
      <xdr:nvSpPr>
        <xdr:cNvPr id="39" name="TextBox 38" descr="Ir al paso">
          <a:hlinkClick xmlns:r="http://schemas.openxmlformats.org/officeDocument/2006/relationships" r:id="rId12" tooltip="Ir a esta tarea"/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 txBox="1"/>
      </xdr:nvSpPr>
      <xdr:spPr>
        <a:xfrm>
          <a:off x="9372600" y="4029075"/>
          <a:ext cx="1409700" cy="209550"/>
        </a:xfrm>
        <a:prstGeom prst="roundRect">
          <a:avLst>
            <a:gd name="adj" fmla="val 50000"/>
          </a:avLst>
        </a:prstGeom>
        <a:solidFill>
          <a:srgbClr val="EAF3F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Ir  ➜</a:t>
          </a:r>
        </a:p>
      </xdr:txBody>
    </xdr:sp>
    <xdr:clientData/>
  </xdr:twoCellAnchor>
  <xdr:twoCellAnchor editAs="oneCell">
    <xdr:from>
      <xdr:col>11</xdr:col>
      <xdr:colOff>190500</xdr:colOff>
      <xdr:row>13</xdr:row>
      <xdr:rowOff>47625</xdr:rowOff>
    </xdr:from>
    <xdr:to>
      <xdr:col>12</xdr:col>
      <xdr:colOff>704850</xdr:colOff>
      <xdr:row>13</xdr:row>
      <xdr:rowOff>257175</xdr:rowOff>
    </xdr:to>
    <xdr:sp macro="" textlink="">
      <xdr:nvSpPr>
        <xdr:cNvPr id="40" name="TextBox 39" descr="Ir al paso">
          <a:hlinkClick xmlns:r="http://schemas.openxmlformats.org/officeDocument/2006/relationships" r:id="rId2" tooltip="Ir a esta tarea"/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 txBox="1"/>
      </xdr:nvSpPr>
      <xdr:spPr>
        <a:xfrm>
          <a:off x="9372600" y="4333875"/>
          <a:ext cx="1409700" cy="209550"/>
        </a:xfrm>
        <a:prstGeom prst="roundRect">
          <a:avLst>
            <a:gd name="adj" fmla="val 50000"/>
          </a:avLst>
        </a:prstGeom>
        <a:solidFill>
          <a:srgbClr val="EAF3F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Ir  ➜</a:t>
          </a:r>
        </a:p>
      </xdr:txBody>
    </xdr:sp>
    <xdr:clientData/>
  </xdr:twoCellAnchor>
  <xdr:twoCellAnchor editAs="oneCell">
    <xdr:from>
      <xdr:col>11</xdr:col>
      <xdr:colOff>190500</xdr:colOff>
      <xdr:row>14</xdr:row>
      <xdr:rowOff>47625</xdr:rowOff>
    </xdr:from>
    <xdr:to>
      <xdr:col>12</xdr:col>
      <xdr:colOff>704850</xdr:colOff>
      <xdr:row>14</xdr:row>
      <xdr:rowOff>257175</xdr:rowOff>
    </xdr:to>
    <xdr:sp macro="" textlink="">
      <xdr:nvSpPr>
        <xdr:cNvPr id="41" name="TextBox 40" descr="Ir al paso">
          <a:hlinkClick xmlns:r="http://schemas.openxmlformats.org/officeDocument/2006/relationships" r:id="rId2" tooltip="Ir a esta tarea"/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 txBox="1"/>
      </xdr:nvSpPr>
      <xdr:spPr>
        <a:xfrm>
          <a:off x="9372600" y="4638675"/>
          <a:ext cx="1409700" cy="209550"/>
        </a:xfrm>
        <a:prstGeom prst="roundRect">
          <a:avLst>
            <a:gd name="adj" fmla="val 50000"/>
          </a:avLst>
        </a:prstGeom>
        <a:solidFill>
          <a:srgbClr val="EAF3F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0" rIns="76200" bIns="0" rtlCol="0" anchor="ctr" anchorCtr="1"/>
        <a:lstStyle/>
        <a:p>
          <a:pPr algn="ctr"/>
          <a:r>
            <a:rPr lang="en-US" sz="850" b="1">
              <a:solidFill>
                <a:srgbClr val="1565C0"/>
              </a:solidFill>
              <a:latin typeface="Segoe UI"/>
              <a:cs typeface="Segoe UI"/>
            </a:rPr>
            <a:t>Ir  ➜</a:t>
          </a:r>
        </a:p>
      </xdr:txBody>
    </xdr:sp>
    <xdr:clientData/>
  </xdr:twoCellAnchor>
  <xdr:twoCellAnchor editAs="oneCell">
    <xdr:from>
      <xdr:col>1</xdr:col>
      <xdr:colOff>0</xdr:colOff>
      <xdr:row>18</xdr:row>
      <xdr:rowOff>76200</xdr:rowOff>
    </xdr:from>
    <xdr:to>
      <xdr:col>3</xdr:col>
      <xdr:colOff>457200</xdr:colOff>
      <xdr:row>18</xdr:row>
      <xdr:rowOff>838200</xdr:rowOff>
    </xdr:to>
    <xdr:sp macro="" textlink="">
      <xdr:nvSpPr>
        <xdr:cNvPr id="42" name="TextBox 41" descr="Diagrama: ①  CATÁLOGO">
          <a:hlinkClick xmlns:r="http://schemas.openxmlformats.org/officeDocument/2006/relationships" r:id="rId10" tooltip="Ir a la hoja"/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 txBox="1"/>
      </xdr:nvSpPr>
      <xdr:spPr>
        <a:xfrm>
          <a:off x="228600" y="5734050"/>
          <a:ext cx="2247900" cy="762000"/>
        </a:xfrm>
        <a:prstGeom prst="roundRect">
          <a:avLst>
            <a:gd name="adj" fmla="val 9000"/>
          </a:avLst>
        </a:prstGeom>
        <a:solidFill>
          <a:srgbClr val="5E35B1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①  CATÁLOGO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05_PRODUCTOS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Datos maestros</a:t>
          </a:r>
        </a:p>
      </xdr:txBody>
    </xdr:sp>
    <xdr:clientData/>
  </xdr:twoCellAnchor>
  <xdr:twoCellAnchor editAs="oneCell">
    <xdr:from>
      <xdr:col>3</xdr:col>
      <xdr:colOff>533400</xdr:colOff>
      <xdr:row>18</xdr:row>
      <xdr:rowOff>285750</xdr:rowOff>
    </xdr:from>
    <xdr:to>
      <xdr:col>4</xdr:col>
      <xdr:colOff>66675</xdr:colOff>
      <xdr:row>18</xdr:row>
      <xdr:rowOff>628650</xdr:rowOff>
    </xdr:to>
    <xdr:sp macro="" textlink="">
      <xdr:nvSpPr>
        <xdr:cNvPr id="43" name="TextBox 42" descr="Flecha del flujo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 txBox="1"/>
      </xdr:nvSpPr>
      <xdr:spPr>
        <a:xfrm>
          <a:off x="2552700" y="5943600"/>
          <a:ext cx="4286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1"/>
        <a:lstStyle/>
        <a:p>
          <a:pPr algn="ctr"/>
          <a:r>
            <a:rPr lang="en-US" sz="2000" b="1">
              <a:solidFill>
                <a:srgbClr val="5F6E84"/>
              </a:solidFill>
              <a:latin typeface="Segoe UI"/>
              <a:cs typeface="Segoe UI"/>
            </a:rPr>
            <a:t>➜</a:t>
          </a:r>
        </a:p>
      </xdr:txBody>
    </xdr:sp>
    <xdr:clientData/>
  </xdr:twoCellAnchor>
  <xdr:twoCellAnchor editAs="oneCell">
    <xdr:from>
      <xdr:col>4</xdr:col>
      <xdr:colOff>142875</xdr:colOff>
      <xdr:row>18</xdr:row>
      <xdr:rowOff>76200</xdr:rowOff>
    </xdr:from>
    <xdr:to>
      <xdr:col>6</xdr:col>
      <xdr:colOff>600075</xdr:colOff>
      <xdr:row>18</xdr:row>
      <xdr:rowOff>838200</xdr:rowOff>
    </xdr:to>
    <xdr:sp macro="" textlink="">
      <xdr:nvSpPr>
        <xdr:cNvPr id="44" name="TextBox 43" descr="Diagrama: ②  MOVIMIENTOS">
          <a:hlinkClick xmlns:r="http://schemas.openxmlformats.org/officeDocument/2006/relationships" r:id="rId2" tooltip="Ir a la hoja"/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 txBox="1"/>
      </xdr:nvSpPr>
      <xdr:spPr>
        <a:xfrm>
          <a:off x="3057525" y="5734050"/>
          <a:ext cx="2247900" cy="762000"/>
        </a:xfrm>
        <a:prstGeom prst="roundRect">
          <a:avLst>
            <a:gd name="adj" fmla="val 9000"/>
          </a:avLst>
        </a:prstGeom>
        <a:solidFill>
          <a:srgbClr val="1565C0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②  MOVIMIENTOS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10_MOVIMIENTOS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Escritura · append-only</a:t>
          </a:r>
        </a:p>
      </xdr:txBody>
    </xdr:sp>
    <xdr:clientData/>
  </xdr:twoCellAnchor>
  <xdr:twoCellAnchor editAs="oneCell">
    <xdr:from>
      <xdr:col>6</xdr:col>
      <xdr:colOff>676275</xdr:colOff>
      <xdr:row>18</xdr:row>
      <xdr:rowOff>285750</xdr:rowOff>
    </xdr:from>
    <xdr:to>
      <xdr:col>7</xdr:col>
      <xdr:colOff>209550</xdr:colOff>
      <xdr:row>18</xdr:row>
      <xdr:rowOff>628650</xdr:rowOff>
    </xdr:to>
    <xdr:sp macro="" textlink="">
      <xdr:nvSpPr>
        <xdr:cNvPr id="45" name="TextBox 44" descr="Flecha del flujo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 txBox="1"/>
      </xdr:nvSpPr>
      <xdr:spPr>
        <a:xfrm>
          <a:off x="5381625" y="5943600"/>
          <a:ext cx="4286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1"/>
        <a:lstStyle/>
        <a:p>
          <a:pPr algn="ctr"/>
          <a:r>
            <a:rPr lang="en-US" sz="2000" b="1">
              <a:solidFill>
                <a:srgbClr val="5F6E84"/>
              </a:solidFill>
              <a:latin typeface="Segoe UI"/>
              <a:cs typeface="Segoe UI"/>
            </a:rPr>
            <a:t>➜</a:t>
          </a:r>
        </a:p>
      </xdr:txBody>
    </xdr:sp>
    <xdr:clientData/>
  </xdr:twoCellAnchor>
  <xdr:twoCellAnchor editAs="oneCell">
    <xdr:from>
      <xdr:col>7</xdr:col>
      <xdr:colOff>285750</xdr:colOff>
      <xdr:row>18</xdr:row>
      <xdr:rowOff>76200</xdr:rowOff>
    </xdr:from>
    <xdr:to>
      <xdr:col>9</xdr:col>
      <xdr:colOff>742950</xdr:colOff>
      <xdr:row>18</xdr:row>
      <xdr:rowOff>838200</xdr:rowOff>
    </xdr:to>
    <xdr:sp macro="" textlink="">
      <xdr:nvSpPr>
        <xdr:cNvPr id="46" name="TextBox 45" descr="Diagrama: ③  STOCK">
          <a:hlinkClick xmlns:r="http://schemas.openxmlformats.org/officeDocument/2006/relationships" r:id="rId4" tooltip="Ir a la hoja"/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 txBox="1"/>
      </xdr:nvSpPr>
      <xdr:spPr>
        <a:xfrm>
          <a:off x="5886450" y="5734050"/>
          <a:ext cx="2247900" cy="762000"/>
        </a:xfrm>
        <a:prstGeom prst="roundRect">
          <a:avLst>
            <a:gd name="adj" fmla="val 9000"/>
          </a:avLst>
        </a:prstGeom>
        <a:solidFill>
          <a:srgbClr val="00796B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③  STOCK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15_STOCK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Lectura · proyección</a:t>
          </a:r>
        </a:p>
      </xdr:txBody>
    </xdr:sp>
    <xdr:clientData/>
  </xdr:twoCellAnchor>
  <xdr:twoCellAnchor editAs="oneCell">
    <xdr:from>
      <xdr:col>9</xdr:col>
      <xdr:colOff>819150</xdr:colOff>
      <xdr:row>18</xdr:row>
      <xdr:rowOff>285750</xdr:rowOff>
    </xdr:from>
    <xdr:to>
      <xdr:col>10</xdr:col>
      <xdr:colOff>352425</xdr:colOff>
      <xdr:row>18</xdr:row>
      <xdr:rowOff>628650</xdr:rowOff>
    </xdr:to>
    <xdr:sp macro="" textlink="">
      <xdr:nvSpPr>
        <xdr:cNvPr id="47" name="TextBox 46" descr="Flecha del flujo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 txBox="1"/>
      </xdr:nvSpPr>
      <xdr:spPr>
        <a:xfrm>
          <a:off x="8210550" y="5943600"/>
          <a:ext cx="4286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1"/>
        <a:lstStyle/>
        <a:p>
          <a:pPr algn="ctr"/>
          <a:r>
            <a:rPr lang="en-US" sz="2000" b="1">
              <a:solidFill>
                <a:srgbClr val="5F6E84"/>
              </a:solidFill>
              <a:latin typeface="Segoe UI"/>
              <a:cs typeface="Segoe UI"/>
            </a:rPr>
            <a:t>➜</a:t>
          </a:r>
        </a:p>
      </xdr:txBody>
    </xdr:sp>
    <xdr:clientData/>
  </xdr:twoCellAnchor>
  <xdr:twoCellAnchor editAs="oneCell">
    <xdr:from>
      <xdr:col>10</xdr:col>
      <xdr:colOff>428625</xdr:colOff>
      <xdr:row>18</xdr:row>
      <xdr:rowOff>76200</xdr:rowOff>
    </xdr:from>
    <xdr:to>
      <xdr:col>12</xdr:col>
      <xdr:colOff>885825</xdr:colOff>
      <xdr:row>18</xdr:row>
      <xdr:rowOff>838200</xdr:rowOff>
    </xdr:to>
    <xdr:sp macro="" textlink="">
      <xdr:nvSpPr>
        <xdr:cNvPr id="48" name="TextBox 47" descr="Diagrama: ④  ALERTAS Y PEDIDO">
          <a:hlinkClick xmlns:r="http://schemas.openxmlformats.org/officeDocument/2006/relationships" r:id="rId5" tooltip="Ir a la hoja"/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 txBox="1"/>
      </xdr:nvSpPr>
      <xdr:spPr>
        <a:xfrm>
          <a:off x="8715375" y="5734050"/>
          <a:ext cx="2247900" cy="762000"/>
        </a:xfrm>
        <a:prstGeom prst="roundRect">
          <a:avLst>
            <a:gd name="adj" fmla="val 9000"/>
          </a:avLst>
        </a:prstGeom>
        <a:solidFill>
          <a:srgbClr val="C62828"/>
        </a:solidFill>
        <a:ln w="9525" cmpd="sng">
          <a:noFill/>
        </a:ln>
        <a:effectLst>
          <a:outerShdw blurRad="50800" dist="19050" dir="5400000" algn="t" rotWithShape="0">
            <a:srgbClr val="0B1F33">
              <a:alpha val="26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76200" tIns="47625" rIns="76200" bIns="114300" rtlCol="0" anchor="ctr" anchorCtr="1"/>
        <a:lstStyle/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④  ALERTAS Y PEDIDO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16_ALERTAS · 18_PEDIDO</a:t>
          </a:r>
        </a:p>
        <a:p>
          <a:pPr algn="ctr"/>
          <a:r>
            <a:rPr lang="en-US" sz="1000">
              <a:solidFill>
                <a:srgbClr val="FFFFFF"/>
              </a:solidFill>
              <a:latin typeface="Segoe UI Semibold"/>
              <a:cs typeface="Segoe UI Semibold"/>
            </a:rPr>
            <a:t>Lectura · acción</a:t>
          </a:r>
        </a:p>
      </xdr:txBody>
    </xdr:sp>
    <xdr:clientData/>
  </xdr:twoCellAnchor>
  <xdr:twoCellAnchor editAs="oneCell">
    <xdr:from>
      <xdr:col>4</xdr:col>
      <xdr:colOff>28575</xdr:colOff>
      <xdr:row>1</xdr:row>
      <xdr:rowOff>76200</xdr:rowOff>
    </xdr:from>
    <xdr:to>
      <xdr:col>4</xdr:col>
      <xdr:colOff>180975</xdr:colOff>
      <xdr:row>1</xdr:row>
      <xdr:rowOff>228600</xdr:rowOff>
    </xdr:to>
    <xdr:pic>
      <xdr:nvPicPr>
        <xdr:cNvPr id="2" name="Picture 1" descr="Icono inicio">
          <a:hlinkClick xmlns:r="http://schemas.openxmlformats.org/officeDocument/2006/relationships" r:id="rId1" tooltip="Volver a la portada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43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1</xdr:row>
      <xdr:rowOff>76200</xdr:rowOff>
    </xdr:from>
    <xdr:to>
      <xdr:col>5</xdr:col>
      <xdr:colOff>333375</xdr:colOff>
      <xdr:row>1</xdr:row>
      <xdr:rowOff>228600</xdr:rowOff>
    </xdr:to>
    <xdr:pic>
      <xdr:nvPicPr>
        <xdr:cNvPr id="3" name="Picture 2" descr="Icono movimiento">
          <a:hlinkClick xmlns:r="http://schemas.openxmlformats.org/officeDocument/2006/relationships" r:id="rId2" tooltip="Registrar un movimiento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90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</xdr:row>
      <xdr:rowOff>76200</xdr:rowOff>
    </xdr:from>
    <xdr:to>
      <xdr:col>6</xdr:col>
      <xdr:colOff>485775</xdr:colOff>
      <xdr:row>1</xdr:row>
      <xdr:rowOff>228600</xdr:rowOff>
    </xdr:to>
    <xdr:pic>
      <xdr:nvPicPr>
        <xdr:cNvPr id="4" name="Picture 3" descr="Icono bitacora">
          <a:hlinkClick xmlns:r="http://schemas.openxmlformats.org/officeDocument/2006/relationships" r:id="rId3" tooltip="Ver la bitácora de movimientos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38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1</xdr:row>
      <xdr:rowOff>76200</xdr:rowOff>
    </xdr:from>
    <xdr:to>
      <xdr:col>7</xdr:col>
      <xdr:colOff>638175</xdr:colOff>
      <xdr:row>1</xdr:row>
      <xdr:rowOff>228600</xdr:rowOff>
    </xdr:to>
    <xdr:pic>
      <xdr:nvPicPr>
        <xdr:cNvPr id="5" name="Picture 4" descr="Icono stock">
          <a:hlinkClick xmlns:r="http://schemas.openxmlformats.org/officeDocument/2006/relationships" r:id="rId4" tooltip="Ver el stock actual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864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8</xdr:col>
      <xdr:colOff>638175</xdr:colOff>
      <xdr:row>1</xdr:row>
      <xdr:rowOff>76200</xdr:rowOff>
    </xdr:from>
    <xdr:to>
      <xdr:col>8</xdr:col>
      <xdr:colOff>790575</xdr:colOff>
      <xdr:row>1</xdr:row>
      <xdr:rowOff>228600</xdr:rowOff>
    </xdr:to>
    <xdr:pic>
      <xdr:nvPicPr>
        <xdr:cNvPr id="6" name="Picture 5" descr="Icono alertas">
          <a:hlinkClick xmlns:r="http://schemas.openxmlformats.org/officeDocument/2006/relationships" r:id="rId5" tooltip="Productos que requieren acción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342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790575</xdr:colOff>
      <xdr:row>1</xdr:row>
      <xdr:rowOff>76200</xdr:rowOff>
    </xdr:from>
    <xdr:to>
      <xdr:col>10</xdr:col>
      <xdr:colOff>47625</xdr:colOff>
      <xdr:row>1</xdr:row>
      <xdr:rowOff>228600</xdr:rowOff>
    </xdr:to>
    <xdr:pic>
      <xdr:nvPicPr>
        <xdr:cNvPr id="7" name="Picture 6" descr="Icono buscar">
          <a:hlinkClick xmlns:r="http://schemas.openxmlformats.org/officeDocument/2006/relationships" r:id="rId6" tooltip="Consultar un producto (kardex)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18197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1</xdr:row>
      <xdr:rowOff>76200</xdr:rowOff>
    </xdr:from>
    <xdr:to>
      <xdr:col>11</xdr:col>
      <xdr:colOff>200025</xdr:colOff>
      <xdr:row>1</xdr:row>
      <xdr:rowOff>228600</xdr:rowOff>
    </xdr:to>
    <xdr:pic>
      <xdr:nvPicPr>
        <xdr:cNvPr id="8" name="Picture 7" descr="Icono pedido">
          <a:hlinkClick xmlns:r="http://schemas.openxmlformats.org/officeDocument/2006/relationships" r:id="rId7" tooltip="Pedido sugerido de compra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229725" y="1524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1</xdr:row>
      <xdr:rowOff>76200</xdr:rowOff>
    </xdr:from>
    <xdr:to>
      <xdr:col>12</xdr:col>
      <xdr:colOff>352425</xdr:colOff>
      <xdr:row>1</xdr:row>
      <xdr:rowOff>228600</xdr:rowOff>
    </xdr:to>
    <xdr:pic>
      <xdr:nvPicPr>
        <xdr:cNvPr id="9" name="Picture 8" descr="Icono ayuda">
          <a:hlinkClick xmlns:r="http://schemas.openxmlformats.org/officeDocument/2006/relationships" r:id="rId8" tooltip="Guía rápida de uso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277475" y="152400"/>
          <a:ext cx="152400" cy="152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iposMov" displayName="tblTiposMov" ref="B23:D28" totalsRowShown="0">
  <tableColumns count="3">
    <tableColumn id="1" xr3:uid="{00000000-0010-0000-0000-000001000000}" name="Tipo"/>
    <tableColumn id="2" xr3:uid="{00000000-0010-0000-0000-000002000000}" name="FactorStock"/>
    <tableColumn id="3" xr3:uid="{00000000-0010-0000-0000-000003000000}" name="Descripció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stados" displayName="tblEstados" ref="B31:E38" totalsRowShown="0">
  <tableColumns count="4">
    <tableColumn id="1" xr3:uid="{00000000-0010-0000-0100-000001000000}" name="Estado"/>
    <tableColumn id="2" xr3:uid="{00000000-0010-0000-0100-000002000000}" name="Prioridad"/>
    <tableColumn id="3" xr3:uid="{00000000-0010-0000-0100-000003000000}" name="Regla"/>
    <tableColumn id="4" xr3:uid="{00000000-0010-0000-0100-000004000000}" name="Acció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sponsables" displayName="tblResponsables" ref="B41:C44" totalsRowShown="0">
  <tableColumns count="2">
    <tableColumn id="1" xr3:uid="{00000000-0010-0000-0200-000001000000}" name="Nombre"/>
    <tableColumn id="2" xr3:uid="{00000000-0010-0000-0200-000002000000}" name="Carg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tegorias" displayName="tblCategorias" ref="B7:D13" totalsRowShown="0">
  <tableColumns count="3">
    <tableColumn id="1" xr3:uid="{00000000-0010-0000-0300-000001000000}" name="Código"/>
    <tableColumn id="2" xr3:uid="{00000000-0010-0000-0300-000002000000}" name="Categoría"/>
    <tableColumn id="3" xr3:uid="{00000000-0010-0000-0300-000003000000}" name="Descripció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veedores" displayName="tblProveedores" ref="B7:J107" totalsRowShown="0">
  <autoFilter ref="B7:J107" xr:uid="{00000000-0009-0000-0100-000005000000}"/>
  <tableColumns count="9">
    <tableColumn id="1" xr3:uid="{00000000-0010-0000-0400-000001000000}" name="Proveedor"/>
    <tableColumn id="2" xr3:uid="{00000000-0010-0000-0400-000002000000}" name="NIT"/>
    <tableColumn id="3" xr3:uid="{00000000-0010-0000-0400-000003000000}" name="Contacto"/>
    <tableColumn id="4" xr3:uid="{00000000-0010-0000-0400-000004000000}" name="Teléfono"/>
    <tableColumn id="5" xr3:uid="{00000000-0010-0000-0400-000005000000}" name="Correo"/>
    <tableColumn id="6" xr3:uid="{00000000-0010-0000-0400-000006000000}" name="DiasEntrega"/>
    <tableColumn id="7" xr3:uid="{00000000-0010-0000-0400-000007000000}" name="Productos" dataDxfId="158">
      <calculatedColumnFormula>IF(tblProveedores[[#This Row],[Proveedor]]="","",COUNTIF(tblProductos[Proveedor],tblProveedores[[#This Row],[Proveedor]]))</calculatedColumnFormula>
    </tableColumn>
    <tableColumn id="8" xr3:uid="{00000000-0010-0000-0400-000008000000}" name="EnAlerta" dataDxfId="157">
      <calculatedColumnFormula>IF(tblProveedores[[#This Row],[Proveedor]]="","",SUMPRODUCT(COUNTIFS(tblStock[Proveedor],tblProveedores[[#This Row],[Proveedor]],tblStock[Estado],{"INCONSISTENTE","AGOTADO","CRÍTICO","BAJO"})))</calculatedColumnFormula>
    </tableColumn>
    <tableColumn id="9" xr3:uid="{00000000-0010-0000-0400-000009000000}" name="Validación" dataDxfId="156">
      <calculatedColumnFormula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oductos" displayName="tblProductos" ref="B7:N507" totalsRowShown="0">
  <autoFilter ref="B7:N507" xr:uid="{00000000-0009-0000-0100-000006000000}"/>
  <tableColumns count="13">
    <tableColumn id="1" xr3:uid="{00000000-0010-0000-0500-000001000000}" name="SKU"/>
    <tableColumn id="2" xr3:uid="{00000000-0010-0000-0500-000002000000}" name="Producto"/>
    <tableColumn id="3" xr3:uid="{00000000-0010-0000-0500-000003000000}" name="Categoría"/>
    <tableColumn id="4" xr3:uid="{00000000-0010-0000-0500-000004000000}" name="Unidad"/>
    <tableColumn id="5" xr3:uid="{00000000-0010-0000-0500-000005000000}" name="StockMin"/>
    <tableColumn id="6" xr3:uid="{00000000-0010-0000-0500-000006000000}" name="StockMax"/>
    <tableColumn id="7" xr3:uid="{00000000-0010-0000-0500-000007000000}" name="CostoUnitario"/>
    <tableColumn id="8" xr3:uid="{00000000-0010-0000-0500-000008000000}" name="Proveedor"/>
    <tableColumn id="9" xr3:uid="{00000000-0010-0000-0500-000009000000}" name="Ubicación"/>
    <tableColumn id="10" xr3:uid="{00000000-0010-0000-0500-00000A000000}" name="Activo"/>
    <tableColumn id="11" xr3:uid="{00000000-0010-0000-0500-00000B000000}" name="Etiqueta" dataDxfId="155">
      <calculatedColumnFormula>IF(OR(tblProductos[[#This Row],[SKU]]="",tblProductos[[#This Row],[Producto]]=""),"",tblProductos[[#This Row],[SKU]]&amp;" · "&amp;tblProductos[[#This Row],[Producto]])</calculatedColumnFormula>
    </tableColumn>
    <tableColumn id="12" xr3:uid="{00000000-0010-0000-0500-00000C000000}" name="Movimientos" dataDxfId="154">
      <calculatedColumnFormula>IF(tblProductos[[#This Row],[SKU]]="","",COUNTIF(tblMovimientos[SKU],tblProductos[[#This Row],[SKU]]))</calculatedColumnFormula>
    </tableColumn>
    <tableColumn id="13" xr3:uid="{00000000-0010-0000-0500-00000D000000}" name="Validación" dataDxfId="153">
      <calculatedColumnFormula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Unidades" displayName="tblUnidades" ref="B7:E16" totalsRowShown="0">
  <tableColumns count="4">
    <tableColumn id="1" xr3:uid="{00000000-0010-0000-0600-000001000000}" name="Código"/>
    <tableColumn id="2" xr3:uid="{00000000-0010-0000-0600-000002000000}" name="Unidad"/>
    <tableColumn id="3" xr3:uid="{00000000-0010-0000-0600-000003000000}" name="Decimales"/>
    <tableColumn id="4" xr3:uid="{00000000-0010-0000-0600-000004000000}" name="Descripción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ovimientos" displayName="tblMovimientos" ref="B7:P5007" totalsRowShown="0">
  <autoFilter ref="B7:P5007" xr:uid="{00000000-0009-0000-0100-000008000000}"/>
  <tableColumns count="15">
    <tableColumn id="1" xr3:uid="{00000000-0010-0000-0700-000001000000}" name="ID" dataDxfId="152">
      <calculatedColumnFormula>IF((tblMovimientos[[#This Row],[Fecha]]&amp;tblMovimientos[[#This Row],[Tipo]]&amp;tblMovimientos[[#This Row],[Producto]]&amp;tblMovimientos[[#This Row],[Cantidad]])="","",ROW()-ROW(tblMovimientos[#Headers]))</calculatedColumnFormula>
    </tableColumn>
    <tableColumn id="2" xr3:uid="{00000000-0010-0000-0700-000002000000}" name="Fecha"/>
    <tableColumn id="3" xr3:uid="{00000000-0010-0000-0700-000003000000}" name="Tipo"/>
    <tableColumn id="4" xr3:uid="{00000000-0010-0000-0700-000004000000}" name="Categoría"/>
    <tableColumn id="5" xr3:uid="{00000000-0010-0000-0700-000005000000}" name="Producto"/>
    <tableColumn id="6" xr3:uid="{00000000-0010-0000-0700-000006000000}" name="SKU" dataDxfId="151">
      <calculatedColumnFormula>IF(tblMovimientos[[#This Row],[Producto]]="","",TRIM(LEFT(tblMovimientos[[#This Row],[Producto]],FIND(" · ",tblMovimientos[[#This Row],[Producto]]&amp;" · ")-1)))</calculatedColumnFormula>
    </tableColumn>
    <tableColumn id="7" xr3:uid="{00000000-0010-0000-0700-000007000000}" name="Unidad" dataDxfId="150">
      <calculatedColumnFormula>IF(tblMovimientos[[#This Row],[SKU]]="","",IFERROR(INDEX(tblProductos[Unidad],MATCH(tblMovimientos[[#This Row],[SKU]],tblProductos[SKU],0)),"?"))</calculatedColumnFormula>
    </tableColumn>
    <tableColumn id="8" xr3:uid="{00000000-0010-0000-0700-000008000000}" name="Cantidad"/>
    <tableColumn id="9" xr3:uid="{00000000-0010-0000-0700-000009000000}" name="FactorStock" dataDxfId="149">
      <calculatedColumnFormula>IF(tblMovimientos[[#This Row],[Tipo]]="","",IFERROR(INDEX(tblTiposMov[FactorStock],MATCH(tblMovimientos[[#This Row],[Tipo]],tblTiposMov[Tipo],0)),0))</calculatedColumnFormula>
    </tableColumn>
    <tableColumn id="10" xr3:uid="{00000000-0010-0000-0700-00000A000000}" name="CantidadNeta" dataDxfId="148">
      <calculatedColumnFormula>IF(OR(tblMovimientos[[#This Row],[Cantidad]]="",tblMovimientos[[#This Row],[FactorStock]]=""),"",IF(ISNUMBER(tblMovimientos[[#This Row],[Cantidad]]),tblMovimientos[[#This Row],[Cantidad]]*tblMovimientos[[#This Row],[FactorStock]],""))</calculatedColumnFormula>
    </tableColumn>
    <tableColumn id="11" xr3:uid="{00000000-0010-0000-0700-00000B000000}" name="Saldo" dataDxfId="147">
      <calculatedColumnFormula>IF(tblMovimientos[[#This Row],[CantidadNeta]]="","",SUMIFS(INDEX(tblMovimientos[CantidadNeta],1):tblMovimientos[[#This Row],[CantidadNeta]],INDEX(tblMovimientos[SKU],1):tblMovimientos[[#This Row],[SKU]],tblMovimientos[[#This Row],[SKU]]))</calculatedColumnFormula>
    </tableColumn>
    <tableColumn id="12" xr3:uid="{00000000-0010-0000-0700-00000C000000}" name="Estado" dataDxfId="146">
      <calculatedColumnFormula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calculatedColumnFormula>
    </tableColumn>
    <tableColumn id="13" xr3:uid="{00000000-0010-0000-0700-00000D000000}" name="Documento"/>
    <tableColumn id="14" xr3:uid="{00000000-0010-0000-0700-00000E000000}" name="Responsable"/>
    <tableColumn id="15" xr3:uid="{00000000-0010-0000-0700-00000F000000}" name="Observacion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nteo" displayName="tblConteo" ref="B7:M507" totalsRowShown="0">
  <autoFilter ref="B7:M507" xr:uid="{00000000-0009-0000-0100-000009000000}"/>
  <tableColumns count="12">
    <tableColumn id="1" xr3:uid="{00000000-0010-0000-0800-000001000000}" name="SKU"/>
    <tableColumn id="2" xr3:uid="{00000000-0010-0000-0800-000002000000}" name="Producto"/>
    <tableColumn id="3" xr3:uid="{00000000-0010-0000-0800-000003000000}" name="Categoría"/>
    <tableColumn id="4" xr3:uid="{00000000-0010-0000-0800-000004000000}" name="Ubicación"/>
    <tableColumn id="5" xr3:uid="{00000000-0010-0000-0800-000005000000}" name="Unidad"/>
    <tableColumn id="6" xr3:uid="{00000000-0010-0000-0800-000006000000}" name="Activo"/>
    <tableColumn id="7" xr3:uid="{00000000-0010-0000-0800-000007000000}" name="StockSistema"/>
    <tableColumn id="8" xr3:uid="{00000000-0010-0000-0800-000008000000}" name="Conteo"/>
    <tableColumn id="9" xr3:uid="{00000000-0010-0000-0800-000009000000}" name="Diferencia" dataDxfId="145">
      <calculatedColumnFormula>IF(OR(tblConteo[[#This Row],[SKU]]="",tblConteo[[#This Row],[Conteo]]=""),"",tblConteo[[#This Row],[Conteo]]-tblConteo[[#This Row],[StockSistema]])</calculatedColumnFormula>
    </tableColumn>
    <tableColumn id="10" xr3:uid="{00000000-0010-0000-0800-00000A000000}" name="ValorDiferencia"/>
    <tableColumn id="11" xr3:uid="{00000000-0010-0000-0800-00000B000000}" name="Resultado" dataDxfId="144">
      <calculatedColumnFormula>IF(tblConteo[[#This Row],[Diferencia]]="","",IF(tblConteo[[#This Row],[Diferencia]]=0,"✔ Cuadra",IF(tblConteo[[#This Row],[Diferencia]]&gt;0,"▲ Sobrante","▼ Faltante")))</calculatedColumnFormula>
    </tableColumn>
    <tableColumn id="12" xr3:uid="{00000000-0010-0000-0800-00000C000000}" name="AjusteSugerido" dataDxfId="143">
      <calculatedColumnFormula>IF(OR(tblConteo[[#This Row],[Diferencia]]="",tblConteo[[#This Row],[Diferencia]]=0),"",IF(tblConteo[[#This Row],[Diferencia]]&gt;0,"AJUSTE (+) ","AJUSTE (-) ")&amp;ABS(tblConteo[[#This Row],[Diferencia]])&amp;" "&amp;tblConteo[[#This Row],[Unidad]])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Stock" displayName="tblStock" ref="B7:R507" totalsRowShown="0">
  <autoFilter ref="B7:R507" xr:uid="{00000000-0009-0000-0100-00000A000000}"/>
  <tableColumns count="17">
    <tableColumn id="1" xr3:uid="{00000000-0010-0000-0900-000001000000}" name="SKU"/>
    <tableColumn id="2" xr3:uid="{00000000-0010-0000-0900-000002000000}" name="Producto"/>
    <tableColumn id="3" xr3:uid="{00000000-0010-0000-0900-000003000000}" name="Categoría"/>
    <tableColumn id="4" xr3:uid="{00000000-0010-0000-0900-000004000000}" name="Proveedor"/>
    <tableColumn id="5" xr3:uid="{00000000-0010-0000-0900-000005000000}" name="Unidad"/>
    <tableColumn id="6" xr3:uid="{00000000-0010-0000-0900-000006000000}" name="Activo"/>
    <tableColumn id="7" xr3:uid="{00000000-0010-0000-0900-000007000000}" name="Entradas" dataDxfId="142">
      <calculatedColumnFormula>IF(tblStock[[#This Row],[SKU]]="","",SUMIFS(tblMovimientos[CantidadNeta],tblMovimientos[SKU],tblStock[[#This Row],[SKU]],tblMovimientos[FactorStock],1))</calculatedColumnFormula>
    </tableColumn>
    <tableColumn id="8" xr3:uid="{00000000-0010-0000-0900-000008000000}" name="Salidas" dataDxfId="141">
      <calculatedColumnFormula>IF(tblStock[[#This Row],[SKU]]="","",-SUMIFS(tblMovimientos[CantidadNeta],tblMovimientos[SKU],tblStock[[#This Row],[SKU]],tblMovimientos[FactorStock],-1))</calculatedColumnFormula>
    </tableColumn>
    <tableColumn id="9" xr3:uid="{00000000-0010-0000-0900-000009000000}" name="StockActual" dataDxfId="140">
      <calculatedColumnFormula>IF(tblStock[[#This Row],[SKU]]="","",SUMIFS(tblMovimientos[CantidadNeta],tblMovimientos[SKU],tblStock[[#This Row],[SKU]]))</calculatedColumnFormula>
    </tableColumn>
    <tableColumn id="10" xr3:uid="{00000000-0010-0000-0900-00000A000000}" name="StockMin"/>
    <tableColumn id="11" xr3:uid="{00000000-0010-0000-0900-00000B000000}" name="StockMax"/>
    <tableColumn id="12" xr3:uid="{00000000-0010-0000-0900-00000C000000}" name="Nivel" dataDxfId="139">
      <calculatedColumnFormula>IF(OR(tblStock[[#This Row],[SKU]]="",N(tblStock[[#This Row],[StockMax]])=0),"",MAX(0,tblStock[[#This Row],[StockActual]])/tblStock[[#This Row],[StockMax]])</calculatedColumnFormula>
    </tableColumn>
    <tableColumn id="13" xr3:uid="{00000000-0010-0000-0900-00000D000000}" name="Estado" dataDxfId="138">
      <calculatedColumnFormula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calculatedColumnFormula>
    </tableColumn>
    <tableColumn id="14" xr3:uid="{00000000-0010-0000-0900-00000E000000}" name="CostoUnitario"/>
    <tableColumn id="15" xr3:uid="{00000000-0010-0000-0900-00000F000000}" name="ValorInventario" dataDxfId="137">
      <calculatedColumnFormula>IF(tblStock[[#This Row],[SKU]]="","",MAX(0,tblStock[[#This Row],[StockActual]])*tblStock[[#This Row],[CostoUnitario]])</calculatedColumnFormula>
    </tableColumn>
    <tableColumn id="16" xr3:uid="{00000000-0010-0000-0900-000010000000}" name="UltimoMov" dataDxfId="136">
      <calculatedColumnFormula>IF(tblStock[[#This Row],[SKU]]="","",IFERROR(_xlfn.AGGREGATE(14,6,tblMovimientos[Fecha]/(tblMovimientos[SKU]=tblStock[[#This Row],[SKU]]),1),""))</calculatedColumnFormula>
    </tableColumn>
    <tableColumn id="17" xr3:uid="{00000000-0010-0000-0900-000011000000}" name="DiasSinMov" dataDxfId="135">
      <calculatedColumnFormula>IF(OR(tblStock[[#This Row],[SKU]]="",tblStock[[#This Row],[UltimoMov]]=""),"",TODAY()-tblStock[[#This Row],[UltimoMov]])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1:M31"/>
  <sheetViews>
    <sheetView showGridLines="0" showRowColHeaders="0" tabSelected="1" workbookViewId="0"/>
  </sheetViews>
  <sheetFormatPr baseColWidth="10" defaultColWidth="0" defaultRowHeight="15" zeroHeight="1" x14ac:dyDescent="0.25"/>
  <cols>
    <col min="1" max="1" width="3.42578125" customWidth="1"/>
    <col min="2" max="13" width="13.42578125" customWidth="1"/>
    <col min="14" max="14" width="3.42578125" customWidth="1"/>
    <col min="15" max="15" width="0" hidden="1" customWidth="1"/>
  </cols>
  <sheetData>
    <row r="1" spans="2:13" s="1" customFormat="1" ht="9" customHeight="1" x14ac:dyDescent="0.25"/>
    <row r="2" spans="2:13" s="1" customFormat="1" ht="25.5" customHeight="1" x14ac:dyDescent="0.25">
      <c r="D2" s="2" t="s">
        <v>441</v>
      </c>
      <c r="J2" s="120">
        <f ca="1">TODAY()</f>
        <v>46290</v>
      </c>
      <c r="K2" s="120"/>
      <c r="L2" s="120"/>
      <c r="M2" s="120"/>
    </row>
    <row r="3" spans="2:13" s="1" customFormat="1" ht="16.5" customHeight="1" x14ac:dyDescent="0.25">
      <c r="D3" s="3" t="str">
        <f>txtEmpresa</f>
        <v>NOMBRE DE SU EMPRESA   ·   Bodega principal</v>
      </c>
      <c r="J3" s="121" t="s">
        <v>442</v>
      </c>
      <c r="K3" s="121"/>
      <c r="L3" s="121"/>
      <c r="M3" s="121"/>
    </row>
    <row r="4" spans="2:13" s="1" customFormat="1" ht="10.5" customHeight="1" x14ac:dyDescent="0.25"/>
    <row r="5" spans="2:13" s="4" customFormat="1" ht="12" customHeight="1" x14ac:dyDescent="0.25"/>
    <row r="6" spans="2:13" s="4" customFormat="1" ht="33" customHeight="1" x14ac:dyDescent="0.25">
      <c r="B6" s="5" t="s">
        <v>443</v>
      </c>
      <c r="C6" s="122" t="str">
        <f>txtPaso</f>
        <v>①  Primeros pasos: el administrador debe personalizar el nombre de la empresa y las categorías.</v>
      </c>
      <c r="D6" s="122"/>
      <c r="E6" s="122"/>
      <c r="F6" s="122"/>
      <c r="G6" s="122"/>
      <c r="H6" s="122"/>
      <c r="I6" s="122"/>
      <c r="J6" s="122"/>
      <c r="K6" s="122"/>
      <c r="L6" s="122"/>
      <c r="M6" s="122"/>
    </row>
    <row r="7" spans="2:13" s="4" customFormat="1" ht="10.5" customHeight="1" x14ac:dyDescent="0.25"/>
    <row r="8" spans="2:13" s="4" customFormat="1" ht="64.5" customHeight="1" x14ac:dyDescent="0.25"/>
    <row r="9" spans="2:13" s="4" customFormat="1" ht="13.5" customHeight="1" x14ac:dyDescent="0.25"/>
    <row r="10" spans="2:13" s="4" customFormat="1" ht="18" customHeight="1" x14ac:dyDescent="0.25">
      <c r="B10" s="4" t="s">
        <v>444</v>
      </c>
      <c r="J10" s="123" t="str">
        <f>txtIntegridad</f>
        <v>✔ Bitácora íntegra · sin errores</v>
      </c>
      <c r="K10" s="123"/>
      <c r="L10" s="123"/>
      <c r="M10" s="123"/>
    </row>
    <row r="11" spans="2:13" s="4" customFormat="1" ht="75" customHeight="1" x14ac:dyDescent="0.25"/>
    <row r="12" spans="2:13" s="4" customFormat="1" ht="12" customHeight="1" x14ac:dyDescent="0.25"/>
    <row r="13" spans="2:13" s="4" customFormat="1" ht="75" customHeight="1" x14ac:dyDescent="0.25"/>
    <row r="14" spans="2:13" s="4" customFormat="1" ht="16.5" customHeight="1" x14ac:dyDescent="0.25"/>
    <row r="15" spans="2:13" s="4" customFormat="1" ht="18" customHeight="1" x14ac:dyDescent="0.25">
      <c r="B15" s="4" t="s">
        <v>445</v>
      </c>
    </row>
    <row r="16" spans="2:13" s="4" customFormat="1" ht="217.5" customHeight="1" x14ac:dyDescent="0.25"/>
    <row r="17" spans="2:13" s="4" customFormat="1" ht="12" customHeight="1" x14ac:dyDescent="0.25"/>
    <row r="18" spans="2:13" s="4" customFormat="1" ht="217.5" customHeight="1" x14ac:dyDescent="0.25"/>
    <row r="19" spans="2:13" s="4" customFormat="1" ht="25.5" customHeight="1" x14ac:dyDescent="0.25">
      <c r="B19" s="4" t="s">
        <v>446</v>
      </c>
    </row>
    <row r="20" spans="2:13" s="4" customFormat="1" ht="19.5" customHeight="1" x14ac:dyDescent="0.25">
      <c r="B20" s="6" t="s">
        <v>164</v>
      </c>
      <c r="C20" s="6" t="s">
        <v>37</v>
      </c>
      <c r="D20" s="124" t="s">
        <v>153</v>
      </c>
      <c r="E20" s="124"/>
      <c r="F20" s="124"/>
      <c r="G20" s="124"/>
      <c r="H20" s="124"/>
      <c r="I20" s="6" t="s">
        <v>165</v>
      </c>
      <c r="J20" s="6" t="s">
        <v>107</v>
      </c>
      <c r="K20" s="124" t="s">
        <v>169</v>
      </c>
      <c r="L20" s="124"/>
      <c r="M20" s="6" t="s">
        <v>168</v>
      </c>
    </row>
    <row r="21" spans="2:13" s="4" customFormat="1" ht="19.5" customHeight="1" x14ac:dyDescent="0.25">
      <c r="B21" s="7" t="str">
        <f>IF(kpiUltimoID-0&lt;1,"",INDEX(tblMovimientos[Fecha],kpiUltimoID-0))</f>
        <v/>
      </c>
      <c r="C21" s="8" t="str">
        <f>IF(kpiUltimoID-0&lt;1,"",INDEX(tblMovimientos[Tipo],kpiUltimoID-0)&amp;"")</f>
        <v/>
      </c>
      <c r="D21" s="125" t="str">
        <f>IF(kpiUltimoID-0&lt;1,"",INDEX(tblMovimientos[Producto],kpiUltimoID-0)&amp;"")</f>
        <v/>
      </c>
      <c r="E21" s="125"/>
      <c r="F21" s="125"/>
      <c r="G21" s="125"/>
      <c r="H21" s="125"/>
      <c r="I21" s="9" t="str">
        <f>IF(kpiUltimoID-0&lt;1,"",INDEX(tblMovimientos[CantidadNeta],kpiUltimoID-0))</f>
        <v/>
      </c>
      <c r="J21" s="10" t="str">
        <f>IF(kpiUltimoID-0&lt;1,"",INDEX(tblMovimientos[Unidad],kpiUltimoID-0)&amp;"")</f>
        <v/>
      </c>
      <c r="K21" s="125" t="str">
        <f>IF(kpiUltimoID-0&lt;1,"",INDEX(tblMovimientos[Responsable],kpiUltimoID-0)&amp;"")</f>
        <v/>
      </c>
      <c r="L21" s="125"/>
      <c r="M21" s="11" t="str">
        <f>IF(kpiUltimoID-0&lt;1,"",INDEX(tblMovimientos[Documento],kpiUltimoID-0)&amp;"")</f>
        <v/>
      </c>
    </row>
    <row r="22" spans="2:13" s="4" customFormat="1" ht="19.5" customHeight="1" x14ac:dyDescent="0.25">
      <c r="B22" s="7" t="str">
        <f>IF(kpiUltimoID-1&lt;1,"",INDEX(tblMovimientos[Fecha],kpiUltimoID-1))</f>
        <v/>
      </c>
      <c r="C22" s="8" t="str">
        <f>IF(kpiUltimoID-1&lt;1,"",INDEX(tblMovimientos[Tipo],kpiUltimoID-1)&amp;"")</f>
        <v/>
      </c>
      <c r="D22" s="125" t="str">
        <f>IF(kpiUltimoID-1&lt;1,"",INDEX(tblMovimientos[Producto],kpiUltimoID-1)&amp;"")</f>
        <v/>
      </c>
      <c r="E22" s="125"/>
      <c r="F22" s="125"/>
      <c r="G22" s="125"/>
      <c r="H22" s="125"/>
      <c r="I22" s="9" t="str">
        <f>IF(kpiUltimoID-1&lt;1,"",INDEX(tblMovimientos[CantidadNeta],kpiUltimoID-1))</f>
        <v/>
      </c>
      <c r="J22" s="10" t="str">
        <f>IF(kpiUltimoID-1&lt;1,"",INDEX(tblMovimientos[Unidad],kpiUltimoID-1)&amp;"")</f>
        <v/>
      </c>
      <c r="K22" s="125" t="str">
        <f>IF(kpiUltimoID-1&lt;1,"",INDEX(tblMovimientos[Responsable],kpiUltimoID-1)&amp;"")</f>
        <v/>
      </c>
      <c r="L22" s="125"/>
      <c r="M22" s="11" t="str">
        <f>IF(kpiUltimoID-1&lt;1,"",INDEX(tblMovimientos[Documento],kpiUltimoID-1)&amp;"")</f>
        <v/>
      </c>
    </row>
    <row r="23" spans="2:13" s="4" customFormat="1" ht="19.5" customHeight="1" x14ac:dyDescent="0.25">
      <c r="B23" s="7" t="str">
        <f>IF(kpiUltimoID-2&lt;1,"",INDEX(tblMovimientos[Fecha],kpiUltimoID-2))</f>
        <v/>
      </c>
      <c r="C23" s="8" t="str">
        <f>IF(kpiUltimoID-2&lt;1,"",INDEX(tblMovimientos[Tipo],kpiUltimoID-2)&amp;"")</f>
        <v/>
      </c>
      <c r="D23" s="125" t="str">
        <f>IF(kpiUltimoID-2&lt;1,"",INDEX(tblMovimientos[Producto],kpiUltimoID-2)&amp;"")</f>
        <v/>
      </c>
      <c r="E23" s="125"/>
      <c r="F23" s="125"/>
      <c r="G23" s="125"/>
      <c r="H23" s="125"/>
      <c r="I23" s="9" t="str">
        <f>IF(kpiUltimoID-2&lt;1,"",INDEX(tblMovimientos[CantidadNeta],kpiUltimoID-2))</f>
        <v/>
      </c>
      <c r="J23" s="10" t="str">
        <f>IF(kpiUltimoID-2&lt;1,"",INDEX(tblMovimientos[Unidad],kpiUltimoID-2)&amp;"")</f>
        <v/>
      </c>
      <c r="K23" s="125" t="str">
        <f>IF(kpiUltimoID-2&lt;1,"",INDEX(tblMovimientos[Responsable],kpiUltimoID-2)&amp;"")</f>
        <v/>
      </c>
      <c r="L23" s="125"/>
      <c r="M23" s="11" t="str">
        <f>IF(kpiUltimoID-2&lt;1,"",INDEX(tblMovimientos[Documento],kpiUltimoID-2)&amp;"")</f>
        <v/>
      </c>
    </row>
    <row r="24" spans="2:13" s="4" customFormat="1" ht="19.5" customHeight="1" x14ac:dyDescent="0.25">
      <c r="B24" s="7" t="str">
        <f>IF(kpiUltimoID-3&lt;1,"",INDEX(tblMovimientos[Fecha],kpiUltimoID-3))</f>
        <v/>
      </c>
      <c r="C24" s="8" t="str">
        <f>IF(kpiUltimoID-3&lt;1,"",INDEX(tblMovimientos[Tipo],kpiUltimoID-3)&amp;"")</f>
        <v/>
      </c>
      <c r="D24" s="125" t="str">
        <f>IF(kpiUltimoID-3&lt;1,"",INDEX(tblMovimientos[Producto],kpiUltimoID-3)&amp;"")</f>
        <v/>
      </c>
      <c r="E24" s="125"/>
      <c r="F24" s="125"/>
      <c r="G24" s="125"/>
      <c r="H24" s="125"/>
      <c r="I24" s="9" t="str">
        <f>IF(kpiUltimoID-3&lt;1,"",INDEX(tblMovimientos[CantidadNeta],kpiUltimoID-3))</f>
        <v/>
      </c>
      <c r="J24" s="10" t="str">
        <f>IF(kpiUltimoID-3&lt;1,"",INDEX(tblMovimientos[Unidad],kpiUltimoID-3)&amp;"")</f>
        <v/>
      </c>
      <c r="K24" s="125" t="str">
        <f>IF(kpiUltimoID-3&lt;1,"",INDEX(tblMovimientos[Responsable],kpiUltimoID-3)&amp;"")</f>
        <v/>
      </c>
      <c r="L24" s="125"/>
      <c r="M24" s="11" t="str">
        <f>IF(kpiUltimoID-3&lt;1,"",INDEX(tblMovimientos[Documento],kpiUltimoID-3)&amp;"")</f>
        <v/>
      </c>
    </row>
    <row r="25" spans="2:13" s="4" customFormat="1" ht="19.5" customHeight="1" x14ac:dyDescent="0.25">
      <c r="B25" s="7" t="str">
        <f>IF(kpiUltimoID-4&lt;1,"",INDEX(tblMovimientos[Fecha],kpiUltimoID-4))</f>
        <v/>
      </c>
      <c r="C25" s="8" t="str">
        <f>IF(kpiUltimoID-4&lt;1,"",INDEX(tblMovimientos[Tipo],kpiUltimoID-4)&amp;"")</f>
        <v/>
      </c>
      <c r="D25" s="125" t="str">
        <f>IF(kpiUltimoID-4&lt;1,"",INDEX(tblMovimientos[Producto],kpiUltimoID-4)&amp;"")</f>
        <v/>
      </c>
      <c r="E25" s="125"/>
      <c r="F25" s="125"/>
      <c r="G25" s="125"/>
      <c r="H25" s="125"/>
      <c r="I25" s="9" t="str">
        <f>IF(kpiUltimoID-4&lt;1,"",INDEX(tblMovimientos[CantidadNeta],kpiUltimoID-4))</f>
        <v/>
      </c>
      <c r="J25" s="10" t="str">
        <f>IF(kpiUltimoID-4&lt;1,"",INDEX(tblMovimientos[Unidad],kpiUltimoID-4)&amp;"")</f>
        <v/>
      </c>
      <c r="K25" s="125" t="str">
        <f>IF(kpiUltimoID-4&lt;1,"",INDEX(tblMovimientos[Responsable],kpiUltimoID-4)&amp;"")</f>
        <v/>
      </c>
      <c r="L25" s="125"/>
      <c r="M25" s="11" t="str">
        <f>IF(kpiUltimoID-4&lt;1,"",INDEX(tblMovimientos[Documento],kpiUltimoID-4)&amp;"")</f>
        <v/>
      </c>
    </row>
    <row r="26" spans="2:13" s="4" customFormat="1" ht="19.5" customHeight="1" x14ac:dyDescent="0.25">
      <c r="B26" s="7" t="str">
        <f>IF(kpiUltimoID-5&lt;1,"",INDEX(tblMovimientos[Fecha],kpiUltimoID-5))</f>
        <v/>
      </c>
      <c r="C26" s="8" t="str">
        <f>IF(kpiUltimoID-5&lt;1,"",INDEX(tblMovimientos[Tipo],kpiUltimoID-5)&amp;"")</f>
        <v/>
      </c>
      <c r="D26" s="125" t="str">
        <f>IF(kpiUltimoID-5&lt;1,"",INDEX(tblMovimientos[Producto],kpiUltimoID-5)&amp;"")</f>
        <v/>
      </c>
      <c r="E26" s="125"/>
      <c r="F26" s="125"/>
      <c r="G26" s="125"/>
      <c r="H26" s="125"/>
      <c r="I26" s="9" t="str">
        <f>IF(kpiUltimoID-5&lt;1,"",INDEX(tblMovimientos[CantidadNeta],kpiUltimoID-5))</f>
        <v/>
      </c>
      <c r="J26" s="10" t="str">
        <f>IF(kpiUltimoID-5&lt;1,"",INDEX(tblMovimientos[Unidad],kpiUltimoID-5)&amp;"")</f>
        <v/>
      </c>
      <c r="K26" s="125" t="str">
        <f>IF(kpiUltimoID-5&lt;1,"",INDEX(tblMovimientos[Responsable],kpiUltimoID-5)&amp;"")</f>
        <v/>
      </c>
      <c r="L26" s="125"/>
      <c r="M26" s="11" t="str">
        <f>IF(kpiUltimoID-5&lt;1,"",INDEX(tblMovimientos[Documento],kpiUltimoID-5)&amp;"")</f>
        <v/>
      </c>
    </row>
    <row r="27" spans="2:13" s="4" customFormat="1" ht="19.5" customHeight="1" x14ac:dyDescent="0.25">
      <c r="B27" s="7" t="str">
        <f>IF(kpiUltimoID-6&lt;1,"",INDEX(tblMovimientos[Fecha],kpiUltimoID-6))</f>
        <v/>
      </c>
      <c r="C27" s="8" t="str">
        <f>IF(kpiUltimoID-6&lt;1,"",INDEX(tblMovimientos[Tipo],kpiUltimoID-6)&amp;"")</f>
        <v/>
      </c>
      <c r="D27" s="125" t="str">
        <f>IF(kpiUltimoID-6&lt;1,"",INDEX(tblMovimientos[Producto],kpiUltimoID-6)&amp;"")</f>
        <v/>
      </c>
      <c r="E27" s="125"/>
      <c r="F27" s="125"/>
      <c r="G27" s="125"/>
      <c r="H27" s="125"/>
      <c r="I27" s="9" t="str">
        <f>IF(kpiUltimoID-6&lt;1,"",INDEX(tblMovimientos[CantidadNeta],kpiUltimoID-6))</f>
        <v/>
      </c>
      <c r="J27" s="10" t="str">
        <f>IF(kpiUltimoID-6&lt;1,"",INDEX(tblMovimientos[Unidad],kpiUltimoID-6)&amp;"")</f>
        <v/>
      </c>
      <c r="K27" s="125" t="str">
        <f>IF(kpiUltimoID-6&lt;1,"",INDEX(tblMovimientos[Responsable],kpiUltimoID-6)&amp;"")</f>
        <v/>
      </c>
      <c r="L27" s="125"/>
      <c r="M27" s="11" t="str">
        <f>IF(kpiUltimoID-6&lt;1,"",INDEX(tblMovimientos[Documento],kpiUltimoID-6)&amp;"")</f>
        <v/>
      </c>
    </row>
    <row r="28" spans="2:13" s="4" customFormat="1" ht="19.5" customHeight="1" x14ac:dyDescent="0.25">
      <c r="B28" s="7" t="str">
        <f>IF(kpiUltimoID-7&lt;1,"",INDEX(tblMovimientos[Fecha],kpiUltimoID-7))</f>
        <v/>
      </c>
      <c r="C28" s="8" t="str">
        <f>IF(kpiUltimoID-7&lt;1,"",INDEX(tblMovimientos[Tipo],kpiUltimoID-7)&amp;"")</f>
        <v/>
      </c>
      <c r="D28" s="125" t="str">
        <f>IF(kpiUltimoID-7&lt;1,"",INDEX(tblMovimientos[Producto],kpiUltimoID-7)&amp;"")</f>
        <v/>
      </c>
      <c r="E28" s="125"/>
      <c r="F28" s="125"/>
      <c r="G28" s="125"/>
      <c r="H28" s="125"/>
      <c r="I28" s="9" t="str">
        <f>IF(kpiUltimoID-7&lt;1,"",INDEX(tblMovimientos[CantidadNeta],kpiUltimoID-7))</f>
        <v/>
      </c>
      <c r="J28" s="10" t="str">
        <f>IF(kpiUltimoID-7&lt;1,"",INDEX(tblMovimientos[Unidad],kpiUltimoID-7)&amp;"")</f>
        <v/>
      </c>
      <c r="K28" s="125" t="str">
        <f>IF(kpiUltimoID-7&lt;1,"",INDEX(tblMovimientos[Responsable],kpiUltimoID-7)&amp;"")</f>
        <v/>
      </c>
      <c r="L28" s="125"/>
      <c r="M28" s="11" t="str">
        <f>IF(kpiUltimoID-7&lt;1,"",INDEX(tblMovimientos[Documento],kpiUltimoID-7)&amp;"")</f>
        <v/>
      </c>
    </row>
    <row r="29" spans="2:13" s="4" customFormat="1" ht="16.5" customHeight="1" x14ac:dyDescent="0.25"/>
    <row r="30" spans="2:13" s="4" customFormat="1" ht="30" customHeight="1" x14ac:dyDescent="0.25">
      <c r="B30" s="126" t="s">
        <v>447</v>
      </c>
      <c r="C30" s="127"/>
      <c r="D30" s="127"/>
      <c r="E30" s="127"/>
      <c r="F30" s="127"/>
      <c r="G30" s="127"/>
      <c r="H30" s="127"/>
      <c r="I30" s="127"/>
      <c r="J30" s="128" t="str">
        <f>txtBitacora</f>
        <v>Bitácora: 0 de 5.000 registros · 0% de capacidad</v>
      </c>
      <c r="K30" s="128"/>
      <c r="L30" s="128"/>
      <c r="M30" s="128"/>
    </row>
    <row r="31" spans="2:13" s="4" customFormat="1" ht="10.5" customHeight="1" x14ac:dyDescent="0.25"/>
  </sheetData>
  <sheetProtection password="930D" sheet="1" objects="1" scenarios="1" selectLockedCells="1" selectUnlockedCells="1"/>
  <mergeCells count="24">
    <mergeCell ref="D27:H27"/>
    <mergeCell ref="K27:L27"/>
    <mergeCell ref="D28:H28"/>
    <mergeCell ref="K28:L28"/>
    <mergeCell ref="B30:I30"/>
    <mergeCell ref="J30:M30"/>
    <mergeCell ref="D24:H24"/>
    <mergeCell ref="K24:L24"/>
    <mergeCell ref="D25:H25"/>
    <mergeCell ref="K25:L25"/>
    <mergeCell ref="D26:H26"/>
    <mergeCell ref="K26:L26"/>
    <mergeCell ref="D21:H21"/>
    <mergeCell ref="K21:L21"/>
    <mergeCell ref="D22:H22"/>
    <mergeCell ref="K22:L22"/>
    <mergeCell ref="D23:H23"/>
    <mergeCell ref="K23:L23"/>
    <mergeCell ref="J2:M2"/>
    <mergeCell ref="J3:M3"/>
    <mergeCell ref="C6:M6"/>
    <mergeCell ref="J10:M10"/>
    <mergeCell ref="D20:H20"/>
    <mergeCell ref="K20:L20"/>
  </mergeCells>
  <conditionalFormatting sqref="B6:M6">
    <cfRule type="expression" dxfId="134" priority="1">
      <formula>kpiPasoNivel=1</formula>
    </cfRule>
    <cfRule type="expression" dxfId="133" priority="2">
      <formula>kpiPasoNivel=2</formula>
    </cfRule>
    <cfRule type="expression" dxfId="132" priority="3">
      <formula>kpiPasoNivel=3</formula>
    </cfRule>
    <cfRule type="expression" dxfId="131" priority="4">
      <formula>kpiPasoNivel=4</formula>
    </cfRule>
  </conditionalFormatting>
  <conditionalFormatting sqref="C21:C28">
    <cfRule type="expression" dxfId="130" priority="7">
      <formula>AND(ISNUMBER($I21),$I21&gt;0)</formula>
    </cfRule>
    <cfRule type="expression" dxfId="129" priority="8">
      <formula>AND(ISNUMBER($I21),$I21&lt;0)</formula>
    </cfRule>
  </conditionalFormatting>
  <conditionalFormatting sqref="I21:I28">
    <cfRule type="expression" dxfId="128" priority="9">
      <formula>AND(ISNUMBER($I21),$I21&gt;0)</formula>
    </cfRule>
    <cfRule type="expression" dxfId="127" priority="10">
      <formula>AND(ISNUMBER($I21),$I21&lt;0)</formula>
    </cfRule>
    <cfRule type="expression" dxfId="126" priority="11">
      <formula>AND(ISNUMBER(I21),I21&lt;&gt;INT(I21))</formula>
    </cfRule>
  </conditionalFormatting>
  <conditionalFormatting sqref="J10:M10">
    <cfRule type="expression" dxfId="125" priority="5">
      <formula>LEFT($J$10,1)="✖"</formula>
    </cfRule>
    <cfRule type="expression" dxfId="124" priority="6">
      <formula>LEFT($J$10,1)="⚠"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4A3B8"/>
  </sheetPr>
  <dimension ref="B1:E44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35.7109375" customWidth="1"/>
    <col min="3" max="3" width="37.140625" customWidth="1"/>
    <col min="4" max="4" width="74.28515625" customWidth="1"/>
    <col min="5" max="5" width="31.42578125" customWidth="1"/>
    <col min="6" max="6" width="3.42578125" customWidth="1"/>
  </cols>
  <sheetData>
    <row r="1" spans="2:4" s="1" customFormat="1" ht="6" customHeight="1" x14ac:dyDescent="0.25"/>
    <row r="2" spans="2:4" s="1" customFormat="1" ht="24" customHeight="1" x14ac:dyDescent="0.25">
      <c r="B2" s="12" t="s">
        <v>0</v>
      </c>
    </row>
    <row r="3" spans="2:4" s="1" customFormat="1" ht="14.25" x14ac:dyDescent="0.25">
      <c r="B3" s="13" t="s">
        <v>1</v>
      </c>
    </row>
    <row r="4" spans="2:4" s="1" customFormat="1" ht="7.5" customHeight="1" x14ac:dyDescent="0.25"/>
    <row r="5" spans="2:4" s="4" customFormat="1" ht="18" customHeight="1" x14ac:dyDescent="0.25"/>
    <row r="6" spans="2:4" s="4" customFormat="1" ht="12" customHeight="1" x14ac:dyDescent="0.25"/>
    <row r="7" spans="2:4" ht="15.75" x14ac:dyDescent="0.25">
      <c r="B7" s="14" t="s">
        <v>2</v>
      </c>
    </row>
    <row r="8" spans="2:4" x14ac:dyDescent="0.25">
      <c r="B8" s="15" t="s">
        <v>3</v>
      </c>
      <c r="C8" s="16" t="s">
        <v>4</v>
      </c>
      <c r="D8" s="15" t="s">
        <v>5</v>
      </c>
    </row>
    <row r="9" spans="2:4" x14ac:dyDescent="0.25">
      <c r="B9" s="17" t="s">
        <v>6</v>
      </c>
      <c r="C9" s="18" t="s">
        <v>7</v>
      </c>
      <c r="D9" s="19" t="s">
        <v>8</v>
      </c>
    </row>
    <row r="10" spans="2:4" x14ac:dyDescent="0.25">
      <c r="B10" s="17" t="s">
        <v>9</v>
      </c>
      <c r="C10" s="18"/>
      <c r="D10" s="19" t="s">
        <v>10</v>
      </c>
    </row>
    <row r="11" spans="2:4" x14ac:dyDescent="0.25">
      <c r="B11" s="17" t="s">
        <v>11</v>
      </c>
      <c r="C11" s="18" t="s">
        <v>12</v>
      </c>
      <c r="D11" s="19" t="s">
        <v>13</v>
      </c>
    </row>
    <row r="12" spans="2:4" x14ac:dyDescent="0.25">
      <c r="B12" s="17" t="s">
        <v>14</v>
      </c>
      <c r="C12" s="18" t="s">
        <v>15</v>
      </c>
      <c r="D12" s="19" t="s">
        <v>16</v>
      </c>
    </row>
    <row r="13" spans="2:4" x14ac:dyDescent="0.25">
      <c r="B13" s="17" t="s">
        <v>17</v>
      </c>
      <c r="C13" s="20">
        <v>0.2</v>
      </c>
      <c r="D13" s="19" t="s">
        <v>18</v>
      </c>
    </row>
    <row r="14" spans="2:4" ht="24" x14ac:dyDescent="0.25">
      <c r="B14" s="17" t="s">
        <v>19</v>
      </c>
      <c r="C14" s="21">
        <v>60</v>
      </c>
      <c r="D14" s="19" t="s">
        <v>20</v>
      </c>
    </row>
    <row r="15" spans="2:4" x14ac:dyDescent="0.25">
      <c r="B15" s="17" t="s">
        <v>21</v>
      </c>
      <c r="C15" s="22">
        <v>43831</v>
      </c>
      <c r="D15" s="19" t="s">
        <v>22</v>
      </c>
    </row>
    <row r="16" spans="2:4" x14ac:dyDescent="0.25">
      <c r="B16" s="17" t="s">
        <v>23</v>
      </c>
      <c r="C16" s="18" t="s">
        <v>24</v>
      </c>
      <c r="D16" s="19" t="s">
        <v>25</v>
      </c>
    </row>
    <row r="17" spans="2:5" x14ac:dyDescent="0.25">
      <c r="B17" s="17" t="s">
        <v>26</v>
      </c>
      <c r="C17" s="18" t="s">
        <v>27</v>
      </c>
      <c r="D17" s="19" t="s">
        <v>28</v>
      </c>
    </row>
    <row r="18" spans="2:5" x14ac:dyDescent="0.25">
      <c r="B18" s="17" t="s">
        <v>29</v>
      </c>
      <c r="C18" s="22">
        <v>46290</v>
      </c>
      <c r="D18" s="19" t="s">
        <v>30</v>
      </c>
    </row>
    <row r="19" spans="2:5" x14ac:dyDescent="0.25">
      <c r="B19" s="17" t="s">
        <v>31</v>
      </c>
      <c r="C19" s="18" t="s">
        <v>32</v>
      </c>
      <c r="D19" s="19" t="s">
        <v>33</v>
      </c>
    </row>
    <row r="20" spans="2:5" x14ac:dyDescent="0.25">
      <c r="B20" s="17" t="s">
        <v>34</v>
      </c>
      <c r="C20" s="23">
        <v>0</v>
      </c>
      <c r="D20" s="19" t="s">
        <v>35</v>
      </c>
    </row>
    <row r="22" spans="2:5" ht="15.75" x14ac:dyDescent="0.25">
      <c r="B22" s="14" t="s">
        <v>36</v>
      </c>
    </row>
    <row r="23" spans="2:5" ht="22.5" customHeight="1" x14ac:dyDescent="0.25">
      <c r="B23" s="15" t="s">
        <v>37</v>
      </c>
      <c r="C23" s="15" t="s">
        <v>38</v>
      </c>
      <c r="D23" s="15" t="s">
        <v>5</v>
      </c>
    </row>
    <row r="24" spans="2:5" x14ac:dyDescent="0.25">
      <c r="B24" s="17" t="s">
        <v>39</v>
      </c>
      <c r="C24" s="24">
        <v>1</v>
      </c>
      <c r="D24" s="25" t="s">
        <v>40</v>
      </c>
    </row>
    <row r="25" spans="2:5" x14ac:dyDescent="0.25">
      <c r="B25" s="17" t="s">
        <v>41</v>
      </c>
      <c r="C25" s="24">
        <v>1</v>
      </c>
      <c r="D25" s="25" t="s">
        <v>42</v>
      </c>
    </row>
    <row r="26" spans="2:5" x14ac:dyDescent="0.25">
      <c r="B26" s="17" t="s">
        <v>43</v>
      </c>
      <c r="C26" s="24">
        <v>-1</v>
      </c>
      <c r="D26" s="25" t="s">
        <v>44</v>
      </c>
    </row>
    <row r="27" spans="2:5" x14ac:dyDescent="0.25">
      <c r="B27" s="17" t="s">
        <v>45</v>
      </c>
      <c r="C27" s="24">
        <v>1</v>
      </c>
      <c r="D27" s="25" t="s">
        <v>46</v>
      </c>
    </row>
    <row r="28" spans="2:5" x14ac:dyDescent="0.25">
      <c r="B28" s="17" t="s">
        <v>47</v>
      </c>
      <c r="C28" s="24">
        <v>-1</v>
      </c>
      <c r="D28" s="25" t="s">
        <v>48</v>
      </c>
    </row>
    <row r="30" spans="2:5" ht="15.75" x14ac:dyDescent="0.25">
      <c r="B30" s="14" t="s">
        <v>49</v>
      </c>
    </row>
    <row r="31" spans="2:5" ht="22.5" customHeight="1" x14ac:dyDescent="0.25">
      <c r="B31" s="15" t="s">
        <v>50</v>
      </c>
      <c r="C31" s="15" t="s">
        <v>51</v>
      </c>
      <c r="D31" s="15" t="s">
        <v>52</v>
      </c>
      <c r="E31" s="15" t="s">
        <v>53</v>
      </c>
    </row>
    <row r="32" spans="2:5" ht="28.5" x14ac:dyDescent="0.25">
      <c r="B32" s="26" t="s">
        <v>54</v>
      </c>
      <c r="C32" s="27">
        <v>1</v>
      </c>
      <c r="D32" s="25" t="s">
        <v>55</v>
      </c>
      <c r="E32" s="25" t="s">
        <v>56</v>
      </c>
    </row>
    <row r="33" spans="2:5" x14ac:dyDescent="0.25">
      <c r="B33" s="28" t="s">
        <v>57</v>
      </c>
      <c r="C33" s="27">
        <v>2</v>
      </c>
      <c r="D33" s="25" t="s">
        <v>58</v>
      </c>
      <c r="E33" s="25" t="s">
        <v>59</v>
      </c>
    </row>
    <row r="34" spans="2:5" x14ac:dyDescent="0.25">
      <c r="B34" s="29" t="s">
        <v>60</v>
      </c>
      <c r="C34" s="27">
        <v>3</v>
      </c>
      <c r="D34" s="25" t="s">
        <v>61</v>
      </c>
      <c r="E34" s="25" t="s">
        <v>62</v>
      </c>
    </row>
    <row r="35" spans="2:5" x14ac:dyDescent="0.25">
      <c r="B35" s="30" t="s">
        <v>63</v>
      </c>
      <c r="C35" s="27">
        <v>4</v>
      </c>
      <c r="D35" s="25" t="s">
        <v>64</v>
      </c>
      <c r="E35" s="25" t="s">
        <v>65</v>
      </c>
    </row>
    <row r="36" spans="2:5" x14ac:dyDescent="0.25">
      <c r="B36" s="31" t="s">
        <v>66</v>
      </c>
      <c r="C36" s="27">
        <v>5</v>
      </c>
      <c r="D36" s="25" t="s">
        <v>67</v>
      </c>
      <c r="E36" s="25" t="s">
        <v>68</v>
      </c>
    </row>
    <row r="37" spans="2:5" x14ac:dyDescent="0.25">
      <c r="B37" s="32" t="s">
        <v>69</v>
      </c>
      <c r="C37" s="27">
        <v>6</v>
      </c>
      <c r="D37" s="25" t="s">
        <v>70</v>
      </c>
      <c r="E37" s="25" t="s">
        <v>71</v>
      </c>
    </row>
    <row r="38" spans="2:5" x14ac:dyDescent="0.25">
      <c r="B38" s="33" t="s">
        <v>72</v>
      </c>
      <c r="C38" s="27">
        <v>7</v>
      </c>
      <c r="D38" s="25" t="s">
        <v>73</v>
      </c>
      <c r="E38" s="25" t="s">
        <v>68</v>
      </c>
    </row>
    <row r="40" spans="2:5" ht="15.75" x14ac:dyDescent="0.25">
      <c r="B40" s="14" t="s">
        <v>74</v>
      </c>
    </row>
    <row r="41" spans="2:5" ht="22.5" customHeight="1" x14ac:dyDescent="0.25">
      <c r="B41" s="15" t="s">
        <v>75</v>
      </c>
      <c r="C41" s="15" t="s">
        <v>76</v>
      </c>
    </row>
    <row r="42" spans="2:5" ht="16.5" customHeight="1" x14ac:dyDescent="0.25">
      <c r="B42" s="17" t="s">
        <v>77</v>
      </c>
      <c r="C42" s="25" t="s">
        <v>78</v>
      </c>
    </row>
    <row r="43" spans="2:5" ht="16.5" customHeight="1" x14ac:dyDescent="0.25">
      <c r="B43" s="17" t="s">
        <v>79</v>
      </c>
      <c r="C43" s="25" t="s">
        <v>80</v>
      </c>
    </row>
    <row r="44" spans="2:5" ht="16.5" customHeight="1" x14ac:dyDescent="0.25">
      <c r="B44" s="17" t="s">
        <v>81</v>
      </c>
      <c r="C44" s="25" t="s">
        <v>82</v>
      </c>
    </row>
  </sheetData>
  <sheetProtection password="930D" sheet="1" objects="1" scenarios="1"/>
  <dataValidations count="2">
    <dataValidation type="decimal" allowBlank="1" showInputMessage="1" showErrorMessage="1" promptTitle="Margen de alerta" prompt="Valor entre 0% y 100%." sqref="C13" xr:uid="{00000000-0002-0000-0100-000000000000}">
      <formula1>0</formula1>
      <formula2>1</formula2>
    </dataValidation>
    <dataValidation type="whole" allowBlank="1" showInputMessage="1" showErrorMessage="1" promptTitle="Días sin rotación" prompt="Número entero de días (1 a 3.650)." sqref="C14" xr:uid="{00000000-0002-0000-0100-000001000000}">
      <formula1>1</formula1>
      <formula2>3650</formula2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4A3B8"/>
  </sheetPr>
  <dimension ref="B1:D13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15.7109375" customWidth="1"/>
    <col min="3" max="3" width="34.28515625" customWidth="1"/>
    <col min="4" max="4" width="60" customWidth="1"/>
    <col min="5" max="5" width="3.42578125" customWidth="1"/>
  </cols>
  <sheetData>
    <row r="1" spans="2:4" s="1" customFormat="1" ht="6" customHeight="1" x14ac:dyDescent="0.25"/>
    <row r="2" spans="2:4" s="1" customFormat="1" ht="24" customHeight="1" x14ac:dyDescent="0.25">
      <c r="B2" s="12" t="s">
        <v>83</v>
      </c>
    </row>
    <row r="3" spans="2:4" s="1" customFormat="1" ht="14.25" x14ac:dyDescent="0.25">
      <c r="B3" s="13" t="s">
        <v>84</v>
      </c>
    </row>
    <row r="4" spans="2:4" s="1" customFormat="1" ht="7.5" customHeight="1" x14ac:dyDescent="0.25"/>
    <row r="5" spans="2:4" s="4" customFormat="1" ht="18" customHeight="1" x14ac:dyDescent="0.25"/>
    <row r="6" spans="2:4" s="4" customFormat="1" ht="12" customHeight="1" x14ac:dyDescent="0.25"/>
    <row r="7" spans="2:4" ht="22.5" customHeight="1" x14ac:dyDescent="0.25">
      <c r="B7" s="15" t="s">
        <v>85</v>
      </c>
      <c r="C7" s="15" t="s">
        <v>86</v>
      </c>
      <c r="D7" s="15" t="s">
        <v>5</v>
      </c>
    </row>
    <row r="8" spans="2:4" x14ac:dyDescent="0.25">
      <c r="B8" s="27" t="s">
        <v>87</v>
      </c>
      <c r="C8" s="17" t="s">
        <v>88</v>
      </c>
      <c r="D8" s="34" t="s">
        <v>89</v>
      </c>
    </row>
    <row r="9" spans="2:4" x14ac:dyDescent="0.25">
      <c r="B9" s="27" t="s">
        <v>90</v>
      </c>
      <c r="C9" s="17" t="s">
        <v>91</v>
      </c>
      <c r="D9" s="34" t="s">
        <v>92</v>
      </c>
    </row>
    <row r="10" spans="2:4" x14ac:dyDescent="0.25">
      <c r="B10" s="27" t="s">
        <v>93</v>
      </c>
      <c r="C10" s="17" t="s">
        <v>94</v>
      </c>
      <c r="D10" s="34" t="s">
        <v>95</v>
      </c>
    </row>
    <row r="11" spans="2:4" x14ac:dyDescent="0.25">
      <c r="B11" s="27" t="s">
        <v>96</v>
      </c>
      <c r="C11" s="17" t="s">
        <v>97</v>
      </c>
      <c r="D11" s="34" t="s">
        <v>98</v>
      </c>
    </row>
    <row r="12" spans="2:4" x14ac:dyDescent="0.25">
      <c r="B12" s="27" t="s">
        <v>99</v>
      </c>
      <c r="C12" s="17" t="s">
        <v>100</v>
      </c>
      <c r="D12" s="34" t="s">
        <v>101</v>
      </c>
    </row>
    <row r="13" spans="2:4" x14ac:dyDescent="0.25">
      <c r="B13" s="27" t="s">
        <v>102</v>
      </c>
      <c r="C13" s="17" t="s">
        <v>103</v>
      </c>
      <c r="D13" s="34" t="s">
        <v>104</v>
      </c>
    </row>
  </sheetData>
  <sheetProtection password="930D" sheet="1" objects="1" scenarios="1"/>
  <dataValidations count="3">
    <dataValidation allowBlank="1" showInputMessage="1" showErrorMessage="1" promptTitle="Código" prompt="Abreviatura interna (opcional)." sqref="B7" xr:uid="{00000000-0002-0000-0200-000000000000}"/>
    <dataValidation allowBlank="1" showInputMessage="1" showErrorMessage="1" promptTitle="Categoría" prompt="Nombre visible en las listas. No lo cambie si ya tiene productos asociados." sqref="C7" xr:uid="{00000000-0002-0000-0200-000001000000}"/>
    <dataValidation allowBlank="1" showInputMessage="1" showErrorMessage="1" promptTitle="Descripción" prompt="Texto de apoyo." sqref="D7" xr:uid="{00000000-0002-0000-0200-00000200000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6E63"/>
    <pageSetUpPr fitToPage="1"/>
  </sheetPr>
  <dimension ref="B1:J107"/>
  <sheetViews>
    <sheetView showGridLines="0" showRowColHeaders="0" zoomScale="90" zoomScaleNormal="90" workbookViewId="0">
      <pane ySplit="7" topLeftCell="A8" activePane="bottomLeft" state="frozen"/>
      <selection pane="bottomLeft" activeCell="B8" sqref="B8"/>
    </sheetView>
  </sheetViews>
  <sheetFormatPr baseColWidth="10" defaultColWidth="0" defaultRowHeight="15" zeroHeight="1" x14ac:dyDescent="0.25"/>
  <cols>
    <col min="1" max="1" width="2.28515625" customWidth="1"/>
    <col min="2" max="2" width="34.28515625" customWidth="1"/>
    <col min="3" max="3" width="18.5703125" customWidth="1"/>
    <col min="4" max="4" width="24.28515625" customWidth="1"/>
    <col min="5" max="5" width="17.7109375" customWidth="1"/>
    <col min="6" max="6" width="35.7109375" customWidth="1"/>
    <col min="7" max="7" width="14.85546875" customWidth="1"/>
    <col min="8" max="9" width="14.28515625" customWidth="1"/>
    <col min="10" max="10" width="27.140625" customWidth="1"/>
    <col min="11" max="11" width="2.28515625" customWidth="1"/>
    <col min="12" max="12" width="0" hidden="1" customWidth="1"/>
  </cols>
  <sheetData>
    <row r="1" spans="2:10" s="1" customFormat="1" ht="6" customHeight="1" x14ac:dyDescent="0.25"/>
    <row r="2" spans="2:10" s="1" customFormat="1" ht="24" customHeight="1" x14ac:dyDescent="0.25">
      <c r="B2" s="12" t="s">
        <v>137</v>
      </c>
    </row>
    <row r="3" spans="2:10" s="1" customFormat="1" ht="14.25" x14ac:dyDescent="0.25">
      <c r="B3" s="13" t="s">
        <v>138</v>
      </c>
    </row>
    <row r="4" spans="2:10" s="1" customFormat="1" ht="7.5" customHeight="1" x14ac:dyDescent="0.25"/>
    <row r="5" spans="2:10" s="4" customFormat="1" ht="25.5" customHeight="1" x14ac:dyDescent="0.25"/>
    <row r="6" spans="2:10" s="4" customFormat="1" ht="12" customHeight="1" x14ac:dyDescent="0.25">
      <c r="B6" s="35" t="s">
        <v>148</v>
      </c>
      <c r="C6" s="35" t="s">
        <v>148</v>
      </c>
      <c r="D6" s="35" t="s">
        <v>148</v>
      </c>
      <c r="E6" s="35" t="s">
        <v>148</v>
      </c>
      <c r="F6" s="35" t="s">
        <v>148</v>
      </c>
      <c r="G6" s="35" t="s">
        <v>148</v>
      </c>
      <c r="H6" s="36" t="s">
        <v>149</v>
      </c>
      <c r="I6" s="36" t="s">
        <v>149</v>
      </c>
      <c r="J6" s="36" t="s">
        <v>149</v>
      </c>
    </row>
    <row r="7" spans="2:10" ht="25.5" customHeight="1" x14ac:dyDescent="0.25">
      <c r="B7" s="16" t="s">
        <v>139</v>
      </c>
      <c r="C7" s="16" t="s">
        <v>140</v>
      </c>
      <c r="D7" s="16" t="s">
        <v>141</v>
      </c>
      <c r="E7" s="16" t="s">
        <v>142</v>
      </c>
      <c r="F7" s="16" t="s">
        <v>143</v>
      </c>
      <c r="G7" s="16" t="s">
        <v>144</v>
      </c>
      <c r="H7" s="15" t="s">
        <v>145</v>
      </c>
      <c r="I7" s="15" t="s">
        <v>146</v>
      </c>
      <c r="J7" s="15" t="s">
        <v>147</v>
      </c>
    </row>
    <row r="8" spans="2:10" x14ac:dyDescent="0.25">
      <c r="B8" s="37"/>
      <c r="C8" s="38"/>
      <c r="D8" s="37"/>
      <c r="E8" s="38"/>
      <c r="F8" s="37"/>
      <c r="G8" s="39"/>
      <c r="H8" s="40" t="str">
        <f>IF(tblProveedores[[#This Row],[Proveedor]]="","",COUNTIF(tblProductos[Proveedor],tblProveedores[[#This Row],[Proveedor]]))</f>
        <v/>
      </c>
      <c r="I8" s="40" t="str">
        <f>IF(tblProveedores[[#This Row],[Proveedor]]="","",SUMPRODUCT(COUNTIFS(tblStock[Proveedor],tblProveedores[[#This Row],[Proveedor]],tblStock[Estado],{"INCONSISTENTE","AGOTADO","CRÍTICO","BAJO"})))</f>
        <v/>
      </c>
      <c r="J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" spans="2:10" x14ac:dyDescent="0.25">
      <c r="B9" s="37"/>
      <c r="C9" s="38"/>
      <c r="D9" s="37"/>
      <c r="E9" s="38"/>
      <c r="F9" s="37"/>
      <c r="G9" s="39"/>
      <c r="H9" s="40" t="str">
        <f>IF(tblProveedores[[#This Row],[Proveedor]]="","",COUNTIF(tblProductos[Proveedor],tblProveedores[[#This Row],[Proveedor]]))</f>
        <v/>
      </c>
      <c r="I9" s="40" t="str">
        <f>IF(tblProveedores[[#This Row],[Proveedor]]="","",SUMPRODUCT(COUNTIFS(tblStock[Proveedor],tblProveedores[[#This Row],[Proveedor]],tblStock[Estado],{"INCONSISTENTE","AGOTADO","CRÍTICO","BAJO"})))</f>
        <v/>
      </c>
      <c r="J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" spans="2:10" x14ac:dyDescent="0.25">
      <c r="B10" s="37"/>
      <c r="C10" s="38"/>
      <c r="D10" s="37"/>
      <c r="E10" s="38"/>
      <c r="F10" s="37"/>
      <c r="G10" s="39"/>
      <c r="H10" s="40" t="str">
        <f>IF(tblProveedores[[#This Row],[Proveedor]]="","",COUNTIF(tblProductos[Proveedor],tblProveedores[[#This Row],[Proveedor]]))</f>
        <v/>
      </c>
      <c r="I10" s="40" t="str">
        <f>IF(tblProveedores[[#This Row],[Proveedor]]="","",SUMPRODUCT(COUNTIFS(tblStock[Proveedor],tblProveedores[[#This Row],[Proveedor]],tblStock[Estado],{"INCONSISTENTE","AGOTADO","CRÍTICO","BAJO"})))</f>
        <v/>
      </c>
      <c r="J1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1" spans="2:10" x14ac:dyDescent="0.25">
      <c r="B11" s="37"/>
      <c r="C11" s="38"/>
      <c r="D11" s="37"/>
      <c r="E11" s="38"/>
      <c r="F11" s="37"/>
      <c r="G11" s="39"/>
      <c r="H11" s="40" t="str">
        <f>IF(tblProveedores[[#This Row],[Proveedor]]="","",COUNTIF(tblProductos[Proveedor],tblProveedores[[#This Row],[Proveedor]]))</f>
        <v/>
      </c>
      <c r="I11" s="40" t="str">
        <f>IF(tblProveedores[[#This Row],[Proveedor]]="","",SUMPRODUCT(COUNTIFS(tblStock[Proveedor],tblProveedores[[#This Row],[Proveedor]],tblStock[Estado],{"INCONSISTENTE","AGOTADO","CRÍTICO","BAJO"})))</f>
        <v/>
      </c>
      <c r="J1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2" spans="2:10" x14ac:dyDescent="0.25">
      <c r="B12" s="37"/>
      <c r="C12" s="38"/>
      <c r="D12" s="37"/>
      <c r="E12" s="38"/>
      <c r="F12" s="37"/>
      <c r="G12" s="39"/>
      <c r="H12" s="40" t="str">
        <f>IF(tblProveedores[[#This Row],[Proveedor]]="","",COUNTIF(tblProductos[Proveedor],tblProveedores[[#This Row],[Proveedor]]))</f>
        <v/>
      </c>
      <c r="I12" s="40" t="str">
        <f>IF(tblProveedores[[#This Row],[Proveedor]]="","",SUMPRODUCT(COUNTIFS(tblStock[Proveedor],tblProveedores[[#This Row],[Proveedor]],tblStock[Estado],{"INCONSISTENTE","AGOTADO","CRÍTICO","BAJO"})))</f>
        <v/>
      </c>
      <c r="J1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3" spans="2:10" x14ac:dyDescent="0.25">
      <c r="B13" s="37"/>
      <c r="C13" s="38"/>
      <c r="D13" s="37"/>
      <c r="E13" s="38"/>
      <c r="F13" s="37"/>
      <c r="G13" s="39"/>
      <c r="H13" s="40" t="str">
        <f>IF(tblProveedores[[#This Row],[Proveedor]]="","",COUNTIF(tblProductos[Proveedor],tblProveedores[[#This Row],[Proveedor]]))</f>
        <v/>
      </c>
      <c r="I13" s="40" t="str">
        <f>IF(tblProveedores[[#This Row],[Proveedor]]="","",SUMPRODUCT(COUNTIFS(tblStock[Proveedor],tblProveedores[[#This Row],[Proveedor]],tblStock[Estado],{"INCONSISTENTE","AGOTADO","CRÍTICO","BAJO"})))</f>
        <v/>
      </c>
      <c r="J1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4" spans="2:10" x14ac:dyDescent="0.25">
      <c r="B14" s="37"/>
      <c r="C14" s="38"/>
      <c r="D14" s="37"/>
      <c r="E14" s="38"/>
      <c r="F14" s="37"/>
      <c r="G14" s="39"/>
      <c r="H14" s="40" t="str">
        <f>IF(tblProveedores[[#This Row],[Proveedor]]="","",COUNTIF(tblProductos[Proveedor],tblProveedores[[#This Row],[Proveedor]]))</f>
        <v/>
      </c>
      <c r="I14" s="40" t="str">
        <f>IF(tblProveedores[[#This Row],[Proveedor]]="","",SUMPRODUCT(COUNTIFS(tblStock[Proveedor],tblProveedores[[#This Row],[Proveedor]],tblStock[Estado],{"INCONSISTENTE","AGOTADO","CRÍTICO","BAJO"})))</f>
        <v/>
      </c>
      <c r="J1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5" spans="2:10" x14ac:dyDescent="0.25">
      <c r="B15" s="37"/>
      <c r="C15" s="38"/>
      <c r="D15" s="37"/>
      <c r="E15" s="38"/>
      <c r="F15" s="37"/>
      <c r="G15" s="39"/>
      <c r="H15" s="40" t="str">
        <f>IF(tblProveedores[[#This Row],[Proveedor]]="","",COUNTIF(tblProductos[Proveedor],tblProveedores[[#This Row],[Proveedor]]))</f>
        <v/>
      </c>
      <c r="I15" s="40" t="str">
        <f>IF(tblProveedores[[#This Row],[Proveedor]]="","",SUMPRODUCT(COUNTIFS(tblStock[Proveedor],tblProveedores[[#This Row],[Proveedor]],tblStock[Estado],{"INCONSISTENTE","AGOTADO","CRÍTICO","BAJO"})))</f>
        <v/>
      </c>
      <c r="J1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6" spans="2:10" x14ac:dyDescent="0.25">
      <c r="B16" s="37"/>
      <c r="C16" s="38"/>
      <c r="D16" s="37"/>
      <c r="E16" s="38"/>
      <c r="F16" s="37"/>
      <c r="G16" s="39"/>
      <c r="H16" s="40" t="str">
        <f>IF(tblProveedores[[#This Row],[Proveedor]]="","",COUNTIF(tblProductos[Proveedor],tblProveedores[[#This Row],[Proveedor]]))</f>
        <v/>
      </c>
      <c r="I16" s="40" t="str">
        <f>IF(tblProveedores[[#This Row],[Proveedor]]="","",SUMPRODUCT(COUNTIFS(tblStock[Proveedor],tblProveedores[[#This Row],[Proveedor]],tblStock[Estado],{"INCONSISTENTE","AGOTADO","CRÍTICO","BAJO"})))</f>
        <v/>
      </c>
      <c r="J1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7" spans="2:10" x14ac:dyDescent="0.25">
      <c r="B17" s="37"/>
      <c r="C17" s="38"/>
      <c r="D17" s="37"/>
      <c r="E17" s="38"/>
      <c r="F17" s="37"/>
      <c r="G17" s="39"/>
      <c r="H17" s="40" t="str">
        <f>IF(tblProveedores[[#This Row],[Proveedor]]="","",COUNTIF(tblProductos[Proveedor],tblProveedores[[#This Row],[Proveedor]]))</f>
        <v/>
      </c>
      <c r="I17" s="40" t="str">
        <f>IF(tblProveedores[[#This Row],[Proveedor]]="","",SUMPRODUCT(COUNTIFS(tblStock[Proveedor],tblProveedores[[#This Row],[Proveedor]],tblStock[Estado],{"INCONSISTENTE","AGOTADO","CRÍTICO","BAJO"})))</f>
        <v/>
      </c>
      <c r="J1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8" spans="2:10" x14ac:dyDescent="0.25">
      <c r="B18" s="37"/>
      <c r="C18" s="38"/>
      <c r="D18" s="37"/>
      <c r="E18" s="38"/>
      <c r="F18" s="37"/>
      <c r="G18" s="39"/>
      <c r="H18" s="40" t="str">
        <f>IF(tblProveedores[[#This Row],[Proveedor]]="","",COUNTIF(tblProductos[Proveedor],tblProveedores[[#This Row],[Proveedor]]))</f>
        <v/>
      </c>
      <c r="I18" s="40" t="str">
        <f>IF(tblProveedores[[#This Row],[Proveedor]]="","",SUMPRODUCT(COUNTIFS(tblStock[Proveedor],tblProveedores[[#This Row],[Proveedor]],tblStock[Estado],{"INCONSISTENTE","AGOTADO","CRÍTICO","BAJO"})))</f>
        <v/>
      </c>
      <c r="J1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9" spans="2:10" x14ac:dyDescent="0.25">
      <c r="B19" s="37"/>
      <c r="C19" s="38"/>
      <c r="D19" s="37"/>
      <c r="E19" s="38"/>
      <c r="F19" s="37"/>
      <c r="G19" s="39"/>
      <c r="H19" s="40" t="str">
        <f>IF(tblProveedores[[#This Row],[Proveedor]]="","",COUNTIF(tblProductos[Proveedor],tblProveedores[[#This Row],[Proveedor]]))</f>
        <v/>
      </c>
      <c r="I19" s="40" t="str">
        <f>IF(tblProveedores[[#This Row],[Proveedor]]="","",SUMPRODUCT(COUNTIFS(tblStock[Proveedor],tblProveedores[[#This Row],[Proveedor]],tblStock[Estado],{"INCONSISTENTE","AGOTADO","CRÍTICO","BAJO"})))</f>
        <v/>
      </c>
      <c r="J1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0" spans="2:10" x14ac:dyDescent="0.25">
      <c r="B20" s="37"/>
      <c r="C20" s="38"/>
      <c r="D20" s="37"/>
      <c r="E20" s="38"/>
      <c r="F20" s="37"/>
      <c r="G20" s="39"/>
      <c r="H20" s="40" t="str">
        <f>IF(tblProveedores[[#This Row],[Proveedor]]="","",COUNTIF(tblProductos[Proveedor],tblProveedores[[#This Row],[Proveedor]]))</f>
        <v/>
      </c>
      <c r="I20" s="40" t="str">
        <f>IF(tblProveedores[[#This Row],[Proveedor]]="","",SUMPRODUCT(COUNTIFS(tblStock[Proveedor],tblProveedores[[#This Row],[Proveedor]],tblStock[Estado],{"INCONSISTENTE","AGOTADO","CRÍTICO","BAJO"})))</f>
        <v/>
      </c>
      <c r="J2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1" spans="2:10" x14ac:dyDescent="0.25">
      <c r="B21" s="37"/>
      <c r="C21" s="38"/>
      <c r="D21" s="37"/>
      <c r="E21" s="38"/>
      <c r="F21" s="37"/>
      <c r="G21" s="39"/>
      <c r="H21" s="40" t="str">
        <f>IF(tblProveedores[[#This Row],[Proveedor]]="","",COUNTIF(tblProductos[Proveedor],tblProveedores[[#This Row],[Proveedor]]))</f>
        <v/>
      </c>
      <c r="I21" s="40" t="str">
        <f>IF(tblProveedores[[#This Row],[Proveedor]]="","",SUMPRODUCT(COUNTIFS(tblStock[Proveedor],tblProveedores[[#This Row],[Proveedor]],tblStock[Estado],{"INCONSISTENTE","AGOTADO","CRÍTICO","BAJO"})))</f>
        <v/>
      </c>
      <c r="J2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2" spans="2:10" x14ac:dyDescent="0.25">
      <c r="B22" s="37"/>
      <c r="C22" s="38"/>
      <c r="D22" s="37"/>
      <c r="E22" s="38"/>
      <c r="F22" s="37"/>
      <c r="G22" s="39"/>
      <c r="H22" s="40" t="str">
        <f>IF(tblProveedores[[#This Row],[Proveedor]]="","",COUNTIF(tblProductos[Proveedor],tblProveedores[[#This Row],[Proveedor]]))</f>
        <v/>
      </c>
      <c r="I22" s="40" t="str">
        <f>IF(tblProveedores[[#This Row],[Proveedor]]="","",SUMPRODUCT(COUNTIFS(tblStock[Proveedor],tblProveedores[[#This Row],[Proveedor]],tblStock[Estado],{"INCONSISTENTE","AGOTADO","CRÍTICO","BAJO"})))</f>
        <v/>
      </c>
      <c r="J2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3" spans="2:10" x14ac:dyDescent="0.25">
      <c r="B23" s="37"/>
      <c r="C23" s="38"/>
      <c r="D23" s="37"/>
      <c r="E23" s="38"/>
      <c r="F23" s="37"/>
      <c r="G23" s="39"/>
      <c r="H23" s="40" t="str">
        <f>IF(tblProveedores[[#This Row],[Proveedor]]="","",COUNTIF(tblProductos[Proveedor],tblProveedores[[#This Row],[Proveedor]]))</f>
        <v/>
      </c>
      <c r="I23" s="40" t="str">
        <f>IF(tblProveedores[[#This Row],[Proveedor]]="","",SUMPRODUCT(COUNTIFS(tblStock[Proveedor],tblProveedores[[#This Row],[Proveedor]],tblStock[Estado],{"INCONSISTENTE","AGOTADO","CRÍTICO","BAJO"})))</f>
        <v/>
      </c>
      <c r="J2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4" spans="2:10" x14ac:dyDescent="0.25">
      <c r="B24" s="37"/>
      <c r="C24" s="38"/>
      <c r="D24" s="37"/>
      <c r="E24" s="38"/>
      <c r="F24" s="37"/>
      <c r="G24" s="39"/>
      <c r="H24" s="40" t="str">
        <f>IF(tblProveedores[[#This Row],[Proveedor]]="","",COUNTIF(tblProductos[Proveedor],tblProveedores[[#This Row],[Proveedor]]))</f>
        <v/>
      </c>
      <c r="I24" s="40" t="str">
        <f>IF(tblProveedores[[#This Row],[Proveedor]]="","",SUMPRODUCT(COUNTIFS(tblStock[Proveedor],tblProveedores[[#This Row],[Proveedor]],tblStock[Estado],{"INCONSISTENTE","AGOTADO","CRÍTICO","BAJO"})))</f>
        <v/>
      </c>
      <c r="J2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5" spans="2:10" x14ac:dyDescent="0.25">
      <c r="B25" s="37"/>
      <c r="C25" s="38"/>
      <c r="D25" s="37"/>
      <c r="E25" s="38"/>
      <c r="F25" s="37"/>
      <c r="G25" s="39"/>
      <c r="H25" s="40" t="str">
        <f>IF(tblProveedores[[#This Row],[Proveedor]]="","",COUNTIF(tblProductos[Proveedor],tblProveedores[[#This Row],[Proveedor]]))</f>
        <v/>
      </c>
      <c r="I25" s="40" t="str">
        <f>IF(tblProveedores[[#This Row],[Proveedor]]="","",SUMPRODUCT(COUNTIFS(tblStock[Proveedor],tblProveedores[[#This Row],[Proveedor]],tblStock[Estado],{"INCONSISTENTE","AGOTADO","CRÍTICO","BAJO"})))</f>
        <v/>
      </c>
      <c r="J2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6" spans="2:10" x14ac:dyDescent="0.25">
      <c r="B26" s="37"/>
      <c r="C26" s="38"/>
      <c r="D26" s="37"/>
      <c r="E26" s="38"/>
      <c r="F26" s="37"/>
      <c r="G26" s="39"/>
      <c r="H26" s="40" t="str">
        <f>IF(tblProveedores[[#This Row],[Proveedor]]="","",COUNTIF(tblProductos[Proveedor],tblProveedores[[#This Row],[Proveedor]]))</f>
        <v/>
      </c>
      <c r="I26" s="40" t="str">
        <f>IF(tblProveedores[[#This Row],[Proveedor]]="","",SUMPRODUCT(COUNTIFS(tblStock[Proveedor],tblProveedores[[#This Row],[Proveedor]],tblStock[Estado],{"INCONSISTENTE","AGOTADO","CRÍTICO","BAJO"})))</f>
        <v/>
      </c>
      <c r="J2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7" spans="2:10" x14ac:dyDescent="0.25">
      <c r="B27" s="37"/>
      <c r="C27" s="38"/>
      <c r="D27" s="37"/>
      <c r="E27" s="38"/>
      <c r="F27" s="37"/>
      <c r="G27" s="39"/>
      <c r="H27" s="40" t="str">
        <f>IF(tblProveedores[[#This Row],[Proveedor]]="","",COUNTIF(tblProductos[Proveedor],tblProveedores[[#This Row],[Proveedor]]))</f>
        <v/>
      </c>
      <c r="I27" s="40" t="str">
        <f>IF(tblProveedores[[#This Row],[Proveedor]]="","",SUMPRODUCT(COUNTIFS(tblStock[Proveedor],tblProveedores[[#This Row],[Proveedor]],tblStock[Estado],{"INCONSISTENTE","AGOTADO","CRÍTICO","BAJO"})))</f>
        <v/>
      </c>
      <c r="J2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8" spans="2:10" x14ac:dyDescent="0.25">
      <c r="B28" s="37"/>
      <c r="C28" s="38"/>
      <c r="D28" s="37"/>
      <c r="E28" s="38"/>
      <c r="F28" s="37"/>
      <c r="G28" s="39"/>
      <c r="H28" s="40" t="str">
        <f>IF(tblProveedores[[#This Row],[Proveedor]]="","",COUNTIF(tblProductos[Proveedor],tblProveedores[[#This Row],[Proveedor]]))</f>
        <v/>
      </c>
      <c r="I28" s="40" t="str">
        <f>IF(tblProveedores[[#This Row],[Proveedor]]="","",SUMPRODUCT(COUNTIFS(tblStock[Proveedor],tblProveedores[[#This Row],[Proveedor]],tblStock[Estado],{"INCONSISTENTE","AGOTADO","CRÍTICO","BAJO"})))</f>
        <v/>
      </c>
      <c r="J2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29" spans="2:10" x14ac:dyDescent="0.25">
      <c r="B29" s="37"/>
      <c r="C29" s="38"/>
      <c r="D29" s="37"/>
      <c r="E29" s="38"/>
      <c r="F29" s="37"/>
      <c r="G29" s="39"/>
      <c r="H29" s="40" t="str">
        <f>IF(tblProveedores[[#This Row],[Proveedor]]="","",COUNTIF(tblProductos[Proveedor],tblProveedores[[#This Row],[Proveedor]]))</f>
        <v/>
      </c>
      <c r="I29" s="40" t="str">
        <f>IF(tblProveedores[[#This Row],[Proveedor]]="","",SUMPRODUCT(COUNTIFS(tblStock[Proveedor],tblProveedores[[#This Row],[Proveedor]],tblStock[Estado],{"INCONSISTENTE","AGOTADO","CRÍTICO","BAJO"})))</f>
        <v/>
      </c>
      <c r="J2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0" spans="2:10" x14ac:dyDescent="0.25">
      <c r="B30" s="37"/>
      <c r="C30" s="38"/>
      <c r="D30" s="37"/>
      <c r="E30" s="38"/>
      <c r="F30" s="37"/>
      <c r="G30" s="39"/>
      <c r="H30" s="40" t="str">
        <f>IF(tblProveedores[[#This Row],[Proveedor]]="","",COUNTIF(tblProductos[Proveedor],tblProveedores[[#This Row],[Proveedor]]))</f>
        <v/>
      </c>
      <c r="I30" s="40" t="str">
        <f>IF(tblProveedores[[#This Row],[Proveedor]]="","",SUMPRODUCT(COUNTIFS(tblStock[Proveedor],tblProveedores[[#This Row],[Proveedor]],tblStock[Estado],{"INCONSISTENTE","AGOTADO","CRÍTICO","BAJO"})))</f>
        <v/>
      </c>
      <c r="J3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1" spans="2:10" x14ac:dyDescent="0.25">
      <c r="B31" s="37"/>
      <c r="C31" s="38"/>
      <c r="D31" s="37"/>
      <c r="E31" s="38"/>
      <c r="F31" s="37"/>
      <c r="G31" s="39"/>
      <c r="H31" s="40" t="str">
        <f>IF(tblProveedores[[#This Row],[Proveedor]]="","",COUNTIF(tblProductos[Proveedor],tblProveedores[[#This Row],[Proveedor]]))</f>
        <v/>
      </c>
      <c r="I31" s="40" t="str">
        <f>IF(tblProveedores[[#This Row],[Proveedor]]="","",SUMPRODUCT(COUNTIFS(tblStock[Proveedor],tblProveedores[[#This Row],[Proveedor]],tblStock[Estado],{"INCONSISTENTE","AGOTADO","CRÍTICO","BAJO"})))</f>
        <v/>
      </c>
      <c r="J3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2" spans="2:10" x14ac:dyDescent="0.25">
      <c r="B32" s="37"/>
      <c r="C32" s="38"/>
      <c r="D32" s="37"/>
      <c r="E32" s="38"/>
      <c r="F32" s="37"/>
      <c r="G32" s="39"/>
      <c r="H32" s="40" t="str">
        <f>IF(tblProveedores[[#This Row],[Proveedor]]="","",COUNTIF(tblProductos[Proveedor],tblProveedores[[#This Row],[Proveedor]]))</f>
        <v/>
      </c>
      <c r="I32" s="40" t="str">
        <f>IF(tblProveedores[[#This Row],[Proveedor]]="","",SUMPRODUCT(COUNTIFS(tblStock[Proveedor],tblProveedores[[#This Row],[Proveedor]],tblStock[Estado],{"INCONSISTENTE","AGOTADO","CRÍTICO","BAJO"})))</f>
        <v/>
      </c>
      <c r="J3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3" spans="2:10" x14ac:dyDescent="0.25">
      <c r="B33" s="37"/>
      <c r="C33" s="38"/>
      <c r="D33" s="37"/>
      <c r="E33" s="38"/>
      <c r="F33" s="37"/>
      <c r="G33" s="39"/>
      <c r="H33" s="40" t="str">
        <f>IF(tblProveedores[[#This Row],[Proveedor]]="","",COUNTIF(tblProductos[Proveedor],tblProveedores[[#This Row],[Proveedor]]))</f>
        <v/>
      </c>
      <c r="I33" s="40" t="str">
        <f>IF(tblProveedores[[#This Row],[Proveedor]]="","",SUMPRODUCT(COUNTIFS(tblStock[Proveedor],tblProveedores[[#This Row],[Proveedor]],tblStock[Estado],{"INCONSISTENTE","AGOTADO","CRÍTICO","BAJO"})))</f>
        <v/>
      </c>
      <c r="J3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4" spans="2:10" x14ac:dyDescent="0.25">
      <c r="B34" s="37"/>
      <c r="C34" s="38"/>
      <c r="D34" s="37"/>
      <c r="E34" s="38"/>
      <c r="F34" s="37"/>
      <c r="G34" s="39"/>
      <c r="H34" s="40" t="str">
        <f>IF(tblProveedores[[#This Row],[Proveedor]]="","",COUNTIF(tblProductos[Proveedor],tblProveedores[[#This Row],[Proveedor]]))</f>
        <v/>
      </c>
      <c r="I34" s="40" t="str">
        <f>IF(tblProveedores[[#This Row],[Proveedor]]="","",SUMPRODUCT(COUNTIFS(tblStock[Proveedor],tblProveedores[[#This Row],[Proveedor]],tblStock[Estado],{"INCONSISTENTE","AGOTADO","CRÍTICO","BAJO"})))</f>
        <v/>
      </c>
      <c r="J3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5" spans="2:10" x14ac:dyDescent="0.25">
      <c r="B35" s="37"/>
      <c r="C35" s="38"/>
      <c r="D35" s="37"/>
      <c r="E35" s="38"/>
      <c r="F35" s="37"/>
      <c r="G35" s="39"/>
      <c r="H35" s="40" t="str">
        <f>IF(tblProveedores[[#This Row],[Proveedor]]="","",COUNTIF(tblProductos[Proveedor],tblProveedores[[#This Row],[Proveedor]]))</f>
        <v/>
      </c>
      <c r="I35" s="40" t="str">
        <f>IF(tblProveedores[[#This Row],[Proveedor]]="","",SUMPRODUCT(COUNTIFS(tblStock[Proveedor],tblProveedores[[#This Row],[Proveedor]],tblStock[Estado],{"INCONSISTENTE","AGOTADO","CRÍTICO","BAJO"})))</f>
        <v/>
      </c>
      <c r="J3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6" spans="2:10" x14ac:dyDescent="0.25">
      <c r="B36" s="37"/>
      <c r="C36" s="38"/>
      <c r="D36" s="37"/>
      <c r="E36" s="38"/>
      <c r="F36" s="37"/>
      <c r="G36" s="39"/>
      <c r="H36" s="40" t="str">
        <f>IF(tblProveedores[[#This Row],[Proveedor]]="","",COUNTIF(tblProductos[Proveedor],tblProveedores[[#This Row],[Proveedor]]))</f>
        <v/>
      </c>
      <c r="I36" s="40" t="str">
        <f>IF(tblProveedores[[#This Row],[Proveedor]]="","",SUMPRODUCT(COUNTIFS(tblStock[Proveedor],tblProveedores[[#This Row],[Proveedor]],tblStock[Estado],{"INCONSISTENTE","AGOTADO","CRÍTICO","BAJO"})))</f>
        <v/>
      </c>
      <c r="J3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7" spans="2:10" x14ac:dyDescent="0.25">
      <c r="B37" s="37"/>
      <c r="C37" s="38"/>
      <c r="D37" s="37"/>
      <c r="E37" s="38"/>
      <c r="F37" s="37"/>
      <c r="G37" s="39"/>
      <c r="H37" s="40" t="str">
        <f>IF(tblProveedores[[#This Row],[Proveedor]]="","",COUNTIF(tblProductos[Proveedor],tblProveedores[[#This Row],[Proveedor]]))</f>
        <v/>
      </c>
      <c r="I37" s="40" t="str">
        <f>IF(tblProveedores[[#This Row],[Proveedor]]="","",SUMPRODUCT(COUNTIFS(tblStock[Proveedor],tblProveedores[[#This Row],[Proveedor]],tblStock[Estado],{"INCONSISTENTE","AGOTADO","CRÍTICO","BAJO"})))</f>
        <v/>
      </c>
      <c r="J3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8" spans="2:10" x14ac:dyDescent="0.25">
      <c r="B38" s="37"/>
      <c r="C38" s="38"/>
      <c r="D38" s="37"/>
      <c r="E38" s="38"/>
      <c r="F38" s="37"/>
      <c r="G38" s="39"/>
      <c r="H38" s="40" t="str">
        <f>IF(tblProveedores[[#This Row],[Proveedor]]="","",COUNTIF(tblProductos[Proveedor],tblProveedores[[#This Row],[Proveedor]]))</f>
        <v/>
      </c>
      <c r="I38" s="40" t="str">
        <f>IF(tblProveedores[[#This Row],[Proveedor]]="","",SUMPRODUCT(COUNTIFS(tblStock[Proveedor],tblProveedores[[#This Row],[Proveedor]],tblStock[Estado],{"INCONSISTENTE","AGOTADO","CRÍTICO","BAJO"})))</f>
        <v/>
      </c>
      <c r="J3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39" spans="2:10" x14ac:dyDescent="0.25">
      <c r="B39" s="37"/>
      <c r="C39" s="38"/>
      <c r="D39" s="37"/>
      <c r="E39" s="38"/>
      <c r="F39" s="37"/>
      <c r="G39" s="39"/>
      <c r="H39" s="40" t="str">
        <f>IF(tblProveedores[[#This Row],[Proveedor]]="","",COUNTIF(tblProductos[Proveedor],tblProveedores[[#This Row],[Proveedor]]))</f>
        <v/>
      </c>
      <c r="I39" s="40" t="str">
        <f>IF(tblProveedores[[#This Row],[Proveedor]]="","",SUMPRODUCT(COUNTIFS(tblStock[Proveedor],tblProveedores[[#This Row],[Proveedor]],tblStock[Estado],{"INCONSISTENTE","AGOTADO","CRÍTICO","BAJO"})))</f>
        <v/>
      </c>
      <c r="J3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0" spans="2:10" x14ac:dyDescent="0.25">
      <c r="B40" s="37"/>
      <c r="C40" s="38"/>
      <c r="D40" s="37"/>
      <c r="E40" s="38"/>
      <c r="F40" s="37"/>
      <c r="G40" s="39"/>
      <c r="H40" s="40" t="str">
        <f>IF(tblProveedores[[#This Row],[Proveedor]]="","",COUNTIF(tblProductos[Proveedor],tblProveedores[[#This Row],[Proveedor]]))</f>
        <v/>
      </c>
      <c r="I40" s="40" t="str">
        <f>IF(tblProveedores[[#This Row],[Proveedor]]="","",SUMPRODUCT(COUNTIFS(tblStock[Proveedor],tblProveedores[[#This Row],[Proveedor]],tblStock[Estado],{"INCONSISTENTE","AGOTADO","CRÍTICO","BAJO"})))</f>
        <v/>
      </c>
      <c r="J4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1" spans="2:10" x14ac:dyDescent="0.25">
      <c r="B41" s="37"/>
      <c r="C41" s="38"/>
      <c r="D41" s="37"/>
      <c r="E41" s="38"/>
      <c r="F41" s="37"/>
      <c r="G41" s="39"/>
      <c r="H41" s="40" t="str">
        <f>IF(tblProveedores[[#This Row],[Proveedor]]="","",COUNTIF(tblProductos[Proveedor],tblProveedores[[#This Row],[Proveedor]]))</f>
        <v/>
      </c>
      <c r="I41" s="40" t="str">
        <f>IF(tblProveedores[[#This Row],[Proveedor]]="","",SUMPRODUCT(COUNTIFS(tblStock[Proveedor],tblProveedores[[#This Row],[Proveedor]],tblStock[Estado],{"INCONSISTENTE","AGOTADO","CRÍTICO","BAJO"})))</f>
        <v/>
      </c>
      <c r="J4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2" spans="2:10" x14ac:dyDescent="0.25">
      <c r="B42" s="37"/>
      <c r="C42" s="38"/>
      <c r="D42" s="37"/>
      <c r="E42" s="38"/>
      <c r="F42" s="37"/>
      <c r="G42" s="39"/>
      <c r="H42" s="40" t="str">
        <f>IF(tblProveedores[[#This Row],[Proveedor]]="","",COUNTIF(tblProductos[Proveedor],tblProveedores[[#This Row],[Proveedor]]))</f>
        <v/>
      </c>
      <c r="I42" s="40" t="str">
        <f>IF(tblProveedores[[#This Row],[Proveedor]]="","",SUMPRODUCT(COUNTIFS(tblStock[Proveedor],tblProveedores[[#This Row],[Proveedor]],tblStock[Estado],{"INCONSISTENTE","AGOTADO","CRÍTICO","BAJO"})))</f>
        <v/>
      </c>
      <c r="J4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3" spans="2:10" x14ac:dyDescent="0.25">
      <c r="B43" s="37"/>
      <c r="C43" s="38"/>
      <c r="D43" s="37"/>
      <c r="E43" s="38"/>
      <c r="F43" s="37"/>
      <c r="G43" s="39"/>
      <c r="H43" s="40" t="str">
        <f>IF(tblProveedores[[#This Row],[Proveedor]]="","",COUNTIF(tblProductos[Proveedor],tblProveedores[[#This Row],[Proveedor]]))</f>
        <v/>
      </c>
      <c r="I43" s="40" t="str">
        <f>IF(tblProveedores[[#This Row],[Proveedor]]="","",SUMPRODUCT(COUNTIFS(tblStock[Proveedor],tblProveedores[[#This Row],[Proveedor]],tblStock[Estado],{"INCONSISTENTE","AGOTADO","CRÍTICO","BAJO"})))</f>
        <v/>
      </c>
      <c r="J4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4" spans="2:10" x14ac:dyDescent="0.25">
      <c r="B44" s="37"/>
      <c r="C44" s="38"/>
      <c r="D44" s="37"/>
      <c r="E44" s="38"/>
      <c r="F44" s="37"/>
      <c r="G44" s="39"/>
      <c r="H44" s="40" t="str">
        <f>IF(tblProveedores[[#This Row],[Proveedor]]="","",COUNTIF(tblProductos[Proveedor],tblProveedores[[#This Row],[Proveedor]]))</f>
        <v/>
      </c>
      <c r="I44" s="40" t="str">
        <f>IF(tblProveedores[[#This Row],[Proveedor]]="","",SUMPRODUCT(COUNTIFS(tblStock[Proveedor],tblProveedores[[#This Row],[Proveedor]],tblStock[Estado],{"INCONSISTENTE","AGOTADO","CRÍTICO","BAJO"})))</f>
        <v/>
      </c>
      <c r="J4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5" spans="2:10" x14ac:dyDescent="0.25">
      <c r="B45" s="37"/>
      <c r="C45" s="38"/>
      <c r="D45" s="37"/>
      <c r="E45" s="38"/>
      <c r="F45" s="37"/>
      <c r="G45" s="39"/>
      <c r="H45" s="40" t="str">
        <f>IF(tblProveedores[[#This Row],[Proveedor]]="","",COUNTIF(tblProductos[Proveedor],tblProveedores[[#This Row],[Proveedor]]))</f>
        <v/>
      </c>
      <c r="I45" s="40" t="str">
        <f>IF(tblProveedores[[#This Row],[Proveedor]]="","",SUMPRODUCT(COUNTIFS(tblStock[Proveedor],tblProveedores[[#This Row],[Proveedor]],tblStock[Estado],{"INCONSISTENTE","AGOTADO","CRÍTICO","BAJO"})))</f>
        <v/>
      </c>
      <c r="J4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6" spans="2:10" x14ac:dyDescent="0.25">
      <c r="B46" s="37"/>
      <c r="C46" s="38"/>
      <c r="D46" s="37"/>
      <c r="E46" s="38"/>
      <c r="F46" s="37"/>
      <c r="G46" s="39"/>
      <c r="H46" s="40" t="str">
        <f>IF(tblProveedores[[#This Row],[Proveedor]]="","",COUNTIF(tblProductos[Proveedor],tblProveedores[[#This Row],[Proveedor]]))</f>
        <v/>
      </c>
      <c r="I46" s="40" t="str">
        <f>IF(tblProveedores[[#This Row],[Proveedor]]="","",SUMPRODUCT(COUNTIFS(tblStock[Proveedor],tblProveedores[[#This Row],[Proveedor]],tblStock[Estado],{"INCONSISTENTE","AGOTADO","CRÍTICO","BAJO"})))</f>
        <v/>
      </c>
      <c r="J4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7" spans="2:10" x14ac:dyDescent="0.25">
      <c r="B47" s="37"/>
      <c r="C47" s="38"/>
      <c r="D47" s="37"/>
      <c r="E47" s="38"/>
      <c r="F47" s="37"/>
      <c r="G47" s="39"/>
      <c r="H47" s="40" t="str">
        <f>IF(tblProveedores[[#This Row],[Proveedor]]="","",COUNTIF(tblProductos[Proveedor],tblProveedores[[#This Row],[Proveedor]]))</f>
        <v/>
      </c>
      <c r="I47" s="40" t="str">
        <f>IF(tblProveedores[[#This Row],[Proveedor]]="","",SUMPRODUCT(COUNTIFS(tblStock[Proveedor],tblProveedores[[#This Row],[Proveedor]],tblStock[Estado],{"INCONSISTENTE","AGOTADO","CRÍTICO","BAJO"})))</f>
        <v/>
      </c>
      <c r="J4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8" spans="2:10" x14ac:dyDescent="0.25">
      <c r="B48" s="37"/>
      <c r="C48" s="38"/>
      <c r="D48" s="37"/>
      <c r="E48" s="38"/>
      <c r="F48" s="37"/>
      <c r="G48" s="39"/>
      <c r="H48" s="40" t="str">
        <f>IF(tblProveedores[[#This Row],[Proveedor]]="","",COUNTIF(tblProductos[Proveedor],tblProveedores[[#This Row],[Proveedor]]))</f>
        <v/>
      </c>
      <c r="I48" s="40" t="str">
        <f>IF(tblProveedores[[#This Row],[Proveedor]]="","",SUMPRODUCT(COUNTIFS(tblStock[Proveedor],tblProveedores[[#This Row],[Proveedor]],tblStock[Estado],{"INCONSISTENTE","AGOTADO","CRÍTICO","BAJO"})))</f>
        <v/>
      </c>
      <c r="J4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49" spans="2:10" x14ac:dyDescent="0.25">
      <c r="B49" s="37"/>
      <c r="C49" s="38"/>
      <c r="D49" s="37"/>
      <c r="E49" s="38"/>
      <c r="F49" s="37"/>
      <c r="G49" s="39"/>
      <c r="H49" s="40" t="str">
        <f>IF(tblProveedores[[#This Row],[Proveedor]]="","",COUNTIF(tblProductos[Proveedor],tblProveedores[[#This Row],[Proveedor]]))</f>
        <v/>
      </c>
      <c r="I49" s="40" t="str">
        <f>IF(tblProveedores[[#This Row],[Proveedor]]="","",SUMPRODUCT(COUNTIFS(tblStock[Proveedor],tblProveedores[[#This Row],[Proveedor]],tblStock[Estado],{"INCONSISTENTE","AGOTADO","CRÍTICO","BAJO"})))</f>
        <v/>
      </c>
      <c r="J4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0" spans="2:10" x14ac:dyDescent="0.25">
      <c r="B50" s="37"/>
      <c r="C50" s="38"/>
      <c r="D50" s="37"/>
      <c r="E50" s="38"/>
      <c r="F50" s="37"/>
      <c r="G50" s="39"/>
      <c r="H50" s="40" t="str">
        <f>IF(tblProveedores[[#This Row],[Proveedor]]="","",COUNTIF(tblProductos[Proveedor],tblProveedores[[#This Row],[Proveedor]]))</f>
        <v/>
      </c>
      <c r="I50" s="40" t="str">
        <f>IF(tblProveedores[[#This Row],[Proveedor]]="","",SUMPRODUCT(COUNTIFS(tblStock[Proveedor],tblProveedores[[#This Row],[Proveedor]],tblStock[Estado],{"INCONSISTENTE","AGOTADO","CRÍTICO","BAJO"})))</f>
        <v/>
      </c>
      <c r="J5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1" spans="2:10" x14ac:dyDescent="0.25">
      <c r="B51" s="37"/>
      <c r="C51" s="38"/>
      <c r="D51" s="37"/>
      <c r="E51" s="38"/>
      <c r="F51" s="37"/>
      <c r="G51" s="39"/>
      <c r="H51" s="40" t="str">
        <f>IF(tblProveedores[[#This Row],[Proveedor]]="","",COUNTIF(tblProductos[Proveedor],tblProveedores[[#This Row],[Proveedor]]))</f>
        <v/>
      </c>
      <c r="I51" s="40" t="str">
        <f>IF(tblProveedores[[#This Row],[Proveedor]]="","",SUMPRODUCT(COUNTIFS(tblStock[Proveedor],tblProveedores[[#This Row],[Proveedor]],tblStock[Estado],{"INCONSISTENTE","AGOTADO","CRÍTICO","BAJO"})))</f>
        <v/>
      </c>
      <c r="J5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2" spans="2:10" x14ac:dyDescent="0.25">
      <c r="B52" s="37"/>
      <c r="C52" s="38"/>
      <c r="D52" s="37"/>
      <c r="E52" s="38"/>
      <c r="F52" s="37"/>
      <c r="G52" s="39"/>
      <c r="H52" s="40" t="str">
        <f>IF(tblProveedores[[#This Row],[Proveedor]]="","",COUNTIF(tblProductos[Proveedor],tblProveedores[[#This Row],[Proveedor]]))</f>
        <v/>
      </c>
      <c r="I52" s="40" t="str">
        <f>IF(tblProveedores[[#This Row],[Proveedor]]="","",SUMPRODUCT(COUNTIFS(tblStock[Proveedor],tblProveedores[[#This Row],[Proveedor]],tblStock[Estado],{"INCONSISTENTE","AGOTADO","CRÍTICO","BAJO"})))</f>
        <v/>
      </c>
      <c r="J5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3" spans="2:10" x14ac:dyDescent="0.25">
      <c r="B53" s="37"/>
      <c r="C53" s="38"/>
      <c r="D53" s="37"/>
      <c r="E53" s="38"/>
      <c r="F53" s="37"/>
      <c r="G53" s="39"/>
      <c r="H53" s="40" t="str">
        <f>IF(tblProveedores[[#This Row],[Proveedor]]="","",COUNTIF(tblProductos[Proveedor],tblProveedores[[#This Row],[Proveedor]]))</f>
        <v/>
      </c>
      <c r="I53" s="40" t="str">
        <f>IF(tblProveedores[[#This Row],[Proveedor]]="","",SUMPRODUCT(COUNTIFS(tblStock[Proveedor],tblProveedores[[#This Row],[Proveedor]],tblStock[Estado],{"INCONSISTENTE","AGOTADO","CRÍTICO","BAJO"})))</f>
        <v/>
      </c>
      <c r="J5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4" spans="2:10" x14ac:dyDescent="0.25">
      <c r="B54" s="37"/>
      <c r="C54" s="38"/>
      <c r="D54" s="37"/>
      <c r="E54" s="38"/>
      <c r="F54" s="37"/>
      <c r="G54" s="39"/>
      <c r="H54" s="40" t="str">
        <f>IF(tblProveedores[[#This Row],[Proveedor]]="","",COUNTIF(tblProductos[Proveedor],tblProveedores[[#This Row],[Proveedor]]))</f>
        <v/>
      </c>
      <c r="I54" s="40" t="str">
        <f>IF(tblProveedores[[#This Row],[Proveedor]]="","",SUMPRODUCT(COUNTIFS(tblStock[Proveedor],tblProveedores[[#This Row],[Proveedor]],tblStock[Estado],{"INCONSISTENTE","AGOTADO","CRÍTICO","BAJO"})))</f>
        <v/>
      </c>
      <c r="J5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5" spans="2:10" x14ac:dyDescent="0.25">
      <c r="B55" s="37"/>
      <c r="C55" s="38"/>
      <c r="D55" s="37"/>
      <c r="E55" s="38"/>
      <c r="F55" s="37"/>
      <c r="G55" s="39"/>
      <c r="H55" s="40" t="str">
        <f>IF(tblProveedores[[#This Row],[Proveedor]]="","",COUNTIF(tblProductos[Proveedor],tblProveedores[[#This Row],[Proveedor]]))</f>
        <v/>
      </c>
      <c r="I55" s="40" t="str">
        <f>IF(tblProveedores[[#This Row],[Proveedor]]="","",SUMPRODUCT(COUNTIFS(tblStock[Proveedor],tblProveedores[[#This Row],[Proveedor]],tblStock[Estado],{"INCONSISTENTE","AGOTADO","CRÍTICO","BAJO"})))</f>
        <v/>
      </c>
      <c r="J5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6" spans="2:10" x14ac:dyDescent="0.25">
      <c r="B56" s="37"/>
      <c r="C56" s="38"/>
      <c r="D56" s="37"/>
      <c r="E56" s="38"/>
      <c r="F56" s="37"/>
      <c r="G56" s="39"/>
      <c r="H56" s="40" t="str">
        <f>IF(tblProveedores[[#This Row],[Proveedor]]="","",COUNTIF(tblProductos[Proveedor],tblProveedores[[#This Row],[Proveedor]]))</f>
        <v/>
      </c>
      <c r="I56" s="40" t="str">
        <f>IF(tblProveedores[[#This Row],[Proveedor]]="","",SUMPRODUCT(COUNTIFS(tblStock[Proveedor],tblProveedores[[#This Row],[Proveedor]],tblStock[Estado],{"INCONSISTENTE","AGOTADO","CRÍTICO","BAJO"})))</f>
        <v/>
      </c>
      <c r="J5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7" spans="2:10" x14ac:dyDescent="0.25">
      <c r="B57" s="37"/>
      <c r="C57" s="38"/>
      <c r="D57" s="37"/>
      <c r="E57" s="38"/>
      <c r="F57" s="37"/>
      <c r="G57" s="39"/>
      <c r="H57" s="40" t="str">
        <f>IF(tblProveedores[[#This Row],[Proveedor]]="","",COUNTIF(tblProductos[Proveedor],tblProveedores[[#This Row],[Proveedor]]))</f>
        <v/>
      </c>
      <c r="I57" s="40" t="str">
        <f>IF(tblProveedores[[#This Row],[Proveedor]]="","",SUMPRODUCT(COUNTIFS(tblStock[Proveedor],tblProveedores[[#This Row],[Proveedor]],tblStock[Estado],{"INCONSISTENTE","AGOTADO","CRÍTICO","BAJO"})))</f>
        <v/>
      </c>
      <c r="J5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8" spans="2:10" x14ac:dyDescent="0.25">
      <c r="B58" s="37"/>
      <c r="C58" s="38"/>
      <c r="D58" s="37"/>
      <c r="E58" s="38"/>
      <c r="F58" s="37"/>
      <c r="G58" s="39"/>
      <c r="H58" s="40" t="str">
        <f>IF(tblProveedores[[#This Row],[Proveedor]]="","",COUNTIF(tblProductos[Proveedor],tblProveedores[[#This Row],[Proveedor]]))</f>
        <v/>
      </c>
      <c r="I58" s="40" t="str">
        <f>IF(tblProveedores[[#This Row],[Proveedor]]="","",SUMPRODUCT(COUNTIFS(tblStock[Proveedor],tblProveedores[[#This Row],[Proveedor]],tblStock[Estado],{"INCONSISTENTE","AGOTADO","CRÍTICO","BAJO"})))</f>
        <v/>
      </c>
      <c r="J5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59" spans="2:10" x14ac:dyDescent="0.25">
      <c r="B59" s="37"/>
      <c r="C59" s="38"/>
      <c r="D59" s="37"/>
      <c r="E59" s="38"/>
      <c r="F59" s="37"/>
      <c r="G59" s="39"/>
      <c r="H59" s="40" t="str">
        <f>IF(tblProveedores[[#This Row],[Proveedor]]="","",COUNTIF(tblProductos[Proveedor],tblProveedores[[#This Row],[Proveedor]]))</f>
        <v/>
      </c>
      <c r="I59" s="40" t="str">
        <f>IF(tblProveedores[[#This Row],[Proveedor]]="","",SUMPRODUCT(COUNTIFS(tblStock[Proveedor],tblProveedores[[#This Row],[Proveedor]],tblStock[Estado],{"INCONSISTENTE","AGOTADO","CRÍTICO","BAJO"})))</f>
        <v/>
      </c>
      <c r="J5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0" spans="2:10" x14ac:dyDescent="0.25">
      <c r="B60" s="37"/>
      <c r="C60" s="38"/>
      <c r="D60" s="37"/>
      <c r="E60" s="38"/>
      <c r="F60" s="37"/>
      <c r="G60" s="39"/>
      <c r="H60" s="40" t="str">
        <f>IF(tblProveedores[[#This Row],[Proveedor]]="","",COUNTIF(tblProductos[Proveedor],tblProveedores[[#This Row],[Proveedor]]))</f>
        <v/>
      </c>
      <c r="I60" s="40" t="str">
        <f>IF(tblProveedores[[#This Row],[Proveedor]]="","",SUMPRODUCT(COUNTIFS(tblStock[Proveedor],tblProveedores[[#This Row],[Proveedor]],tblStock[Estado],{"INCONSISTENTE","AGOTADO","CRÍTICO","BAJO"})))</f>
        <v/>
      </c>
      <c r="J6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1" spans="2:10" x14ac:dyDescent="0.25">
      <c r="B61" s="37"/>
      <c r="C61" s="38"/>
      <c r="D61" s="37"/>
      <c r="E61" s="38"/>
      <c r="F61" s="37"/>
      <c r="G61" s="39"/>
      <c r="H61" s="40" t="str">
        <f>IF(tblProveedores[[#This Row],[Proveedor]]="","",COUNTIF(tblProductos[Proveedor],tblProveedores[[#This Row],[Proveedor]]))</f>
        <v/>
      </c>
      <c r="I61" s="40" t="str">
        <f>IF(tblProveedores[[#This Row],[Proveedor]]="","",SUMPRODUCT(COUNTIFS(tblStock[Proveedor],tblProveedores[[#This Row],[Proveedor]],tblStock[Estado],{"INCONSISTENTE","AGOTADO","CRÍTICO","BAJO"})))</f>
        <v/>
      </c>
      <c r="J6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2" spans="2:10" x14ac:dyDescent="0.25">
      <c r="B62" s="37"/>
      <c r="C62" s="38"/>
      <c r="D62" s="37"/>
      <c r="E62" s="38"/>
      <c r="F62" s="37"/>
      <c r="G62" s="39"/>
      <c r="H62" s="40" t="str">
        <f>IF(tblProveedores[[#This Row],[Proveedor]]="","",COUNTIF(tblProductos[Proveedor],tblProveedores[[#This Row],[Proveedor]]))</f>
        <v/>
      </c>
      <c r="I62" s="40" t="str">
        <f>IF(tblProveedores[[#This Row],[Proveedor]]="","",SUMPRODUCT(COUNTIFS(tblStock[Proveedor],tblProveedores[[#This Row],[Proveedor]],tblStock[Estado],{"INCONSISTENTE","AGOTADO","CRÍTICO","BAJO"})))</f>
        <v/>
      </c>
      <c r="J6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3" spans="2:10" x14ac:dyDescent="0.25">
      <c r="B63" s="37"/>
      <c r="C63" s="38"/>
      <c r="D63" s="37"/>
      <c r="E63" s="38"/>
      <c r="F63" s="37"/>
      <c r="G63" s="39"/>
      <c r="H63" s="40" t="str">
        <f>IF(tblProveedores[[#This Row],[Proveedor]]="","",COUNTIF(tblProductos[Proveedor],tblProveedores[[#This Row],[Proveedor]]))</f>
        <v/>
      </c>
      <c r="I63" s="40" t="str">
        <f>IF(tblProveedores[[#This Row],[Proveedor]]="","",SUMPRODUCT(COUNTIFS(tblStock[Proveedor],tblProveedores[[#This Row],[Proveedor]],tblStock[Estado],{"INCONSISTENTE","AGOTADO","CRÍTICO","BAJO"})))</f>
        <v/>
      </c>
      <c r="J6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4" spans="2:10" x14ac:dyDescent="0.25">
      <c r="B64" s="37"/>
      <c r="C64" s="38"/>
      <c r="D64" s="37"/>
      <c r="E64" s="38"/>
      <c r="F64" s="37"/>
      <c r="G64" s="39"/>
      <c r="H64" s="40" t="str">
        <f>IF(tblProveedores[[#This Row],[Proveedor]]="","",COUNTIF(tblProductos[Proveedor],tblProveedores[[#This Row],[Proveedor]]))</f>
        <v/>
      </c>
      <c r="I64" s="40" t="str">
        <f>IF(tblProveedores[[#This Row],[Proveedor]]="","",SUMPRODUCT(COUNTIFS(tblStock[Proveedor],tblProveedores[[#This Row],[Proveedor]],tblStock[Estado],{"INCONSISTENTE","AGOTADO","CRÍTICO","BAJO"})))</f>
        <v/>
      </c>
      <c r="J6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5" spans="2:10" x14ac:dyDescent="0.25">
      <c r="B65" s="37"/>
      <c r="C65" s="38"/>
      <c r="D65" s="37"/>
      <c r="E65" s="38"/>
      <c r="F65" s="37"/>
      <c r="G65" s="39"/>
      <c r="H65" s="40" t="str">
        <f>IF(tblProveedores[[#This Row],[Proveedor]]="","",COUNTIF(tblProductos[Proveedor],tblProveedores[[#This Row],[Proveedor]]))</f>
        <v/>
      </c>
      <c r="I65" s="40" t="str">
        <f>IF(tblProveedores[[#This Row],[Proveedor]]="","",SUMPRODUCT(COUNTIFS(tblStock[Proveedor],tblProveedores[[#This Row],[Proveedor]],tblStock[Estado],{"INCONSISTENTE","AGOTADO","CRÍTICO","BAJO"})))</f>
        <v/>
      </c>
      <c r="J6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6" spans="2:10" x14ac:dyDescent="0.25">
      <c r="B66" s="37"/>
      <c r="C66" s="38"/>
      <c r="D66" s="37"/>
      <c r="E66" s="38"/>
      <c r="F66" s="37"/>
      <c r="G66" s="39"/>
      <c r="H66" s="40" t="str">
        <f>IF(tblProveedores[[#This Row],[Proveedor]]="","",COUNTIF(tblProductos[Proveedor],tblProveedores[[#This Row],[Proveedor]]))</f>
        <v/>
      </c>
      <c r="I66" s="40" t="str">
        <f>IF(tblProveedores[[#This Row],[Proveedor]]="","",SUMPRODUCT(COUNTIFS(tblStock[Proveedor],tblProveedores[[#This Row],[Proveedor]],tblStock[Estado],{"INCONSISTENTE","AGOTADO","CRÍTICO","BAJO"})))</f>
        <v/>
      </c>
      <c r="J6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7" spans="2:10" x14ac:dyDescent="0.25">
      <c r="B67" s="37"/>
      <c r="C67" s="38"/>
      <c r="D67" s="37"/>
      <c r="E67" s="38"/>
      <c r="F67" s="37"/>
      <c r="G67" s="39"/>
      <c r="H67" s="40" t="str">
        <f>IF(tblProveedores[[#This Row],[Proveedor]]="","",COUNTIF(tblProductos[Proveedor],tblProveedores[[#This Row],[Proveedor]]))</f>
        <v/>
      </c>
      <c r="I67" s="40" t="str">
        <f>IF(tblProveedores[[#This Row],[Proveedor]]="","",SUMPRODUCT(COUNTIFS(tblStock[Proveedor],tblProveedores[[#This Row],[Proveedor]],tblStock[Estado],{"INCONSISTENTE","AGOTADO","CRÍTICO","BAJO"})))</f>
        <v/>
      </c>
      <c r="J6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8" spans="2:10" x14ac:dyDescent="0.25">
      <c r="B68" s="37"/>
      <c r="C68" s="38"/>
      <c r="D68" s="37"/>
      <c r="E68" s="38"/>
      <c r="F68" s="37"/>
      <c r="G68" s="39"/>
      <c r="H68" s="40" t="str">
        <f>IF(tblProveedores[[#This Row],[Proveedor]]="","",COUNTIF(tblProductos[Proveedor],tblProveedores[[#This Row],[Proveedor]]))</f>
        <v/>
      </c>
      <c r="I68" s="40" t="str">
        <f>IF(tblProveedores[[#This Row],[Proveedor]]="","",SUMPRODUCT(COUNTIFS(tblStock[Proveedor],tblProveedores[[#This Row],[Proveedor]],tblStock[Estado],{"INCONSISTENTE","AGOTADO","CRÍTICO","BAJO"})))</f>
        <v/>
      </c>
      <c r="J6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69" spans="2:10" x14ac:dyDescent="0.25">
      <c r="B69" s="37"/>
      <c r="C69" s="38"/>
      <c r="D69" s="37"/>
      <c r="E69" s="38"/>
      <c r="F69" s="37"/>
      <c r="G69" s="39"/>
      <c r="H69" s="40" t="str">
        <f>IF(tblProveedores[[#This Row],[Proveedor]]="","",COUNTIF(tblProductos[Proveedor],tblProveedores[[#This Row],[Proveedor]]))</f>
        <v/>
      </c>
      <c r="I69" s="40" t="str">
        <f>IF(tblProveedores[[#This Row],[Proveedor]]="","",SUMPRODUCT(COUNTIFS(tblStock[Proveedor],tblProveedores[[#This Row],[Proveedor]],tblStock[Estado],{"INCONSISTENTE","AGOTADO","CRÍTICO","BAJO"})))</f>
        <v/>
      </c>
      <c r="J6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0" spans="2:10" x14ac:dyDescent="0.25">
      <c r="B70" s="37"/>
      <c r="C70" s="38"/>
      <c r="D70" s="37"/>
      <c r="E70" s="38"/>
      <c r="F70" s="37"/>
      <c r="G70" s="39"/>
      <c r="H70" s="40" t="str">
        <f>IF(tblProveedores[[#This Row],[Proveedor]]="","",COUNTIF(tblProductos[Proveedor],tblProveedores[[#This Row],[Proveedor]]))</f>
        <v/>
      </c>
      <c r="I70" s="40" t="str">
        <f>IF(tblProveedores[[#This Row],[Proveedor]]="","",SUMPRODUCT(COUNTIFS(tblStock[Proveedor],tblProveedores[[#This Row],[Proveedor]],tblStock[Estado],{"INCONSISTENTE","AGOTADO","CRÍTICO","BAJO"})))</f>
        <v/>
      </c>
      <c r="J7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1" spans="2:10" x14ac:dyDescent="0.25">
      <c r="B71" s="37"/>
      <c r="C71" s="38"/>
      <c r="D71" s="37"/>
      <c r="E71" s="38"/>
      <c r="F71" s="37"/>
      <c r="G71" s="39"/>
      <c r="H71" s="40" t="str">
        <f>IF(tblProveedores[[#This Row],[Proveedor]]="","",COUNTIF(tblProductos[Proveedor],tblProveedores[[#This Row],[Proveedor]]))</f>
        <v/>
      </c>
      <c r="I71" s="40" t="str">
        <f>IF(tblProveedores[[#This Row],[Proveedor]]="","",SUMPRODUCT(COUNTIFS(tblStock[Proveedor],tblProveedores[[#This Row],[Proveedor]],tblStock[Estado],{"INCONSISTENTE","AGOTADO","CRÍTICO","BAJO"})))</f>
        <v/>
      </c>
      <c r="J7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2" spans="2:10" x14ac:dyDescent="0.25">
      <c r="B72" s="37"/>
      <c r="C72" s="38"/>
      <c r="D72" s="37"/>
      <c r="E72" s="38"/>
      <c r="F72" s="37"/>
      <c r="G72" s="39"/>
      <c r="H72" s="40" t="str">
        <f>IF(tblProveedores[[#This Row],[Proveedor]]="","",COUNTIF(tblProductos[Proveedor],tblProveedores[[#This Row],[Proveedor]]))</f>
        <v/>
      </c>
      <c r="I72" s="40" t="str">
        <f>IF(tblProveedores[[#This Row],[Proveedor]]="","",SUMPRODUCT(COUNTIFS(tblStock[Proveedor],tblProveedores[[#This Row],[Proveedor]],tblStock[Estado],{"INCONSISTENTE","AGOTADO","CRÍTICO","BAJO"})))</f>
        <v/>
      </c>
      <c r="J7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3" spans="2:10" x14ac:dyDescent="0.25">
      <c r="B73" s="37"/>
      <c r="C73" s="38"/>
      <c r="D73" s="37"/>
      <c r="E73" s="38"/>
      <c r="F73" s="37"/>
      <c r="G73" s="39"/>
      <c r="H73" s="40" t="str">
        <f>IF(tblProveedores[[#This Row],[Proveedor]]="","",COUNTIF(tblProductos[Proveedor],tblProveedores[[#This Row],[Proveedor]]))</f>
        <v/>
      </c>
      <c r="I73" s="40" t="str">
        <f>IF(tblProveedores[[#This Row],[Proveedor]]="","",SUMPRODUCT(COUNTIFS(tblStock[Proveedor],tblProveedores[[#This Row],[Proveedor]],tblStock[Estado],{"INCONSISTENTE","AGOTADO","CRÍTICO","BAJO"})))</f>
        <v/>
      </c>
      <c r="J7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4" spans="2:10" x14ac:dyDescent="0.25">
      <c r="B74" s="37"/>
      <c r="C74" s="38"/>
      <c r="D74" s="37"/>
      <c r="E74" s="38"/>
      <c r="F74" s="37"/>
      <c r="G74" s="39"/>
      <c r="H74" s="40" t="str">
        <f>IF(tblProveedores[[#This Row],[Proveedor]]="","",COUNTIF(tblProductos[Proveedor],tblProveedores[[#This Row],[Proveedor]]))</f>
        <v/>
      </c>
      <c r="I74" s="40" t="str">
        <f>IF(tblProveedores[[#This Row],[Proveedor]]="","",SUMPRODUCT(COUNTIFS(tblStock[Proveedor],tblProveedores[[#This Row],[Proveedor]],tblStock[Estado],{"INCONSISTENTE","AGOTADO","CRÍTICO","BAJO"})))</f>
        <v/>
      </c>
      <c r="J7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5" spans="2:10" x14ac:dyDescent="0.25">
      <c r="B75" s="37"/>
      <c r="C75" s="38"/>
      <c r="D75" s="37"/>
      <c r="E75" s="38"/>
      <c r="F75" s="37"/>
      <c r="G75" s="39"/>
      <c r="H75" s="40" t="str">
        <f>IF(tblProveedores[[#This Row],[Proveedor]]="","",COUNTIF(tblProductos[Proveedor],tblProveedores[[#This Row],[Proveedor]]))</f>
        <v/>
      </c>
      <c r="I75" s="40" t="str">
        <f>IF(tblProveedores[[#This Row],[Proveedor]]="","",SUMPRODUCT(COUNTIFS(tblStock[Proveedor],tblProveedores[[#This Row],[Proveedor]],tblStock[Estado],{"INCONSISTENTE","AGOTADO","CRÍTICO","BAJO"})))</f>
        <v/>
      </c>
      <c r="J7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6" spans="2:10" x14ac:dyDescent="0.25">
      <c r="B76" s="37"/>
      <c r="C76" s="38"/>
      <c r="D76" s="37"/>
      <c r="E76" s="38"/>
      <c r="F76" s="37"/>
      <c r="G76" s="39"/>
      <c r="H76" s="40" t="str">
        <f>IF(tblProveedores[[#This Row],[Proveedor]]="","",COUNTIF(tblProductos[Proveedor],tblProveedores[[#This Row],[Proveedor]]))</f>
        <v/>
      </c>
      <c r="I76" s="40" t="str">
        <f>IF(tblProveedores[[#This Row],[Proveedor]]="","",SUMPRODUCT(COUNTIFS(tblStock[Proveedor],tblProveedores[[#This Row],[Proveedor]],tblStock[Estado],{"INCONSISTENTE","AGOTADO","CRÍTICO","BAJO"})))</f>
        <v/>
      </c>
      <c r="J7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7" spans="2:10" x14ac:dyDescent="0.25">
      <c r="B77" s="37"/>
      <c r="C77" s="38"/>
      <c r="D77" s="37"/>
      <c r="E77" s="38"/>
      <c r="F77" s="37"/>
      <c r="G77" s="39"/>
      <c r="H77" s="40" t="str">
        <f>IF(tblProveedores[[#This Row],[Proveedor]]="","",COUNTIF(tblProductos[Proveedor],tblProveedores[[#This Row],[Proveedor]]))</f>
        <v/>
      </c>
      <c r="I77" s="40" t="str">
        <f>IF(tblProveedores[[#This Row],[Proveedor]]="","",SUMPRODUCT(COUNTIFS(tblStock[Proveedor],tblProveedores[[#This Row],[Proveedor]],tblStock[Estado],{"INCONSISTENTE","AGOTADO","CRÍTICO","BAJO"})))</f>
        <v/>
      </c>
      <c r="J7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8" spans="2:10" x14ac:dyDescent="0.25">
      <c r="B78" s="37"/>
      <c r="C78" s="38"/>
      <c r="D78" s="37"/>
      <c r="E78" s="38"/>
      <c r="F78" s="37"/>
      <c r="G78" s="39"/>
      <c r="H78" s="40" t="str">
        <f>IF(tblProveedores[[#This Row],[Proveedor]]="","",COUNTIF(tblProductos[Proveedor],tblProveedores[[#This Row],[Proveedor]]))</f>
        <v/>
      </c>
      <c r="I78" s="40" t="str">
        <f>IF(tblProveedores[[#This Row],[Proveedor]]="","",SUMPRODUCT(COUNTIFS(tblStock[Proveedor],tblProveedores[[#This Row],[Proveedor]],tblStock[Estado],{"INCONSISTENTE","AGOTADO","CRÍTICO","BAJO"})))</f>
        <v/>
      </c>
      <c r="J7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79" spans="2:10" x14ac:dyDescent="0.25">
      <c r="B79" s="37"/>
      <c r="C79" s="38"/>
      <c r="D79" s="37"/>
      <c r="E79" s="38"/>
      <c r="F79" s="37"/>
      <c r="G79" s="39"/>
      <c r="H79" s="40" t="str">
        <f>IF(tblProveedores[[#This Row],[Proveedor]]="","",COUNTIF(tblProductos[Proveedor],tblProveedores[[#This Row],[Proveedor]]))</f>
        <v/>
      </c>
      <c r="I79" s="40" t="str">
        <f>IF(tblProveedores[[#This Row],[Proveedor]]="","",SUMPRODUCT(COUNTIFS(tblStock[Proveedor],tblProveedores[[#This Row],[Proveedor]],tblStock[Estado],{"INCONSISTENTE","AGOTADO","CRÍTICO","BAJO"})))</f>
        <v/>
      </c>
      <c r="J7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0" spans="2:10" x14ac:dyDescent="0.25">
      <c r="B80" s="37"/>
      <c r="C80" s="38"/>
      <c r="D80" s="37"/>
      <c r="E80" s="38"/>
      <c r="F80" s="37"/>
      <c r="G80" s="39"/>
      <c r="H80" s="40" t="str">
        <f>IF(tblProveedores[[#This Row],[Proveedor]]="","",COUNTIF(tblProductos[Proveedor],tblProveedores[[#This Row],[Proveedor]]))</f>
        <v/>
      </c>
      <c r="I80" s="40" t="str">
        <f>IF(tblProveedores[[#This Row],[Proveedor]]="","",SUMPRODUCT(COUNTIFS(tblStock[Proveedor],tblProveedores[[#This Row],[Proveedor]],tblStock[Estado],{"INCONSISTENTE","AGOTADO","CRÍTICO","BAJO"})))</f>
        <v/>
      </c>
      <c r="J8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1" spans="2:10" x14ac:dyDescent="0.25">
      <c r="B81" s="37"/>
      <c r="C81" s="38"/>
      <c r="D81" s="37"/>
      <c r="E81" s="38"/>
      <c r="F81" s="37"/>
      <c r="G81" s="39"/>
      <c r="H81" s="40" t="str">
        <f>IF(tblProveedores[[#This Row],[Proveedor]]="","",COUNTIF(tblProductos[Proveedor],tblProveedores[[#This Row],[Proveedor]]))</f>
        <v/>
      </c>
      <c r="I81" s="40" t="str">
        <f>IF(tblProveedores[[#This Row],[Proveedor]]="","",SUMPRODUCT(COUNTIFS(tblStock[Proveedor],tblProveedores[[#This Row],[Proveedor]],tblStock[Estado],{"INCONSISTENTE","AGOTADO","CRÍTICO","BAJO"})))</f>
        <v/>
      </c>
      <c r="J8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2" spans="2:10" x14ac:dyDescent="0.25">
      <c r="B82" s="37"/>
      <c r="C82" s="38"/>
      <c r="D82" s="37"/>
      <c r="E82" s="38"/>
      <c r="F82" s="37"/>
      <c r="G82" s="39"/>
      <c r="H82" s="40" t="str">
        <f>IF(tblProveedores[[#This Row],[Proveedor]]="","",COUNTIF(tblProductos[Proveedor],tblProveedores[[#This Row],[Proveedor]]))</f>
        <v/>
      </c>
      <c r="I82" s="40" t="str">
        <f>IF(tblProveedores[[#This Row],[Proveedor]]="","",SUMPRODUCT(COUNTIFS(tblStock[Proveedor],tblProveedores[[#This Row],[Proveedor]],tblStock[Estado],{"INCONSISTENTE","AGOTADO","CRÍTICO","BAJO"})))</f>
        <v/>
      </c>
      <c r="J8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3" spans="2:10" x14ac:dyDescent="0.25">
      <c r="B83" s="37"/>
      <c r="C83" s="38"/>
      <c r="D83" s="37"/>
      <c r="E83" s="38"/>
      <c r="F83" s="37"/>
      <c r="G83" s="39"/>
      <c r="H83" s="40" t="str">
        <f>IF(tblProveedores[[#This Row],[Proveedor]]="","",COUNTIF(tblProductos[Proveedor],tblProveedores[[#This Row],[Proveedor]]))</f>
        <v/>
      </c>
      <c r="I83" s="40" t="str">
        <f>IF(tblProveedores[[#This Row],[Proveedor]]="","",SUMPRODUCT(COUNTIFS(tblStock[Proveedor],tblProveedores[[#This Row],[Proveedor]],tblStock[Estado],{"INCONSISTENTE","AGOTADO","CRÍTICO","BAJO"})))</f>
        <v/>
      </c>
      <c r="J8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4" spans="2:10" x14ac:dyDescent="0.25">
      <c r="B84" s="37"/>
      <c r="C84" s="38"/>
      <c r="D84" s="37"/>
      <c r="E84" s="38"/>
      <c r="F84" s="37"/>
      <c r="G84" s="39"/>
      <c r="H84" s="40" t="str">
        <f>IF(tblProveedores[[#This Row],[Proveedor]]="","",COUNTIF(tblProductos[Proveedor],tblProveedores[[#This Row],[Proveedor]]))</f>
        <v/>
      </c>
      <c r="I84" s="40" t="str">
        <f>IF(tblProveedores[[#This Row],[Proveedor]]="","",SUMPRODUCT(COUNTIFS(tblStock[Proveedor],tblProveedores[[#This Row],[Proveedor]],tblStock[Estado],{"INCONSISTENTE","AGOTADO","CRÍTICO","BAJO"})))</f>
        <v/>
      </c>
      <c r="J8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5" spans="2:10" x14ac:dyDescent="0.25">
      <c r="B85" s="37"/>
      <c r="C85" s="38"/>
      <c r="D85" s="37"/>
      <c r="E85" s="38"/>
      <c r="F85" s="37"/>
      <c r="G85" s="39"/>
      <c r="H85" s="40" t="str">
        <f>IF(tblProveedores[[#This Row],[Proveedor]]="","",COUNTIF(tblProductos[Proveedor],tblProveedores[[#This Row],[Proveedor]]))</f>
        <v/>
      </c>
      <c r="I85" s="40" t="str">
        <f>IF(tblProveedores[[#This Row],[Proveedor]]="","",SUMPRODUCT(COUNTIFS(tblStock[Proveedor],tblProveedores[[#This Row],[Proveedor]],tblStock[Estado],{"INCONSISTENTE","AGOTADO","CRÍTICO","BAJO"})))</f>
        <v/>
      </c>
      <c r="J8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6" spans="2:10" x14ac:dyDescent="0.25">
      <c r="B86" s="37"/>
      <c r="C86" s="38"/>
      <c r="D86" s="37"/>
      <c r="E86" s="38"/>
      <c r="F86" s="37"/>
      <c r="G86" s="39"/>
      <c r="H86" s="40" t="str">
        <f>IF(tblProveedores[[#This Row],[Proveedor]]="","",COUNTIF(tblProductos[Proveedor],tblProveedores[[#This Row],[Proveedor]]))</f>
        <v/>
      </c>
      <c r="I86" s="40" t="str">
        <f>IF(tblProveedores[[#This Row],[Proveedor]]="","",SUMPRODUCT(COUNTIFS(tblStock[Proveedor],tblProveedores[[#This Row],[Proveedor]],tblStock[Estado],{"INCONSISTENTE","AGOTADO","CRÍTICO","BAJO"})))</f>
        <v/>
      </c>
      <c r="J8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7" spans="2:10" x14ac:dyDescent="0.25">
      <c r="B87" s="37"/>
      <c r="C87" s="38"/>
      <c r="D87" s="37"/>
      <c r="E87" s="38"/>
      <c r="F87" s="37"/>
      <c r="G87" s="39"/>
      <c r="H87" s="40" t="str">
        <f>IF(tblProveedores[[#This Row],[Proveedor]]="","",COUNTIF(tblProductos[Proveedor],tblProveedores[[#This Row],[Proveedor]]))</f>
        <v/>
      </c>
      <c r="I87" s="40" t="str">
        <f>IF(tblProveedores[[#This Row],[Proveedor]]="","",SUMPRODUCT(COUNTIFS(tblStock[Proveedor],tblProveedores[[#This Row],[Proveedor]],tblStock[Estado],{"INCONSISTENTE","AGOTADO","CRÍTICO","BAJO"})))</f>
        <v/>
      </c>
      <c r="J8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8" spans="2:10" x14ac:dyDescent="0.25">
      <c r="B88" s="37"/>
      <c r="C88" s="38"/>
      <c r="D88" s="37"/>
      <c r="E88" s="38"/>
      <c r="F88" s="37"/>
      <c r="G88" s="39"/>
      <c r="H88" s="40" t="str">
        <f>IF(tblProveedores[[#This Row],[Proveedor]]="","",COUNTIF(tblProductos[Proveedor],tblProveedores[[#This Row],[Proveedor]]))</f>
        <v/>
      </c>
      <c r="I88" s="40" t="str">
        <f>IF(tblProveedores[[#This Row],[Proveedor]]="","",SUMPRODUCT(COUNTIFS(tblStock[Proveedor],tblProveedores[[#This Row],[Proveedor]],tblStock[Estado],{"INCONSISTENTE","AGOTADO","CRÍTICO","BAJO"})))</f>
        <v/>
      </c>
      <c r="J8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89" spans="2:10" x14ac:dyDescent="0.25">
      <c r="B89" s="37"/>
      <c r="C89" s="38"/>
      <c r="D89" s="37"/>
      <c r="E89" s="38"/>
      <c r="F89" s="37"/>
      <c r="G89" s="39"/>
      <c r="H89" s="40" t="str">
        <f>IF(tblProveedores[[#This Row],[Proveedor]]="","",COUNTIF(tblProductos[Proveedor],tblProveedores[[#This Row],[Proveedor]]))</f>
        <v/>
      </c>
      <c r="I89" s="40" t="str">
        <f>IF(tblProveedores[[#This Row],[Proveedor]]="","",SUMPRODUCT(COUNTIFS(tblStock[Proveedor],tblProveedores[[#This Row],[Proveedor]],tblStock[Estado],{"INCONSISTENTE","AGOTADO","CRÍTICO","BAJO"})))</f>
        <v/>
      </c>
      <c r="J8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0" spans="2:10" x14ac:dyDescent="0.25">
      <c r="B90" s="37"/>
      <c r="C90" s="38"/>
      <c r="D90" s="37"/>
      <c r="E90" s="38"/>
      <c r="F90" s="37"/>
      <c r="G90" s="39"/>
      <c r="H90" s="40" t="str">
        <f>IF(tblProveedores[[#This Row],[Proveedor]]="","",COUNTIF(tblProductos[Proveedor],tblProveedores[[#This Row],[Proveedor]]))</f>
        <v/>
      </c>
      <c r="I90" s="40" t="str">
        <f>IF(tblProveedores[[#This Row],[Proveedor]]="","",SUMPRODUCT(COUNTIFS(tblStock[Proveedor],tblProveedores[[#This Row],[Proveedor]],tblStock[Estado],{"INCONSISTENTE","AGOTADO","CRÍTICO","BAJO"})))</f>
        <v/>
      </c>
      <c r="J9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1" spans="2:10" x14ac:dyDescent="0.25">
      <c r="B91" s="37"/>
      <c r="C91" s="38"/>
      <c r="D91" s="37"/>
      <c r="E91" s="38"/>
      <c r="F91" s="37"/>
      <c r="G91" s="39"/>
      <c r="H91" s="40" t="str">
        <f>IF(tblProveedores[[#This Row],[Proveedor]]="","",COUNTIF(tblProductos[Proveedor],tblProveedores[[#This Row],[Proveedor]]))</f>
        <v/>
      </c>
      <c r="I91" s="40" t="str">
        <f>IF(tblProveedores[[#This Row],[Proveedor]]="","",SUMPRODUCT(COUNTIFS(tblStock[Proveedor],tblProveedores[[#This Row],[Proveedor]],tblStock[Estado],{"INCONSISTENTE","AGOTADO","CRÍTICO","BAJO"})))</f>
        <v/>
      </c>
      <c r="J9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2" spans="2:10" x14ac:dyDescent="0.25">
      <c r="B92" s="37"/>
      <c r="C92" s="38"/>
      <c r="D92" s="37"/>
      <c r="E92" s="38"/>
      <c r="F92" s="37"/>
      <c r="G92" s="39"/>
      <c r="H92" s="40" t="str">
        <f>IF(tblProveedores[[#This Row],[Proveedor]]="","",COUNTIF(tblProductos[Proveedor],tblProveedores[[#This Row],[Proveedor]]))</f>
        <v/>
      </c>
      <c r="I92" s="40" t="str">
        <f>IF(tblProveedores[[#This Row],[Proveedor]]="","",SUMPRODUCT(COUNTIFS(tblStock[Proveedor],tblProveedores[[#This Row],[Proveedor]],tblStock[Estado],{"INCONSISTENTE","AGOTADO","CRÍTICO","BAJO"})))</f>
        <v/>
      </c>
      <c r="J9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3" spans="2:10" x14ac:dyDescent="0.25">
      <c r="B93" s="37"/>
      <c r="C93" s="38"/>
      <c r="D93" s="37"/>
      <c r="E93" s="38"/>
      <c r="F93" s="37"/>
      <c r="G93" s="39"/>
      <c r="H93" s="40" t="str">
        <f>IF(tblProveedores[[#This Row],[Proveedor]]="","",COUNTIF(tblProductos[Proveedor],tblProveedores[[#This Row],[Proveedor]]))</f>
        <v/>
      </c>
      <c r="I93" s="40" t="str">
        <f>IF(tblProveedores[[#This Row],[Proveedor]]="","",SUMPRODUCT(COUNTIFS(tblStock[Proveedor],tblProveedores[[#This Row],[Proveedor]],tblStock[Estado],{"INCONSISTENTE","AGOTADO","CRÍTICO","BAJO"})))</f>
        <v/>
      </c>
      <c r="J9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4" spans="2:10" x14ac:dyDescent="0.25">
      <c r="B94" s="37"/>
      <c r="C94" s="38"/>
      <c r="D94" s="37"/>
      <c r="E94" s="38"/>
      <c r="F94" s="37"/>
      <c r="G94" s="39"/>
      <c r="H94" s="40" t="str">
        <f>IF(tblProveedores[[#This Row],[Proveedor]]="","",COUNTIF(tblProductos[Proveedor],tblProveedores[[#This Row],[Proveedor]]))</f>
        <v/>
      </c>
      <c r="I94" s="40" t="str">
        <f>IF(tblProveedores[[#This Row],[Proveedor]]="","",SUMPRODUCT(COUNTIFS(tblStock[Proveedor],tblProveedores[[#This Row],[Proveedor]],tblStock[Estado],{"INCONSISTENTE","AGOTADO","CRÍTICO","BAJO"})))</f>
        <v/>
      </c>
      <c r="J9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5" spans="2:10" x14ac:dyDescent="0.25">
      <c r="B95" s="37"/>
      <c r="C95" s="38"/>
      <c r="D95" s="37"/>
      <c r="E95" s="38"/>
      <c r="F95" s="37"/>
      <c r="G95" s="39"/>
      <c r="H95" s="40" t="str">
        <f>IF(tblProveedores[[#This Row],[Proveedor]]="","",COUNTIF(tblProductos[Proveedor],tblProveedores[[#This Row],[Proveedor]]))</f>
        <v/>
      </c>
      <c r="I95" s="40" t="str">
        <f>IF(tblProveedores[[#This Row],[Proveedor]]="","",SUMPRODUCT(COUNTIFS(tblStock[Proveedor],tblProveedores[[#This Row],[Proveedor]],tblStock[Estado],{"INCONSISTENTE","AGOTADO","CRÍTICO","BAJO"})))</f>
        <v/>
      </c>
      <c r="J9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6" spans="2:10" x14ac:dyDescent="0.25">
      <c r="B96" s="37"/>
      <c r="C96" s="38"/>
      <c r="D96" s="37"/>
      <c r="E96" s="38"/>
      <c r="F96" s="37"/>
      <c r="G96" s="39"/>
      <c r="H96" s="40" t="str">
        <f>IF(tblProveedores[[#This Row],[Proveedor]]="","",COUNTIF(tblProductos[Proveedor],tblProveedores[[#This Row],[Proveedor]]))</f>
        <v/>
      </c>
      <c r="I96" s="40" t="str">
        <f>IF(tblProveedores[[#This Row],[Proveedor]]="","",SUMPRODUCT(COUNTIFS(tblStock[Proveedor],tblProveedores[[#This Row],[Proveedor]],tblStock[Estado],{"INCONSISTENTE","AGOTADO","CRÍTICO","BAJO"})))</f>
        <v/>
      </c>
      <c r="J9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7" spans="2:10" x14ac:dyDescent="0.25">
      <c r="B97" s="37"/>
      <c r="C97" s="38"/>
      <c r="D97" s="37"/>
      <c r="E97" s="38"/>
      <c r="F97" s="37"/>
      <c r="G97" s="39"/>
      <c r="H97" s="40" t="str">
        <f>IF(tblProveedores[[#This Row],[Proveedor]]="","",COUNTIF(tblProductos[Proveedor],tblProveedores[[#This Row],[Proveedor]]))</f>
        <v/>
      </c>
      <c r="I97" s="40" t="str">
        <f>IF(tblProveedores[[#This Row],[Proveedor]]="","",SUMPRODUCT(COUNTIFS(tblStock[Proveedor],tblProveedores[[#This Row],[Proveedor]],tblStock[Estado],{"INCONSISTENTE","AGOTADO","CRÍTICO","BAJO"})))</f>
        <v/>
      </c>
      <c r="J9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8" spans="2:10" x14ac:dyDescent="0.25">
      <c r="B98" s="37"/>
      <c r="C98" s="38"/>
      <c r="D98" s="37"/>
      <c r="E98" s="38"/>
      <c r="F98" s="37"/>
      <c r="G98" s="39"/>
      <c r="H98" s="40" t="str">
        <f>IF(tblProveedores[[#This Row],[Proveedor]]="","",COUNTIF(tblProductos[Proveedor],tblProveedores[[#This Row],[Proveedor]]))</f>
        <v/>
      </c>
      <c r="I98" s="40" t="str">
        <f>IF(tblProveedores[[#This Row],[Proveedor]]="","",SUMPRODUCT(COUNTIFS(tblStock[Proveedor],tblProveedores[[#This Row],[Proveedor]],tblStock[Estado],{"INCONSISTENTE","AGOTADO","CRÍTICO","BAJO"})))</f>
        <v/>
      </c>
      <c r="J98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99" spans="2:10" x14ac:dyDescent="0.25">
      <c r="B99" s="37"/>
      <c r="C99" s="38"/>
      <c r="D99" s="37"/>
      <c r="E99" s="38"/>
      <c r="F99" s="37"/>
      <c r="G99" s="39"/>
      <c r="H99" s="40" t="str">
        <f>IF(tblProveedores[[#This Row],[Proveedor]]="","",COUNTIF(tblProductos[Proveedor],tblProveedores[[#This Row],[Proveedor]]))</f>
        <v/>
      </c>
      <c r="I99" s="40" t="str">
        <f>IF(tblProveedores[[#This Row],[Proveedor]]="","",SUMPRODUCT(COUNTIFS(tblStock[Proveedor],tblProveedores[[#This Row],[Proveedor]],tblStock[Estado],{"INCONSISTENTE","AGOTADO","CRÍTICO","BAJO"})))</f>
        <v/>
      </c>
      <c r="J99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0" spans="2:10" x14ac:dyDescent="0.25">
      <c r="B100" s="37"/>
      <c r="C100" s="38"/>
      <c r="D100" s="37"/>
      <c r="E100" s="38"/>
      <c r="F100" s="37"/>
      <c r="G100" s="39"/>
      <c r="H100" s="40" t="str">
        <f>IF(tblProveedores[[#This Row],[Proveedor]]="","",COUNTIF(tblProductos[Proveedor],tblProveedores[[#This Row],[Proveedor]]))</f>
        <v/>
      </c>
      <c r="I100" s="40" t="str">
        <f>IF(tblProveedores[[#This Row],[Proveedor]]="","",SUMPRODUCT(COUNTIFS(tblStock[Proveedor],tblProveedores[[#This Row],[Proveedor]],tblStock[Estado],{"INCONSISTENTE","AGOTADO","CRÍTICO","BAJO"})))</f>
        <v/>
      </c>
      <c r="J100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1" spans="2:10" x14ac:dyDescent="0.25">
      <c r="B101" s="37"/>
      <c r="C101" s="38"/>
      <c r="D101" s="37"/>
      <c r="E101" s="38"/>
      <c r="F101" s="37"/>
      <c r="G101" s="39"/>
      <c r="H101" s="40" t="str">
        <f>IF(tblProveedores[[#This Row],[Proveedor]]="","",COUNTIF(tblProductos[Proveedor],tblProveedores[[#This Row],[Proveedor]]))</f>
        <v/>
      </c>
      <c r="I101" s="40" t="str">
        <f>IF(tblProveedores[[#This Row],[Proveedor]]="","",SUMPRODUCT(COUNTIFS(tblStock[Proveedor],tblProveedores[[#This Row],[Proveedor]],tblStock[Estado],{"INCONSISTENTE","AGOTADO","CRÍTICO","BAJO"})))</f>
        <v/>
      </c>
      <c r="J101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2" spans="2:10" x14ac:dyDescent="0.25">
      <c r="B102" s="37"/>
      <c r="C102" s="38"/>
      <c r="D102" s="37"/>
      <c r="E102" s="38"/>
      <c r="F102" s="37"/>
      <c r="G102" s="39"/>
      <c r="H102" s="40" t="str">
        <f>IF(tblProveedores[[#This Row],[Proveedor]]="","",COUNTIF(tblProductos[Proveedor],tblProveedores[[#This Row],[Proveedor]]))</f>
        <v/>
      </c>
      <c r="I102" s="40" t="str">
        <f>IF(tblProveedores[[#This Row],[Proveedor]]="","",SUMPRODUCT(COUNTIFS(tblStock[Proveedor],tblProveedores[[#This Row],[Proveedor]],tblStock[Estado],{"INCONSISTENTE","AGOTADO","CRÍTICO","BAJO"})))</f>
        <v/>
      </c>
      <c r="J102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3" spans="2:10" x14ac:dyDescent="0.25">
      <c r="B103" s="37"/>
      <c r="C103" s="38"/>
      <c r="D103" s="37"/>
      <c r="E103" s="38"/>
      <c r="F103" s="37"/>
      <c r="G103" s="39"/>
      <c r="H103" s="40" t="str">
        <f>IF(tblProveedores[[#This Row],[Proveedor]]="","",COUNTIF(tblProductos[Proveedor],tblProveedores[[#This Row],[Proveedor]]))</f>
        <v/>
      </c>
      <c r="I103" s="40" t="str">
        <f>IF(tblProveedores[[#This Row],[Proveedor]]="","",SUMPRODUCT(COUNTIFS(tblStock[Proveedor],tblProveedores[[#This Row],[Proveedor]],tblStock[Estado],{"INCONSISTENTE","AGOTADO","CRÍTICO","BAJO"})))</f>
        <v/>
      </c>
      <c r="J103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4" spans="2:10" x14ac:dyDescent="0.25">
      <c r="B104" s="37"/>
      <c r="C104" s="38"/>
      <c r="D104" s="37"/>
      <c r="E104" s="38"/>
      <c r="F104" s="37"/>
      <c r="G104" s="39"/>
      <c r="H104" s="40" t="str">
        <f>IF(tblProveedores[[#This Row],[Proveedor]]="","",COUNTIF(tblProductos[Proveedor],tblProveedores[[#This Row],[Proveedor]]))</f>
        <v/>
      </c>
      <c r="I104" s="40" t="str">
        <f>IF(tblProveedores[[#This Row],[Proveedor]]="","",SUMPRODUCT(COUNTIFS(tblStock[Proveedor],tblProveedores[[#This Row],[Proveedor]],tblStock[Estado],{"INCONSISTENTE","AGOTADO","CRÍTICO","BAJO"})))</f>
        <v/>
      </c>
      <c r="J104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5" spans="2:10" x14ac:dyDescent="0.25">
      <c r="B105" s="37"/>
      <c r="C105" s="38"/>
      <c r="D105" s="37"/>
      <c r="E105" s="38"/>
      <c r="F105" s="37"/>
      <c r="G105" s="39"/>
      <c r="H105" s="40" t="str">
        <f>IF(tblProveedores[[#This Row],[Proveedor]]="","",COUNTIF(tblProductos[Proveedor],tblProveedores[[#This Row],[Proveedor]]))</f>
        <v/>
      </c>
      <c r="I105" s="40" t="str">
        <f>IF(tblProveedores[[#This Row],[Proveedor]]="","",SUMPRODUCT(COUNTIFS(tblStock[Proveedor],tblProveedores[[#This Row],[Proveedor]],tblStock[Estado],{"INCONSISTENTE","AGOTADO","CRÍTICO","BAJO"})))</f>
        <v/>
      </c>
      <c r="J105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6" spans="2:10" x14ac:dyDescent="0.25">
      <c r="B106" s="37"/>
      <c r="C106" s="38"/>
      <c r="D106" s="37"/>
      <c r="E106" s="38"/>
      <c r="F106" s="37"/>
      <c r="G106" s="39"/>
      <c r="H106" s="40" t="str">
        <f>IF(tblProveedores[[#This Row],[Proveedor]]="","",COUNTIF(tblProductos[Proveedor],tblProveedores[[#This Row],[Proveedor]]))</f>
        <v/>
      </c>
      <c r="I106" s="40" t="str">
        <f>IF(tblProveedores[[#This Row],[Proveedor]]="","",SUMPRODUCT(COUNTIFS(tblStock[Proveedor],tblProveedores[[#This Row],[Proveedor]],tblStock[Estado],{"INCONSISTENTE","AGOTADO","CRÍTICO","BAJO"})))</f>
        <v/>
      </c>
      <c r="J106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  <row r="107" spans="2:10" x14ac:dyDescent="0.25">
      <c r="B107" s="37"/>
      <c r="C107" s="38"/>
      <c r="D107" s="37"/>
      <c r="E107" s="38"/>
      <c r="F107" s="37"/>
      <c r="G107" s="39"/>
      <c r="H107" s="40" t="str">
        <f>IF(tblProveedores[[#This Row],[Proveedor]]="","",COUNTIF(tblProductos[Proveedor],tblProveedores[[#This Row],[Proveedor]]))</f>
        <v/>
      </c>
      <c r="I107" s="40" t="str">
        <f>IF(tblProveedores[[#This Row],[Proveedor]]="","",SUMPRODUCT(COUNTIFS(tblStock[Proveedor],tblProveedores[[#This Row],[Proveedor]],tblStock[Estado],{"INCONSISTENTE","AGOTADO","CRÍTICO","BAJO"})))</f>
        <v/>
      </c>
      <c r="J107" s="41" t="str">
        <f>IF(AND(tblProveedores[[#This Row],[Proveedor]]="",tblProveedores[[#This Row],[NIT]]="",tblProveedores[[#This Row],[Contacto]]="",tblProveedores[[#This Row],[Correo]]=""),"",IF(tblProveedores[[#This Row],[Proveedor]]="","⚠ Falta el nombre",IF(COUNTIF(tblProveedores[Proveedor],tblProveedores[[#This Row],[Proveedor]])&gt;1,"✖ Proveedor duplicado",IF(AND(tblProveedores[[#This Row],[Correo]]&lt;&gt;"",ISERROR(FIND("@",tblProveedores[[#This Row],[Correo]]))),"⚠ Correo no válido","✔ OK"))))</f>
        <v/>
      </c>
    </row>
  </sheetData>
  <sheetProtection password="930D" sheet="1" objects="1" scenarios="1" formatColumns="0" autoFilter="0"/>
  <conditionalFormatting sqref="B8:G107">
    <cfRule type="expression" dxfId="123" priority="1">
      <formula>AND($B8="",$B7&lt;&gt;"")</formula>
    </cfRule>
  </conditionalFormatting>
  <conditionalFormatting sqref="I8:I107">
    <cfRule type="cellIs" dxfId="122" priority="7" operator="greaterThan">
      <formula>0</formula>
    </cfRule>
  </conditionalFormatting>
  <conditionalFormatting sqref="J8:J107">
    <cfRule type="expression" dxfId="121" priority="2">
      <formula>LEFT($J8,1)="✖"</formula>
    </cfRule>
    <cfRule type="expression" dxfId="120" priority="3">
      <formula>LEFT($J8,1)="⚠"</formula>
    </cfRule>
    <cfRule type="expression" dxfId="119" priority="4">
      <formula>LEFT($J8,1)="✔"</formula>
    </cfRule>
    <cfRule type="expression" dxfId="118" priority="5">
      <formula>LEFT($J8,1)="●"</formula>
    </cfRule>
    <cfRule type="expression" dxfId="117" priority="6">
      <formula>LEFT($J8,1)="○"</formula>
    </cfRule>
  </conditionalFormatting>
  <dataValidations count="15">
    <dataValidation allowBlank="1" showInputMessage="1" showErrorMessage="1" promptTitle="✎ Proveedor" prompt="Razón social o nombre comercial (único). Aparece en el catálogo y en el pedido sugerido." sqref="B7" xr:uid="{00000000-0002-0000-0300-000000000000}"/>
    <dataValidation allowBlank="1" showInputMessage="1" showErrorMessage="1" promptTitle="✎ NIT" prompt="Identificación tributaria (opcional)." sqref="C7" xr:uid="{00000000-0002-0000-0300-000001000000}"/>
    <dataValidation allowBlank="1" showInputMessage="1" showErrorMessage="1" promptTitle="✎ Contacto" prompt="Persona de contacto para pedidos." sqref="D7" xr:uid="{00000000-0002-0000-0300-000002000000}"/>
    <dataValidation allowBlank="1" showInputMessage="1" showErrorMessage="1" promptTitle="✎ Teléfono" prompt="Teléfono o celular del contacto." sqref="E7" xr:uid="{00000000-0002-0000-0300-000003000000}"/>
    <dataValidation allowBlank="1" showInputMessage="1" showErrorMessage="1" promptTitle="✎ Correo" prompt="Correo para enviar el pedido sugerido." sqref="F7" xr:uid="{00000000-0002-0000-0300-000004000000}"/>
    <dataValidation allowBlank="1" showInputMessage="1" showErrorMessage="1" promptTitle="✎ DiasEntrega" prompt="Días que tarda en entregar desde el pedido (lead time). Se usa para la fecha estimada de llegada." sqref="G7" xr:uid="{00000000-0002-0000-0300-000005000000}"/>
    <dataValidation allowBlank="1" showInputMessage="1" showErrorMessage="1" promptTitle="ƒx Productos" prompt="Productos del catálogo asignados a este proveedor." sqref="H7" xr:uid="{00000000-0002-0000-0300-000006000000}"/>
    <dataValidation allowBlank="1" showInputMessage="1" showErrorMessage="1" promptTitle="ƒx EnAlerta" prompt="Productos de este proveedor que requieren reposición." sqref="I7" xr:uid="{00000000-0002-0000-0300-000007000000}"/>
    <dataValidation allowBlank="1" showInputMessage="1" showErrorMessage="1" promptTitle="ƒx Validación" prompt="Control de calidad del registro." sqref="J7" xr:uid="{00000000-0002-0000-0300-000008000000}"/>
    <dataValidation type="custom" allowBlank="1" showInputMessage="1" showErrorMessage="1" errorTitle="Proveedor no válido" error="El nombre debe tener entre 3 y 60 caracteres y no puede repetirse." promptTitle="Proveedor" prompt="Nombre único de 3 a 60 caracteres." sqref="B8:B107" xr:uid="{00000000-0002-0000-0300-000009000000}">
      <formula1>AND(LEN(B8)&gt;=3,LEN(B8)&lt;=60,COUNTIF($B$8:$B$107,B8)=1)</formula1>
    </dataValidation>
    <dataValidation type="textLength" operator="lessThanOrEqual" allowBlank="1" showInputMessage="1" showErrorMessage="1" errorTitle="Texto muy largo" error="Máximo 20 caracteres." promptTitle="NIT" prompt="Máximo 20 caracteres." sqref="C8:C107" xr:uid="{00000000-0002-0000-0300-00000A000000}">
      <formula1>20</formula1>
    </dataValidation>
    <dataValidation type="textLength" operator="lessThanOrEqual" allowBlank="1" showInputMessage="1" showErrorMessage="1" errorTitle="Texto muy largo" error="Máximo 60 caracteres." promptTitle="Contacto" prompt="Máximo 60 caracteres." sqref="D8:D107" xr:uid="{00000000-0002-0000-0300-00000B000000}">
      <formula1>60</formula1>
    </dataValidation>
    <dataValidation type="textLength" operator="lessThanOrEqual" allowBlank="1" showInputMessage="1" showErrorMessage="1" errorTitle="Texto muy largo" error="Máximo 20 caracteres." promptTitle="Teléfono" prompt="Máximo 20 caracteres." sqref="E8:E107" xr:uid="{00000000-0002-0000-0300-00000C000000}">
      <formula1>20</formula1>
    </dataValidation>
    <dataValidation type="custom" allowBlank="1" showInputMessage="1" showErrorMessage="1" errorTitle="Correo no válido" error="Escriba un correo válido, sin espacios." promptTitle="Correo" prompt="Ej: pedidos@proveedor.com" sqref="F8:F107" xr:uid="{00000000-0002-0000-0300-00000D000000}">
      <formula1>AND(ISNUMBER(FIND("@",F8)),ISERROR(FIND(" ",F8)),LEN(F8)&lt;=80)</formula1>
    </dataValidation>
    <dataValidation type="whole" allowBlank="1" showInputMessage="1" showErrorMessage="1" errorTitle="Valor no válido" error="Escriba un número entero entre 0 y 365." promptTitle="Días de entrega" prompt="Número entero de días (0 a 365)." sqref="G8:G107" xr:uid="{00000000-0002-0000-0300-00000E000000}">
      <formula1>0</formula1>
      <formula2>365</formula2>
    </dataValidation>
  </dataValidations>
  <pageMargins left="0.4" right="0.4" top="0.7" bottom="0.6" header="0.3" footer="0.3"/>
  <pageSetup fitToHeight="0" orientation="landscape"/>
  <headerFooter>
    <oddHeader>&amp;L&amp;"Segoe UI,Bold"&amp;9M-INV · Proveedores&amp;R&amp;"Segoe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E35B1"/>
    <pageSetUpPr fitToPage="1"/>
  </sheetPr>
  <dimension ref="B1:N507"/>
  <sheetViews>
    <sheetView showGridLines="0" showRowColHeaders="0" zoomScale="90" zoomScaleNormal="90" workbookViewId="0">
      <pane ySplit="7" topLeftCell="A8" activePane="bottomLeft" state="frozen"/>
      <selection pane="bottomLeft" activeCell="B8" sqref="B8"/>
    </sheetView>
  </sheetViews>
  <sheetFormatPr baseColWidth="10" defaultColWidth="0" defaultRowHeight="15" zeroHeight="1" x14ac:dyDescent="0.25"/>
  <cols>
    <col min="1" max="1" width="2.28515625" customWidth="1"/>
    <col min="2" max="2" width="13.140625" customWidth="1"/>
    <col min="3" max="3" width="41.42578125" customWidth="1"/>
    <col min="4" max="4" width="24" customWidth="1"/>
    <col min="5" max="5" width="12" customWidth="1"/>
    <col min="6" max="7" width="13.7109375" customWidth="1"/>
    <col min="8" max="8" width="17.140625" customWidth="1"/>
    <col min="9" max="9" width="30" customWidth="1"/>
    <col min="10" max="10" width="13.7109375" customWidth="1"/>
    <col min="11" max="11" width="9.42578125" customWidth="1"/>
    <col min="12" max="12" width="42.85546875" customWidth="1"/>
    <col min="13" max="13" width="16" customWidth="1"/>
    <col min="14" max="14" width="25.7109375" customWidth="1"/>
    <col min="15" max="15" width="2.28515625" customWidth="1"/>
    <col min="16" max="16" width="0" hidden="1" customWidth="1"/>
  </cols>
  <sheetData>
    <row r="1" spans="2:14" s="1" customFormat="1" ht="6" customHeight="1" x14ac:dyDescent="0.25"/>
    <row r="2" spans="2:14" s="1" customFormat="1" ht="24" customHeight="1" x14ac:dyDescent="0.25">
      <c r="B2" s="12" t="s">
        <v>150</v>
      </c>
    </row>
    <row r="3" spans="2:14" s="1" customFormat="1" ht="14.25" x14ac:dyDescent="0.25">
      <c r="B3" s="13" t="s">
        <v>151</v>
      </c>
    </row>
    <row r="4" spans="2:14" s="1" customFormat="1" ht="7.5" customHeight="1" x14ac:dyDescent="0.25"/>
    <row r="5" spans="2:14" s="4" customFormat="1" ht="25.5" customHeight="1" x14ac:dyDescent="0.25"/>
    <row r="6" spans="2:14" s="4" customFormat="1" ht="12" customHeight="1" x14ac:dyDescent="0.25">
      <c r="B6" s="35" t="s">
        <v>148</v>
      </c>
      <c r="C6" s="35" t="s">
        <v>148</v>
      </c>
      <c r="D6" s="35" t="s">
        <v>148</v>
      </c>
      <c r="E6" s="35" t="s">
        <v>148</v>
      </c>
      <c r="F6" s="35" t="s">
        <v>148</v>
      </c>
      <c r="G6" s="35" t="s">
        <v>148</v>
      </c>
      <c r="H6" s="35" t="s">
        <v>148</v>
      </c>
      <c r="I6" s="35" t="s">
        <v>148</v>
      </c>
      <c r="J6" s="35" t="s">
        <v>148</v>
      </c>
      <c r="K6" s="35" t="s">
        <v>148</v>
      </c>
      <c r="L6" s="36" t="s">
        <v>149</v>
      </c>
      <c r="M6" s="36" t="s">
        <v>149</v>
      </c>
      <c r="N6" s="36" t="s">
        <v>149</v>
      </c>
    </row>
    <row r="7" spans="2:14" ht="25.5" customHeight="1" x14ac:dyDescent="0.25">
      <c r="B7" s="16" t="s">
        <v>152</v>
      </c>
      <c r="C7" s="16" t="s">
        <v>153</v>
      </c>
      <c r="D7" s="16" t="s">
        <v>86</v>
      </c>
      <c r="E7" s="16" t="s">
        <v>107</v>
      </c>
      <c r="F7" s="16" t="s">
        <v>154</v>
      </c>
      <c r="G7" s="16" t="s">
        <v>155</v>
      </c>
      <c r="H7" s="16" t="s">
        <v>156</v>
      </c>
      <c r="I7" s="16" t="s">
        <v>139</v>
      </c>
      <c r="J7" s="16" t="s">
        <v>157</v>
      </c>
      <c r="K7" s="16" t="s">
        <v>158</v>
      </c>
      <c r="L7" s="15" t="s">
        <v>159</v>
      </c>
      <c r="M7" s="15" t="s">
        <v>160</v>
      </c>
      <c r="N7" s="15" t="s">
        <v>147</v>
      </c>
    </row>
    <row r="8" spans="2:14" x14ac:dyDescent="0.25">
      <c r="B8" s="37"/>
      <c r="C8" s="37"/>
      <c r="D8" s="37"/>
      <c r="E8" s="38"/>
      <c r="F8" s="39"/>
      <c r="G8" s="39"/>
      <c r="H8" s="42"/>
      <c r="I8" s="37"/>
      <c r="J8" s="38"/>
      <c r="K8" s="38"/>
      <c r="L8" s="43" t="str">
        <f>IF(OR(tblProductos[[#This Row],[SKU]]="",tblProductos[[#This Row],[Producto]]=""),"",tblProductos[[#This Row],[SKU]]&amp;" · "&amp;tblProductos[[#This Row],[Producto]])</f>
        <v/>
      </c>
      <c r="M8" s="40" t="str">
        <f>IF(tblProductos[[#This Row],[SKU]]="","",COUNTIF(tblMovimientos[SKU],tblProductos[[#This Row],[SKU]]))</f>
        <v/>
      </c>
      <c r="N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" spans="2:14" x14ac:dyDescent="0.25">
      <c r="B9" s="37"/>
      <c r="C9" s="37"/>
      <c r="D9" s="37"/>
      <c r="E9" s="38"/>
      <c r="F9" s="39"/>
      <c r="G9" s="39"/>
      <c r="H9" s="42"/>
      <c r="I9" s="37"/>
      <c r="J9" s="38"/>
      <c r="K9" s="38"/>
      <c r="L9" s="43" t="str">
        <f>IF(OR(tblProductos[[#This Row],[SKU]]="",tblProductos[[#This Row],[Producto]]=""),"",tblProductos[[#This Row],[SKU]]&amp;" · "&amp;tblProductos[[#This Row],[Producto]])</f>
        <v/>
      </c>
      <c r="M9" s="40" t="str">
        <f>IF(tblProductos[[#This Row],[SKU]]="","",COUNTIF(tblMovimientos[SKU],tblProductos[[#This Row],[SKU]]))</f>
        <v/>
      </c>
      <c r="N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" spans="2:14" x14ac:dyDescent="0.25">
      <c r="B10" s="37"/>
      <c r="C10" s="37"/>
      <c r="D10" s="37"/>
      <c r="E10" s="38"/>
      <c r="F10" s="39"/>
      <c r="G10" s="39"/>
      <c r="H10" s="42"/>
      <c r="I10" s="37"/>
      <c r="J10" s="38"/>
      <c r="K10" s="38"/>
      <c r="L10" s="43" t="str">
        <f>IF(OR(tblProductos[[#This Row],[SKU]]="",tblProductos[[#This Row],[Producto]]=""),"",tblProductos[[#This Row],[SKU]]&amp;" · "&amp;tblProductos[[#This Row],[Producto]])</f>
        <v/>
      </c>
      <c r="M10" s="40" t="str">
        <f>IF(tblProductos[[#This Row],[SKU]]="","",COUNTIF(tblMovimientos[SKU],tblProductos[[#This Row],[SKU]]))</f>
        <v/>
      </c>
      <c r="N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" spans="2:14" x14ac:dyDescent="0.25">
      <c r="B11" s="37"/>
      <c r="C11" s="37"/>
      <c r="D11" s="37"/>
      <c r="E11" s="38"/>
      <c r="F11" s="39"/>
      <c r="G11" s="39"/>
      <c r="H11" s="42"/>
      <c r="I11" s="37"/>
      <c r="J11" s="38"/>
      <c r="K11" s="38"/>
      <c r="L11" s="43" t="str">
        <f>IF(OR(tblProductos[[#This Row],[SKU]]="",tblProductos[[#This Row],[Producto]]=""),"",tblProductos[[#This Row],[SKU]]&amp;" · "&amp;tblProductos[[#This Row],[Producto]])</f>
        <v/>
      </c>
      <c r="M11" s="40" t="str">
        <f>IF(tblProductos[[#This Row],[SKU]]="","",COUNTIF(tblMovimientos[SKU],tblProductos[[#This Row],[SKU]]))</f>
        <v/>
      </c>
      <c r="N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" spans="2:14" x14ac:dyDescent="0.25">
      <c r="B12" s="37"/>
      <c r="C12" s="37"/>
      <c r="D12" s="37"/>
      <c r="E12" s="38"/>
      <c r="F12" s="39"/>
      <c r="G12" s="39"/>
      <c r="H12" s="42"/>
      <c r="I12" s="37"/>
      <c r="J12" s="38"/>
      <c r="K12" s="38"/>
      <c r="L12" s="43" t="str">
        <f>IF(OR(tblProductos[[#This Row],[SKU]]="",tblProductos[[#This Row],[Producto]]=""),"",tblProductos[[#This Row],[SKU]]&amp;" · "&amp;tblProductos[[#This Row],[Producto]])</f>
        <v/>
      </c>
      <c r="M12" s="40" t="str">
        <f>IF(tblProductos[[#This Row],[SKU]]="","",COUNTIF(tblMovimientos[SKU],tblProductos[[#This Row],[SKU]]))</f>
        <v/>
      </c>
      <c r="N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" spans="2:14" x14ac:dyDescent="0.25">
      <c r="B13" s="37"/>
      <c r="C13" s="37"/>
      <c r="D13" s="37"/>
      <c r="E13" s="38"/>
      <c r="F13" s="39"/>
      <c r="G13" s="39"/>
      <c r="H13" s="42"/>
      <c r="I13" s="37"/>
      <c r="J13" s="38"/>
      <c r="K13" s="38"/>
      <c r="L13" s="43" t="str">
        <f>IF(OR(tblProductos[[#This Row],[SKU]]="",tblProductos[[#This Row],[Producto]]=""),"",tblProductos[[#This Row],[SKU]]&amp;" · "&amp;tblProductos[[#This Row],[Producto]])</f>
        <v/>
      </c>
      <c r="M13" s="40" t="str">
        <f>IF(tblProductos[[#This Row],[SKU]]="","",COUNTIF(tblMovimientos[SKU],tblProductos[[#This Row],[SKU]]))</f>
        <v/>
      </c>
      <c r="N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" spans="2:14" x14ac:dyDescent="0.25">
      <c r="B14" s="37"/>
      <c r="C14" s="37"/>
      <c r="D14" s="37"/>
      <c r="E14" s="38"/>
      <c r="F14" s="39"/>
      <c r="G14" s="39"/>
      <c r="H14" s="42"/>
      <c r="I14" s="37"/>
      <c r="J14" s="38"/>
      <c r="K14" s="38"/>
      <c r="L14" s="43" t="str">
        <f>IF(OR(tblProductos[[#This Row],[SKU]]="",tblProductos[[#This Row],[Producto]]=""),"",tblProductos[[#This Row],[SKU]]&amp;" · "&amp;tblProductos[[#This Row],[Producto]])</f>
        <v/>
      </c>
      <c r="M14" s="40" t="str">
        <f>IF(tblProductos[[#This Row],[SKU]]="","",COUNTIF(tblMovimientos[SKU],tblProductos[[#This Row],[SKU]]))</f>
        <v/>
      </c>
      <c r="N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" spans="2:14" x14ac:dyDescent="0.25">
      <c r="B15" s="37"/>
      <c r="C15" s="37"/>
      <c r="D15" s="37"/>
      <c r="E15" s="38"/>
      <c r="F15" s="39"/>
      <c r="G15" s="39"/>
      <c r="H15" s="42"/>
      <c r="I15" s="37"/>
      <c r="J15" s="38"/>
      <c r="K15" s="38"/>
      <c r="L15" s="43" t="str">
        <f>IF(OR(tblProductos[[#This Row],[SKU]]="",tblProductos[[#This Row],[Producto]]=""),"",tblProductos[[#This Row],[SKU]]&amp;" · "&amp;tblProductos[[#This Row],[Producto]])</f>
        <v/>
      </c>
      <c r="M15" s="40" t="str">
        <f>IF(tblProductos[[#This Row],[SKU]]="","",COUNTIF(tblMovimientos[SKU],tblProductos[[#This Row],[SKU]]))</f>
        <v/>
      </c>
      <c r="N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" spans="2:14" x14ac:dyDescent="0.25">
      <c r="B16" s="37"/>
      <c r="C16" s="37"/>
      <c r="D16" s="37"/>
      <c r="E16" s="38"/>
      <c r="F16" s="39"/>
      <c r="G16" s="39"/>
      <c r="H16" s="42"/>
      <c r="I16" s="37"/>
      <c r="J16" s="38"/>
      <c r="K16" s="38"/>
      <c r="L16" s="43" t="str">
        <f>IF(OR(tblProductos[[#This Row],[SKU]]="",tblProductos[[#This Row],[Producto]]=""),"",tblProductos[[#This Row],[SKU]]&amp;" · "&amp;tblProductos[[#This Row],[Producto]])</f>
        <v/>
      </c>
      <c r="M16" s="40" t="str">
        <f>IF(tblProductos[[#This Row],[SKU]]="","",COUNTIF(tblMovimientos[SKU],tblProductos[[#This Row],[SKU]]))</f>
        <v/>
      </c>
      <c r="N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" spans="2:14" x14ac:dyDescent="0.25">
      <c r="B17" s="37"/>
      <c r="C17" s="37"/>
      <c r="D17" s="37"/>
      <c r="E17" s="38"/>
      <c r="F17" s="39"/>
      <c r="G17" s="39"/>
      <c r="H17" s="42"/>
      <c r="I17" s="37"/>
      <c r="J17" s="38"/>
      <c r="K17" s="38"/>
      <c r="L17" s="43" t="str">
        <f>IF(OR(tblProductos[[#This Row],[SKU]]="",tblProductos[[#This Row],[Producto]]=""),"",tblProductos[[#This Row],[SKU]]&amp;" · "&amp;tblProductos[[#This Row],[Producto]])</f>
        <v/>
      </c>
      <c r="M17" s="40" t="str">
        <f>IF(tblProductos[[#This Row],[SKU]]="","",COUNTIF(tblMovimientos[SKU],tblProductos[[#This Row],[SKU]]))</f>
        <v/>
      </c>
      <c r="N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" spans="2:14" x14ac:dyDescent="0.25">
      <c r="B18" s="37"/>
      <c r="C18" s="37"/>
      <c r="D18" s="37"/>
      <c r="E18" s="38"/>
      <c r="F18" s="39"/>
      <c r="G18" s="39"/>
      <c r="H18" s="42"/>
      <c r="I18" s="37"/>
      <c r="J18" s="38"/>
      <c r="K18" s="38"/>
      <c r="L18" s="43" t="str">
        <f>IF(OR(tblProductos[[#This Row],[SKU]]="",tblProductos[[#This Row],[Producto]]=""),"",tblProductos[[#This Row],[SKU]]&amp;" · "&amp;tblProductos[[#This Row],[Producto]])</f>
        <v/>
      </c>
      <c r="M18" s="40" t="str">
        <f>IF(tblProductos[[#This Row],[SKU]]="","",COUNTIF(tblMovimientos[SKU],tblProductos[[#This Row],[SKU]]))</f>
        <v/>
      </c>
      <c r="N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" spans="2:14" x14ac:dyDescent="0.25">
      <c r="B19" s="37"/>
      <c r="C19" s="37"/>
      <c r="D19" s="37"/>
      <c r="E19" s="38"/>
      <c r="F19" s="39"/>
      <c r="G19" s="39"/>
      <c r="H19" s="42"/>
      <c r="I19" s="37"/>
      <c r="J19" s="38"/>
      <c r="K19" s="38"/>
      <c r="L19" s="43" t="str">
        <f>IF(OR(tblProductos[[#This Row],[SKU]]="",tblProductos[[#This Row],[Producto]]=""),"",tblProductos[[#This Row],[SKU]]&amp;" · "&amp;tblProductos[[#This Row],[Producto]])</f>
        <v/>
      </c>
      <c r="M19" s="40" t="str">
        <f>IF(tblProductos[[#This Row],[SKU]]="","",COUNTIF(tblMovimientos[SKU],tblProductos[[#This Row],[SKU]]))</f>
        <v/>
      </c>
      <c r="N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" spans="2:14" x14ac:dyDescent="0.25">
      <c r="B20" s="37"/>
      <c r="C20" s="37"/>
      <c r="D20" s="37"/>
      <c r="E20" s="38"/>
      <c r="F20" s="39"/>
      <c r="G20" s="39"/>
      <c r="H20" s="42"/>
      <c r="I20" s="37"/>
      <c r="J20" s="38"/>
      <c r="K20" s="38"/>
      <c r="L20" s="43" t="str">
        <f>IF(OR(tblProductos[[#This Row],[SKU]]="",tblProductos[[#This Row],[Producto]]=""),"",tblProductos[[#This Row],[SKU]]&amp;" · "&amp;tblProductos[[#This Row],[Producto]])</f>
        <v/>
      </c>
      <c r="M20" s="40" t="str">
        <f>IF(tblProductos[[#This Row],[SKU]]="","",COUNTIF(tblMovimientos[SKU],tblProductos[[#This Row],[SKU]]))</f>
        <v/>
      </c>
      <c r="N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" spans="2:14" x14ac:dyDescent="0.25">
      <c r="B21" s="37"/>
      <c r="C21" s="37"/>
      <c r="D21" s="37"/>
      <c r="E21" s="38"/>
      <c r="F21" s="39"/>
      <c r="G21" s="39"/>
      <c r="H21" s="42"/>
      <c r="I21" s="37"/>
      <c r="J21" s="38"/>
      <c r="K21" s="38"/>
      <c r="L21" s="43" t="str">
        <f>IF(OR(tblProductos[[#This Row],[SKU]]="",tblProductos[[#This Row],[Producto]]=""),"",tblProductos[[#This Row],[SKU]]&amp;" · "&amp;tblProductos[[#This Row],[Producto]])</f>
        <v/>
      </c>
      <c r="M21" s="40" t="str">
        <f>IF(tblProductos[[#This Row],[SKU]]="","",COUNTIF(tblMovimientos[SKU],tblProductos[[#This Row],[SKU]]))</f>
        <v/>
      </c>
      <c r="N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" spans="2:14" x14ac:dyDescent="0.25">
      <c r="B22" s="37"/>
      <c r="C22" s="37"/>
      <c r="D22" s="37"/>
      <c r="E22" s="38"/>
      <c r="F22" s="39"/>
      <c r="G22" s="39"/>
      <c r="H22" s="42"/>
      <c r="I22" s="37"/>
      <c r="J22" s="38"/>
      <c r="K22" s="38"/>
      <c r="L22" s="43" t="str">
        <f>IF(OR(tblProductos[[#This Row],[SKU]]="",tblProductos[[#This Row],[Producto]]=""),"",tblProductos[[#This Row],[SKU]]&amp;" · "&amp;tblProductos[[#This Row],[Producto]])</f>
        <v/>
      </c>
      <c r="M22" s="40" t="str">
        <f>IF(tblProductos[[#This Row],[SKU]]="","",COUNTIF(tblMovimientos[SKU],tblProductos[[#This Row],[SKU]]))</f>
        <v/>
      </c>
      <c r="N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" spans="2:14" x14ac:dyDescent="0.25">
      <c r="B23" s="37"/>
      <c r="C23" s="37"/>
      <c r="D23" s="37"/>
      <c r="E23" s="38"/>
      <c r="F23" s="39"/>
      <c r="G23" s="39"/>
      <c r="H23" s="42"/>
      <c r="I23" s="37"/>
      <c r="J23" s="38"/>
      <c r="K23" s="38"/>
      <c r="L23" s="43" t="str">
        <f>IF(OR(tblProductos[[#This Row],[SKU]]="",tblProductos[[#This Row],[Producto]]=""),"",tblProductos[[#This Row],[SKU]]&amp;" · "&amp;tblProductos[[#This Row],[Producto]])</f>
        <v/>
      </c>
      <c r="M23" s="40" t="str">
        <f>IF(tblProductos[[#This Row],[SKU]]="","",COUNTIF(tblMovimientos[SKU],tblProductos[[#This Row],[SKU]]))</f>
        <v/>
      </c>
      <c r="N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" spans="2:14" x14ac:dyDescent="0.25">
      <c r="B24" s="37"/>
      <c r="C24" s="37"/>
      <c r="D24" s="37"/>
      <c r="E24" s="38"/>
      <c r="F24" s="39"/>
      <c r="G24" s="39"/>
      <c r="H24" s="42"/>
      <c r="I24" s="37"/>
      <c r="J24" s="38"/>
      <c r="K24" s="38"/>
      <c r="L24" s="43" t="str">
        <f>IF(OR(tblProductos[[#This Row],[SKU]]="",tblProductos[[#This Row],[Producto]]=""),"",tblProductos[[#This Row],[SKU]]&amp;" · "&amp;tblProductos[[#This Row],[Producto]])</f>
        <v/>
      </c>
      <c r="M24" s="40" t="str">
        <f>IF(tblProductos[[#This Row],[SKU]]="","",COUNTIF(tblMovimientos[SKU],tblProductos[[#This Row],[SKU]]))</f>
        <v/>
      </c>
      <c r="N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" spans="2:14" x14ac:dyDescent="0.25">
      <c r="B25" s="37"/>
      <c r="C25" s="37"/>
      <c r="D25" s="37"/>
      <c r="E25" s="38"/>
      <c r="F25" s="39"/>
      <c r="G25" s="39"/>
      <c r="H25" s="42"/>
      <c r="I25" s="37"/>
      <c r="J25" s="38"/>
      <c r="K25" s="38"/>
      <c r="L25" s="43" t="str">
        <f>IF(OR(tblProductos[[#This Row],[SKU]]="",tblProductos[[#This Row],[Producto]]=""),"",tblProductos[[#This Row],[SKU]]&amp;" · "&amp;tblProductos[[#This Row],[Producto]])</f>
        <v/>
      </c>
      <c r="M25" s="40" t="str">
        <f>IF(tblProductos[[#This Row],[SKU]]="","",COUNTIF(tblMovimientos[SKU],tblProductos[[#This Row],[SKU]]))</f>
        <v/>
      </c>
      <c r="N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" spans="2:14" x14ac:dyDescent="0.25">
      <c r="B26" s="37"/>
      <c r="C26" s="37"/>
      <c r="D26" s="37"/>
      <c r="E26" s="38"/>
      <c r="F26" s="39"/>
      <c r="G26" s="39"/>
      <c r="H26" s="42"/>
      <c r="I26" s="37"/>
      <c r="J26" s="38"/>
      <c r="K26" s="38"/>
      <c r="L26" s="43" t="str">
        <f>IF(OR(tblProductos[[#This Row],[SKU]]="",tblProductos[[#This Row],[Producto]]=""),"",tblProductos[[#This Row],[SKU]]&amp;" · "&amp;tblProductos[[#This Row],[Producto]])</f>
        <v/>
      </c>
      <c r="M26" s="40" t="str">
        <f>IF(tblProductos[[#This Row],[SKU]]="","",COUNTIF(tblMovimientos[SKU],tblProductos[[#This Row],[SKU]]))</f>
        <v/>
      </c>
      <c r="N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" spans="2:14" x14ac:dyDescent="0.25">
      <c r="B27" s="37"/>
      <c r="C27" s="37"/>
      <c r="D27" s="37"/>
      <c r="E27" s="38"/>
      <c r="F27" s="39"/>
      <c r="G27" s="39"/>
      <c r="H27" s="42"/>
      <c r="I27" s="37"/>
      <c r="J27" s="38"/>
      <c r="K27" s="38"/>
      <c r="L27" s="43" t="str">
        <f>IF(OR(tblProductos[[#This Row],[SKU]]="",tblProductos[[#This Row],[Producto]]=""),"",tblProductos[[#This Row],[SKU]]&amp;" · "&amp;tblProductos[[#This Row],[Producto]])</f>
        <v/>
      </c>
      <c r="M27" s="40" t="str">
        <f>IF(tblProductos[[#This Row],[SKU]]="","",COUNTIF(tblMovimientos[SKU],tblProductos[[#This Row],[SKU]]))</f>
        <v/>
      </c>
      <c r="N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" spans="2:14" x14ac:dyDescent="0.25">
      <c r="B28" s="37"/>
      <c r="C28" s="37"/>
      <c r="D28" s="37"/>
      <c r="E28" s="38"/>
      <c r="F28" s="39"/>
      <c r="G28" s="39"/>
      <c r="H28" s="42"/>
      <c r="I28" s="37"/>
      <c r="J28" s="38"/>
      <c r="K28" s="38"/>
      <c r="L28" s="43" t="str">
        <f>IF(OR(tblProductos[[#This Row],[SKU]]="",tblProductos[[#This Row],[Producto]]=""),"",tblProductos[[#This Row],[SKU]]&amp;" · "&amp;tblProductos[[#This Row],[Producto]])</f>
        <v/>
      </c>
      <c r="M28" s="40" t="str">
        <f>IF(tblProductos[[#This Row],[SKU]]="","",COUNTIF(tblMovimientos[SKU],tblProductos[[#This Row],[SKU]]))</f>
        <v/>
      </c>
      <c r="N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" spans="2:14" x14ac:dyDescent="0.25">
      <c r="B29" s="37"/>
      <c r="C29" s="37"/>
      <c r="D29" s="37"/>
      <c r="E29" s="38"/>
      <c r="F29" s="39"/>
      <c r="G29" s="39"/>
      <c r="H29" s="42"/>
      <c r="I29" s="37"/>
      <c r="J29" s="38"/>
      <c r="K29" s="38"/>
      <c r="L29" s="43" t="str">
        <f>IF(OR(tblProductos[[#This Row],[SKU]]="",tblProductos[[#This Row],[Producto]]=""),"",tblProductos[[#This Row],[SKU]]&amp;" · "&amp;tblProductos[[#This Row],[Producto]])</f>
        <v/>
      </c>
      <c r="M29" s="40" t="str">
        <f>IF(tblProductos[[#This Row],[SKU]]="","",COUNTIF(tblMovimientos[SKU],tblProductos[[#This Row],[SKU]]))</f>
        <v/>
      </c>
      <c r="N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" spans="2:14" x14ac:dyDescent="0.25">
      <c r="B30" s="37"/>
      <c r="C30" s="37"/>
      <c r="D30" s="37"/>
      <c r="E30" s="38"/>
      <c r="F30" s="39"/>
      <c r="G30" s="39"/>
      <c r="H30" s="42"/>
      <c r="I30" s="37"/>
      <c r="J30" s="38"/>
      <c r="K30" s="38"/>
      <c r="L30" s="43" t="str">
        <f>IF(OR(tblProductos[[#This Row],[SKU]]="",tblProductos[[#This Row],[Producto]]=""),"",tblProductos[[#This Row],[SKU]]&amp;" · "&amp;tblProductos[[#This Row],[Producto]])</f>
        <v/>
      </c>
      <c r="M30" s="40" t="str">
        <f>IF(tblProductos[[#This Row],[SKU]]="","",COUNTIF(tblMovimientos[SKU],tblProductos[[#This Row],[SKU]]))</f>
        <v/>
      </c>
      <c r="N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" spans="2:14" x14ac:dyDescent="0.25">
      <c r="B31" s="37"/>
      <c r="C31" s="37"/>
      <c r="D31" s="37"/>
      <c r="E31" s="38"/>
      <c r="F31" s="39"/>
      <c r="G31" s="39"/>
      <c r="H31" s="42"/>
      <c r="I31" s="37"/>
      <c r="J31" s="38"/>
      <c r="K31" s="38"/>
      <c r="L31" s="43" t="str">
        <f>IF(OR(tblProductos[[#This Row],[SKU]]="",tblProductos[[#This Row],[Producto]]=""),"",tblProductos[[#This Row],[SKU]]&amp;" · "&amp;tblProductos[[#This Row],[Producto]])</f>
        <v/>
      </c>
      <c r="M31" s="40" t="str">
        <f>IF(tblProductos[[#This Row],[SKU]]="","",COUNTIF(tblMovimientos[SKU],tblProductos[[#This Row],[SKU]]))</f>
        <v/>
      </c>
      <c r="N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" spans="2:14" x14ac:dyDescent="0.25">
      <c r="B32" s="37"/>
      <c r="C32" s="37"/>
      <c r="D32" s="37"/>
      <c r="E32" s="38"/>
      <c r="F32" s="39"/>
      <c r="G32" s="39"/>
      <c r="H32" s="42"/>
      <c r="I32" s="37"/>
      <c r="J32" s="38"/>
      <c r="K32" s="38"/>
      <c r="L32" s="43" t="str">
        <f>IF(OR(tblProductos[[#This Row],[SKU]]="",tblProductos[[#This Row],[Producto]]=""),"",tblProductos[[#This Row],[SKU]]&amp;" · "&amp;tblProductos[[#This Row],[Producto]])</f>
        <v/>
      </c>
      <c r="M32" s="40" t="str">
        <f>IF(tblProductos[[#This Row],[SKU]]="","",COUNTIF(tblMovimientos[SKU],tblProductos[[#This Row],[SKU]]))</f>
        <v/>
      </c>
      <c r="N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" spans="2:14" x14ac:dyDescent="0.25">
      <c r="B33" s="37"/>
      <c r="C33" s="37"/>
      <c r="D33" s="37"/>
      <c r="E33" s="38"/>
      <c r="F33" s="39"/>
      <c r="G33" s="39"/>
      <c r="H33" s="42"/>
      <c r="I33" s="37"/>
      <c r="J33" s="38"/>
      <c r="K33" s="38"/>
      <c r="L33" s="43" t="str">
        <f>IF(OR(tblProductos[[#This Row],[SKU]]="",tblProductos[[#This Row],[Producto]]=""),"",tblProductos[[#This Row],[SKU]]&amp;" · "&amp;tblProductos[[#This Row],[Producto]])</f>
        <v/>
      </c>
      <c r="M33" s="40" t="str">
        <f>IF(tblProductos[[#This Row],[SKU]]="","",COUNTIF(tblMovimientos[SKU],tblProductos[[#This Row],[SKU]]))</f>
        <v/>
      </c>
      <c r="N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" spans="2:14" x14ac:dyDescent="0.25">
      <c r="B34" s="37"/>
      <c r="C34" s="37"/>
      <c r="D34" s="37"/>
      <c r="E34" s="38"/>
      <c r="F34" s="39"/>
      <c r="G34" s="39"/>
      <c r="H34" s="42"/>
      <c r="I34" s="37"/>
      <c r="J34" s="38"/>
      <c r="K34" s="38"/>
      <c r="L34" s="43" t="str">
        <f>IF(OR(tblProductos[[#This Row],[SKU]]="",tblProductos[[#This Row],[Producto]]=""),"",tblProductos[[#This Row],[SKU]]&amp;" · "&amp;tblProductos[[#This Row],[Producto]])</f>
        <v/>
      </c>
      <c r="M34" s="40" t="str">
        <f>IF(tblProductos[[#This Row],[SKU]]="","",COUNTIF(tblMovimientos[SKU],tblProductos[[#This Row],[SKU]]))</f>
        <v/>
      </c>
      <c r="N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" spans="2:14" x14ac:dyDescent="0.25">
      <c r="B35" s="37"/>
      <c r="C35" s="37"/>
      <c r="D35" s="37"/>
      <c r="E35" s="38"/>
      <c r="F35" s="39"/>
      <c r="G35" s="39"/>
      <c r="H35" s="42"/>
      <c r="I35" s="37"/>
      <c r="J35" s="38"/>
      <c r="K35" s="38"/>
      <c r="L35" s="43" t="str">
        <f>IF(OR(tblProductos[[#This Row],[SKU]]="",tblProductos[[#This Row],[Producto]]=""),"",tblProductos[[#This Row],[SKU]]&amp;" · "&amp;tblProductos[[#This Row],[Producto]])</f>
        <v/>
      </c>
      <c r="M35" s="40" t="str">
        <f>IF(tblProductos[[#This Row],[SKU]]="","",COUNTIF(tblMovimientos[SKU],tblProductos[[#This Row],[SKU]]))</f>
        <v/>
      </c>
      <c r="N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" spans="2:14" x14ac:dyDescent="0.25">
      <c r="B36" s="37"/>
      <c r="C36" s="37"/>
      <c r="D36" s="37"/>
      <c r="E36" s="38"/>
      <c r="F36" s="39"/>
      <c r="G36" s="39"/>
      <c r="H36" s="42"/>
      <c r="I36" s="37"/>
      <c r="J36" s="38"/>
      <c r="K36" s="38"/>
      <c r="L36" s="43" t="str">
        <f>IF(OR(tblProductos[[#This Row],[SKU]]="",tblProductos[[#This Row],[Producto]]=""),"",tblProductos[[#This Row],[SKU]]&amp;" · "&amp;tblProductos[[#This Row],[Producto]])</f>
        <v/>
      </c>
      <c r="M36" s="40" t="str">
        <f>IF(tblProductos[[#This Row],[SKU]]="","",COUNTIF(tblMovimientos[SKU],tblProductos[[#This Row],[SKU]]))</f>
        <v/>
      </c>
      <c r="N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" spans="2:14" x14ac:dyDescent="0.25">
      <c r="B37" s="37"/>
      <c r="C37" s="37"/>
      <c r="D37" s="37"/>
      <c r="E37" s="38"/>
      <c r="F37" s="39"/>
      <c r="G37" s="39"/>
      <c r="H37" s="42"/>
      <c r="I37" s="37"/>
      <c r="J37" s="38"/>
      <c r="K37" s="38"/>
      <c r="L37" s="43" t="str">
        <f>IF(OR(tblProductos[[#This Row],[SKU]]="",tblProductos[[#This Row],[Producto]]=""),"",tblProductos[[#This Row],[SKU]]&amp;" · "&amp;tblProductos[[#This Row],[Producto]])</f>
        <v/>
      </c>
      <c r="M37" s="40" t="str">
        <f>IF(tblProductos[[#This Row],[SKU]]="","",COUNTIF(tblMovimientos[SKU],tblProductos[[#This Row],[SKU]]))</f>
        <v/>
      </c>
      <c r="N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" spans="2:14" x14ac:dyDescent="0.25">
      <c r="B38" s="37"/>
      <c r="C38" s="37"/>
      <c r="D38" s="37"/>
      <c r="E38" s="38"/>
      <c r="F38" s="39"/>
      <c r="G38" s="39"/>
      <c r="H38" s="42"/>
      <c r="I38" s="37"/>
      <c r="J38" s="38"/>
      <c r="K38" s="38"/>
      <c r="L38" s="43" t="str">
        <f>IF(OR(tblProductos[[#This Row],[SKU]]="",tblProductos[[#This Row],[Producto]]=""),"",tblProductos[[#This Row],[SKU]]&amp;" · "&amp;tblProductos[[#This Row],[Producto]])</f>
        <v/>
      </c>
      <c r="M38" s="40" t="str">
        <f>IF(tblProductos[[#This Row],[SKU]]="","",COUNTIF(tblMovimientos[SKU],tblProductos[[#This Row],[SKU]]))</f>
        <v/>
      </c>
      <c r="N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" spans="2:14" x14ac:dyDescent="0.25">
      <c r="B39" s="37"/>
      <c r="C39" s="37"/>
      <c r="D39" s="37"/>
      <c r="E39" s="38"/>
      <c r="F39" s="39"/>
      <c r="G39" s="39"/>
      <c r="H39" s="42"/>
      <c r="I39" s="37"/>
      <c r="J39" s="38"/>
      <c r="K39" s="38"/>
      <c r="L39" s="43" t="str">
        <f>IF(OR(tblProductos[[#This Row],[SKU]]="",tblProductos[[#This Row],[Producto]]=""),"",tblProductos[[#This Row],[SKU]]&amp;" · "&amp;tblProductos[[#This Row],[Producto]])</f>
        <v/>
      </c>
      <c r="M39" s="40" t="str">
        <f>IF(tblProductos[[#This Row],[SKU]]="","",COUNTIF(tblMovimientos[SKU],tblProductos[[#This Row],[SKU]]))</f>
        <v/>
      </c>
      <c r="N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" spans="2:14" x14ac:dyDescent="0.25">
      <c r="B40" s="37"/>
      <c r="C40" s="37"/>
      <c r="D40" s="37"/>
      <c r="E40" s="38"/>
      <c r="F40" s="39"/>
      <c r="G40" s="39"/>
      <c r="H40" s="42"/>
      <c r="I40" s="37"/>
      <c r="J40" s="38"/>
      <c r="K40" s="38"/>
      <c r="L40" s="43" t="str">
        <f>IF(OR(tblProductos[[#This Row],[SKU]]="",tblProductos[[#This Row],[Producto]]=""),"",tblProductos[[#This Row],[SKU]]&amp;" · "&amp;tblProductos[[#This Row],[Producto]])</f>
        <v/>
      </c>
      <c r="M40" s="40" t="str">
        <f>IF(tblProductos[[#This Row],[SKU]]="","",COUNTIF(tblMovimientos[SKU],tblProductos[[#This Row],[SKU]]))</f>
        <v/>
      </c>
      <c r="N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" spans="2:14" x14ac:dyDescent="0.25">
      <c r="B41" s="37"/>
      <c r="C41" s="37"/>
      <c r="D41" s="37"/>
      <c r="E41" s="38"/>
      <c r="F41" s="39"/>
      <c r="G41" s="39"/>
      <c r="H41" s="42"/>
      <c r="I41" s="37"/>
      <c r="J41" s="38"/>
      <c r="K41" s="38"/>
      <c r="L41" s="43" t="str">
        <f>IF(OR(tblProductos[[#This Row],[SKU]]="",tblProductos[[#This Row],[Producto]]=""),"",tblProductos[[#This Row],[SKU]]&amp;" · "&amp;tblProductos[[#This Row],[Producto]])</f>
        <v/>
      </c>
      <c r="M41" s="40" t="str">
        <f>IF(tblProductos[[#This Row],[SKU]]="","",COUNTIF(tblMovimientos[SKU],tblProductos[[#This Row],[SKU]]))</f>
        <v/>
      </c>
      <c r="N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" spans="2:14" x14ac:dyDescent="0.25">
      <c r="B42" s="37"/>
      <c r="C42" s="37"/>
      <c r="D42" s="37"/>
      <c r="E42" s="38"/>
      <c r="F42" s="39"/>
      <c r="G42" s="39"/>
      <c r="H42" s="42"/>
      <c r="I42" s="37"/>
      <c r="J42" s="38"/>
      <c r="K42" s="38"/>
      <c r="L42" s="43" t="str">
        <f>IF(OR(tblProductos[[#This Row],[SKU]]="",tblProductos[[#This Row],[Producto]]=""),"",tblProductos[[#This Row],[SKU]]&amp;" · "&amp;tblProductos[[#This Row],[Producto]])</f>
        <v/>
      </c>
      <c r="M42" s="40" t="str">
        <f>IF(tblProductos[[#This Row],[SKU]]="","",COUNTIF(tblMovimientos[SKU],tblProductos[[#This Row],[SKU]]))</f>
        <v/>
      </c>
      <c r="N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" spans="2:14" x14ac:dyDescent="0.25">
      <c r="B43" s="37"/>
      <c r="C43" s="37"/>
      <c r="D43" s="37"/>
      <c r="E43" s="38"/>
      <c r="F43" s="39"/>
      <c r="G43" s="39"/>
      <c r="H43" s="42"/>
      <c r="I43" s="37"/>
      <c r="J43" s="38"/>
      <c r="K43" s="38"/>
      <c r="L43" s="43" t="str">
        <f>IF(OR(tblProductos[[#This Row],[SKU]]="",tblProductos[[#This Row],[Producto]]=""),"",tblProductos[[#This Row],[SKU]]&amp;" · "&amp;tblProductos[[#This Row],[Producto]])</f>
        <v/>
      </c>
      <c r="M43" s="40" t="str">
        <f>IF(tblProductos[[#This Row],[SKU]]="","",COUNTIF(tblMovimientos[SKU],tblProductos[[#This Row],[SKU]]))</f>
        <v/>
      </c>
      <c r="N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" spans="2:14" x14ac:dyDescent="0.25">
      <c r="B44" s="37"/>
      <c r="C44" s="37"/>
      <c r="D44" s="37"/>
      <c r="E44" s="38"/>
      <c r="F44" s="39"/>
      <c r="G44" s="39"/>
      <c r="H44" s="42"/>
      <c r="I44" s="37"/>
      <c r="J44" s="38"/>
      <c r="K44" s="38"/>
      <c r="L44" s="43" t="str">
        <f>IF(OR(tblProductos[[#This Row],[SKU]]="",tblProductos[[#This Row],[Producto]]=""),"",tblProductos[[#This Row],[SKU]]&amp;" · "&amp;tblProductos[[#This Row],[Producto]])</f>
        <v/>
      </c>
      <c r="M44" s="40" t="str">
        <f>IF(tblProductos[[#This Row],[SKU]]="","",COUNTIF(tblMovimientos[SKU],tblProductos[[#This Row],[SKU]]))</f>
        <v/>
      </c>
      <c r="N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" spans="2:14" x14ac:dyDescent="0.25">
      <c r="B45" s="37"/>
      <c r="C45" s="37"/>
      <c r="D45" s="37"/>
      <c r="E45" s="38"/>
      <c r="F45" s="39"/>
      <c r="G45" s="39"/>
      <c r="H45" s="42"/>
      <c r="I45" s="37"/>
      <c r="J45" s="38"/>
      <c r="K45" s="38"/>
      <c r="L45" s="43" t="str">
        <f>IF(OR(tblProductos[[#This Row],[SKU]]="",tblProductos[[#This Row],[Producto]]=""),"",tblProductos[[#This Row],[SKU]]&amp;" · "&amp;tblProductos[[#This Row],[Producto]])</f>
        <v/>
      </c>
      <c r="M45" s="40" t="str">
        <f>IF(tblProductos[[#This Row],[SKU]]="","",COUNTIF(tblMovimientos[SKU],tblProductos[[#This Row],[SKU]]))</f>
        <v/>
      </c>
      <c r="N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" spans="2:14" x14ac:dyDescent="0.25">
      <c r="B46" s="37"/>
      <c r="C46" s="37"/>
      <c r="D46" s="37"/>
      <c r="E46" s="38"/>
      <c r="F46" s="39"/>
      <c r="G46" s="39"/>
      <c r="H46" s="42"/>
      <c r="I46" s="37"/>
      <c r="J46" s="38"/>
      <c r="K46" s="38"/>
      <c r="L46" s="43" t="str">
        <f>IF(OR(tblProductos[[#This Row],[SKU]]="",tblProductos[[#This Row],[Producto]]=""),"",tblProductos[[#This Row],[SKU]]&amp;" · "&amp;tblProductos[[#This Row],[Producto]])</f>
        <v/>
      </c>
      <c r="M46" s="40" t="str">
        <f>IF(tblProductos[[#This Row],[SKU]]="","",COUNTIF(tblMovimientos[SKU],tblProductos[[#This Row],[SKU]]))</f>
        <v/>
      </c>
      <c r="N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" spans="2:14" x14ac:dyDescent="0.25">
      <c r="B47" s="37"/>
      <c r="C47" s="37"/>
      <c r="D47" s="37"/>
      <c r="E47" s="38"/>
      <c r="F47" s="39"/>
      <c r="G47" s="39"/>
      <c r="H47" s="42"/>
      <c r="I47" s="37"/>
      <c r="J47" s="38"/>
      <c r="K47" s="38"/>
      <c r="L47" s="43" t="str">
        <f>IF(OR(tblProductos[[#This Row],[SKU]]="",tblProductos[[#This Row],[Producto]]=""),"",tblProductos[[#This Row],[SKU]]&amp;" · "&amp;tblProductos[[#This Row],[Producto]])</f>
        <v/>
      </c>
      <c r="M47" s="40" t="str">
        <f>IF(tblProductos[[#This Row],[SKU]]="","",COUNTIF(tblMovimientos[SKU],tblProductos[[#This Row],[SKU]]))</f>
        <v/>
      </c>
      <c r="N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" spans="2:14" x14ac:dyDescent="0.25">
      <c r="B48" s="37"/>
      <c r="C48" s="37"/>
      <c r="D48" s="37"/>
      <c r="E48" s="38"/>
      <c r="F48" s="39"/>
      <c r="G48" s="39"/>
      <c r="H48" s="42"/>
      <c r="I48" s="37"/>
      <c r="J48" s="38"/>
      <c r="K48" s="38"/>
      <c r="L48" s="43" t="str">
        <f>IF(OR(tblProductos[[#This Row],[SKU]]="",tblProductos[[#This Row],[Producto]]=""),"",tblProductos[[#This Row],[SKU]]&amp;" · "&amp;tblProductos[[#This Row],[Producto]])</f>
        <v/>
      </c>
      <c r="M48" s="40" t="str">
        <f>IF(tblProductos[[#This Row],[SKU]]="","",COUNTIF(tblMovimientos[SKU],tblProductos[[#This Row],[SKU]]))</f>
        <v/>
      </c>
      <c r="N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" spans="2:14" x14ac:dyDescent="0.25">
      <c r="B49" s="37"/>
      <c r="C49" s="37"/>
      <c r="D49" s="37"/>
      <c r="E49" s="38"/>
      <c r="F49" s="39"/>
      <c r="G49" s="39"/>
      <c r="H49" s="42"/>
      <c r="I49" s="37"/>
      <c r="J49" s="38"/>
      <c r="K49" s="38"/>
      <c r="L49" s="43" t="str">
        <f>IF(OR(tblProductos[[#This Row],[SKU]]="",tblProductos[[#This Row],[Producto]]=""),"",tblProductos[[#This Row],[SKU]]&amp;" · "&amp;tblProductos[[#This Row],[Producto]])</f>
        <v/>
      </c>
      <c r="M49" s="40" t="str">
        <f>IF(tblProductos[[#This Row],[SKU]]="","",COUNTIF(tblMovimientos[SKU],tblProductos[[#This Row],[SKU]]))</f>
        <v/>
      </c>
      <c r="N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" spans="2:14" x14ac:dyDescent="0.25">
      <c r="B50" s="37"/>
      <c r="C50" s="37"/>
      <c r="D50" s="37"/>
      <c r="E50" s="38"/>
      <c r="F50" s="39"/>
      <c r="G50" s="39"/>
      <c r="H50" s="42"/>
      <c r="I50" s="37"/>
      <c r="J50" s="38"/>
      <c r="K50" s="38"/>
      <c r="L50" s="43" t="str">
        <f>IF(OR(tblProductos[[#This Row],[SKU]]="",tblProductos[[#This Row],[Producto]]=""),"",tblProductos[[#This Row],[SKU]]&amp;" · "&amp;tblProductos[[#This Row],[Producto]])</f>
        <v/>
      </c>
      <c r="M50" s="40" t="str">
        <f>IF(tblProductos[[#This Row],[SKU]]="","",COUNTIF(tblMovimientos[SKU],tblProductos[[#This Row],[SKU]]))</f>
        <v/>
      </c>
      <c r="N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1" spans="2:14" x14ac:dyDescent="0.25">
      <c r="B51" s="37"/>
      <c r="C51" s="37"/>
      <c r="D51" s="37"/>
      <c r="E51" s="38"/>
      <c r="F51" s="39"/>
      <c r="G51" s="39"/>
      <c r="H51" s="42"/>
      <c r="I51" s="37"/>
      <c r="J51" s="38"/>
      <c r="K51" s="38"/>
      <c r="L51" s="43" t="str">
        <f>IF(OR(tblProductos[[#This Row],[SKU]]="",tblProductos[[#This Row],[Producto]]=""),"",tblProductos[[#This Row],[SKU]]&amp;" · "&amp;tblProductos[[#This Row],[Producto]])</f>
        <v/>
      </c>
      <c r="M51" s="40" t="str">
        <f>IF(tblProductos[[#This Row],[SKU]]="","",COUNTIF(tblMovimientos[SKU],tblProductos[[#This Row],[SKU]]))</f>
        <v/>
      </c>
      <c r="N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2" spans="2:14" x14ac:dyDescent="0.25">
      <c r="B52" s="37"/>
      <c r="C52" s="37"/>
      <c r="D52" s="37"/>
      <c r="E52" s="38"/>
      <c r="F52" s="39"/>
      <c r="G52" s="39"/>
      <c r="H52" s="42"/>
      <c r="I52" s="37"/>
      <c r="J52" s="38"/>
      <c r="K52" s="38"/>
      <c r="L52" s="43" t="str">
        <f>IF(OR(tblProductos[[#This Row],[SKU]]="",tblProductos[[#This Row],[Producto]]=""),"",tblProductos[[#This Row],[SKU]]&amp;" · "&amp;tblProductos[[#This Row],[Producto]])</f>
        <v/>
      </c>
      <c r="M52" s="40" t="str">
        <f>IF(tblProductos[[#This Row],[SKU]]="","",COUNTIF(tblMovimientos[SKU],tblProductos[[#This Row],[SKU]]))</f>
        <v/>
      </c>
      <c r="N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3" spans="2:14" x14ac:dyDescent="0.25">
      <c r="B53" s="37"/>
      <c r="C53" s="37"/>
      <c r="D53" s="37"/>
      <c r="E53" s="38"/>
      <c r="F53" s="39"/>
      <c r="G53" s="39"/>
      <c r="H53" s="42"/>
      <c r="I53" s="37"/>
      <c r="J53" s="38"/>
      <c r="K53" s="38"/>
      <c r="L53" s="43" t="str">
        <f>IF(OR(tblProductos[[#This Row],[SKU]]="",tblProductos[[#This Row],[Producto]]=""),"",tblProductos[[#This Row],[SKU]]&amp;" · "&amp;tblProductos[[#This Row],[Producto]])</f>
        <v/>
      </c>
      <c r="M53" s="40" t="str">
        <f>IF(tblProductos[[#This Row],[SKU]]="","",COUNTIF(tblMovimientos[SKU],tblProductos[[#This Row],[SKU]]))</f>
        <v/>
      </c>
      <c r="N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4" spans="2:14" x14ac:dyDescent="0.25">
      <c r="B54" s="37"/>
      <c r="C54" s="37"/>
      <c r="D54" s="37"/>
      <c r="E54" s="38"/>
      <c r="F54" s="39"/>
      <c r="G54" s="39"/>
      <c r="H54" s="42"/>
      <c r="I54" s="37"/>
      <c r="J54" s="38"/>
      <c r="K54" s="38"/>
      <c r="L54" s="43" t="str">
        <f>IF(OR(tblProductos[[#This Row],[SKU]]="",tblProductos[[#This Row],[Producto]]=""),"",tblProductos[[#This Row],[SKU]]&amp;" · "&amp;tblProductos[[#This Row],[Producto]])</f>
        <v/>
      </c>
      <c r="M54" s="40" t="str">
        <f>IF(tblProductos[[#This Row],[SKU]]="","",COUNTIF(tblMovimientos[SKU],tblProductos[[#This Row],[SKU]]))</f>
        <v/>
      </c>
      <c r="N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5" spans="2:14" x14ac:dyDescent="0.25">
      <c r="B55" s="37"/>
      <c r="C55" s="37"/>
      <c r="D55" s="37"/>
      <c r="E55" s="38"/>
      <c r="F55" s="39"/>
      <c r="G55" s="39"/>
      <c r="H55" s="42"/>
      <c r="I55" s="37"/>
      <c r="J55" s="38"/>
      <c r="K55" s="38"/>
      <c r="L55" s="43" t="str">
        <f>IF(OR(tblProductos[[#This Row],[SKU]]="",tblProductos[[#This Row],[Producto]]=""),"",tblProductos[[#This Row],[SKU]]&amp;" · "&amp;tblProductos[[#This Row],[Producto]])</f>
        <v/>
      </c>
      <c r="M55" s="40" t="str">
        <f>IF(tblProductos[[#This Row],[SKU]]="","",COUNTIF(tblMovimientos[SKU],tblProductos[[#This Row],[SKU]]))</f>
        <v/>
      </c>
      <c r="N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6" spans="2:14" x14ac:dyDescent="0.25">
      <c r="B56" s="37"/>
      <c r="C56" s="37"/>
      <c r="D56" s="37"/>
      <c r="E56" s="38"/>
      <c r="F56" s="39"/>
      <c r="G56" s="39"/>
      <c r="H56" s="42"/>
      <c r="I56" s="37"/>
      <c r="J56" s="38"/>
      <c r="K56" s="38"/>
      <c r="L56" s="43" t="str">
        <f>IF(OR(tblProductos[[#This Row],[SKU]]="",tblProductos[[#This Row],[Producto]]=""),"",tblProductos[[#This Row],[SKU]]&amp;" · "&amp;tblProductos[[#This Row],[Producto]])</f>
        <v/>
      </c>
      <c r="M56" s="40" t="str">
        <f>IF(tblProductos[[#This Row],[SKU]]="","",COUNTIF(tblMovimientos[SKU],tblProductos[[#This Row],[SKU]]))</f>
        <v/>
      </c>
      <c r="N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7" spans="2:14" x14ac:dyDescent="0.25">
      <c r="B57" s="37"/>
      <c r="C57" s="37"/>
      <c r="D57" s="37"/>
      <c r="E57" s="38"/>
      <c r="F57" s="39"/>
      <c r="G57" s="39"/>
      <c r="H57" s="42"/>
      <c r="I57" s="37"/>
      <c r="J57" s="38"/>
      <c r="K57" s="38"/>
      <c r="L57" s="43" t="str">
        <f>IF(OR(tblProductos[[#This Row],[SKU]]="",tblProductos[[#This Row],[Producto]]=""),"",tblProductos[[#This Row],[SKU]]&amp;" · "&amp;tblProductos[[#This Row],[Producto]])</f>
        <v/>
      </c>
      <c r="M57" s="40" t="str">
        <f>IF(tblProductos[[#This Row],[SKU]]="","",COUNTIF(tblMovimientos[SKU],tblProductos[[#This Row],[SKU]]))</f>
        <v/>
      </c>
      <c r="N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8" spans="2:14" x14ac:dyDescent="0.25">
      <c r="B58" s="37"/>
      <c r="C58" s="37"/>
      <c r="D58" s="37"/>
      <c r="E58" s="38"/>
      <c r="F58" s="39"/>
      <c r="G58" s="39"/>
      <c r="H58" s="42"/>
      <c r="I58" s="37"/>
      <c r="J58" s="38"/>
      <c r="K58" s="38"/>
      <c r="L58" s="43" t="str">
        <f>IF(OR(tblProductos[[#This Row],[SKU]]="",tblProductos[[#This Row],[Producto]]=""),"",tblProductos[[#This Row],[SKU]]&amp;" · "&amp;tblProductos[[#This Row],[Producto]])</f>
        <v/>
      </c>
      <c r="M58" s="40" t="str">
        <f>IF(tblProductos[[#This Row],[SKU]]="","",COUNTIF(tblMovimientos[SKU],tblProductos[[#This Row],[SKU]]))</f>
        <v/>
      </c>
      <c r="N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9" spans="2:14" x14ac:dyDescent="0.25">
      <c r="B59" s="37"/>
      <c r="C59" s="37"/>
      <c r="D59" s="37"/>
      <c r="E59" s="38"/>
      <c r="F59" s="39"/>
      <c r="G59" s="39"/>
      <c r="H59" s="42"/>
      <c r="I59" s="37"/>
      <c r="J59" s="38"/>
      <c r="K59" s="38"/>
      <c r="L59" s="43" t="str">
        <f>IF(OR(tblProductos[[#This Row],[SKU]]="",tblProductos[[#This Row],[Producto]]=""),"",tblProductos[[#This Row],[SKU]]&amp;" · "&amp;tblProductos[[#This Row],[Producto]])</f>
        <v/>
      </c>
      <c r="M59" s="40" t="str">
        <f>IF(tblProductos[[#This Row],[SKU]]="","",COUNTIF(tblMovimientos[SKU],tblProductos[[#This Row],[SKU]]))</f>
        <v/>
      </c>
      <c r="N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0" spans="2:14" x14ac:dyDescent="0.25">
      <c r="B60" s="37"/>
      <c r="C60" s="37"/>
      <c r="D60" s="37"/>
      <c r="E60" s="38"/>
      <c r="F60" s="39"/>
      <c r="G60" s="39"/>
      <c r="H60" s="42"/>
      <c r="I60" s="37"/>
      <c r="J60" s="38"/>
      <c r="K60" s="38"/>
      <c r="L60" s="43" t="str">
        <f>IF(OR(tblProductos[[#This Row],[SKU]]="",tblProductos[[#This Row],[Producto]]=""),"",tblProductos[[#This Row],[SKU]]&amp;" · "&amp;tblProductos[[#This Row],[Producto]])</f>
        <v/>
      </c>
      <c r="M60" s="40" t="str">
        <f>IF(tblProductos[[#This Row],[SKU]]="","",COUNTIF(tblMovimientos[SKU],tblProductos[[#This Row],[SKU]]))</f>
        <v/>
      </c>
      <c r="N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1" spans="2:14" x14ac:dyDescent="0.25">
      <c r="B61" s="37"/>
      <c r="C61" s="37"/>
      <c r="D61" s="37"/>
      <c r="E61" s="38"/>
      <c r="F61" s="39"/>
      <c r="G61" s="39"/>
      <c r="H61" s="42"/>
      <c r="I61" s="37"/>
      <c r="J61" s="38"/>
      <c r="K61" s="38"/>
      <c r="L61" s="43" t="str">
        <f>IF(OR(tblProductos[[#This Row],[SKU]]="",tblProductos[[#This Row],[Producto]]=""),"",tblProductos[[#This Row],[SKU]]&amp;" · "&amp;tblProductos[[#This Row],[Producto]])</f>
        <v/>
      </c>
      <c r="M61" s="40" t="str">
        <f>IF(tblProductos[[#This Row],[SKU]]="","",COUNTIF(tblMovimientos[SKU],tblProductos[[#This Row],[SKU]]))</f>
        <v/>
      </c>
      <c r="N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2" spans="2:14" x14ac:dyDescent="0.25">
      <c r="B62" s="37"/>
      <c r="C62" s="37"/>
      <c r="D62" s="37"/>
      <c r="E62" s="38"/>
      <c r="F62" s="39"/>
      <c r="G62" s="39"/>
      <c r="H62" s="42"/>
      <c r="I62" s="37"/>
      <c r="J62" s="38"/>
      <c r="K62" s="38"/>
      <c r="L62" s="43" t="str">
        <f>IF(OR(tblProductos[[#This Row],[SKU]]="",tblProductos[[#This Row],[Producto]]=""),"",tblProductos[[#This Row],[SKU]]&amp;" · "&amp;tblProductos[[#This Row],[Producto]])</f>
        <v/>
      </c>
      <c r="M62" s="40" t="str">
        <f>IF(tblProductos[[#This Row],[SKU]]="","",COUNTIF(tblMovimientos[SKU],tblProductos[[#This Row],[SKU]]))</f>
        <v/>
      </c>
      <c r="N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3" spans="2:14" x14ac:dyDescent="0.25">
      <c r="B63" s="37"/>
      <c r="C63" s="37"/>
      <c r="D63" s="37"/>
      <c r="E63" s="38"/>
      <c r="F63" s="39"/>
      <c r="G63" s="39"/>
      <c r="H63" s="42"/>
      <c r="I63" s="37"/>
      <c r="J63" s="38"/>
      <c r="K63" s="38"/>
      <c r="L63" s="43" t="str">
        <f>IF(OR(tblProductos[[#This Row],[SKU]]="",tblProductos[[#This Row],[Producto]]=""),"",tblProductos[[#This Row],[SKU]]&amp;" · "&amp;tblProductos[[#This Row],[Producto]])</f>
        <v/>
      </c>
      <c r="M63" s="40" t="str">
        <f>IF(tblProductos[[#This Row],[SKU]]="","",COUNTIF(tblMovimientos[SKU],tblProductos[[#This Row],[SKU]]))</f>
        <v/>
      </c>
      <c r="N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4" spans="2:14" x14ac:dyDescent="0.25">
      <c r="B64" s="37"/>
      <c r="C64" s="37"/>
      <c r="D64" s="37"/>
      <c r="E64" s="38"/>
      <c r="F64" s="39"/>
      <c r="G64" s="39"/>
      <c r="H64" s="42"/>
      <c r="I64" s="37"/>
      <c r="J64" s="38"/>
      <c r="K64" s="38"/>
      <c r="L64" s="43" t="str">
        <f>IF(OR(tblProductos[[#This Row],[SKU]]="",tblProductos[[#This Row],[Producto]]=""),"",tblProductos[[#This Row],[SKU]]&amp;" · "&amp;tblProductos[[#This Row],[Producto]])</f>
        <v/>
      </c>
      <c r="M64" s="40" t="str">
        <f>IF(tblProductos[[#This Row],[SKU]]="","",COUNTIF(tblMovimientos[SKU],tblProductos[[#This Row],[SKU]]))</f>
        <v/>
      </c>
      <c r="N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5" spans="2:14" x14ac:dyDescent="0.25">
      <c r="B65" s="37"/>
      <c r="C65" s="37"/>
      <c r="D65" s="37"/>
      <c r="E65" s="38"/>
      <c r="F65" s="39"/>
      <c r="G65" s="39"/>
      <c r="H65" s="42"/>
      <c r="I65" s="37"/>
      <c r="J65" s="38"/>
      <c r="K65" s="38"/>
      <c r="L65" s="43" t="str">
        <f>IF(OR(tblProductos[[#This Row],[SKU]]="",tblProductos[[#This Row],[Producto]]=""),"",tblProductos[[#This Row],[SKU]]&amp;" · "&amp;tblProductos[[#This Row],[Producto]])</f>
        <v/>
      </c>
      <c r="M65" s="40" t="str">
        <f>IF(tblProductos[[#This Row],[SKU]]="","",COUNTIF(tblMovimientos[SKU],tblProductos[[#This Row],[SKU]]))</f>
        <v/>
      </c>
      <c r="N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6" spans="2:14" x14ac:dyDescent="0.25">
      <c r="B66" s="37"/>
      <c r="C66" s="37"/>
      <c r="D66" s="37"/>
      <c r="E66" s="38"/>
      <c r="F66" s="39"/>
      <c r="G66" s="39"/>
      <c r="H66" s="42"/>
      <c r="I66" s="37"/>
      <c r="J66" s="38"/>
      <c r="K66" s="38"/>
      <c r="L66" s="43" t="str">
        <f>IF(OR(tblProductos[[#This Row],[SKU]]="",tblProductos[[#This Row],[Producto]]=""),"",tblProductos[[#This Row],[SKU]]&amp;" · "&amp;tblProductos[[#This Row],[Producto]])</f>
        <v/>
      </c>
      <c r="M66" s="40" t="str">
        <f>IF(tblProductos[[#This Row],[SKU]]="","",COUNTIF(tblMovimientos[SKU],tblProductos[[#This Row],[SKU]]))</f>
        <v/>
      </c>
      <c r="N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7" spans="2:14" x14ac:dyDescent="0.25">
      <c r="B67" s="37"/>
      <c r="C67" s="37"/>
      <c r="D67" s="37"/>
      <c r="E67" s="38"/>
      <c r="F67" s="39"/>
      <c r="G67" s="39"/>
      <c r="H67" s="42"/>
      <c r="I67" s="37"/>
      <c r="J67" s="38"/>
      <c r="K67" s="38"/>
      <c r="L67" s="43" t="str">
        <f>IF(OR(tblProductos[[#This Row],[SKU]]="",tblProductos[[#This Row],[Producto]]=""),"",tblProductos[[#This Row],[SKU]]&amp;" · "&amp;tblProductos[[#This Row],[Producto]])</f>
        <v/>
      </c>
      <c r="M67" s="40" t="str">
        <f>IF(tblProductos[[#This Row],[SKU]]="","",COUNTIF(tblMovimientos[SKU],tblProductos[[#This Row],[SKU]]))</f>
        <v/>
      </c>
      <c r="N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8" spans="2:14" x14ac:dyDescent="0.25">
      <c r="B68" s="37"/>
      <c r="C68" s="37"/>
      <c r="D68" s="37"/>
      <c r="E68" s="38"/>
      <c r="F68" s="39"/>
      <c r="G68" s="39"/>
      <c r="H68" s="42"/>
      <c r="I68" s="37"/>
      <c r="J68" s="38"/>
      <c r="K68" s="38"/>
      <c r="L68" s="43" t="str">
        <f>IF(OR(tblProductos[[#This Row],[SKU]]="",tblProductos[[#This Row],[Producto]]=""),"",tblProductos[[#This Row],[SKU]]&amp;" · "&amp;tblProductos[[#This Row],[Producto]])</f>
        <v/>
      </c>
      <c r="M68" s="40" t="str">
        <f>IF(tblProductos[[#This Row],[SKU]]="","",COUNTIF(tblMovimientos[SKU],tblProductos[[#This Row],[SKU]]))</f>
        <v/>
      </c>
      <c r="N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69" spans="2:14" x14ac:dyDescent="0.25">
      <c r="B69" s="37"/>
      <c r="C69" s="37"/>
      <c r="D69" s="37"/>
      <c r="E69" s="38"/>
      <c r="F69" s="39"/>
      <c r="G69" s="39"/>
      <c r="H69" s="42"/>
      <c r="I69" s="37"/>
      <c r="J69" s="38"/>
      <c r="K69" s="38"/>
      <c r="L69" s="43" t="str">
        <f>IF(OR(tblProductos[[#This Row],[SKU]]="",tblProductos[[#This Row],[Producto]]=""),"",tblProductos[[#This Row],[SKU]]&amp;" · "&amp;tblProductos[[#This Row],[Producto]])</f>
        <v/>
      </c>
      <c r="M69" s="40" t="str">
        <f>IF(tblProductos[[#This Row],[SKU]]="","",COUNTIF(tblMovimientos[SKU],tblProductos[[#This Row],[SKU]]))</f>
        <v/>
      </c>
      <c r="N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0" spans="2:14" x14ac:dyDescent="0.25">
      <c r="B70" s="37"/>
      <c r="C70" s="37"/>
      <c r="D70" s="37"/>
      <c r="E70" s="38"/>
      <c r="F70" s="39"/>
      <c r="G70" s="39"/>
      <c r="H70" s="42"/>
      <c r="I70" s="37"/>
      <c r="J70" s="38"/>
      <c r="K70" s="38"/>
      <c r="L70" s="43" t="str">
        <f>IF(OR(tblProductos[[#This Row],[SKU]]="",tblProductos[[#This Row],[Producto]]=""),"",tblProductos[[#This Row],[SKU]]&amp;" · "&amp;tblProductos[[#This Row],[Producto]])</f>
        <v/>
      </c>
      <c r="M70" s="40" t="str">
        <f>IF(tblProductos[[#This Row],[SKU]]="","",COUNTIF(tblMovimientos[SKU],tblProductos[[#This Row],[SKU]]))</f>
        <v/>
      </c>
      <c r="N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1" spans="2:14" x14ac:dyDescent="0.25">
      <c r="B71" s="37"/>
      <c r="C71" s="37"/>
      <c r="D71" s="37"/>
      <c r="E71" s="38"/>
      <c r="F71" s="39"/>
      <c r="G71" s="39"/>
      <c r="H71" s="42"/>
      <c r="I71" s="37"/>
      <c r="J71" s="38"/>
      <c r="K71" s="38"/>
      <c r="L71" s="43" t="str">
        <f>IF(OR(tblProductos[[#This Row],[SKU]]="",tblProductos[[#This Row],[Producto]]=""),"",tblProductos[[#This Row],[SKU]]&amp;" · "&amp;tblProductos[[#This Row],[Producto]])</f>
        <v/>
      </c>
      <c r="M71" s="40" t="str">
        <f>IF(tblProductos[[#This Row],[SKU]]="","",COUNTIF(tblMovimientos[SKU],tblProductos[[#This Row],[SKU]]))</f>
        <v/>
      </c>
      <c r="N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2" spans="2:14" x14ac:dyDescent="0.25">
      <c r="B72" s="37"/>
      <c r="C72" s="37"/>
      <c r="D72" s="37"/>
      <c r="E72" s="38"/>
      <c r="F72" s="39"/>
      <c r="G72" s="39"/>
      <c r="H72" s="42"/>
      <c r="I72" s="37"/>
      <c r="J72" s="38"/>
      <c r="K72" s="38"/>
      <c r="L72" s="43" t="str">
        <f>IF(OR(tblProductos[[#This Row],[SKU]]="",tblProductos[[#This Row],[Producto]]=""),"",tblProductos[[#This Row],[SKU]]&amp;" · "&amp;tblProductos[[#This Row],[Producto]])</f>
        <v/>
      </c>
      <c r="M72" s="40" t="str">
        <f>IF(tblProductos[[#This Row],[SKU]]="","",COUNTIF(tblMovimientos[SKU],tblProductos[[#This Row],[SKU]]))</f>
        <v/>
      </c>
      <c r="N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3" spans="2:14" x14ac:dyDescent="0.25">
      <c r="B73" s="37"/>
      <c r="C73" s="37"/>
      <c r="D73" s="37"/>
      <c r="E73" s="38"/>
      <c r="F73" s="39"/>
      <c r="G73" s="39"/>
      <c r="H73" s="42"/>
      <c r="I73" s="37"/>
      <c r="J73" s="38"/>
      <c r="K73" s="38"/>
      <c r="L73" s="43" t="str">
        <f>IF(OR(tblProductos[[#This Row],[SKU]]="",tblProductos[[#This Row],[Producto]]=""),"",tblProductos[[#This Row],[SKU]]&amp;" · "&amp;tblProductos[[#This Row],[Producto]])</f>
        <v/>
      </c>
      <c r="M73" s="40" t="str">
        <f>IF(tblProductos[[#This Row],[SKU]]="","",COUNTIF(tblMovimientos[SKU],tblProductos[[#This Row],[SKU]]))</f>
        <v/>
      </c>
      <c r="N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4" spans="2:14" x14ac:dyDescent="0.25">
      <c r="B74" s="37"/>
      <c r="C74" s="37"/>
      <c r="D74" s="37"/>
      <c r="E74" s="38"/>
      <c r="F74" s="39"/>
      <c r="G74" s="39"/>
      <c r="H74" s="42"/>
      <c r="I74" s="37"/>
      <c r="J74" s="38"/>
      <c r="K74" s="38"/>
      <c r="L74" s="43" t="str">
        <f>IF(OR(tblProductos[[#This Row],[SKU]]="",tblProductos[[#This Row],[Producto]]=""),"",tblProductos[[#This Row],[SKU]]&amp;" · "&amp;tblProductos[[#This Row],[Producto]])</f>
        <v/>
      </c>
      <c r="M74" s="40" t="str">
        <f>IF(tblProductos[[#This Row],[SKU]]="","",COUNTIF(tblMovimientos[SKU],tblProductos[[#This Row],[SKU]]))</f>
        <v/>
      </c>
      <c r="N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5" spans="2:14" x14ac:dyDescent="0.25">
      <c r="B75" s="37"/>
      <c r="C75" s="37"/>
      <c r="D75" s="37"/>
      <c r="E75" s="38"/>
      <c r="F75" s="39"/>
      <c r="G75" s="39"/>
      <c r="H75" s="42"/>
      <c r="I75" s="37"/>
      <c r="J75" s="38"/>
      <c r="K75" s="38"/>
      <c r="L75" s="43" t="str">
        <f>IF(OR(tblProductos[[#This Row],[SKU]]="",tblProductos[[#This Row],[Producto]]=""),"",tblProductos[[#This Row],[SKU]]&amp;" · "&amp;tblProductos[[#This Row],[Producto]])</f>
        <v/>
      </c>
      <c r="M75" s="40" t="str">
        <f>IF(tblProductos[[#This Row],[SKU]]="","",COUNTIF(tblMovimientos[SKU],tblProductos[[#This Row],[SKU]]))</f>
        <v/>
      </c>
      <c r="N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6" spans="2:14" x14ac:dyDescent="0.25">
      <c r="B76" s="37"/>
      <c r="C76" s="37"/>
      <c r="D76" s="37"/>
      <c r="E76" s="38"/>
      <c r="F76" s="39"/>
      <c r="G76" s="39"/>
      <c r="H76" s="42"/>
      <c r="I76" s="37"/>
      <c r="J76" s="38"/>
      <c r="K76" s="38"/>
      <c r="L76" s="43" t="str">
        <f>IF(OR(tblProductos[[#This Row],[SKU]]="",tblProductos[[#This Row],[Producto]]=""),"",tblProductos[[#This Row],[SKU]]&amp;" · "&amp;tblProductos[[#This Row],[Producto]])</f>
        <v/>
      </c>
      <c r="M76" s="40" t="str">
        <f>IF(tblProductos[[#This Row],[SKU]]="","",COUNTIF(tblMovimientos[SKU],tblProductos[[#This Row],[SKU]]))</f>
        <v/>
      </c>
      <c r="N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7" spans="2:14" x14ac:dyDescent="0.25">
      <c r="B77" s="37"/>
      <c r="C77" s="37"/>
      <c r="D77" s="37"/>
      <c r="E77" s="38"/>
      <c r="F77" s="39"/>
      <c r="G77" s="39"/>
      <c r="H77" s="42"/>
      <c r="I77" s="37"/>
      <c r="J77" s="38"/>
      <c r="K77" s="38"/>
      <c r="L77" s="43" t="str">
        <f>IF(OR(tblProductos[[#This Row],[SKU]]="",tblProductos[[#This Row],[Producto]]=""),"",tblProductos[[#This Row],[SKU]]&amp;" · "&amp;tblProductos[[#This Row],[Producto]])</f>
        <v/>
      </c>
      <c r="M77" s="40" t="str">
        <f>IF(tblProductos[[#This Row],[SKU]]="","",COUNTIF(tblMovimientos[SKU],tblProductos[[#This Row],[SKU]]))</f>
        <v/>
      </c>
      <c r="N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8" spans="2:14" x14ac:dyDescent="0.25">
      <c r="B78" s="37"/>
      <c r="C78" s="37"/>
      <c r="D78" s="37"/>
      <c r="E78" s="38"/>
      <c r="F78" s="39"/>
      <c r="G78" s="39"/>
      <c r="H78" s="42"/>
      <c r="I78" s="37"/>
      <c r="J78" s="38"/>
      <c r="K78" s="38"/>
      <c r="L78" s="43" t="str">
        <f>IF(OR(tblProductos[[#This Row],[SKU]]="",tblProductos[[#This Row],[Producto]]=""),"",tblProductos[[#This Row],[SKU]]&amp;" · "&amp;tblProductos[[#This Row],[Producto]])</f>
        <v/>
      </c>
      <c r="M78" s="40" t="str">
        <f>IF(tblProductos[[#This Row],[SKU]]="","",COUNTIF(tblMovimientos[SKU],tblProductos[[#This Row],[SKU]]))</f>
        <v/>
      </c>
      <c r="N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79" spans="2:14" x14ac:dyDescent="0.25">
      <c r="B79" s="37"/>
      <c r="C79" s="37"/>
      <c r="D79" s="37"/>
      <c r="E79" s="38"/>
      <c r="F79" s="39"/>
      <c r="G79" s="39"/>
      <c r="H79" s="42"/>
      <c r="I79" s="37"/>
      <c r="J79" s="38"/>
      <c r="K79" s="38"/>
      <c r="L79" s="43" t="str">
        <f>IF(OR(tblProductos[[#This Row],[SKU]]="",tblProductos[[#This Row],[Producto]]=""),"",tblProductos[[#This Row],[SKU]]&amp;" · "&amp;tblProductos[[#This Row],[Producto]])</f>
        <v/>
      </c>
      <c r="M79" s="40" t="str">
        <f>IF(tblProductos[[#This Row],[SKU]]="","",COUNTIF(tblMovimientos[SKU],tblProductos[[#This Row],[SKU]]))</f>
        <v/>
      </c>
      <c r="N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0" spans="2:14" x14ac:dyDescent="0.25">
      <c r="B80" s="37"/>
      <c r="C80" s="37"/>
      <c r="D80" s="37"/>
      <c r="E80" s="38"/>
      <c r="F80" s="39"/>
      <c r="G80" s="39"/>
      <c r="H80" s="42"/>
      <c r="I80" s="37"/>
      <c r="J80" s="38"/>
      <c r="K80" s="38"/>
      <c r="L80" s="43" t="str">
        <f>IF(OR(tblProductos[[#This Row],[SKU]]="",tblProductos[[#This Row],[Producto]]=""),"",tblProductos[[#This Row],[SKU]]&amp;" · "&amp;tblProductos[[#This Row],[Producto]])</f>
        <v/>
      </c>
      <c r="M80" s="40" t="str">
        <f>IF(tblProductos[[#This Row],[SKU]]="","",COUNTIF(tblMovimientos[SKU],tblProductos[[#This Row],[SKU]]))</f>
        <v/>
      </c>
      <c r="N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1" spans="2:14" x14ac:dyDescent="0.25">
      <c r="B81" s="37"/>
      <c r="C81" s="37"/>
      <c r="D81" s="37"/>
      <c r="E81" s="38"/>
      <c r="F81" s="39"/>
      <c r="G81" s="39"/>
      <c r="H81" s="42"/>
      <c r="I81" s="37"/>
      <c r="J81" s="38"/>
      <c r="K81" s="38"/>
      <c r="L81" s="43" t="str">
        <f>IF(OR(tblProductos[[#This Row],[SKU]]="",tblProductos[[#This Row],[Producto]]=""),"",tblProductos[[#This Row],[SKU]]&amp;" · "&amp;tblProductos[[#This Row],[Producto]])</f>
        <v/>
      </c>
      <c r="M81" s="40" t="str">
        <f>IF(tblProductos[[#This Row],[SKU]]="","",COUNTIF(tblMovimientos[SKU],tblProductos[[#This Row],[SKU]]))</f>
        <v/>
      </c>
      <c r="N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2" spans="2:14" x14ac:dyDescent="0.25">
      <c r="B82" s="37"/>
      <c r="C82" s="37"/>
      <c r="D82" s="37"/>
      <c r="E82" s="38"/>
      <c r="F82" s="39"/>
      <c r="G82" s="39"/>
      <c r="H82" s="42"/>
      <c r="I82" s="37"/>
      <c r="J82" s="38"/>
      <c r="K82" s="38"/>
      <c r="L82" s="43" t="str">
        <f>IF(OR(tblProductos[[#This Row],[SKU]]="",tblProductos[[#This Row],[Producto]]=""),"",tblProductos[[#This Row],[SKU]]&amp;" · "&amp;tblProductos[[#This Row],[Producto]])</f>
        <v/>
      </c>
      <c r="M82" s="40" t="str">
        <f>IF(tblProductos[[#This Row],[SKU]]="","",COUNTIF(tblMovimientos[SKU],tblProductos[[#This Row],[SKU]]))</f>
        <v/>
      </c>
      <c r="N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3" spans="2:14" x14ac:dyDescent="0.25">
      <c r="B83" s="37"/>
      <c r="C83" s="37"/>
      <c r="D83" s="37"/>
      <c r="E83" s="38"/>
      <c r="F83" s="39"/>
      <c r="G83" s="39"/>
      <c r="H83" s="42"/>
      <c r="I83" s="37"/>
      <c r="J83" s="38"/>
      <c r="K83" s="38"/>
      <c r="L83" s="43" t="str">
        <f>IF(OR(tblProductos[[#This Row],[SKU]]="",tblProductos[[#This Row],[Producto]]=""),"",tblProductos[[#This Row],[SKU]]&amp;" · "&amp;tblProductos[[#This Row],[Producto]])</f>
        <v/>
      </c>
      <c r="M83" s="40" t="str">
        <f>IF(tblProductos[[#This Row],[SKU]]="","",COUNTIF(tblMovimientos[SKU],tblProductos[[#This Row],[SKU]]))</f>
        <v/>
      </c>
      <c r="N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4" spans="2:14" x14ac:dyDescent="0.25">
      <c r="B84" s="37"/>
      <c r="C84" s="37"/>
      <c r="D84" s="37"/>
      <c r="E84" s="38"/>
      <c r="F84" s="39"/>
      <c r="G84" s="39"/>
      <c r="H84" s="42"/>
      <c r="I84" s="37"/>
      <c r="J84" s="38"/>
      <c r="K84" s="38"/>
      <c r="L84" s="43" t="str">
        <f>IF(OR(tblProductos[[#This Row],[SKU]]="",tblProductos[[#This Row],[Producto]]=""),"",tblProductos[[#This Row],[SKU]]&amp;" · "&amp;tblProductos[[#This Row],[Producto]])</f>
        <v/>
      </c>
      <c r="M84" s="40" t="str">
        <f>IF(tblProductos[[#This Row],[SKU]]="","",COUNTIF(tblMovimientos[SKU],tblProductos[[#This Row],[SKU]]))</f>
        <v/>
      </c>
      <c r="N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5" spans="2:14" x14ac:dyDescent="0.25">
      <c r="B85" s="37"/>
      <c r="C85" s="37"/>
      <c r="D85" s="37"/>
      <c r="E85" s="38"/>
      <c r="F85" s="39"/>
      <c r="G85" s="39"/>
      <c r="H85" s="42"/>
      <c r="I85" s="37"/>
      <c r="J85" s="38"/>
      <c r="K85" s="38"/>
      <c r="L85" s="43" t="str">
        <f>IF(OR(tblProductos[[#This Row],[SKU]]="",tblProductos[[#This Row],[Producto]]=""),"",tblProductos[[#This Row],[SKU]]&amp;" · "&amp;tblProductos[[#This Row],[Producto]])</f>
        <v/>
      </c>
      <c r="M85" s="40" t="str">
        <f>IF(tblProductos[[#This Row],[SKU]]="","",COUNTIF(tblMovimientos[SKU],tblProductos[[#This Row],[SKU]]))</f>
        <v/>
      </c>
      <c r="N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6" spans="2:14" x14ac:dyDescent="0.25">
      <c r="B86" s="37"/>
      <c r="C86" s="37"/>
      <c r="D86" s="37"/>
      <c r="E86" s="38"/>
      <c r="F86" s="39"/>
      <c r="G86" s="39"/>
      <c r="H86" s="42"/>
      <c r="I86" s="37"/>
      <c r="J86" s="38"/>
      <c r="K86" s="38"/>
      <c r="L86" s="43" t="str">
        <f>IF(OR(tblProductos[[#This Row],[SKU]]="",tblProductos[[#This Row],[Producto]]=""),"",tblProductos[[#This Row],[SKU]]&amp;" · "&amp;tblProductos[[#This Row],[Producto]])</f>
        <v/>
      </c>
      <c r="M86" s="40" t="str">
        <f>IF(tblProductos[[#This Row],[SKU]]="","",COUNTIF(tblMovimientos[SKU],tblProductos[[#This Row],[SKU]]))</f>
        <v/>
      </c>
      <c r="N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7" spans="2:14" x14ac:dyDescent="0.25">
      <c r="B87" s="37"/>
      <c r="C87" s="37"/>
      <c r="D87" s="37"/>
      <c r="E87" s="38"/>
      <c r="F87" s="39"/>
      <c r="G87" s="39"/>
      <c r="H87" s="42"/>
      <c r="I87" s="37"/>
      <c r="J87" s="38"/>
      <c r="K87" s="38"/>
      <c r="L87" s="43" t="str">
        <f>IF(OR(tblProductos[[#This Row],[SKU]]="",tblProductos[[#This Row],[Producto]]=""),"",tblProductos[[#This Row],[SKU]]&amp;" · "&amp;tblProductos[[#This Row],[Producto]])</f>
        <v/>
      </c>
      <c r="M87" s="40" t="str">
        <f>IF(tblProductos[[#This Row],[SKU]]="","",COUNTIF(tblMovimientos[SKU],tblProductos[[#This Row],[SKU]]))</f>
        <v/>
      </c>
      <c r="N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8" spans="2:14" x14ac:dyDescent="0.25">
      <c r="B88" s="37"/>
      <c r="C88" s="37"/>
      <c r="D88" s="37"/>
      <c r="E88" s="38"/>
      <c r="F88" s="39"/>
      <c r="G88" s="39"/>
      <c r="H88" s="42"/>
      <c r="I88" s="37"/>
      <c r="J88" s="38"/>
      <c r="K88" s="38"/>
      <c r="L88" s="43" t="str">
        <f>IF(OR(tblProductos[[#This Row],[SKU]]="",tblProductos[[#This Row],[Producto]]=""),"",tblProductos[[#This Row],[SKU]]&amp;" · "&amp;tblProductos[[#This Row],[Producto]])</f>
        <v/>
      </c>
      <c r="M88" s="40" t="str">
        <f>IF(tblProductos[[#This Row],[SKU]]="","",COUNTIF(tblMovimientos[SKU],tblProductos[[#This Row],[SKU]]))</f>
        <v/>
      </c>
      <c r="N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89" spans="2:14" x14ac:dyDescent="0.25">
      <c r="B89" s="37"/>
      <c r="C89" s="37"/>
      <c r="D89" s="37"/>
      <c r="E89" s="38"/>
      <c r="F89" s="39"/>
      <c r="G89" s="39"/>
      <c r="H89" s="42"/>
      <c r="I89" s="37"/>
      <c r="J89" s="38"/>
      <c r="K89" s="38"/>
      <c r="L89" s="43" t="str">
        <f>IF(OR(tblProductos[[#This Row],[SKU]]="",tblProductos[[#This Row],[Producto]]=""),"",tblProductos[[#This Row],[SKU]]&amp;" · "&amp;tblProductos[[#This Row],[Producto]])</f>
        <v/>
      </c>
      <c r="M89" s="40" t="str">
        <f>IF(tblProductos[[#This Row],[SKU]]="","",COUNTIF(tblMovimientos[SKU],tblProductos[[#This Row],[SKU]]))</f>
        <v/>
      </c>
      <c r="N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0" spans="2:14" x14ac:dyDescent="0.25">
      <c r="B90" s="37"/>
      <c r="C90" s="37"/>
      <c r="D90" s="37"/>
      <c r="E90" s="38"/>
      <c r="F90" s="39"/>
      <c r="G90" s="39"/>
      <c r="H90" s="42"/>
      <c r="I90" s="37"/>
      <c r="J90" s="38"/>
      <c r="K90" s="38"/>
      <c r="L90" s="43" t="str">
        <f>IF(OR(tblProductos[[#This Row],[SKU]]="",tblProductos[[#This Row],[Producto]]=""),"",tblProductos[[#This Row],[SKU]]&amp;" · "&amp;tblProductos[[#This Row],[Producto]])</f>
        <v/>
      </c>
      <c r="M90" s="40" t="str">
        <f>IF(tblProductos[[#This Row],[SKU]]="","",COUNTIF(tblMovimientos[SKU],tblProductos[[#This Row],[SKU]]))</f>
        <v/>
      </c>
      <c r="N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1" spans="2:14" x14ac:dyDescent="0.25">
      <c r="B91" s="37"/>
      <c r="C91" s="37"/>
      <c r="D91" s="37"/>
      <c r="E91" s="38"/>
      <c r="F91" s="39"/>
      <c r="G91" s="39"/>
      <c r="H91" s="42"/>
      <c r="I91" s="37"/>
      <c r="J91" s="38"/>
      <c r="K91" s="38"/>
      <c r="L91" s="43" t="str">
        <f>IF(OR(tblProductos[[#This Row],[SKU]]="",tblProductos[[#This Row],[Producto]]=""),"",tblProductos[[#This Row],[SKU]]&amp;" · "&amp;tblProductos[[#This Row],[Producto]])</f>
        <v/>
      </c>
      <c r="M91" s="40" t="str">
        <f>IF(tblProductos[[#This Row],[SKU]]="","",COUNTIF(tblMovimientos[SKU],tblProductos[[#This Row],[SKU]]))</f>
        <v/>
      </c>
      <c r="N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2" spans="2:14" x14ac:dyDescent="0.25">
      <c r="B92" s="37"/>
      <c r="C92" s="37"/>
      <c r="D92" s="37"/>
      <c r="E92" s="38"/>
      <c r="F92" s="39"/>
      <c r="G92" s="39"/>
      <c r="H92" s="42"/>
      <c r="I92" s="37"/>
      <c r="J92" s="38"/>
      <c r="K92" s="38"/>
      <c r="L92" s="43" t="str">
        <f>IF(OR(tblProductos[[#This Row],[SKU]]="",tblProductos[[#This Row],[Producto]]=""),"",tblProductos[[#This Row],[SKU]]&amp;" · "&amp;tblProductos[[#This Row],[Producto]])</f>
        <v/>
      </c>
      <c r="M92" s="40" t="str">
        <f>IF(tblProductos[[#This Row],[SKU]]="","",COUNTIF(tblMovimientos[SKU],tblProductos[[#This Row],[SKU]]))</f>
        <v/>
      </c>
      <c r="N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3" spans="2:14" x14ac:dyDescent="0.25">
      <c r="B93" s="37"/>
      <c r="C93" s="37"/>
      <c r="D93" s="37"/>
      <c r="E93" s="38"/>
      <c r="F93" s="39"/>
      <c r="G93" s="39"/>
      <c r="H93" s="42"/>
      <c r="I93" s="37"/>
      <c r="J93" s="38"/>
      <c r="K93" s="38"/>
      <c r="L93" s="43" t="str">
        <f>IF(OR(tblProductos[[#This Row],[SKU]]="",tblProductos[[#This Row],[Producto]]=""),"",tblProductos[[#This Row],[SKU]]&amp;" · "&amp;tblProductos[[#This Row],[Producto]])</f>
        <v/>
      </c>
      <c r="M93" s="40" t="str">
        <f>IF(tblProductos[[#This Row],[SKU]]="","",COUNTIF(tblMovimientos[SKU],tblProductos[[#This Row],[SKU]]))</f>
        <v/>
      </c>
      <c r="N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4" spans="2:14" x14ac:dyDescent="0.25">
      <c r="B94" s="37"/>
      <c r="C94" s="37"/>
      <c r="D94" s="37"/>
      <c r="E94" s="38"/>
      <c r="F94" s="39"/>
      <c r="G94" s="39"/>
      <c r="H94" s="42"/>
      <c r="I94" s="37"/>
      <c r="J94" s="38"/>
      <c r="K94" s="38"/>
      <c r="L94" s="43" t="str">
        <f>IF(OR(tblProductos[[#This Row],[SKU]]="",tblProductos[[#This Row],[Producto]]=""),"",tblProductos[[#This Row],[SKU]]&amp;" · "&amp;tblProductos[[#This Row],[Producto]])</f>
        <v/>
      </c>
      <c r="M94" s="40" t="str">
        <f>IF(tblProductos[[#This Row],[SKU]]="","",COUNTIF(tblMovimientos[SKU],tblProductos[[#This Row],[SKU]]))</f>
        <v/>
      </c>
      <c r="N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5" spans="2:14" x14ac:dyDescent="0.25">
      <c r="B95" s="37"/>
      <c r="C95" s="37"/>
      <c r="D95" s="37"/>
      <c r="E95" s="38"/>
      <c r="F95" s="39"/>
      <c r="G95" s="39"/>
      <c r="H95" s="42"/>
      <c r="I95" s="37"/>
      <c r="J95" s="38"/>
      <c r="K95" s="38"/>
      <c r="L95" s="43" t="str">
        <f>IF(OR(tblProductos[[#This Row],[SKU]]="",tblProductos[[#This Row],[Producto]]=""),"",tblProductos[[#This Row],[SKU]]&amp;" · "&amp;tblProductos[[#This Row],[Producto]])</f>
        <v/>
      </c>
      <c r="M95" s="40" t="str">
        <f>IF(tblProductos[[#This Row],[SKU]]="","",COUNTIF(tblMovimientos[SKU],tblProductos[[#This Row],[SKU]]))</f>
        <v/>
      </c>
      <c r="N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6" spans="2:14" x14ac:dyDescent="0.25">
      <c r="B96" s="37"/>
      <c r="C96" s="37"/>
      <c r="D96" s="37"/>
      <c r="E96" s="38"/>
      <c r="F96" s="39"/>
      <c r="G96" s="39"/>
      <c r="H96" s="42"/>
      <c r="I96" s="37"/>
      <c r="J96" s="38"/>
      <c r="K96" s="38"/>
      <c r="L96" s="43" t="str">
        <f>IF(OR(tblProductos[[#This Row],[SKU]]="",tblProductos[[#This Row],[Producto]]=""),"",tblProductos[[#This Row],[SKU]]&amp;" · "&amp;tblProductos[[#This Row],[Producto]])</f>
        <v/>
      </c>
      <c r="M96" s="40" t="str">
        <f>IF(tblProductos[[#This Row],[SKU]]="","",COUNTIF(tblMovimientos[SKU],tblProductos[[#This Row],[SKU]]))</f>
        <v/>
      </c>
      <c r="N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7" spans="2:14" x14ac:dyDescent="0.25">
      <c r="B97" s="37"/>
      <c r="C97" s="37"/>
      <c r="D97" s="37"/>
      <c r="E97" s="38"/>
      <c r="F97" s="39"/>
      <c r="G97" s="39"/>
      <c r="H97" s="42"/>
      <c r="I97" s="37"/>
      <c r="J97" s="38"/>
      <c r="K97" s="38"/>
      <c r="L97" s="43" t="str">
        <f>IF(OR(tblProductos[[#This Row],[SKU]]="",tblProductos[[#This Row],[Producto]]=""),"",tblProductos[[#This Row],[SKU]]&amp;" · "&amp;tblProductos[[#This Row],[Producto]])</f>
        <v/>
      </c>
      <c r="M97" s="40" t="str">
        <f>IF(tblProductos[[#This Row],[SKU]]="","",COUNTIF(tblMovimientos[SKU],tblProductos[[#This Row],[SKU]]))</f>
        <v/>
      </c>
      <c r="N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8" spans="2:14" x14ac:dyDescent="0.25">
      <c r="B98" s="37"/>
      <c r="C98" s="37"/>
      <c r="D98" s="37"/>
      <c r="E98" s="38"/>
      <c r="F98" s="39"/>
      <c r="G98" s="39"/>
      <c r="H98" s="42"/>
      <c r="I98" s="37"/>
      <c r="J98" s="38"/>
      <c r="K98" s="38"/>
      <c r="L98" s="43" t="str">
        <f>IF(OR(tblProductos[[#This Row],[SKU]]="",tblProductos[[#This Row],[Producto]]=""),"",tblProductos[[#This Row],[SKU]]&amp;" · "&amp;tblProductos[[#This Row],[Producto]])</f>
        <v/>
      </c>
      <c r="M98" s="40" t="str">
        <f>IF(tblProductos[[#This Row],[SKU]]="","",COUNTIF(tblMovimientos[SKU],tblProductos[[#This Row],[SKU]]))</f>
        <v/>
      </c>
      <c r="N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99" spans="2:14" x14ac:dyDescent="0.25">
      <c r="B99" s="37"/>
      <c r="C99" s="37"/>
      <c r="D99" s="37"/>
      <c r="E99" s="38"/>
      <c r="F99" s="39"/>
      <c r="G99" s="39"/>
      <c r="H99" s="42"/>
      <c r="I99" s="37"/>
      <c r="J99" s="38"/>
      <c r="K99" s="38"/>
      <c r="L99" s="43" t="str">
        <f>IF(OR(tblProductos[[#This Row],[SKU]]="",tblProductos[[#This Row],[Producto]]=""),"",tblProductos[[#This Row],[SKU]]&amp;" · "&amp;tblProductos[[#This Row],[Producto]])</f>
        <v/>
      </c>
      <c r="M99" s="40" t="str">
        <f>IF(tblProductos[[#This Row],[SKU]]="","",COUNTIF(tblMovimientos[SKU],tblProductos[[#This Row],[SKU]]))</f>
        <v/>
      </c>
      <c r="N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0" spans="2:14" x14ac:dyDescent="0.25">
      <c r="B100" s="37"/>
      <c r="C100" s="37"/>
      <c r="D100" s="37"/>
      <c r="E100" s="38"/>
      <c r="F100" s="39"/>
      <c r="G100" s="39"/>
      <c r="H100" s="42"/>
      <c r="I100" s="37"/>
      <c r="J100" s="38"/>
      <c r="K100" s="38"/>
      <c r="L100" s="43" t="str">
        <f>IF(OR(tblProductos[[#This Row],[SKU]]="",tblProductos[[#This Row],[Producto]]=""),"",tblProductos[[#This Row],[SKU]]&amp;" · "&amp;tblProductos[[#This Row],[Producto]])</f>
        <v/>
      </c>
      <c r="M100" s="40" t="str">
        <f>IF(tblProductos[[#This Row],[SKU]]="","",COUNTIF(tblMovimientos[SKU],tblProductos[[#This Row],[SKU]]))</f>
        <v/>
      </c>
      <c r="N1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1" spans="2:14" x14ac:dyDescent="0.25">
      <c r="B101" s="37"/>
      <c r="C101" s="37"/>
      <c r="D101" s="37"/>
      <c r="E101" s="38"/>
      <c r="F101" s="39"/>
      <c r="G101" s="39"/>
      <c r="H101" s="42"/>
      <c r="I101" s="37"/>
      <c r="J101" s="38"/>
      <c r="K101" s="38"/>
      <c r="L101" s="43" t="str">
        <f>IF(OR(tblProductos[[#This Row],[SKU]]="",tblProductos[[#This Row],[Producto]]=""),"",tblProductos[[#This Row],[SKU]]&amp;" · "&amp;tblProductos[[#This Row],[Producto]])</f>
        <v/>
      </c>
      <c r="M101" s="40" t="str">
        <f>IF(tblProductos[[#This Row],[SKU]]="","",COUNTIF(tblMovimientos[SKU],tblProductos[[#This Row],[SKU]]))</f>
        <v/>
      </c>
      <c r="N1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2" spans="2:14" x14ac:dyDescent="0.25">
      <c r="B102" s="37"/>
      <c r="C102" s="37"/>
      <c r="D102" s="37"/>
      <c r="E102" s="38"/>
      <c r="F102" s="39"/>
      <c r="G102" s="39"/>
      <c r="H102" s="42"/>
      <c r="I102" s="37"/>
      <c r="J102" s="38"/>
      <c r="K102" s="38"/>
      <c r="L102" s="43" t="str">
        <f>IF(OR(tblProductos[[#This Row],[SKU]]="",tblProductos[[#This Row],[Producto]]=""),"",tblProductos[[#This Row],[SKU]]&amp;" · "&amp;tblProductos[[#This Row],[Producto]])</f>
        <v/>
      </c>
      <c r="M102" s="40" t="str">
        <f>IF(tblProductos[[#This Row],[SKU]]="","",COUNTIF(tblMovimientos[SKU],tblProductos[[#This Row],[SKU]]))</f>
        <v/>
      </c>
      <c r="N1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3" spans="2:14" x14ac:dyDescent="0.25">
      <c r="B103" s="37"/>
      <c r="C103" s="37"/>
      <c r="D103" s="37"/>
      <c r="E103" s="38"/>
      <c r="F103" s="39"/>
      <c r="G103" s="39"/>
      <c r="H103" s="42"/>
      <c r="I103" s="37"/>
      <c r="J103" s="38"/>
      <c r="K103" s="38"/>
      <c r="L103" s="43" t="str">
        <f>IF(OR(tblProductos[[#This Row],[SKU]]="",tblProductos[[#This Row],[Producto]]=""),"",tblProductos[[#This Row],[SKU]]&amp;" · "&amp;tblProductos[[#This Row],[Producto]])</f>
        <v/>
      </c>
      <c r="M103" s="40" t="str">
        <f>IF(tblProductos[[#This Row],[SKU]]="","",COUNTIF(tblMovimientos[SKU],tblProductos[[#This Row],[SKU]]))</f>
        <v/>
      </c>
      <c r="N1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4" spans="2:14" x14ac:dyDescent="0.25">
      <c r="B104" s="37"/>
      <c r="C104" s="37"/>
      <c r="D104" s="37"/>
      <c r="E104" s="38"/>
      <c r="F104" s="39"/>
      <c r="G104" s="39"/>
      <c r="H104" s="42"/>
      <c r="I104" s="37"/>
      <c r="J104" s="38"/>
      <c r="K104" s="38"/>
      <c r="L104" s="43" t="str">
        <f>IF(OR(tblProductos[[#This Row],[SKU]]="",tblProductos[[#This Row],[Producto]]=""),"",tblProductos[[#This Row],[SKU]]&amp;" · "&amp;tblProductos[[#This Row],[Producto]])</f>
        <v/>
      </c>
      <c r="M104" s="40" t="str">
        <f>IF(tblProductos[[#This Row],[SKU]]="","",COUNTIF(tblMovimientos[SKU],tblProductos[[#This Row],[SKU]]))</f>
        <v/>
      </c>
      <c r="N1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5" spans="2:14" x14ac:dyDescent="0.25">
      <c r="B105" s="37"/>
      <c r="C105" s="37"/>
      <c r="D105" s="37"/>
      <c r="E105" s="38"/>
      <c r="F105" s="39"/>
      <c r="G105" s="39"/>
      <c r="H105" s="42"/>
      <c r="I105" s="37"/>
      <c r="J105" s="38"/>
      <c r="K105" s="38"/>
      <c r="L105" s="43" t="str">
        <f>IF(OR(tblProductos[[#This Row],[SKU]]="",tblProductos[[#This Row],[Producto]]=""),"",tblProductos[[#This Row],[SKU]]&amp;" · "&amp;tblProductos[[#This Row],[Producto]])</f>
        <v/>
      </c>
      <c r="M105" s="40" t="str">
        <f>IF(tblProductos[[#This Row],[SKU]]="","",COUNTIF(tblMovimientos[SKU],tblProductos[[#This Row],[SKU]]))</f>
        <v/>
      </c>
      <c r="N1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6" spans="2:14" x14ac:dyDescent="0.25">
      <c r="B106" s="37"/>
      <c r="C106" s="37"/>
      <c r="D106" s="37"/>
      <c r="E106" s="38"/>
      <c r="F106" s="39"/>
      <c r="G106" s="39"/>
      <c r="H106" s="42"/>
      <c r="I106" s="37"/>
      <c r="J106" s="38"/>
      <c r="K106" s="38"/>
      <c r="L106" s="43" t="str">
        <f>IF(OR(tblProductos[[#This Row],[SKU]]="",tblProductos[[#This Row],[Producto]]=""),"",tblProductos[[#This Row],[SKU]]&amp;" · "&amp;tblProductos[[#This Row],[Producto]])</f>
        <v/>
      </c>
      <c r="M106" s="40" t="str">
        <f>IF(tblProductos[[#This Row],[SKU]]="","",COUNTIF(tblMovimientos[SKU],tblProductos[[#This Row],[SKU]]))</f>
        <v/>
      </c>
      <c r="N1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7" spans="2:14" x14ac:dyDescent="0.25">
      <c r="B107" s="37"/>
      <c r="C107" s="37"/>
      <c r="D107" s="37"/>
      <c r="E107" s="38"/>
      <c r="F107" s="39"/>
      <c r="G107" s="39"/>
      <c r="H107" s="42"/>
      <c r="I107" s="37"/>
      <c r="J107" s="38"/>
      <c r="K107" s="38"/>
      <c r="L107" s="43" t="str">
        <f>IF(OR(tblProductos[[#This Row],[SKU]]="",tblProductos[[#This Row],[Producto]]=""),"",tblProductos[[#This Row],[SKU]]&amp;" · "&amp;tblProductos[[#This Row],[Producto]])</f>
        <v/>
      </c>
      <c r="M107" s="40" t="str">
        <f>IF(tblProductos[[#This Row],[SKU]]="","",COUNTIF(tblMovimientos[SKU],tblProductos[[#This Row],[SKU]]))</f>
        <v/>
      </c>
      <c r="N1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8" spans="2:14" x14ac:dyDescent="0.25">
      <c r="B108" s="37"/>
      <c r="C108" s="37"/>
      <c r="D108" s="37"/>
      <c r="E108" s="38"/>
      <c r="F108" s="39"/>
      <c r="G108" s="39"/>
      <c r="H108" s="42"/>
      <c r="I108" s="37"/>
      <c r="J108" s="38"/>
      <c r="K108" s="38"/>
      <c r="L108" s="43" t="str">
        <f>IF(OR(tblProductos[[#This Row],[SKU]]="",tblProductos[[#This Row],[Producto]]=""),"",tblProductos[[#This Row],[SKU]]&amp;" · "&amp;tblProductos[[#This Row],[Producto]])</f>
        <v/>
      </c>
      <c r="M108" s="40" t="str">
        <f>IF(tblProductos[[#This Row],[SKU]]="","",COUNTIF(tblMovimientos[SKU],tblProductos[[#This Row],[SKU]]))</f>
        <v/>
      </c>
      <c r="N1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09" spans="2:14" x14ac:dyDescent="0.25">
      <c r="B109" s="37"/>
      <c r="C109" s="37"/>
      <c r="D109" s="37"/>
      <c r="E109" s="38"/>
      <c r="F109" s="39"/>
      <c r="G109" s="39"/>
      <c r="H109" s="42"/>
      <c r="I109" s="37"/>
      <c r="J109" s="38"/>
      <c r="K109" s="38"/>
      <c r="L109" s="43" t="str">
        <f>IF(OR(tblProductos[[#This Row],[SKU]]="",tblProductos[[#This Row],[Producto]]=""),"",tblProductos[[#This Row],[SKU]]&amp;" · "&amp;tblProductos[[#This Row],[Producto]])</f>
        <v/>
      </c>
      <c r="M109" s="40" t="str">
        <f>IF(tblProductos[[#This Row],[SKU]]="","",COUNTIF(tblMovimientos[SKU],tblProductos[[#This Row],[SKU]]))</f>
        <v/>
      </c>
      <c r="N1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0" spans="2:14" x14ac:dyDescent="0.25">
      <c r="B110" s="37"/>
      <c r="C110" s="37"/>
      <c r="D110" s="37"/>
      <c r="E110" s="38"/>
      <c r="F110" s="39"/>
      <c r="G110" s="39"/>
      <c r="H110" s="42"/>
      <c r="I110" s="37"/>
      <c r="J110" s="38"/>
      <c r="K110" s="38"/>
      <c r="L110" s="43" t="str">
        <f>IF(OR(tblProductos[[#This Row],[SKU]]="",tblProductos[[#This Row],[Producto]]=""),"",tblProductos[[#This Row],[SKU]]&amp;" · "&amp;tblProductos[[#This Row],[Producto]])</f>
        <v/>
      </c>
      <c r="M110" s="40" t="str">
        <f>IF(tblProductos[[#This Row],[SKU]]="","",COUNTIF(tblMovimientos[SKU],tblProductos[[#This Row],[SKU]]))</f>
        <v/>
      </c>
      <c r="N1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1" spans="2:14" x14ac:dyDescent="0.25">
      <c r="B111" s="37"/>
      <c r="C111" s="37"/>
      <c r="D111" s="37"/>
      <c r="E111" s="38"/>
      <c r="F111" s="39"/>
      <c r="G111" s="39"/>
      <c r="H111" s="42"/>
      <c r="I111" s="37"/>
      <c r="J111" s="38"/>
      <c r="K111" s="38"/>
      <c r="L111" s="43" t="str">
        <f>IF(OR(tblProductos[[#This Row],[SKU]]="",tblProductos[[#This Row],[Producto]]=""),"",tblProductos[[#This Row],[SKU]]&amp;" · "&amp;tblProductos[[#This Row],[Producto]])</f>
        <v/>
      </c>
      <c r="M111" s="40" t="str">
        <f>IF(tblProductos[[#This Row],[SKU]]="","",COUNTIF(tblMovimientos[SKU],tblProductos[[#This Row],[SKU]]))</f>
        <v/>
      </c>
      <c r="N1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2" spans="2:14" x14ac:dyDescent="0.25">
      <c r="B112" s="37"/>
      <c r="C112" s="37"/>
      <c r="D112" s="37"/>
      <c r="E112" s="38"/>
      <c r="F112" s="39"/>
      <c r="G112" s="39"/>
      <c r="H112" s="42"/>
      <c r="I112" s="37"/>
      <c r="J112" s="38"/>
      <c r="K112" s="38"/>
      <c r="L112" s="43" t="str">
        <f>IF(OR(tblProductos[[#This Row],[SKU]]="",tblProductos[[#This Row],[Producto]]=""),"",tblProductos[[#This Row],[SKU]]&amp;" · "&amp;tblProductos[[#This Row],[Producto]])</f>
        <v/>
      </c>
      <c r="M112" s="40" t="str">
        <f>IF(tblProductos[[#This Row],[SKU]]="","",COUNTIF(tblMovimientos[SKU],tblProductos[[#This Row],[SKU]]))</f>
        <v/>
      </c>
      <c r="N1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3" spans="2:14" x14ac:dyDescent="0.25">
      <c r="B113" s="37"/>
      <c r="C113" s="37"/>
      <c r="D113" s="37"/>
      <c r="E113" s="38"/>
      <c r="F113" s="39"/>
      <c r="G113" s="39"/>
      <c r="H113" s="42"/>
      <c r="I113" s="37"/>
      <c r="J113" s="38"/>
      <c r="K113" s="38"/>
      <c r="L113" s="43" t="str">
        <f>IF(OR(tblProductos[[#This Row],[SKU]]="",tblProductos[[#This Row],[Producto]]=""),"",tblProductos[[#This Row],[SKU]]&amp;" · "&amp;tblProductos[[#This Row],[Producto]])</f>
        <v/>
      </c>
      <c r="M113" s="40" t="str">
        <f>IF(tblProductos[[#This Row],[SKU]]="","",COUNTIF(tblMovimientos[SKU],tblProductos[[#This Row],[SKU]]))</f>
        <v/>
      </c>
      <c r="N1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4" spans="2:14" x14ac:dyDescent="0.25">
      <c r="B114" s="37"/>
      <c r="C114" s="37"/>
      <c r="D114" s="37"/>
      <c r="E114" s="38"/>
      <c r="F114" s="39"/>
      <c r="G114" s="39"/>
      <c r="H114" s="42"/>
      <c r="I114" s="37"/>
      <c r="J114" s="38"/>
      <c r="K114" s="38"/>
      <c r="L114" s="43" t="str">
        <f>IF(OR(tblProductos[[#This Row],[SKU]]="",tblProductos[[#This Row],[Producto]]=""),"",tblProductos[[#This Row],[SKU]]&amp;" · "&amp;tblProductos[[#This Row],[Producto]])</f>
        <v/>
      </c>
      <c r="M114" s="40" t="str">
        <f>IF(tblProductos[[#This Row],[SKU]]="","",COUNTIF(tblMovimientos[SKU],tblProductos[[#This Row],[SKU]]))</f>
        <v/>
      </c>
      <c r="N1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5" spans="2:14" x14ac:dyDescent="0.25">
      <c r="B115" s="37"/>
      <c r="C115" s="37"/>
      <c r="D115" s="37"/>
      <c r="E115" s="38"/>
      <c r="F115" s="39"/>
      <c r="G115" s="39"/>
      <c r="H115" s="42"/>
      <c r="I115" s="37"/>
      <c r="J115" s="38"/>
      <c r="K115" s="38"/>
      <c r="L115" s="43" t="str">
        <f>IF(OR(tblProductos[[#This Row],[SKU]]="",tblProductos[[#This Row],[Producto]]=""),"",tblProductos[[#This Row],[SKU]]&amp;" · "&amp;tblProductos[[#This Row],[Producto]])</f>
        <v/>
      </c>
      <c r="M115" s="40" t="str">
        <f>IF(tblProductos[[#This Row],[SKU]]="","",COUNTIF(tblMovimientos[SKU],tblProductos[[#This Row],[SKU]]))</f>
        <v/>
      </c>
      <c r="N1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6" spans="2:14" x14ac:dyDescent="0.25">
      <c r="B116" s="37"/>
      <c r="C116" s="37"/>
      <c r="D116" s="37"/>
      <c r="E116" s="38"/>
      <c r="F116" s="39"/>
      <c r="G116" s="39"/>
      <c r="H116" s="42"/>
      <c r="I116" s="37"/>
      <c r="J116" s="38"/>
      <c r="K116" s="38"/>
      <c r="L116" s="43" t="str">
        <f>IF(OR(tblProductos[[#This Row],[SKU]]="",tblProductos[[#This Row],[Producto]]=""),"",tblProductos[[#This Row],[SKU]]&amp;" · "&amp;tblProductos[[#This Row],[Producto]])</f>
        <v/>
      </c>
      <c r="M116" s="40" t="str">
        <f>IF(tblProductos[[#This Row],[SKU]]="","",COUNTIF(tblMovimientos[SKU],tblProductos[[#This Row],[SKU]]))</f>
        <v/>
      </c>
      <c r="N1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7" spans="2:14" x14ac:dyDescent="0.25">
      <c r="B117" s="37"/>
      <c r="C117" s="37"/>
      <c r="D117" s="37"/>
      <c r="E117" s="38"/>
      <c r="F117" s="39"/>
      <c r="G117" s="39"/>
      <c r="H117" s="42"/>
      <c r="I117" s="37"/>
      <c r="J117" s="38"/>
      <c r="K117" s="38"/>
      <c r="L117" s="43" t="str">
        <f>IF(OR(tblProductos[[#This Row],[SKU]]="",tblProductos[[#This Row],[Producto]]=""),"",tblProductos[[#This Row],[SKU]]&amp;" · "&amp;tblProductos[[#This Row],[Producto]])</f>
        <v/>
      </c>
      <c r="M117" s="40" t="str">
        <f>IF(tblProductos[[#This Row],[SKU]]="","",COUNTIF(tblMovimientos[SKU],tblProductos[[#This Row],[SKU]]))</f>
        <v/>
      </c>
      <c r="N1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8" spans="2:14" x14ac:dyDescent="0.25">
      <c r="B118" s="37"/>
      <c r="C118" s="37"/>
      <c r="D118" s="37"/>
      <c r="E118" s="38"/>
      <c r="F118" s="39"/>
      <c r="G118" s="39"/>
      <c r="H118" s="42"/>
      <c r="I118" s="37"/>
      <c r="J118" s="38"/>
      <c r="K118" s="38"/>
      <c r="L118" s="43" t="str">
        <f>IF(OR(tblProductos[[#This Row],[SKU]]="",tblProductos[[#This Row],[Producto]]=""),"",tblProductos[[#This Row],[SKU]]&amp;" · "&amp;tblProductos[[#This Row],[Producto]])</f>
        <v/>
      </c>
      <c r="M118" s="40" t="str">
        <f>IF(tblProductos[[#This Row],[SKU]]="","",COUNTIF(tblMovimientos[SKU],tblProductos[[#This Row],[SKU]]))</f>
        <v/>
      </c>
      <c r="N1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19" spans="2:14" x14ac:dyDescent="0.25">
      <c r="B119" s="37"/>
      <c r="C119" s="37"/>
      <c r="D119" s="37"/>
      <c r="E119" s="38"/>
      <c r="F119" s="39"/>
      <c r="G119" s="39"/>
      <c r="H119" s="42"/>
      <c r="I119" s="37"/>
      <c r="J119" s="38"/>
      <c r="K119" s="38"/>
      <c r="L119" s="43" t="str">
        <f>IF(OR(tblProductos[[#This Row],[SKU]]="",tblProductos[[#This Row],[Producto]]=""),"",tblProductos[[#This Row],[SKU]]&amp;" · "&amp;tblProductos[[#This Row],[Producto]])</f>
        <v/>
      </c>
      <c r="M119" s="40" t="str">
        <f>IF(tblProductos[[#This Row],[SKU]]="","",COUNTIF(tblMovimientos[SKU],tblProductos[[#This Row],[SKU]]))</f>
        <v/>
      </c>
      <c r="N1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0" spans="2:14" x14ac:dyDescent="0.25">
      <c r="B120" s="37"/>
      <c r="C120" s="37"/>
      <c r="D120" s="37"/>
      <c r="E120" s="38"/>
      <c r="F120" s="39"/>
      <c r="G120" s="39"/>
      <c r="H120" s="42"/>
      <c r="I120" s="37"/>
      <c r="J120" s="38"/>
      <c r="K120" s="38"/>
      <c r="L120" s="43" t="str">
        <f>IF(OR(tblProductos[[#This Row],[SKU]]="",tblProductos[[#This Row],[Producto]]=""),"",tblProductos[[#This Row],[SKU]]&amp;" · "&amp;tblProductos[[#This Row],[Producto]])</f>
        <v/>
      </c>
      <c r="M120" s="40" t="str">
        <f>IF(tblProductos[[#This Row],[SKU]]="","",COUNTIF(tblMovimientos[SKU],tblProductos[[#This Row],[SKU]]))</f>
        <v/>
      </c>
      <c r="N1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1" spans="2:14" x14ac:dyDescent="0.25">
      <c r="B121" s="37"/>
      <c r="C121" s="37"/>
      <c r="D121" s="37"/>
      <c r="E121" s="38"/>
      <c r="F121" s="39"/>
      <c r="G121" s="39"/>
      <c r="H121" s="42"/>
      <c r="I121" s="37"/>
      <c r="J121" s="38"/>
      <c r="K121" s="38"/>
      <c r="L121" s="43" t="str">
        <f>IF(OR(tblProductos[[#This Row],[SKU]]="",tblProductos[[#This Row],[Producto]]=""),"",tblProductos[[#This Row],[SKU]]&amp;" · "&amp;tblProductos[[#This Row],[Producto]])</f>
        <v/>
      </c>
      <c r="M121" s="40" t="str">
        <f>IF(tblProductos[[#This Row],[SKU]]="","",COUNTIF(tblMovimientos[SKU],tblProductos[[#This Row],[SKU]]))</f>
        <v/>
      </c>
      <c r="N1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2" spans="2:14" x14ac:dyDescent="0.25">
      <c r="B122" s="37"/>
      <c r="C122" s="37"/>
      <c r="D122" s="37"/>
      <c r="E122" s="38"/>
      <c r="F122" s="39"/>
      <c r="G122" s="39"/>
      <c r="H122" s="42"/>
      <c r="I122" s="37"/>
      <c r="J122" s="38"/>
      <c r="K122" s="38"/>
      <c r="L122" s="43" t="str">
        <f>IF(OR(tblProductos[[#This Row],[SKU]]="",tblProductos[[#This Row],[Producto]]=""),"",tblProductos[[#This Row],[SKU]]&amp;" · "&amp;tblProductos[[#This Row],[Producto]])</f>
        <v/>
      </c>
      <c r="M122" s="40" t="str">
        <f>IF(tblProductos[[#This Row],[SKU]]="","",COUNTIF(tblMovimientos[SKU],tblProductos[[#This Row],[SKU]]))</f>
        <v/>
      </c>
      <c r="N1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3" spans="2:14" x14ac:dyDescent="0.25">
      <c r="B123" s="37"/>
      <c r="C123" s="37"/>
      <c r="D123" s="37"/>
      <c r="E123" s="38"/>
      <c r="F123" s="39"/>
      <c r="G123" s="39"/>
      <c r="H123" s="42"/>
      <c r="I123" s="37"/>
      <c r="J123" s="38"/>
      <c r="K123" s="38"/>
      <c r="L123" s="43" t="str">
        <f>IF(OR(tblProductos[[#This Row],[SKU]]="",tblProductos[[#This Row],[Producto]]=""),"",tblProductos[[#This Row],[SKU]]&amp;" · "&amp;tblProductos[[#This Row],[Producto]])</f>
        <v/>
      </c>
      <c r="M123" s="40" t="str">
        <f>IF(tblProductos[[#This Row],[SKU]]="","",COUNTIF(tblMovimientos[SKU],tblProductos[[#This Row],[SKU]]))</f>
        <v/>
      </c>
      <c r="N1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4" spans="2:14" x14ac:dyDescent="0.25">
      <c r="B124" s="37"/>
      <c r="C124" s="37"/>
      <c r="D124" s="37"/>
      <c r="E124" s="38"/>
      <c r="F124" s="39"/>
      <c r="G124" s="39"/>
      <c r="H124" s="42"/>
      <c r="I124" s="37"/>
      <c r="J124" s="38"/>
      <c r="K124" s="38"/>
      <c r="L124" s="43" t="str">
        <f>IF(OR(tblProductos[[#This Row],[SKU]]="",tblProductos[[#This Row],[Producto]]=""),"",tblProductos[[#This Row],[SKU]]&amp;" · "&amp;tblProductos[[#This Row],[Producto]])</f>
        <v/>
      </c>
      <c r="M124" s="40" t="str">
        <f>IF(tblProductos[[#This Row],[SKU]]="","",COUNTIF(tblMovimientos[SKU],tblProductos[[#This Row],[SKU]]))</f>
        <v/>
      </c>
      <c r="N1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5" spans="2:14" x14ac:dyDescent="0.25">
      <c r="B125" s="37"/>
      <c r="C125" s="37"/>
      <c r="D125" s="37"/>
      <c r="E125" s="38"/>
      <c r="F125" s="39"/>
      <c r="G125" s="39"/>
      <c r="H125" s="42"/>
      <c r="I125" s="37"/>
      <c r="J125" s="38"/>
      <c r="K125" s="38"/>
      <c r="L125" s="43" t="str">
        <f>IF(OR(tblProductos[[#This Row],[SKU]]="",tblProductos[[#This Row],[Producto]]=""),"",tblProductos[[#This Row],[SKU]]&amp;" · "&amp;tblProductos[[#This Row],[Producto]])</f>
        <v/>
      </c>
      <c r="M125" s="40" t="str">
        <f>IF(tblProductos[[#This Row],[SKU]]="","",COUNTIF(tblMovimientos[SKU],tblProductos[[#This Row],[SKU]]))</f>
        <v/>
      </c>
      <c r="N1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6" spans="2:14" x14ac:dyDescent="0.25">
      <c r="B126" s="37"/>
      <c r="C126" s="37"/>
      <c r="D126" s="37"/>
      <c r="E126" s="38"/>
      <c r="F126" s="39"/>
      <c r="G126" s="39"/>
      <c r="H126" s="42"/>
      <c r="I126" s="37"/>
      <c r="J126" s="38"/>
      <c r="K126" s="38"/>
      <c r="L126" s="43" t="str">
        <f>IF(OR(tblProductos[[#This Row],[SKU]]="",tblProductos[[#This Row],[Producto]]=""),"",tblProductos[[#This Row],[SKU]]&amp;" · "&amp;tblProductos[[#This Row],[Producto]])</f>
        <v/>
      </c>
      <c r="M126" s="40" t="str">
        <f>IF(tblProductos[[#This Row],[SKU]]="","",COUNTIF(tblMovimientos[SKU],tblProductos[[#This Row],[SKU]]))</f>
        <v/>
      </c>
      <c r="N1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7" spans="2:14" x14ac:dyDescent="0.25">
      <c r="B127" s="37"/>
      <c r="C127" s="37"/>
      <c r="D127" s="37"/>
      <c r="E127" s="38"/>
      <c r="F127" s="39"/>
      <c r="G127" s="39"/>
      <c r="H127" s="42"/>
      <c r="I127" s="37"/>
      <c r="J127" s="38"/>
      <c r="K127" s="38"/>
      <c r="L127" s="43" t="str">
        <f>IF(OR(tblProductos[[#This Row],[SKU]]="",tblProductos[[#This Row],[Producto]]=""),"",tblProductos[[#This Row],[SKU]]&amp;" · "&amp;tblProductos[[#This Row],[Producto]])</f>
        <v/>
      </c>
      <c r="M127" s="40" t="str">
        <f>IF(tblProductos[[#This Row],[SKU]]="","",COUNTIF(tblMovimientos[SKU],tblProductos[[#This Row],[SKU]]))</f>
        <v/>
      </c>
      <c r="N1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8" spans="2:14" x14ac:dyDescent="0.25">
      <c r="B128" s="37"/>
      <c r="C128" s="37"/>
      <c r="D128" s="37"/>
      <c r="E128" s="38"/>
      <c r="F128" s="39"/>
      <c r="G128" s="39"/>
      <c r="H128" s="42"/>
      <c r="I128" s="37"/>
      <c r="J128" s="38"/>
      <c r="K128" s="38"/>
      <c r="L128" s="43" t="str">
        <f>IF(OR(tblProductos[[#This Row],[SKU]]="",tblProductos[[#This Row],[Producto]]=""),"",tblProductos[[#This Row],[SKU]]&amp;" · "&amp;tblProductos[[#This Row],[Producto]])</f>
        <v/>
      </c>
      <c r="M128" s="40" t="str">
        <f>IF(tblProductos[[#This Row],[SKU]]="","",COUNTIF(tblMovimientos[SKU],tblProductos[[#This Row],[SKU]]))</f>
        <v/>
      </c>
      <c r="N1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29" spans="2:14" x14ac:dyDescent="0.25">
      <c r="B129" s="37"/>
      <c r="C129" s="37"/>
      <c r="D129" s="37"/>
      <c r="E129" s="38"/>
      <c r="F129" s="39"/>
      <c r="G129" s="39"/>
      <c r="H129" s="42"/>
      <c r="I129" s="37"/>
      <c r="J129" s="38"/>
      <c r="K129" s="38"/>
      <c r="L129" s="43" t="str">
        <f>IF(OR(tblProductos[[#This Row],[SKU]]="",tblProductos[[#This Row],[Producto]]=""),"",tblProductos[[#This Row],[SKU]]&amp;" · "&amp;tblProductos[[#This Row],[Producto]])</f>
        <v/>
      </c>
      <c r="M129" s="40" t="str">
        <f>IF(tblProductos[[#This Row],[SKU]]="","",COUNTIF(tblMovimientos[SKU],tblProductos[[#This Row],[SKU]]))</f>
        <v/>
      </c>
      <c r="N1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0" spans="2:14" x14ac:dyDescent="0.25">
      <c r="B130" s="37"/>
      <c r="C130" s="37"/>
      <c r="D130" s="37"/>
      <c r="E130" s="38"/>
      <c r="F130" s="39"/>
      <c r="G130" s="39"/>
      <c r="H130" s="42"/>
      <c r="I130" s="37"/>
      <c r="J130" s="38"/>
      <c r="K130" s="38"/>
      <c r="L130" s="43" t="str">
        <f>IF(OR(tblProductos[[#This Row],[SKU]]="",tblProductos[[#This Row],[Producto]]=""),"",tblProductos[[#This Row],[SKU]]&amp;" · "&amp;tblProductos[[#This Row],[Producto]])</f>
        <v/>
      </c>
      <c r="M130" s="40" t="str">
        <f>IF(tblProductos[[#This Row],[SKU]]="","",COUNTIF(tblMovimientos[SKU],tblProductos[[#This Row],[SKU]]))</f>
        <v/>
      </c>
      <c r="N1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1" spans="2:14" x14ac:dyDescent="0.25">
      <c r="B131" s="37"/>
      <c r="C131" s="37"/>
      <c r="D131" s="37"/>
      <c r="E131" s="38"/>
      <c r="F131" s="39"/>
      <c r="G131" s="39"/>
      <c r="H131" s="42"/>
      <c r="I131" s="37"/>
      <c r="J131" s="38"/>
      <c r="K131" s="38"/>
      <c r="L131" s="43" t="str">
        <f>IF(OR(tblProductos[[#This Row],[SKU]]="",tblProductos[[#This Row],[Producto]]=""),"",tblProductos[[#This Row],[SKU]]&amp;" · "&amp;tblProductos[[#This Row],[Producto]])</f>
        <v/>
      </c>
      <c r="M131" s="40" t="str">
        <f>IF(tblProductos[[#This Row],[SKU]]="","",COUNTIF(tblMovimientos[SKU],tblProductos[[#This Row],[SKU]]))</f>
        <v/>
      </c>
      <c r="N1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2" spans="2:14" x14ac:dyDescent="0.25">
      <c r="B132" s="37"/>
      <c r="C132" s="37"/>
      <c r="D132" s="37"/>
      <c r="E132" s="38"/>
      <c r="F132" s="39"/>
      <c r="G132" s="39"/>
      <c r="H132" s="42"/>
      <c r="I132" s="37"/>
      <c r="J132" s="38"/>
      <c r="K132" s="38"/>
      <c r="L132" s="43" t="str">
        <f>IF(OR(tblProductos[[#This Row],[SKU]]="",tblProductos[[#This Row],[Producto]]=""),"",tblProductos[[#This Row],[SKU]]&amp;" · "&amp;tblProductos[[#This Row],[Producto]])</f>
        <v/>
      </c>
      <c r="M132" s="40" t="str">
        <f>IF(tblProductos[[#This Row],[SKU]]="","",COUNTIF(tblMovimientos[SKU],tblProductos[[#This Row],[SKU]]))</f>
        <v/>
      </c>
      <c r="N1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3" spans="2:14" x14ac:dyDescent="0.25">
      <c r="B133" s="37"/>
      <c r="C133" s="37"/>
      <c r="D133" s="37"/>
      <c r="E133" s="38"/>
      <c r="F133" s="39"/>
      <c r="G133" s="39"/>
      <c r="H133" s="42"/>
      <c r="I133" s="37"/>
      <c r="J133" s="38"/>
      <c r="K133" s="38"/>
      <c r="L133" s="43" t="str">
        <f>IF(OR(tblProductos[[#This Row],[SKU]]="",tblProductos[[#This Row],[Producto]]=""),"",tblProductos[[#This Row],[SKU]]&amp;" · "&amp;tblProductos[[#This Row],[Producto]])</f>
        <v/>
      </c>
      <c r="M133" s="40" t="str">
        <f>IF(tblProductos[[#This Row],[SKU]]="","",COUNTIF(tblMovimientos[SKU],tblProductos[[#This Row],[SKU]]))</f>
        <v/>
      </c>
      <c r="N1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4" spans="2:14" x14ac:dyDescent="0.25">
      <c r="B134" s="37"/>
      <c r="C134" s="37"/>
      <c r="D134" s="37"/>
      <c r="E134" s="38"/>
      <c r="F134" s="39"/>
      <c r="G134" s="39"/>
      <c r="H134" s="42"/>
      <c r="I134" s="37"/>
      <c r="J134" s="38"/>
      <c r="K134" s="38"/>
      <c r="L134" s="43" t="str">
        <f>IF(OR(tblProductos[[#This Row],[SKU]]="",tblProductos[[#This Row],[Producto]]=""),"",tblProductos[[#This Row],[SKU]]&amp;" · "&amp;tblProductos[[#This Row],[Producto]])</f>
        <v/>
      </c>
      <c r="M134" s="40" t="str">
        <f>IF(tblProductos[[#This Row],[SKU]]="","",COUNTIF(tblMovimientos[SKU],tblProductos[[#This Row],[SKU]]))</f>
        <v/>
      </c>
      <c r="N1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5" spans="2:14" x14ac:dyDescent="0.25">
      <c r="B135" s="37"/>
      <c r="C135" s="37"/>
      <c r="D135" s="37"/>
      <c r="E135" s="38"/>
      <c r="F135" s="39"/>
      <c r="G135" s="39"/>
      <c r="H135" s="42"/>
      <c r="I135" s="37"/>
      <c r="J135" s="38"/>
      <c r="K135" s="38"/>
      <c r="L135" s="43" t="str">
        <f>IF(OR(tblProductos[[#This Row],[SKU]]="",tblProductos[[#This Row],[Producto]]=""),"",tblProductos[[#This Row],[SKU]]&amp;" · "&amp;tblProductos[[#This Row],[Producto]])</f>
        <v/>
      </c>
      <c r="M135" s="40" t="str">
        <f>IF(tblProductos[[#This Row],[SKU]]="","",COUNTIF(tblMovimientos[SKU],tblProductos[[#This Row],[SKU]]))</f>
        <v/>
      </c>
      <c r="N1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6" spans="2:14" x14ac:dyDescent="0.25">
      <c r="B136" s="37"/>
      <c r="C136" s="37"/>
      <c r="D136" s="37"/>
      <c r="E136" s="38"/>
      <c r="F136" s="39"/>
      <c r="G136" s="39"/>
      <c r="H136" s="42"/>
      <c r="I136" s="37"/>
      <c r="J136" s="38"/>
      <c r="K136" s="38"/>
      <c r="L136" s="43" t="str">
        <f>IF(OR(tblProductos[[#This Row],[SKU]]="",tblProductos[[#This Row],[Producto]]=""),"",tblProductos[[#This Row],[SKU]]&amp;" · "&amp;tblProductos[[#This Row],[Producto]])</f>
        <v/>
      </c>
      <c r="M136" s="40" t="str">
        <f>IF(tblProductos[[#This Row],[SKU]]="","",COUNTIF(tblMovimientos[SKU],tblProductos[[#This Row],[SKU]]))</f>
        <v/>
      </c>
      <c r="N1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7" spans="2:14" x14ac:dyDescent="0.25">
      <c r="B137" s="37"/>
      <c r="C137" s="37"/>
      <c r="D137" s="37"/>
      <c r="E137" s="38"/>
      <c r="F137" s="39"/>
      <c r="G137" s="39"/>
      <c r="H137" s="42"/>
      <c r="I137" s="37"/>
      <c r="J137" s="38"/>
      <c r="K137" s="38"/>
      <c r="L137" s="43" t="str">
        <f>IF(OR(tblProductos[[#This Row],[SKU]]="",tblProductos[[#This Row],[Producto]]=""),"",tblProductos[[#This Row],[SKU]]&amp;" · "&amp;tblProductos[[#This Row],[Producto]])</f>
        <v/>
      </c>
      <c r="M137" s="40" t="str">
        <f>IF(tblProductos[[#This Row],[SKU]]="","",COUNTIF(tblMovimientos[SKU],tblProductos[[#This Row],[SKU]]))</f>
        <v/>
      </c>
      <c r="N1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8" spans="2:14" x14ac:dyDescent="0.25">
      <c r="B138" s="37"/>
      <c r="C138" s="37"/>
      <c r="D138" s="37"/>
      <c r="E138" s="38"/>
      <c r="F138" s="39"/>
      <c r="G138" s="39"/>
      <c r="H138" s="42"/>
      <c r="I138" s="37"/>
      <c r="J138" s="38"/>
      <c r="K138" s="38"/>
      <c r="L138" s="43" t="str">
        <f>IF(OR(tblProductos[[#This Row],[SKU]]="",tblProductos[[#This Row],[Producto]]=""),"",tblProductos[[#This Row],[SKU]]&amp;" · "&amp;tblProductos[[#This Row],[Producto]])</f>
        <v/>
      </c>
      <c r="M138" s="40" t="str">
        <f>IF(tblProductos[[#This Row],[SKU]]="","",COUNTIF(tblMovimientos[SKU],tblProductos[[#This Row],[SKU]]))</f>
        <v/>
      </c>
      <c r="N1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39" spans="2:14" x14ac:dyDescent="0.25">
      <c r="B139" s="37"/>
      <c r="C139" s="37"/>
      <c r="D139" s="37"/>
      <c r="E139" s="38"/>
      <c r="F139" s="39"/>
      <c r="G139" s="39"/>
      <c r="H139" s="42"/>
      <c r="I139" s="37"/>
      <c r="J139" s="38"/>
      <c r="K139" s="38"/>
      <c r="L139" s="43" t="str">
        <f>IF(OR(tblProductos[[#This Row],[SKU]]="",tblProductos[[#This Row],[Producto]]=""),"",tblProductos[[#This Row],[SKU]]&amp;" · "&amp;tblProductos[[#This Row],[Producto]])</f>
        <v/>
      </c>
      <c r="M139" s="40" t="str">
        <f>IF(tblProductos[[#This Row],[SKU]]="","",COUNTIF(tblMovimientos[SKU],tblProductos[[#This Row],[SKU]]))</f>
        <v/>
      </c>
      <c r="N1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0" spans="2:14" x14ac:dyDescent="0.25">
      <c r="B140" s="37"/>
      <c r="C140" s="37"/>
      <c r="D140" s="37"/>
      <c r="E140" s="38"/>
      <c r="F140" s="39"/>
      <c r="G140" s="39"/>
      <c r="H140" s="42"/>
      <c r="I140" s="37"/>
      <c r="J140" s="38"/>
      <c r="K140" s="38"/>
      <c r="L140" s="43" t="str">
        <f>IF(OR(tblProductos[[#This Row],[SKU]]="",tblProductos[[#This Row],[Producto]]=""),"",tblProductos[[#This Row],[SKU]]&amp;" · "&amp;tblProductos[[#This Row],[Producto]])</f>
        <v/>
      </c>
      <c r="M140" s="40" t="str">
        <f>IF(tblProductos[[#This Row],[SKU]]="","",COUNTIF(tblMovimientos[SKU],tblProductos[[#This Row],[SKU]]))</f>
        <v/>
      </c>
      <c r="N1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1" spans="2:14" x14ac:dyDescent="0.25">
      <c r="B141" s="37"/>
      <c r="C141" s="37"/>
      <c r="D141" s="37"/>
      <c r="E141" s="38"/>
      <c r="F141" s="39"/>
      <c r="G141" s="39"/>
      <c r="H141" s="42"/>
      <c r="I141" s="37"/>
      <c r="J141" s="38"/>
      <c r="K141" s="38"/>
      <c r="L141" s="43" t="str">
        <f>IF(OR(tblProductos[[#This Row],[SKU]]="",tblProductos[[#This Row],[Producto]]=""),"",tblProductos[[#This Row],[SKU]]&amp;" · "&amp;tblProductos[[#This Row],[Producto]])</f>
        <v/>
      </c>
      <c r="M141" s="40" t="str">
        <f>IF(tblProductos[[#This Row],[SKU]]="","",COUNTIF(tblMovimientos[SKU],tblProductos[[#This Row],[SKU]]))</f>
        <v/>
      </c>
      <c r="N1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2" spans="2:14" x14ac:dyDescent="0.25">
      <c r="B142" s="37"/>
      <c r="C142" s="37"/>
      <c r="D142" s="37"/>
      <c r="E142" s="38"/>
      <c r="F142" s="39"/>
      <c r="G142" s="39"/>
      <c r="H142" s="42"/>
      <c r="I142" s="37"/>
      <c r="J142" s="38"/>
      <c r="K142" s="38"/>
      <c r="L142" s="43" t="str">
        <f>IF(OR(tblProductos[[#This Row],[SKU]]="",tblProductos[[#This Row],[Producto]]=""),"",tblProductos[[#This Row],[SKU]]&amp;" · "&amp;tblProductos[[#This Row],[Producto]])</f>
        <v/>
      </c>
      <c r="M142" s="40" t="str">
        <f>IF(tblProductos[[#This Row],[SKU]]="","",COUNTIF(tblMovimientos[SKU],tblProductos[[#This Row],[SKU]]))</f>
        <v/>
      </c>
      <c r="N1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3" spans="2:14" x14ac:dyDescent="0.25">
      <c r="B143" s="37"/>
      <c r="C143" s="37"/>
      <c r="D143" s="37"/>
      <c r="E143" s="38"/>
      <c r="F143" s="39"/>
      <c r="G143" s="39"/>
      <c r="H143" s="42"/>
      <c r="I143" s="37"/>
      <c r="J143" s="38"/>
      <c r="K143" s="38"/>
      <c r="L143" s="43" t="str">
        <f>IF(OR(tblProductos[[#This Row],[SKU]]="",tblProductos[[#This Row],[Producto]]=""),"",tblProductos[[#This Row],[SKU]]&amp;" · "&amp;tblProductos[[#This Row],[Producto]])</f>
        <v/>
      </c>
      <c r="M143" s="40" t="str">
        <f>IF(tblProductos[[#This Row],[SKU]]="","",COUNTIF(tblMovimientos[SKU],tblProductos[[#This Row],[SKU]]))</f>
        <v/>
      </c>
      <c r="N1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4" spans="2:14" x14ac:dyDescent="0.25">
      <c r="B144" s="37"/>
      <c r="C144" s="37"/>
      <c r="D144" s="37"/>
      <c r="E144" s="38"/>
      <c r="F144" s="39"/>
      <c r="G144" s="39"/>
      <c r="H144" s="42"/>
      <c r="I144" s="37"/>
      <c r="J144" s="38"/>
      <c r="K144" s="38"/>
      <c r="L144" s="43" t="str">
        <f>IF(OR(tblProductos[[#This Row],[SKU]]="",tblProductos[[#This Row],[Producto]]=""),"",tblProductos[[#This Row],[SKU]]&amp;" · "&amp;tblProductos[[#This Row],[Producto]])</f>
        <v/>
      </c>
      <c r="M144" s="40" t="str">
        <f>IF(tblProductos[[#This Row],[SKU]]="","",COUNTIF(tblMovimientos[SKU],tblProductos[[#This Row],[SKU]]))</f>
        <v/>
      </c>
      <c r="N1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5" spans="2:14" x14ac:dyDescent="0.25">
      <c r="B145" s="37"/>
      <c r="C145" s="37"/>
      <c r="D145" s="37"/>
      <c r="E145" s="38"/>
      <c r="F145" s="39"/>
      <c r="G145" s="39"/>
      <c r="H145" s="42"/>
      <c r="I145" s="37"/>
      <c r="J145" s="38"/>
      <c r="K145" s="38"/>
      <c r="L145" s="43" t="str">
        <f>IF(OR(tblProductos[[#This Row],[SKU]]="",tblProductos[[#This Row],[Producto]]=""),"",tblProductos[[#This Row],[SKU]]&amp;" · "&amp;tblProductos[[#This Row],[Producto]])</f>
        <v/>
      </c>
      <c r="M145" s="40" t="str">
        <f>IF(tblProductos[[#This Row],[SKU]]="","",COUNTIF(tblMovimientos[SKU],tblProductos[[#This Row],[SKU]]))</f>
        <v/>
      </c>
      <c r="N1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6" spans="2:14" x14ac:dyDescent="0.25">
      <c r="B146" s="37"/>
      <c r="C146" s="37"/>
      <c r="D146" s="37"/>
      <c r="E146" s="38"/>
      <c r="F146" s="39"/>
      <c r="G146" s="39"/>
      <c r="H146" s="42"/>
      <c r="I146" s="37"/>
      <c r="J146" s="38"/>
      <c r="K146" s="38"/>
      <c r="L146" s="43" t="str">
        <f>IF(OR(tblProductos[[#This Row],[SKU]]="",tblProductos[[#This Row],[Producto]]=""),"",tblProductos[[#This Row],[SKU]]&amp;" · "&amp;tblProductos[[#This Row],[Producto]])</f>
        <v/>
      </c>
      <c r="M146" s="40" t="str">
        <f>IF(tblProductos[[#This Row],[SKU]]="","",COUNTIF(tblMovimientos[SKU],tblProductos[[#This Row],[SKU]]))</f>
        <v/>
      </c>
      <c r="N1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7" spans="2:14" x14ac:dyDescent="0.25">
      <c r="B147" s="37"/>
      <c r="C147" s="37"/>
      <c r="D147" s="37"/>
      <c r="E147" s="38"/>
      <c r="F147" s="39"/>
      <c r="G147" s="39"/>
      <c r="H147" s="42"/>
      <c r="I147" s="37"/>
      <c r="J147" s="38"/>
      <c r="K147" s="38"/>
      <c r="L147" s="43" t="str">
        <f>IF(OR(tblProductos[[#This Row],[SKU]]="",tblProductos[[#This Row],[Producto]]=""),"",tblProductos[[#This Row],[SKU]]&amp;" · "&amp;tblProductos[[#This Row],[Producto]])</f>
        <v/>
      </c>
      <c r="M147" s="40" t="str">
        <f>IF(tblProductos[[#This Row],[SKU]]="","",COUNTIF(tblMovimientos[SKU],tblProductos[[#This Row],[SKU]]))</f>
        <v/>
      </c>
      <c r="N1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8" spans="2:14" x14ac:dyDescent="0.25">
      <c r="B148" s="37"/>
      <c r="C148" s="37"/>
      <c r="D148" s="37"/>
      <c r="E148" s="38"/>
      <c r="F148" s="39"/>
      <c r="G148" s="39"/>
      <c r="H148" s="42"/>
      <c r="I148" s="37"/>
      <c r="J148" s="38"/>
      <c r="K148" s="38"/>
      <c r="L148" s="43" t="str">
        <f>IF(OR(tblProductos[[#This Row],[SKU]]="",tblProductos[[#This Row],[Producto]]=""),"",tblProductos[[#This Row],[SKU]]&amp;" · "&amp;tblProductos[[#This Row],[Producto]])</f>
        <v/>
      </c>
      <c r="M148" s="40" t="str">
        <f>IF(tblProductos[[#This Row],[SKU]]="","",COUNTIF(tblMovimientos[SKU],tblProductos[[#This Row],[SKU]]))</f>
        <v/>
      </c>
      <c r="N1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49" spans="2:14" x14ac:dyDescent="0.25">
      <c r="B149" s="37"/>
      <c r="C149" s="37"/>
      <c r="D149" s="37"/>
      <c r="E149" s="38"/>
      <c r="F149" s="39"/>
      <c r="G149" s="39"/>
      <c r="H149" s="42"/>
      <c r="I149" s="37"/>
      <c r="J149" s="38"/>
      <c r="K149" s="38"/>
      <c r="L149" s="43" t="str">
        <f>IF(OR(tblProductos[[#This Row],[SKU]]="",tblProductos[[#This Row],[Producto]]=""),"",tblProductos[[#This Row],[SKU]]&amp;" · "&amp;tblProductos[[#This Row],[Producto]])</f>
        <v/>
      </c>
      <c r="M149" s="40" t="str">
        <f>IF(tblProductos[[#This Row],[SKU]]="","",COUNTIF(tblMovimientos[SKU],tblProductos[[#This Row],[SKU]]))</f>
        <v/>
      </c>
      <c r="N1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0" spans="2:14" x14ac:dyDescent="0.25">
      <c r="B150" s="37"/>
      <c r="C150" s="37"/>
      <c r="D150" s="37"/>
      <c r="E150" s="38"/>
      <c r="F150" s="39"/>
      <c r="G150" s="39"/>
      <c r="H150" s="42"/>
      <c r="I150" s="37"/>
      <c r="J150" s="38"/>
      <c r="K150" s="38"/>
      <c r="L150" s="43" t="str">
        <f>IF(OR(tblProductos[[#This Row],[SKU]]="",tblProductos[[#This Row],[Producto]]=""),"",tblProductos[[#This Row],[SKU]]&amp;" · "&amp;tblProductos[[#This Row],[Producto]])</f>
        <v/>
      </c>
      <c r="M150" s="40" t="str">
        <f>IF(tblProductos[[#This Row],[SKU]]="","",COUNTIF(tblMovimientos[SKU],tblProductos[[#This Row],[SKU]]))</f>
        <v/>
      </c>
      <c r="N1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1" spans="2:14" x14ac:dyDescent="0.25">
      <c r="B151" s="37"/>
      <c r="C151" s="37"/>
      <c r="D151" s="37"/>
      <c r="E151" s="38"/>
      <c r="F151" s="39"/>
      <c r="G151" s="39"/>
      <c r="H151" s="42"/>
      <c r="I151" s="37"/>
      <c r="J151" s="38"/>
      <c r="K151" s="38"/>
      <c r="L151" s="43" t="str">
        <f>IF(OR(tblProductos[[#This Row],[SKU]]="",tblProductos[[#This Row],[Producto]]=""),"",tblProductos[[#This Row],[SKU]]&amp;" · "&amp;tblProductos[[#This Row],[Producto]])</f>
        <v/>
      </c>
      <c r="M151" s="40" t="str">
        <f>IF(tblProductos[[#This Row],[SKU]]="","",COUNTIF(tblMovimientos[SKU],tblProductos[[#This Row],[SKU]]))</f>
        <v/>
      </c>
      <c r="N1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2" spans="2:14" x14ac:dyDescent="0.25">
      <c r="B152" s="37"/>
      <c r="C152" s="37"/>
      <c r="D152" s="37"/>
      <c r="E152" s="38"/>
      <c r="F152" s="39"/>
      <c r="G152" s="39"/>
      <c r="H152" s="42"/>
      <c r="I152" s="37"/>
      <c r="J152" s="38"/>
      <c r="K152" s="38"/>
      <c r="L152" s="43" t="str">
        <f>IF(OR(tblProductos[[#This Row],[SKU]]="",tblProductos[[#This Row],[Producto]]=""),"",tblProductos[[#This Row],[SKU]]&amp;" · "&amp;tblProductos[[#This Row],[Producto]])</f>
        <v/>
      </c>
      <c r="M152" s="40" t="str">
        <f>IF(tblProductos[[#This Row],[SKU]]="","",COUNTIF(tblMovimientos[SKU],tblProductos[[#This Row],[SKU]]))</f>
        <v/>
      </c>
      <c r="N1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3" spans="2:14" x14ac:dyDescent="0.25">
      <c r="B153" s="37"/>
      <c r="C153" s="37"/>
      <c r="D153" s="37"/>
      <c r="E153" s="38"/>
      <c r="F153" s="39"/>
      <c r="G153" s="39"/>
      <c r="H153" s="42"/>
      <c r="I153" s="37"/>
      <c r="J153" s="38"/>
      <c r="K153" s="38"/>
      <c r="L153" s="43" t="str">
        <f>IF(OR(tblProductos[[#This Row],[SKU]]="",tblProductos[[#This Row],[Producto]]=""),"",tblProductos[[#This Row],[SKU]]&amp;" · "&amp;tblProductos[[#This Row],[Producto]])</f>
        <v/>
      </c>
      <c r="M153" s="40" t="str">
        <f>IF(tblProductos[[#This Row],[SKU]]="","",COUNTIF(tblMovimientos[SKU],tblProductos[[#This Row],[SKU]]))</f>
        <v/>
      </c>
      <c r="N1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4" spans="2:14" x14ac:dyDescent="0.25">
      <c r="B154" s="37"/>
      <c r="C154" s="37"/>
      <c r="D154" s="37"/>
      <c r="E154" s="38"/>
      <c r="F154" s="39"/>
      <c r="G154" s="39"/>
      <c r="H154" s="42"/>
      <c r="I154" s="37"/>
      <c r="J154" s="38"/>
      <c r="K154" s="38"/>
      <c r="L154" s="43" t="str">
        <f>IF(OR(tblProductos[[#This Row],[SKU]]="",tblProductos[[#This Row],[Producto]]=""),"",tblProductos[[#This Row],[SKU]]&amp;" · "&amp;tblProductos[[#This Row],[Producto]])</f>
        <v/>
      </c>
      <c r="M154" s="40" t="str">
        <f>IF(tblProductos[[#This Row],[SKU]]="","",COUNTIF(tblMovimientos[SKU],tblProductos[[#This Row],[SKU]]))</f>
        <v/>
      </c>
      <c r="N1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5" spans="2:14" x14ac:dyDescent="0.25">
      <c r="B155" s="37"/>
      <c r="C155" s="37"/>
      <c r="D155" s="37"/>
      <c r="E155" s="38"/>
      <c r="F155" s="39"/>
      <c r="G155" s="39"/>
      <c r="H155" s="42"/>
      <c r="I155" s="37"/>
      <c r="J155" s="38"/>
      <c r="K155" s="38"/>
      <c r="L155" s="43" t="str">
        <f>IF(OR(tblProductos[[#This Row],[SKU]]="",tblProductos[[#This Row],[Producto]]=""),"",tblProductos[[#This Row],[SKU]]&amp;" · "&amp;tblProductos[[#This Row],[Producto]])</f>
        <v/>
      </c>
      <c r="M155" s="40" t="str">
        <f>IF(tblProductos[[#This Row],[SKU]]="","",COUNTIF(tblMovimientos[SKU],tblProductos[[#This Row],[SKU]]))</f>
        <v/>
      </c>
      <c r="N1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6" spans="2:14" x14ac:dyDescent="0.25">
      <c r="B156" s="37"/>
      <c r="C156" s="37"/>
      <c r="D156" s="37"/>
      <c r="E156" s="38"/>
      <c r="F156" s="39"/>
      <c r="G156" s="39"/>
      <c r="H156" s="42"/>
      <c r="I156" s="37"/>
      <c r="J156" s="38"/>
      <c r="K156" s="38"/>
      <c r="L156" s="43" t="str">
        <f>IF(OR(tblProductos[[#This Row],[SKU]]="",tblProductos[[#This Row],[Producto]]=""),"",tblProductos[[#This Row],[SKU]]&amp;" · "&amp;tblProductos[[#This Row],[Producto]])</f>
        <v/>
      </c>
      <c r="M156" s="40" t="str">
        <f>IF(tblProductos[[#This Row],[SKU]]="","",COUNTIF(tblMovimientos[SKU],tblProductos[[#This Row],[SKU]]))</f>
        <v/>
      </c>
      <c r="N1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7" spans="2:14" x14ac:dyDescent="0.25">
      <c r="B157" s="37"/>
      <c r="C157" s="37"/>
      <c r="D157" s="37"/>
      <c r="E157" s="38"/>
      <c r="F157" s="39"/>
      <c r="G157" s="39"/>
      <c r="H157" s="42"/>
      <c r="I157" s="37"/>
      <c r="J157" s="38"/>
      <c r="K157" s="38"/>
      <c r="L157" s="43" t="str">
        <f>IF(OR(tblProductos[[#This Row],[SKU]]="",tblProductos[[#This Row],[Producto]]=""),"",tblProductos[[#This Row],[SKU]]&amp;" · "&amp;tblProductos[[#This Row],[Producto]])</f>
        <v/>
      </c>
      <c r="M157" s="40" t="str">
        <f>IF(tblProductos[[#This Row],[SKU]]="","",COUNTIF(tblMovimientos[SKU],tblProductos[[#This Row],[SKU]]))</f>
        <v/>
      </c>
      <c r="N1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8" spans="2:14" x14ac:dyDescent="0.25">
      <c r="B158" s="37"/>
      <c r="C158" s="37"/>
      <c r="D158" s="37"/>
      <c r="E158" s="38"/>
      <c r="F158" s="39"/>
      <c r="G158" s="39"/>
      <c r="H158" s="42"/>
      <c r="I158" s="37"/>
      <c r="J158" s="38"/>
      <c r="K158" s="38"/>
      <c r="L158" s="43" t="str">
        <f>IF(OR(tblProductos[[#This Row],[SKU]]="",tblProductos[[#This Row],[Producto]]=""),"",tblProductos[[#This Row],[SKU]]&amp;" · "&amp;tblProductos[[#This Row],[Producto]])</f>
        <v/>
      </c>
      <c r="M158" s="40" t="str">
        <f>IF(tblProductos[[#This Row],[SKU]]="","",COUNTIF(tblMovimientos[SKU],tblProductos[[#This Row],[SKU]]))</f>
        <v/>
      </c>
      <c r="N1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59" spans="2:14" x14ac:dyDescent="0.25">
      <c r="B159" s="37"/>
      <c r="C159" s="37"/>
      <c r="D159" s="37"/>
      <c r="E159" s="38"/>
      <c r="F159" s="39"/>
      <c r="G159" s="39"/>
      <c r="H159" s="42"/>
      <c r="I159" s="37"/>
      <c r="J159" s="38"/>
      <c r="K159" s="38"/>
      <c r="L159" s="43" t="str">
        <f>IF(OR(tblProductos[[#This Row],[SKU]]="",tblProductos[[#This Row],[Producto]]=""),"",tblProductos[[#This Row],[SKU]]&amp;" · "&amp;tblProductos[[#This Row],[Producto]])</f>
        <v/>
      </c>
      <c r="M159" s="40" t="str">
        <f>IF(tblProductos[[#This Row],[SKU]]="","",COUNTIF(tblMovimientos[SKU],tblProductos[[#This Row],[SKU]]))</f>
        <v/>
      </c>
      <c r="N1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0" spans="2:14" x14ac:dyDescent="0.25">
      <c r="B160" s="37"/>
      <c r="C160" s="37"/>
      <c r="D160" s="37"/>
      <c r="E160" s="38"/>
      <c r="F160" s="39"/>
      <c r="G160" s="39"/>
      <c r="H160" s="42"/>
      <c r="I160" s="37"/>
      <c r="J160" s="38"/>
      <c r="K160" s="38"/>
      <c r="L160" s="43" t="str">
        <f>IF(OR(tblProductos[[#This Row],[SKU]]="",tblProductos[[#This Row],[Producto]]=""),"",tblProductos[[#This Row],[SKU]]&amp;" · "&amp;tblProductos[[#This Row],[Producto]])</f>
        <v/>
      </c>
      <c r="M160" s="40" t="str">
        <f>IF(tblProductos[[#This Row],[SKU]]="","",COUNTIF(tblMovimientos[SKU],tblProductos[[#This Row],[SKU]]))</f>
        <v/>
      </c>
      <c r="N1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1" spans="2:14" x14ac:dyDescent="0.25">
      <c r="B161" s="37"/>
      <c r="C161" s="37"/>
      <c r="D161" s="37"/>
      <c r="E161" s="38"/>
      <c r="F161" s="39"/>
      <c r="G161" s="39"/>
      <c r="H161" s="42"/>
      <c r="I161" s="37"/>
      <c r="J161" s="38"/>
      <c r="K161" s="38"/>
      <c r="L161" s="43" t="str">
        <f>IF(OR(tblProductos[[#This Row],[SKU]]="",tblProductos[[#This Row],[Producto]]=""),"",tblProductos[[#This Row],[SKU]]&amp;" · "&amp;tblProductos[[#This Row],[Producto]])</f>
        <v/>
      </c>
      <c r="M161" s="40" t="str">
        <f>IF(tblProductos[[#This Row],[SKU]]="","",COUNTIF(tblMovimientos[SKU],tblProductos[[#This Row],[SKU]]))</f>
        <v/>
      </c>
      <c r="N1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2" spans="2:14" x14ac:dyDescent="0.25">
      <c r="B162" s="37"/>
      <c r="C162" s="37"/>
      <c r="D162" s="37"/>
      <c r="E162" s="38"/>
      <c r="F162" s="39"/>
      <c r="G162" s="39"/>
      <c r="H162" s="42"/>
      <c r="I162" s="37"/>
      <c r="J162" s="38"/>
      <c r="K162" s="38"/>
      <c r="L162" s="43" t="str">
        <f>IF(OR(tblProductos[[#This Row],[SKU]]="",tblProductos[[#This Row],[Producto]]=""),"",tblProductos[[#This Row],[SKU]]&amp;" · "&amp;tblProductos[[#This Row],[Producto]])</f>
        <v/>
      </c>
      <c r="M162" s="40" t="str">
        <f>IF(tblProductos[[#This Row],[SKU]]="","",COUNTIF(tblMovimientos[SKU],tblProductos[[#This Row],[SKU]]))</f>
        <v/>
      </c>
      <c r="N1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3" spans="2:14" x14ac:dyDescent="0.25">
      <c r="B163" s="37"/>
      <c r="C163" s="37"/>
      <c r="D163" s="37"/>
      <c r="E163" s="38"/>
      <c r="F163" s="39"/>
      <c r="G163" s="39"/>
      <c r="H163" s="42"/>
      <c r="I163" s="37"/>
      <c r="J163" s="38"/>
      <c r="K163" s="38"/>
      <c r="L163" s="43" t="str">
        <f>IF(OR(tblProductos[[#This Row],[SKU]]="",tblProductos[[#This Row],[Producto]]=""),"",tblProductos[[#This Row],[SKU]]&amp;" · "&amp;tblProductos[[#This Row],[Producto]])</f>
        <v/>
      </c>
      <c r="M163" s="40" t="str">
        <f>IF(tblProductos[[#This Row],[SKU]]="","",COUNTIF(tblMovimientos[SKU],tblProductos[[#This Row],[SKU]]))</f>
        <v/>
      </c>
      <c r="N1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4" spans="2:14" x14ac:dyDescent="0.25">
      <c r="B164" s="37"/>
      <c r="C164" s="37"/>
      <c r="D164" s="37"/>
      <c r="E164" s="38"/>
      <c r="F164" s="39"/>
      <c r="G164" s="39"/>
      <c r="H164" s="42"/>
      <c r="I164" s="37"/>
      <c r="J164" s="38"/>
      <c r="K164" s="38"/>
      <c r="L164" s="43" t="str">
        <f>IF(OR(tblProductos[[#This Row],[SKU]]="",tblProductos[[#This Row],[Producto]]=""),"",tblProductos[[#This Row],[SKU]]&amp;" · "&amp;tblProductos[[#This Row],[Producto]])</f>
        <v/>
      </c>
      <c r="M164" s="40" t="str">
        <f>IF(tblProductos[[#This Row],[SKU]]="","",COUNTIF(tblMovimientos[SKU],tblProductos[[#This Row],[SKU]]))</f>
        <v/>
      </c>
      <c r="N1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5" spans="2:14" x14ac:dyDescent="0.25">
      <c r="B165" s="37"/>
      <c r="C165" s="37"/>
      <c r="D165" s="37"/>
      <c r="E165" s="38"/>
      <c r="F165" s="39"/>
      <c r="G165" s="39"/>
      <c r="H165" s="42"/>
      <c r="I165" s="37"/>
      <c r="J165" s="38"/>
      <c r="K165" s="38"/>
      <c r="L165" s="43" t="str">
        <f>IF(OR(tblProductos[[#This Row],[SKU]]="",tblProductos[[#This Row],[Producto]]=""),"",tblProductos[[#This Row],[SKU]]&amp;" · "&amp;tblProductos[[#This Row],[Producto]])</f>
        <v/>
      </c>
      <c r="M165" s="40" t="str">
        <f>IF(tblProductos[[#This Row],[SKU]]="","",COUNTIF(tblMovimientos[SKU],tblProductos[[#This Row],[SKU]]))</f>
        <v/>
      </c>
      <c r="N1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6" spans="2:14" x14ac:dyDescent="0.25">
      <c r="B166" s="37"/>
      <c r="C166" s="37"/>
      <c r="D166" s="37"/>
      <c r="E166" s="38"/>
      <c r="F166" s="39"/>
      <c r="G166" s="39"/>
      <c r="H166" s="42"/>
      <c r="I166" s="37"/>
      <c r="J166" s="38"/>
      <c r="K166" s="38"/>
      <c r="L166" s="43" t="str">
        <f>IF(OR(tblProductos[[#This Row],[SKU]]="",tblProductos[[#This Row],[Producto]]=""),"",tblProductos[[#This Row],[SKU]]&amp;" · "&amp;tblProductos[[#This Row],[Producto]])</f>
        <v/>
      </c>
      <c r="M166" s="40" t="str">
        <f>IF(tblProductos[[#This Row],[SKU]]="","",COUNTIF(tblMovimientos[SKU],tblProductos[[#This Row],[SKU]]))</f>
        <v/>
      </c>
      <c r="N1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7" spans="2:14" x14ac:dyDescent="0.25">
      <c r="B167" s="37"/>
      <c r="C167" s="37"/>
      <c r="D167" s="37"/>
      <c r="E167" s="38"/>
      <c r="F167" s="39"/>
      <c r="G167" s="39"/>
      <c r="H167" s="42"/>
      <c r="I167" s="37"/>
      <c r="J167" s="38"/>
      <c r="K167" s="38"/>
      <c r="L167" s="43" t="str">
        <f>IF(OR(tblProductos[[#This Row],[SKU]]="",tblProductos[[#This Row],[Producto]]=""),"",tblProductos[[#This Row],[SKU]]&amp;" · "&amp;tblProductos[[#This Row],[Producto]])</f>
        <v/>
      </c>
      <c r="M167" s="40" t="str">
        <f>IF(tblProductos[[#This Row],[SKU]]="","",COUNTIF(tblMovimientos[SKU],tblProductos[[#This Row],[SKU]]))</f>
        <v/>
      </c>
      <c r="N1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8" spans="2:14" x14ac:dyDescent="0.25">
      <c r="B168" s="37"/>
      <c r="C168" s="37"/>
      <c r="D168" s="37"/>
      <c r="E168" s="38"/>
      <c r="F168" s="39"/>
      <c r="G168" s="39"/>
      <c r="H168" s="42"/>
      <c r="I168" s="37"/>
      <c r="J168" s="38"/>
      <c r="K168" s="38"/>
      <c r="L168" s="43" t="str">
        <f>IF(OR(tblProductos[[#This Row],[SKU]]="",tblProductos[[#This Row],[Producto]]=""),"",tblProductos[[#This Row],[SKU]]&amp;" · "&amp;tblProductos[[#This Row],[Producto]])</f>
        <v/>
      </c>
      <c r="M168" s="40" t="str">
        <f>IF(tblProductos[[#This Row],[SKU]]="","",COUNTIF(tblMovimientos[SKU],tblProductos[[#This Row],[SKU]]))</f>
        <v/>
      </c>
      <c r="N1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69" spans="2:14" x14ac:dyDescent="0.25">
      <c r="B169" s="37"/>
      <c r="C169" s="37"/>
      <c r="D169" s="37"/>
      <c r="E169" s="38"/>
      <c r="F169" s="39"/>
      <c r="G169" s="39"/>
      <c r="H169" s="42"/>
      <c r="I169" s="37"/>
      <c r="J169" s="38"/>
      <c r="K169" s="38"/>
      <c r="L169" s="43" t="str">
        <f>IF(OR(tblProductos[[#This Row],[SKU]]="",tblProductos[[#This Row],[Producto]]=""),"",tblProductos[[#This Row],[SKU]]&amp;" · "&amp;tblProductos[[#This Row],[Producto]])</f>
        <v/>
      </c>
      <c r="M169" s="40" t="str">
        <f>IF(tblProductos[[#This Row],[SKU]]="","",COUNTIF(tblMovimientos[SKU],tblProductos[[#This Row],[SKU]]))</f>
        <v/>
      </c>
      <c r="N1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0" spans="2:14" x14ac:dyDescent="0.25">
      <c r="B170" s="37"/>
      <c r="C170" s="37"/>
      <c r="D170" s="37"/>
      <c r="E170" s="38"/>
      <c r="F170" s="39"/>
      <c r="G170" s="39"/>
      <c r="H170" s="42"/>
      <c r="I170" s="37"/>
      <c r="J170" s="38"/>
      <c r="K170" s="38"/>
      <c r="L170" s="43" t="str">
        <f>IF(OR(tblProductos[[#This Row],[SKU]]="",tblProductos[[#This Row],[Producto]]=""),"",tblProductos[[#This Row],[SKU]]&amp;" · "&amp;tblProductos[[#This Row],[Producto]])</f>
        <v/>
      </c>
      <c r="M170" s="40" t="str">
        <f>IF(tblProductos[[#This Row],[SKU]]="","",COUNTIF(tblMovimientos[SKU],tblProductos[[#This Row],[SKU]]))</f>
        <v/>
      </c>
      <c r="N1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1" spans="2:14" x14ac:dyDescent="0.25">
      <c r="B171" s="37"/>
      <c r="C171" s="37"/>
      <c r="D171" s="37"/>
      <c r="E171" s="38"/>
      <c r="F171" s="39"/>
      <c r="G171" s="39"/>
      <c r="H171" s="42"/>
      <c r="I171" s="37"/>
      <c r="J171" s="38"/>
      <c r="K171" s="38"/>
      <c r="L171" s="43" t="str">
        <f>IF(OR(tblProductos[[#This Row],[SKU]]="",tblProductos[[#This Row],[Producto]]=""),"",tblProductos[[#This Row],[SKU]]&amp;" · "&amp;tblProductos[[#This Row],[Producto]])</f>
        <v/>
      </c>
      <c r="M171" s="40" t="str">
        <f>IF(tblProductos[[#This Row],[SKU]]="","",COUNTIF(tblMovimientos[SKU],tblProductos[[#This Row],[SKU]]))</f>
        <v/>
      </c>
      <c r="N1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2" spans="2:14" x14ac:dyDescent="0.25">
      <c r="B172" s="37"/>
      <c r="C172" s="37"/>
      <c r="D172" s="37"/>
      <c r="E172" s="38"/>
      <c r="F172" s="39"/>
      <c r="G172" s="39"/>
      <c r="H172" s="42"/>
      <c r="I172" s="37"/>
      <c r="J172" s="38"/>
      <c r="K172" s="38"/>
      <c r="L172" s="43" t="str">
        <f>IF(OR(tblProductos[[#This Row],[SKU]]="",tblProductos[[#This Row],[Producto]]=""),"",tblProductos[[#This Row],[SKU]]&amp;" · "&amp;tblProductos[[#This Row],[Producto]])</f>
        <v/>
      </c>
      <c r="M172" s="40" t="str">
        <f>IF(tblProductos[[#This Row],[SKU]]="","",COUNTIF(tblMovimientos[SKU],tblProductos[[#This Row],[SKU]]))</f>
        <v/>
      </c>
      <c r="N1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3" spans="2:14" x14ac:dyDescent="0.25">
      <c r="B173" s="37"/>
      <c r="C173" s="37"/>
      <c r="D173" s="37"/>
      <c r="E173" s="38"/>
      <c r="F173" s="39"/>
      <c r="G173" s="39"/>
      <c r="H173" s="42"/>
      <c r="I173" s="37"/>
      <c r="J173" s="38"/>
      <c r="K173" s="38"/>
      <c r="L173" s="43" t="str">
        <f>IF(OR(tblProductos[[#This Row],[SKU]]="",tblProductos[[#This Row],[Producto]]=""),"",tblProductos[[#This Row],[SKU]]&amp;" · "&amp;tblProductos[[#This Row],[Producto]])</f>
        <v/>
      </c>
      <c r="M173" s="40" t="str">
        <f>IF(tblProductos[[#This Row],[SKU]]="","",COUNTIF(tblMovimientos[SKU],tblProductos[[#This Row],[SKU]]))</f>
        <v/>
      </c>
      <c r="N1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4" spans="2:14" x14ac:dyDescent="0.25">
      <c r="B174" s="37"/>
      <c r="C174" s="37"/>
      <c r="D174" s="37"/>
      <c r="E174" s="38"/>
      <c r="F174" s="39"/>
      <c r="G174" s="39"/>
      <c r="H174" s="42"/>
      <c r="I174" s="37"/>
      <c r="J174" s="38"/>
      <c r="K174" s="38"/>
      <c r="L174" s="43" t="str">
        <f>IF(OR(tblProductos[[#This Row],[SKU]]="",tblProductos[[#This Row],[Producto]]=""),"",tblProductos[[#This Row],[SKU]]&amp;" · "&amp;tblProductos[[#This Row],[Producto]])</f>
        <v/>
      </c>
      <c r="M174" s="40" t="str">
        <f>IF(tblProductos[[#This Row],[SKU]]="","",COUNTIF(tblMovimientos[SKU],tblProductos[[#This Row],[SKU]]))</f>
        <v/>
      </c>
      <c r="N1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5" spans="2:14" x14ac:dyDescent="0.25">
      <c r="B175" s="37"/>
      <c r="C175" s="37"/>
      <c r="D175" s="37"/>
      <c r="E175" s="38"/>
      <c r="F175" s="39"/>
      <c r="G175" s="39"/>
      <c r="H175" s="42"/>
      <c r="I175" s="37"/>
      <c r="J175" s="38"/>
      <c r="K175" s="38"/>
      <c r="L175" s="43" t="str">
        <f>IF(OR(tblProductos[[#This Row],[SKU]]="",tblProductos[[#This Row],[Producto]]=""),"",tblProductos[[#This Row],[SKU]]&amp;" · "&amp;tblProductos[[#This Row],[Producto]])</f>
        <v/>
      </c>
      <c r="M175" s="40" t="str">
        <f>IF(tblProductos[[#This Row],[SKU]]="","",COUNTIF(tblMovimientos[SKU],tblProductos[[#This Row],[SKU]]))</f>
        <v/>
      </c>
      <c r="N1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6" spans="2:14" x14ac:dyDescent="0.25">
      <c r="B176" s="37"/>
      <c r="C176" s="37"/>
      <c r="D176" s="37"/>
      <c r="E176" s="38"/>
      <c r="F176" s="39"/>
      <c r="G176" s="39"/>
      <c r="H176" s="42"/>
      <c r="I176" s="37"/>
      <c r="J176" s="38"/>
      <c r="K176" s="38"/>
      <c r="L176" s="43" t="str">
        <f>IF(OR(tblProductos[[#This Row],[SKU]]="",tblProductos[[#This Row],[Producto]]=""),"",tblProductos[[#This Row],[SKU]]&amp;" · "&amp;tblProductos[[#This Row],[Producto]])</f>
        <v/>
      </c>
      <c r="M176" s="40" t="str">
        <f>IF(tblProductos[[#This Row],[SKU]]="","",COUNTIF(tblMovimientos[SKU],tblProductos[[#This Row],[SKU]]))</f>
        <v/>
      </c>
      <c r="N1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7" spans="2:14" x14ac:dyDescent="0.25">
      <c r="B177" s="37"/>
      <c r="C177" s="37"/>
      <c r="D177" s="37"/>
      <c r="E177" s="38"/>
      <c r="F177" s="39"/>
      <c r="G177" s="39"/>
      <c r="H177" s="42"/>
      <c r="I177" s="37"/>
      <c r="J177" s="38"/>
      <c r="K177" s="38"/>
      <c r="L177" s="43" t="str">
        <f>IF(OR(tblProductos[[#This Row],[SKU]]="",tblProductos[[#This Row],[Producto]]=""),"",tblProductos[[#This Row],[SKU]]&amp;" · "&amp;tblProductos[[#This Row],[Producto]])</f>
        <v/>
      </c>
      <c r="M177" s="40" t="str">
        <f>IF(tblProductos[[#This Row],[SKU]]="","",COUNTIF(tblMovimientos[SKU],tblProductos[[#This Row],[SKU]]))</f>
        <v/>
      </c>
      <c r="N1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8" spans="2:14" x14ac:dyDescent="0.25">
      <c r="B178" s="37"/>
      <c r="C178" s="37"/>
      <c r="D178" s="37"/>
      <c r="E178" s="38"/>
      <c r="F178" s="39"/>
      <c r="G178" s="39"/>
      <c r="H178" s="42"/>
      <c r="I178" s="37"/>
      <c r="J178" s="38"/>
      <c r="K178" s="38"/>
      <c r="L178" s="43" t="str">
        <f>IF(OR(tblProductos[[#This Row],[SKU]]="",tblProductos[[#This Row],[Producto]]=""),"",tblProductos[[#This Row],[SKU]]&amp;" · "&amp;tblProductos[[#This Row],[Producto]])</f>
        <v/>
      </c>
      <c r="M178" s="40" t="str">
        <f>IF(tblProductos[[#This Row],[SKU]]="","",COUNTIF(tblMovimientos[SKU],tblProductos[[#This Row],[SKU]]))</f>
        <v/>
      </c>
      <c r="N1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79" spans="2:14" x14ac:dyDescent="0.25">
      <c r="B179" s="37"/>
      <c r="C179" s="37"/>
      <c r="D179" s="37"/>
      <c r="E179" s="38"/>
      <c r="F179" s="39"/>
      <c r="G179" s="39"/>
      <c r="H179" s="42"/>
      <c r="I179" s="37"/>
      <c r="J179" s="38"/>
      <c r="K179" s="38"/>
      <c r="L179" s="43" t="str">
        <f>IF(OR(tblProductos[[#This Row],[SKU]]="",tblProductos[[#This Row],[Producto]]=""),"",tblProductos[[#This Row],[SKU]]&amp;" · "&amp;tblProductos[[#This Row],[Producto]])</f>
        <v/>
      </c>
      <c r="M179" s="40" t="str">
        <f>IF(tblProductos[[#This Row],[SKU]]="","",COUNTIF(tblMovimientos[SKU],tblProductos[[#This Row],[SKU]]))</f>
        <v/>
      </c>
      <c r="N1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0" spans="2:14" x14ac:dyDescent="0.25">
      <c r="B180" s="37"/>
      <c r="C180" s="37"/>
      <c r="D180" s="37"/>
      <c r="E180" s="38"/>
      <c r="F180" s="39"/>
      <c r="G180" s="39"/>
      <c r="H180" s="42"/>
      <c r="I180" s="37"/>
      <c r="J180" s="38"/>
      <c r="K180" s="38"/>
      <c r="L180" s="43" t="str">
        <f>IF(OR(tblProductos[[#This Row],[SKU]]="",tblProductos[[#This Row],[Producto]]=""),"",tblProductos[[#This Row],[SKU]]&amp;" · "&amp;tblProductos[[#This Row],[Producto]])</f>
        <v/>
      </c>
      <c r="M180" s="40" t="str">
        <f>IF(tblProductos[[#This Row],[SKU]]="","",COUNTIF(tblMovimientos[SKU],tblProductos[[#This Row],[SKU]]))</f>
        <v/>
      </c>
      <c r="N1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1" spans="2:14" x14ac:dyDescent="0.25">
      <c r="B181" s="37"/>
      <c r="C181" s="37"/>
      <c r="D181" s="37"/>
      <c r="E181" s="38"/>
      <c r="F181" s="39"/>
      <c r="G181" s="39"/>
      <c r="H181" s="42"/>
      <c r="I181" s="37"/>
      <c r="J181" s="38"/>
      <c r="K181" s="38"/>
      <c r="L181" s="43" t="str">
        <f>IF(OR(tblProductos[[#This Row],[SKU]]="",tblProductos[[#This Row],[Producto]]=""),"",tblProductos[[#This Row],[SKU]]&amp;" · "&amp;tblProductos[[#This Row],[Producto]])</f>
        <v/>
      </c>
      <c r="M181" s="40" t="str">
        <f>IF(tblProductos[[#This Row],[SKU]]="","",COUNTIF(tblMovimientos[SKU],tblProductos[[#This Row],[SKU]]))</f>
        <v/>
      </c>
      <c r="N1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2" spans="2:14" x14ac:dyDescent="0.25">
      <c r="B182" s="37"/>
      <c r="C182" s="37"/>
      <c r="D182" s="37"/>
      <c r="E182" s="38"/>
      <c r="F182" s="39"/>
      <c r="G182" s="39"/>
      <c r="H182" s="42"/>
      <c r="I182" s="37"/>
      <c r="J182" s="38"/>
      <c r="K182" s="38"/>
      <c r="L182" s="43" t="str">
        <f>IF(OR(tblProductos[[#This Row],[SKU]]="",tblProductos[[#This Row],[Producto]]=""),"",tblProductos[[#This Row],[SKU]]&amp;" · "&amp;tblProductos[[#This Row],[Producto]])</f>
        <v/>
      </c>
      <c r="M182" s="40" t="str">
        <f>IF(tblProductos[[#This Row],[SKU]]="","",COUNTIF(tblMovimientos[SKU],tblProductos[[#This Row],[SKU]]))</f>
        <v/>
      </c>
      <c r="N1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3" spans="2:14" x14ac:dyDescent="0.25">
      <c r="B183" s="37"/>
      <c r="C183" s="37"/>
      <c r="D183" s="37"/>
      <c r="E183" s="38"/>
      <c r="F183" s="39"/>
      <c r="G183" s="39"/>
      <c r="H183" s="42"/>
      <c r="I183" s="37"/>
      <c r="J183" s="38"/>
      <c r="K183" s="38"/>
      <c r="L183" s="43" t="str">
        <f>IF(OR(tblProductos[[#This Row],[SKU]]="",tblProductos[[#This Row],[Producto]]=""),"",tblProductos[[#This Row],[SKU]]&amp;" · "&amp;tblProductos[[#This Row],[Producto]])</f>
        <v/>
      </c>
      <c r="M183" s="40" t="str">
        <f>IF(tblProductos[[#This Row],[SKU]]="","",COUNTIF(tblMovimientos[SKU],tblProductos[[#This Row],[SKU]]))</f>
        <v/>
      </c>
      <c r="N1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4" spans="2:14" x14ac:dyDescent="0.25">
      <c r="B184" s="37"/>
      <c r="C184" s="37"/>
      <c r="D184" s="37"/>
      <c r="E184" s="38"/>
      <c r="F184" s="39"/>
      <c r="G184" s="39"/>
      <c r="H184" s="42"/>
      <c r="I184" s="37"/>
      <c r="J184" s="38"/>
      <c r="K184" s="38"/>
      <c r="L184" s="43" t="str">
        <f>IF(OR(tblProductos[[#This Row],[SKU]]="",tblProductos[[#This Row],[Producto]]=""),"",tblProductos[[#This Row],[SKU]]&amp;" · "&amp;tblProductos[[#This Row],[Producto]])</f>
        <v/>
      </c>
      <c r="M184" s="40" t="str">
        <f>IF(tblProductos[[#This Row],[SKU]]="","",COUNTIF(tblMovimientos[SKU],tblProductos[[#This Row],[SKU]]))</f>
        <v/>
      </c>
      <c r="N1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5" spans="2:14" x14ac:dyDescent="0.25">
      <c r="B185" s="37"/>
      <c r="C185" s="37"/>
      <c r="D185" s="37"/>
      <c r="E185" s="38"/>
      <c r="F185" s="39"/>
      <c r="G185" s="39"/>
      <c r="H185" s="42"/>
      <c r="I185" s="37"/>
      <c r="J185" s="38"/>
      <c r="K185" s="38"/>
      <c r="L185" s="43" t="str">
        <f>IF(OR(tblProductos[[#This Row],[SKU]]="",tblProductos[[#This Row],[Producto]]=""),"",tblProductos[[#This Row],[SKU]]&amp;" · "&amp;tblProductos[[#This Row],[Producto]])</f>
        <v/>
      </c>
      <c r="M185" s="40" t="str">
        <f>IF(tblProductos[[#This Row],[SKU]]="","",COUNTIF(tblMovimientos[SKU],tblProductos[[#This Row],[SKU]]))</f>
        <v/>
      </c>
      <c r="N1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6" spans="2:14" x14ac:dyDescent="0.25">
      <c r="B186" s="37"/>
      <c r="C186" s="37"/>
      <c r="D186" s="37"/>
      <c r="E186" s="38"/>
      <c r="F186" s="39"/>
      <c r="G186" s="39"/>
      <c r="H186" s="42"/>
      <c r="I186" s="37"/>
      <c r="J186" s="38"/>
      <c r="K186" s="38"/>
      <c r="L186" s="43" t="str">
        <f>IF(OR(tblProductos[[#This Row],[SKU]]="",tblProductos[[#This Row],[Producto]]=""),"",tblProductos[[#This Row],[SKU]]&amp;" · "&amp;tblProductos[[#This Row],[Producto]])</f>
        <v/>
      </c>
      <c r="M186" s="40" t="str">
        <f>IF(tblProductos[[#This Row],[SKU]]="","",COUNTIF(tblMovimientos[SKU],tblProductos[[#This Row],[SKU]]))</f>
        <v/>
      </c>
      <c r="N1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7" spans="2:14" x14ac:dyDescent="0.25">
      <c r="B187" s="37"/>
      <c r="C187" s="37"/>
      <c r="D187" s="37"/>
      <c r="E187" s="38"/>
      <c r="F187" s="39"/>
      <c r="G187" s="39"/>
      <c r="H187" s="42"/>
      <c r="I187" s="37"/>
      <c r="J187" s="38"/>
      <c r="K187" s="38"/>
      <c r="L187" s="43" t="str">
        <f>IF(OR(tblProductos[[#This Row],[SKU]]="",tblProductos[[#This Row],[Producto]]=""),"",tblProductos[[#This Row],[SKU]]&amp;" · "&amp;tblProductos[[#This Row],[Producto]])</f>
        <v/>
      </c>
      <c r="M187" s="40" t="str">
        <f>IF(tblProductos[[#This Row],[SKU]]="","",COUNTIF(tblMovimientos[SKU],tblProductos[[#This Row],[SKU]]))</f>
        <v/>
      </c>
      <c r="N1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8" spans="2:14" x14ac:dyDescent="0.25">
      <c r="B188" s="37"/>
      <c r="C188" s="37"/>
      <c r="D188" s="37"/>
      <c r="E188" s="38"/>
      <c r="F188" s="39"/>
      <c r="G188" s="39"/>
      <c r="H188" s="42"/>
      <c r="I188" s="37"/>
      <c r="J188" s="38"/>
      <c r="K188" s="38"/>
      <c r="L188" s="43" t="str">
        <f>IF(OR(tblProductos[[#This Row],[SKU]]="",tblProductos[[#This Row],[Producto]]=""),"",tblProductos[[#This Row],[SKU]]&amp;" · "&amp;tblProductos[[#This Row],[Producto]])</f>
        <v/>
      </c>
      <c r="M188" s="40" t="str">
        <f>IF(tblProductos[[#This Row],[SKU]]="","",COUNTIF(tblMovimientos[SKU],tblProductos[[#This Row],[SKU]]))</f>
        <v/>
      </c>
      <c r="N1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89" spans="2:14" x14ac:dyDescent="0.25">
      <c r="B189" s="37"/>
      <c r="C189" s="37"/>
      <c r="D189" s="37"/>
      <c r="E189" s="38"/>
      <c r="F189" s="39"/>
      <c r="G189" s="39"/>
      <c r="H189" s="42"/>
      <c r="I189" s="37"/>
      <c r="J189" s="38"/>
      <c r="K189" s="38"/>
      <c r="L189" s="43" t="str">
        <f>IF(OR(tblProductos[[#This Row],[SKU]]="",tblProductos[[#This Row],[Producto]]=""),"",tblProductos[[#This Row],[SKU]]&amp;" · "&amp;tblProductos[[#This Row],[Producto]])</f>
        <v/>
      </c>
      <c r="M189" s="40" t="str">
        <f>IF(tblProductos[[#This Row],[SKU]]="","",COUNTIF(tblMovimientos[SKU],tblProductos[[#This Row],[SKU]]))</f>
        <v/>
      </c>
      <c r="N1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0" spans="2:14" x14ac:dyDescent="0.25">
      <c r="B190" s="37"/>
      <c r="C190" s="37"/>
      <c r="D190" s="37"/>
      <c r="E190" s="38"/>
      <c r="F190" s="39"/>
      <c r="G190" s="39"/>
      <c r="H190" s="42"/>
      <c r="I190" s="37"/>
      <c r="J190" s="38"/>
      <c r="K190" s="38"/>
      <c r="L190" s="43" t="str">
        <f>IF(OR(tblProductos[[#This Row],[SKU]]="",tblProductos[[#This Row],[Producto]]=""),"",tblProductos[[#This Row],[SKU]]&amp;" · "&amp;tblProductos[[#This Row],[Producto]])</f>
        <v/>
      </c>
      <c r="M190" s="40" t="str">
        <f>IF(tblProductos[[#This Row],[SKU]]="","",COUNTIF(tblMovimientos[SKU],tblProductos[[#This Row],[SKU]]))</f>
        <v/>
      </c>
      <c r="N1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1" spans="2:14" x14ac:dyDescent="0.25">
      <c r="B191" s="37"/>
      <c r="C191" s="37"/>
      <c r="D191" s="37"/>
      <c r="E191" s="38"/>
      <c r="F191" s="39"/>
      <c r="G191" s="39"/>
      <c r="H191" s="42"/>
      <c r="I191" s="37"/>
      <c r="J191" s="38"/>
      <c r="K191" s="38"/>
      <c r="L191" s="43" t="str">
        <f>IF(OR(tblProductos[[#This Row],[SKU]]="",tblProductos[[#This Row],[Producto]]=""),"",tblProductos[[#This Row],[SKU]]&amp;" · "&amp;tblProductos[[#This Row],[Producto]])</f>
        <v/>
      </c>
      <c r="M191" s="40" t="str">
        <f>IF(tblProductos[[#This Row],[SKU]]="","",COUNTIF(tblMovimientos[SKU],tblProductos[[#This Row],[SKU]]))</f>
        <v/>
      </c>
      <c r="N1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2" spans="2:14" x14ac:dyDescent="0.25">
      <c r="B192" s="37"/>
      <c r="C192" s="37"/>
      <c r="D192" s="37"/>
      <c r="E192" s="38"/>
      <c r="F192" s="39"/>
      <c r="G192" s="39"/>
      <c r="H192" s="42"/>
      <c r="I192" s="37"/>
      <c r="J192" s="38"/>
      <c r="K192" s="38"/>
      <c r="L192" s="43" t="str">
        <f>IF(OR(tblProductos[[#This Row],[SKU]]="",tblProductos[[#This Row],[Producto]]=""),"",tblProductos[[#This Row],[SKU]]&amp;" · "&amp;tblProductos[[#This Row],[Producto]])</f>
        <v/>
      </c>
      <c r="M192" s="40" t="str">
        <f>IF(tblProductos[[#This Row],[SKU]]="","",COUNTIF(tblMovimientos[SKU],tblProductos[[#This Row],[SKU]]))</f>
        <v/>
      </c>
      <c r="N1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3" spans="2:14" x14ac:dyDescent="0.25">
      <c r="B193" s="37"/>
      <c r="C193" s="37"/>
      <c r="D193" s="37"/>
      <c r="E193" s="38"/>
      <c r="F193" s="39"/>
      <c r="G193" s="39"/>
      <c r="H193" s="42"/>
      <c r="I193" s="37"/>
      <c r="J193" s="38"/>
      <c r="K193" s="38"/>
      <c r="L193" s="43" t="str">
        <f>IF(OR(tblProductos[[#This Row],[SKU]]="",tblProductos[[#This Row],[Producto]]=""),"",tblProductos[[#This Row],[SKU]]&amp;" · "&amp;tblProductos[[#This Row],[Producto]])</f>
        <v/>
      </c>
      <c r="M193" s="40" t="str">
        <f>IF(tblProductos[[#This Row],[SKU]]="","",COUNTIF(tblMovimientos[SKU],tblProductos[[#This Row],[SKU]]))</f>
        <v/>
      </c>
      <c r="N1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4" spans="2:14" x14ac:dyDescent="0.25">
      <c r="B194" s="37"/>
      <c r="C194" s="37"/>
      <c r="D194" s="37"/>
      <c r="E194" s="38"/>
      <c r="F194" s="39"/>
      <c r="G194" s="39"/>
      <c r="H194" s="42"/>
      <c r="I194" s="37"/>
      <c r="J194" s="38"/>
      <c r="K194" s="38"/>
      <c r="L194" s="43" t="str">
        <f>IF(OR(tblProductos[[#This Row],[SKU]]="",tblProductos[[#This Row],[Producto]]=""),"",tblProductos[[#This Row],[SKU]]&amp;" · "&amp;tblProductos[[#This Row],[Producto]])</f>
        <v/>
      </c>
      <c r="M194" s="40" t="str">
        <f>IF(tblProductos[[#This Row],[SKU]]="","",COUNTIF(tblMovimientos[SKU],tblProductos[[#This Row],[SKU]]))</f>
        <v/>
      </c>
      <c r="N1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5" spans="2:14" x14ac:dyDescent="0.25">
      <c r="B195" s="37"/>
      <c r="C195" s="37"/>
      <c r="D195" s="37"/>
      <c r="E195" s="38"/>
      <c r="F195" s="39"/>
      <c r="G195" s="39"/>
      <c r="H195" s="42"/>
      <c r="I195" s="37"/>
      <c r="J195" s="38"/>
      <c r="K195" s="38"/>
      <c r="L195" s="43" t="str">
        <f>IF(OR(tblProductos[[#This Row],[SKU]]="",tblProductos[[#This Row],[Producto]]=""),"",tblProductos[[#This Row],[SKU]]&amp;" · "&amp;tblProductos[[#This Row],[Producto]])</f>
        <v/>
      </c>
      <c r="M195" s="40" t="str">
        <f>IF(tblProductos[[#This Row],[SKU]]="","",COUNTIF(tblMovimientos[SKU],tblProductos[[#This Row],[SKU]]))</f>
        <v/>
      </c>
      <c r="N1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6" spans="2:14" x14ac:dyDescent="0.25">
      <c r="B196" s="37"/>
      <c r="C196" s="37"/>
      <c r="D196" s="37"/>
      <c r="E196" s="38"/>
      <c r="F196" s="39"/>
      <c r="G196" s="39"/>
      <c r="H196" s="42"/>
      <c r="I196" s="37"/>
      <c r="J196" s="38"/>
      <c r="K196" s="38"/>
      <c r="L196" s="43" t="str">
        <f>IF(OR(tblProductos[[#This Row],[SKU]]="",tblProductos[[#This Row],[Producto]]=""),"",tblProductos[[#This Row],[SKU]]&amp;" · "&amp;tblProductos[[#This Row],[Producto]])</f>
        <v/>
      </c>
      <c r="M196" s="40" t="str">
        <f>IF(tblProductos[[#This Row],[SKU]]="","",COUNTIF(tblMovimientos[SKU],tblProductos[[#This Row],[SKU]]))</f>
        <v/>
      </c>
      <c r="N1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7" spans="2:14" x14ac:dyDescent="0.25">
      <c r="B197" s="37"/>
      <c r="C197" s="37"/>
      <c r="D197" s="37"/>
      <c r="E197" s="38"/>
      <c r="F197" s="39"/>
      <c r="G197" s="39"/>
      <c r="H197" s="42"/>
      <c r="I197" s="37"/>
      <c r="J197" s="38"/>
      <c r="K197" s="38"/>
      <c r="L197" s="43" t="str">
        <f>IF(OR(tblProductos[[#This Row],[SKU]]="",tblProductos[[#This Row],[Producto]]=""),"",tblProductos[[#This Row],[SKU]]&amp;" · "&amp;tblProductos[[#This Row],[Producto]])</f>
        <v/>
      </c>
      <c r="M197" s="40" t="str">
        <f>IF(tblProductos[[#This Row],[SKU]]="","",COUNTIF(tblMovimientos[SKU],tblProductos[[#This Row],[SKU]]))</f>
        <v/>
      </c>
      <c r="N1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8" spans="2:14" x14ac:dyDescent="0.25">
      <c r="B198" s="37"/>
      <c r="C198" s="37"/>
      <c r="D198" s="37"/>
      <c r="E198" s="38"/>
      <c r="F198" s="39"/>
      <c r="G198" s="39"/>
      <c r="H198" s="42"/>
      <c r="I198" s="37"/>
      <c r="J198" s="38"/>
      <c r="K198" s="38"/>
      <c r="L198" s="43" t="str">
        <f>IF(OR(tblProductos[[#This Row],[SKU]]="",tblProductos[[#This Row],[Producto]]=""),"",tblProductos[[#This Row],[SKU]]&amp;" · "&amp;tblProductos[[#This Row],[Producto]])</f>
        <v/>
      </c>
      <c r="M198" s="40" t="str">
        <f>IF(tblProductos[[#This Row],[SKU]]="","",COUNTIF(tblMovimientos[SKU],tblProductos[[#This Row],[SKU]]))</f>
        <v/>
      </c>
      <c r="N1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199" spans="2:14" x14ac:dyDescent="0.25">
      <c r="B199" s="37"/>
      <c r="C199" s="37"/>
      <c r="D199" s="37"/>
      <c r="E199" s="38"/>
      <c r="F199" s="39"/>
      <c r="G199" s="39"/>
      <c r="H199" s="42"/>
      <c r="I199" s="37"/>
      <c r="J199" s="38"/>
      <c r="K199" s="38"/>
      <c r="L199" s="43" t="str">
        <f>IF(OR(tblProductos[[#This Row],[SKU]]="",tblProductos[[#This Row],[Producto]]=""),"",tblProductos[[#This Row],[SKU]]&amp;" · "&amp;tblProductos[[#This Row],[Producto]])</f>
        <v/>
      </c>
      <c r="M199" s="40" t="str">
        <f>IF(tblProductos[[#This Row],[SKU]]="","",COUNTIF(tblMovimientos[SKU],tblProductos[[#This Row],[SKU]]))</f>
        <v/>
      </c>
      <c r="N1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0" spans="2:14" x14ac:dyDescent="0.25">
      <c r="B200" s="37"/>
      <c r="C200" s="37"/>
      <c r="D200" s="37"/>
      <c r="E200" s="38"/>
      <c r="F200" s="39"/>
      <c r="G200" s="39"/>
      <c r="H200" s="42"/>
      <c r="I200" s="37"/>
      <c r="J200" s="38"/>
      <c r="K200" s="38"/>
      <c r="L200" s="43" t="str">
        <f>IF(OR(tblProductos[[#This Row],[SKU]]="",tblProductos[[#This Row],[Producto]]=""),"",tblProductos[[#This Row],[SKU]]&amp;" · "&amp;tblProductos[[#This Row],[Producto]])</f>
        <v/>
      </c>
      <c r="M200" s="40" t="str">
        <f>IF(tblProductos[[#This Row],[SKU]]="","",COUNTIF(tblMovimientos[SKU],tblProductos[[#This Row],[SKU]]))</f>
        <v/>
      </c>
      <c r="N2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1" spans="2:14" x14ac:dyDescent="0.25">
      <c r="B201" s="37"/>
      <c r="C201" s="37"/>
      <c r="D201" s="37"/>
      <c r="E201" s="38"/>
      <c r="F201" s="39"/>
      <c r="G201" s="39"/>
      <c r="H201" s="42"/>
      <c r="I201" s="37"/>
      <c r="J201" s="38"/>
      <c r="K201" s="38"/>
      <c r="L201" s="43" t="str">
        <f>IF(OR(tblProductos[[#This Row],[SKU]]="",tblProductos[[#This Row],[Producto]]=""),"",tblProductos[[#This Row],[SKU]]&amp;" · "&amp;tblProductos[[#This Row],[Producto]])</f>
        <v/>
      </c>
      <c r="M201" s="40" t="str">
        <f>IF(tblProductos[[#This Row],[SKU]]="","",COUNTIF(tblMovimientos[SKU],tblProductos[[#This Row],[SKU]]))</f>
        <v/>
      </c>
      <c r="N2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2" spans="2:14" x14ac:dyDescent="0.25">
      <c r="B202" s="37"/>
      <c r="C202" s="37"/>
      <c r="D202" s="37"/>
      <c r="E202" s="38"/>
      <c r="F202" s="39"/>
      <c r="G202" s="39"/>
      <c r="H202" s="42"/>
      <c r="I202" s="37"/>
      <c r="J202" s="38"/>
      <c r="K202" s="38"/>
      <c r="L202" s="43" t="str">
        <f>IF(OR(tblProductos[[#This Row],[SKU]]="",tblProductos[[#This Row],[Producto]]=""),"",tblProductos[[#This Row],[SKU]]&amp;" · "&amp;tblProductos[[#This Row],[Producto]])</f>
        <v/>
      </c>
      <c r="M202" s="40" t="str">
        <f>IF(tblProductos[[#This Row],[SKU]]="","",COUNTIF(tblMovimientos[SKU],tblProductos[[#This Row],[SKU]]))</f>
        <v/>
      </c>
      <c r="N2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3" spans="2:14" x14ac:dyDescent="0.25">
      <c r="B203" s="37"/>
      <c r="C203" s="37"/>
      <c r="D203" s="37"/>
      <c r="E203" s="38"/>
      <c r="F203" s="39"/>
      <c r="G203" s="39"/>
      <c r="H203" s="42"/>
      <c r="I203" s="37"/>
      <c r="J203" s="38"/>
      <c r="K203" s="38"/>
      <c r="L203" s="43" t="str">
        <f>IF(OR(tblProductos[[#This Row],[SKU]]="",tblProductos[[#This Row],[Producto]]=""),"",tblProductos[[#This Row],[SKU]]&amp;" · "&amp;tblProductos[[#This Row],[Producto]])</f>
        <v/>
      </c>
      <c r="M203" s="40" t="str">
        <f>IF(tblProductos[[#This Row],[SKU]]="","",COUNTIF(tblMovimientos[SKU],tblProductos[[#This Row],[SKU]]))</f>
        <v/>
      </c>
      <c r="N2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4" spans="2:14" x14ac:dyDescent="0.25">
      <c r="B204" s="37"/>
      <c r="C204" s="37"/>
      <c r="D204" s="37"/>
      <c r="E204" s="38"/>
      <c r="F204" s="39"/>
      <c r="G204" s="39"/>
      <c r="H204" s="42"/>
      <c r="I204" s="37"/>
      <c r="J204" s="38"/>
      <c r="K204" s="38"/>
      <c r="L204" s="43" t="str">
        <f>IF(OR(tblProductos[[#This Row],[SKU]]="",tblProductos[[#This Row],[Producto]]=""),"",tblProductos[[#This Row],[SKU]]&amp;" · "&amp;tblProductos[[#This Row],[Producto]])</f>
        <v/>
      </c>
      <c r="M204" s="40" t="str">
        <f>IF(tblProductos[[#This Row],[SKU]]="","",COUNTIF(tblMovimientos[SKU],tblProductos[[#This Row],[SKU]]))</f>
        <v/>
      </c>
      <c r="N2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5" spans="2:14" x14ac:dyDescent="0.25">
      <c r="B205" s="37"/>
      <c r="C205" s="37"/>
      <c r="D205" s="37"/>
      <c r="E205" s="38"/>
      <c r="F205" s="39"/>
      <c r="G205" s="39"/>
      <c r="H205" s="42"/>
      <c r="I205" s="37"/>
      <c r="J205" s="38"/>
      <c r="K205" s="38"/>
      <c r="L205" s="43" t="str">
        <f>IF(OR(tblProductos[[#This Row],[SKU]]="",tblProductos[[#This Row],[Producto]]=""),"",tblProductos[[#This Row],[SKU]]&amp;" · "&amp;tblProductos[[#This Row],[Producto]])</f>
        <v/>
      </c>
      <c r="M205" s="40" t="str">
        <f>IF(tblProductos[[#This Row],[SKU]]="","",COUNTIF(tblMovimientos[SKU],tblProductos[[#This Row],[SKU]]))</f>
        <v/>
      </c>
      <c r="N2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6" spans="2:14" x14ac:dyDescent="0.25">
      <c r="B206" s="37"/>
      <c r="C206" s="37"/>
      <c r="D206" s="37"/>
      <c r="E206" s="38"/>
      <c r="F206" s="39"/>
      <c r="G206" s="39"/>
      <c r="H206" s="42"/>
      <c r="I206" s="37"/>
      <c r="J206" s="38"/>
      <c r="K206" s="38"/>
      <c r="L206" s="43" t="str">
        <f>IF(OR(tblProductos[[#This Row],[SKU]]="",tblProductos[[#This Row],[Producto]]=""),"",tblProductos[[#This Row],[SKU]]&amp;" · "&amp;tblProductos[[#This Row],[Producto]])</f>
        <v/>
      </c>
      <c r="M206" s="40" t="str">
        <f>IF(tblProductos[[#This Row],[SKU]]="","",COUNTIF(tblMovimientos[SKU],tblProductos[[#This Row],[SKU]]))</f>
        <v/>
      </c>
      <c r="N2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7" spans="2:14" x14ac:dyDescent="0.25">
      <c r="B207" s="37"/>
      <c r="C207" s="37"/>
      <c r="D207" s="37"/>
      <c r="E207" s="38"/>
      <c r="F207" s="39"/>
      <c r="G207" s="39"/>
      <c r="H207" s="42"/>
      <c r="I207" s="37"/>
      <c r="J207" s="38"/>
      <c r="K207" s="38"/>
      <c r="L207" s="43" t="str">
        <f>IF(OR(tblProductos[[#This Row],[SKU]]="",tblProductos[[#This Row],[Producto]]=""),"",tblProductos[[#This Row],[SKU]]&amp;" · "&amp;tblProductos[[#This Row],[Producto]])</f>
        <v/>
      </c>
      <c r="M207" s="40" t="str">
        <f>IF(tblProductos[[#This Row],[SKU]]="","",COUNTIF(tblMovimientos[SKU],tblProductos[[#This Row],[SKU]]))</f>
        <v/>
      </c>
      <c r="N2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8" spans="2:14" x14ac:dyDescent="0.25">
      <c r="B208" s="37"/>
      <c r="C208" s="37"/>
      <c r="D208" s="37"/>
      <c r="E208" s="38"/>
      <c r="F208" s="39"/>
      <c r="G208" s="39"/>
      <c r="H208" s="42"/>
      <c r="I208" s="37"/>
      <c r="J208" s="38"/>
      <c r="K208" s="38"/>
      <c r="L208" s="43" t="str">
        <f>IF(OR(tblProductos[[#This Row],[SKU]]="",tblProductos[[#This Row],[Producto]]=""),"",tblProductos[[#This Row],[SKU]]&amp;" · "&amp;tblProductos[[#This Row],[Producto]])</f>
        <v/>
      </c>
      <c r="M208" s="40" t="str">
        <f>IF(tblProductos[[#This Row],[SKU]]="","",COUNTIF(tblMovimientos[SKU],tblProductos[[#This Row],[SKU]]))</f>
        <v/>
      </c>
      <c r="N2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09" spans="2:14" x14ac:dyDescent="0.25">
      <c r="B209" s="37"/>
      <c r="C209" s="37"/>
      <c r="D209" s="37"/>
      <c r="E209" s="38"/>
      <c r="F209" s="39"/>
      <c r="G209" s="39"/>
      <c r="H209" s="42"/>
      <c r="I209" s="37"/>
      <c r="J209" s="38"/>
      <c r="K209" s="38"/>
      <c r="L209" s="43" t="str">
        <f>IF(OR(tblProductos[[#This Row],[SKU]]="",tblProductos[[#This Row],[Producto]]=""),"",tblProductos[[#This Row],[SKU]]&amp;" · "&amp;tblProductos[[#This Row],[Producto]])</f>
        <v/>
      </c>
      <c r="M209" s="40" t="str">
        <f>IF(tblProductos[[#This Row],[SKU]]="","",COUNTIF(tblMovimientos[SKU],tblProductos[[#This Row],[SKU]]))</f>
        <v/>
      </c>
      <c r="N2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0" spans="2:14" x14ac:dyDescent="0.25">
      <c r="B210" s="37"/>
      <c r="C210" s="37"/>
      <c r="D210" s="37"/>
      <c r="E210" s="38"/>
      <c r="F210" s="39"/>
      <c r="G210" s="39"/>
      <c r="H210" s="42"/>
      <c r="I210" s="37"/>
      <c r="J210" s="38"/>
      <c r="K210" s="38"/>
      <c r="L210" s="43" t="str">
        <f>IF(OR(tblProductos[[#This Row],[SKU]]="",tblProductos[[#This Row],[Producto]]=""),"",tblProductos[[#This Row],[SKU]]&amp;" · "&amp;tblProductos[[#This Row],[Producto]])</f>
        <v/>
      </c>
      <c r="M210" s="40" t="str">
        <f>IF(tblProductos[[#This Row],[SKU]]="","",COUNTIF(tblMovimientos[SKU],tblProductos[[#This Row],[SKU]]))</f>
        <v/>
      </c>
      <c r="N2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1" spans="2:14" x14ac:dyDescent="0.25">
      <c r="B211" s="37"/>
      <c r="C211" s="37"/>
      <c r="D211" s="37"/>
      <c r="E211" s="38"/>
      <c r="F211" s="39"/>
      <c r="G211" s="39"/>
      <c r="H211" s="42"/>
      <c r="I211" s="37"/>
      <c r="J211" s="38"/>
      <c r="K211" s="38"/>
      <c r="L211" s="43" t="str">
        <f>IF(OR(tblProductos[[#This Row],[SKU]]="",tblProductos[[#This Row],[Producto]]=""),"",tblProductos[[#This Row],[SKU]]&amp;" · "&amp;tblProductos[[#This Row],[Producto]])</f>
        <v/>
      </c>
      <c r="M211" s="40" t="str">
        <f>IF(tblProductos[[#This Row],[SKU]]="","",COUNTIF(tblMovimientos[SKU],tblProductos[[#This Row],[SKU]]))</f>
        <v/>
      </c>
      <c r="N2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2" spans="2:14" x14ac:dyDescent="0.25">
      <c r="B212" s="37"/>
      <c r="C212" s="37"/>
      <c r="D212" s="37"/>
      <c r="E212" s="38"/>
      <c r="F212" s="39"/>
      <c r="G212" s="39"/>
      <c r="H212" s="42"/>
      <c r="I212" s="37"/>
      <c r="J212" s="38"/>
      <c r="K212" s="38"/>
      <c r="L212" s="43" t="str">
        <f>IF(OR(tblProductos[[#This Row],[SKU]]="",tblProductos[[#This Row],[Producto]]=""),"",tblProductos[[#This Row],[SKU]]&amp;" · "&amp;tblProductos[[#This Row],[Producto]])</f>
        <v/>
      </c>
      <c r="M212" s="40" t="str">
        <f>IF(tblProductos[[#This Row],[SKU]]="","",COUNTIF(tblMovimientos[SKU],tblProductos[[#This Row],[SKU]]))</f>
        <v/>
      </c>
      <c r="N2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3" spans="2:14" x14ac:dyDescent="0.25">
      <c r="B213" s="37"/>
      <c r="C213" s="37"/>
      <c r="D213" s="37"/>
      <c r="E213" s="38"/>
      <c r="F213" s="39"/>
      <c r="G213" s="39"/>
      <c r="H213" s="42"/>
      <c r="I213" s="37"/>
      <c r="J213" s="38"/>
      <c r="K213" s="38"/>
      <c r="L213" s="43" t="str">
        <f>IF(OR(tblProductos[[#This Row],[SKU]]="",tblProductos[[#This Row],[Producto]]=""),"",tblProductos[[#This Row],[SKU]]&amp;" · "&amp;tblProductos[[#This Row],[Producto]])</f>
        <v/>
      </c>
      <c r="M213" s="40" t="str">
        <f>IF(tblProductos[[#This Row],[SKU]]="","",COUNTIF(tblMovimientos[SKU],tblProductos[[#This Row],[SKU]]))</f>
        <v/>
      </c>
      <c r="N2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4" spans="2:14" x14ac:dyDescent="0.25">
      <c r="B214" s="37"/>
      <c r="C214" s="37"/>
      <c r="D214" s="37"/>
      <c r="E214" s="38"/>
      <c r="F214" s="39"/>
      <c r="G214" s="39"/>
      <c r="H214" s="42"/>
      <c r="I214" s="37"/>
      <c r="J214" s="38"/>
      <c r="K214" s="38"/>
      <c r="L214" s="43" t="str">
        <f>IF(OR(tblProductos[[#This Row],[SKU]]="",tblProductos[[#This Row],[Producto]]=""),"",tblProductos[[#This Row],[SKU]]&amp;" · "&amp;tblProductos[[#This Row],[Producto]])</f>
        <v/>
      </c>
      <c r="M214" s="40" t="str">
        <f>IF(tblProductos[[#This Row],[SKU]]="","",COUNTIF(tblMovimientos[SKU],tblProductos[[#This Row],[SKU]]))</f>
        <v/>
      </c>
      <c r="N2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5" spans="2:14" x14ac:dyDescent="0.25">
      <c r="B215" s="37"/>
      <c r="C215" s="37"/>
      <c r="D215" s="37"/>
      <c r="E215" s="38"/>
      <c r="F215" s="39"/>
      <c r="G215" s="39"/>
      <c r="H215" s="42"/>
      <c r="I215" s="37"/>
      <c r="J215" s="38"/>
      <c r="K215" s="38"/>
      <c r="L215" s="43" t="str">
        <f>IF(OR(tblProductos[[#This Row],[SKU]]="",tblProductos[[#This Row],[Producto]]=""),"",tblProductos[[#This Row],[SKU]]&amp;" · "&amp;tblProductos[[#This Row],[Producto]])</f>
        <v/>
      </c>
      <c r="M215" s="40" t="str">
        <f>IF(tblProductos[[#This Row],[SKU]]="","",COUNTIF(tblMovimientos[SKU],tblProductos[[#This Row],[SKU]]))</f>
        <v/>
      </c>
      <c r="N2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6" spans="2:14" x14ac:dyDescent="0.25">
      <c r="B216" s="37"/>
      <c r="C216" s="37"/>
      <c r="D216" s="37"/>
      <c r="E216" s="38"/>
      <c r="F216" s="39"/>
      <c r="G216" s="39"/>
      <c r="H216" s="42"/>
      <c r="I216" s="37"/>
      <c r="J216" s="38"/>
      <c r="K216" s="38"/>
      <c r="L216" s="43" t="str">
        <f>IF(OR(tblProductos[[#This Row],[SKU]]="",tblProductos[[#This Row],[Producto]]=""),"",tblProductos[[#This Row],[SKU]]&amp;" · "&amp;tblProductos[[#This Row],[Producto]])</f>
        <v/>
      </c>
      <c r="M216" s="40" t="str">
        <f>IF(tblProductos[[#This Row],[SKU]]="","",COUNTIF(tblMovimientos[SKU],tblProductos[[#This Row],[SKU]]))</f>
        <v/>
      </c>
      <c r="N2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7" spans="2:14" x14ac:dyDescent="0.25">
      <c r="B217" s="37"/>
      <c r="C217" s="37"/>
      <c r="D217" s="37"/>
      <c r="E217" s="38"/>
      <c r="F217" s="39"/>
      <c r="G217" s="39"/>
      <c r="H217" s="42"/>
      <c r="I217" s="37"/>
      <c r="J217" s="38"/>
      <c r="K217" s="38"/>
      <c r="L217" s="43" t="str">
        <f>IF(OR(tblProductos[[#This Row],[SKU]]="",tblProductos[[#This Row],[Producto]]=""),"",tblProductos[[#This Row],[SKU]]&amp;" · "&amp;tblProductos[[#This Row],[Producto]])</f>
        <v/>
      </c>
      <c r="M217" s="40" t="str">
        <f>IF(tblProductos[[#This Row],[SKU]]="","",COUNTIF(tblMovimientos[SKU],tblProductos[[#This Row],[SKU]]))</f>
        <v/>
      </c>
      <c r="N2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8" spans="2:14" x14ac:dyDescent="0.25">
      <c r="B218" s="37"/>
      <c r="C218" s="37"/>
      <c r="D218" s="37"/>
      <c r="E218" s="38"/>
      <c r="F218" s="39"/>
      <c r="G218" s="39"/>
      <c r="H218" s="42"/>
      <c r="I218" s="37"/>
      <c r="J218" s="38"/>
      <c r="K218" s="38"/>
      <c r="L218" s="43" t="str">
        <f>IF(OR(tblProductos[[#This Row],[SKU]]="",tblProductos[[#This Row],[Producto]]=""),"",tblProductos[[#This Row],[SKU]]&amp;" · "&amp;tblProductos[[#This Row],[Producto]])</f>
        <v/>
      </c>
      <c r="M218" s="40" t="str">
        <f>IF(tblProductos[[#This Row],[SKU]]="","",COUNTIF(tblMovimientos[SKU],tblProductos[[#This Row],[SKU]]))</f>
        <v/>
      </c>
      <c r="N2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19" spans="2:14" x14ac:dyDescent="0.25">
      <c r="B219" s="37"/>
      <c r="C219" s="37"/>
      <c r="D219" s="37"/>
      <c r="E219" s="38"/>
      <c r="F219" s="39"/>
      <c r="G219" s="39"/>
      <c r="H219" s="42"/>
      <c r="I219" s="37"/>
      <c r="J219" s="38"/>
      <c r="K219" s="38"/>
      <c r="L219" s="43" t="str">
        <f>IF(OR(tblProductos[[#This Row],[SKU]]="",tblProductos[[#This Row],[Producto]]=""),"",tblProductos[[#This Row],[SKU]]&amp;" · "&amp;tblProductos[[#This Row],[Producto]])</f>
        <v/>
      </c>
      <c r="M219" s="40" t="str">
        <f>IF(tblProductos[[#This Row],[SKU]]="","",COUNTIF(tblMovimientos[SKU],tblProductos[[#This Row],[SKU]]))</f>
        <v/>
      </c>
      <c r="N2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0" spans="2:14" x14ac:dyDescent="0.25">
      <c r="B220" s="37"/>
      <c r="C220" s="37"/>
      <c r="D220" s="37"/>
      <c r="E220" s="38"/>
      <c r="F220" s="39"/>
      <c r="G220" s="39"/>
      <c r="H220" s="42"/>
      <c r="I220" s="37"/>
      <c r="J220" s="38"/>
      <c r="K220" s="38"/>
      <c r="L220" s="43" t="str">
        <f>IF(OR(tblProductos[[#This Row],[SKU]]="",tblProductos[[#This Row],[Producto]]=""),"",tblProductos[[#This Row],[SKU]]&amp;" · "&amp;tblProductos[[#This Row],[Producto]])</f>
        <v/>
      </c>
      <c r="M220" s="40" t="str">
        <f>IF(tblProductos[[#This Row],[SKU]]="","",COUNTIF(tblMovimientos[SKU],tblProductos[[#This Row],[SKU]]))</f>
        <v/>
      </c>
      <c r="N2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1" spans="2:14" x14ac:dyDescent="0.25">
      <c r="B221" s="37"/>
      <c r="C221" s="37"/>
      <c r="D221" s="37"/>
      <c r="E221" s="38"/>
      <c r="F221" s="39"/>
      <c r="G221" s="39"/>
      <c r="H221" s="42"/>
      <c r="I221" s="37"/>
      <c r="J221" s="38"/>
      <c r="K221" s="38"/>
      <c r="L221" s="43" t="str">
        <f>IF(OR(tblProductos[[#This Row],[SKU]]="",tblProductos[[#This Row],[Producto]]=""),"",tblProductos[[#This Row],[SKU]]&amp;" · "&amp;tblProductos[[#This Row],[Producto]])</f>
        <v/>
      </c>
      <c r="M221" s="40" t="str">
        <f>IF(tblProductos[[#This Row],[SKU]]="","",COUNTIF(tblMovimientos[SKU],tblProductos[[#This Row],[SKU]]))</f>
        <v/>
      </c>
      <c r="N2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2" spans="2:14" x14ac:dyDescent="0.25">
      <c r="B222" s="37"/>
      <c r="C222" s="37"/>
      <c r="D222" s="37"/>
      <c r="E222" s="38"/>
      <c r="F222" s="39"/>
      <c r="G222" s="39"/>
      <c r="H222" s="42"/>
      <c r="I222" s="37"/>
      <c r="J222" s="38"/>
      <c r="K222" s="38"/>
      <c r="L222" s="43" t="str">
        <f>IF(OR(tblProductos[[#This Row],[SKU]]="",tblProductos[[#This Row],[Producto]]=""),"",tblProductos[[#This Row],[SKU]]&amp;" · "&amp;tblProductos[[#This Row],[Producto]])</f>
        <v/>
      </c>
      <c r="M222" s="40" t="str">
        <f>IF(tblProductos[[#This Row],[SKU]]="","",COUNTIF(tblMovimientos[SKU],tblProductos[[#This Row],[SKU]]))</f>
        <v/>
      </c>
      <c r="N2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3" spans="2:14" x14ac:dyDescent="0.25">
      <c r="B223" s="37"/>
      <c r="C223" s="37"/>
      <c r="D223" s="37"/>
      <c r="E223" s="38"/>
      <c r="F223" s="39"/>
      <c r="G223" s="39"/>
      <c r="H223" s="42"/>
      <c r="I223" s="37"/>
      <c r="J223" s="38"/>
      <c r="K223" s="38"/>
      <c r="L223" s="43" t="str">
        <f>IF(OR(tblProductos[[#This Row],[SKU]]="",tblProductos[[#This Row],[Producto]]=""),"",tblProductos[[#This Row],[SKU]]&amp;" · "&amp;tblProductos[[#This Row],[Producto]])</f>
        <v/>
      </c>
      <c r="M223" s="40" t="str">
        <f>IF(tblProductos[[#This Row],[SKU]]="","",COUNTIF(tblMovimientos[SKU],tblProductos[[#This Row],[SKU]]))</f>
        <v/>
      </c>
      <c r="N2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4" spans="2:14" x14ac:dyDescent="0.25">
      <c r="B224" s="37"/>
      <c r="C224" s="37"/>
      <c r="D224" s="37"/>
      <c r="E224" s="38"/>
      <c r="F224" s="39"/>
      <c r="G224" s="39"/>
      <c r="H224" s="42"/>
      <c r="I224" s="37"/>
      <c r="J224" s="38"/>
      <c r="K224" s="38"/>
      <c r="L224" s="43" t="str">
        <f>IF(OR(tblProductos[[#This Row],[SKU]]="",tblProductos[[#This Row],[Producto]]=""),"",tblProductos[[#This Row],[SKU]]&amp;" · "&amp;tblProductos[[#This Row],[Producto]])</f>
        <v/>
      </c>
      <c r="M224" s="40" t="str">
        <f>IF(tblProductos[[#This Row],[SKU]]="","",COUNTIF(tblMovimientos[SKU],tblProductos[[#This Row],[SKU]]))</f>
        <v/>
      </c>
      <c r="N2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5" spans="2:14" x14ac:dyDescent="0.25">
      <c r="B225" s="37"/>
      <c r="C225" s="37"/>
      <c r="D225" s="37"/>
      <c r="E225" s="38"/>
      <c r="F225" s="39"/>
      <c r="G225" s="39"/>
      <c r="H225" s="42"/>
      <c r="I225" s="37"/>
      <c r="J225" s="38"/>
      <c r="K225" s="38"/>
      <c r="L225" s="43" t="str">
        <f>IF(OR(tblProductos[[#This Row],[SKU]]="",tblProductos[[#This Row],[Producto]]=""),"",tblProductos[[#This Row],[SKU]]&amp;" · "&amp;tblProductos[[#This Row],[Producto]])</f>
        <v/>
      </c>
      <c r="M225" s="40" t="str">
        <f>IF(tblProductos[[#This Row],[SKU]]="","",COUNTIF(tblMovimientos[SKU],tblProductos[[#This Row],[SKU]]))</f>
        <v/>
      </c>
      <c r="N2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6" spans="2:14" x14ac:dyDescent="0.25">
      <c r="B226" s="37"/>
      <c r="C226" s="37"/>
      <c r="D226" s="37"/>
      <c r="E226" s="38"/>
      <c r="F226" s="39"/>
      <c r="G226" s="39"/>
      <c r="H226" s="42"/>
      <c r="I226" s="37"/>
      <c r="J226" s="38"/>
      <c r="K226" s="38"/>
      <c r="L226" s="43" t="str">
        <f>IF(OR(tblProductos[[#This Row],[SKU]]="",tblProductos[[#This Row],[Producto]]=""),"",tblProductos[[#This Row],[SKU]]&amp;" · "&amp;tblProductos[[#This Row],[Producto]])</f>
        <v/>
      </c>
      <c r="M226" s="40" t="str">
        <f>IF(tblProductos[[#This Row],[SKU]]="","",COUNTIF(tblMovimientos[SKU],tblProductos[[#This Row],[SKU]]))</f>
        <v/>
      </c>
      <c r="N2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7" spans="2:14" x14ac:dyDescent="0.25">
      <c r="B227" s="37"/>
      <c r="C227" s="37"/>
      <c r="D227" s="37"/>
      <c r="E227" s="38"/>
      <c r="F227" s="39"/>
      <c r="G227" s="39"/>
      <c r="H227" s="42"/>
      <c r="I227" s="37"/>
      <c r="J227" s="38"/>
      <c r="K227" s="38"/>
      <c r="L227" s="43" t="str">
        <f>IF(OR(tblProductos[[#This Row],[SKU]]="",tblProductos[[#This Row],[Producto]]=""),"",tblProductos[[#This Row],[SKU]]&amp;" · "&amp;tblProductos[[#This Row],[Producto]])</f>
        <v/>
      </c>
      <c r="M227" s="40" t="str">
        <f>IF(tblProductos[[#This Row],[SKU]]="","",COUNTIF(tblMovimientos[SKU],tblProductos[[#This Row],[SKU]]))</f>
        <v/>
      </c>
      <c r="N2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8" spans="2:14" x14ac:dyDescent="0.25">
      <c r="B228" s="37"/>
      <c r="C228" s="37"/>
      <c r="D228" s="37"/>
      <c r="E228" s="38"/>
      <c r="F228" s="39"/>
      <c r="G228" s="39"/>
      <c r="H228" s="42"/>
      <c r="I228" s="37"/>
      <c r="J228" s="38"/>
      <c r="K228" s="38"/>
      <c r="L228" s="43" t="str">
        <f>IF(OR(tblProductos[[#This Row],[SKU]]="",tblProductos[[#This Row],[Producto]]=""),"",tblProductos[[#This Row],[SKU]]&amp;" · "&amp;tblProductos[[#This Row],[Producto]])</f>
        <v/>
      </c>
      <c r="M228" s="40" t="str">
        <f>IF(tblProductos[[#This Row],[SKU]]="","",COUNTIF(tblMovimientos[SKU],tblProductos[[#This Row],[SKU]]))</f>
        <v/>
      </c>
      <c r="N2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29" spans="2:14" x14ac:dyDescent="0.25">
      <c r="B229" s="37"/>
      <c r="C229" s="37"/>
      <c r="D229" s="37"/>
      <c r="E229" s="38"/>
      <c r="F229" s="39"/>
      <c r="G229" s="39"/>
      <c r="H229" s="42"/>
      <c r="I229" s="37"/>
      <c r="J229" s="38"/>
      <c r="K229" s="38"/>
      <c r="L229" s="43" t="str">
        <f>IF(OR(tblProductos[[#This Row],[SKU]]="",tblProductos[[#This Row],[Producto]]=""),"",tblProductos[[#This Row],[SKU]]&amp;" · "&amp;tblProductos[[#This Row],[Producto]])</f>
        <v/>
      </c>
      <c r="M229" s="40" t="str">
        <f>IF(tblProductos[[#This Row],[SKU]]="","",COUNTIF(tblMovimientos[SKU],tblProductos[[#This Row],[SKU]]))</f>
        <v/>
      </c>
      <c r="N2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0" spans="2:14" x14ac:dyDescent="0.25">
      <c r="B230" s="37"/>
      <c r="C230" s="37"/>
      <c r="D230" s="37"/>
      <c r="E230" s="38"/>
      <c r="F230" s="39"/>
      <c r="G230" s="39"/>
      <c r="H230" s="42"/>
      <c r="I230" s="37"/>
      <c r="J230" s="38"/>
      <c r="K230" s="38"/>
      <c r="L230" s="43" t="str">
        <f>IF(OR(tblProductos[[#This Row],[SKU]]="",tblProductos[[#This Row],[Producto]]=""),"",tblProductos[[#This Row],[SKU]]&amp;" · "&amp;tblProductos[[#This Row],[Producto]])</f>
        <v/>
      </c>
      <c r="M230" s="40" t="str">
        <f>IF(tblProductos[[#This Row],[SKU]]="","",COUNTIF(tblMovimientos[SKU],tblProductos[[#This Row],[SKU]]))</f>
        <v/>
      </c>
      <c r="N2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1" spans="2:14" x14ac:dyDescent="0.25">
      <c r="B231" s="37"/>
      <c r="C231" s="37"/>
      <c r="D231" s="37"/>
      <c r="E231" s="38"/>
      <c r="F231" s="39"/>
      <c r="G231" s="39"/>
      <c r="H231" s="42"/>
      <c r="I231" s="37"/>
      <c r="J231" s="38"/>
      <c r="K231" s="38"/>
      <c r="L231" s="43" t="str">
        <f>IF(OR(tblProductos[[#This Row],[SKU]]="",tblProductos[[#This Row],[Producto]]=""),"",tblProductos[[#This Row],[SKU]]&amp;" · "&amp;tblProductos[[#This Row],[Producto]])</f>
        <v/>
      </c>
      <c r="M231" s="40" t="str">
        <f>IF(tblProductos[[#This Row],[SKU]]="","",COUNTIF(tblMovimientos[SKU],tblProductos[[#This Row],[SKU]]))</f>
        <v/>
      </c>
      <c r="N2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2" spans="2:14" x14ac:dyDescent="0.25">
      <c r="B232" s="37"/>
      <c r="C232" s="37"/>
      <c r="D232" s="37"/>
      <c r="E232" s="38"/>
      <c r="F232" s="39"/>
      <c r="G232" s="39"/>
      <c r="H232" s="42"/>
      <c r="I232" s="37"/>
      <c r="J232" s="38"/>
      <c r="K232" s="38"/>
      <c r="L232" s="43" t="str">
        <f>IF(OR(tblProductos[[#This Row],[SKU]]="",tblProductos[[#This Row],[Producto]]=""),"",tblProductos[[#This Row],[SKU]]&amp;" · "&amp;tblProductos[[#This Row],[Producto]])</f>
        <v/>
      </c>
      <c r="M232" s="40" t="str">
        <f>IF(tblProductos[[#This Row],[SKU]]="","",COUNTIF(tblMovimientos[SKU],tblProductos[[#This Row],[SKU]]))</f>
        <v/>
      </c>
      <c r="N2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3" spans="2:14" x14ac:dyDescent="0.25">
      <c r="B233" s="37"/>
      <c r="C233" s="37"/>
      <c r="D233" s="37"/>
      <c r="E233" s="38"/>
      <c r="F233" s="39"/>
      <c r="G233" s="39"/>
      <c r="H233" s="42"/>
      <c r="I233" s="37"/>
      <c r="J233" s="38"/>
      <c r="K233" s="38"/>
      <c r="L233" s="43" t="str">
        <f>IF(OR(tblProductos[[#This Row],[SKU]]="",tblProductos[[#This Row],[Producto]]=""),"",tblProductos[[#This Row],[SKU]]&amp;" · "&amp;tblProductos[[#This Row],[Producto]])</f>
        <v/>
      </c>
      <c r="M233" s="40" t="str">
        <f>IF(tblProductos[[#This Row],[SKU]]="","",COUNTIF(tblMovimientos[SKU],tblProductos[[#This Row],[SKU]]))</f>
        <v/>
      </c>
      <c r="N2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4" spans="2:14" x14ac:dyDescent="0.25">
      <c r="B234" s="37"/>
      <c r="C234" s="37"/>
      <c r="D234" s="37"/>
      <c r="E234" s="38"/>
      <c r="F234" s="39"/>
      <c r="G234" s="39"/>
      <c r="H234" s="42"/>
      <c r="I234" s="37"/>
      <c r="J234" s="38"/>
      <c r="K234" s="38"/>
      <c r="L234" s="43" t="str">
        <f>IF(OR(tblProductos[[#This Row],[SKU]]="",tblProductos[[#This Row],[Producto]]=""),"",tblProductos[[#This Row],[SKU]]&amp;" · "&amp;tblProductos[[#This Row],[Producto]])</f>
        <v/>
      </c>
      <c r="M234" s="40" t="str">
        <f>IF(tblProductos[[#This Row],[SKU]]="","",COUNTIF(tblMovimientos[SKU],tblProductos[[#This Row],[SKU]]))</f>
        <v/>
      </c>
      <c r="N2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5" spans="2:14" x14ac:dyDescent="0.25">
      <c r="B235" s="37"/>
      <c r="C235" s="37"/>
      <c r="D235" s="37"/>
      <c r="E235" s="38"/>
      <c r="F235" s="39"/>
      <c r="G235" s="39"/>
      <c r="H235" s="42"/>
      <c r="I235" s="37"/>
      <c r="J235" s="38"/>
      <c r="K235" s="38"/>
      <c r="L235" s="43" t="str">
        <f>IF(OR(tblProductos[[#This Row],[SKU]]="",tblProductos[[#This Row],[Producto]]=""),"",tblProductos[[#This Row],[SKU]]&amp;" · "&amp;tblProductos[[#This Row],[Producto]])</f>
        <v/>
      </c>
      <c r="M235" s="40" t="str">
        <f>IF(tblProductos[[#This Row],[SKU]]="","",COUNTIF(tblMovimientos[SKU],tblProductos[[#This Row],[SKU]]))</f>
        <v/>
      </c>
      <c r="N2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6" spans="2:14" x14ac:dyDescent="0.25">
      <c r="B236" s="37"/>
      <c r="C236" s="37"/>
      <c r="D236" s="37"/>
      <c r="E236" s="38"/>
      <c r="F236" s="39"/>
      <c r="G236" s="39"/>
      <c r="H236" s="42"/>
      <c r="I236" s="37"/>
      <c r="J236" s="38"/>
      <c r="K236" s="38"/>
      <c r="L236" s="43" t="str">
        <f>IF(OR(tblProductos[[#This Row],[SKU]]="",tblProductos[[#This Row],[Producto]]=""),"",tblProductos[[#This Row],[SKU]]&amp;" · "&amp;tblProductos[[#This Row],[Producto]])</f>
        <v/>
      </c>
      <c r="M236" s="40" t="str">
        <f>IF(tblProductos[[#This Row],[SKU]]="","",COUNTIF(tblMovimientos[SKU],tblProductos[[#This Row],[SKU]]))</f>
        <v/>
      </c>
      <c r="N2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7" spans="2:14" x14ac:dyDescent="0.25">
      <c r="B237" s="37"/>
      <c r="C237" s="37"/>
      <c r="D237" s="37"/>
      <c r="E237" s="38"/>
      <c r="F237" s="39"/>
      <c r="G237" s="39"/>
      <c r="H237" s="42"/>
      <c r="I237" s="37"/>
      <c r="J237" s="38"/>
      <c r="K237" s="38"/>
      <c r="L237" s="43" t="str">
        <f>IF(OR(tblProductos[[#This Row],[SKU]]="",tblProductos[[#This Row],[Producto]]=""),"",tblProductos[[#This Row],[SKU]]&amp;" · "&amp;tblProductos[[#This Row],[Producto]])</f>
        <v/>
      </c>
      <c r="M237" s="40" t="str">
        <f>IF(tblProductos[[#This Row],[SKU]]="","",COUNTIF(tblMovimientos[SKU],tblProductos[[#This Row],[SKU]]))</f>
        <v/>
      </c>
      <c r="N2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8" spans="2:14" x14ac:dyDescent="0.25">
      <c r="B238" s="37"/>
      <c r="C238" s="37"/>
      <c r="D238" s="37"/>
      <c r="E238" s="38"/>
      <c r="F238" s="39"/>
      <c r="G238" s="39"/>
      <c r="H238" s="42"/>
      <c r="I238" s="37"/>
      <c r="J238" s="38"/>
      <c r="K238" s="38"/>
      <c r="L238" s="43" t="str">
        <f>IF(OR(tblProductos[[#This Row],[SKU]]="",tblProductos[[#This Row],[Producto]]=""),"",tblProductos[[#This Row],[SKU]]&amp;" · "&amp;tblProductos[[#This Row],[Producto]])</f>
        <v/>
      </c>
      <c r="M238" s="40" t="str">
        <f>IF(tblProductos[[#This Row],[SKU]]="","",COUNTIF(tblMovimientos[SKU],tblProductos[[#This Row],[SKU]]))</f>
        <v/>
      </c>
      <c r="N2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39" spans="2:14" x14ac:dyDescent="0.25">
      <c r="B239" s="37"/>
      <c r="C239" s="37"/>
      <c r="D239" s="37"/>
      <c r="E239" s="38"/>
      <c r="F239" s="39"/>
      <c r="G239" s="39"/>
      <c r="H239" s="42"/>
      <c r="I239" s="37"/>
      <c r="J239" s="38"/>
      <c r="K239" s="38"/>
      <c r="L239" s="43" t="str">
        <f>IF(OR(tblProductos[[#This Row],[SKU]]="",tblProductos[[#This Row],[Producto]]=""),"",tblProductos[[#This Row],[SKU]]&amp;" · "&amp;tblProductos[[#This Row],[Producto]])</f>
        <v/>
      </c>
      <c r="M239" s="40" t="str">
        <f>IF(tblProductos[[#This Row],[SKU]]="","",COUNTIF(tblMovimientos[SKU],tblProductos[[#This Row],[SKU]]))</f>
        <v/>
      </c>
      <c r="N2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0" spans="2:14" x14ac:dyDescent="0.25">
      <c r="B240" s="37"/>
      <c r="C240" s="37"/>
      <c r="D240" s="37"/>
      <c r="E240" s="38"/>
      <c r="F240" s="39"/>
      <c r="G240" s="39"/>
      <c r="H240" s="42"/>
      <c r="I240" s="37"/>
      <c r="J240" s="38"/>
      <c r="K240" s="38"/>
      <c r="L240" s="43" t="str">
        <f>IF(OR(tblProductos[[#This Row],[SKU]]="",tblProductos[[#This Row],[Producto]]=""),"",tblProductos[[#This Row],[SKU]]&amp;" · "&amp;tblProductos[[#This Row],[Producto]])</f>
        <v/>
      </c>
      <c r="M240" s="40" t="str">
        <f>IF(tblProductos[[#This Row],[SKU]]="","",COUNTIF(tblMovimientos[SKU],tblProductos[[#This Row],[SKU]]))</f>
        <v/>
      </c>
      <c r="N2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1" spans="2:14" x14ac:dyDescent="0.25">
      <c r="B241" s="37"/>
      <c r="C241" s="37"/>
      <c r="D241" s="37"/>
      <c r="E241" s="38"/>
      <c r="F241" s="39"/>
      <c r="G241" s="39"/>
      <c r="H241" s="42"/>
      <c r="I241" s="37"/>
      <c r="J241" s="38"/>
      <c r="K241" s="38"/>
      <c r="L241" s="43" t="str">
        <f>IF(OR(tblProductos[[#This Row],[SKU]]="",tblProductos[[#This Row],[Producto]]=""),"",tblProductos[[#This Row],[SKU]]&amp;" · "&amp;tblProductos[[#This Row],[Producto]])</f>
        <v/>
      </c>
      <c r="M241" s="40" t="str">
        <f>IF(tblProductos[[#This Row],[SKU]]="","",COUNTIF(tblMovimientos[SKU],tblProductos[[#This Row],[SKU]]))</f>
        <v/>
      </c>
      <c r="N2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2" spans="2:14" x14ac:dyDescent="0.25">
      <c r="B242" s="37"/>
      <c r="C242" s="37"/>
      <c r="D242" s="37"/>
      <c r="E242" s="38"/>
      <c r="F242" s="39"/>
      <c r="G242" s="39"/>
      <c r="H242" s="42"/>
      <c r="I242" s="37"/>
      <c r="J242" s="38"/>
      <c r="K242" s="38"/>
      <c r="L242" s="43" t="str">
        <f>IF(OR(tblProductos[[#This Row],[SKU]]="",tblProductos[[#This Row],[Producto]]=""),"",tblProductos[[#This Row],[SKU]]&amp;" · "&amp;tblProductos[[#This Row],[Producto]])</f>
        <v/>
      </c>
      <c r="M242" s="40" t="str">
        <f>IF(tblProductos[[#This Row],[SKU]]="","",COUNTIF(tblMovimientos[SKU],tblProductos[[#This Row],[SKU]]))</f>
        <v/>
      </c>
      <c r="N2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3" spans="2:14" x14ac:dyDescent="0.25">
      <c r="B243" s="37"/>
      <c r="C243" s="37"/>
      <c r="D243" s="37"/>
      <c r="E243" s="38"/>
      <c r="F243" s="39"/>
      <c r="G243" s="39"/>
      <c r="H243" s="42"/>
      <c r="I243" s="37"/>
      <c r="J243" s="38"/>
      <c r="K243" s="38"/>
      <c r="L243" s="43" t="str">
        <f>IF(OR(tblProductos[[#This Row],[SKU]]="",tblProductos[[#This Row],[Producto]]=""),"",tblProductos[[#This Row],[SKU]]&amp;" · "&amp;tblProductos[[#This Row],[Producto]])</f>
        <v/>
      </c>
      <c r="M243" s="40" t="str">
        <f>IF(tblProductos[[#This Row],[SKU]]="","",COUNTIF(tblMovimientos[SKU],tblProductos[[#This Row],[SKU]]))</f>
        <v/>
      </c>
      <c r="N2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4" spans="2:14" x14ac:dyDescent="0.25">
      <c r="B244" s="37"/>
      <c r="C244" s="37"/>
      <c r="D244" s="37"/>
      <c r="E244" s="38"/>
      <c r="F244" s="39"/>
      <c r="G244" s="39"/>
      <c r="H244" s="42"/>
      <c r="I244" s="37"/>
      <c r="J244" s="38"/>
      <c r="K244" s="38"/>
      <c r="L244" s="43" t="str">
        <f>IF(OR(tblProductos[[#This Row],[SKU]]="",tblProductos[[#This Row],[Producto]]=""),"",tblProductos[[#This Row],[SKU]]&amp;" · "&amp;tblProductos[[#This Row],[Producto]])</f>
        <v/>
      </c>
      <c r="M244" s="40" t="str">
        <f>IF(tblProductos[[#This Row],[SKU]]="","",COUNTIF(tblMovimientos[SKU],tblProductos[[#This Row],[SKU]]))</f>
        <v/>
      </c>
      <c r="N2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5" spans="2:14" x14ac:dyDescent="0.25">
      <c r="B245" s="37"/>
      <c r="C245" s="37"/>
      <c r="D245" s="37"/>
      <c r="E245" s="38"/>
      <c r="F245" s="39"/>
      <c r="G245" s="39"/>
      <c r="H245" s="42"/>
      <c r="I245" s="37"/>
      <c r="J245" s="38"/>
      <c r="K245" s="38"/>
      <c r="L245" s="43" t="str">
        <f>IF(OR(tblProductos[[#This Row],[SKU]]="",tblProductos[[#This Row],[Producto]]=""),"",tblProductos[[#This Row],[SKU]]&amp;" · "&amp;tblProductos[[#This Row],[Producto]])</f>
        <v/>
      </c>
      <c r="M245" s="40" t="str">
        <f>IF(tblProductos[[#This Row],[SKU]]="","",COUNTIF(tblMovimientos[SKU],tblProductos[[#This Row],[SKU]]))</f>
        <v/>
      </c>
      <c r="N2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6" spans="2:14" x14ac:dyDescent="0.25">
      <c r="B246" s="37"/>
      <c r="C246" s="37"/>
      <c r="D246" s="37"/>
      <c r="E246" s="38"/>
      <c r="F246" s="39"/>
      <c r="G246" s="39"/>
      <c r="H246" s="42"/>
      <c r="I246" s="37"/>
      <c r="J246" s="38"/>
      <c r="K246" s="38"/>
      <c r="L246" s="43" t="str">
        <f>IF(OR(tblProductos[[#This Row],[SKU]]="",tblProductos[[#This Row],[Producto]]=""),"",tblProductos[[#This Row],[SKU]]&amp;" · "&amp;tblProductos[[#This Row],[Producto]])</f>
        <v/>
      </c>
      <c r="M246" s="40" t="str">
        <f>IF(tblProductos[[#This Row],[SKU]]="","",COUNTIF(tblMovimientos[SKU],tblProductos[[#This Row],[SKU]]))</f>
        <v/>
      </c>
      <c r="N2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7" spans="2:14" x14ac:dyDescent="0.25">
      <c r="B247" s="37"/>
      <c r="C247" s="37"/>
      <c r="D247" s="37"/>
      <c r="E247" s="38"/>
      <c r="F247" s="39"/>
      <c r="G247" s="39"/>
      <c r="H247" s="42"/>
      <c r="I247" s="37"/>
      <c r="J247" s="38"/>
      <c r="K247" s="38"/>
      <c r="L247" s="43" t="str">
        <f>IF(OR(tblProductos[[#This Row],[SKU]]="",tblProductos[[#This Row],[Producto]]=""),"",tblProductos[[#This Row],[SKU]]&amp;" · "&amp;tblProductos[[#This Row],[Producto]])</f>
        <v/>
      </c>
      <c r="M247" s="40" t="str">
        <f>IF(tblProductos[[#This Row],[SKU]]="","",COUNTIF(tblMovimientos[SKU],tblProductos[[#This Row],[SKU]]))</f>
        <v/>
      </c>
      <c r="N2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8" spans="2:14" x14ac:dyDescent="0.25">
      <c r="B248" s="37"/>
      <c r="C248" s="37"/>
      <c r="D248" s="37"/>
      <c r="E248" s="38"/>
      <c r="F248" s="39"/>
      <c r="G248" s="39"/>
      <c r="H248" s="42"/>
      <c r="I248" s="37"/>
      <c r="J248" s="38"/>
      <c r="K248" s="38"/>
      <c r="L248" s="43" t="str">
        <f>IF(OR(tblProductos[[#This Row],[SKU]]="",tblProductos[[#This Row],[Producto]]=""),"",tblProductos[[#This Row],[SKU]]&amp;" · "&amp;tblProductos[[#This Row],[Producto]])</f>
        <v/>
      </c>
      <c r="M248" s="40" t="str">
        <f>IF(tblProductos[[#This Row],[SKU]]="","",COUNTIF(tblMovimientos[SKU],tblProductos[[#This Row],[SKU]]))</f>
        <v/>
      </c>
      <c r="N2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49" spans="2:14" x14ac:dyDescent="0.25">
      <c r="B249" s="37"/>
      <c r="C249" s="37"/>
      <c r="D249" s="37"/>
      <c r="E249" s="38"/>
      <c r="F249" s="39"/>
      <c r="G249" s="39"/>
      <c r="H249" s="42"/>
      <c r="I249" s="37"/>
      <c r="J249" s="38"/>
      <c r="K249" s="38"/>
      <c r="L249" s="43" t="str">
        <f>IF(OR(tblProductos[[#This Row],[SKU]]="",tblProductos[[#This Row],[Producto]]=""),"",tblProductos[[#This Row],[SKU]]&amp;" · "&amp;tblProductos[[#This Row],[Producto]])</f>
        <v/>
      </c>
      <c r="M249" s="40" t="str">
        <f>IF(tblProductos[[#This Row],[SKU]]="","",COUNTIF(tblMovimientos[SKU],tblProductos[[#This Row],[SKU]]))</f>
        <v/>
      </c>
      <c r="N2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0" spans="2:14" x14ac:dyDescent="0.25">
      <c r="B250" s="37"/>
      <c r="C250" s="37"/>
      <c r="D250" s="37"/>
      <c r="E250" s="38"/>
      <c r="F250" s="39"/>
      <c r="G250" s="39"/>
      <c r="H250" s="42"/>
      <c r="I250" s="37"/>
      <c r="J250" s="38"/>
      <c r="K250" s="38"/>
      <c r="L250" s="43" t="str">
        <f>IF(OR(tblProductos[[#This Row],[SKU]]="",tblProductos[[#This Row],[Producto]]=""),"",tblProductos[[#This Row],[SKU]]&amp;" · "&amp;tblProductos[[#This Row],[Producto]])</f>
        <v/>
      </c>
      <c r="M250" s="40" t="str">
        <f>IF(tblProductos[[#This Row],[SKU]]="","",COUNTIF(tblMovimientos[SKU],tblProductos[[#This Row],[SKU]]))</f>
        <v/>
      </c>
      <c r="N2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1" spans="2:14" x14ac:dyDescent="0.25">
      <c r="B251" s="37"/>
      <c r="C251" s="37"/>
      <c r="D251" s="37"/>
      <c r="E251" s="38"/>
      <c r="F251" s="39"/>
      <c r="G251" s="39"/>
      <c r="H251" s="42"/>
      <c r="I251" s="37"/>
      <c r="J251" s="38"/>
      <c r="K251" s="38"/>
      <c r="L251" s="43" t="str">
        <f>IF(OR(tblProductos[[#This Row],[SKU]]="",tblProductos[[#This Row],[Producto]]=""),"",tblProductos[[#This Row],[SKU]]&amp;" · "&amp;tblProductos[[#This Row],[Producto]])</f>
        <v/>
      </c>
      <c r="M251" s="40" t="str">
        <f>IF(tblProductos[[#This Row],[SKU]]="","",COUNTIF(tblMovimientos[SKU],tblProductos[[#This Row],[SKU]]))</f>
        <v/>
      </c>
      <c r="N2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2" spans="2:14" x14ac:dyDescent="0.25">
      <c r="B252" s="37"/>
      <c r="C252" s="37"/>
      <c r="D252" s="37"/>
      <c r="E252" s="38"/>
      <c r="F252" s="39"/>
      <c r="G252" s="39"/>
      <c r="H252" s="42"/>
      <c r="I252" s="37"/>
      <c r="J252" s="38"/>
      <c r="K252" s="38"/>
      <c r="L252" s="43" t="str">
        <f>IF(OR(tblProductos[[#This Row],[SKU]]="",tblProductos[[#This Row],[Producto]]=""),"",tblProductos[[#This Row],[SKU]]&amp;" · "&amp;tblProductos[[#This Row],[Producto]])</f>
        <v/>
      </c>
      <c r="M252" s="40" t="str">
        <f>IF(tblProductos[[#This Row],[SKU]]="","",COUNTIF(tblMovimientos[SKU],tblProductos[[#This Row],[SKU]]))</f>
        <v/>
      </c>
      <c r="N2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3" spans="2:14" x14ac:dyDescent="0.25">
      <c r="B253" s="37"/>
      <c r="C253" s="37"/>
      <c r="D253" s="37"/>
      <c r="E253" s="38"/>
      <c r="F253" s="39"/>
      <c r="G253" s="39"/>
      <c r="H253" s="42"/>
      <c r="I253" s="37"/>
      <c r="J253" s="38"/>
      <c r="K253" s="38"/>
      <c r="L253" s="43" t="str">
        <f>IF(OR(tblProductos[[#This Row],[SKU]]="",tblProductos[[#This Row],[Producto]]=""),"",tblProductos[[#This Row],[SKU]]&amp;" · "&amp;tblProductos[[#This Row],[Producto]])</f>
        <v/>
      </c>
      <c r="M253" s="40" t="str">
        <f>IF(tblProductos[[#This Row],[SKU]]="","",COUNTIF(tblMovimientos[SKU],tblProductos[[#This Row],[SKU]]))</f>
        <v/>
      </c>
      <c r="N2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4" spans="2:14" x14ac:dyDescent="0.25">
      <c r="B254" s="37"/>
      <c r="C254" s="37"/>
      <c r="D254" s="37"/>
      <c r="E254" s="38"/>
      <c r="F254" s="39"/>
      <c r="G254" s="39"/>
      <c r="H254" s="42"/>
      <c r="I254" s="37"/>
      <c r="J254" s="38"/>
      <c r="K254" s="38"/>
      <c r="L254" s="43" t="str">
        <f>IF(OR(tblProductos[[#This Row],[SKU]]="",tblProductos[[#This Row],[Producto]]=""),"",tblProductos[[#This Row],[SKU]]&amp;" · "&amp;tblProductos[[#This Row],[Producto]])</f>
        <v/>
      </c>
      <c r="M254" s="40" t="str">
        <f>IF(tblProductos[[#This Row],[SKU]]="","",COUNTIF(tblMovimientos[SKU],tblProductos[[#This Row],[SKU]]))</f>
        <v/>
      </c>
      <c r="N2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5" spans="2:14" x14ac:dyDescent="0.25">
      <c r="B255" s="37"/>
      <c r="C255" s="37"/>
      <c r="D255" s="37"/>
      <c r="E255" s="38"/>
      <c r="F255" s="39"/>
      <c r="G255" s="39"/>
      <c r="H255" s="42"/>
      <c r="I255" s="37"/>
      <c r="J255" s="38"/>
      <c r="K255" s="38"/>
      <c r="L255" s="43" t="str">
        <f>IF(OR(tblProductos[[#This Row],[SKU]]="",tblProductos[[#This Row],[Producto]]=""),"",tblProductos[[#This Row],[SKU]]&amp;" · "&amp;tblProductos[[#This Row],[Producto]])</f>
        <v/>
      </c>
      <c r="M255" s="40" t="str">
        <f>IF(tblProductos[[#This Row],[SKU]]="","",COUNTIF(tblMovimientos[SKU],tblProductos[[#This Row],[SKU]]))</f>
        <v/>
      </c>
      <c r="N2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6" spans="2:14" x14ac:dyDescent="0.25">
      <c r="B256" s="37"/>
      <c r="C256" s="37"/>
      <c r="D256" s="37"/>
      <c r="E256" s="38"/>
      <c r="F256" s="39"/>
      <c r="G256" s="39"/>
      <c r="H256" s="42"/>
      <c r="I256" s="37"/>
      <c r="J256" s="38"/>
      <c r="K256" s="38"/>
      <c r="L256" s="43" t="str">
        <f>IF(OR(tblProductos[[#This Row],[SKU]]="",tblProductos[[#This Row],[Producto]]=""),"",tblProductos[[#This Row],[SKU]]&amp;" · "&amp;tblProductos[[#This Row],[Producto]])</f>
        <v/>
      </c>
      <c r="M256" s="40" t="str">
        <f>IF(tblProductos[[#This Row],[SKU]]="","",COUNTIF(tblMovimientos[SKU],tblProductos[[#This Row],[SKU]]))</f>
        <v/>
      </c>
      <c r="N2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7" spans="2:14" x14ac:dyDescent="0.25">
      <c r="B257" s="37"/>
      <c r="C257" s="37"/>
      <c r="D257" s="37"/>
      <c r="E257" s="38"/>
      <c r="F257" s="39"/>
      <c r="G257" s="39"/>
      <c r="H257" s="42"/>
      <c r="I257" s="37"/>
      <c r="J257" s="38"/>
      <c r="K257" s="38"/>
      <c r="L257" s="43" t="str">
        <f>IF(OR(tblProductos[[#This Row],[SKU]]="",tblProductos[[#This Row],[Producto]]=""),"",tblProductos[[#This Row],[SKU]]&amp;" · "&amp;tblProductos[[#This Row],[Producto]])</f>
        <v/>
      </c>
      <c r="M257" s="40" t="str">
        <f>IF(tblProductos[[#This Row],[SKU]]="","",COUNTIF(tblMovimientos[SKU],tblProductos[[#This Row],[SKU]]))</f>
        <v/>
      </c>
      <c r="N2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8" spans="2:14" x14ac:dyDescent="0.25">
      <c r="B258" s="37"/>
      <c r="C258" s="37"/>
      <c r="D258" s="37"/>
      <c r="E258" s="38"/>
      <c r="F258" s="39"/>
      <c r="G258" s="39"/>
      <c r="H258" s="42"/>
      <c r="I258" s="37"/>
      <c r="J258" s="38"/>
      <c r="K258" s="38"/>
      <c r="L258" s="43" t="str">
        <f>IF(OR(tblProductos[[#This Row],[SKU]]="",tblProductos[[#This Row],[Producto]]=""),"",tblProductos[[#This Row],[SKU]]&amp;" · "&amp;tblProductos[[#This Row],[Producto]])</f>
        <v/>
      </c>
      <c r="M258" s="40" t="str">
        <f>IF(tblProductos[[#This Row],[SKU]]="","",COUNTIF(tblMovimientos[SKU],tblProductos[[#This Row],[SKU]]))</f>
        <v/>
      </c>
      <c r="N2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59" spans="2:14" x14ac:dyDescent="0.25">
      <c r="B259" s="37"/>
      <c r="C259" s="37"/>
      <c r="D259" s="37"/>
      <c r="E259" s="38"/>
      <c r="F259" s="39"/>
      <c r="G259" s="39"/>
      <c r="H259" s="42"/>
      <c r="I259" s="37"/>
      <c r="J259" s="38"/>
      <c r="K259" s="38"/>
      <c r="L259" s="43" t="str">
        <f>IF(OR(tblProductos[[#This Row],[SKU]]="",tblProductos[[#This Row],[Producto]]=""),"",tblProductos[[#This Row],[SKU]]&amp;" · "&amp;tblProductos[[#This Row],[Producto]])</f>
        <v/>
      </c>
      <c r="M259" s="40" t="str">
        <f>IF(tblProductos[[#This Row],[SKU]]="","",COUNTIF(tblMovimientos[SKU],tblProductos[[#This Row],[SKU]]))</f>
        <v/>
      </c>
      <c r="N2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0" spans="2:14" x14ac:dyDescent="0.25">
      <c r="B260" s="37"/>
      <c r="C260" s="37"/>
      <c r="D260" s="37"/>
      <c r="E260" s="38"/>
      <c r="F260" s="39"/>
      <c r="G260" s="39"/>
      <c r="H260" s="42"/>
      <c r="I260" s="37"/>
      <c r="J260" s="38"/>
      <c r="K260" s="38"/>
      <c r="L260" s="43" t="str">
        <f>IF(OR(tblProductos[[#This Row],[SKU]]="",tblProductos[[#This Row],[Producto]]=""),"",tblProductos[[#This Row],[SKU]]&amp;" · "&amp;tblProductos[[#This Row],[Producto]])</f>
        <v/>
      </c>
      <c r="M260" s="40" t="str">
        <f>IF(tblProductos[[#This Row],[SKU]]="","",COUNTIF(tblMovimientos[SKU],tblProductos[[#This Row],[SKU]]))</f>
        <v/>
      </c>
      <c r="N2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1" spans="2:14" x14ac:dyDescent="0.25">
      <c r="B261" s="37"/>
      <c r="C261" s="37"/>
      <c r="D261" s="37"/>
      <c r="E261" s="38"/>
      <c r="F261" s="39"/>
      <c r="G261" s="39"/>
      <c r="H261" s="42"/>
      <c r="I261" s="37"/>
      <c r="J261" s="38"/>
      <c r="K261" s="38"/>
      <c r="L261" s="43" t="str">
        <f>IF(OR(tblProductos[[#This Row],[SKU]]="",tblProductos[[#This Row],[Producto]]=""),"",tblProductos[[#This Row],[SKU]]&amp;" · "&amp;tblProductos[[#This Row],[Producto]])</f>
        <v/>
      </c>
      <c r="M261" s="40" t="str">
        <f>IF(tblProductos[[#This Row],[SKU]]="","",COUNTIF(tblMovimientos[SKU],tblProductos[[#This Row],[SKU]]))</f>
        <v/>
      </c>
      <c r="N2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2" spans="2:14" x14ac:dyDescent="0.25">
      <c r="B262" s="37"/>
      <c r="C262" s="37"/>
      <c r="D262" s="37"/>
      <c r="E262" s="38"/>
      <c r="F262" s="39"/>
      <c r="G262" s="39"/>
      <c r="H262" s="42"/>
      <c r="I262" s="37"/>
      <c r="J262" s="38"/>
      <c r="K262" s="38"/>
      <c r="L262" s="43" t="str">
        <f>IF(OR(tblProductos[[#This Row],[SKU]]="",tblProductos[[#This Row],[Producto]]=""),"",tblProductos[[#This Row],[SKU]]&amp;" · "&amp;tblProductos[[#This Row],[Producto]])</f>
        <v/>
      </c>
      <c r="M262" s="40" t="str">
        <f>IF(tblProductos[[#This Row],[SKU]]="","",COUNTIF(tblMovimientos[SKU],tblProductos[[#This Row],[SKU]]))</f>
        <v/>
      </c>
      <c r="N2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3" spans="2:14" x14ac:dyDescent="0.25">
      <c r="B263" s="37"/>
      <c r="C263" s="37"/>
      <c r="D263" s="37"/>
      <c r="E263" s="38"/>
      <c r="F263" s="39"/>
      <c r="G263" s="39"/>
      <c r="H263" s="42"/>
      <c r="I263" s="37"/>
      <c r="J263" s="38"/>
      <c r="K263" s="38"/>
      <c r="L263" s="43" t="str">
        <f>IF(OR(tblProductos[[#This Row],[SKU]]="",tblProductos[[#This Row],[Producto]]=""),"",tblProductos[[#This Row],[SKU]]&amp;" · "&amp;tblProductos[[#This Row],[Producto]])</f>
        <v/>
      </c>
      <c r="M263" s="40" t="str">
        <f>IF(tblProductos[[#This Row],[SKU]]="","",COUNTIF(tblMovimientos[SKU],tblProductos[[#This Row],[SKU]]))</f>
        <v/>
      </c>
      <c r="N2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4" spans="2:14" x14ac:dyDescent="0.25">
      <c r="B264" s="37"/>
      <c r="C264" s="37"/>
      <c r="D264" s="37"/>
      <c r="E264" s="38"/>
      <c r="F264" s="39"/>
      <c r="G264" s="39"/>
      <c r="H264" s="42"/>
      <c r="I264" s="37"/>
      <c r="J264" s="38"/>
      <c r="K264" s="38"/>
      <c r="L264" s="43" t="str">
        <f>IF(OR(tblProductos[[#This Row],[SKU]]="",tblProductos[[#This Row],[Producto]]=""),"",tblProductos[[#This Row],[SKU]]&amp;" · "&amp;tblProductos[[#This Row],[Producto]])</f>
        <v/>
      </c>
      <c r="M264" s="40" t="str">
        <f>IF(tblProductos[[#This Row],[SKU]]="","",COUNTIF(tblMovimientos[SKU],tblProductos[[#This Row],[SKU]]))</f>
        <v/>
      </c>
      <c r="N2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5" spans="2:14" x14ac:dyDescent="0.25">
      <c r="B265" s="37"/>
      <c r="C265" s="37"/>
      <c r="D265" s="37"/>
      <c r="E265" s="38"/>
      <c r="F265" s="39"/>
      <c r="G265" s="39"/>
      <c r="H265" s="42"/>
      <c r="I265" s="37"/>
      <c r="J265" s="38"/>
      <c r="K265" s="38"/>
      <c r="L265" s="43" t="str">
        <f>IF(OR(tblProductos[[#This Row],[SKU]]="",tblProductos[[#This Row],[Producto]]=""),"",tblProductos[[#This Row],[SKU]]&amp;" · "&amp;tblProductos[[#This Row],[Producto]])</f>
        <v/>
      </c>
      <c r="M265" s="40" t="str">
        <f>IF(tblProductos[[#This Row],[SKU]]="","",COUNTIF(tblMovimientos[SKU],tblProductos[[#This Row],[SKU]]))</f>
        <v/>
      </c>
      <c r="N2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6" spans="2:14" x14ac:dyDescent="0.25">
      <c r="B266" s="37"/>
      <c r="C266" s="37"/>
      <c r="D266" s="37"/>
      <c r="E266" s="38"/>
      <c r="F266" s="39"/>
      <c r="G266" s="39"/>
      <c r="H266" s="42"/>
      <c r="I266" s="37"/>
      <c r="J266" s="38"/>
      <c r="K266" s="38"/>
      <c r="L266" s="43" t="str">
        <f>IF(OR(tblProductos[[#This Row],[SKU]]="",tblProductos[[#This Row],[Producto]]=""),"",tblProductos[[#This Row],[SKU]]&amp;" · "&amp;tblProductos[[#This Row],[Producto]])</f>
        <v/>
      </c>
      <c r="M266" s="40" t="str">
        <f>IF(tblProductos[[#This Row],[SKU]]="","",COUNTIF(tblMovimientos[SKU],tblProductos[[#This Row],[SKU]]))</f>
        <v/>
      </c>
      <c r="N2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7" spans="2:14" x14ac:dyDescent="0.25">
      <c r="B267" s="37"/>
      <c r="C267" s="37"/>
      <c r="D267" s="37"/>
      <c r="E267" s="38"/>
      <c r="F267" s="39"/>
      <c r="G267" s="39"/>
      <c r="H267" s="42"/>
      <c r="I267" s="37"/>
      <c r="J267" s="38"/>
      <c r="K267" s="38"/>
      <c r="L267" s="43" t="str">
        <f>IF(OR(tblProductos[[#This Row],[SKU]]="",tblProductos[[#This Row],[Producto]]=""),"",tblProductos[[#This Row],[SKU]]&amp;" · "&amp;tblProductos[[#This Row],[Producto]])</f>
        <v/>
      </c>
      <c r="M267" s="40" t="str">
        <f>IF(tblProductos[[#This Row],[SKU]]="","",COUNTIF(tblMovimientos[SKU],tblProductos[[#This Row],[SKU]]))</f>
        <v/>
      </c>
      <c r="N2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8" spans="2:14" x14ac:dyDescent="0.25">
      <c r="B268" s="37"/>
      <c r="C268" s="37"/>
      <c r="D268" s="37"/>
      <c r="E268" s="38"/>
      <c r="F268" s="39"/>
      <c r="G268" s="39"/>
      <c r="H268" s="42"/>
      <c r="I268" s="37"/>
      <c r="J268" s="38"/>
      <c r="K268" s="38"/>
      <c r="L268" s="43" t="str">
        <f>IF(OR(tblProductos[[#This Row],[SKU]]="",tblProductos[[#This Row],[Producto]]=""),"",tblProductos[[#This Row],[SKU]]&amp;" · "&amp;tblProductos[[#This Row],[Producto]])</f>
        <v/>
      </c>
      <c r="M268" s="40" t="str">
        <f>IF(tblProductos[[#This Row],[SKU]]="","",COUNTIF(tblMovimientos[SKU],tblProductos[[#This Row],[SKU]]))</f>
        <v/>
      </c>
      <c r="N2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69" spans="2:14" x14ac:dyDescent="0.25">
      <c r="B269" s="37"/>
      <c r="C269" s="37"/>
      <c r="D269" s="37"/>
      <c r="E269" s="38"/>
      <c r="F269" s="39"/>
      <c r="G269" s="39"/>
      <c r="H269" s="42"/>
      <c r="I269" s="37"/>
      <c r="J269" s="38"/>
      <c r="K269" s="38"/>
      <c r="L269" s="43" t="str">
        <f>IF(OR(tblProductos[[#This Row],[SKU]]="",tblProductos[[#This Row],[Producto]]=""),"",tblProductos[[#This Row],[SKU]]&amp;" · "&amp;tblProductos[[#This Row],[Producto]])</f>
        <v/>
      </c>
      <c r="M269" s="40" t="str">
        <f>IF(tblProductos[[#This Row],[SKU]]="","",COUNTIF(tblMovimientos[SKU],tblProductos[[#This Row],[SKU]]))</f>
        <v/>
      </c>
      <c r="N2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0" spans="2:14" x14ac:dyDescent="0.25">
      <c r="B270" s="37"/>
      <c r="C270" s="37"/>
      <c r="D270" s="37"/>
      <c r="E270" s="38"/>
      <c r="F270" s="39"/>
      <c r="G270" s="39"/>
      <c r="H270" s="42"/>
      <c r="I270" s="37"/>
      <c r="J270" s="38"/>
      <c r="K270" s="38"/>
      <c r="L270" s="43" t="str">
        <f>IF(OR(tblProductos[[#This Row],[SKU]]="",tblProductos[[#This Row],[Producto]]=""),"",tblProductos[[#This Row],[SKU]]&amp;" · "&amp;tblProductos[[#This Row],[Producto]])</f>
        <v/>
      </c>
      <c r="M270" s="40" t="str">
        <f>IF(tblProductos[[#This Row],[SKU]]="","",COUNTIF(tblMovimientos[SKU],tblProductos[[#This Row],[SKU]]))</f>
        <v/>
      </c>
      <c r="N2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1" spans="2:14" x14ac:dyDescent="0.25">
      <c r="B271" s="37"/>
      <c r="C271" s="37"/>
      <c r="D271" s="37"/>
      <c r="E271" s="38"/>
      <c r="F271" s="39"/>
      <c r="G271" s="39"/>
      <c r="H271" s="42"/>
      <c r="I271" s="37"/>
      <c r="J271" s="38"/>
      <c r="K271" s="38"/>
      <c r="L271" s="43" t="str">
        <f>IF(OR(tblProductos[[#This Row],[SKU]]="",tblProductos[[#This Row],[Producto]]=""),"",tblProductos[[#This Row],[SKU]]&amp;" · "&amp;tblProductos[[#This Row],[Producto]])</f>
        <v/>
      </c>
      <c r="M271" s="40" t="str">
        <f>IF(tblProductos[[#This Row],[SKU]]="","",COUNTIF(tblMovimientos[SKU],tblProductos[[#This Row],[SKU]]))</f>
        <v/>
      </c>
      <c r="N2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2" spans="2:14" x14ac:dyDescent="0.25">
      <c r="B272" s="37"/>
      <c r="C272" s="37"/>
      <c r="D272" s="37"/>
      <c r="E272" s="38"/>
      <c r="F272" s="39"/>
      <c r="G272" s="39"/>
      <c r="H272" s="42"/>
      <c r="I272" s="37"/>
      <c r="J272" s="38"/>
      <c r="K272" s="38"/>
      <c r="L272" s="43" t="str">
        <f>IF(OR(tblProductos[[#This Row],[SKU]]="",tblProductos[[#This Row],[Producto]]=""),"",tblProductos[[#This Row],[SKU]]&amp;" · "&amp;tblProductos[[#This Row],[Producto]])</f>
        <v/>
      </c>
      <c r="M272" s="40" t="str">
        <f>IF(tblProductos[[#This Row],[SKU]]="","",COUNTIF(tblMovimientos[SKU],tblProductos[[#This Row],[SKU]]))</f>
        <v/>
      </c>
      <c r="N2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3" spans="2:14" x14ac:dyDescent="0.25">
      <c r="B273" s="37"/>
      <c r="C273" s="37"/>
      <c r="D273" s="37"/>
      <c r="E273" s="38"/>
      <c r="F273" s="39"/>
      <c r="G273" s="39"/>
      <c r="H273" s="42"/>
      <c r="I273" s="37"/>
      <c r="J273" s="38"/>
      <c r="K273" s="38"/>
      <c r="L273" s="43" t="str">
        <f>IF(OR(tblProductos[[#This Row],[SKU]]="",tblProductos[[#This Row],[Producto]]=""),"",tblProductos[[#This Row],[SKU]]&amp;" · "&amp;tblProductos[[#This Row],[Producto]])</f>
        <v/>
      </c>
      <c r="M273" s="40" t="str">
        <f>IF(tblProductos[[#This Row],[SKU]]="","",COUNTIF(tblMovimientos[SKU],tblProductos[[#This Row],[SKU]]))</f>
        <v/>
      </c>
      <c r="N2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4" spans="2:14" x14ac:dyDescent="0.25">
      <c r="B274" s="37"/>
      <c r="C274" s="37"/>
      <c r="D274" s="37"/>
      <c r="E274" s="38"/>
      <c r="F274" s="39"/>
      <c r="G274" s="39"/>
      <c r="H274" s="42"/>
      <c r="I274" s="37"/>
      <c r="J274" s="38"/>
      <c r="K274" s="38"/>
      <c r="L274" s="43" t="str">
        <f>IF(OR(tblProductos[[#This Row],[SKU]]="",tblProductos[[#This Row],[Producto]]=""),"",tblProductos[[#This Row],[SKU]]&amp;" · "&amp;tblProductos[[#This Row],[Producto]])</f>
        <v/>
      </c>
      <c r="M274" s="40" t="str">
        <f>IF(tblProductos[[#This Row],[SKU]]="","",COUNTIF(tblMovimientos[SKU],tblProductos[[#This Row],[SKU]]))</f>
        <v/>
      </c>
      <c r="N2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5" spans="2:14" x14ac:dyDescent="0.25">
      <c r="B275" s="37"/>
      <c r="C275" s="37"/>
      <c r="D275" s="37"/>
      <c r="E275" s="38"/>
      <c r="F275" s="39"/>
      <c r="G275" s="39"/>
      <c r="H275" s="42"/>
      <c r="I275" s="37"/>
      <c r="J275" s="38"/>
      <c r="K275" s="38"/>
      <c r="L275" s="43" t="str">
        <f>IF(OR(tblProductos[[#This Row],[SKU]]="",tblProductos[[#This Row],[Producto]]=""),"",tblProductos[[#This Row],[SKU]]&amp;" · "&amp;tblProductos[[#This Row],[Producto]])</f>
        <v/>
      </c>
      <c r="M275" s="40" t="str">
        <f>IF(tblProductos[[#This Row],[SKU]]="","",COUNTIF(tblMovimientos[SKU],tblProductos[[#This Row],[SKU]]))</f>
        <v/>
      </c>
      <c r="N2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6" spans="2:14" x14ac:dyDescent="0.25">
      <c r="B276" s="37"/>
      <c r="C276" s="37"/>
      <c r="D276" s="37"/>
      <c r="E276" s="38"/>
      <c r="F276" s="39"/>
      <c r="G276" s="39"/>
      <c r="H276" s="42"/>
      <c r="I276" s="37"/>
      <c r="J276" s="38"/>
      <c r="K276" s="38"/>
      <c r="L276" s="43" t="str">
        <f>IF(OR(tblProductos[[#This Row],[SKU]]="",tblProductos[[#This Row],[Producto]]=""),"",tblProductos[[#This Row],[SKU]]&amp;" · "&amp;tblProductos[[#This Row],[Producto]])</f>
        <v/>
      </c>
      <c r="M276" s="40" t="str">
        <f>IF(tblProductos[[#This Row],[SKU]]="","",COUNTIF(tblMovimientos[SKU],tblProductos[[#This Row],[SKU]]))</f>
        <v/>
      </c>
      <c r="N2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7" spans="2:14" x14ac:dyDescent="0.25">
      <c r="B277" s="37"/>
      <c r="C277" s="37"/>
      <c r="D277" s="37"/>
      <c r="E277" s="38"/>
      <c r="F277" s="39"/>
      <c r="G277" s="39"/>
      <c r="H277" s="42"/>
      <c r="I277" s="37"/>
      <c r="J277" s="38"/>
      <c r="K277" s="38"/>
      <c r="L277" s="43" t="str">
        <f>IF(OR(tblProductos[[#This Row],[SKU]]="",tblProductos[[#This Row],[Producto]]=""),"",tblProductos[[#This Row],[SKU]]&amp;" · "&amp;tblProductos[[#This Row],[Producto]])</f>
        <v/>
      </c>
      <c r="M277" s="40" t="str">
        <f>IF(tblProductos[[#This Row],[SKU]]="","",COUNTIF(tblMovimientos[SKU],tblProductos[[#This Row],[SKU]]))</f>
        <v/>
      </c>
      <c r="N2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8" spans="2:14" x14ac:dyDescent="0.25">
      <c r="B278" s="37"/>
      <c r="C278" s="37"/>
      <c r="D278" s="37"/>
      <c r="E278" s="38"/>
      <c r="F278" s="39"/>
      <c r="G278" s="39"/>
      <c r="H278" s="42"/>
      <c r="I278" s="37"/>
      <c r="J278" s="38"/>
      <c r="K278" s="38"/>
      <c r="L278" s="43" t="str">
        <f>IF(OR(tblProductos[[#This Row],[SKU]]="",tblProductos[[#This Row],[Producto]]=""),"",tblProductos[[#This Row],[SKU]]&amp;" · "&amp;tblProductos[[#This Row],[Producto]])</f>
        <v/>
      </c>
      <c r="M278" s="40" t="str">
        <f>IF(tblProductos[[#This Row],[SKU]]="","",COUNTIF(tblMovimientos[SKU],tblProductos[[#This Row],[SKU]]))</f>
        <v/>
      </c>
      <c r="N2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79" spans="2:14" x14ac:dyDescent="0.25">
      <c r="B279" s="37"/>
      <c r="C279" s="37"/>
      <c r="D279" s="37"/>
      <c r="E279" s="38"/>
      <c r="F279" s="39"/>
      <c r="G279" s="39"/>
      <c r="H279" s="42"/>
      <c r="I279" s="37"/>
      <c r="J279" s="38"/>
      <c r="K279" s="38"/>
      <c r="L279" s="43" t="str">
        <f>IF(OR(tblProductos[[#This Row],[SKU]]="",tblProductos[[#This Row],[Producto]]=""),"",tblProductos[[#This Row],[SKU]]&amp;" · "&amp;tblProductos[[#This Row],[Producto]])</f>
        <v/>
      </c>
      <c r="M279" s="40" t="str">
        <f>IF(tblProductos[[#This Row],[SKU]]="","",COUNTIF(tblMovimientos[SKU],tblProductos[[#This Row],[SKU]]))</f>
        <v/>
      </c>
      <c r="N2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0" spans="2:14" x14ac:dyDescent="0.25">
      <c r="B280" s="37"/>
      <c r="C280" s="37"/>
      <c r="D280" s="37"/>
      <c r="E280" s="38"/>
      <c r="F280" s="39"/>
      <c r="G280" s="39"/>
      <c r="H280" s="42"/>
      <c r="I280" s="37"/>
      <c r="J280" s="38"/>
      <c r="K280" s="38"/>
      <c r="L280" s="43" t="str">
        <f>IF(OR(tblProductos[[#This Row],[SKU]]="",tblProductos[[#This Row],[Producto]]=""),"",tblProductos[[#This Row],[SKU]]&amp;" · "&amp;tblProductos[[#This Row],[Producto]])</f>
        <v/>
      </c>
      <c r="M280" s="40" t="str">
        <f>IF(tblProductos[[#This Row],[SKU]]="","",COUNTIF(tblMovimientos[SKU],tblProductos[[#This Row],[SKU]]))</f>
        <v/>
      </c>
      <c r="N2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1" spans="2:14" x14ac:dyDescent="0.25">
      <c r="B281" s="37"/>
      <c r="C281" s="37"/>
      <c r="D281" s="37"/>
      <c r="E281" s="38"/>
      <c r="F281" s="39"/>
      <c r="G281" s="39"/>
      <c r="H281" s="42"/>
      <c r="I281" s="37"/>
      <c r="J281" s="38"/>
      <c r="K281" s="38"/>
      <c r="L281" s="43" t="str">
        <f>IF(OR(tblProductos[[#This Row],[SKU]]="",tblProductos[[#This Row],[Producto]]=""),"",tblProductos[[#This Row],[SKU]]&amp;" · "&amp;tblProductos[[#This Row],[Producto]])</f>
        <v/>
      </c>
      <c r="M281" s="40" t="str">
        <f>IF(tblProductos[[#This Row],[SKU]]="","",COUNTIF(tblMovimientos[SKU],tblProductos[[#This Row],[SKU]]))</f>
        <v/>
      </c>
      <c r="N2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2" spans="2:14" x14ac:dyDescent="0.25">
      <c r="B282" s="37"/>
      <c r="C282" s="37"/>
      <c r="D282" s="37"/>
      <c r="E282" s="38"/>
      <c r="F282" s="39"/>
      <c r="G282" s="39"/>
      <c r="H282" s="42"/>
      <c r="I282" s="37"/>
      <c r="J282" s="38"/>
      <c r="K282" s="38"/>
      <c r="L282" s="43" t="str">
        <f>IF(OR(tblProductos[[#This Row],[SKU]]="",tblProductos[[#This Row],[Producto]]=""),"",tblProductos[[#This Row],[SKU]]&amp;" · "&amp;tblProductos[[#This Row],[Producto]])</f>
        <v/>
      </c>
      <c r="M282" s="40" t="str">
        <f>IF(tblProductos[[#This Row],[SKU]]="","",COUNTIF(tblMovimientos[SKU],tblProductos[[#This Row],[SKU]]))</f>
        <v/>
      </c>
      <c r="N2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3" spans="2:14" x14ac:dyDescent="0.25">
      <c r="B283" s="37"/>
      <c r="C283" s="37"/>
      <c r="D283" s="37"/>
      <c r="E283" s="38"/>
      <c r="F283" s="39"/>
      <c r="G283" s="39"/>
      <c r="H283" s="42"/>
      <c r="I283" s="37"/>
      <c r="J283" s="38"/>
      <c r="K283" s="38"/>
      <c r="L283" s="43" t="str">
        <f>IF(OR(tblProductos[[#This Row],[SKU]]="",tblProductos[[#This Row],[Producto]]=""),"",tblProductos[[#This Row],[SKU]]&amp;" · "&amp;tblProductos[[#This Row],[Producto]])</f>
        <v/>
      </c>
      <c r="M283" s="40" t="str">
        <f>IF(tblProductos[[#This Row],[SKU]]="","",COUNTIF(tblMovimientos[SKU],tblProductos[[#This Row],[SKU]]))</f>
        <v/>
      </c>
      <c r="N2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4" spans="2:14" x14ac:dyDescent="0.25">
      <c r="B284" s="37"/>
      <c r="C284" s="37"/>
      <c r="D284" s="37"/>
      <c r="E284" s="38"/>
      <c r="F284" s="39"/>
      <c r="G284" s="39"/>
      <c r="H284" s="42"/>
      <c r="I284" s="37"/>
      <c r="J284" s="38"/>
      <c r="K284" s="38"/>
      <c r="L284" s="43" t="str">
        <f>IF(OR(tblProductos[[#This Row],[SKU]]="",tblProductos[[#This Row],[Producto]]=""),"",tblProductos[[#This Row],[SKU]]&amp;" · "&amp;tblProductos[[#This Row],[Producto]])</f>
        <v/>
      </c>
      <c r="M284" s="40" t="str">
        <f>IF(tblProductos[[#This Row],[SKU]]="","",COUNTIF(tblMovimientos[SKU],tblProductos[[#This Row],[SKU]]))</f>
        <v/>
      </c>
      <c r="N2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5" spans="2:14" x14ac:dyDescent="0.25">
      <c r="B285" s="37"/>
      <c r="C285" s="37"/>
      <c r="D285" s="37"/>
      <c r="E285" s="38"/>
      <c r="F285" s="39"/>
      <c r="G285" s="39"/>
      <c r="H285" s="42"/>
      <c r="I285" s="37"/>
      <c r="J285" s="38"/>
      <c r="K285" s="38"/>
      <c r="L285" s="43" t="str">
        <f>IF(OR(tblProductos[[#This Row],[SKU]]="",tblProductos[[#This Row],[Producto]]=""),"",tblProductos[[#This Row],[SKU]]&amp;" · "&amp;tblProductos[[#This Row],[Producto]])</f>
        <v/>
      </c>
      <c r="M285" s="40" t="str">
        <f>IF(tblProductos[[#This Row],[SKU]]="","",COUNTIF(tblMovimientos[SKU],tblProductos[[#This Row],[SKU]]))</f>
        <v/>
      </c>
      <c r="N2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6" spans="2:14" x14ac:dyDescent="0.25">
      <c r="B286" s="37"/>
      <c r="C286" s="37"/>
      <c r="D286" s="37"/>
      <c r="E286" s="38"/>
      <c r="F286" s="39"/>
      <c r="G286" s="39"/>
      <c r="H286" s="42"/>
      <c r="I286" s="37"/>
      <c r="J286" s="38"/>
      <c r="K286" s="38"/>
      <c r="L286" s="43" t="str">
        <f>IF(OR(tblProductos[[#This Row],[SKU]]="",tblProductos[[#This Row],[Producto]]=""),"",tblProductos[[#This Row],[SKU]]&amp;" · "&amp;tblProductos[[#This Row],[Producto]])</f>
        <v/>
      </c>
      <c r="M286" s="40" t="str">
        <f>IF(tblProductos[[#This Row],[SKU]]="","",COUNTIF(tblMovimientos[SKU],tblProductos[[#This Row],[SKU]]))</f>
        <v/>
      </c>
      <c r="N2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7" spans="2:14" x14ac:dyDescent="0.25">
      <c r="B287" s="37"/>
      <c r="C287" s="37"/>
      <c r="D287" s="37"/>
      <c r="E287" s="38"/>
      <c r="F287" s="39"/>
      <c r="G287" s="39"/>
      <c r="H287" s="42"/>
      <c r="I287" s="37"/>
      <c r="J287" s="38"/>
      <c r="K287" s="38"/>
      <c r="L287" s="43" t="str">
        <f>IF(OR(tblProductos[[#This Row],[SKU]]="",tblProductos[[#This Row],[Producto]]=""),"",tblProductos[[#This Row],[SKU]]&amp;" · "&amp;tblProductos[[#This Row],[Producto]])</f>
        <v/>
      </c>
      <c r="M287" s="40" t="str">
        <f>IF(tblProductos[[#This Row],[SKU]]="","",COUNTIF(tblMovimientos[SKU],tblProductos[[#This Row],[SKU]]))</f>
        <v/>
      </c>
      <c r="N2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8" spans="2:14" x14ac:dyDescent="0.25">
      <c r="B288" s="37"/>
      <c r="C288" s="37"/>
      <c r="D288" s="37"/>
      <c r="E288" s="38"/>
      <c r="F288" s="39"/>
      <c r="G288" s="39"/>
      <c r="H288" s="42"/>
      <c r="I288" s="37"/>
      <c r="J288" s="38"/>
      <c r="K288" s="38"/>
      <c r="L288" s="43" t="str">
        <f>IF(OR(tblProductos[[#This Row],[SKU]]="",tblProductos[[#This Row],[Producto]]=""),"",tblProductos[[#This Row],[SKU]]&amp;" · "&amp;tblProductos[[#This Row],[Producto]])</f>
        <v/>
      </c>
      <c r="M288" s="40" t="str">
        <f>IF(tblProductos[[#This Row],[SKU]]="","",COUNTIF(tblMovimientos[SKU],tblProductos[[#This Row],[SKU]]))</f>
        <v/>
      </c>
      <c r="N2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89" spans="2:14" x14ac:dyDescent="0.25">
      <c r="B289" s="37"/>
      <c r="C289" s="37"/>
      <c r="D289" s="37"/>
      <c r="E289" s="38"/>
      <c r="F289" s="39"/>
      <c r="G289" s="39"/>
      <c r="H289" s="42"/>
      <c r="I289" s="37"/>
      <c r="J289" s="38"/>
      <c r="K289" s="38"/>
      <c r="L289" s="43" t="str">
        <f>IF(OR(tblProductos[[#This Row],[SKU]]="",tblProductos[[#This Row],[Producto]]=""),"",tblProductos[[#This Row],[SKU]]&amp;" · "&amp;tblProductos[[#This Row],[Producto]])</f>
        <v/>
      </c>
      <c r="M289" s="40" t="str">
        <f>IF(tblProductos[[#This Row],[SKU]]="","",COUNTIF(tblMovimientos[SKU],tblProductos[[#This Row],[SKU]]))</f>
        <v/>
      </c>
      <c r="N2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0" spans="2:14" x14ac:dyDescent="0.25">
      <c r="B290" s="37"/>
      <c r="C290" s="37"/>
      <c r="D290" s="37"/>
      <c r="E290" s="38"/>
      <c r="F290" s="39"/>
      <c r="G290" s="39"/>
      <c r="H290" s="42"/>
      <c r="I290" s="37"/>
      <c r="J290" s="38"/>
      <c r="K290" s="38"/>
      <c r="L290" s="43" t="str">
        <f>IF(OR(tblProductos[[#This Row],[SKU]]="",tblProductos[[#This Row],[Producto]]=""),"",tblProductos[[#This Row],[SKU]]&amp;" · "&amp;tblProductos[[#This Row],[Producto]])</f>
        <v/>
      </c>
      <c r="M290" s="40" t="str">
        <f>IF(tblProductos[[#This Row],[SKU]]="","",COUNTIF(tblMovimientos[SKU],tblProductos[[#This Row],[SKU]]))</f>
        <v/>
      </c>
      <c r="N2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1" spans="2:14" x14ac:dyDescent="0.25">
      <c r="B291" s="37"/>
      <c r="C291" s="37"/>
      <c r="D291" s="37"/>
      <c r="E291" s="38"/>
      <c r="F291" s="39"/>
      <c r="G291" s="39"/>
      <c r="H291" s="42"/>
      <c r="I291" s="37"/>
      <c r="J291" s="38"/>
      <c r="K291" s="38"/>
      <c r="L291" s="43" t="str">
        <f>IF(OR(tblProductos[[#This Row],[SKU]]="",tblProductos[[#This Row],[Producto]]=""),"",tblProductos[[#This Row],[SKU]]&amp;" · "&amp;tblProductos[[#This Row],[Producto]])</f>
        <v/>
      </c>
      <c r="M291" s="40" t="str">
        <f>IF(tblProductos[[#This Row],[SKU]]="","",COUNTIF(tblMovimientos[SKU],tblProductos[[#This Row],[SKU]]))</f>
        <v/>
      </c>
      <c r="N2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2" spans="2:14" x14ac:dyDescent="0.25">
      <c r="B292" s="37"/>
      <c r="C292" s="37"/>
      <c r="D292" s="37"/>
      <c r="E292" s="38"/>
      <c r="F292" s="39"/>
      <c r="G292" s="39"/>
      <c r="H292" s="42"/>
      <c r="I292" s="37"/>
      <c r="J292" s="38"/>
      <c r="K292" s="38"/>
      <c r="L292" s="43" t="str">
        <f>IF(OR(tblProductos[[#This Row],[SKU]]="",tblProductos[[#This Row],[Producto]]=""),"",tblProductos[[#This Row],[SKU]]&amp;" · "&amp;tblProductos[[#This Row],[Producto]])</f>
        <v/>
      </c>
      <c r="M292" s="40" t="str">
        <f>IF(tblProductos[[#This Row],[SKU]]="","",COUNTIF(tblMovimientos[SKU],tblProductos[[#This Row],[SKU]]))</f>
        <v/>
      </c>
      <c r="N2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3" spans="2:14" x14ac:dyDescent="0.25">
      <c r="B293" s="37"/>
      <c r="C293" s="37"/>
      <c r="D293" s="37"/>
      <c r="E293" s="38"/>
      <c r="F293" s="39"/>
      <c r="G293" s="39"/>
      <c r="H293" s="42"/>
      <c r="I293" s="37"/>
      <c r="J293" s="38"/>
      <c r="K293" s="38"/>
      <c r="L293" s="43" t="str">
        <f>IF(OR(tblProductos[[#This Row],[SKU]]="",tblProductos[[#This Row],[Producto]]=""),"",tblProductos[[#This Row],[SKU]]&amp;" · "&amp;tblProductos[[#This Row],[Producto]])</f>
        <v/>
      </c>
      <c r="M293" s="40" t="str">
        <f>IF(tblProductos[[#This Row],[SKU]]="","",COUNTIF(tblMovimientos[SKU],tblProductos[[#This Row],[SKU]]))</f>
        <v/>
      </c>
      <c r="N2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4" spans="2:14" x14ac:dyDescent="0.25">
      <c r="B294" s="37"/>
      <c r="C294" s="37"/>
      <c r="D294" s="37"/>
      <c r="E294" s="38"/>
      <c r="F294" s="39"/>
      <c r="G294" s="39"/>
      <c r="H294" s="42"/>
      <c r="I294" s="37"/>
      <c r="J294" s="38"/>
      <c r="K294" s="38"/>
      <c r="L294" s="43" t="str">
        <f>IF(OR(tblProductos[[#This Row],[SKU]]="",tblProductos[[#This Row],[Producto]]=""),"",tblProductos[[#This Row],[SKU]]&amp;" · "&amp;tblProductos[[#This Row],[Producto]])</f>
        <v/>
      </c>
      <c r="M294" s="40" t="str">
        <f>IF(tblProductos[[#This Row],[SKU]]="","",COUNTIF(tblMovimientos[SKU],tblProductos[[#This Row],[SKU]]))</f>
        <v/>
      </c>
      <c r="N2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5" spans="2:14" x14ac:dyDescent="0.25">
      <c r="B295" s="37"/>
      <c r="C295" s="37"/>
      <c r="D295" s="37"/>
      <c r="E295" s="38"/>
      <c r="F295" s="39"/>
      <c r="G295" s="39"/>
      <c r="H295" s="42"/>
      <c r="I295" s="37"/>
      <c r="J295" s="38"/>
      <c r="K295" s="38"/>
      <c r="L295" s="43" t="str">
        <f>IF(OR(tblProductos[[#This Row],[SKU]]="",tblProductos[[#This Row],[Producto]]=""),"",tblProductos[[#This Row],[SKU]]&amp;" · "&amp;tblProductos[[#This Row],[Producto]])</f>
        <v/>
      </c>
      <c r="M295" s="40" t="str">
        <f>IF(tblProductos[[#This Row],[SKU]]="","",COUNTIF(tblMovimientos[SKU],tblProductos[[#This Row],[SKU]]))</f>
        <v/>
      </c>
      <c r="N2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6" spans="2:14" x14ac:dyDescent="0.25">
      <c r="B296" s="37"/>
      <c r="C296" s="37"/>
      <c r="D296" s="37"/>
      <c r="E296" s="38"/>
      <c r="F296" s="39"/>
      <c r="G296" s="39"/>
      <c r="H296" s="42"/>
      <c r="I296" s="37"/>
      <c r="J296" s="38"/>
      <c r="K296" s="38"/>
      <c r="L296" s="43" t="str">
        <f>IF(OR(tblProductos[[#This Row],[SKU]]="",tblProductos[[#This Row],[Producto]]=""),"",tblProductos[[#This Row],[SKU]]&amp;" · "&amp;tblProductos[[#This Row],[Producto]])</f>
        <v/>
      </c>
      <c r="M296" s="40" t="str">
        <f>IF(tblProductos[[#This Row],[SKU]]="","",COUNTIF(tblMovimientos[SKU],tblProductos[[#This Row],[SKU]]))</f>
        <v/>
      </c>
      <c r="N2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7" spans="2:14" x14ac:dyDescent="0.25">
      <c r="B297" s="37"/>
      <c r="C297" s="37"/>
      <c r="D297" s="37"/>
      <c r="E297" s="38"/>
      <c r="F297" s="39"/>
      <c r="G297" s="39"/>
      <c r="H297" s="42"/>
      <c r="I297" s="37"/>
      <c r="J297" s="38"/>
      <c r="K297" s="38"/>
      <c r="L297" s="43" t="str">
        <f>IF(OR(tblProductos[[#This Row],[SKU]]="",tblProductos[[#This Row],[Producto]]=""),"",tblProductos[[#This Row],[SKU]]&amp;" · "&amp;tblProductos[[#This Row],[Producto]])</f>
        <v/>
      </c>
      <c r="M297" s="40" t="str">
        <f>IF(tblProductos[[#This Row],[SKU]]="","",COUNTIF(tblMovimientos[SKU],tblProductos[[#This Row],[SKU]]))</f>
        <v/>
      </c>
      <c r="N2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8" spans="2:14" x14ac:dyDescent="0.25">
      <c r="B298" s="37"/>
      <c r="C298" s="37"/>
      <c r="D298" s="37"/>
      <c r="E298" s="38"/>
      <c r="F298" s="39"/>
      <c r="G298" s="39"/>
      <c r="H298" s="42"/>
      <c r="I298" s="37"/>
      <c r="J298" s="38"/>
      <c r="K298" s="38"/>
      <c r="L298" s="43" t="str">
        <f>IF(OR(tblProductos[[#This Row],[SKU]]="",tblProductos[[#This Row],[Producto]]=""),"",tblProductos[[#This Row],[SKU]]&amp;" · "&amp;tblProductos[[#This Row],[Producto]])</f>
        <v/>
      </c>
      <c r="M298" s="40" t="str">
        <f>IF(tblProductos[[#This Row],[SKU]]="","",COUNTIF(tblMovimientos[SKU],tblProductos[[#This Row],[SKU]]))</f>
        <v/>
      </c>
      <c r="N2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299" spans="2:14" x14ac:dyDescent="0.25">
      <c r="B299" s="37"/>
      <c r="C299" s="37"/>
      <c r="D299" s="37"/>
      <c r="E299" s="38"/>
      <c r="F299" s="39"/>
      <c r="G299" s="39"/>
      <c r="H299" s="42"/>
      <c r="I299" s="37"/>
      <c r="J299" s="38"/>
      <c r="K299" s="38"/>
      <c r="L299" s="43" t="str">
        <f>IF(OR(tblProductos[[#This Row],[SKU]]="",tblProductos[[#This Row],[Producto]]=""),"",tblProductos[[#This Row],[SKU]]&amp;" · "&amp;tblProductos[[#This Row],[Producto]])</f>
        <v/>
      </c>
      <c r="M299" s="40" t="str">
        <f>IF(tblProductos[[#This Row],[SKU]]="","",COUNTIF(tblMovimientos[SKU],tblProductos[[#This Row],[SKU]]))</f>
        <v/>
      </c>
      <c r="N2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0" spans="2:14" x14ac:dyDescent="0.25">
      <c r="B300" s="37"/>
      <c r="C300" s="37"/>
      <c r="D300" s="37"/>
      <c r="E300" s="38"/>
      <c r="F300" s="39"/>
      <c r="G300" s="39"/>
      <c r="H300" s="42"/>
      <c r="I300" s="37"/>
      <c r="J300" s="38"/>
      <c r="K300" s="38"/>
      <c r="L300" s="43" t="str">
        <f>IF(OR(tblProductos[[#This Row],[SKU]]="",tblProductos[[#This Row],[Producto]]=""),"",tblProductos[[#This Row],[SKU]]&amp;" · "&amp;tblProductos[[#This Row],[Producto]])</f>
        <v/>
      </c>
      <c r="M300" s="40" t="str">
        <f>IF(tblProductos[[#This Row],[SKU]]="","",COUNTIF(tblMovimientos[SKU],tblProductos[[#This Row],[SKU]]))</f>
        <v/>
      </c>
      <c r="N3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1" spans="2:14" x14ac:dyDescent="0.25">
      <c r="B301" s="37"/>
      <c r="C301" s="37"/>
      <c r="D301" s="37"/>
      <c r="E301" s="38"/>
      <c r="F301" s="39"/>
      <c r="G301" s="39"/>
      <c r="H301" s="42"/>
      <c r="I301" s="37"/>
      <c r="J301" s="38"/>
      <c r="K301" s="38"/>
      <c r="L301" s="43" t="str">
        <f>IF(OR(tblProductos[[#This Row],[SKU]]="",tblProductos[[#This Row],[Producto]]=""),"",tblProductos[[#This Row],[SKU]]&amp;" · "&amp;tblProductos[[#This Row],[Producto]])</f>
        <v/>
      </c>
      <c r="M301" s="40" t="str">
        <f>IF(tblProductos[[#This Row],[SKU]]="","",COUNTIF(tblMovimientos[SKU],tblProductos[[#This Row],[SKU]]))</f>
        <v/>
      </c>
      <c r="N3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2" spans="2:14" x14ac:dyDescent="0.25">
      <c r="B302" s="37"/>
      <c r="C302" s="37"/>
      <c r="D302" s="37"/>
      <c r="E302" s="38"/>
      <c r="F302" s="39"/>
      <c r="G302" s="39"/>
      <c r="H302" s="42"/>
      <c r="I302" s="37"/>
      <c r="J302" s="38"/>
      <c r="K302" s="38"/>
      <c r="L302" s="43" t="str">
        <f>IF(OR(tblProductos[[#This Row],[SKU]]="",tblProductos[[#This Row],[Producto]]=""),"",tblProductos[[#This Row],[SKU]]&amp;" · "&amp;tblProductos[[#This Row],[Producto]])</f>
        <v/>
      </c>
      <c r="M302" s="40" t="str">
        <f>IF(tblProductos[[#This Row],[SKU]]="","",COUNTIF(tblMovimientos[SKU],tblProductos[[#This Row],[SKU]]))</f>
        <v/>
      </c>
      <c r="N3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3" spans="2:14" x14ac:dyDescent="0.25">
      <c r="B303" s="37"/>
      <c r="C303" s="37"/>
      <c r="D303" s="37"/>
      <c r="E303" s="38"/>
      <c r="F303" s="39"/>
      <c r="G303" s="39"/>
      <c r="H303" s="42"/>
      <c r="I303" s="37"/>
      <c r="J303" s="38"/>
      <c r="K303" s="38"/>
      <c r="L303" s="43" t="str">
        <f>IF(OR(tblProductos[[#This Row],[SKU]]="",tblProductos[[#This Row],[Producto]]=""),"",tblProductos[[#This Row],[SKU]]&amp;" · "&amp;tblProductos[[#This Row],[Producto]])</f>
        <v/>
      </c>
      <c r="M303" s="40" t="str">
        <f>IF(tblProductos[[#This Row],[SKU]]="","",COUNTIF(tblMovimientos[SKU],tblProductos[[#This Row],[SKU]]))</f>
        <v/>
      </c>
      <c r="N3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4" spans="2:14" x14ac:dyDescent="0.25">
      <c r="B304" s="37"/>
      <c r="C304" s="37"/>
      <c r="D304" s="37"/>
      <c r="E304" s="38"/>
      <c r="F304" s="39"/>
      <c r="G304" s="39"/>
      <c r="H304" s="42"/>
      <c r="I304" s="37"/>
      <c r="J304" s="38"/>
      <c r="K304" s="38"/>
      <c r="L304" s="43" t="str">
        <f>IF(OR(tblProductos[[#This Row],[SKU]]="",tblProductos[[#This Row],[Producto]]=""),"",tblProductos[[#This Row],[SKU]]&amp;" · "&amp;tblProductos[[#This Row],[Producto]])</f>
        <v/>
      </c>
      <c r="M304" s="40" t="str">
        <f>IF(tblProductos[[#This Row],[SKU]]="","",COUNTIF(tblMovimientos[SKU],tblProductos[[#This Row],[SKU]]))</f>
        <v/>
      </c>
      <c r="N3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5" spans="2:14" x14ac:dyDescent="0.25">
      <c r="B305" s="37"/>
      <c r="C305" s="37"/>
      <c r="D305" s="37"/>
      <c r="E305" s="38"/>
      <c r="F305" s="39"/>
      <c r="G305" s="39"/>
      <c r="H305" s="42"/>
      <c r="I305" s="37"/>
      <c r="J305" s="38"/>
      <c r="K305" s="38"/>
      <c r="L305" s="43" t="str">
        <f>IF(OR(tblProductos[[#This Row],[SKU]]="",tblProductos[[#This Row],[Producto]]=""),"",tblProductos[[#This Row],[SKU]]&amp;" · "&amp;tblProductos[[#This Row],[Producto]])</f>
        <v/>
      </c>
      <c r="M305" s="40" t="str">
        <f>IF(tblProductos[[#This Row],[SKU]]="","",COUNTIF(tblMovimientos[SKU],tblProductos[[#This Row],[SKU]]))</f>
        <v/>
      </c>
      <c r="N3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6" spans="2:14" x14ac:dyDescent="0.25">
      <c r="B306" s="37"/>
      <c r="C306" s="37"/>
      <c r="D306" s="37"/>
      <c r="E306" s="38"/>
      <c r="F306" s="39"/>
      <c r="G306" s="39"/>
      <c r="H306" s="42"/>
      <c r="I306" s="37"/>
      <c r="J306" s="38"/>
      <c r="K306" s="38"/>
      <c r="L306" s="43" t="str">
        <f>IF(OR(tblProductos[[#This Row],[SKU]]="",tblProductos[[#This Row],[Producto]]=""),"",tblProductos[[#This Row],[SKU]]&amp;" · "&amp;tblProductos[[#This Row],[Producto]])</f>
        <v/>
      </c>
      <c r="M306" s="40" t="str">
        <f>IF(tblProductos[[#This Row],[SKU]]="","",COUNTIF(tblMovimientos[SKU],tblProductos[[#This Row],[SKU]]))</f>
        <v/>
      </c>
      <c r="N3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7" spans="2:14" x14ac:dyDescent="0.25">
      <c r="B307" s="37"/>
      <c r="C307" s="37"/>
      <c r="D307" s="37"/>
      <c r="E307" s="38"/>
      <c r="F307" s="39"/>
      <c r="G307" s="39"/>
      <c r="H307" s="42"/>
      <c r="I307" s="37"/>
      <c r="J307" s="38"/>
      <c r="K307" s="38"/>
      <c r="L307" s="43" t="str">
        <f>IF(OR(tblProductos[[#This Row],[SKU]]="",tblProductos[[#This Row],[Producto]]=""),"",tblProductos[[#This Row],[SKU]]&amp;" · "&amp;tblProductos[[#This Row],[Producto]])</f>
        <v/>
      </c>
      <c r="M307" s="40" t="str">
        <f>IF(tblProductos[[#This Row],[SKU]]="","",COUNTIF(tblMovimientos[SKU],tblProductos[[#This Row],[SKU]]))</f>
        <v/>
      </c>
      <c r="N3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8" spans="2:14" x14ac:dyDescent="0.25">
      <c r="B308" s="37"/>
      <c r="C308" s="37"/>
      <c r="D308" s="37"/>
      <c r="E308" s="38"/>
      <c r="F308" s="39"/>
      <c r="G308" s="39"/>
      <c r="H308" s="42"/>
      <c r="I308" s="37"/>
      <c r="J308" s="38"/>
      <c r="K308" s="38"/>
      <c r="L308" s="43" t="str">
        <f>IF(OR(tblProductos[[#This Row],[SKU]]="",tblProductos[[#This Row],[Producto]]=""),"",tblProductos[[#This Row],[SKU]]&amp;" · "&amp;tblProductos[[#This Row],[Producto]])</f>
        <v/>
      </c>
      <c r="M308" s="40" t="str">
        <f>IF(tblProductos[[#This Row],[SKU]]="","",COUNTIF(tblMovimientos[SKU],tblProductos[[#This Row],[SKU]]))</f>
        <v/>
      </c>
      <c r="N3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09" spans="2:14" x14ac:dyDescent="0.25">
      <c r="B309" s="37"/>
      <c r="C309" s="37"/>
      <c r="D309" s="37"/>
      <c r="E309" s="38"/>
      <c r="F309" s="39"/>
      <c r="G309" s="39"/>
      <c r="H309" s="42"/>
      <c r="I309" s="37"/>
      <c r="J309" s="38"/>
      <c r="K309" s="38"/>
      <c r="L309" s="43" t="str">
        <f>IF(OR(tblProductos[[#This Row],[SKU]]="",tblProductos[[#This Row],[Producto]]=""),"",tblProductos[[#This Row],[SKU]]&amp;" · "&amp;tblProductos[[#This Row],[Producto]])</f>
        <v/>
      </c>
      <c r="M309" s="40" t="str">
        <f>IF(tblProductos[[#This Row],[SKU]]="","",COUNTIF(tblMovimientos[SKU],tblProductos[[#This Row],[SKU]]))</f>
        <v/>
      </c>
      <c r="N3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0" spans="2:14" x14ac:dyDescent="0.25">
      <c r="B310" s="37"/>
      <c r="C310" s="37"/>
      <c r="D310" s="37"/>
      <c r="E310" s="38"/>
      <c r="F310" s="39"/>
      <c r="G310" s="39"/>
      <c r="H310" s="42"/>
      <c r="I310" s="37"/>
      <c r="J310" s="38"/>
      <c r="K310" s="38"/>
      <c r="L310" s="43" t="str">
        <f>IF(OR(tblProductos[[#This Row],[SKU]]="",tblProductos[[#This Row],[Producto]]=""),"",tblProductos[[#This Row],[SKU]]&amp;" · "&amp;tblProductos[[#This Row],[Producto]])</f>
        <v/>
      </c>
      <c r="M310" s="40" t="str">
        <f>IF(tblProductos[[#This Row],[SKU]]="","",COUNTIF(tblMovimientos[SKU],tblProductos[[#This Row],[SKU]]))</f>
        <v/>
      </c>
      <c r="N3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1" spans="2:14" x14ac:dyDescent="0.25">
      <c r="B311" s="37"/>
      <c r="C311" s="37"/>
      <c r="D311" s="37"/>
      <c r="E311" s="38"/>
      <c r="F311" s="39"/>
      <c r="G311" s="39"/>
      <c r="H311" s="42"/>
      <c r="I311" s="37"/>
      <c r="J311" s="38"/>
      <c r="K311" s="38"/>
      <c r="L311" s="43" t="str">
        <f>IF(OR(tblProductos[[#This Row],[SKU]]="",tblProductos[[#This Row],[Producto]]=""),"",tblProductos[[#This Row],[SKU]]&amp;" · "&amp;tblProductos[[#This Row],[Producto]])</f>
        <v/>
      </c>
      <c r="M311" s="40" t="str">
        <f>IF(tblProductos[[#This Row],[SKU]]="","",COUNTIF(tblMovimientos[SKU],tblProductos[[#This Row],[SKU]]))</f>
        <v/>
      </c>
      <c r="N3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2" spans="2:14" x14ac:dyDescent="0.25">
      <c r="B312" s="37"/>
      <c r="C312" s="37"/>
      <c r="D312" s="37"/>
      <c r="E312" s="38"/>
      <c r="F312" s="39"/>
      <c r="G312" s="39"/>
      <c r="H312" s="42"/>
      <c r="I312" s="37"/>
      <c r="J312" s="38"/>
      <c r="K312" s="38"/>
      <c r="L312" s="43" t="str">
        <f>IF(OR(tblProductos[[#This Row],[SKU]]="",tblProductos[[#This Row],[Producto]]=""),"",tblProductos[[#This Row],[SKU]]&amp;" · "&amp;tblProductos[[#This Row],[Producto]])</f>
        <v/>
      </c>
      <c r="M312" s="40" t="str">
        <f>IF(tblProductos[[#This Row],[SKU]]="","",COUNTIF(tblMovimientos[SKU],tblProductos[[#This Row],[SKU]]))</f>
        <v/>
      </c>
      <c r="N3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3" spans="2:14" x14ac:dyDescent="0.25">
      <c r="B313" s="37"/>
      <c r="C313" s="37"/>
      <c r="D313" s="37"/>
      <c r="E313" s="38"/>
      <c r="F313" s="39"/>
      <c r="G313" s="39"/>
      <c r="H313" s="42"/>
      <c r="I313" s="37"/>
      <c r="J313" s="38"/>
      <c r="K313" s="38"/>
      <c r="L313" s="43" t="str">
        <f>IF(OR(tblProductos[[#This Row],[SKU]]="",tblProductos[[#This Row],[Producto]]=""),"",tblProductos[[#This Row],[SKU]]&amp;" · "&amp;tblProductos[[#This Row],[Producto]])</f>
        <v/>
      </c>
      <c r="M313" s="40" t="str">
        <f>IF(tblProductos[[#This Row],[SKU]]="","",COUNTIF(tblMovimientos[SKU],tblProductos[[#This Row],[SKU]]))</f>
        <v/>
      </c>
      <c r="N3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4" spans="2:14" x14ac:dyDescent="0.25">
      <c r="B314" s="37"/>
      <c r="C314" s="37"/>
      <c r="D314" s="37"/>
      <c r="E314" s="38"/>
      <c r="F314" s="39"/>
      <c r="G314" s="39"/>
      <c r="H314" s="42"/>
      <c r="I314" s="37"/>
      <c r="J314" s="38"/>
      <c r="K314" s="38"/>
      <c r="L314" s="43" t="str">
        <f>IF(OR(tblProductos[[#This Row],[SKU]]="",tblProductos[[#This Row],[Producto]]=""),"",tblProductos[[#This Row],[SKU]]&amp;" · "&amp;tblProductos[[#This Row],[Producto]])</f>
        <v/>
      </c>
      <c r="M314" s="40" t="str">
        <f>IF(tblProductos[[#This Row],[SKU]]="","",COUNTIF(tblMovimientos[SKU],tblProductos[[#This Row],[SKU]]))</f>
        <v/>
      </c>
      <c r="N3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5" spans="2:14" x14ac:dyDescent="0.25">
      <c r="B315" s="37"/>
      <c r="C315" s="37"/>
      <c r="D315" s="37"/>
      <c r="E315" s="38"/>
      <c r="F315" s="39"/>
      <c r="G315" s="39"/>
      <c r="H315" s="42"/>
      <c r="I315" s="37"/>
      <c r="J315" s="38"/>
      <c r="K315" s="38"/>
      <c r="L315" s="43" t="str">
        <f>IF(OR(tblProductos[[#This Row],[SKU]]="",tblProductos[[#This Row],[Producto]]=""),"",tblProductos[[#This Row],[SKU]]&amp;" · "&amp;tblProductos[[#This Row],[Producto]])</f>
        <v/>
      </c>
      <c r="M315" s="40" t="str">
        <f>IF(tblProductos[[#This Row],[SKU]]="","",COUNTIF(tblMovimientos[SKU],tblProductos[[#This Row],[SKU]]))</f>
        <v/>
      </c>
      <c r="N3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6" spans="2:14" x14ac:dyDescent="0.25">
      <c r="B316" s="37"/>
      <c r="C316" s="37"/>
      <c r="D316" s="37"/>
      <c r="E316" s="38"/>
      <c r="F316" s="39"/>
      <c r="G316" s="39"/>
      <c r="H316" s="42"/>
      <c r="I316" s="37"/>
      <c r="J316" s="38"/>
      <c r="K316" s="38"/>
      <c r="L316" s="43" t="str">
        <f>IF(OR(tblProductos[[#This Row],[SKU]]="",tblProductos[[#This Row],[Producto]]=""),"",tblProductos[[#This Row],[SKU]]&amp;" · "&amp;tblProductos[[#This Row],[Producto]])</f>
        <v/>
      </c>
      <c r="M316" s="40" t="str">
        <f>IF(tblProductos[[#This Row],[SKU]]="","",COUNTIF(tblMovimientos[SKU],tblProductos[[#This Row],[SKU]]))</f>
        <v/>
      </c>
      <c r="N3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7" spans="2:14" x14ac:dyDescent="0.25">
      <c r="B317" s="37"/>
      <c r="C317" s="37"/>
      <c r="D317" s="37"/>
      <c r="E317" s="38"/>
      <c r="F317" s="39"/>
      <c r="G317" s="39"/>
      <c r="H317" s="42"/>
      <c r="I317" s="37"/>
      <c r="J317" s="38"/>
      <c r="K317" s="38"/>
      <c r="L317" s="43" t="str">
        <f>IF(OR(tblProductos[[#This Row],[SKU]]="",tblProductos[[#This Row],[Producto]]=""),"",tblProductos[[#This Row],[SKU]]&amp;" · "&amp;tblProductos[[#This Row],[Producto]])</f>
        <v/>
      </c>
      <c r="M317" s="40" t="str">
        <f>IF(tblProductos[[#This Row],[SKU]]="","",COUNTIF(tblMovimientos[SKU],tblProductos[[#This Row],[SKU]]))</f>
        <v/>
      </c>
      <c r="N3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8" spans="2:14" x14ac:dyDescent="0.25">
      <c r="B318" s="37"/>
      <c r="C318" s="37"/>
      <c r="D318" s="37"/>
      <c r="E318" s="38"/>
      <c r="F318" s="39"/>
      <c r="G318" s="39"/>
      <c r="H318" s="42"/>
      <c r="I318" s="37"/>
      <c r="J318" s="38"/>
      <c r="K318" s="38"/>
      <c r="L318" s="43" t="str">
        <f>IF(OR(tblProductos[[#This Row],[SKU]]="",tblProductos[[#This Row],[Producto]]=""),"",tblProductos[[#This Row],[SKU]]&amp;" · "&amp;tblProductos[[#This Row],[Producto]])</f>
        <v/>
      </c>
      <c r="M318" s="40" t="str">
        <f>IF(tblProductos[[#This Row],[SKU]]="","",COUNTIF(tblMovimientos[SKU],tblProductos[[#This Row],[SKU]]))</f>
        <v/>
      </c>
      <c r="N3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19" spans="2:14" x14ac:dyDescent="0.25">
      <c r="B319" s="37"/>
      <c r="C319" s="37"/>
      <c r="D319" s="37"/>
      <c r="E319" s="38"/>
      <c r="F319" s="39"/>
      <c r="G319" s="39"/>
      <c r="H319" s="42"/>
      <c r="I319" s="37"/>
      <c r="J319" s="38"/>
      <c r="K319" s="38"/>
      <c r="L319" s="43" t="str">
        <f>IF(OR(tblProductos[[#This Row],[SKU]]="",tblProductos[[#This Row],[Producto]]=""),"",tblProductos[[#This Row],[SKU]]&amp;" · "&amp;tblProductos[[#This Row],[Producto]])</f>
        <v/>
      </c>
      <c r="M319" s="40" t="str">
        <f>IF(tblProductos[[#This Row],[SKU]]="","",COUNTIF(tblMovimientos[SKU],tblProductos[[#This Row],[SKU]]))</f>
        <v/>
      </c>
      <c r="N3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0" spans="2:14" x14ac:dyDescent="0.25">
      <c r="B320" s="37"/>
      <c r="C320" s="37"/>
      <c r="D320" s="37"/>
      <c r="E320" s="38"/>
      <c r="F320" s="39"/>
      <c r="G320" s="39"/>
      <c r="H320" s="42"/>
      <c r="I320" s="37"/>
      <c r="J320" s="38"/>
      <c r="K320" s="38"/>
      <c r="L320" s="43" t="str">
        <f>IF(OR(tblProductos[[#This Row],[SKU]]="",tblProductos[[#This Row],[Producto]]=""),"",tblProductos[[#This Row],[SKU]]&amp;" · "&amp;tblProductos[[#This Row],[Producto]])</f>
        <v/>
      </c>
      <c r="M320" s="40" t="str">
        <f>IF(tblProductos[[#This Row],[SKU]]="","",COUNTIF(tblMovimientos[SKU],tblProductos[[#This Row],[SKU]]))</f>
        <v/>
      </c>
      <c r="N3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1" spans="2:14" x14ac:dyDescent="0.25">
      <c r="B321" s="37"/>
      <c r="C321" s="37"/>
      <c r="D321" s="37"/>
      <c r="E321" s="38"/>
      <c r="F321" s="39"/>
      <c r="G321" s="39"/>
      <c r="H321" s="42"/>
      <c r="I321" s="37"/>
      <c r="J321" s="38"/>
      <c r="K321" s="38"/>
      <c r="L321" s="43" t="str">
        <f>IF(OR(tblProductos[[#This Row],[SKU]]="",tblProductos[[#This Row],[Producto]]=""),"",tblProductos[[#This Row],[SKU]]&amp;" · "&amp;tblProductos[[#This Row],[Producto]])</f>
        <v/>
      </c>
      <c r="M321" s="40" t="str">
        <f>IF(tblProductos[[#This Row],[SKU]]="","",COUNTIF(tblMovimientos[SKU],tblProductos[[#This Row],[SKU]]))</f>
        <v/>
      </c>
      <c r="N3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2" spans="2:14" x14ac:dyDescent="0.25">
      <c r="B322" s="37"/>
      <c r="C322" s="37"/>
      <c r="D322" s="37"/>
      <c r="E322" s="38"/>
      <c r="F322" s="39"/>
      <c r="G322" s="39"/>
      <c r="H322" s="42"/>
      <c r="I322" s="37"/>
      <c r="J322" s="38"/>
      <c r="K322" s="38"/>
      <c r="L322" s="43" t="str">
        <f>IF(OR(tblProductos[[#This Row],[SKU]]="",tblProductos[[#This Row],[Producto]]=""),"",tblProductos[[#This Row],[SKU]]&amp;" · "&amp;tblProductos[[#This Row],[Producto]])</f>
        <v/>
      </c>
      <c r="M322" s="40" t="str">
        <f>IF(tblProductos[[#This Row],[SKU]]="","",COUNTIF(tblMovimientos[SKU],tblProductos[[#This Row],[SKU]]))</f>
        <v/>
      </c>
      <c r="N3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3" spans="2:14" x14ac:dyDescent="0.25">
      <c r="B323" s="37"/>
      <c r="C323" s="37"/>
      <c r="D323" s="37"/>
      <c r="E323" s="38"/>
      <c r="F323" s="39"/>
      <c r="G323" s="39"/>
      <c r="H323" s="42"/>
      <c r="I323" s="37"/>
      <c r="J323" s="38"/>
      <c r="K323" s="38"/>
      <c r="L323" s="43" t="str">
        <f>IF(OR(tblProductos[[#This Row],[SKU]]="",tblProductos[[#This Row],[Producto]]=""),"",tblProductos[[#This Row],[SKU]]&amp;" · "&amp;tblProductos[[#This Row],[Producto]])</f>
        <v/>
      </c>
      <c r="M323" s="40" t="str">
        <f>IF(tblProductos[[#This Row],[SKU]]="","",COUNTIF(tblMovimientos[SKU],tblProductos[[#This Row],[SKU]]))</f>
        <v/>
      </c>
      <c r="N3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4" spans="2:14" x14ac:dyDescent="0.25">
      <c r="B324" s="37"/>
      <c r="C324" s="37"/>
      <c r="D324" s="37"/>
      <c r="E324" s="38"/>
      <c r="F324" s="39"/>
      <c r="G324" s="39"/>
      <c r="H324" s="42"/>
      <c r="I324" s="37"/>
      <c r="J324" s="38"/>
      <c r="K324" s="38"/>
      <c r="L324" s="43" t="str">
        <f>IF(OR(tblProductos[[#This Row],[SKU]]="",tblProductos[[#This Row],[Producto]]=""),"",tblProductos[[#This Row],[SKU]]&amp;" · "&amp;tblProductos[[#This Row],[Producto]])</f>
        <v/>
      </c>
      <c r="M324" s="40" t="str">
        <f>IF(tblProductos[[#This Row],[SKU]]="","",COUNTIF(tblMovimientos[SKU],tblProductos[[#This Row],[SKU]]))</f>
        <v/>
      </c>
      <c r="N3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5" spans="2:14" x14ac:dyDescent="0.25">
      <c r="B325" s="37"/>
      <c r="C325" s="37"/>
      <c r="D325" s="37"/>
      <c r="E325" s="38"/>
      <c r="F325" s="39"/>
      <c r="G325" s="39"/>
      <c r="H325" s="42"/>
      <c r="I325" s="37"/>
      <c r="J325" s="38"/>
      <c r="K325" s="38"/>
      <c r="L325" s="43" t="str">
        <f>IF(OR(tblProductos[[#This Row],[SKU]]="",tblProductos[[#This Row],[Producto]]=""),"",tblProductos[[#This Row],[SKU]]&amp;" · "&amp;tblProductos[[#This Row],[Producto]])</f>
        <v/>
      </c>
      <c r="M325" s="40" t="str">
        <f>IF(tblProductos[[#This Row],[SKU]]="","",COUNTIF(tblMovimientos[SKU],tblProductos[[#This Row],[SKU]]))</f>
        <v/>
      </c>
      <c r="N3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6" spans="2:14" x14ac:dyDescent="0.25">
      <c r="B326" s="37"/>
      <c r="C326" s="37"/>
      <c r="D326" s="37"/>
      <c r="E326" s="38"/>
      <c r="F326" s="39"/>
      <c r="G326" s="39"/>
      <c r="H326" s="42"/>
      <c r="I326" s="37"/>
      <c r="J326" s="38"/>
      <c r="K326" s="38"/>
      <c r="L326" s="43" t="str">
        <f>IF(OR(tblProductos[[#This Row],[SKU]]="",tblProductos[[#This Row],[Producto]]=""),"",tblProductos[[#This Row],[SKU]]&amp;" · "&amp;tblProductos[[#This Row],[Producto]])</f>
        <v/>
      </c>
      <c r="M326" s="40" t="str">
        <f>IF(tblProductos[[#This Row],[SKU]]="","",COUNTIF(tblMovimientos[SKU],tblProductos[[#This Row],[SKU]]))</f>
        <v/>
      </c>
      <c r="N3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7" spans="2:14" x14ac:dyDescent="0.25">
      <c r="B327" s="37"/>
      <c r="C327" s="37"/>
      <c r="D327" s="37"/>
      <c r="E327" s="38"/>
      <c r="F327" s="39"/>
      <c r="G327" s="39"/>
      <c r="H327" s="42"/>
      <c r="I327" s="37"/>
      <c r="J327" s="38"/>
      <c r="K327" s="38"/>
      <c r="L327" s="43" t="str">
        <f>IF(OR(tblProductos[[#This Row],[SKU]]="",tblProductos[[#This Row],[Producto]]=""),"",tblProductos[[#This Row],[SKU]]&amp;" · "&amp;tblProductos[[#This Row],[Producto]])</f>
        <v/>
      </c>
      <c r="M327" s="40" t="str">
        <f>IF(tblProductos[[#This Row],[SKU]]="","",COUNTIF(tblMovimientos[SKU],tblProductos[[#This Row],[SKU]]))</f>
        <v/>
      </c>
      <c r="N3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8" spans="2:14" x14ac:dyDescent="0.25">
      <c r="B328" s="37"/>
      <c r="C328" s="37"/>
      <c r="D328" s="37"/>
      <c r="E328" s="38"/>
      <c r="F328" s="39"/>
      <c r="G328" s="39"/>
      <c r="H328" s="42"/>
      <c r="I328" s="37"/>
      <c r="J328" s="38"/>
      <c r="K328" s="38"/>
      <c r="L328" s="43" t="str">
        <f>IF(OR(tblProductos[[#This Row],[SKU]]="",tblProductos[[#This Row],[Producto]]=""),"",tblProductos[[#This Row],[SKU]]&amp;" · "&amp;tblProductos[[#This Row],[Producto]])</f>
        <v/>
      </c>
      <c r="M328" s="40" t="str">
        <f>IF(tblProductos[[#This Row],[SKU]]="","",COUNTIF(tblMovimientos[SKU],tblProductos[[#This Row],[SKU]]))</f>
        <v/>
      </c>
      <c r="N3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29" spans="2:14" x14ac:dyDescent="0.25">
      <c r="B329" s="37"/>
      <c r="C329" s="37"/>
      <c r="D329" s="37"/>
      <c r="E329" s="38"/>
      <c r="F329" s="39"/>
      <c r="G329" s="39"/>
      <c r="H329" s="42"/>
      <c r="I329" s="37"/>
      <c r="J329" s="38"/>
      <c r="K329" s="38"/>
      <c r="L329" s="43" t="str">
        <f>IF(OR(tblProductos[[#This Row],[SKU]]="",tblProductos[[#This Row],[Producto]]=""),"",tblProductos[[#This Row],[SKU]]&amp;" · "&amp;tblProductos[[#This Row],[Producto]])</f>
        <v/>
      </c>
      <c r="M329" s="40" t="str">
        <f>IF(tblProductos[[#This Row],[SKU]]="","",COUNTIF(tblMovimientos[SKU],tblProductos[[#This Row],[SKU]]))</f>
        <v/>
      </c>
      <c r="N3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0" spans="2:14" x14ac:dyDescent="0.25">
      <c r="B330" s="37"/>
      <c r="C330" s="37"/>
      <c r="D330" s="37"/>
      <c r="E330" s="38"/>
      <c r="F330" s="39"/>
      <c r="G330" s="39"/>
      <c r="H330" s="42"/>
      <c r="I330" s="37"/>
      <c r="J330" s="38"/>
      <c r="K330" s="38"/>
      <c r="L330" s="43" t="str">
        <f>IF(OR(tblProductos[[#This Row],[SKU]]="",tblProductos[[#This Row],[Producto]]=""),"",tblProductos[[#This Row],[SKU]]&amp;" · "&amp;tblProductos[[#This Row],[Producto]])</f>
        <v/>
      </c>
      <c r="M330" s="40" t="str">
        <f>IF(tblProductos[[#This Row],[SKU]]="","",COUNTIF(tblMovimientos[SKU],tblProductos[[#This Row],[SKU]]))</f>
        <v/>
      </c>
      <c r="N3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1" spans="2:14" x14ac:dyDescent="0.25">
      <c r="B331" s="37"/>
      <c r="C331" s="37"/>
      <c r="D331" s="37"/>
      <c r="E331" s="38"/>
      <c r="F331" s="39"/>
      <c r="G331" s="39"/>
      <c r="H331" s="42"/>
      <c r="I331" s="37"/>
      <c r="J331" s="38"/>
      <c r="K331" s="38"/>
      <c r="L331" s="43" t="str">
        <f>IF(OR(tblProductos[[#This Row],[SKU]]="",tblProductos[[#This Row],[Producto]]=""),"",tblProductos[[#This Row],[SKU]]&amp;" · "&amp;tblProductos[[#This Row],[Producto]])</f>
        <v/>
      </c>
      <c r="M331" s="40" t="str">
        <f>IF(tblProductos[[#This Row],[SKU]]="","",COUNTIF(tblMovimientos[SKU],tblProductos[[#This Row],[SKU]]))</f>
        <v/>
      </c>
      <c r="N3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2" spans="2:14" x14ac:dyDescent="0.25">
      <c r="B332" s="37"/>
      <c r="C332" s="37"/>
      <c r="D332" s="37"/>
      <c r="E332" s="38"/>
      <c r="F332" s="39"/>
      <c r="G332" s="39"/>
      <c r="H332" s="42"/>
      <c r="I332" s="37"/>
      <c r="J332" s="38"/>
      <c r="K332" s="38"/>
      <c r="L332" s="43" t="str">
        <f>IF(OR(tblProductos[[#This Row],[SKU]]="",tblProductos[[#This Row],[Producto]]=""),"",tblProductos[[#This Row],[SKU]]&amp;" · "&amp;tblProductos[[#This Row],[Producto]])</f>
        <v/>
      </c>
      <c r="M332" s="40" t="str">
        <f>IF(tblProductos[[#This Row],[SKU]]="","",COUNTIF(tblMovimientos[SKU],tblProductos[[#This Row],[SKU]]))</f>
        <v/>
      </c>
      <c r="N3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3" spans="2:14" x14ac:dyDescent="0.25">
      <c r="B333" s="37"/>
      <c r="C333" s="37"/>
      <c r="D333" s="37"/>
      <c r="E333" s="38"/>
      <c r="F333" s="39"/>
      <c r="G333" s="39"/>
      <c r="H333" s="42"/>
      <c r="I333" s="37"/>
      <c r="J333" s="38"/>
      <c r="K333" s="38"/>
      <c r="L333" s="43" t="str">
        <f>IF(OR(tblProductos[[#This Row],[SKU]]="",tblProductos[[#This Row],[Producto]]=""),"",tblProductos[[#This Row],[SKU]]&amp;" · "&amp;tblProductos[[#This Row],[Producto]])</f>
        <v/>
      </c>
      <c r="M333" s="40" t="str">
        <f>IF(tblProductos[[#This Row],[SKU]]="","",COUNTIF(tblMovimientos[SKU],tblProductos[[#This Row],[SKU]]))</f>
        <v/>
      </c>
      <c r="N3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4" spans="2:14" x14ac:dyDescent="0.25">
      <c r="B334" s="37"/>
      <c r="C334" s="37"/>
      <c r="D334" s="37"/>
      <c r="E334" s="38"/>
      <c r="F334" s="39"/>
      <c r="G334" s="39"/>
      <c r="H334" s="42"/>
      <c r="I334" s="37"/>
      <c r="J334" s="38"/>
      <c r="K334" s="38"/>
      <c r="L334" s="43" t="str">
        <f>IF(OR(tblProductos[[#This Row],[SKU]]="",tblProductos[[#This Row],[Producto]]=""),"",tblProductos[[#This Row],[SKU]]&amp;" · "&amp;tblProductos[[#This Row],[Producto]])</f>
        <v/>
      </c>
      <c r="M334" s="40" t="str">
        <f>IF(tblProductos[[#This Row],[SKU]]="","",COUNTIF(tblMovimientos[SKU],tblProductos[[#This Row],[SKU]]))</f>
        <v/>
      </c>
      <c r="N3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5" spans="2:14" x14ac:dyDescent="0.25">
      <c r="B335" s="37"/>
      <c r="C335" s="37"/>
      <c r="D335" s="37"/>
      <c r="E335" s="38"/>
      <c r="F335" s="39"/>
      <c r="G335" s="39"/>
      <c r="H335" s="42"/>
      <c r="I335" s="37"/>
      <c r="J335" s="38"/>
      <c r="K335" s="38"/>
      <c r="L335" s="43" t="str">
        <f>IF(OR(tblProductos[[#This Row],[SKU]]="",tblProductos[[#This Row],[Producto]]=""),"",tblProductos[[#This Row],[SKU]]&amp;" · "&amp;tblProductos[[#This Row],[Producto]])</f>
        <v/>
      </c>
      <c r="M335" s="40" t="str">
        <f>IF(tblProductos[[#This Row],[SKU]]="","",COUNTIF(tblMovimientos[SKU],tblProductos[[#This Row],[SKU]]))</f>
        <v/>
      </c>
      <c r="N3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6" spans="2:14" x14ac:dyDescent="0.25">
      <c r="B336" s="37"/>
      <c r="C336" s="37"/>
      <c r="D336" s="37"/>
      <c r="E336" s="38"/>
      <c r="F336" s="39"/>
      <c r="G336" s="39"/>
      <c r="H336" s="42"/>
      <c r="I336" s="37"/>
      <c r="J336" s="38"/>
      <c r="K336" s="38"/>
      <c r="L336" s="43" t="str">
        <f>IF(OR(tblProductos[[#This Row],[SKU]]="",tblProductos[[#This Row],[Producto]]=""),"",tblProductos[[#This Row],[SKU]]&amp;" · "&amp;tblProductos[[#This Row],[Producto]])</f>
        <v/>
      </c>
      <c r="M336" s="40" t="str">
        <f>IF(tblProductos[[#This Row],[SKU]]="","",COUNTIF(tblMovimientos[SKU],tblProductos[[#This Row],[SKU]]))</f>
        <v/>
      </c>
      <c r="N3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7" spans="2:14" x14ac:dyDescent="0.25">
      <c r="B337" s="37"/>
      <c r="C337" s="37"/>
      <c r="D337" s="37"/>
      <c r="E337" s="38"/>
      <c r="F337" s="39"/>
      <c r="G337" s="39"/>
      <c r="H337" s="42"/>
      <c r="I337" s="37"/>
      <c r="J337" s="38"/>
      <c r="K337" s="38"/>
      <c r="L337" s="43" t="str">
        <f>IF(OR(tblProductos[[#This Row],[SKU]]="",tblProductos[[#This Row],[Producto]]=""),"",tblProductos[[#This Row],[SKU]]&amp;" · "&amp;tblProductos[[#This Row],[Producto]])</f>
        <v/>
      </c>
      <c r="M337" s="40" t="str">
        <f>IF(tblProductos[[#This Row],[SKU]]="","",COUNTIF(tblMovimientos[SKU],tblProductos[[#This Row],[SKU]]))</f>
        <v/>
      </c>
      <c r="N3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8" spans="2:14" x14ac:dyDescent="0.25">
      <c r="B338" s="37"/>
      <c r="C338" s="37"/>
      <c r="D338" s="37"/>
      <c r="E338" s="38"/>
      <c r="F338" s="39"/>
      <c r="G338" s="39"/>
      <c r="H338" s="42"/>
      <c r="I338" s="37"/>
      <c r="J338" s="38"/>
      <c r="K338" s="38"/>
      <c r="L338" s="43" t="str">
        <f>IF(OR(tblProductos[[#This Row],[SKU]]="",tblProductos[[#This Row],[Producto]]=""),"",tblProductos[[#This Row],[SKU]]&amp;" · "&amp;tblProductos[[#This Row],[Producto]])</f>
        <v/>
      </c>
      <c r="M338" s="40" t="str">
        <f>IF(tblProductos[[#This Row],[SKU]]="","",COUNTIF(tblMovimientos[SKU],tblProductos[[#This Row],[SKU]]))</f>
        <v/>
      </c>
      <c r="N3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39" spans="2:14" x14ac:dyDescent="0.25">
      <c r="B339" s="37"/>
      <c r="C339" s="37"/>
      <c r="D339" s="37"/>
      <c r="E339" s="38"/>
      <c r="F339" s="39"/>
      <c r="G339" s="39"/>
      <c r="H339" s="42"/>
      <c r="I339" s="37"/>
      <c r="J339" s="38"/>
      <c r="K339" s="38"/>
      <c r="L339" s="43" t="str">
        <f>IF(OR(tblProductos[[#This Row],[SKU]]="",tblProductos[[#This Row],[Producto]]=""),"",tblProductos[[#This Row],[SKU]]&amp;" · "&amp;tblProductos[[#This Row],[Producto]])</f>
        <v/>
      </c>
      <c r="M339" s="40" t="str">
        <f>IF(tblProductos[[#This Row],[SKU]]="","",COUNTIF(tblMovimientos[SKU],tblProductos[[#This Row],[SKU]]))</f>
        <v/>
      </c>
      <c r="N3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0" spans="2:14" x14ac:dyDescent="0.25">
      <c r="B340" s="37"/>
      <c r="C340" s="37"/>
      <c r="D340" s="37"/>
      <c r="E340" s="38"/>
      <c r="F340" s="39"/>
      <c r="G340" s="39"/>
      <c r="H340" s="42"/>
      <c r="I340" s="37"/>
      <c r="J340" s="38"/>
      <c r="K340" s="38"/>
      <c r="L340" s="43" t="str">
        <f>IF(OR(tblProductos[[#This Row],[SKU]]="",tblProductos[[#This Row],[Producto]]=""),"",tblProductos[[#This Row],[SKU]]&amp;" · "&amp;tblProductos[[#This Row],[Producto]])</f>
        <v/>
      </c>
      <c r="M340" s="40" t="str">
        <f>IF(tblProductos[[#This Row],[SKU]]="","",COUNTIF(tblMovimientos[SKU],tblProductos[[#This Row],[SKU]]))</f>
        <v/>
      </c>
      <c r="N3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1" spans="2:14" x14ac:dyDescent="0.25">
      <c r="B341" s="37"/>
      <c r="C341" s="37"/>
      <c r="D341" s="37"/>
      <c r="E341" s="38"/>
      <c r="F341" s="39"/>
      <c r="G341" s="39"/>
      <c r="H341" s="42"/>
      <c r="I341" s="37"/>
      <c r="J341" s="38"/>
      <c r="K341" s="38"/>
      <c r="L341" s="43" t="str">
        <f>IF(OR(tblProductos[[#This Row],[SKU]]="",tblProductos[[#This Row],[Producto]]=""),"",tblProductos[[#This Row],[SKU]]&amp;" · "&amp;tblProductos[[#This Row],[Producto]])</f>
        <v/>
      </c>
      <c r="M341" s="40" t="str">
        <f>IF(tblProductos[[#This Row],[SKU]]="","",COUNTIF(tblMovimientos[SKU],tblProductos[[#This Row],[SKU]]))</f>
        <v/>
      </c>
      <c r="N3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2" spans="2:14" x14ac:dyDescent="0.25">
      <c r="B342" s="37"/>
      <c r="C342" s="37"/>
      <c r="D342" s="37"/>
      <c r="E342" s="38"/>
      <c r="F342" s="39"/>
      <c r="G342" s="39"/>
      <c r="H342" s="42"/>
      <c r="I342" s="37"/>
      <c r="J342" s="38"/>
      <c r="K342" s="38"/>
      <c r="L342" s="43" t="str">
        <f>IF(OR(tblProductos[[#This Row],[SKU]]="",tblProductos[[#This Row],[Producto]]=""),"",tblProductos[[#This Row],[SKU]]&amp;" · "&amp;tblProductos[[#This Row],[Producto]])</f>
        <v/>
      </c>
      <c r="M342" s="40" t="str">
        <f>IF(tblProductos[[#This Row],[SKU]]="","",COUNTIF(tblMovimientos[SKU],tblProductos[[#This Row],[SKU]]))</f>
        <v/>
      </c>
      <c r="N3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3" spans="2:14" x14ac:dyDescent="0.25">
      <c r="B343" s="37"/>
      <c r="C343" s="37"/>
      <c r="D343" s="37"/>
      <c r="E343" s="38"/>
      <c r="F343" s="39"/>
      <c r="G343" s="39"/>
      <c r="H343" s="42"/>
      <c r="I343" s="37"/>
      <c r="J343" s="38"/>
      <c r="K343" s="38"/>
      <c r="L343" s="43" t="str">
        <f>IF(OR(tblProductos[[#This Row],[SKU]]="",tblProductos[[#This Row],[Producto]]=""),"",tblProductos[[#This Row],[SKU]]&amp;" · "&amp;tblProductos[[#This Row],[Producto]])</f>
        <v/>
      </c>
      <c r="M343" s="40" t="str">
        <f>IF(tblProductos[[#This Row],[SKU]]="","",COUNTIF(tblMovimientos[SKU],tblProductos[[#This Row],[SKU]]))</f>
        <v/>
      </c>
      <c r="N3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4" spans="2:14" x14ac:dyDescent="0.25">
      <c r="B344" s="37"/>
      <c r="C344" s="37"/>
      <c r="D344" s="37"/>
      <c r="E344" s="38"/>
      <c r="F344" s="39"/>
      <c r="G344" s="39"/>
      <c r="H344" s="42"/>
      <c r="I344" s="37"/>
      <c r="J344" s="38"/>
      <c r="K344" s="38"/>
      <c r="L344" s="43" t="str">
        <f>IF(OR(tblProductos[[#This Row],[SKU]]="",tblProductos[[#This Row],[Producto]]=""),"",tblProductos[[#This Row],[SKU]]&amp;" · "&amp;tblProductos[[#This Row],[Producto]])</f>
        <v/>
      </c>
      <c r="M344" s="40" t="str">
        <f>IF(tblProductos[[#This Row],[SKU]]="","",COUNTIF(tblMovimientos[SKU],tblProductos[[#This Row],[SKU]]))</f>
        <v/>
      </c>
      <c r="N3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5" spans="2:14" x14ac:dyDescent="0.25">
      <c r="B345" s="37"/>
      <c r="C345" s="37"/>
      <c r="D345" s="37"/>
      <c r="E345" s="38"/>
      <c r="F345" s="39"/>
      <c r="G345" s="39"/>
      <c r="H345" s="42"/>
      <c r="I345" s="37"/>
      <c r="J345" s="38"/>
      <c r="K345" s="38"/>
      <c r="L345" s="43" t="str">
        <f>IF(OR(tblProductos[[#This Row],[SKU]]="",tblProductos[[#This Row],[Producto]]=""),"",tblProductos[[#This Row],[SKU]]&amp;" · "&amp;tblProductos[[#This Row],[Producto]])</f>
        <v/>
      </c>
      <c r="M345" s="40" t="str">
        <f>IF(tblProductos[[#This Row],[SKU]]="","",COUNTIF(tblMovimientos[SKU],tblProductos[[#This Row],[SKU]]))</f>
        <v/>
      </c>
      <c r="N3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6" spans="2:14" x14ac:dyDescent="0.25">
      <c r="B346" s="37"/>
      <c r="C346" s="37"/>
      <c r="D346" s="37"/>
      <c r="E346" s="38"/>
      <c r="F346" s="39"/>
      <c r="G346" s="39"/>
      <c r="H346" s="42"/>
      <c r="I346" s="37"/>
      <c r="J346" s="38"/>
      <c r="K346" s="38"/>
      <c r="L346" s="43" t="str">
        <f>IF(OR(tblProductos[[#This Row],[SKU]]="",tblProductos[[#This Row],[Producto]]=""),"",tblProductos[[#This Row],[SKU]]&amp;" · "&amp;tblProductos[[#This Row],[Producto]])</f>
        <v/>
      </c>
      <c r="M346" s="40" t="str">
        <f>IF(tblProductos[[#This Row],[SKU]]="","",COUNTIF(tblMovimientos[SKU],tblProductos[[#This Row],[SKU]]))</f>
        <v/>
      </c>
      <c r="N3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7" spans="2:14" x14ac:dyDescent="0.25">
      <c r="B347" s="37"/>
      <c r="C347" s="37"/>
      <c r="D347" s="37"/>
      <c r="E347" s="38"/>
      <c r="F347" s="39"/>
      <c r="G347" s="39"/>
      <c r="H347" s="42"/>
      <c r="I347" s="37"/>
      <c r="J347" s="38"/>
      <c r="K347" s="38"/>
      <c r="L347" s="43" t="str">
        <f>IF(OR(tblProductos[[#This Row],[SKU]]="",tblProductos[[#This Row],[Producto]]=""),"",tblProductos[[#This Row],[SKU]]&amp;" · "&amp;tblProductos[[#This Row],[Producto]])</f>
        <v/>
      </c>
      <c r="M347" s="40" t="str">
        <f>IF(tblProductos[[#This Row],[SKU]]="","",COUNTIF(tblMovimientos[SKU],tblProductos[[#This Row],[SKU]]))</f>
        <v/>
      </c>
      <c r="N3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8" spans="2:14" x14ac:dyDescent="0.25">
      <c r="B348" s="37"/>
      <c r="C348" s="37"/>
      <c r="D348" s="37"/>
      <c r="E348" s="38"/>
      <c r="F348" s="39"/>
      <c r="G348" s="39"/>
      <c r="H348" s="42"/>
      <c r="I348" s="37"/>
      <c r="J348" s="38"/>
      <c r="K348" s="38"/>
      <c r="L348" s="43" t="str">
        <f>IF(OR(tblProductos[[#This Row],[SKU]]="",tblProductos[[#This Row],[Producto]]=""),"",tblProductos[[#This Row],[SKU]]&amp;" · "&amp;tblProductos[[#This Row],[Producto]])</f>
        <v/>
      </c>
      <c r="M348" s="40" t="str">
        <f>IF(tblProductos[[#This Row],[SKU]]="","",COUNTIF(tblMovimientos[SKU],tblProductos[[#This Row],[SKU]]))</f>
        <v/>
      </c>
      <c r="N3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49" spans="2:14" x14ac:dyDescent="0.25">
      <c r="B349" s="37"/>
      <c r="C349" s="37"/>
      <c r="D349" s="37"/>
      <c r="E349" s="38"/>
      <c r="F349" s="39"/>
      <c r="G349" s="39"/>
      <c r="H349" s="42"/>
      <c r="I349" s="37"/>
      <c r="J349" s="38"/>
      <c r="K349" s="38"/>
      <c r="L349" s="43" t="str">
        <f>IF(OR(tblProductos[[#This Row],[SKU]]="",tblProductos[[#This Row],[Producto]]=""),"",tblProductos[[#This Row],[SKU]]&amp;" · "&amp;tblProductos[[#This Row],[Producto]])</f>
        <v/>
      </c>
      <c r="M349" s="40" t="str">
        <f>IF(tblProductos[[#This Row],[SKU]]="","",COUNTIF(tblMovimientos[SKU],tblProductos[[#This Row],[SKU]]))</f>
        <v/>
      </c>
      <c r="N3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0" spans="2:14" x14ac:dyDescent="0.25">
      <c r="B350" s="37"/>
      <c r="C350" s="37"/>
      <c r="D350" s="37"/>
      <c r="E350" s="38"/>
      <c r="F350" s="39"/>
      <c r="G350" s="39"/>
      <c r="H350" s="42"/>
      <c r="I350" s="37"/>
      <c r="J350" s="38"/>
      <c r="K350" s="38"/>
      <c r="L350" s="43" t="str">
        <f>IF(OR(tblProductos[[#This Row],[SKU]]="",tblProductos[[#This Row],[Producto]]=""),"",tblProductos[[#This Row],[SKU]]&amp;" · "&amp;tblProductos[[#This Row],[Producto]])</f>
        <v/>
      </c>
      <c r="M350" s="40" t="str">
        <f>IF(tblProductos[[#This Row],[SKU]]="","",COUNTIF(tblMovimientos[SKU],tblProductos[[#This Row],[SKU]]))</f>
        <v/>
      </c>
      <c r="N3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1" spans="2:14" x14ac:dyDescent="0.25">
      <c r="B351" s="37"/>
      <c r="C351" s="37"/>
      <c r="D351" s="37"/>
      <c r="E351" s="38"/>
      <c r="F351" s="39"/>
      <c r="G351" s="39"/>
      <c r="H351" s="42"/>
      <c r="I351" s="37"/>
      <c r="J351" s="38"/>
      <c r="K351" s="38"/>
      <c r="L351" s="43" t="str">
        <f>IF(OR(tblProductos[[#This Row],[SKU]]="",tblProductos[[#This Row],[Producto]]=""),"",tblProductos[[#This Row],[SKU]]&amp;" · "&amp;tblProductos[[#This Row],[Producto]])</f>
        <v/>
      </c>
      <c r="M351" s="40" t="str">
        <f>IF(tblProductos[[#This Row],[SKU]]="","",COUNTIF(tblMovimientos[SKU],tblProductos[[#This Row],[SKU]]))</f>
        <v/>
      </c>
      <c r="N3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2" spans="2:14" x14ac:dyDescent="0.25">
      <c r="B352" s="37"/>
      <c r="C352" s="37"/>
      <c r="D352" s="37"/>
      <c r="E352" s="38"/>
      <c r="F352" s="39"/>
      <c r="G352" s="39"/>
      <c r="H352" s="42"/>
      <c r="I352" s="37"/>
      <c r="J352" s="38"/>
      <c r="K352" s="38"/>
      <c r="L352" s="43" t="str">
        <f>IF(OR(tblProductos[[#This Row],[SKU]]="",tblProductos[[#This Row],[Producto]]=""),"",tblProductos[[#This Row],[SKU]]&amp;" · "&amp;tblProductos[[#This Row],[Producto]])</f>
        <v/>
      </c>
      <c r="M352" s="40" t="str">
        <f>IF(tblProductos[[#This Row],[SKU]]="","",COUNTIF(tblMovimientos[SKU],tblProductos[[#This Row],[SKU]]))</f>
        <v/>
      </c>
      <c r="N3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3" spans="2:14" x14ac:dyDescent="0.25">
      <c r="B353" s="37"/>
      <c r="C353" s="37"/>
      <c r="D353" s="37"/>
      <c r="E353" s="38"/>
      <c r="F353" s="39"/>
      <c r="G353" s="39"/>
      <c r="H353" s="42"/>
      <c r="I353" s="37"/>
      <c r="J353" s="38"/>
      <c r="K353" s="38"/>
      <c r="L353" s="43" t="str">
        <f>IF(OR(tblProductos[[#This Row],[SKU]]="",tblProductos[[#This Row],[Producto]]=""),"",tblProductos[[#This Row],[SKU]]&amp;" · "&amp;tblProductos[[#This Row],[Producto]])</f>
        <v/>
      </c>
      <c r="M353" s="40" t="str">
        <f>IF(tblProductos[[#This Row],[SKU]]="","",COUNTIF(tblMovimientos[SKU],tblProductos[[#This Row],[SKU]]))</f>
        <v/>
      </c>
      <c r="N3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4" spans="2:14" x14ac:dyDescent="0.25">
      <c r="B354" s="37"/>
      <c r="C354" s="37"/>
      <c r="D354" s="37"/>
      <c r="E354" s="38"/>
      <c r="F354" s="39"/>
      <c r="G354" s="39"/>
      <c r="H354" s="42"/>
      <c r="I354" s="37"/>
      <c r="J354" s="38"/>
      <c r="K354" s="38"/>
      <c r="L354" s="43" t="str">
        <f>IF(OR(tblProductos[[#This Row],[SKU]]="",tblProductos[[#This Row],[Producto]]=""),"",tblProductos[[#This Row],[SKU]]&amp;" · "&amp;tblProductos[[#This Row],[Producto]])</f>
        <v/>
      </c>
      <c r="M354" s="40" t="str">
        <f>IF(tblProductos[[#This Row],[SKU]]="","",COUNTIF(tblMovimientos[SKU],tblProductos[[#This Row],[SKU]]))</f>
        <v/>
      </c>
      <c r="N3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5" spans="2:14" x14ac:dyDescent="0.25">
      <c r="B355" s="37"/>
      <c r="C355" s="37"/>
      <c r="D355" s="37"/>
      <c r="E355" s="38"/>
      <c r="F355" s="39"/>
      <c r="G355" s="39"/>
      <c r="H355" s="42"/>
      <c r="I355" s="37"/>
      <c r="J355" s="38"/>
      <c r="K355" s="38"/>
      <c r="L355" s="43" t="str">
        <f>IF(OR(tblProductos[[#This Row],[SKU]]="",tblProductos[[#This Row],[Producto]]=""),"",tblProductos[[#This Row],[SKU]]&amp;" · "&amp;tblProductos[[#This Row],[Producto]])</f>
        <v/>
      </c>
      <c r="M355" s="40" t="str">
        <f>IF(tblProductos[[#This Row],[SKU]]="","",COUNTIF(tblMovimientos[SKU],tblProductos[[#This Row],[SKU]]))</f>
        <v/>
      </c>
      <c r="N3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6" spans="2:14" x14ac:dyDescent="0.25">
      <c r="B356" s="37"/>
      <c r="C356" s="37"/>
      <c r="D356" s="37"/>
      <c r="E356" s="38"/>
      <c r="F356" s="39"/>
      <c r="G356" s="39"/>
      <c r="H356" s="42"/>
      <c r="I356" s="37"/>
      <c r="J356" s="38"/>
      <c r="K356" s="38"/>
      <c r="L356" s="43" t="str">
        <f>IF(OR(tblProductos[[#This Row],[SKU]]="",tblProductos[[#This Row],[Producto]]=""),"",tblProductos[[#This Row],[SKU]]&amp;" · "&amp;tblProductos[[#This Row],[Producto]])</f>
        <v/>
      </c>
      <c r="M356" s="40" t="str">
        <f>IF(tblProductos[[#This Row],[SKU]]="","",COUNTIF(tblMovimientos[SKU],tblProductos[[#This Row],[SKU]]))</f>
        <v/>
      </c>
      <c r="N3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7" spans="2:14" x14ac:dyDescent="0.25">
      <c r="B357" s="37"/>
      <c r="C357" s="37"/>
      <c r="D357" s="37"/>
      <c r="E357" s="38"/>
      <c r="F357" s="39"/>
      <c r="G357" s="39"/>
      <c r="H357" s="42"/>
      <c r="I357" s="37"/>
      <c r="J357" s="38"/>
      <c r="K357" s="38"/>
      <c r="L357" s="43" t="str">
        <f>IF(OR(tblProductos[[#This Row],[SKU]]="",tblProductos[[#This Row],[Producto]]=""),"",tblProductos[[#This Row],[SKU]]&amp;" · "&amp;tblProductos[[#This Row],[Producto]])</f>
        <v/>
      </c>
      <c r="M357" s="40" t="str">
        <f>IF(tblProductos[[#This Row],[SKU]]="","",COUNTIF(tblMovimientos[SKU],tblProductos[[#This Row],[SKU]]))</f>
        <v/>
      </c>
      <c r="N3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8" spans="2:14" x14ac:dyDescent="0.25">
      <c r="B358" s="37"/>
      <c r="C358" s="37"/>
      <c r="D358" s="37"/>
      <c r="E358" s="38"/>
      <c r="F358" s="39"/>
      <c r="G358" s="39"/>
      <c r="H358" s="42"/>
      <c r="I358" s="37"/>
      <c r="J358" s="38"/>
      <c r="K358" s="38"/>
      <c r="L358" s="43" t="str">
        <f>IF(OR(tblProductos[[#This Row],[SKU]]="",tblProductos[[#This Row],[Producto]]=""),"",tblProductos[[#This Row],[SKU]]&amp;" · "&amp;tblProductos[[#This Row],[Producto]])</f>
        <v/>
      </c>
      <c r="M358" s="40" t="str">
        <f>IF(tblProductos[[#This Row],[SKU]]="","",COUNTIF(tblMovimientos[SKU],tblProductos[[#This Row],[SKU]]))</f>
        <v/>
      </c>
      <c r="N3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59" spans="2:14" x14ac:dyDescent="0.25">
      <c r="B359" s="37"/>
      <c r="C359" s="37"/>
      <c r="D359" s="37"/>
      <c r="E359" s="38"/>
      <c r="F359" s="39"/>
      <c r="G359" s="39"/>
      <c r="H359" s="42"/>
      <c r="I359" s="37"/>
      <c r="J359" s="38"/>
      <c r="K359" s="38"/>
      <c r="L359" s="43" t="str">
        <f>IF(OR(tblProductos[[#This Row],[SKU]]="",tblProductos[[#This Row],[Producto]]=""),"",tblProductos[[#This Row],[SKU]]&amp;" · "&amp;tblProductos[[#This Row],[Producto]])</f>
        <v/>
      </c>
      <c r="M359" s="40" t="str">
        <f>IF(tblProductos[[#This Row],[SKU]]="","",COUNTIF(tblMovimientos[SKU],tblProductos[[#This Row],[SKU]]))</f>
        <v/>
      </c>
      <c r="N3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0" spans="2:14" x14ac:dyDescent="0.25">
      <c r="B360" s="37"/>
      <c r="C360" s="37"/>
      <c r="D360" s="37"/>
      <c r="E360" s="38"/>
      <c r="F360" s="39"/>
      <c r="G360" s="39"/>
      <c r="H360" s="42"/>
      <c r="I360" s="37"/>
      <c r="J360" s="38"/>
      <c r="K360" s="38"/>
      <c r="L360" s="43" t="str">
        <f>IF(OR(tblProductos[[#This Row],[SKU]]="",tblProductos[[#This Row],[Producto]]=""),"",tblProductos[[#This Row],[SKU]]&amp;" · "&amp;tblProductos[[#This Row],[Producto]])</f>
        <v/>
      </c>
      <c r="M360" s="40" t="str">
        <f>IF(tblProductos[[#This Row],[SKU]]="","",COUNTIF(tblMovimientos[SKU],tblProductos[[#This Row],[SKU]]))</f>
        <v/>
      </c>
      <c r="N3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1" spans="2:14" x14ac:dyDescent="0.25">
      <c r="B361" s="37"/>
      <c r="C361" s="37"/>
      <c r="D361" s="37"/>
      <c r="E361" s="38"/>
      <c r="F361" s="39"/>
      <c r="G361" s="39"/>
      <c r="H361" s="42"/>
      <c r="I361" s="37"/>
      <c r="J361" s="38"/>
      <c r="K361" s="38"/>
      <c r="L361" s="43" t="str">
        <f>IF(OR(tblProductos[[#This Row],[SKU]]="",tblProductos[[#This Row],[Producto]]=""),"",tblProductos[[#This Row],[SKU]]&amp;" · "&amp;tblProductos[[#This Row],[Producto]])</f>
        <v/>
      </c>
      <c r="M361" s="40" t="str">
        <f>IF(tblProductos[[#This Row],[SKU]]="","",COUNTIF(tblMovimientos[SKU],tblProductos[[#This Row],[SKU]]))</f>
        <v/>
      </c>
      <c r="N3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2" spans="2:14" x14ac:dyDescent="0.25">
      <c r="B362" s="37"/>
      <c r="C362" s="37"/>
      <c r="D362" s="37"/>
      <c r="E362" s="38"/>
      <c r="F362" s="39"/>
      <c r="G362" s="39"/>
      <c r="H362" s="42"/>
      <c r="I362" s="37"/>
      <c r="J362" s="38"/>
      <c r="K362" s="38"/>
      <c r="L362" s="43" t="str">
        <f>IF(OR(tblProductos[[#This Row],[SKU]]="",tblProductos[[#This Row],[Producto]]=""),"",tblProductos[[#This Row],[SKU]]&amp;" · "&amp;tblProductos[[#This Row],[Producto]])</f>
        <v/>
      </c>
      <c r="M362" s="40" t="str">
        <f>IF(tblProductos[[#This Row],[SKU]]="","",COUNTIF(tblMovimientos[SKU],tblProductos[[#This Row],[SKU]]))</f>
        <v/>
      </c>
      <c r="N3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3" spans="2:14" x14ac:dyDescent="0.25">
      <c r="B363" s="37"/>
      <c r="C363" s="37"/>
      <c r="D363" s="37"/>
      <c r="E363" s="38"/>
      <c r="F363" s="39"/>
      <c r="G363" s="39"/>
      <c r="H363" s="42"/>
      <c r="I363" s="37"/>
      <c r="J363" s="38"/>
      <c r="K363" s="38"/>
      <c r="L363" s="43" t="str">
        <f>IF(OR(tblProductos[[#This Row],[SKU]]="",tblProductos[[#This Row],[Producto]]=""),"",tblProductos[[#This Row],[SKU]]&amp;" · "&amp;tblProductos[[#This Row],[Producto]])</f>
        <v/>
      </c>
      <c r="M363" s="40" t="str">
        <f>IF(tblProductos[[#This Row],[SKU]]="","",COUNTIF(tblMovimientos[SKU],tblProductos[[#This Row],[SKU]]))</f>
        <v/>
      </c>
      <c r="N3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4" spans="2:14" x14ac:dyDescent="0.25">
      <c r="B364" s="37"/>
      <c r="C364" s="37"/>
      <c r="D364" s="37"/>
      <c r="E364" s="38"/>
      <c r="F364" s="39"/>
      <c r="G364" s="39"/>
      <c r="H364" s="42"/>
      <c r="I364" s="37"/>
      <c r="J364" s="38"/>
      <c r="K364" s="38"/>
      <c r="L364" s="43" t="str">
        <f>IF(OR(tblProductos[[#This Row],[SKU]]="",tblProductos[[#This Row],[Producto]]=""),"",tblProductos[[#This Row],[SKU]]&amp;" · "&amp;tblProductos[[#This Row],[Producto]])</f>
        <v/>
      </c>
      <c r="M364" s="40" t="str">
        <f>IF(tblProductos[[#This Row],[SKU]]="","",COUNTIF(tblMovimientos[SKU],tblProductos[[#This Row],[SKU]]))</f>
        <v/>
      </c>
      <c r="N3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5" spans="2:14" x14ac:dyDescent="0.25">
      <c r="B365" s="37"/>
      <c r="C365" s="37"/>
      <c r="D365" s="37"/>
      <c r="E365" s="38"/>
      <c r="F365" s="39"/>
      <c r="G365" s="39"/>
      <c r="H365" s="42"/>
      <c r="I365" s="37"/>
      <c r="J365" s="38"/>
      <c r="K365" s="38"/>
      <c r="L365" s="43" t="str">
        <f>IF(OR(tblProductos[[#This Row],[SKU]]="",tblProductos[[#This Row],[Producto]]=""),"",tblProductos[[#This Row],[SKU]]&amp;" · "&amp;tblProductos[[#This Row],[Producto]])</f>
        <v/>
      </c>
      <c r="M365" s="40" t="str">
        <f>IF(tblProductos[[#This Row],[SKU]]="","",COUNTIF(tblMovimientos[SKU],tblProductos[[#This Row],[SKU]]))</f>
        <v/>
      </c>
      <c r="N3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6" spans="2:14" x14ac:dyDescent="0.25">
      <c r="B366" s="37"/>
      <c r="C366" s="37"/>
      <c r="D366" s="37"/>
      <c r="E366" s="38"/>
      <c r="F366" s="39"/>
      <c r="G366" s="39"/>
      <c r="H366" s="42"/>
      <c r="I366" s="37"/>
      <c r="J366" s="38"/>
      <c r="K366" s="38"/>
      <c r="L366" s="43" t="str">
        <f>IF(OR(tblProductos[[#This Row],[SKU]]="",tblProductos[[#This Row],[Producto]]=""),"",tblProductos[[#This Row],[SKU]]&amp;" · "&amp;tblProductos[[#This Row],[Producto]])</f>
        <v/>
      </c>
      <c r="M366" s="40" t="str">
        <f>IF(tblProductos[[#This Row],[SKU]]="","",COUNTIF(tblMovimientos[SKU],tblProductos[[#This Row],[SKU]]))</f>
        <v/>
      </c>
      <c r="N3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7" spans="2:14" x14ac:dyDescent="0.25">
      <c r="B367" s="37"/>
      <c r="C367" s="37"/>
      <c r="D367" s="37"/>
      <c r="E367" s="38"/>
      <c r="F367" s="39"/>
      <c r="G367" s="39"/>
      <c r="H367" s="42"/>
      <c r="I367" s="37"/>
      <c r="J367" s="38"/>
      <c r="K367" s="38"/>
      <c r="L367" s="43" t="str">
        <f>IF(OR(tblProductos[[#This Row],[SKU]]="",tblProductos[[#This Row],[Producto]]=""),"",tblProductos[[#This Row],[SKU]]&amp;" · "&amp;tblProductos[[#This Row],[Producto]])</f>
        <v/>
      </c>
      <c r="M367" s="40" t="str">
        <f>IF(tblProductos[[#This Row],[SKU]]="","",COUNTIF(tblMovimientos[SKU],tblProductos[[#This Row],[SKU]]))</f>
        <v/>
      </c>
      <c r="N3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8" spans="2:14" x14ac:dyDescent="0.25">
      <c r="B368" s="37"/>
      <c r="C368" s="37"/>
      <c r="D368" s="37"/>
      <c r="E368" s="38"/>
      <c r="F368" s="39"/>
      <c r="G368" s="39"/>
      <c r="H368" s="42"/>
      <c r="I368" s="37"/>
      <c r="J368" s="38"/>
      <c r="K368" s="38"/>
      <c r="L368" s="43" t="str">
        <f>IF(OR(tblProductos[[#This Row],[SKU]]="",tblProductos[[#This Row],[Producto]]=""),"",tblProductos[[#This Row],[SKU]]&amp;" · "&amp;tblProductos[[#This Row],[Producto]])</f>
        <v/>
      </c>
      <c r="M368" s="40" t="str">
        <f>IF(tblProductos[[#This Row],[SKU]]="","",COUNTIF(tblMovimientos[SKU],tblProductos[[#This Row],[SKU]]))</f>
        <v/>
      </c>
      <c r="N3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69" spans="2:14" x14ac:dyDescent="0.25">
      <c r="B369" s="37"/>
      <c r="C369" s="37"/>
      <c r="D369" s="37"/>
      <c r="E369" s="38"/>
      <c r="F369" s="39"/>
      <c r="G369" s="39"/>
      <c r="H369" s="42"/>
      <c r="I369" s="37"/>
      <c r="J369" s="38"/>
      <c r="K369" s="38"/>
      <c r="L369" s="43" t="str">
        <f>IF(OR(tblProductos[[#This Row],[SKU]]="",tblProductos[[#This Row],[Producto]]=""),"",tblProductos[[#This Row],[SKU]]&amp;" · "&amp;tblProductos[[#This Row],[Producto]])</f>
        <v/>
      </c>
      <c r="M369" s="40" t="str">
        <f>IF(tblProductos[[#This Row],[SKU]]="","",COUNTIF(tblMovimientos[SKU],tblProductos[[#This Row],[SKU]]))</f>
        <v/>
      </c>
      <c r="N3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0" spans="2:14" x14ac:dyDescent="0.25">
      <c r="B370" s="37"/>
      <c r="C370" s="37"/>
      <c r="D370" s="37"/>
      <c r="E370" s="38"/>
      <c r="F370" s="39"/>
      <c r="G370" s="39"/>
      <c r="H370" s="42"/>
      <c r="I370" s="37"/>
      <c r="J370" s="38"/>
      <c r="K370" s="38"/>
      <c r="L370" s="43" t="str">
        <f>IF(OR(tblProductos[[#This Row],[SKU]]="",tblProductos[[#This Row],[Producto]]=""),"",tblProductos[[#This Row],[SKU]]&amp;" · "&amp;tblProductos[[#This Row],[Producto]])</f>
        <v/>
      </c>
      <c r="M370" s="40" t="str">
        <f>IF(tblProductos[[#This Row],[SKU]]="","",COUNTIF(tblMovimientos[SKU],tblProductos[[#This Row],[SKU]]))</f>
        <v/>
      </c>
      <c r="N3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1" spans="2:14" x14ac:dyDescent="0.25">
      <c r="B371" s="37"/>
      <c r="C371" s="37"/>
      <c r="D371" s="37"/>
      <c r="E371" s="38"/>
      <c r="F371" s="39"/>
      <c r="G371" s="39"/>
      <c r="H371" s="42"/>
      <c r="I371" s="37"/>
      <c r="J371" s="38"/>
      <c r="K371" s="38"/>
      <c r="L371" s="43" t="str">
        <f>IF(OR(tblProductos[[#This Row],[SKU]]="",tblProductos[[#This Row],[Producto]]=""),"",tblProductos[[#This Row],[SKU]]&amp;" · "&amp;tblProductos[[#This Row],[Producto]])</f>
        <v/>
      </c>
      <c r="M371" s="40" t="str">
        <f>IF(tblProductos[[#This Row],[SKU]]="","",COUNTIF(tblMovimientos[SKU],tblProductos[[#This Row],[SKU]]))</f>
        <v/>
      </c>
      <c r="N3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2" spans="2:14" x14ac:dyDescent="0.25">
      <c r="B372" s="37"/>
      <c r="C372" s="37"/>
      <c r="D372" s="37"/>
      <c r="E372" s="38"/>
      <c r="F372" s="39"/>
      <c r="G372" s="39"/>
      <c r="H372" s="42"/>
      <c r="I372" s="37"/>
      <c r="J372" s="38"/>
      <c r="K372" s="38"/>
      <c r="L372" s="43" t="str">
        <f>IF(OR(tblProductos[[#This Row],[SKU]]="",tblProductos[[#This Row],[Producto]]=""),"",tblProductos[[#This Row],[SKU]]&amp;" · "&amp;tblProductos[[#This Row],[Producto]])</f>
        <v/>
      </c>
      <c r="M372" s="40" t="str">
        <f>IF(tblProductos[[#This Row],[SKU]]="","",COUNTIF(tblMovimientos[SKU],tblProductos[[#This Row],[SKU]]))</f>
        <v/>
      </c>
      <c r="N3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3" spans="2:14" x14ac:dyDescent="0.25">
      <c r="B373" s="37"/>
      <c r="C373" s="37"/>
      <c r="D373" s="37"/>
      <c r="E373" s="38"/>
      <c r="F373" s="39"/>
      <c r="G373" s="39"/>
      <c r="H373" s="42"/>
      <c r="I373" s="37"/>
      <c r="J373" s="38"/>
      <c r="K373" s="38"/>
      <c r="L373" s="43" t="str">
        <f>IF(OR(tblProductos[[#This Row],[SKU]]="",tblProductos[[#This Row],[Producto]]=""),"",tblProductos[[#This Row],[SKU]]&amp;" · "&amp;tblProductos[[#This Row],[Producto]])</f>
        <v/>
      </c>
      <c r="M373" s="40" t="str">
        <f>IF(tblProductos[[#This Row],[SKU]]="","",COUNTIF(tblMovimientos[SKU],tblProductos[[#This Row],[SKU]]))</f>
        <v/>
      </c>
      <c r="N3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4" spans="2:14" x14ac:dyDescent="0.25">
      <c r="B374" s="37"/>
      <c r="C374" s="37"/>
      <c r="D374" s="37"/>
      <c r="E374" s="38"/>
      <c r="F374" s="39"/>
      <c r="G374" s="39"/>
      <c r="H374" s="42"/>
      <c r="I374" s="37"/>
      <c r="J374" s="38"/>
      <c r="K374" s="38"/>
      <c r="L374" s="43" t="str">
        <f>IF(OR(tblProductos[[#This Row],[SKU]]="",tblProductos[[#This Row],[Producto]]=""),"",tblProductos[[#This Row],[SKU]]&amp;" · "&amp;tblProductos[[#This Row],[Producto]])</f>
        <v/>
      </c>
      <c r="M374" s="40" t="str">
        <f>IF(tblProductos[[#This Row],[SKU]]="","",COUNTIF(tblMovimientos[SKU],tblProductos[[#This Row],[SKU]]))</f>
        <v/>
      </c>
      <c r="N3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5" spans="2:14" x14ac:dyDescent="0.25">
      <c r="B375" s="37"/>
      <c r="C375" s="37"/>
      <c r="D375" s="37"/>
      <c r="E375" s="38"/>
      <c r="F375" s="39"/>
      <c r="G375" s="39"/>
      <c r="H375" s="42"/>
      <c r="I375" s="37"/>
      <c r="J375" s="38"/>
      <c r="K375" s="38"/>
      <c r="L375" s="43" t="str">
        <f>IF(OR(tblProductos[[#This Row],[SKU]]="",tblProductos[[#This Row],[Producto]]=""),"",tblProductos[[#This Row],[SKU]]&amp;" · "&amp;tblProductos[[#This Row],[Producto]])</f>
        <v/>
      </c>
      <c r="M375" s="40" t="str">
        <f>IF(tblProductos[[#This Row],[SKU]]="","",COUNTIF(tblMovimientos[SKU],tblProductos[[#This Row],[SKU]]))</f>
        <v/>
      </c>
      <c r="N3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6" spans="2:14" x14ac:dyDescent="0.25">
      <c r="B376" s="37"/>
      <c r="C376" s="37"/>
      <c r="D376" s="37"/>
      <c r="E376" s="38"/>
      <c r="F376" s="39"/>
      <c r="G376" s="39"/>
      <c r="H376" s="42"/>
      <c r="I376" s="37"/>
      <c r="J376" s="38"/>
      <c r="K376" s="38"/>
      <c r="L376" s="43" t="str">
        <f>IF(OR(tblProductos[[#This Row],[SKU]]="",tblProductos[[#This Row],[Producto]]=""),"",tblProductos[[#This Row],[SKU]]&amp;" · "&amp;tblProductos[[#This Row],[Producto]])</f>
        <v/>
      </c>
      <c r="M376" s="40" t="str">
        <f>IF(tblProductos[[#This Row],[SKU]]="","",COUNTIF(tblMovimientos[SKU],tblProductos[[#This Row],[SKU]]))</f>
        <v/>
      </c>
      <c r="N3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7" spans="2:14" x14ac:dyDescent="0.25">
      <c r="B377" s="37"/>
      <c r="C377" s="37"/>
      <c r="D377" s="37"/>
      <c r="E377" s="38"/>
      <c r="F377" s="39"/>
      <c r="G377" s="39"/>
      <c r="H377" s="42"/>
      <c r="I377" s="37"/>
      <c r="J377" s="38"/>
      <c r="K377" s="38"/>
      <c r="L377" s="43" t="str">
        <f>IF(OR(tblProductos[[#This Row],[SKU]]="",tblProductos[[#This Row],[Producto]]=""),"",tblProductos[[#This Row],[SKU]]&amp;" · "&amp;tblProductos[[#This Row],[Producto]])</f>
        <v/>
      </c>
      <c r="M377" s="40" t="str">
        <f>IF(tblProductos[[#This Row],[SKU]]="","",COUNTIF(tblMovimientos[SKU],tblProductos[[#This Row],[SKU]]))</f>
        <v/>
      </c>
      <c r="N3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8" spans="2:14" x14ac:dyDescent="0.25">
      <c r="B378" s="37"/>
      <c r="C378" s="37"/>
      <c r="D378" s="37"/>
      <c r="E378" s="38"/>
      <c r="F378" s="39"/>
      <c r="G378" s="39"/>
      <c r="H378" s="42"/>
      <c r="I378" s="37"/>
      <c r="J378" s="38"/>
      <c r="K378" s="38"/>
      <c r="L378" s="43" t="str">
        <f>IF(OR(tblProductos[[#This Row],[SKU]]="",tblProductos[[#This Row],[Producto]]=""),"",tblProductos[[#This Row],[SKU]]&amp;" · "&amp;tblProductos[[#This Row],[Producto]])</f>
        <v/>
      </c>
      <c r="M378" s="40" t="str">
        <f>IF(tblProductos[[#This Row],[SKU]]="","",COUNTIF(tblMovimientos[SKU],tblProductos[[#This Row],[SKU]]))</f>
        <v/>
      </c>
      <c r="N3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79" spans="2:14" x14ac:dyDescent="0.25">
      <c r="B379" s="37"/>
      <c r="C379" s="37"/>
      <c r="D379" s="37"/>
      <c r="E379" s="38"/>
      <c r="F379" s="39"/>
      <c r="G379" s="39"/>
      <c r="H379" s="42"/>
      <c r="I379" s="37"/>
      <c r="J379" s="38"/>
      <c r="K379" s="38"/>
      <c r="L379" s="43" t="str">
        <f>IF(OR(tblProductos[[#This Row],[SKU]]="",tblProductos[[#This Row],[Producto]]=""),"",tblProductos[[#This Row],[SKU]]&amp;" · "&amp;tblProductos[[#This Row],[Producto]])</f>
        <v/>
      </c>
      <c r="M379" s="40" t="str">
        <f>IF(tblProductos[[#This Row],[SKU]]="","",COUNTIF(tblMovimientos[SKU],tblProductos[[#This Row],[SKU]]))</f>
        <v/>
      </c>
      <c r="N3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0" spans="2:14" x14ac:dyDescent="0.25">
      <c r="B380" s="37"/>
      <c r="C380" s="37"/>
      <c r="D380" s="37"/>
      <c r="E380" s="38"/>
      <c r="F380" s="39"/>
      <c r="G380" s="39"/>
      <c r="H380" s="42"/>
      <c r="I380" s="37"/>
      <c r="J380" s="38"/>
      <c r="K380" s="38"/>
      <c r="L380" s="43" t="str">
        <f>IF(OR(tblProductos[[#This Row],[SKU]]="",tblProductos[[#This Row],[Producto]]=""),"",tblProductos[[#This Row],[SKU]]&amp;" · "&amp;tblProductos[[#This Row],[Producto]])</f>
        <v/>
      </c>
      <c r="M380" s="40" t="str">
        <f>IF(tblProductos[[#This Row],[SKU]]="","",COUNTIF(tblMovimientos[SKU],tblProductos[[#This Row],[SKU]]))</f>
        <v/>
      </c>
      <c r="N3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1" spans="2:14" x14ac:dyDescent="0.25">
      <c r="B381" s="37"/>
      <c r="C381" s="37"/>
      <c r="D381" s="37"/>
      <c r="E381" s="38"/>
      <c r="F381" s="39"/>
      <c r="G381" s="39"/>
      <c r="H381" s="42"/>
      <c r="I381" s="37"/>
      <c r="J381" s="38"/>
      <c r="K381" s="38"/>
      <c r="L381" s="43" t="str">
        <f>IF(OR(tblProductos[[#This Row],[SKU]]="",tblProductos[[#This Row],[Producto]]=""),"",tblProductos[[#This Row],[SKU]]&amp;" · "&amp;tblProductos[[#This Row],[Producto]])</f>
        <v/>
      </c>
      <c r="M381" s="40" t="str">
        <f>IF(tblProductos[[#This Row],[SKU]]="","",COUNTIF(tblMovimientos[SKU],tblProductos[[#This Row],[SKU]]))</f>
        <v/>
      </c>
      <c r="N3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2" spans="2:14" x14ac:dyDescent="0.25">
      <c r="B382" s="37"/>
      <c r="C382" s="37"/>
      <c r="D382" s="37"/>
      <c r="E382" s="38"/>
      <c r="F382" s="39"/>
      <c r="G382" s="39"/>
      <c r="H382" s="42"/>
      <c r="I382" s="37"/>
      <c r="J382" s="38"/>
      <c r="K382" s="38"/>
      <c r="L382" s="43" t="str">
        <f>IF(OR(tblProductos[[#This Row],[SKU]]="",tblProductos[[#This Row],[Producto]]=""),"",tblProductos[[#This Row],[SKU]]&amp;" · "&amp;tblProductos[[#This Row],[Producto]])</f>
        <v/>
      </c>
      <c r="M382" s="40" t="str">
        <f>IF(tblProductos[[#This Row],[SKU]]="","",COUNTIF(tblMovimientos[SKU],tblProductos[[#This Row],[SKU]]))</f>
        <v/>
      </c>
      <c r="N3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3" spans="2:14" x14ac:dyDescent="0.25">
      <c r="B383" s="37"/>
      <c r="C383" s="37"/>
      <c r="D383" s="37"/>
      <c r="E383" s="38"/>
      <c r="F383" s="39"/>
      <c r="G383" s="39"/>
      <c r="H383" s="42"/>
      <c r="I383" s="37"/>
      <c r="J383" s="38"/>
      <c r="K383" s="38"/>
      <c r="L383" s="43" t="str">
        <f>IF(OR(tblProductos[[#This Row],[SKU]]="",tblProductos[[#This Row],[Producto]]=""),"",tblProductos[[#This Row],[SKU]]&amp;" · "&amp;tblProductos[[#This Row],[Producto]])</f>
        <v/>
      </c>
      <c r="M383" s="40" t="str">
        <f>IF(tblProductos[[#This Row],[SKU]]="","",COUNTIF(tblMovimientos[SKU],tblProductos[[#This Row],[SKU]]))</f>
        <v/>
      </c>
      <c r="N3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4" spans="2:14" x14ac:dyDescent="0.25">
      <c r="B384" s="37"/>
      <c r="C384" s="37"/>
      <c r="D384" s="37"/>
      <c r="E384" s="38"/>
      <c r="F384" s="39"/>
      <c r="G384" s="39"/>
      <c r="H384" s="42"/>
      <c r="I384" s="37"/>
      <c r="J384" s="38"/>
      <c r="K384" s="38"/>
      <c r="L384" s="43" t="str">
        <f>IF(OR(tblProductos[[#This Row],[SKU]]="",tblProductos[[#This Row],[Producto]]=""),"",tblProductos[[#This Row],[SKU]]&amp;" · "&amp;tblProductos[[#This Row],[Producto]])</f>
        <v/>
      </c>
      <c r="M384" s="40" t="str">
        <f>IF(tblProductos[[#This Row],[SKU]]="","",COUNTIF(tblMovimientos[SKU],tblProductos[[#This Row],[SKU]]))</f>
        <v/>
      </c>
      <c r="N3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5" spans="2:14" x14ac:dyDescent="0.25">
      <c r="B385" s="37"/>
      <c r="C385" s="37"/>
      <c r="D385" s="37"/>
      <c r="E385" s="38"/>
      <c r="F385" s="39"/>
      <c r="G385" s="39"/>
      <c r="H385" s="42"/>
      <c r="I385" s="37"/>
      <c r="J385" s="38"/>
      <c r="K385" s="38"/>
      <c r="L385" s="43" t="str">
        <f>IF(OR(tblProductos[[#This Row],[SKU]]="",tblProductos[[#This Row],[Producto]]=""),"",tblProductos[[#This Row],[SKU]]&amp;" · "&amp;tblProductos[[#This Row],[Producto]])</f>
        <v/>
      </c>
      <c r="M385" s="40" t="str">
        <f>IF(tblProductos[[#This Row],[SKU]]="","",COUNTIF(tblMovimientos[SKU],tblProductos[[#This Row],[SKU]]))</f>
        <v/>
      </c>
      <c r="N3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6" spans="2:14" x14ac:dyDescent="0.25">
      <c r="B386" s="37"/>
      <c r="C386" s="37"/>
      <c r="D386" s="37"/>
      <c r="E386" s="38"/>
      <c r="F386" s="39"/>
      <c r="G386" s="39"/>
      <c r="H386" s="42"/>
      <c r="I386" s="37"/>
      <c r="J386" s="38"/>
      <c r="K386" s="38"/>
      <c r="L386" s="43" t="str">
        <f>IF(OR(tblProductos[[#This Row],[SKU]]="",tblProductos[[#This Row],[Producto]]=""),"",tblProductos[[#This Row],[SKU]]&amp;" · "&amp;tblProductos[[#This Row],[Producto]])</f>
        <v/>
      </c>
      <c r="M386" s="40" t="str">
        <f>IF(tblProductos[[#This Row],[SKU]]="","",COUNTIF(tblMovimientos[SKU],tblProductos[[#This Row],[SKU]]))</f>
        <v/>
      </c>
      <c r="N3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7" spans="2:14" x14ac:dyDescent="0.25">
      <c r="B387" s="37"/>
      <c r="C387" s="37"/>
      <c r="D387" s="37"/>
      <c r="E387" s="38"/>
      <c r="F387" s="39"/>
      <c r="G387" s="39"/>
      <c r="H387" s="42"/>
      <c r="I387" s="37"/>
      <c r="J387" s="38"/>
      <c r="K387" s="38"/>
      <c r="L387" s="43" t="str">
        <f>IF(OR(tblProductos[[#This Row],[SKU]]="",tblProductos[[#This Row],[Producto]]=""),"",tblProductos[[#This Row],[SKU]]&amp;" · "&amp;tblProductos[[#This Row],[Producto]])</f>
        <v/>
      </c>
      <c r="M387" s="40" t="str">
        <f>IF(tblProductos[[#This Row],[SKU]]="","",COUNTIF(tblMovimientos[SKU],tblProductos[[#This Row],[SKU]]))</f>
        <v/>
      </c>
      <c r="N3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8" spans="2:14" x14ac:dyDescent="0.25">
      <c r="B388" s="37"/>
      <c r="C388" s="37"/>
      <c r="D388" s="37"/>
      <c r="E388" s="38"/>
      <c r="F388" s="39"/>
      <c r="G388" s="39"/>
      <c r="H388" s="42"/>
      <c r="I388" s="37"/>
      <c r="J388" s="38"/>
      <c r="K388" s="38"/>
      <c r="L388" s="43" t="str">
        <f>IF(OR(tblProductos[[#This Row],[SKU]]="",tblProductos[[#This Row],[Producto]]=""),"",tblProductos[[#This Row],[SKU]]&amp;" · "&amp;tblProductos[[#This Row],[Producto]])</f>
        <v/>
      </c>
      <c r="M388" s="40" t="str">
        <f>IF(tblProductos[[#This Row],[SKU]]="","",COUNTIF(tblMovimientos[SKU],tblProductos[[#This Row],[SKU]]))</f>
        <v/>
      </c>
      <c r="N3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89" spans="2:14" x14ac:dyDescent="0.25">
      <c r="B389" s="37"/>
      <c r="C389" s="37"/>
      <c r="D389" s="37"/>
      <c r="E389" s="38"/>
      <c r="F389" s="39"/>
      <c r="G389" s="39"/>
      <c r="H389" s="42"/>
      <c r="I389" s="37"/>
      <c r="J389" s="38"/>
      <c r="K389" s="38"/>
      <c r="L389" s="43" t="str">
        <f>IF(OR(tblProductos[[#This Row],[SKU]]="",tblProductos[[#This Row],[Producto]]=""),"",tblProductos[[#This Row],[SKU]]&amp;" · "&amp;tblProductos[[#This Row],[Producto]])</f>
        <v/>
      </c>
      <c r="M389" s="40" t="str">
        <f>IF(tblProductos[[#This Row],[SKU]]="","",COUNTIF(tblMovimientos[SKU],tblProductos[[#This Row],[SKU]]))</f>
        <v/>
      </c>
      <c r="N3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0" spans="2:14" x14ac:dyDescent="0.25">
      <c r="B390" s="37"/>
      <c r="C390" s="37"/>
      <c r="D390" s="37"/>
      <c r="E390" s="38"/>
      <c r="F390" s="39"/>
      <c r="G390" s="39"/>
      <c r="H390" s="42"/>
      <c r="I390" s="37"/>
      <c r="J390" s="38"/>
      <c r="K390" s="38"/>
      <c r="L390" s="43" t="str">
        <f>IF(OR(tblProductos[[#This Row],[SKU]]="",tblProductos[[#This Row],[Producto]]=""),"",tblProductos[[#This Row],[SKU]]&amp;" · "&amp;tblProductos[[#This Row],[Producto]])</f>
        <v/>
      </c>
      <c r="M390" s="40" t="str">
        <f>IF(tblProductos[[#This Row],[SKU]]="","",COUNTIF(tblMovimientos[SKU],tblProductos[[#This Row],[SKU]]))</f>
        <v/>
      </c>
      <c r="N3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1" spans="2:14" x14ac:dyDescent="0.25">
      <c r="B391" s="37"/>
      <c r="C391" s="37"/>
      <c r="D391" s="37"/>
      <c r="E391" s="38"/>
      <c r="F391" s="39"/>
      <c r="G391" s="39"/>
      <c r="H391" s="42"/>
      <c r="I391" s="37"/>
      <c r="J391" s="38"/>
      <c r="K391" s="38"/>
      <c r="L391" s="43" t="str">
        <f>IF(OR(tblProductos[[#This Row],[SKU]]="",tblProductos[[#This Row],[Producto]]=""),"",tblProductos[[#This Row],[SKU]]&amp;" · "&amp;tblProductos[[#This Row],[Producto]])</f>
        <v/>
      </c>
      <c r="M391" s="40" t="str">
        <f>IF(tblProductos[[#This Row],[SKU]]="","",COUNTIF(tblMovimientos[SKU],tblProductos[[#This Row],[SKU]]))</f>
        <v/>
      </c>
      <c r="N3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2" spans="2:14" x14ac:dyDescent="0.25">
      <c r="B392" s="37"/>
      <c r="C392" s="37"/>
      <c r="D392" s="37"/>
      <c r="E392" s="38"/>
      <c r="F392" s="39"/>
      <c r="G392" s="39"/>
      <c r="H392" s="42"/>
      <c r="I392" s="37"/>
      <c r="J392" s="38"/>
      <c r="K392" s="38"/>
      <c r="L392" s="43" t="str">
        <f>IF(OR(tblProductos[[#This Row],[SKU]]="",tblProductos[[#This Row],[Producto]]=""),"",tblProductos[[#This Row],[SKU]]&amp;" · "&amp;tblProductos[[#This Row],[Producto]])</f>
        <v/>
      </c>
      <c r="M392" s="40" t="str">
        <f>IF(tblProductos[[#This Row],[SKU]]="","",COUNTIF(tblMovimientos[SKU],tblProductos[[#This Row],[SKU]]))</f>
        <v/>
      </c>
      <c r="N3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3" spans="2:14" x14ac:dyDescent="0.25">
      <c r="B393" s="37"/>
      <c r="C393" s="37"/>
      <c r="D393" s="37"/>
      <c r="E393" s="38"/>
      <c r="F393" s="39"/>
      <c r="G393" s="39"/>
      <c r="H393" s="42"/>
      <c r="I393" s="37"/>
      <c r="J393" s="38"/>
      <c r="K393" s="38"/>
      <c r="L393" s="43" t="str">
        <f>IF(OR(tblProductos[[#This Row],[SKU]]="",tblProductos[[#This Row],[Producto]]=""),"",tblProductos[[#This Row],[SKU]]&amp;" · "&amp;tblProductos[[#This Row],[Producto]])</f>
        <v/>
      </c>
      <c r="M393" s="40" t="str">
        <f>IF(tblProductos[[#This Row],[SKU]]="","",COUNTIF(tblMovimientos[SKU],tblProductos[[#This Row],[SKU]]))</f>
        <v/>
      </c>
      <c r="N3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4" spans="2:14" x14ac:dyDescent="0.25">
      <c r="B394" s="37"/>
      <c r="C394" s="37"/>
      <c r="D394" s="37"/>
      <c r="E394" s="38"/>
      <c r="F394" s="39"/>
      <c r="G394" s="39"/>
      <c r="H394" s="42"/>
      <c r="I394" s="37"/>
      <c r="J394" s="38"/>
      <c r="K394" s="38"/>
      <c r="L394" s="43" t="str">
        <f>IF(OR(tblProductos[[#This Row],[SKU]]="",tblProductos[[#This Row],[Producto]]=""),"",tblProductos[[#This Row],[SKU]]&amp;" · "&amp;tblProductos[[#This Row],[Producto]])</f>
        <v/>
      </c>
      <c r="M394" s="40" t="str">
        <f>IF(tblProductos[[#This Row],[SKU]]="","",COUNTIF(tblMovimientos[SKU],tblProductos[[#This Row],[SKU]]))</f>
        <v/>
      </c>
      <c r="N3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5" spans="2:14" x14ac:dyDescent="0.25">
      <c r="B395" s="37"/>
      <c r="C395" s="37"/>
      <c r="D395" s="37"/>
      <c r="E395" s="38"/>
      <c r="F395" s="39"/>
      <c r="G395" s="39"/>
      <c r="H395" s="42"/>
      <c r="I395" s="37"/>
      <c r="J395" s="38"/>
      <c r="K395" s="38"/>
      <c r="L395" s="43" t="str">
        <f>IF(OR(tblProductos[[#This Row],[SKU]]="",tblProductos[[#This Row],[Producto]]=""),"",tblProductos[[#This Row],[SKU]]&amp;" · "&amp;tblProductos[[#This Row],[Producto]])</f>
        <v/>
      </c>
      <c r="M395" s="40" t="str">
        <f>IF(tblProductos[[#This Row],[SKU]]="","",COUNTIF(tblMovimientos[SKU],tblProductos[[#This Row],[SKU]]))</f>
        <v/>
      </c>
      <c r="N3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6" spans="2:14" x14ac:dyDescent="0.25">
      <c r="B396" s="37"/>
      <c r="C396" s="37"/>
      <c r="D396" s="37"/>
      <c r="E396" s="38"/>
      <c r="F396" s="39"/>
      <c r="G396" s="39"/>
      <c r="H396" s="42"/>
      <c r="I396" s="37"/>
      <c r="J396" s="38"/>
      <c r="K396" s="38"/>
      <c r="L396" s="43" t="str">
        <f>IF(OR(tblProductos[[#This Row],[SKU]]="",tblProductos[[#This Row],[Producto]]=""),"",tblProductos[[#This Row],[SKU]]&amp;" · "&amp;tblProductos[[#This Row],[Producto]])</f>
        <v/>
      </c>
      <c r="M396" s="40" t="str">
        <f>IF(tblProductos[[#This Row],[SKU]]="","",COUNTIF(tblMovimientos[SKU],tblProductos[[#This Row],[SKU]]))</f>
        <v/>
      </c>
      <c r="N3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7" spans="2:14" x14ac:dyDescent="0.25">
      <c r="B397" s="37"/>
      <c r="C397" s="37"/>
      <c r="D397" s="37"/>
      <c r="E397" s="38"/>
      <c r="F397" s="39"/>
      <c r="G397" s="39"/>
      <c r="H397" s="42"/>
      <c r="I397" s="37"/>
      <c r="J397" s="38"/>
      <c r="K397" s="38"/>
      <c r="L397" s="43" t="str">
        <f>IF(OR(tblProductos[[#This Row],[SKU]]="",tblProductos[[#This Row],[Producto]]=""),"",tblProductos[[#This Row],[SKU]]&amp;" · "&amp;tblProductos[[#This Row],[Producto]])</f>
        <v/>
      </c>
      <c r="M397" s="40" t="str">
        <f>IF(tblProductos[[#This Row],[SKU]]="","",COUNTIF(tblMovimientos[SKU],tblProductos[[#This Row],[SKU]]))</f>
        <v/>
      </c>
      <c r="N3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8" spans="2:14" x14ac:dyDescent="0.25">
      <c r="B398" s="37"/>
      <c r="C398" s="37"/>
      <c r="D398" s="37"/>
      <c r="E398" s="38"/>
      <c r="F398" s="39"/>
      <c r="G398" s="39"/>
      <c r="H398" s="42"/>
      <c r="I398" s="37"/>
      <c r="J398" s="38"/>
      <c r="K398" s="38"/>
      <c r="L398" s="43" t="str">
        <f>IF(OR(tblProductos[[#This Row],[SKU]]="",tblProductos[[#This Row],[Producto]]=""),"",tblProductos[[#This Row],[SKU]]&amp;" · "&amp;tblProductos[[#This Row],[Producto]])</f>
        <v/>
      </c>
      <c r="M398" s="40" t="str">
        <f>IF(tblProductos[[#This Row],[SKU]]="","",COUNTIF(tblMovimientos[SKU],tblProductos[[#This Row],[SKU]]))</f>
        <v/>
      </c>
      <c r="N3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399" spans="2:14" x14ac:dyDescent="0.25">
      <c r="B399" s="37"/>
      <c r="C399" s="37"/>
      <c r="D399" s="37"/>
      <c r="E399" s="38"/>
      <c r="F399" s="39"/>
      <c r="G399" s="39"/>
      <c r="H399" s="42"/>
      <c r="I399" s="37"/>
      <c r="J399" s="38"/>
      <c r="K399" s="38"/>
      <c r="L399" s="43" t="str">
        <f>IF(OR(tblProductos[[#This Row],[SKU]]="",tblProductos[[#This Row],[Producto]]=""),"",tblProductos[[#This Row],[SKU]]&amp;" · "&amp;tblProductos[[#This Row],[Producto]])</f>
        <v/>
      </c>
      <c r="M399" s="40" t="str">
        <f>IF(tblProductos[[#This Row],[SKU]]="","",COUNTIF(tblMovimientos[SKU],tblProductos[[#This Row],[SKU]]))</f>
        <v/>
      </c>
      <c r="N3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0" spans="2:14" x14ac:dyDescent="0.25">
      <c r="B400" s="37"/>
      <c r="C400" s="37"/>
      <c r="D400" s="37"/>
      <c r="E400" s="38"/>
      <c r="F400" s="39"/>
      <c r="G400" s="39"/>
      <c r="H400" s="42"/>
      <c r="I400" s="37"/>
      <c r="J400" s="38"/>
      <c r="K400" s="38"/>
      <c r="L400" s="43" t="str">
        <f>IF(OR(tblProductos[[#This Row],[SKU]]="",tblProductos[[#This Row],[Producto]]=""),"",tblProductos[[#This Row],[SKU]]&amp;" · "&amp;tblProductos[[#This Row],[Producto]])</f>
        <v/>
      </c>
      <c r="M400" s="40" t="str">
        <f>IF(tblProductos[[#This Row],[SKU]]="","",COUNTIF(tblMovimientos[SKU],tblProductos[[#This Row],[SKU]]))</f>
        <v/>
      </c>
      <c r="N4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1" spans="2:14" x14ac:dyDescent="0.25">
      <c r="B401" s="37"/>
      <c r="C401" s="37"/>
      <c r="D401" s="37"/>
      <c r="E401" s="38"/>
      <c r="F401" s="39"/>
      <c r="G401" s="39"/>
      <c r="H401" s="42"/>
      <c r="I401" s="37"/>
      <c r="J401" s="38"/>
      <c r="K401" s="38"/>
      <c r="L401" s="43" t="str">
        <f>IF(OR(tblProductos[[#This Row],[SKU]]="",tblProductos[[#This Row],[Producto]]=""),"",tblProductos[[#This Row],[SKU]]&amp;" · "&amp;tblProductos[[#This Row],[Producto]])</f>
        <v/>
      </c>
      <c r="M401" s="40" t="str">
        <f>IF(tblProductos[[#This Row],[SKU]]="","",COUNTIF(tblMovimientos[SKU],tblProductos[[#This Row],[SKU]]))</f>
        <v/>
      </c>
      <c r="N4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2" spans="2:14" x14ac:dyDescent="0.25">
      <c r="B402" s="37"/>
      <c r="C402" s="37"/>
      <c r="D402" s="37"/>
      <c r="E402" s="38"/>
      <c r="F402" s="39"/>
      <c r="G402" s="39"/>
      <c r="H402" s="42"/>
      <c r="I402" s="37"/>
      <c r="J402" s="38"/>
      <c r="K402" s="38"/>
      <c r="L402" s="43" t="str">
        <f>IF(OR(tblProductos[[#This Row],[SKU]]="",tblProductos[[#This Row],[Producto]]=""),"",tblProductos[[#This Row],[SKU]]&amp;" · "&amp;tblProductos[[#This Row],[Producto]])</f>
        <v/>
      </c>
      <c r="M402" s="40" t="str">
        <f>IF(tblProductos[[#This Row],[SKU]]="","",COUNTIF(tblMovimientos[SKU],tblProductos[[#This Row],[SKU]]))</f>
        <v/>
      </c>
      <c r="N4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3" spans="2:14" x14ac:dyDescent="0.25">
      <c r="B403" s="37"/>
      <c r="C403" s="37"/>
      <c r="D403" s="37"/>
      <c r="E403" s="38"/>
      <c r="F403" s="39"/>
      <c r="G403" s="39"/>
      <c r="H403" s="42"/>
      <c r="I403" s="37"/>
      <c r="J403" s="38"/>
      <c r="K403" s="38"/>
      <c r="L403" s="43" t="str">
        <f>IF(OR(tblProductos[[#This Row],[SKU]]="",tblProductos[[#This Row],[Producto]]=""),"",tblProductos[[#This Row],[SKU]]&amp;" · "&amp;tblProductos[[#This Row],[Producto]])</f>
        <v/>
      </c>
      <c r="M403" s="40" t="str">
        <f>IF(tblProductos[[#This Row],[SKU]]="","",COUNTIF(tblMovimientos[SKU],tblProductos[[#This Row],[SKU]]))</f>
        <v/>
      </c>
      <c r="N4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4" spans="2:14" x14ac:dyDescent="0.25">
      <c r="B404" s="37"/>
      <c r="C404" s="37"/>
      <c r="D404" s="37"/>
      <c r="E404" s="38"/>
      <c r="F404" s="39"/>
      <c r="G404" s="39"/>
      <c r="H404" s="42"/>
      <c r="I404" s="37"/>
      <c r="J404" s="38"/>
      <c r="K404" s="38"/>
      <c r="L404" s="43" t="str">
        <f>IF(OR(tblProductos[[#This Row],[SKU]]="",tblProductos[[#This Row],[Producto]]=""),"",tblProductos[[#This Row],[SKU]]&amp;" · "&amp;tblProductos[[#This Row],[Producto]])</f>
        <v/>
      </c>
      <c r="M404" s="40" t="str">
        <f>IF(tblProductos[[#This Row],[SKU]]="","",COUNTIF(tblMovimientos[SKU],tblProductos[[#This Row],[SKU]]))</f>
        <v/>
      </c>
      <c r="N4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5" spans="2:14" x14ac:dyDescent="0.25">
      <c r="B405" s="37"/>
      <c r="C405" s="37"/>
      <c r="D405" s="37"/>
      <c r="E405" s="38"/>
      <c r="F405" s="39"/>
      <c r="G405" s="39"/>
      <c r="H405" s="42"/>
      <c r="I405" s="37"/>
      <c r="J405" s="38"/>
      <c r="K405" s="38"/>
      <c r="L405" s="43" t="str">
        <f>IF(OR(tblProductos[[#This Row],[SKU]]="",tblProductos[[#This Row],[Producto]]=""),"",tblProductos[[#This Row],[SKU]]&amp;" · "&amp;tblProductos[[#This Row],[Producto]])</f>
        <v/>
      </c>
      <c r="M405" s="40" t="str">
        <f>IF(tblProductos[[#This Row],[SKU]]="","",COUNTIF(tblMovimientos[SKU],tblProductos[[#This Row],[SKU]]))</f>
        <v/>
      </c>
      <c r="N4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6" spans="2:14" x14ac:dyDescent="0.25">
      <c r="B406" s="37"/>
      <c r="C406" s="37"/>
      <c r="D406" s="37"/>
      <c r="E406" s="38"/>
      <c r="F406" s="39"/>
      <c r="G406" s="39"/>
      <c r="H406" s="42"/>
      <c r="I406" s="37"/>
      <c r="J406" s="38"/>
      <c r="K406" s="38"/>
      <c r="L406" s="43" t="str">
        <f>IF(OR(tblProductos[[#This Row],[SKU]]="",tblProductos[[#This Row],[Producto]]=""),"",tblProductos[[#This Row],[SKU]]&amp;" · "&amp;tblProductos[[#This Row],[Producto]])</f>
        <v/>
      </c>
      <c r="M406" s="40" t="str">
        <f>IF(tblProductos[[#This Row],[SKU]]="","",COUNTIF(tblMovimientos[SKU],tblProductos[[#This Row],[SKU]]))</f>
        <v/>
      </c>
      <c r="N4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7" spans="2:14" x14ac:dyDescent="0.25">
      <c r="B407" s="37"/>
      <c r="C407" s="37"/>
      <c r="D407" s="37"/>
      <c r="E407" s="38"/>
      <c r="F407" s="39"/>
      <c r="G407" s="39"/>
      <c r="H407" s="42"/>
      <c r="I407" s="37"/>
      <c r="J407" s="38"/>
      <c r="K407" s="38"/>
      <c r="L407" s="43" t="str">
        <f>IF(OR(tblProductos[[#This Row],[SKU]]="",tblProductos[[#This Row],[Producto]]=""),"",tblProductos[[#This Row],[SKU]]&amp;" · "&amp;tblProductos[[#This Row],[Producto]])</f>
        <v/>
      </c>
      <c r="M407" s="40" t="str">
        <f>IF(tblProductos[[#This Row],[SKU]]="","",COUNTIF(tblMovimientos[SKU],tblProductos[[#This Row],[SKU]]))</f>
        <v/>
      </c>
      <c r="N4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8" spans="2:14" x14ac:dyDescent="0.25">
      <c r="B408" s="37"/>
      <c r="C408" s="37"/>
      <c r="D408" s="37"/>
      <c r="E408" s="38"/>
      <c r="F408" s="39"/>
      <c r="G408" s="39"/>
      <c r="H408" s="42"/>
      <c r="I408" s="37"/>
      <c r="J408" s="38"/>
      <c r="K408" s="38"/>
      <c r="L408" s="43" t="str">
        <f>IF(OR(tblProductos[[#This Row],[SKU]]="",tblProductos[[#This Row],[Producto]]=""),"",tblProductos[[#This Row],[SKU]]&amp;" · "&amp;tblProductos[[#This Row],[Producto]])</f>
        <v/>
      </c>
      <c r="M408" s="40" t="str">
        <f>IF(tblProductos[[#This Row],[SKU]]="","",COUNTIF(tblMovimientos[SKU],tblProductos[[#This Row],[SKU]]))</f>
        <v/>
      </c>
      <c r="N40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09" spans="2:14" x14ac:dyDescent="0.25">
      <c r="B409" s="37"/>
      <c r="C409" s="37"/>
      <c r="D409" s="37"/>
      <c r="E409" s="38"/>
      <c r="F409" s="39"/>
      <c r="G409" s="39"/>
      <c r="H409" s="42"/>
      <c r="I409" s="37"/>
      <c r="J409" s="38"/>
      <c r="K409" s="38"/>
      <c r="L409" s="43" t="str">
        <f>IF(OR(tblProductos[[#This Row],[SKU]]="",tblProductos[[#This Row],[Producto]]=""),"",tblProductos[[#This Row],[SKU]]&amp;" · "&amp;tblProductos[[#This Row],[Producto]])</f>
        <v/>
      </c>
      <c r="M409" s="40" t="str">
        <f>IF(tblProductos[[#This Row],[SKU]]="","",COUNTIF(tblMovimientos[SKU],tblProductos[[#This Row],[SKU]]))</f>
        <v/>
      </c>
      <c r="N40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0" spans="2:14" x14ac:dyDescent="0.25">
      <c r="B410" s="37"/>
      <c r="C410" s="37"/>
      <c r="D410" s="37"/>
      <c r="E410" s="38"/>
      <c r="F410" s="39"/>
      <c r="G410" s="39"/>
      <c r="H410" s="42"/>
      <c r="I410" s="37"/>
      <c r="J410" s="38"/>
      <c r="K410" s="38"/>
      <c r="L410" s="43" t="str">
        <f>IF(OR(tblProductos[[#This Row],[SKU]]="",tblProductos[[#This Row],[Producto]]=""),"",tblProductos[[#This Row],[SKU]]&amp;" · "&amp;tblProductos[[#This Row],[Producto]])</f>
        <v/>
      </c>
      <c r="M410" s="40" t="str">
        <f>IF(tblProductos[[#This Row],[SKU]]="","",COUNTIF(tblMovimientos[SKU],tblProductos[[#This Row],[SKU]]))</f>
        <v/>
      </c>
      <c r="N41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1" spans="2:14" x14ac:dyDescent="0.25">
      <c r="B411" s="37"/>
      <c r="C411" s="37"/>
      <c r="D411" s="37"/>
      <c r="E411" s="38"/>
      <c r="F411" s="39"/>
      <c r="G411" s="39"/>
      <c r="H411" s="42"/>
      <c r="I411" s="37"/>
      <c r="J411" s="38"/>
      <c r="K411" s="38"/>
      <c r="L411" s="43" t="str">
        <f>IF(OR(tblProductos[[#This Row],[SKU]]="",tblProductos[[#This Row],[Producto]]=""),"",tblProductos[[#This Row],[SKU]]&amp;" · "&amp;tblProductos[[#This Row],[Producto]])</f>
        <v/>
      </c>
      <c r="M411" s="40" t="str">
        <f>IF(tblProductos[[#This Row],[SKU]]="","",COUNTIF(tblMovimientos[SKU],tblProductos[[#This Row],[SKU]]))</f>
        <v/>
      </c>
      <c r="N41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2" spans="2:14" x14ac:dyDescent="0.25">
      <c r="B412" s="37"/>
      <c r="C412" s="37"/>
      <c r="D412" s="37"/>
      <c r="E412" s="38"/>
      <c r="F412" s="39"/>
      <c r="G412" s="39"/>
      <c r="H412" s="42"/>
      <c r="I412" s="37"/>
      <c r="J412" s="38"/>
      <c r="K412" s="38"/>
      <c r="L412" s="43" t="str">
        <f>IF(OR(tblProductos[[#This Row],[SKU]]="",tblProductos[[#This Row],[Producto]]=""),"",tblProductos[[#This Row],[SKU]]&amp;" · "&amp;tblProductos[[#This Row],[Producto]])</f>
        <v/>
      </c>
      <c r="M412" s="40" t="str">
        <f>IF(tblProductos[[#This Row],[SKU]]="","",COUNTIF(tblMovimientos[SKU],tblProductos[[#This Row],[SKU]]))</f>
        <v/>
      </c>
      <c r="N41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3" spans="2:14" x14ac:dyDescent="0.25">
      <c r="B413" s="37"/>
      <c r="C413" s="37"/>
      <c r="D413" s="37"/>
      <c r="E413" s="38"/>
      <c r="F413" s="39"/>
      <c r="G413" s="39"/>
      <c r="H413" s="42"/>
      <c r="I413" s="37"/>
      <c r="J413" s="38"/>
      <c r="K413" s="38"/>
      <c r="L413" s="43" t="str">
        <f>IF(OR(tblProductos[[#This Row],[SKU]]="",tblProductos[[#This Row],[Producto]]=""),"",tblProductos[[#This Row],[SKU]]&amp;" · "&amp;tblProductos[[#This Row],[Producto]])</f>
        <v/>
      </c>
      <c r="M413" s="40" t="str">
        <f>IF(tblProductos[[#This Row],[SKU]]="","",COUNTIF(tblMovimientos[SKU],tblProductos[[#This Row],[SKU]]))</f>
        <v/>
      </c>
      <c r="N41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4" spans="2:14" x14ac:dyDescent="0.25">
      <c r="B414" s="37"/>
      <c r="C414" s="37"/>
      <c r="D414" s="37"/>
      <c r="E414" s="38"/>
      <c r="F414" s="39"/>
      <c r="G414" s="39"/>
      <c r="H414" s="42"/>
      <c r="I414" s="37"/>
      <c r="J414" s="38"/>
      <c r="K414" s="38"/>
      <c r="L414" s="43" t="str">
        <f>IF(OR(tblProductos[[#This Row],[SKU]]="",tblProductos[[#This Row],[Producto]]=""),"",tblProductos[[#This Row],[SKU]]&amp;" · "&amp;tblProductos[[#This Row],[Producto]])</f>
        <v/>
      </c>
      <c r="M414" s="40" t="str">
        <f>IF(tblProductos[[#This Row],[SKU]]="","",COUNTIF(tblMovimientos[SKU],tblProductos[[#This Row],[SKU]]))</f>
        <v/>
      </c>
      <c r="N41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5" spans="2:14" x14ac:dyDescent="0.25">
      <c r="B415" s="37"/>
      <c r="C415" s="37"/>
      <c r="D415" s="37"/>
      <c r="E415" s="38"/>
      <c r="F415" s="39"/>
      <c r="G415" s="39"/>
      <c r="H415" s="42"/>
      <c r="I415" s="37"/>
      <c r="J415" s="38"/>
      <c r="K415" s="38"/>
      <c r="L415" s="43" t="str">
        <f>IF(OR(tblProductos[[#This Row],[SKU]]="",tblProductos[[#This Row],[Producto]]=""),"",tblProductos[[#This Row],[SKU]]&amp;" · "&amp;tblProductos[[#This Row],[Producto]])</f>
        <v/>
      </c>
      <c r="M415" s="40" t="str">
        <f>IF(tblProductos[[#This Row],[SKU]]="","",COUNTIF(tblMovimientos[SKU],tblProductos[[#This Row],[SKU]]))</f>
        <v/>
      </c>
      <c r="N41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6" spans="2:14" x14ac:dyDescent="0.25">
      <c r="B416" s="37"/>
      <c r="C416" s="37"/>
      <c r="D416" s="37"/>
      <c r="E416" s="38"/>
      <c r="F416" s="39"/>
      <c r="G416" s="39"/>
      <c r="H416" s="42"/>
      <c r="I416" s="37"/>
      <c r="J416" s="38"/>
      <c r="K416" s="38"/>
      <c r="L416" s="43" t="str">
        <f>IF(OR(tblProductos[[#This Row],[SKU]]="",tblProductos[[#This Row],[Producto]]=""),"",tblProductos[[#This Row],[SKU]]&amp;" · "&amp;tblProductos[[#This Row],[Producto]])</f>
        <v/>
      </c>
      <c r="M416" s="40" t="str">
        <f>IF(tblProductos[[#This Row],[SKU]]="","",COUNTIF(tblMovimientos[SKU],tblProductos[[#This Row],[SKU]]))</f>
        <v/>
      </c>
      <c r="N41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7" spans="2:14" x14ac:dyDescent="0.25">
      <c r="B417" s="37"/>
      <c r="C417" s="37"/>
      <c r="D417" s="37"/>
      <c r="E417" s="38"/>
      <c r="F417" s="39"/>
      <c r="G417" s="39"/>
      <c r="H417" s="42"/>
      <c r="I417" s="37"/>
      <c r="J417" s="38"/>
      <c r="K417" s="38"/>
      <c r="L417" s="43" t="str">
        <f>IF(OR(tblProductos[[#This Row],[SKU]]="",tblProductos[[#This Row],[Producto]]=""),"",tblProductos[[#This Row],[SKU]]&amp;" · "&amp;tblProductos[[#This Row],[Producto]])</f>
        <v/>
      </c>
      <c r="M417" s="40" t="str">
        <f>IF(tblProductos[[#This Row],[SKU]]="","",COUNTIF(tblMovimientos[SKU],tblProductos[[#This Row],[SKU]]))</f>
        <v/>
      </c>
      <c r="N41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8" spans="2:14" x14ac:dyDescent="0.25">
      <c r="B418" s="37"/>
      <c r="C418" s="37"/>
      <c r="D418" s="37"/>
      <c r="E418" s="38"/>
      <c r="F418" s="39"/>
      <c r="G418" s="39"/>
      <c r="H418" s="42"/>
      <c r="I418" s="37"/>
      <c r="J418" s="38"/>
      <c r="K418" s="38"/>
      <c r="L418" s="43" t="str">
        <f>IF(OR(tblProductos[[#This Row],[SKU]]="",tblProductos[[#This Row],[Producto]]=""),"",tblProductos[[#This Row],[SKU]]&amp;" · "&amp;tblProductos[[#This Row],[Producto]])</f>
        <v/>
      </c>
      <c r="M418" s="40" t="str">
        <f>IF(tblProductos[[#This Row],[SKU]]="","",COUNTIF(tblMovimientos[SKU],tblProductos[[#This Row],[SKU]]))</f>
        <v/>
      </c>
      <c r="N41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19" spans="2:14" x14ac:dyDescent="0.25">
      <c r="B419" s="37"/>
      <c r="C419" s="37"/>
      <c r="D419" s="37"/>
      <c r="E419" s="38"/>
      <c r="F419" s="39"/>
      <c r="G419" s="39"/>
      <c r="H419" s="42"/>
      <c r="I419" s="37"/>
      <c r="J419" s="38"/>
      <c r="K419" s="38"/>
      <c r="L419" s="43" t="str">
        <f>IF(OR(tblProductos[[#This Row],[SKU]]="",tblProductos[[#This Row],[Producto]]=""),"",tblProductos[[#This Row],[SKU]]&amp;" · "&amp;tblProductos[[#This Row],[Producto]])</f>
        <v/>
      </c>
      <c r="M419" s="40" t="str">
        <f>IF(tblProductos[[#This Row],[SKU]]="","",COUNTIF(tblMovimientos[SKU],tblProductos[[#This Row],[SKU]]))</f>
        <v/>
      </c>
      <c r="N41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0" spans="2:14" x14ac:dyDescent="0.25">
      <c r="B420" s="37"/>
      <c r="C420" s="37"/>
      <c r="D420" s="37"/>
      <c r="E420" s="38"/>
      <c r="F420" s="39"/>
      <c r="G420" s="39"/>
      <c r="H420" s="42"/>
      <c r="I420" s="37"/>
      <c r="J420" s="38"/>
      <c r="K420" s="38"/>
      <c r="L420" s="43" t="str">
        <f>IF(OR(tblProductos[[#This Row],[SKU]]="",tblProductos[[#This Row],[Producto]]=""),"",tblProductos[[#This Row],[SKU]]&amp;" · "&amp;tblProductos[[#This Row],[Producto]])</f>
        <v/>
      </c>
      <c r="M420" s="40" t="str">
        <f>IF(tblProductos[[#This Row],[SKU]]="","",COUNTIF(tblMovimientos[SKU],tblProductos[[#This Row],[SKU]]))</f>
        <v/>
      </c>
      <c r="N42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1" spans="2:14" x14ac:dyDescent="0.25">
      <c r="B421" s="37"/>
      <c r="C421" s="37"/>
      <c r="D421" s="37"/>
      <c r="E421" s="38"/>
      <c r="F421" s="39"/>
      <c r="G421" s="39"/>
      <c r="H421" s="42"/>
      <c r="I421" s="37"/>
      <c r="J421" s="38"/>
      <c r="K421" s="38"/>
      <c r="L421" s="43" t="str">
        <f>IF(OR(tblProductos[[#This Row],[SKU]]="",tblProductos[[#This Row],[Producto]]=""),"",tblProductos[[#This Row],[SKU]]&amp;" · "&amp;tblProductos[[#This Row],[Producto]])</f>
        <v/>
      </c>
      <c r="M421" s="40" t="str">
        <f>IF(tblProductos[[#This Row],[SKU]]="","",COUNTIF(tblMovimientos[SKU],tblProductos[[#This Row],[SKU]]))</f>
        <v/>
      </c>
      <c r="N42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2" spans="2:14" x14ac:dyDescent="0.25">
      <c r="B422" s="37"/>
      <c r="C422" s="37"/>
      <c r="D422" s="37"/>
      <c r="E422" s="38"/>
      <c r="F422" s="39"/>
      <c r="G422" s="39"/>
      <c r="H422" s="42"/>
      <c r="I422" s="37"/>
      <c r="J422" s="38"/>
      <c r="K422" s="38"/>
      <c r="L422" s="43" t="str">
        <f>IF(OR(tblProductos[[#This Row],[SKU]]="",tblProductos[[#This Row],[Producto]]=""),"",tblProductos[[#This Row],[SKU]]&amp;" · "&amp;tblProductos[[#This Row],[Producto]])</f>
        <v/>
      </c>
      <c r="M422" s="40" t="str">
        <f>IF(tblProductos[[#This Row],[SKU]]="","",COUNTIF(tblMovimientos[SKU],tblProductos[[#This Row],[SKU]]))</f>
        <v/>
      </c>
      <c r="N42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3" spans="2:14" x14ac:dyDescent="0.25">
      <c r="B423" s="37"/>
      <c r="C423" s="37"/>
      <c r="D423" s="37"/>
      <c r="E423" s="38"/>
      <c r="F423" s="39"/>
      <c r="G423" s="39"/>
      <c r="H423" s="42"/>
      <c r="I423" s="37"/>
      <c r="J423" s="38"/>
      <c r="K423" s="38"/>
      <c r="L423" s="43" t="str">
        <f>IF(OR(tblProductos[[#This Row],[SKU]]="",tblProductos[[#This Row],[Producto]]=""),"",tblProductos[[#This Row],[SKU]]&amp;" · "&amp;tblProductos[[#This Row],[Producto]])</f>
        <v/>
      </c>
      <c r="M423" s="40" t="str">
        <f>IF(tblProductos[[#This Row],[SKU]]="","",COUNTIF(tblMovimientos[SKU],tblProductos[[#This Row],[SKU]]))</f>
        <v/>
      </c>
      <c r="N42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4" spans="2:14" x14ac:dyDescent="0.25">
      <c r="B424" s="37"/>
      <c r="C424" s="37"/>
      <c r="D424" s="37"/>
      <c r="E424" s="38"/>
      <c r="F424" s="39"/>
      <c r="G424" s="39"/>
      <c r="H424" s="42"/>
      <c r="I424" s="37"/>
      <c r="J424" s="38"/>
      <c r="K424" s="38"/>
      <c r="L424" s="43" t="str">
        <f>IF(OR(tblProductos[[#This Row],[SKU]]="",tblProductos[[#This Row],[Producto]]=""),"",tblProductos[[#This Row],[SKU]]&amp;" · "&amp;tblProductos[[#This Row],[Producto]])</f>
        <v/>
      </c>
      <c r="M424" s="40" t="str">
        <f>IF(tblProductos[[#This Row],[SKU]]="","",COUNTIF(tblMovimientos[SKU],tblProductos[[#This Row],[SKU]]))</f>
        <v/>
      </c>
      <c r="N42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5" spans="2:14" x14ac:dyDescent="0.25">
      <c r="B425" s="37"/>
      <c r="C425" s="37"/>
      <c r="D425" s="37"/>
      <c r="E425" s="38"/>
      <c r="F425" s="39"/>
      <c r="G425" s="39"/>
      <c r="H425" s="42"/>
      <c r="I425" s="37"/>
      <c r="J425" s="38"/>
      <c r="K425" s="38"/>
      <c r="L425" s="43" t="str">
        <f>IF(OR(tblProductos[[#This Row],[SKU]]="",tblProductos[[#This Row],[Producto]]=""),"",tblProductos[[#This Row],[SKU]]&amp;" · "&amp;tblProductos[[#This Row],[Producto]])</f>
        <v/>
      </c>
      <c r="M425" s="40" t="str">
        <f>IF(tblProductos[[#This Row],[SKU]]="","",COUNTIF(tblMovimientos[SKU],tblProductos[[#This Row],[SKU]]))</f>
        <v/>
      </c>
      <c r="N42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6" spans="2:14" x14ac:dyDescent="0.25">
      <c r="B426" s="37"/>
      <c r="C426" s="37"/>
      <c r="D426" s="37"/>
      <c r="E426" s="38"/>
      <c r="F426" s="39"/>
      <c r="G426" s="39"/>
      <c r="H426" s="42"/>
      <c r="I426" s="37"/>
      <c r="J426" s="38"/>
      <c r="K426" s="38"/>
      <c r="L426" s="43" t="str">
        <f>IF(OR(tblProductos[[#This Row],[SKU]]="",tblProductos[[#This Row],[Producto]]=""),"",tblProductos[[#This Row],[SKU]]&amp;" · "&amp;tblProductos[[#This Row],[Producto]])</f>
        <v/>
      </c>
      <c r="M426" s="40" t="str">
        <f>IF(tblProductos[[#This Row],[SKU]]="","",COUNTIF(tblMovimientos[SKU],tblProductos[[#This Row],[SKU]]))</f>
        <v/>
      </c>
      <c r="N42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7" spans="2:14" x14ac:dyDescent="0.25">
      <c r="B427" s="37"/>
      <c r="C427" s="37"/>
      <c r="D427" s="37"/>
      <c r="E427" s="38"/>
      <c r="F427" s="39"/>
      <c r="G427" s="39"/>
      <c r="H427" s="42"/>
      <c r="I427" s="37"/>
      <c r="J427" s="38"/>
      <c r="K427" s="38"/>
      <c r="L427" s="43" t="str">
        <f>IF(OR(tblProductos[[#This Row],[SKU]]="",tblProductos[[#This Row],[Producto]]=""),"",tblProductos[[#This Row],[SKU]]&amp;" · "&amp;tblProductos[[#This Row],[Producto]])</f>
        <v/>
      </c>
      <c r="M427" s="40" t="str">
        <f>IF(tblProductos[[#This Row],[SKU]]="","",COUNTIF(tblMovimientos[SKU],tblProductos[[#This Row],[SKU]]))</f>
        <v/>
      </c>
      <c r="N42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8" spans="2:14" x14ac:dyDescent="0.25">
      <c r="B428" s="37"/>
      <c r="C428" s="37"/>
      <c r="D428" s="37"/>
      <c r="E428" s="38"/>
      <c r="F428" s="39"/>
      <c r="G428" s="39"/>
      <c r="H428" s="42"/>
      <c r="I428" s="37"/>
      <c r="J428" s="38"/>
      <c r="K428" s="38"/>
      <c r="L428" s="43" t="str">
        <f>IF(OR(tblProductos[[#This Row],[SKU]]="",tblProductos[[#This Row],[Producto]]=""),"",tblProductos[[#This Row],[SKU]]&amp;" · "&amp;tblProductos[[#This Row],[Producto]])</f>
        <v/>
      </c>
      <c r="M428" s="40" t="str">
        <f>IF(tblProductos[[#This Row],[SKU]]="","",COUNTIF(tblMovimientos[SKU],tblProductos[[#This Row],[SKU]]))</f>
        <v/>
      </c>
      <c r="N42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29" spans="2:14" x14ac:dyDescent="0.25">
      <c r="B429" s="37"/>
      <c r="C429" s="37"/>
      <c r="D429" s="37"/>
      <c r="E429" s="38"/>
      <c r="F429" s="39"/>
      <c r="G429" s="39"/>
      <c r="H429" s="42"/>
      <c r="I429" s="37"/>
      <c r="J429" s="38"/>
      <c r="K429" s="38"/>
      <c r="L429" s="43" t="str">
        <f>IF(OR(tblProductos[[#This Row],[SKU]]="",tblProductos[[#This Row],[Producto]]=""),"",tblProductos[[#This Row],[SKU]]&amp;" · "&amp;tblProductos[[#This Row],[Producto]])</f>
        <v/>
      </c>
      <c r="M429" s="40" t="str">
        <f>IF(tblProductos[[#This Row],[SKU]]="","",COUNTIF(tblMovimientos[SKU],tblProductos[[#This Row],[SKU]]))</f>
        <v/>
      </c>
      <c r="N42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0" spans="2:14" x14ac:dyDescent="0.25">
      <c r="B430" s="37"/>
      <c r="C430" s="37"/>
      <c r="D430" s="37"/>
      <c r="E430" s="38"/>
      <c r="F430" s="39"/>
      <c r="G430" s="39"/>
      <c r="H430" s="42"/>
      <c r="I430" s="37"/>
      <c r="J430" s="38"/>
      <c r="K430" s="38"/>
      <c r="L430" s="43" t="str">
        <f>IF(OR(tblProductos[[#This Row],[SKU]]="",tblProductos[[#This Row],[Producto]]=""),"",tblProductos[[#This Row],[SKU]]&amp;" · "&amp;tblProductos[[#This Row],[Producto]])</f>
        <v/>
      </c>
      <c r="M430" s="40" t="str">
        <f>IF(tblProductos[[#This Row],[SKU]]="","",COUNTIF(tblMovimientos[SKU],tblProductos[[#This Row],[SKU]]))</f>
        <v/>
      </c>
      <c r="N43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1" spans="2:14" x14ac:dyDescent="0.25">
      <c r="B431" s="37"/>
      <c r="C431" s="37"/>
      <c r="D431" s="37"/>
      <c r="E431" s="38"/>
      <c r="F431" s="39"/>
      <c r="G431" s="39"/>
      <c r="H431" s="42"/>
      <c r="I431" s="37"/>
      <c r="J431" s="38"/>
      <c r="K431" s="38"/>
      <c r="L431" s="43" t="str">
        <f>IF(OR(tblProductos[[#This Row],[SKU]]="",tblProductos[[#This Row],[Producto]]=""),"",tblProductos[[#This Row],[SKU]]&amp;" · "&amp;tblProductos[[#This Row],[Producto]])</f>
        <v/>
      </c>
      <c r="M431" s="40" t="str">
        <f>IF(tblProductos[[#This Row],[SKU]]="","",COUNTIF(tblMovimientos[SKU],tblProductos[[#This Row],[SKU]]))</f>
        <v/>
      </c>
      <c r="N43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2" spans="2:14" x14ac:dyDescent="0.25">
      <c r="B432" s="37"/>
      <c r="C432" s="37"/>
      <c r="D432" s="37"/>
      <c r="E432" s="38"/>
      <c r="F432" s="39"/>
      <c r="G432" s="39"/>
      <c r="H432" s="42"/>
      <c r="I432" s="37"/>
      <c r="J432" s="38"/>
      <c r="K432" s="38"/>
      <c r="L432" s="43" t="str">
        <f>IF(OR(tblProductos[[#This Row],[SKU]]="",tblProductos[[#This Row],[Producto]]=""),"",tblProductos[[#This Row],[SKU]]&amp;" · "&amp;tblProductos[[#This Row],[Producto]])</f>
        <v/>
      </c>
      <c r="M432" s="40" t="str">
        <f>IF(tblProductos[[#This Row],[SKU]]="","",COUNTIF(tblMovimientos[SKU],tblProductos[[#This Row],[SKU]]))</f>
        <v/>
      </c>
      <c r="N43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3" spans="2:14" x14ac:dyDescent="0.25">
      <c r="B433" s="37"/>
      <c r="C433" s="37"/>
      <c r="D433" s="37"/>
      <c r="E433" s="38"/>
      <c r="F433" s="39"/>
      <c r="G433" s="39"/>
      <c r="H433" s="42"/>
      <c r="I433" s="37"/>
      <c r="J433" s="38"/>
      <c r="K433" s="38"/>
      <c r="L433" s="43" t="str">
        <f>IF(OR(tblProductos[[#This Row],[SKU]]="",tblProductos[[#This Row],[Producto]]=""),"",tblProductos[[#This Row],[SKU]]&amp;" · "&amp;tblProductos[[#This Row],[Producto]])</f>
        <v/>
      </c>
      <c r="M433" s="40" t="str">
        <f>IF(tblProductos[[#This Row],[SKU]]="","",COUNTIF(tblMovimientos[SKU],tblProductos[[#This Row],[SKU]]))</f>
        <v/>
      </c>
      <c r="N43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4" spans="2:14" x14ac:dyDescent="0.25">
      <c r="B434" s="37"/>
      <c r="C434" s="37"/>
      <c r="D434" s="37"/>
      <c r="E434" s="38"/>
      <c r="F434" s="39"/>
      <c r="G434" s="39"/>
      <c r="H434" s="42"/>
      <c r="I434" s="37"/>
      <c r="J434" s="38"/>
      <c r="K434" s="38"/>
      <c r="L434" s="43" t="str">
        <f>IF(OR(tblProductos[[#This Row],[SKU]]="",tblProductos[[#This Row],[Producto]]=""),"",tblProductos[[#This Row],[SKU]]&amp;" · "&amp;tblProductos[[#This Row],[Producto]])</f>
        <v/>
      </c>
      <c r="M434" s="40" t="str">
        <f>IF(tblProductos[[#This Row],[SKU]]="","",COUNTIF(tblMovimientos[SKU],tblProductos[[#This Row],[SKU]]))</f>
        <v/>
      </c>
      <c r="N43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5" spans="2:14" x14ac:dyDescent="0.25">
      <c r="B435" s="37"/>
      <c r="C435" s="37"/>
      <c r="D435" s="37"/>
      <c r="E435" s="38"/>
      <c r="F435" s="39"/>
      <c r="G435" s="39"/>
      <c r="H435" s="42"/>
      <c r="I435" s="37"/>
      <c r="J435" s="38"/>
      <c r="K435" s="38"/>
      <c r="L435" s="43" t="str">
        <f>IF(OR(tblProductos[[#This Row],[SKU]]="",tblProductos[[#This Row],[Producto]]=""),"",tblProductos[[#This Row],[SKU]]&amp;" · "&amp;tblProductos[[#This Row],[Producto]])</f>
        <v/>
      </c>
      <c r="M435" s="40" t="str">
        <f>IF(tblProductos[[#This Row],[SKU]]="","",COUNTIF(tblMovimientos[SKU],tblProductos[[#This Row],[SKU]]))</f>
        <v/>
      </c>
      <c r="N43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6" spans="2:14" x14ac:dyDescent="0.25">
      <c r="B436" s="37"/>
      <c r="C436" s="37"/>
      <c r="D436" s="37"/>
      <c r="E436" s="38"/>
      <c r="F436" s="39"/>
      <c r="G436" s="39"/>
      <c r="H436" s="42"/>
      <c r="I436" s="37"/>
      <c r="J436" s="38"/>
      <c r="K436" s="38"/>
      <c r="L436" s="43" t="str">
        <f>IF(OR(tblProductos[[#This Row],[SKU]]="",tblProductos[[#This Row],[Producto]]=""),"",tblProductos[[#This Row],[SKU]]&amp;" · "&amp;tblProductos[[#This Row],[Producto]])</f>
        <v/>
      </c>
      <c r="M436" s="40" t="str">
        <f>IF(tblProductos[[#This Row],[SKU]]="","",COUNTIF(tblMovimientos[SKU],tblProductos[[#This Row],[SKU]]))</f>
        <v/>
      </c>
      <c r="N43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7" spans="2:14" x14ac:dyDescent="0.25">
      <c r="B437" s="37"/>
      <c r="C437" s="37"/>
      <c r="D437" s="37"/>
      <c r="E437" s="38"/>
      <c r="F437" s="39"/>
      <c r="G437" s="39"/>
      <c r="H437" s="42"/>
      <c r="I437" s="37"/>
      <c r="J437" s="38"/>
      <c r="K437" s="38"/>
      <c r="L437" s="43" t="str">
        <f>IF(OR(tblProductos[[#This Row],[SKU]]="",tblProductos[[#This Row],[Producto]]=""),"",tblProductos[[#This Row],[SKU]]&amp;" · "&amp;tblProductos[[#This Row],[Producto]])</f>
        <v/>
      </c>
      <c r="M437" s="40" t="str">
        <f>IF(tblProductos[[#This Row],[SKU]]="","",COUNTIF(tblMovimientos[SKU],tblProductos[[#This Row],[SKU]]))</f>
        <v/>
      </c>
      <c r="N43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8" spans="2:14" x14ac:dyDescent="0.25">
      <c r="B438" s="37"/>
      <c r="C438" s="37"/>
      <c r="D438" s="37"/>
      <c r="E438" s="38"/>
      <c r="F438" s="39"/>
      <c r="G438" s="39"/>
      <c r="H438" s="42"/>
      <c r="I438" s="37"/>
      <c r="J438" s="38"/>
      <c r="K438" s="38"/>
      <c r="L438" s="43" t="str">
        <f>IF(OR(tblProductos[[#This Row],[SKU]]="",tblProductos[[#This Row],[Producto]]=""),"",tblProductos[[#This Row],[SKU]]&amp;" · "&amp;tblProductos[[#This Row],[Producto]])</f>
        <v/>
      </c>
      <c r="M438" s="40" t="str">
        <f>IF(tblProductos[[#This Row],[SKU]]="","",COUNTIF(tblMovimientos[SKU],tblProductos[[#This Row],[SKU]]))</f>
        <v/>
      </c>
      <c r="N43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39" spans="2:14" x14ac:dyDescent="0.25">
      <c r="B439" s="37"/>
      <c r="C439" s="37"/>
      <c r="D439" s="37"/>
      <c r="E439" s="38"/>
      <c r="F439" s="39"/>
      <c r="G439" s="39"/>
      <c r="H439" s="42"/>
      <c r="I439" s="37"/>
      <c r="J439" s="38"/>
      <c r="K439" s="38"/>
      <c r="L439" s="43" t="str">
        <f>IF(OR(tblProductos[[#This Row],[SKU]]="",tblProductos[[#This Row],[Producto]]=""),"",tblProductos[[#This Row],[SKU]]&amp;" · "&amp;tblProductos[[#This Row],[Producto]])</f>
        <v/>
      </c>
      <c r="M439" s="40" t="str">
        <f>IF(tblProductos[[#This Row],[SKU]]="","",COUNTIF(tblMovimientos[SKU],tblProductos[[#This Row],[SKU]]))</f>
        <v/>
      </c>
      <c r="N43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0" spans="2:14" x14ac:dyDescent="0.25">
      <c r="B440" s="37"/>
      <c r="C440" s="37"/>
      <c r="D440" s="37"/>
      <c r="E440" s="38"/>
      <c r="F440" s="39"/>
      <c r="G440" s="39"/>
      <c r="H440" s="42"/>
      <c r="I440" s="37"/>
      <c r="J440" s="38"/>
      <c r="K440" s="38"/>
      <c r="L440" s="43" t="str">
        <f>IF(OR(tblProductos[[#This Row],[SKU]]="",tblProductos[[#This Row],[Producto]]=""),"",tblProductos[[#This Row],[SKU]]&amp;" · "&amp;tblProductos[[#This Row],[Producto]])</f>
        <v/>
      </c>
      <c r="M440" s="40" t="str">
        <f>IF(tblProductos[[#This Row],[SKU]]="","",COUNTIF(tblMovimientos[SKU],tblProductos[[#This Row],[SKU]]))</f>
        <v/>
      </c>
      <c r="N44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1" spans="2:14" x14ac:dyDescent="0.25">
      <c r="B441" s="37"/>
      <c r="C441" s="37"/>
      <c r="D441" s="37"/>
      <c r="E441" s="38"/>
      <c r="F441" s="39"/>
      <c r="G441" s="39"/>
      <c r="H441" s="42"/>
      <c r="I441" s="37"/>
      <c r="J441" s="38"/>
      <c r="K441" s="38"/>
      <c r="L441" s="43" t="str">
        <f>IF(OR(tblProductos[[#This Row],[SKU]]="",tblProductos[[#This Row],[Producto]]=""),"",tblProductos[[#This Row],[SKU]]&amp;" · "&amp;tblProductos[[#This Row],[Producto]])</f>
        <v/>
      </c>
      <c r="M441" s="40" t="str">
        <f>IF(tblProductos[[#This Row],[SKU]]="","",COUNTIF(tblMovimientos[SKU],tblProductos[[#This Row],[SKU]]))</f>
        <v/>
      </c>
      <c r="N44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2" spans="2:14" x14ac:dyDescent="0.25">
      <c r="B442" s="37"/>
      <c r="C442" s="37"/>
      <c r="D442" s="37"/>
      <c r="E442" s="38"/>
      <c r="F442" s="39"/>
      <c r="G442" s="39"/>
      <c r="H442" s="42"/>
      <c r="I442" s="37"/>
      <c r="J442" s="38"/>
      <c r="K442" s="38"/>
      <c r="L442" s="43" t="str">
        <f>IF(OR(tblProductos[[#This Row],[SKU]]="",tblProductos[[#This Row],[Producto]]=""),"",tblProductos[[#This Row],[SKU]]&amp;" · "&amp;tblProductos[[#This Row],[Producto]])</f>
        <v/>
      </c>
      <c r="M442" s="40" t="str">
        <f>IF(tblProductos[[#This Row],[SKU]]="","",COUNTIF(tblMovimientos[SKU],tblProductos[[#This Row],[SKU]]))</f>
        <v/>
      </c>
      <c r="N44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3" spans="2:14" x14ac:dyDescent="0.25">
      <c r="B443" s="37"/>
      <c r="C443" s="37"/>
      <c r="D443" s="37"/>
      <c r="E443" s="38"/>
      <c r="F443" s="39"/>
      <c r="G443" s="39"/>
      <c r="H443" s="42"/>
      <c r="I443" s="37"/>
      <c r="J443" s="38"/>
      <c r="K443" s="38"/>
      <c r="L443" s="43" t="str">
        <f>IF(OR(tblProductos[[#This Row],[SKU]]="",tblProductos[[#This Row],[Producto]]=""),"",tblProductos[[#This Row],[SKU]]&amp;" · "&amp;tblProductos[[#This Row],[Producto]])</f>
        <v/>
      </c>
      <c r="M443" s="40" t="str">
        <f>IF(tblProductos[[#This Row],[SKU]]="","",COUNTIF(tblMovimientos[SKU],tblProductos[[#This Row],[SKU]]))</f>
        <v/>
      </c>
      <c r="N44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4" spans="2:14" x14ac:dyDescent="0.25">
      <c r="B444" s="37"/>
      <c r="C444" s="37"/>
      <c r="D444" s="37"/>
      <c r="E444" s="38"/>
      <c r="F444" s="39"/>
      <c r="G444" s="39"/>
      <c r="H444" s="42"/>
      <c r="I444" s="37"/>
      <c r="J444" s="38"/>
      <c r="K444" s="38"/>
      <c r="L444" s="43" t="str">
        <f>IF(OR(tblProductos[[#This Row],[SKU]]="",tblProductos[[#This Row],[Producto]]=""),"",tblProductos[[#This Row],[SKU]]&amp;" · "&amp;tblProductos[[#This Row],[Producto]])</f>
        <v/>
      </c>
      <c r="M444" s="40" t="str">
        <f>IF(tblProductos[[#This Row],[SKU]]="","",COUNTIF(tblMovimientos[SKU],tblProductos[[#This Row],[SKU]]))</f>
        <v/>
      </c>
      <c r="N44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5" spans="2:14" x14ac:dyDescent="0.25">
      <c r="B445" s="37"/>
      <c r="C445" s="37"/>
      <c r="D445" s="37"/>
      <c r="E445" s="38"/>
      <c r="F445" s="39"/>
      <c r="G445" s="39"/>
      <c r="H445" s="42"/>
      <c r="I445" s="37"/>
      <c r="J445" s="38"/>
      <c r="K445" s="38"/>
      <c r="L445" s="43" t="str">
        <f>IF(OR(tblProductos[[#This Row],[SKU]]="",tblProductos[[#This Row],[Producto]]=""),"",tblProductos[[#This Row],[SKU]]&amp;" · "&amp;tblProductos[[#This Row],[Producto]])</f>
        <v/>
      </c>
      <c r="M445" s="40" t="str">
        <f>IF(tblProductos[[#This Row],[SKU]]="","",COUNTIF(tblMovimientos[SKU],tblProductos[[#This Row],[SKU]]))</f>
        <v/>
      </c>
      <c r="N44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6" spans="2:14" x14ac:dyDescent="0.25">
      <c r="B446" s="37"/>
      <c r="C446" s="37"/>
      <c r="D446" s="37"/>
      <c r="E446" s="38"/>
      <c r="F446" s="39"/>
      <c r="G446" s="39"/>
      <c r="H446" s="42"/>
      <c r="I446" s="37"/>
      <c r="J446" s="38"/>
      <c r="K446" s="38"/>
      <c r="L446" s="43" t="str">
        <f>IF(OR(tblProductos[[#This Row],[SKU]]="",tblProductos[[#This Row],[Producto]]=""),"",tblProductos[[#This Row],[SKU]]&amp;" · "&amp;tblProductos[[#This Row],[Producto]])</f>
        <v/>
      </c>
      <c r="M446" s="40" t="str">
        <f>IF(tblProductos[[#This Row],[SKU]]="","",COUNTIF(tblMovimientos[SKU],tblProductos[[#This Row],[SKU]]))</f>
        <v/>
      </c>
      <c r="N44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7" spans="2:14" x14ac:dyDescent="0.25">
      <c r="B447" s="37"/>
      <c r="C447" s="37"/>
      <c r="D447" s="37"/>
      <c r="E447" s="38"/>
      <c r="F447" s="39"/>
      <c r="G447" s="39"/>
      <c r="H447" s="42"/>
      <c r="I447" s="37"/>
      <c r="J447" s="38"/>
      <c r="K447" s="38"/>
      <c r="L447" s="43" t="str">
        <f>IF(OR(tblProductos[[#This Row],[SKU]]="",tblProductos[[#This Row],[Producto]]=""),"",tblProductos[[#This Row],[SKU]]&amp;" · "&amp;tblProductos[[#This Row],[Producto]])</f>
        <v/>
      </c>
      <c r="M447" s="40" t="str">
        <f>IF(tblProductos[[#This Row],[SKU]]="","",COUNTIF(tblMovimientos[SKU],tblProductos[[#This Row],[SKU]]))</f>
        <v/>
      </c>
      <c r="N44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8" spans="2:14" x14ac:dyDescent="0.25">
      <c r="B448" s="37"/>
      <c r="C448" s="37"/>
      <c r="D448" s="37"/>
      <c r="E448" s="38"/>
      <c r="F448" s="39"/>
      <c r="G448" s="39"/>
      <c r="H448" s="42"/>
      <c r="I448" s="37"/>
      <c r="J448" s="38"/>
      <c r="K448" s="38"/>
      <c r="L448" s="43" t="str">
        <f>IF(OR(tblProductos[[#This Row],[SKU]]="",tblProductos[[#This Row],[Producto]]=""),"",tblProductos[[#This Row],[SKU]]&amp;" · "&amp;tblProductos[[#This Row],[Producto]])</f>
        <v/>
      </c>
      <c r="M448" s="40" t="str">
        <f>IF(tblProductos[[#This Row],[SKU]]="","",COUNTIF(tblMovimientos[SKU],tblProductos[[#This Row],[SKU]]))</f>
        <v/>
      </c>
      <c r="N44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49" spans="2:14" x14ac:dyDescent="0.25">
      <c r="B449" s="37"/>
      <c r="C449" s="37"/>
      <c r="D449" s="37"/>
      <c r="E449" s="38"/>
      <c r="F449" s="39"/>
      <c r="G449" s="39"/>
      <c r="H449" s="42"/>
      <c r="I449" s="37"/>
      <c r="J449" s="38"/>
      <c r="K449" s="38"/>
      <c r="L449" s="43" t="str">
        <f>IF(OR(tblProductos[[#This Row],[SKU]]="",tblProductos[[#This Row],[Producto]]=""),"",tblProductos[[#This Row],[SKU]]&amp;" · "&amp;tblProductos[[#This Row],[Producto]])</f>
        <v/>
      </c>
      <c r="M449" s="40" t="str">
        <f>IF(tblProductos[[#This Row],[SKU]]="","",COUNTIF(tblMovimientos[SKU],tblProductos[[#This Row],[SKU]]))</f>
        <v/>
      </c>
      <c r="N44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0" spans="2:14" x14ac:dyDescent="0.25">
      <c r="B450" s="37"/>
      <c r="C450" s="37"/>
      <c r="D450" s="37"/>
      <c r="E450" s="38"/>
      <c r="F450" s="39"/>
      <c r="G450" s="39"/>
      <c r="H450" s="42"/>
      <c r="I450" s="37"/>
      <c r="J450" s="38"/>
      <c r="K450" s="38"/>
      <c r="L450" s="43" t="str">
        <f>IF(OR(tblProductos[[#This Row],[SKU]]="",tblProductos[[#This Row],[Producto]]=""),"",tblProductos[[#This Row],[SKU]]&amp;" · "&amp;tblProductos[[#This Row],[Producto]])</f>
        <v/>
      </c>
      <c r="M450" s="40" t="str">
        <f>IF(tblProductos[[#This Row],[SKU]]="","",COUNTIF(tblMovimientos[SKU],tblProductos[[#This Row],[SKU]]))</f>
        <v/>
      </c>
      <c r="N45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1" spans="2:14" x14ac:dyDescent="0.25">
      <c r="B451" s="37"/>
      <c r="C451" s="37"/>
      <c r="D451" s="37"/>
      <c r="E451" s="38"/>
      <c r="F451" s="39"/>
      <c r="G451" s="39"/>
      <c r="H451" s="42"/>
      <c r="I451" s="37"/>
      <c r="J451" s="38"/>
      <c r="K451" s="38"/>
      <c r="L451" s="43" t="str">
        <f>IF(OR(tblProductos[[#This Row],[SKU]]="",tblProductos[[#This Row],[Producto]]=""),"",tblProductos[[#This Row],[SKU]]&amp;" · "&amp;tblProductos[[#This Row],[Producto]])</f>
        <v/>
      </c>
      <c r="M451" s="40" t="str">
        <f>IF(tblProductos[[#This Row],[SKU]]="","",COUNTIF(tblMovimientos[SKU],tblProductos[[#This Row],[SKU]]))</f>
        <v/>
      </c>
      <c r="N45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2" spans="2:14" x14ac:dyDescent="0.25">
      <c r="B452" s="37"/>
      <c r="C452" s="37"/>
      <c r="D452" s="37"/>
      <c r="E452" s="38"/>
      <c r="F452" s="39"/>
      <c r="G452" s="39"/>
      <c r="H452" s="42"/>
      <c r="I452" s="37"/>
      <c r="J452" s="38"/>
      <c r="K452" s="38"/>
      <c r="L452" s="43" t="str">
        <f>IF(OR(tblProductos[[#This Row],[SKU]]="",tblProductos[[#This Row],[Producto]]=""),"",tblProductos[[#This Row],[SKU]]&amp;" · "&amp;tblProductos[[#This Row],[Producto]])</f>
        <v/>
      </c>
      <c r="M452" s="40" t="str">
        <f>IF(tblProductos[[#This Row],[SKU]]="","",COUNTIF(tblMovimientos[SKU],tblProductos[[#This Row],[SKU]]))</f>
        <v/>
      </c>
      <c r="N45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3" spans="2:14" x14ac:dyDescent="0.25">
      <c r="B453" s="37"/>
      <c r="C453" s="37"/>
      <c r="D453" s="37"/>
      <c r="E453" s="38"/>
      <c r="F453" s="39"/>
      <c r="G453" s="39"/>
      <c r="H453" s="42"/>
      <c r="I453" s="37"/>
      <c r="J453" s="38"/>
      <c r="K453" s="38"/>
      <c r="L453" s="43" t="str">
        <f>IF(OR(tblProductos[[#This Row],[SKU]]="",tblProductos[[#This Row],[Producto]]=""),"",tblProductos[[#This Row],[SKU]]&amp;" · "&amp;tblProductos[[#This Row],[Producto]])</f>
        <v/>
      </c>
      <c r="M453" s="40" t="str">
        <f>IF(tblProductos[[#This Row],[SKU]]="","",COUNTIF(tblMovimientos[SKU],tblProductos[[#This Row],[SKU]]))</f>
        <v/>
      </c>
      <c r="N45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4" spans="2:14" x14ac:dyDescent="0.25">
      <c r="B454" s="37"/>
      <c r="C454" s="37"/>
      <c r="D454" s="37"/>
      <c r="E454" s="38"/>
      <c r="F454" s="39"/>
      <c r="G454" s="39"/>
      <c r="H454" s="42"/>
      <c r="I454" s="37"/>
      <c r="J454" s="38"/>
      <c r="K454" s="38"/>
      <c r="L454" s="43" t="str">
        <f>IF(OR(tblProductos[[#This Row],[SKU]]="",tblProductos[[#This Row],[Producto]]=""),"",tblProductos[[#This Row],[SKU]]&amp;" · "&amp;tblProductos[[#This Row],[Producto]])</f>
        <v/>
      </c>
      <c r="M454" s="40" t="str">
        <f>IF(tblProductos[[#This Row],[SKU]]="","",COUNTIF(tblMovimientos[SKU],tblProductos[[#This Row],[SKU]]))</f>
        <v/>
      </c>
      <c r="N45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5" spans="2:14" x14ac:dyDescent="0.25">
      <c r="B455" s="37"/>
      <c r="C455" s="37"/>
      <c r="D455" s="37"/>
      <c r="E455" s="38"/>
      <c r="F455" s="39"/>
      <c r="G455" s="39"/>
      <c r="H455" s="42"/>
      <c r="I455" s="37"/>
      <c r="J455" s="38"/>
      <c r="K455" s="38"/>
      <c r="L455" s="43" t="str">
        <f>IF(OR(tblProductos[[#This Row],[SKU]]="",tblProductos[[#This Row],[Producto]]=""),"",tblProductos[[#This Row],[SKU]]&amp;" · "&amp;tblProductos[[#This Row],[Producto]])</f>
        <v/>
      </c>
      <c r="M455" s="40" t="str">
        <f>IF(tblProductos[[#This Row],[SKU]]="","",COUNTIF(tblMovimientos[SKU],tblProductos[[#This Row],[SKU]]))</f>
        <v/>
      </c>
      <c r="N45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6" spans="2:14" x14ac:dyDescent="0.25">
      <c r="B456" s="37"/>
      <c r="C456" s="37"/>
      <c r="D456" s="37"/>
      <c r="E456" s="38"/>
      <c r="F456" s="39"/>
      <c r="G456" s="39"/>
      <c r="H456" s="42"/>
      <c r="I456" s="37"/>
      <c r="J456" s="38"/>
      <c r="K456" s="38"/>
      <c r="L456" s="43" t="str">
        <f>IF(OR(tblProductos[[#This Row],[SKU]]="",tblProductos[[#This Row],[Producto]]=""),"",tblProductos[[#This Row],[SKU]]&amp;" · "&amp;tblProductos[[#This Row],[Producto]])</f>
        <v/>
      </c>
      <c r="M456" s="40" t="str">
        <f>IF(tblProductos[[#This Row],[SKU]]="","",COUNTIF(tblMovimientos[SKU],tblProductos[[#This Row],[SKU]]))</f>
        <v/>
      </c>
      <c r="N45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7" spans="2:14" x14ac:dyDescent="0.25">
      <c r="B457" s="37"/>
      <c r="C457" s="37"/>
      <c r="D457" s="37"/>
      <c r="E457" s="38"/>
      <c r="F457" s="39"/>
      <c r="G457" s="39"/>
      <c r="H457" s="42"/>
      <c r="I457" s="37"/>
      <c r="J457" s="38"/>
      <c r="K457" s="38"/>
      <c r="L457" s="43" t="str">
        <f>IF(OR(tblProductos[[#This Row],[SKU]]="",tblProductos[[#This Row],[Producto]]=""),"",tblProductos[[#This Row],[SKU]]&amp;" · "&amp;tblProductos[[#This Row],[Producto]])</f>
        <v/>
      </c>
      <c r="M457" s="40" t="str">
        <f>IF(tblProductos[[#This Row],[SKU]]="","",COUNTIF(tblMovimientos[SKU],tblProductos[[#This Row],[SKU]]))</f>
        <v/>
      </c>
      <c r="N45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8" spans="2:14" x14ac:dyDescent="0.25">
      <c r="B458" s="37"/>
      <c r="C458" s="37"/>
      <c r="D458" s="37"/>
      <c r="E458" s="38"/>
      <c r="F458" s="39"/>
      <c r="G458" s="39"/>
      <c r="H458" s="42"/>
      <c r="I458" s="37"/>
      <c r="J458" s="38"/>
      <c r="K458" s="38"/>
      <c r="L458" s="43" t="str">
        <f>IF(OR(tblProductos[[#This Row],[SKU]]="",tblProductos[[#This Row],[Producto]]=""),"",tblProductos[[#This Row],[SKU]]&amp;" · "&amp;tblProductos[[#This Row],[Producto]])</f>
        <v/>
      </c>
      <c r="M458" s="40" t="str">
        <f>IF(tblProductos[[#This Row],[SKU]]="","",COUNTIF(tblMovimientos[SKU],tblProductos[[#This Row],[SKU]]))</f>
        <v/>
      </c>
      <c r="N45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59" spans="2:14" x14ac:dyDescent="0.25">
      <c r="B459" s="37"/>
      <c r="C459" s="37"/>
      <c r="D459" s="37"/>
      <c r="E459" s="38"/>
      <c r="F459" s="39"/>
      <c r="G459" s="39"/>
      <c r="H459" s="42"/>
      <c r="I459" s="37"/>
      <c r="J459" s="38"/>
      <c r="K459" s="38"/>
      <c r="L459" s="43" t="str">
        <f>IF(OR(tblProductos[[#This Row],[SKU]]="",tblProductos[[#This Row],[Producto]]=""),"",tblProductos[[#This Row],[SKU]]&amp;" · "&amp;tblProductos[[#This Row],[Producto]])</f>
        <v/>
      </c>
      <c r="M459" s="40" t="str">
        <f>IF(tblProductos[[#This Row],[SKU]]="","",COUNTIF(tblMovimientos[SKU],tblProductos[[#This Row],[SKU]]))</f>
        <v/>
      </c>
      <c r="N45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0" spans="2:14" x14ac:dyDescent="0.25">
      <c r="B460" s="37"/>
      <c r="C460" s="37"/>
      <c r="D460" s="37"/>
      <c r="E460" s="38"/>
      <c r="F460" s="39"/>
      <c r="G460" s="39"/>
      <c r="H460" s="42"/>
      <c r="I460" s="37"/>
      <c r="J460" s="38"/>
      <c r="K460" s="38"/>
      <c r="L460" s="43" t="str">
        <f>IF(OR(tblProductos[[#This Row],[SKU]]="",tblProductos[[#This Row],[Producto]]=""),"",tblProductos[[#This Row],[SKU]]&amp;" · "&amp;tblProductos[[#This Row],[Producto]])</f>
        <v/>
      </c>
      <c r="M460" s="40" t="str">
        <f>IF(tblProductos[[#This Row],[SKU]]="","",COUNTIF(tblMovimientos[SKU],tblProductos[[#This Row],[SKU]]))</f>
        <v/>
      </c>
      <c r="N46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1" spans="2:14" x14ac:dyDescent="0.25">
      <c r="B461" s="37"/>
      <c r="C461" s="37"/>
      <c r="D461" s="37"/>
      <c r="E461" s="38"/>
      <c r="F461" s="39"/>
      <c r="G461" s="39"/>
      <c r="H461" s="42"/>
      <c r="I461" s="37"/>
      <c r="J461" s="38"/>
      <c r="K461" s="38"/>
      <c r="L461" s="43" t="str">
        <f>IF(OR(tblProductos[[#This Row],[SKU]]="",tblProductos[[#This Row],[Producto]]=""),"",tblProductos[[#This Row],[SKU]]&amp;" · "&amp;tblProductos[[#This Row],[Producto]])</f>
        <v/>
      </c>
      <c r="M461" s="40" t="str">
        <f>IF(tblProductos[[#This Row],[SKU]]="","",COUNTIF(tblMovimientos[SKU],tblProductos[[#This Row],[SKU]]))</f>
        <v/>
      </c>
      <c r="N46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2" spans="2:14" x14ac:dyDescent="0.25">
      <c r="B462" s="37"/>
      <c r="C462" s="37"/>
      <c r="D462" s="37"/>
      <c r="E462" s="38"/>
      <c r="F462" s="39"/>
      <c r="G462" s="39"/>
      <c r="H462" s="42"/>
      <c r="I462" s="37"/>
      <c r="J462" s="38"/>
      <c r="K462" s="38"/>
      <c r="L462" s="43" t="str">
        <f>IF(OR(tblProductos[[#This Row],[SKU]]="",tblProductos[[#This Row],[Producto]]=""),"",tblProductos[[#This Row],[SKU]]&amp;" · "&amp;tblProductos[[#This Row],[Producto]])</f>
        <v/>
      </c>
      <c r="M462" s="40" t="str">
        <f>IF(tblProductos[[#This Row],[SKU]]="","",COUNTIF(tblMovimientos[SKU],tblProductos[[#This Row],[SKU]]))</f>
        <v/>
      </c>
      <c r="N46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3" spans="2:14" x14ac:dyDescent="0.25">
      <c r="B463" s="37"/>
      <c r="C463" s="37"/>
      <c r="D463" s="37"/>
      <c r="E463" s="38"/>
      <c r="F463" s="39"/>
      <c r="G463" s="39"/>
      <c r="H463" s="42"/>
      <c r="I463" s="37"/>
      <c r="J463" s="38"/>
      <c r="K463" s="38"/>
      <c r="L463" s="43" t="str">
        <f>IF(OR(tblProductos[[#This Row],[SKU]]="",tblProductos[[#This Row],[Producto]]=""),"",tblProductos[[#This Row],[SKU]]&amp;" · "&amp;tblProductos[[#This Row],[Producto]])</f>
        <v/>
      </c>
      <c r="M463" s="40" t="str">
        <f>IF(tblProductos[[#This Row],[SKU]]="","",COUNTIF(tblMovimientos[SKU],tblProductos[[#This Row],[SKU]]))</f>
        <v/>
      </c>
      <c r="N46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4" spans="2:14" x14ac:dyDescent="0.25">
      <c r="B464" s="37"/>
      <c r="C464" s="37"/>
      <c r="D464" s="37"/>
      <c r="E464" s="38"/>
      <c r="F464" s="39"/>
      <c r="G464" s="39"/>
      <c r="H464" s="42"/>
      <c r="I464" s="37"/>
      <c r="J464" s="38"/>
      <c r="K464" s="38"/>
      <c r="L464" s="43" t="str">
        <f>IF(OR(tblProductos[[#This Row],[SKU]]="",tblProductos[[#This Row],[Producto]]=""),"",tblProductos[[#This Row],[SKU]]&amp;" · "&amp;tblProductos[[#This Row],[Producto]])</f>
        <v/>
      </c>
      <c r="M464" s="40" t="str">
        <f>IF(tblProductos[[#This Row],[SKU]]="","",COUNTIF(tblMovimientos[SKU],tblProductos[[#This Row],[SKU]]))</f>
        <v/>
      </c>
      <c r="N46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5" spans="2:14" x14ac:dyDescent="0.25">
      <c r="B465" s="37"/>
      <c r="C465" s="37"/>
      <c r="D465" s="37"/>
      <c r="E465" s="38"/>
      <c r="F465" s="39"/>
      <c r="G465" s="39"/>
      <c r="H465" s="42"/>
      <c r="I465" s="37"/>
      <c r="J465" s="38"/>
      <c r="K465" s="38"/>
      <c r="L465" s="43" t="str">
        <f>IF(OR(tblProductos[[#This Row],[SKU]]="",tblProductos[[#This Row],[Producto]]=""),"",tblProductos[[#This Row],[SKU]]&amp;" · "&amp;tblProductos[[#This Row],[Producto]])</f>
        <v/>
      </c>
      <c r="M465" s="40" t="str">
        <f>IF(tblProductos[[#This Row],[SKU]]="","",COUNTIF(tblMovimientos[SKU],tblProductos[[#This Row],[SKU]]))</f>
        <v/>
      </c>
      <c r="N46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6" spans="2:14" x14ac:dyDescent="0.25">
      <c r="B466" s="37"/>
      <c r="C466" s="37"/>
      <c r="D466" s="37"/>
      <c r="E466" s="38"/>
      <c r="F466" s="39"/>
      <c r="G466" s="39"/>
      <c r="H466" s="42"/>
      <c r="I466" s="37"/>
      <c r="J466" s="38"/>
      <c r="K466" s="38"/>
      <c r="L466" s="43" t="str">
        <f>IF(OR(tblProductos[[#This Row],[SKU]]="",tblProductos[[#This Row],[Producto]]=""),"",tblProductos[[#This Row],[SKU]]&amp;" · "&amp;tblProductos[[#This Row],[Producto]])</f>
        <v/>
      </c>
      <c r="M466" s="40" t="str">
        <f>IF(tblProductos[[#This Row],[SKU]]="","",COUNTIF(tblMovimientos[SKU],tblProductos[[#This Row],[SKU]]))</f>
        <v/>
      </c>
      <c r="N46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7" spans="2:14" x14ac:dyDescent="0.25">
      <c r="B467" s="37"/>
      <c r="C467" s="37"/>
      <c r="D467" s="37"/>
      <c r="E467" s="38"/>
      <c r="F467" s="39"/>
      <c r="G467" s="39"/>
      <c r="H467" s="42"/>
      <c r="I467" s="37"/>
      <c r="J467" s="38"/>
      <c r="K467" s="38"/>
      <c r="L467" s="43" t="str">
        <f>IF(OR(tblProductos[[#This Row],[SKU]]="",tblProductos[[#This Row],[Producto]]=""),"",tblProductos[[#This Row],[SKU]]&amp;" · "&amp;tblProductos[[#This Row],[Producto]])</f>
        <v/>
      </c>
      <c r="M467" s="40" t="str">
        <f>IF(tblProductos[[#This Row],[SKU]]="","",COUNTIF(tblMovimientos[SKU],tblProductos[[#This Row],[SKU]]))</f>
        <v/>
      </c>
      <c r="N46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8" spans="2:14" x14ac:dyDescent="0.25">
      <c r="B468" s="37"/>
      <c r="C468" s="37"/>
      <c r="D468" s="37"/>
      <c r="E468" s="38"/>
      <c r="F468" s="39"/>
      <c r="G468" s="39"/>
      <c r="H468" s="42"/>
      <c r="I468" s="37"/>
      <c r="J468" s="38"/>
      <c r="K468" s="38"/>
      <c r="L468" s="43" t="str">
        <f>IF(OR(tblProductos[[#This Row],[SKU]]="",tblProductos[[#This Row],[Producto]]=""),"",tblProductos[[#This Row],[SKU]]&amp;" · "&amp;tblProductos[[#This Row],[Producto]])</f>
        <v/>
      </c>
      <c r="M468" s="40" t="str">
        <f>IF(tblProductos[[#This Row],[SKU]]="","",COUNTIF(tblMovimientos[SKU],tblProductos[[#This Row],[SKU]]))</f>
        <v/>
      </c>
      <c r="N46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69" spans="2:14" x14ac:dyDescent="0.25">
      <c r="B469" s="37"/>
      <c r="C469" s="37"/>
      <c r="D469" s="37"/>
      <c r="E469" s="38"/>
      <c r="F469" s="39"/>
      <c r="G469" s="39"/>
      <c r="H469" s="42"/>
      <c r="I469" s="37"/>
      <c r="J469" s="38"/>
      <c r="K469" s="38"/>
      <c r="L469" s="43" t="str">
        <f>IF(OR(tblProductos[[#This Row],[SKU]]="",tblProductos[[#This Row],[Producto]]=""),"",tblProductos[[#This Row],[SKU]]&amp;" · "&amp;tblProductos[[#This Row],[Producto]])</f>
        <v/>
      </c>
      <c r="M469" s="40" t="str">
        <f>IF(tblProductos[[#This Row],[SKU]]="","",COUNTIF(tblMovimientos[SKU],tblProductos[[#This Row],[SKU]]))</f>
        <v/>
      </c>
      <c r="N46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0" spans="2:14" x14ac:dyDescent="0.25">
      <c r="B470" s="37"/>
      <c r="C470" s="37"/>
      <c r="D470" s="37"/>
      <c r="E470" s="38"/>
      <c r="F470" s="39"/>
      <c r="G470" s="39"/>
      <c r="H470" s="42"/>
      <c r="I470" s="37"/>
      <c r="J470" s="38"/>
      <c r="K470" s="38"/>
      <c r="L470" s="43" t="str">
        <f>IF(OR(tblProductos[[#This Row],[SKU]]="",tblProductos[[#This Row],[Producto]]=""),"",tblProductos[[#This Row],[SKU]]&amp;" · "&amp;tblProductos[[#This Row],[Producto]])</f>
        <v/>
      </c>
      <c r="M470" s="40" t="str">
        <f>IF(tblProductos[[#This Row],[SKU]]="","",COUNTIF(tblMovimientos[SKU],tblProductos[[#This Row],[SKU]]))</f>
        <v/>
      </c>
      <c r="N47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1" spans="2:14" x14ac:dyDescent="0.25">
      <c r="B471" s="37"/>
      <c r="C471" s="37"/>
      <c r="D471" s="37"/>
      <c r="E471" s="38"/>
      <c r="F471" s="39"/>
      <c r="G471" s="39"/>
      <c r="H471" s="42"/>
      <c r="I471" s="37"/>
      <c r="J471" s="38"/>
      <c r="K471" s="38"/>
      <c r="L471" s="43" t="str">
        <f>IF(OR(tblProductos[[#This Row],[SKU]]="",tblProductos[[#This Row],[Producto]]=""),"",tblProductos[[#This Row],[SKU]]&amp;" · "&amp;tblProductos[[#This Row],[Producto]])</f>
        <v/>
      </c>
      <c r="M471" s="40" t="str">
        <f>IF(tblProductos[[#This Row],[SKU]]="","",COUNTIF(tblMovimientos[SKU],tblProductos[[#This Row],[SKU]]))</f>
        <v/>
      </c>
      <c r="N47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2" spans="2:14" x14ac:dyDescent="0.25">
      <c r="B472" s="37"/>
      <c r="C472" s="37"/>
      <c r="D472" s="37"/>
      <c r="E472" s="38"/>
      <c r="F472" s="39"/>
      <c r="G472" s="39"/>
      <c r="H472" s="42"/>
      <c r="I472" s="37"/>
      <c r="J472" s="38"/>
      <c r="K472" s="38"/>
      <c r="L472" s="43" t="str">
        <f>IF(OR(tblProductos[[#This Row],[SKU]]="",tblProductos[[#This Row],[Producto]]=""),"",tblProductos[[#This Row],[SKU]]&amp;" · "&amp;tblProductos[[#This Row],[Producto]])</f>
        <v/>
      </c>
      <c r="M472" s="40" t="str">
        <f>IF(tblProductos[[#This Row],[SKU]]="","",COUNTIF(tblMovimientos[SKU],tblProductos[[#This Row],[SKU]]))</f>
        <v/>
      </c>
      <c r="N47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3" spans="2:14" x14ac:dyDescent="0.25">
      <c r="B473" s="37"/>
      <c r="C473" s="37"/>
      <c r="D473" s="37"/>
      <c r="E473" s="38"/>
      <c r="F473" s="39"/>
      <c r="G473" s="39"/>
      <c r="H473" s="42"/>
      <c r="I473" s="37"/>
      <c r="J473" s="38"/>
      <c r="K473" s="38"/>
      <c r="L473" s="43" t="str">
        <f>IF(OR(tblProductos[[#This Row],[SKU]]="",tblProductos[[#This Row],[Producto]]=""),"",tblProductos[[#This Row],[SKU]]&amp;" · "&amp;tblProductos[[#This Row],[Producto]])</f>
        <v/>
      </c>
      <c r="M473" s="40" t="str">
        <f>IF(tblProductos[[#This Row],[SKU]]="","",COUNTIF(tblMovimientos[SKU],tblProductos[[#This Row],[SKU]]))</f>
        <v/>
      </c>
      <c r="N47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4" spans="2:14" x14ac:dyDescent="0.25">
      <c r="B474" s="37"/>
      <c r="C474" s="37"/>
      <c r="D474" s="37"/>
      <c r="E474" s="38"/>
      <c r="F474" s="39"/>
      <c r="G474" s="39"/>
      <c r="H474" s="42"/>
      <c r="I474" s="37"/>
      <c r="J474" s="38"/>
      <c r="K474" s="38"/>
      <c r="L474" s="43" t="str">
        <f>IF(OR(tblProductos[[#This Row],[SKU]]="",tblProductos[[#This Row],[Producto]]=""),"",tblProductos[[#This Row],[SKU]]&amp;" · "&amp;tblProductos[[#This Row],[Producto]])</f>
        <v/>
      </c>
      <c r="M474" s="40" t="str">
        <f>IF(tblProductos[[#This Row],[SKU]]="","",COUNTIF(tblMovimientos[SKU],tblProductos[[#This Row],[SKU]]))</f>
        <v/>
      </c>
      <c r="N47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5" spans="2:14" x14ac:dyDescent="0.25">
      <c r="B475" s="37"/>
      <c r="C475" s="37"/>
      <c r="D475" s="37"/>
      <c r="E475" s="38"/>
      <c r="F475" s="39"/>
      <c r="G475" s="39"/>
      <c r="H475" s="42"/>
      <c r="I475" s="37"/>
      <c r="J475" s="38"/>
      <c r="K475" s="38"/>
      <c r="L475" s="43" t="str">
        <f>IF(OR(tblProductos[[#This Row],[SKU]]="",tblProductos[[#This Row],[Producto]]=""),"",tblProductos[[#This Row],[SKU]]&amp;" · "&amp;tblProductos[[#This Row],[Producto]])</f>
        <v/>
      </c>
      <c r="M475" s="40" t="str">
        <f>IF(tblProductos[[#This Row],[SKU]]="","",COUNTIF(tblMovimientos[SKU],tblProductos[[#This Row],[SKU]]))</f>
        <v/>
      </c>
      <c r="N47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6" spans="2:14" x14ac:dyDescent="0.25">
      <c r="B476" s="37"/>
      <c r="C476" s="37"/>
      <c r="D476" s="37"/>
      <c r="E476" s="38"/>
      <c r="F476" s="39"/>
      <c r="G476" s="39"/>
      <c r="H476" s="42"/>
      <c r="I476" s="37"/>
      <c r="J476" s="38"/>
      <c r="K476" s="38"/>
      <c r="L476" s="43" t="str">
        <f>IF(OR(tblProductos[[#This Row],[SKU]]="",tblProductos[[#This Row],[Producto]]=""),"",tblProductos[[#This Row],[SKU]]&amp;" · "&amp;tblProductos[[#This Row],[Producto]])</f>
        <v/>
      </c>
      <c r="M476" s="40" t="str">
        <f>IF(tblProductos[[#This Row],[SKU]]="","",COUNTIF(tblMovimientos[SKU],tblProductos[[#This Row],[SKU]]))</f>
        <v/>
      </c>
      <c r="N47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7" spans="2:14" x14ac:dyDescent="0.25">
      <c r="B477" s="37"/>
      <c r="C477" s="37"/>
      <c r="D477" s="37"/>
      <c r="E477" s="38"/>
      <c r="F477" s="39"/>
      <c r="G477" s="39"/>
      <c r="H477" s="42"/>
      <c r="I477" s="37"/>
      <c r="J477" s="38"/>
      <c r="K477" s="38"/>
      <c r="L477" s="43" t="str">
        <f>IF(OR(tblProductos[[#This Row],[SKU]]="",tblProductos[[#This Row],[Producto]]=""),"",tblProductos[[#This Row],[SKU]]&amp;" · "&amp;tblProductos[[#This Row],[Producto]])</f>
        <v/>
      </c>
      <c r="M477" s="40" t="str">
        <f>IF(tblProductos[[#This Row],[SKU]]="","",COUNTIF(tblMovimientos[SKU],tblProductos[[#This Row],[SKU]]))</f>
        <v/>
      </c>
      <c r="N47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8" spans="2:14" x14ac:dyDescent="0.25">
      <c r="B478" s="37"/>
      <c r="C478" s="37"/>
      <c r="D478" s="37"/>
      <c r="E478" s="38"/>
      <c r="F478" s="39"/>
      <c r="G478" s="39"/>
      <c r="H478" s="42"/>
      <c r="I478" s="37"/>
      <c r="J478" s="38"/>
      <c r="K478" s="38"/>
      <c r="L478" s="43" t="str">
        <f>IF(OR(tblProductos[[#This Row],[SKU]]="",tblProductos[[#This Row],[Producto]]=""),"",tblProductos[[#This Row],[SKU]]&amp;" · "&amp;tblProductos[[#This Row],[Producto]])</f>
        <v/>
      </c>
      <c r="M478" s="40" t="str">
        <f>IF(tblProductos[[#This Row],[SKU]]="","",COUNTIF(tblMovimientos[SKU],tblProductos[[#This Row],[SKU]]))</f>
        <v/>
      </c>
      <c r="N47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79" spans="2:14" x14ac:dyDescent="0.25">
      <c r="B479" s="37"/>
      <c r="C479" s="37"/>
      <c r="D479" s="37"/>
      <c r="E479" s="38"/>
      <c r="F479" s="39"/>
      <c r="G479" s="39"/>
      <c r="H479" s="42"/>
      <c r="I479" s="37"/>
      <c r="J479" s="38"/>
      <c r="K479" s="38"/>
      <c r="L479" s="43" t="str">
        <f>IF(OR(tblProductos[[#This Row],[SKU]]="",tblProductos[[#This Row],[Producto]]=""),"",tblProductos[[#This Row],[SKU]]&amp;" · "&amp;tblProductos[[#This Row],[Producto]])</f>
        <v/>
      </c>
      <c r="M479" s="40" t="str">
        <f>IF(tblProductos[[#This Row],[SKU]]="","",COUNTIF(tblMovimientos[SKU],tblProductos[[#This Row],[SKU]]))</f>
        <v/>
      </c>
      <c r="N47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0" spans="2:14" x14ac:dyDescent="0.25">
      <c r="B480" s="37"/>
      <c r="C480" s="37"/>
      <c r="D480" s="37"/>
      <c r="E480" s="38"/>
      <c r="F480" s="39"/>
      <c r="G480" s="39"/>
      <c r="H480" s="42"/>
      <c r="I480" s="37"/>
      <c r="J480" s="38"/>
      <c r="K480" s="38"/>
      <c r="L480" s="43" t="str">
        <f>IF(OR(tblProductos[[#This Row],[SKU]]="",tblProductos[[#This Row],[Producto]]=""),"",tblProductos[[#This Row],[SKU]]&amp;" · "&amp;tblProductos[[#This Row],[Producto]])</f>
        <v/>
      </c>
      <c r="M480" s="40" t="str">
        <f>IF(tblProductos[[#This Row],[SKU]]="","",COUNTIF(tblMovimientos[SKU],tblProductos[[#This Row],[SKU]]))</f>
        <v/>
      </c>
      <c r="N48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1" spans="2:14" x14ac:dyDescent="0.25">
      <c r="B481" s="37"/>
      <c r="C481" s="37"/>
      <c r="D481" s="37"/>
      <c r="E481" s="38"/>
      <c r="F481" s="39"/>
      <c r="G481" s="39"/>
      <c r="H481" s="42"/>
      <c r="I481" s="37"/>
      <c r="J481" s="38"/>
      <c r="K481" s="38"/>
      <c r="L481" s="43" t="str">
        <f>IF(OR(tblProductos[[#This Row],[SKU]]="",tblProductos[[#This Row],[Producto]]=""),"",tblProductos[[#This Row],[SKU]]&amp;" · "&amp;tblProductos[[#This Row],[Producto]])</f>
        <v/>
      </c>
      <c r="M481" s="40" t="str">
        <f>IF(tblProductos[[#This Row],[SKU]]="","",COUNTIF(tblMovimientos[SKU],tblProductos[[#This Row],[SKU]]))</f>
        <v/>
      </c>
      <c r="N48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2" spans="2:14" x14ac:dyDescent="0.25">
      <c r="B482" s="37"/>
      <c r="C482" s="37"/>
      <c r="D482" s="37"/>
      <c r="E482" s="38"/>
      <c r="F482" s="39"/>
      <c r="G482" s="39"/>
      <c r="H482" s="42"/>
      <c r="I482" s="37"/>
      <c r="J482" s="38"/>
      <c r="K482" s="38"/>
      <c r="L482" s="43" t="str">
        <f>IF(OR(tblProductos[[#This Row],[SKU]]="",tblProductos[[#This Row],[Producto]]=""),"",tblProductos[[#This Row],[SKU]]&amp;" · "&amp;tblProductos[[#This Row],[Producto]])</f>
        <v/>
      </c>
      <c r="M482" s="40" t="str">
        <f>IF(tblProductos[[#This Row],[SKU]]="","",COUNTIF(tblMovimientos[SKU],tblProductos[[#This Row],[SKU]]))</f>
        <v/>
      </c>
      <c r="N48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3" spans="2:14" x14ac:dyDescent="0.25">
      <c r="B483" s="37"/>
      <c r="C483" s="37"/>
      <c r="D483" s="37"/>
      <c r="E483" s="38"/>
      <c r="F483" s="39"/>
      <c r="G483" s="39"/>
      <c r="H483" s="42"/>
      <c r="I483" s="37"/>
      <c r="J483" s="38"/>
      <c r="K483" s="38"/>
      <c r="L483" s="43" t="str">
        <f>IF(OR(tblProductos[[#This Row],[SKU]]="",tblProductos[[#This Row],[Producto]]=""),"",tblProductos[[#This Row],[SKU]]&amp;" · "&amp;tblProductos[[#This Row],[Producto]])</f>
        <v/>
      </c>
      <c r="M483" s="40" t="str">
        <f>IF(tblProductos[[#This Row],[SKU]]="","",COUNTIF(tblMovimientos[SKU],tblProductos[[#This Row],[SKU]]))</f>
        <v/>
      </c>
      <c r="N48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4" spans="2:14" x14ac:dyDescent="0.25">
      <c r="B484" s="37"/>
      <c r="C484" s="37"/>
      <c r="D484" s="37"/>
      <c r="E484" s="38"/>
      <c r="F484" s="39"/>
      <c r="G484" s="39"/>
      <c r="H484" s="42"/>
      <c r="I484" s="37"/>
      <c r="J484" s="38"/>
      <c r="K484" s="38"/>
      <c r="L484" s="43" t="str">
        <f>IF(OR(tblProductos[[#This Row],[SKU]]="",tblProductos[[#This Row],[Producto]]=""),"",tblProductos[[#This Row],[SKU]]&amp;" · "&amp;tblProductos[[#This Row],[Producto]])</f>
        <v/>
      </c>
      <c r="M484" s="40" t="str">
        <f>IF(tblProductos[[#This Row],[SKU]]="","",COUNTIF(tblMovimientos[SKU],tblProductos[[#This Row],[SKU]]))</f>
        <v/>
      </c>
      <c r="N48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5" spans="2:14" x14ac:dyDescent="0.25">
      <c r="B485" s="37"/>
      <c r="C485" s="37"/>
      <c r="D485" s="37"/>
      <c r="E485" s="38"/>
      <c r="F485" s="39"/>
      <c r="G485" s="39"/>
      <c r="H485" s="42"/>
      <c r="I485" s="37"/>
      <c r="J485" s="38"/>
      <c r="K485" s="38"/>
      <c r="L485" s="43" t="str">
        <f>IF(OR(tblProductos[[#This Row],[SKU]]="",tblProductos[[#This Row],[Producto]]=""),"",tblProductos[[#This Row],[SKU]]&amp;" · "&amp;tblProductos[[#This Row],[Producto]])</f>
        <v/>
      </c>
      <c r="M485" s="40" t="str">
        <f>IF(tblProductos[[#This Row],[SKU]]="","",COUNTIF(tblMovimientos[SKU],tblProductos[[#This Row],[SKU]]))</f>
        <v/>
      </c>
      <c r="N48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6" spans="2:14" x14ac:dyDescent="0.25">
      <c r="B486" s="37"/>
      <c r="C486" s="37"/>
      <c r="D486" s="37"/>
      <c r="E486" s="38"/>
      <c r="F486" s="39"/>
      <c r="G486" s="39"/>
      <c r="H486" s="42"/>
      <c r="I486" s="37"/>
      <c r="J486" s="38"/>
      <c r="K486" s="38"/>
      <c r="L486" s="43" t="str">
        <f>IF(OR(tblProductos[[#This Row],[SKU]]="",tblProductos[[#This Row],[Producto]]=""),"",tblProductos[[#This Row],[SKU]]&amp;" · "&amp;tblProductos[[#This Row],[Producto]])</f>
        <v/>
      </c>
      <c r="M486" s="40" t="str">
        <f>IF(tblProductos[[#This Row],[SKU]]="","",COUNTIF(tblMovimientos[SKU],tblProductos[[#This Row],[SKU]]))</f>
        <v/>
      </c>
      <c r="N48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7" spans="2:14" x14ac:dyDescent="0.25">
      <c r="B487" s="37"/>
      <c r="C487" s="37"/>
      <c r="D487" s="37"/>
      <c r="E487" s="38"/>
      <c r="F487" s="39"/>
      <c r="G487" s="39"/>
      <c r="H487" s="42"/>
      <c r="I487" s="37"/>
      <c r="J487" s="38"/>
      <c r="K487" s="38"/>
      <c r="L487" s="43" t="str">
        <f>IF(OR(tblProductos[[#This Row],[SKU]]="",tblProductos[[#This Row],[Producto]]=""),"",tblProductos[[#This Row],[SKU]]&amp;" · "&amp;tblProductos[[#This Row],[Producto]])</f>
        <v/>
      </c>
      <c r="M487" s="40" t="str">
        <f>IF(tblProductos[[#This Row],[SKU]]="","",COUNTIF(tblMovimientos[SKU],tblProductos[[#This Row],[SKU]]))</f>
        <v/>
      </c>
      <c r="N48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8" spans="2:14" x14ac:dyDescent="0.25">
      <c r="B488" s="37"/>
      <c r="C488" s="37"/>
      <c r="D488" s="37"/>
      <c r="E488" s="38"/>
      <c r="F488" s="39"/>
      <c r="G488" s="39"/>
      <c r="H488" s="42"/>
      <c r="I488" s="37"/>
      <c r="J488" s="38"/>
      <c r="K488" s="38"/>
      <c r="L488" s="43" t="str">
        <f>IF(OR(tblProductos[[#This Row],[SKU]]="",tblProductos[[#This Row],[Producto]]=""),"",tblProductos[[#This Row],[SKU]]&amp;" · "&amp;tblProductos[[#This Row],[Producto]])</f>
        <v/>
      </c>
      <c r="M488" s="40" t="str">
        <f>IF(tblProductos[[#This Row],[SKU]]="","",COUNTIF(tblMovimientos[SKU],tblProductos[[#This Row],[SKU]]))</f>
        <v/>
      </c>
      <c r="N48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89" spans="2:14" x14ac:dyDescent="0.25">
      <c r="B489" s="37"/>
      <c r="C489" s="37"/>
      <c r="D489" s="37"/>
      <c r="E489" s="38"/>
      <c r="F489" s="39"/>
      <c r="G489" s="39"/>
      <c r="H489" s="42"/>
      <c r="I489" s="37"/>
      <c r="J489" s="38"/>
      <c r="K489" s="38"/>
      <c r="L489" s="43" t="str">
        <f>IF(OR(tblProductos[[#This Row],[SKU]]="",tblProductos[[#This Row],[Producto]]=""),"",tblProductos[[#This Row],[SKU]]&amp;" · "&amp;tblProductos[[#This Row],[Producto]])</f>
        <v/>
      </c>
      <c r="M489" s="40" t="str">
        <f>IF(tblProductos[[#This Row],[SKU]]="","",COUNTIF(tblMovimientos[SKU],tblProductos[[#This Row],[SKU]]))</f>
        <v/>
      </c>
      <c r="N48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0" spans="2:14" x14ac:dyDescent="0.25">
      <c r="B490" s="37"/>
      <c r="C490" s="37"/>
      <c r="D490" s="37"/>
      <c r="E490" s="38"/>
      <c r="F490" s="39"/>
      <c r="G490" s="39"/>
      <c r="H490" s="42"/>
      <c r="I490" s="37"/>
      <c r="J490" s="38"/>
      <c r="K490" s="38"/>
      <c r="L490" s="43" t="str">
        <f>IF(OR(tblProductos[[#This Row],[SKU]]="",tblProductos[[#This Row],[Producto]]=""),"",tblProductos[[#This Row],[SKU]]&amp;" · "&amp;tblProductos[[#This Row],[Producto]])</f>
        <v/>
      </c>
      <c r="M490" s="40" t="str">
        <f>IF(tblProductos[[#This Row],[SKU]]="","",COUNTIF(tblMovimientos[SKU],tblProductos[[#This Row],[SKU]]))</f>
        <v/>
      </c>
      <c r="N49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1" spans="2:14" x14ac:dyDescent="0.25">
      <c r="B491" s="37"/>
      <c r="C491" s="37"/>
      <c r="D491" s="37"/>
      <c r="E491" s="38"/>
      <c r="F491" s="39"/>
      <c r="G491" s="39"/>
      <c r="H491" s="42"/>
      <c r="I491" s="37"/>
      <c r="J491" s="38"/>
      <c r="K491" s="38"/>
      <c r="L491" s="43" t="str">
        <f>IF(OR(tblProductos[[#This Row],[SKU]]="",tblProductos[[#This Row],[Producto]]=""),"",tblProductos[[#This Row],[SKU]]&amp;" · "&amp;tblProductos[[#This Row],[Producto]])</f>
        <v/>
      </c>
      <c r="M491" s="40" t="str">
        <f>IF(tblProductos[[#This Row],[SKU]]="","",COUNTIF(tblMovimientos[SKU],tblProductos[[#This Row],[SKU]]))</f>
        <v/>
      </c>
      <c r="N49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2" spans="2:14" x14ac:dyDescent="0.25">
      <c r="B492" s="37"/>
      <c r="C492" s="37"/>
      <c r="D492" s="37"/>
      <c r="E492" s="38"/>
      <c r="F492" s="39"/>
      <c r="G492" s="39"/>
      <c r="H492" s="42"/>
      <c r="I492" s="37"/>
      <c r="J492" s="38"/>
      <c r="K492" s="38"/>
      <c r="L492" s="43" t="str">
        <f>IF(OR(tblProductos[[#This Row],[SKU]]="",tblProductos[[#This Row],[Producto]]=""),"",tblProductos[[#This Row],[SKU]]&amp;" · "&amp;tblProductos[[#This Row],[Producto]])</f>
        <v/>
      </c>
      <c r="M492" s="40" t="str">
        <f>IF(tblProductos[[#This Row],[SKU]]="","",COUNTIF(tblMovimientos[SKU],tblProductos[[#This Row],[SKU]]))</f>
        <v/>
      </c>
      <c r="N49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3" spans="2:14" x14ac:dyDescent="0.25">
      <c r="B493" s="37"/>
      <c r="C493" s="37"/>
      <c r="D493" s="37"/>
      <c r="E493" s="38"/>
      <c r="F493" s="39"/>
      <c r="G493" s="39"/>
      <c r="H493" s="42"/>
      <c r="I493" s="37"/>
      <c r="J493" s="38"/>
      <c r="K493" s="38"/>
      <c r="L493" s="43" t="str">
        <f>IF(OR(tblProductos[[#This Row],[SKU]]="",tblProductos[[#This Row],[Producto]]=""),"",tblProductos[[#This Row],[SKU]]&amp;" · "&amp;tblProductos[[#This Row],[Producto]])</f>
        <v/>
      </c>
      <c r="M493" s="40" t="str">
        <f>IF(tblProductos[[#This Row],[SKU]]="","",COUNTIF(tblMovimientos[SKU],tblProductos[[#This Row],[SKU]]))</f>
        <v/>
      </c>
      <c r="N49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4" spans="2:14" x14ac:dyDescent="0.25">
      <c r="B494" s="37"/>
      <c r="C494" s="37"/>
      <c r="D494" s="37"/>
      <c r="E494" s="38"/>
      <c r="F494" s="39"/>
      <c r="G494" s="39"/>
      <c r="H494" s="42"/>
      <c r="I494" s="37"/>
      <c r="J494" s="38"/>
      <c r="K494" s="38"/>
      <c r="L494" s="43" t="str">
        <f>IF(OR(tblProductos[[#This Row],[SKU]]="",tblProductos[[#This Row],[Producto]]=""),"",tblProductos[[#This Row],[SKU]]&amp;" · "&amp;tblProductos[[#This Row],[Producto]])</f>
        <v/>
      </c>
      <c r="M494" s="40" t="str">
        <f>IF(tblProductos[[#This Row],[SKU]]="","",COUNTIF(tblMovimientos[SKU],tblProductos[[#This Row],[SKU]]))</f>
        <v/>
      </c>
      <c r="N49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5" spans="2:14" x14ac:dyDescent="0.25">
      <c r="B495" s="37"/>
      <c r="C495" s="37"/>
      <c r="D495" s="37"/>
      <c r="E495" s="38"/>
      <c r="F495" s="39"/>
      <c r="G495" s="39"/>
      <c r="H495" s="42"/>
      <c r="I495" s="37"/>
      <c r="J495" s="38"/>
      <c r="K495" s="38"/>
      <c r="L495" s="43" t="str">
        <f>IF(OR(tblProductos[[#This Row],[SKU]]="",tblProductos[[#This Row],[Producto]]=""),"",tblProductos[[#This Row],[SKU]]&amp;" · "&amp;tblProductos[[#This Row],[Producto]])</f>
        <v/>
      </c>
      <c r="M495" s="40" t="str">
        <f>IF(tblProductos[[#This Row],[SKU]]="","",COUNTIF(tblMovimientos[SKU],tblProductos[[#This Row],[SKU]]))</f>
        <v/>
      </c>
      <c r="N49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6" spans="2:14" x14ac:dyDescent="0.25">
      <c r="B496" s="37"/>
      <c r="C496" s="37"/>
      <c r="D496" s="37"/>
      <c r="E496" s="38"/>
      <c r="F496" s="39"/>
      <c r="G496" s="39"/>
      <c r="H496" s="42"/>
      <c r="I496" s="37"/>
      <c r="J496" s="38"/>
      <c r="K496" s="38"/>
      <c r="L496" s="43" t="str">
        <f>IF(OR(tblProductos[[#This Row],[SKU]]="",tblProductos[[#This Row],[Producto]]=""),"",tblProductos[[#This Row],[SKU]]&amp;" · "&amp;tblProductos[[#This Row],[Producto]])</f>
        <v/>
      </c>
      <c r="M496" s="40" t="str">
        <f>IF(tblProductos[[#This Row],[SKU]]="","",COUNTIF(tblMovimientos[SKU],tblProductos[[#This Row],[SKU]]))</f>
        <v/>
      </c>
      <c r="N49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7" spans="2:14" x14ac:dyDescent="0.25">
      <c r="B497" s="37"/>
      <c r="C497" s="37"/>
      <c r="D497" s="37"/>
      <c r="E497" s="38"/>
      <c r="F497" s="39"/>
      <c r="G497" s="39"/>
      <c r="H497" s="42"/>
      <c r="I497" s="37"/>
      <c r="J497" s="38"/>
      <c r="K497" s="38"/>
      <c r="L497" s="43" t="str">
        <f>IF(OR(tblProductos[[#This Row],[SKU]]="",tblProductos[[#This Row],[Producto]]=""),"",tblProductos[[#This Row],[SKU]]&amp;" · "&amp;tblProductos[[#This Row],[Producto]])</f>
        <v/>
      </c>
      <c r="M497" s="40" t="str">
        <f>IF(tblProductos[[#This Row],[SKU]]="","",COUNTIF(tblMovimientos[SKU],tblProductos[[#This Row],[SKU]]))</f>
        <v/>
      </c>
      <c r="N49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8" spans="2:14" x14ac:dyDescent="0.25">
      <c r="B498" s="37"/>
      <c r="C498" s="37"/>
      <c r="D498" s="37"/>
      <c r="E498" s="38"/>
      <c r="F498" s="39"/>
      <c r="G498" s="39"/>
      <c r="H498" s="42"/>
      <c r="I498" s="37"/>
      <c r="J498" s="38"/>
      <c r="K498" s="38"/>
      <c r="L498" s="43" t="str">
        <f>IF(OR(tblProductos[[#This Row],[SKU]]="",tblProductos[[#This Row],[Producto]]=""),"",tblProductos[[#This Row],[SKU]]&amp;" · "&amp;tblProductos[[#This Row],[Producto]])</f>
        <v/>
      </c>
      <c r="M498" s="40" t="str">
        <f>IF(tblProductos[[#This Row],[SKU]]="","",COUNTIF(tblMovimientos[SKU],tblProductos[[#This Row],[SKU]]))</f>
        <v/>
      </c>
      <c r="N498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499" spans="2:14" x14ac:dyDescent="0.25">
      <c r="B499" s="37"/>
      <c r="C499" s="37"/>
      <c r="D499" s="37"/>
      <c r="E499" s="38"/>
      <c r="F499" s="39"/>
      <c r="G499" s="39"/>
      <c r="H499" s="42"/>
      <c r="I499" s="37"/>
      <c r="J499" s="38"/>
      <c r="K499" s="38"/>
      <c r="L499" s="43" t="str">
        <f>IF(OR(tblProductos[[#This Row],[SKU]]="",tblProductos[[#This Row],[Producto]]=""),"",tblProductos[[#This Row],[SKU]]&amp;" · "&amp;tblProductos[[#This Row],[Producto]])</f>
        <v/>
      </c>
      <c r="M499" s="40" t="str">
        <f>IF(tblProductos[[#This Row],[SKU]]="","",COUNTIF(tblMovimientos[SKU],tblProductos[[#This Row],[SKU]]))</f>
        <v/>
      </c>
      <c r="N499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0" spans="2:14" x14ac:dyDescent="0.25">
      <c r="B500" s="37"/>
      <c r="C500" s="37"/>
      <c r="D500" s="37"/>
      <c r="E500" s="38"/>
      <c r="F500" s="39"/>
      <c r="G500" s="39"/>
      <c r="H500" s="42"/>
      <c r="I500" s="37"/>
      <c r="J500" s="38"/>
      <c r="K500" s="38"/>
      <c r="L500" s="43" t="str">
        <f>IF(OR(tblProductos[[#This Row],[SKU]]="",tblProductos[[#This Row],[Producto]]=""),"",tblProductos[[#This Row],[SKU]]&amp;" · "&amp;tblProductos[[#This Row],[Producto]])</f>
        <v/>
      </c>
      <c r="M500" s="40" t="str">
        <f>IF(tblProductos[[#This Row],[SKU]]="","",COUNTIF(tblMovimientos[SKU],tblProductos[[#This Row],[SKU]]))</f>
        <v/>
      </c>
      <c r="N500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1" spans="2:14" x14ac:dyDescent="0.25">
      <c r="B501" s="37"/>
      <c r="C501" s="37"/>
      <c r="D501" s="37"/>
      <c r="E501" s="38"/>
      <c r="F501" s="39"/>
      <c r="G501" s="39"/>
      <c r="H501" s="42"/>
      <c r="I501" s="37"/>
      <c r="J501" s="38"/>
      <c r="K501" s="38"/>
      <c r="L501" s="43" t="str">
        <f>IF(OR(tblProductos[[#This Row],[SKU]]="",tblProductos[[#This Row],[Producto]]=""),"",tblProductos[[#This Row],[SKU]]&amp;" · "&amp;tblProductos[[#This Row],[Producto]])</f>
        <v/>
      </c>
      <c r="M501" s="40" t="str">
        <f>IF(tblProductos[[#This Row],[SKU]]="","",COUNTIF(tblMovimientos[SKU],tblProductos[[#This Row],[SKU]]))</f>
        <v/>
      </c>
      <c r="N501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2" spans="2:14" x14ac:dyDescent="0.25">
      <c r="B502" s="37"/>
      <c r="C502" s="37"/>
      <c r="D502" s="37"/>
      <c r="E502" s="38"/>
      <c r="F502" s="39"/>
      <c r="G502" s="39"/>
      <c r="H502" s="42"/>
      <c r="I502" s="37"/>
      <c r="J502" s="38"/>
      <c r="K502" s="38"/>
      <c r="L502" s="43" t="str">
        <f>IF(OR(tblProductos[[#This Row],[SKU]]="",tblProductos[[#This Row],[Producto]]=""),"",tblProductos[[#This Row],[SKU]]&amp;" · "&amp;tblProductos[[#This Row],[Producto]])</f>
        <v/>
      </c>
      <c r="M502" s="40" t="str">
        <f>IF(tblProductos[[#This Row],[SKU]]="","",COUNTIF(tblMovimientos[SKU],tblProductos[[#This Row],[SKU]]))</f>
        <v/>
      </c>
      <c r="N502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3" spans="2:14" x14ac:dyDescent="0.25">
      <c r="B503" s="37"/>
      <c r="C503" s="37"/>
      <c r="D503" s="37"/>
      <c r="E503" s="38"/>
      <c r="F503" s="39"/>
      <c r="G503" s="39"/>
      <c r="H503" s="42"/>
      <c r="I503" s="37"/>
      <c r="J503" s="38"/>
      <c r="K503" s="38"/>
      <c r="L503" s="43" t="str">
        <f>IF(OR(tblProductos[[#This Row],[SKU]]="",tblProductos[[#This Row],[Producto]]=""),"",tblProductos[[#This Row],[SKU]]&amp;" · "&amp;tblProductos[[#This Row],[Producto]])</f>
        <v/>
      </c>
      <c r="M503" s="40" t="str">
        <f>IF(tblProductos[[#This Row],[SKU]]="","",COUNTIF(tblMovimientos[SKU],tblProductos[[#This Row],[SKU]]))</f>
        <v/>
      </c>
      <c r="N503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4" spans="2:14" x14ac:dyDescent="0.25">
      <c r="B504" s="37"/>
      <c r="C504" s="37"/>
      <c r="D504" s="37"/>
      <c r="E504" s="38"/>
      <c r="F504" s="39"/>
      <c r="G504" s="39"/>
      <c r="H504" s="42"/>
      <c r="I504" s="37"/>
      <c r="J504" s="38"/>
      <c r="K504" s="38"/>
      <c r="L504" s="43" t="str">
        <f>IF(OR(tblProductos[[#This Row],[SKU]]="",tblProductos[[#This Row],[Producto]]=""),"",tblProductos[[#This Row],[SKU]]&amp;" · "&amp;tblProductos[[#This Row],[Producto]])</f>
        <v/>
      </c>
      <c r="M504" s="40" t="str">
        <f>IF(tblProductos[[#This Row],[SKU]]="","",COUNTIF(tblMovimientos[SKU],tblProductos[[#This Row],[SKU]]))</f>
        <v/>
      </c>
      <c r="N504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5" spans="2:14" x14ac:dyDescent="0.25">
      <c r="B505" s="37"/>
      <c r="C505" s="37"/>
      <c r="D505" s="37"/>
      <c r="E505" s="38"/>
      <c r="F505" s="39"/>
      <c r="G505" s="39"/>
      <c r="H505" s="42"/>
      <c r="I505" s="37"/>
      <c r="J505" s="38"/>
      <c r="K505" s="38"/>
      <c r="L505" s="43" t="str">
        <f>IF(OR(tblProductos[[#This Row],[SKU]]="",tblProductos[[#This Row],[Producto]]=""),"",tblProductos[[#This Row],[SKU]]&amp;" · "&amp;tblProductos[[#This Row],[Producto]])</f>
        <v/>
      </c>
      <c r="M505" s="40" t="str">
        <f>IF(tblProductos[[#This Row],[SKU]]="","",COUNTIF(tblMovimientos[SKU],tblProductos[[#This Row],[SKU]]))</f>
        <v/>
      </c>
      <c r="N505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6" spans="2:14" x14ac:dyDescent="0.25">
      <c r="B506" s="37"/>
      <c r="C506" s="37"/>
      <c r="D506" s="37"/>
      <c r="E506" s="38"/>
      <c r="F506" s="39"/>
      <c r="G506" s="39"/>
      <c r="H506" s="42"/>
      <c r="I506" s="37"/>
      <c r="J506" s="38"/>
      <c r="K506" s="38"/>
      <c r="L506" s="43" t="str">
        <f>IF(OR(tblProductos[[#This Row],[SKU]]="",tblProductos[[#This Row],[Producto]]=""),"",tblProductos[[#This Row],[SKU]]&amp;" · "&amp;tblProductos[[#This Row],[Producto]])</f>
        <v/>
      </c>
      <c r="M506" s="40" t="str">
        <f>IF(tblProductos[[#This Row],[SKU]]="","",COUNTIF(tblMovimientos[SKU],tblProductos[[#This Row],[SKU]]))</f>
        <v/>
      </c>
      <c r="N506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  <row r="507" spans="2:14" x14ac:dyDescent="0.25">
      <c r="B507" s="37"/>
      <c r="C507" s="37"/>
      <c r="D507" s="37"/>
      <c r="E507" s="38"/>
      <c r="F507" s="39"/>
      <c r="G507" s="39"/>
      <c r="H507" s="42"/>
      <c r="I507" s="37"/>
      <c r="J507" s="38"/>
      <c r="K507" s="38"/>
      <c r="L507" s="43" t="str">
        <f>IF(OR(tblProductos[[#This Row],[SKU]]="",tblProductos[[#This Row],[Producto]]=""),"",tblProductos[[#This Row],[SKU]]&amp;" · "&amp;tblProductos[[#This Row],[Producto]])</f>
        <v/>
      </c>
      <c r="M507" s="40" t="str">
        <f>IF(tblProductos[[#This Row],[SKU]]="","",COUNTIF(tblMovimientos[SKU],tblProductos[[#This Row],[SKU]]))</f>
        <v/>
      </c>
      <c r="N507" s="41" t="str">
        <f>IF(AND(tblProductos[[#This Row],[SKU]]="",tblProductos[[#This Row],[Producto]]=""),"",IF(OR(tblProductos[[#This Row],[SKU]]="",tblProductos[[#This Row],[Producto]]="",tblProductos[[#This Row],[Categoría]]="",tblProductos[[#This Row],[Unidad]]=""),"⚠ Faltan datos",IF(COUNTIF(tblProductos[SKU],tblProductos[[#This Row],[SKU]])&gt;1,"✖ SKU duplicado",IF(ISNUMBER(FIND(" ",tblProductos[[#This Row],[SKU]])),"✖ SKU con espacios",IF(ISNA(MATCH(tblProductos[[#This Row],[Categoría]],lstCategorias,0)),"✖ Categoría no existe",IF(ISNA(MATCH(tblProductos[[#This Row],[Unidad]],lstUniCod,0)),"✖ Unidad no existe",IF(AND(tblProductos[[#This Row],[Proveedor]]&lt;&gt;"",ISNA(MATCH(tblProductos[[#This Row],[Proveedor]],tblProveedores[Proveedor],0))),"✖ Proveedor no existe",IF(AND(N(tblProductos[[#This Row],[StockMax]])&gt;0,N(tblProductos[[#This Row],[StockMin]])&gt;N(tblProductos[[#This Row],[StockMax]])),"⚠ Mínimo mayor que máximo",IF(tblProductos[[#This Row],[Activo]]="NO","● Inactivo","✔ OK")))))))))</f>
        <v/>
      </c>
    </row>
  </sheetData>
  <sheetProtection password="930D" sheet="1" objects="1" scenarios="1" formatColumns="0" autoFilter="0"/>
  <conditionalFormatting sqref="B8:K507">
    <cfRule type="expression" dxfId="116" priority="1">
      <formula>AND($B8="",$C8="",$B7&lt;&gt;"")</formula>
    </cfRule>
  </conditionalFormatting>
  <conditionalFormatting sqref="B8:L507">
    <cfRule type="expression" dxfId="115" priority="2">
      <formula>$K8="NO"</formula>
    </cfRule>
  </conditionalFormatting>
  <conditionalFormatting sqref="F8:F507">
    <cfRule type="expression" dxfId="114" priority="8">
      <formula>AND(ISNUMBER(F8),F8&lt;&gt;INT(F8))</formula>
    </cfRule>
  </conditionalFormatting>
  <conditionalFormatting sqref="G8:G507">
    <cfRule type="expression" dxfId="113" priority="9">
      <formula>AND(ISNUMBER(G8),G8&lt;&gt;INT(G8))</formula>
    </cfRule>
  </conditionalFormatting>
  <conditionalFormatting sqref="N8:N507">
    <cfRule type="expression" dxfId="112" priority="3">
      <formula>LEFT($N8,1)="✖"</formula>
    </cfRule>
    <cfRule type="expression" dxfId="111" priority="4">
      <formula>LEFT($N8,1)="⚠"</formula>
    </cfRule>
    <cfRule type="expression" dxfId="110" priority="5">
      <formula>LEFT($N8,1)="✔"</formula>
    </cfRule>
    <cfRule type="expression" dxfId="109" priority="6">
      <formula>LEFT($N8,1)="●"</formula>
    </cfRule>
    <cfRule type="expression" dxfId="108" priority="7">
      <formula>LEFT($N8,1)="○"</formula>
    </cfRule>
  </conditionalFormatting>
  <dataValidations count="23">
    <dataValidation allowBlank="1" showInputMessage="1" showErrorMessage="1" promptTitle="✎ SKU" prompt="Código único del producto, sin espacios (ej: FER-001). No lo cambie si ya tiene movimientos: cree uno nuevo y desactive el anterior." sqref="B7" xr:uid="{00000000-0002-0000-0400-000000000000}"/>
    <dataValidation allowBlank="1" showInputMessage="1" showErrorMessage="1" promptTitle="✎ Producto" prompt="Nombre descriptivo (3 a 60 caracteres). Es lo que el operador verá en la lista junto al SKU." sqref="C7" xr:uid="{00000000-0002-0000-0400-000001000000}"/>
    <dataValidation allowBlank="1" showInputMessage="1" showErrorMessage="1" promptTitle="✎ Categoría" prompt="Seleccione la categoría (Alt + ↓). Las categorías se administran en 03_CATEGORIAS." sqref="D7" xr:uid="{00000000-0002-0000-0400-000002000000}"/>
    <dataValidation allowBlank="1" showInputMessage="1" showErrorMessage="1" promptTitle="✎ Unidad" prompt="Unidad de medida (UND, CAJA, KG...). Define si se admiten decimales." sqref="E7" xr:uid="{00000000-0002-0000-0400-000003000000}"/>
    <dataValidation allowBlank="1" showInputMessage="1" showErrorMessage="1" promptTitle="✎ StockMin" prompt="Punto de reorden. En o por debajo de este valor el producto queda CRÍTICO." sqref="F7" xr:uid="{00000000-0002-0000-0400-000004000000}"/>
    <dataValidation allowBlank="1" showInputMessage="1" showErrorMessage="1" promptTitle="✎ StockMax" prompt="Nivel máximo deseado. Por encima: SOBRESTOCK. 0 = sin máximo." sqref="G7" xr:uid="{00000000-0002-0000-0400-000005000000}"/>
    <dataValidation allowBlank="1" showInputMessage="1" showErrorMessage="1" promptTitle="✎ CostoUnitario" prompt="Costo por unidad (moneda local). Se usa para valorizar el inventario y el pedido sugerido." sqref="H7" xr:uid="{00000000-0002-0000-0400-000006000000}"/>
    <dataValidation allowBlank="1" showInputMessage="1" showErrorMessage="1" promptTitle="✎ Proveedor" prompt="Proveedor habitual (lista de 04_PROVEEDORES). Agrupa el pedido sugerido." sqref="I7" xr:uid="{00000000-0002-0000-0400-000007000000}"/>
    <dataValidation allowBlank="1" showInputMessage="1" showErrorMessage="1" promptTitle="✎ Ubicación" prompt="Ubicación física en bodega (opcional). Ej: A-01-03." sqref="J7" xr:uid="{00000000-0002-0000-0400-000008000000}"/>
    <dataValidation allowBlank="1" showInputMessage="1" showErrorMessage="1" promptTitle="✎ Activo" prompt="Escriba NO para descontinuar: desaparece de las listas pero conserva su historial. Vacío = SI." sqref="K7" xr:uid="{00000000-0002-0000-0400-000009000000}"/>
    <dataValidation allowBlank="1" showInputMessage="1" showErrorMessage="1" promptTitle="ƒx Etiqueta" prompt="Texto de las listas desplegables: SKU · Producto." sqref="L7" xr:uid="{00000000-0002-0000-0400-00000A000000}"/>
    <dataValidation allowBlank="1" showInputMessage="1" showErrorMessage="1" promptTitle="ƒx Movimientos" prompt="Cantidad de registros de este SKU en la bitácora." sqref="M7" xr:uid="{00000000-0002-0000-0400-00000B000000}"/>
    <dataValidation allowBlank="1" showInputMessage="1" showErrorMessage="1" promptTitle="ƒx Validación" prompt="Control de calidad del registro maestro." sqref="N7" xr:uid="{00000000-0002-0000-0400-00000C000000}"/>
    <dataValidation type="custom" allowBlank="1" showInputMessage="1" showErrorMessage="1" errorTitle="SKU no válido" error="El SKU debe tener 2 a 20 caracteres, no llevar espacios y no existir ya en el catálogo." promptTitle="SKU (código único)" prompt="2 a 20 caracteres, sin espacios, sin repetir. Ej: FER-001." sqref="B8:B507" xr:uid="{00000000-0002-0000-0400-00000D000000}">
      <formula1>AND(LEN(B8)&gt;=2,LEN(B8)&lt;=20,ISERROR(FIND(" ",B8)),COUNTIF($B$8:$B$507,B8)=1)</formula1>
    </dataValidation>
    <dataValidation type="textLength" allowBlank="1" showInputMessage="1" showErrorMessage="1" errorTitle="Nombre no válido" error="El nombre debe tener entre 3 y 60 caracteres." promptTitle="Nombre del producto" prompt="Descripción clara, de 3 a 60 caracteres." sqref="C8:C507" xr:uid="{00000000-0002-0000-0400-00000E000000}">
      <formula1>3</formula1>
      <formula2>60</formula2>
    </dataValidation>
    <dataValidation type="list" allowBlank="1" showInputMessage="1" showErrorMessage="1" errorTitle="Categoría no válida" error="Elija una categoría de la lista. Para crear una nueva contacte al administrador." promptTitle="Categoría" prompt="Seleccione de la lista (Alt + ↓)." sqref="D8:D507" xr:uid="{00000000-0002-0000-0400-00000F000000}">
      <formula1>lstCategorias</formula1>
    </dataValidation>
    <dataValidation type="list" allowBlank="1" showInputMessage="1" showErrorMessage="1" errorTitle="Unidad no válida" error="Elija una unidad de la lista." promptTitle="Unidad de medida" prompt="Seleccione de la lista (Alt + ↓)." sqref="E8:E507" xr:uid="{00000000-0002-0000-0400-000010000000}">
      <formula1>lstUniCod</formula1>
    </dataValidation>
    <dataValidation type="decimal" operator="greaterThanOrEqual" allowBlank="1" showInputMessage="1" showErrorMessage="1" errorTitle="Valor no válido" error="Escriba un número mayor o igual a 0." promptTitle="StockMin" prompt="Número mayor o igual a 0." sqref="F8:F507" xr:uid="{00000000-0002-0000-0400-000011000000}">
      <formula1>0</formula1>
    </dataValidation>
    <dataValidation type="decimal" operator="greaterThanOrEqual" allowBlank="1" showInputMessage="1" showErrorMessage="1" errorTitle="Valor no válido" error="Escriba un número mayor o igual a 0." promptTitle="StockMax" prompt="Número mayor o igual a 0." sqref="G8:G507" xr:uid="{00000000-0002-0000-0400-000012000000}">
      <formula1>0</formula1>
    </dataValidation>
    <dataValidation type="decimal" operator="greaterThanOrEqual" allowBlank="1" showInputMessage="1" showErrorMessage="1" errorTitle="Valor no válido" error="Escriba un número mayor o igual a 0." promptTitle="CostoUnitario" prompt="Número mayor o igual a 0." sqref="H8:H507" xr:uid="{00000000-0002-0000-0400-000013000000}">
      <formula1>0</formula1>
    </dataValidation>
    <dataValidation type="list" allowBlank="1" showInputMessage="1" showErrorMessage="1" errorTitle="Proveedor no válido" error="Elija un proveedor de la lista o regístrelo primero en 04_PROVEEDORES." promptTitle="Proveedor" prompt="Seleccione de la lista (Alt + ↓). Se administran en 04_PROVEEDORES." sqref="I8:I507" xr:uid="{00000000-0002-0000-0400-000014000000}">
      <formula1>lstProveedores</formula1>
    </dataValidation>
    <dataValidation type="textLength" operator="lessThanOrEqual" allowBlank="1" showInputMessage="1" showErrorMessage="1" errorTitle="Texto muy largo" error="Máximo 20 caracteres." promptTitle="Ubicación (opcional)" prompt="Pasillo-estante-nivel. Máximo 20 caracteres." sqref="J8:J507" xr:uid="{00000000-0002-0000-0400-000015000000}">
      <formula1>20</formula1>
    </dataValidation>
    <dataValidation type="list" allowBlank="1" showInputMessage="1" showErrorMessage="1" errorTitle="Valor no válido" error="Escriba SI o NO." promptTitle="¿Producto activo?" prompt="NO = descontinuado (sale de las listas). Vacío = SI." sqref="K8:K507" xr:uid="{00000000-0002-0000-0400-000016000000}">
      <formula1>"SI,NO"</formula1>
    </dataValidation>
  </dataValidations>
  <pageMargins left="0.4" right="0.4" top="0.7" bottom="0.6" header="0.3" footer="0.3"/>
  <pageSetup fitToHeight="0" orientation="landscape"/>
  <headerFooter>
    <oddHeader>&amp;L&amp;"Segoe UI,Bold"&amp;9M-INV · Catálogo de productos&amp;R&amp;"Segoe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A3B8"/>
  </sheetPr>
  <dimension ref="B1:E16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12.85546875" customWidth="1"/>
    <col min="3" max="3" width="22.85546875" customWidth="1"/>
    <col min="4" max="4" width="15.7109375" customWidth="1"/>
    <col min="5" max="5" width="45.7109375" customWidth="1"/>
    <col min="6" max="6" width="3.42578125" customWidth="1"/>
  </cols>
  <sheetData>
    <row r="1" spans="2:5" s="1" customFormat="1" ht="6" customHeight="1" x14ac:dyDescent="0.25"/>
    <row r="2" spans="2:5" s="1" customFormat="1" ht="24" customHeight="1" x14ac:dyDescent="0.25">
      <c r="B2" s="12" t="s">
        <v>105</v>
      </c>
    </row>
    <row r="3" spans="2:5" s="1" customFormat="1" ht="14.25" x14ac:dyDescent="0.25">
      <c r="B3" s="13" t="s">
        <v>106</v>
      </c>
    </row>
    <row r="4" spans="2:5" s="1" customFormat="1" ht="7.5" customHeight="1" x14ac:dyDescent="0.25"/>
    <row r="5" spans="2:5" s="4" customFormat="1" ht="18" customHeight="1" x14ac:dyDescent="0.25"/>
    <row r="6" spans="2:5" s="4" customFormat="1" ht="12" customHeight="1" x14ac:dyDescent="0.25"/>
    <row r="7" spans="2:5" ht="22.5" customHeight="1" x14ac:dyDescent="0.25">
      <c r="B7" s="15" t="s">
        <v>85</v>
      </c>
      <c r="C7" s="15" t="s">
        <v>107</v>
      </c>
      <c r="D7" s="15" t="s">
        <v>108</v>
      </c>
      <c r="E7" s="15" t="s">
        <v>5</v>
      </c>
    </row>
    <row r="8" spans="2:5" x14ac:dyDescent="0.25">
      <c r="B8" s="27" t="s">
        <v>109</v>
      </c>
      <c r="C8" s="34" t="s">
        <v>107</v>
      </c>
      <c r="D8" s="44" t="s">
        <v>110</v>
      </c>
      <c r="E8" s="34" t="s">
        <v>111</v>
      </c>
    </row>
    <row r="9" spans="2:5" x14ac:dyDescent="0.25">
      <c r="B9" s="27" t="s">
        <v>112</v>
      </c>
      <c r="C9" s="34" t="s">
        <v>113</v>
      </c>
      <c r="D9" s="44" t="s">
        <v>110</v>
      </c>
      <c r="E9" s="34" t="s">
        <v>114</v>
      </c>
    </row>
    <row r="10" spans="2:5" x14ac:dyDescent="0.25">
      <c r="B10" s="27" t="s">
        <v>115</v>
      </c>
      <c r="C10" s="34" t="s">
        <v>116</v>
      </c>
      <c r="D10" s="44" t="s">
        <v>110</v>
      </c>
      <c r="E10" s="34" t="s">
        <v>117</v>
      </c>
    </row>
    <row r="11" spans="2:5" x14ac:dyDescent="0.25">
      <c r="B11" s="27" t="s">
        <v>118</v>
      </c>
      <c r="C11" s="34" t="s">
        <v>119</v>
      </c>
      <c r="D11" s="44" t="s">
        <v>110</v>
      </c>
      <c r="E11" s="34" t="s">
        <v>120</v>
      </c>
    </row>
    <row r="12" spans="2:5" x14ac:dyDescent="0.25">
      <c r="B12" s="27" t="s">
        <v>121</v>
      </c>
      <c r="C12" s="34" t="s">
        <v>122</v>
      </c>
      <c r="D12" s="44" t="s">
        <v>110</v>
      </c>
      <c r="E12" s="34" t="s">
        <v>123</v>
      </c>
    </row>
    <row r="13" spans="2:5" x14ac:dyDescent="0.25">
      <c r="B13" s="27" t="s">
        <v>124</v>
      </c>
      <c r="C13" s="34" t="s">
        <v>125</v>
      </c>
      <c r="D13" s="44" t="s">
        <v>126</v>
      </c>
      <c r="E13" s="34" t="s">
        <v>127</v>
      </c>
    </row>
    <row r="14" spans="2:5" x14ac:dyDescent="0.25">
      <c r="B14" s="27" t="s">
        <v>128</v>
      </c>
      <c r="C14" s="34" t="s">
        <v>129</v>
      </c>
      <c r="D14" s="44" t="s">
        <v>126</v>
      </c>
      <c r="E14" s="34" t="s">
        <v>130</v>
      </c>
    </row>
    <row r="15" spans="2:5" x14ac:dyDescent="0.25">
      <c r="B15" s="27" t="s">
        <v>131</v>
      </c>
      <c r="C15" s="34" t="s">
        <v>132</v>
      </c>
      <c r="D15" s="44" t="s">
        <v>126</v>
      </c>
      <c r="E15" s="34" t="s">
        <v>133</v>
      </c>
    </row>
    <row r="16" spans="2:5" x14ac:dyDescent="0.25">
      <c r="B16" s="27" t="s">
        <v>134</v>
      </c>
      <c r="C16" s="34" t="s">
        <v>135</v>
      </c>
      <c r="D16" s="44" t="s">
        <v>126</v>
      </c>
      <c r="E16" s="34" t="s">
        <v>136</v>
      </c>
    </row>
  </sheetData>
  <sheetProtection password="930D" sheet="1" objects="1" scenarios="1"/>
  <dataValidations count="4">
    <dataValidation allowBlank="1" showInputMessage="1" showErrorMessage="1" promptTitle="Código" prompt="Abreviatura que ve el operador (UND, KG...)." sqref="B7" xr:uid="{00000000-0002-0000-0500-000000000000}"/>
    <dataValidation allowBlank="1" showInputMessage="1" showErrorMessage="1" promptTitle="Unidad" prompt="Nombre completo de la unidad." sqref="C7" xr:uid="{00000000-0002-0000-0500-000001000000}"/>
    <dataValidation allowBlank="1" showInputMessage="1" showErrorMessage="1" promptTitle="Decimales" prompt="SI = admite fracciones (KG, LT...). NO = solo enteros." sqref="D7" xr:uid="{00000000-0002-0000-0500-000002000000}"/>
    <dataValidation allowBlank="1" showInputMessage="1" showErrorMessage="1" promptTitle="Descripción" prompt="Texto de apoyo." sqref="E7" xr:uid="{00000000-0002-0000-0500-000003000000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47A1"/>
    <pageSetUpPr fitToPage="1"/>
  </sheetPr>
  <dimension ref="B1:P5007"/>
  <sheetViews>
    <sheetView showGridLines="0" showRowColHeaders="0" zoomScale="90" zoomScaleNormal="90" workbookViewId="0">
      <pane ySplit="7" topLeftCell="A8" activePane="bottomLeft" state="frozen"/>
      <selection pane="bottomLeft" activeCell="C8" sqref="C8"/>
    </sheetView>
  </sheetViews>
  <sheetFormatPr baseColWidth="10" defaultColWidth="0" defaultRowHeight="15" zeroHeight="1" x14ac:dyDescent="0.25"/>
  <cols>
    <col min="1" max="1" width="2.28515625" customWidth="1"/>
    <col min="2" max="2" width="6.85546875" customWidth="1"/>
    <col min="3" max="3" width="13.42578125" customWidth="1"/>
    <col min="4" max="4" width="16.85546875" customWidth="1"/>
    <col min="5" max="5" width="24.5703125" customWidth="1"/>
    <col min="6" max="6" width="40" customWidth="1"/>
    <col min="7" max="7" width="11.42578125" customWidth="1"/>
    <col min="8" max="8" width="11.140625" customWidth="1"/>
    <col min="9" max="9" width="12.28515625" customWidth="1"/>
    <col min="10" max="10" width="14.85546875" customWidth="1"/>
    <col min="11" max="11" width="16.28515625" customWidth="1"/>
    <col min="12" max="12" width="11.7109375" customWidth="1"/>
    <col min="13" max="13" width="24.5703125" customWidth="1"/>
    <col min="14" max="14" width="16" customWidth="1"/>
    <col min="15" max="15" width="20" customWidth="1"/>
    <col min="16" max="16" width="35.7109375" customWidth="1"/>
    <col min="17" max="17" width="2.28515625" customWidth="1"/>
    <col min="18" max="18" width="0" hidden="1" customWidth="1"/>
  </cols>
  <sheetData>
    <row r="1" spans="2:16" s="1" customFormat="1" ht="6" customHeight="1" x14ac:dyDescent="0.25"/>
    <row r="2" spans="2:16" s="1" customFormat="1" ht="24" customHeight="1" x14ac:dyDescent="0.25">
      <c r="B2" s="12" t="s">
        <v>161</v>
      </c>
    </row>
    <row r="3" spans="2:16" s="1" customFormat="1" ht="14.25" x14ac:dyDescent="0.25">
      <c r="B3" s="13" t="s">
        <v>162</v>
      </c>
    </row>
    <row r="4" spans="2:16" s="1" customFormat="1" ht="7.5" customHeight="1" x14ac:dyDescent="0.25"/>
    <row r="5" spans="2:16" s="4" customFormat="1" ht="25.5" customHeight="1" x14ac:dyDescent="0.25"/>
    <row r="6" spans="2:16" s="4" customFormat="1" ht="12" customHeight="1" x14ac:dyDescent="0.25">
      <c r="B6" s="36" t="s">
        <v>149</v>
      </c>
      <c r="C6" s="35" t="s">
        <v>148</v>
      </c>
      <c r="D6" s="35" t="s">
        <v>148</v>
      </c>
      <c r="E6" s="35" t="s">
        <v>148</v>
      </c>
      <c r="F6" s="35" t="s">
        <v>148</v>
      </c>
      <c r="G6" s="36" t="s">
        <v>149</v>
      </c>
      <c r="H6" s="36" t="s">
        <v>149</v>
      </c>
      <c r="I6" s="35" t="s">
        <v>148</v>
      </c>
      <c r="J6" s="36" t="s">
        <v>149</v>
      </c>
      <c r="K6" s="36" t="s">
        <v>149</v>
      </c>
      <c r="L6" s="36" t="s">
        <v>149</v>
      </c>
      <c r="M6" s="36" t="s">
        <v>149</v>
      </c>
      <c r="N6" s="35" t="s">
        <v>148</v>
      </c>
      <c r="O6" s="35" t="s">
        <v>148</v>
      </c>
      <c r="P6" s="35" t="s">
        <v>148</v>
      </c>
    </row>
    <row r="7" spans="2:16" ht="25.5" customHeight="1" x14ac:dyDescent="0.25">
      <c r="B7" s="15" t="s">
        <v>163</v>
      </c>
      <c r="C7" s="16" t="s">
        <v>164</v>
      </c>
      <c r="D7" s="16" t="s">
        <v>37</v>
      </c>
      <c r="E7" s="16" t="s">
        <v>86</v>
      </c>
      <c r="F7" s="16" t="s">
        <v>153</v>
      </c>
      <c r="G7" s="15" t="s">
        <v>152</v>
      </c>
      <c r="H7" s="15" t="s">
        <v>107</v>
      </c>
      <c r="I7" s="16" t="s">
        <v>165</v>
      </c>
      <c r="J7" s="15" t="s">
        <v>38</v>
      </c>
      <c r="K7" s="15" t="s">
        <v>166</v>
      </c>
      <c r="L7" s="15" t="s">
        <v>167</v>
      </c>
      <c r="M7" s="15" t="s">
        <v>50</v>
      </c>
      <c r="N7" s="16" t="s">
        <v>168</v>
      </c>
      <c r="O7" s="16" t="s">
        <v>169</v>
      </c>
      <c r="P7" s="16" t="s">
        <v>170</v>
      </c>
    </row>
    <row r="8" spans="2:16" x14ac:dyDescent="0.25">
      <c r="B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" s="46"/>
      <c r="D8" s="37"/>
      <c r="E8" s="37"/>
      <c r="F8" s="37"/>
      <c r="G8" s="40" t="str">
        <f>IF(tblMovimientos[[#This Row],[Producto]]="","",TRIM(LEFT(tblMovimientos[[#This Row],[Producto]],FIND(" · ",tblMovimientos[[#This Row],[Producto]]&amp;" · ")-1)))</f>
        <v/>
      </c>
      <c r="H8" s="40" t="str">
        <f>IF(tblMovimientos[[#This Row],[SKU]]="","",IFERROR(INDEX(tblProductos[Unidad],MATCH(tblMovimientos[[#This Row],[SKU]],tblProductos[SKU],0)),"?"))</f>
        <v/>
      </c>
      <c r="I8" s="39"/>
      <c r="J8" s="47" t="str">
        <f>IF(tblMovimientos[[#This Row],[Tipo]]="","",IFERROR(INDEX(tblTiposMov[FactorStock],MATCH(tblMovimientos[[#This Row],[Tipo]],tblTiposMov[Tipo],0)),0))</f>
        <v/>
      </c>
      <c r="K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" s="37"/>
      <c r="O8" s="37"/>
      <c r="P8" s="37"/>
    </row>
    <row r="9" spans="2:16" x14ac:dyDescent="0.25">
      <c r="B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" s="46"/>
      <c r="D9" s="37"/>
      <c r="E9" s="37"/>
      <c r="F9" s="37"/>
      <c r="G9" s="40" t="str">
        <f>IF(tblMovimientos[[#This Row],[Producto]]="","",TRIM(LEFT(tblMovimientos[[#This Row],[Producto]],FIND(" · ",tblMovimientos[[#This Row],[Producto]]&amp;" · ")-1)))</f>
        <v/>
      </c>
      <c r="H9" s="40" t="str">
        <f>IF(tblMovimientos[[#This Row],[SKU]]="","",IFERROR(INDEX(tblProductos[Unidad],MATCH(tblMovimientos[[#This Row],[SKU]],tblProductos[SKU],0)),"?"))</f>
        <v/>
      </c>
      <c r="I9" s="39"/>
      <c r="J9" s="47" t="str">
        <f>IF(tblMovimientos[[#This Row],[Tipo]]="","",IFERROR(INDEX(tblTiposMov[FactorStock],MATCH(tblMovimientos[[#This Row],[Tipo]],tblTiposMov[Tipo],0)),0))</f>
        <v/>
      </c>
      <c r="K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" s="37"/>
      <c r="O9" s="37"/>
      <c r="P9" s="37"/>
    </row>
    <row r="10" spans="2:16" x14ac:dyDescent="0.25">
      <c r="B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" s="46"/>
      <c r="D10" s="37"/>
      <c r="E10" s="37"/>
      <c r="F10" s="37"/>
      <c r="G10" s="40" t="str">
        <f>IF(tblMovimientos[[#This Row],[Producto]]="","",TRIM(LEFT(tblMovimientos[[#This Row],[Producto]],FIND(" · ",tblMovimientos[[#This Row],[Producto]]&amp;" · ")-1)))</f>
        <v/>
      </c>
      <c r="H10" s="40" t="str">
        <f>IF(tblMovimientos[[#This Row],[SKU]]="","",IFERROR(INDEX(tblProductos[Unidad],MATCH(tblMovimientos[[#This Row],[SKU]],tblProductos[SKU],0)),"?"))</f>
        <v/>
      </c>
      <c r="I10" s="39"/>
      <c r="J10" s="47" t="str">
        <f>IF(tblMovimientos[[#This Row],[Tipo]]="","",IFERROR(INDEX(tblTiposMov[FactorStock],MATCH(tblMovimientos[[#This Row],[Tipo]],tblTiposMov[Tipo],0)),0))</f>
        <v/>
      </c>
      <c r="K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" s="37"/>
      <c r="O10" s="37"/>
      <c r="P10" s="37"/>
    </row>
    <row r="11" spans="2:16" x14ac:dyDescent="0.25">
      <c r="B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" s="46"/>
      <c r="D11" s="37"/>
      <c r="E11" s="37"/>
      <c r="F11" s="37"/>
      <c r="G11" s="40" t="str">
        <f>IF(tblMovimientos[[#This Row],[Producto]]="","",TRIM(LEFT(tblMovimientos[[#This Row],[Producto]],FIND(" · ",tblMovimientos[[#This Row],[Producto]]&amp;" · ")-1)))</f>
        <v/>
      </c>
      <c r="H11" s="40" t="str">
        <f>IF(tblMovimientos[[#This Row],[SKU]]="","",IFERROR(INDEX(tblProductos[Unidad],MATCH(tblMovimientos[[#This Row],[SKU]],tblProductos[SKU],0)),"?"))</f>
        <v/>
      </c>
      <c r="I11" s="39"/>
      <c r="J11" s="47" t="str">
        <f>IF(tblMovimientos[[#This Row],[Tipo]]="","",IFERROR(INDEX(tblTiposMov[FactorStock],MATCH(tblMovimientos[[#This Row],[Tipo]],tblTiposMov[Tipo],0)),0))</f>
        <v/>
      </c>
      <c r="K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" s="37"/>
      <c r="O11" s="37"/>
      <c r="P11" s="37"/>
    </row>
    <row r="12" spans="2:16" x14ac:dyDescent="0.25">
      <c r="B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" s="46"/>
      <c r="D12" s="37"/>
      <c r="E12" s="37"/>
      <c r="F12" s="37"/>
      <c r="G12" s="40" t="str">
        <f>IF(tblMovimientos[[#This Row],[Producto]]="","",TRIM(LEFT(tblMovimientos[[#This Row],[Producto]],FIND(" · ",tblMovimientos[[#This Row],[Producto]]&amp;" · ")-1)))</f>
        <v/>
      </c>
      <c r="H12" s="40" t="str">
        <f>IF(tblMovimientos[[#This Row],[SKU]]="","",IFERROR(INDEX(tblProductos[Unidad],MATCH(tblMovimientos[[#This Row],[SKU]],tblProductos[SKU],0)),"?"))</f>
        <v/>
      </c>
      <c r="I12" s="39"/>
      <c r="J12" s="47" t="str">
        <f>IF(tblMovimientos[[#This Row],[Tipo]]="","",IFERROR(INDEX(tblTiposMov[FactorStock],MATCH(tblMovimientos[[#This Row],[Tipo]],tblTiposMov[Tipo],0)),0))</f>
        <v/>
      </c>
      <c r="K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" s="37"/>
      <c r="O12" s="37"/>
      <c r="P12" s="37"/>
    </row>
    <row r="13" spans="2:16" x14ac:dyDescent="0.25">
      <c r="B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" s="46"/>
      <c r="D13" s="37"/>
      <c r="E13" s="37"/>
      <c r="F13" s="37"/>
      <c r="G13" s="40" t="str">
        <f>IF(tblMovimientos[[#This Row],[Producto]]="","",TRIM(LEFT(tblMovimientos[[#This Row],[Producto]],FIND(" · ",tblMovimientos[[#This Row],[Producto]]&amp;" · ")-1)))</f>
        <v/>
      </c>
      <c r="H13" s="40" t="str">
        <f>IF(tblMovimientos[[#This Row],[SKU]]="","",IFERROR(INDEX(tblProductos[Unidad],MATCH(tblMovimientos[[#This Row],[SKU]],tblProductos[SKU],0)),"?"))</f>
        <v/>
      </c>
      <c r="I13" s="39"/>
      <c r="J13" s="47" t="str">
        <f>IF(tblMovimientos[[#This Row],[Tipo]]="","",IFERROR(INDEX(tblTiposMov[FactorStock],MATCH(tblMovimientos[[#This Row],[Tipo]],tblTiposMov[Tipo],0)),0))</f>
        <v/>
      </c>
      <c r="K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" s="37"/>
      <c r="O13" s="37"/>
      <c r="P13" s="37"/>
    </row>
    <row r="14" spans="2:16" x14ac:dyDescent="0.25">
      <c r="B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" s="46"/>
      <c r="D14" s="37"/>
      <c r="E14" s="37"/>
      <c r="F14" s="37"/>
      <c r="G14" s="40" t="str">
        <f>IF(tblMovimientos[[#This Row],[Producto]]="","",TRIM(LEFT(tblMovimientos[[#This Row],[Producto]],FIND(" · ",tblMovimientos[[#This Row],[Producto]]&amp;" · ")-1)))</f>
        <v/>
      </c>
      <c r="H14" s="40" t="str">
        <f>IF(tblMovimientos[[#This Row],[SKU]]="","",IFERROR(INDEX(tblProductos[Unidad],MATCH(tblMovimientos[[#This Row],[SKU]],tblProductos[SKU],0)),"?"))</f>
        <v/>
      </c>
      <c r="I14" s="39"/>
      <c r="J14" s="47" t="str">
        <f>IF(tblMovimientos[[#This Row],[Tipo]]="","",IFERROR(INDEX(tblTiposMov[FactorStock],MATCH(tblMovimientos[[#This Row],[Tipo]],tblTiposMov[Tipo],0)),0))</f>
        <v/>
      </c>
      <c r="K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" s="37"/>
      <c r="O14" s="37"/>
      <c r="P14" s="37"/>
    </row>
    <row r="15" spans="2:16" x14ac:dyDescent="0.25">
      <c r="B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" s="46"/>
      <c r="D15" s="37"/>
      <c r="E15" s="37"/>
      <c r="F15" s="37"/>
      <c r="G15" s="40" t="str">
        <f>IF(tblMovimientos[[#This Row],[Producto]]="","",TRIM(LEFT(tblMovimientos[[#This Row],[Producto]],FIND(" · ",tblMovimientos[[#This Row],[Producto]]&amp;" · ")-1)))</f>
        <v/>
      </c>
      <c r="H15" s="40" t="str">
        <f>IF(tblMovimientos[[#This Row],[SKU]]="","",IFERROR(INDEX(tblProductos[Unidad],MATCH(tblMovimientos[[#This Row],[SKU]],tblProductos[SKU],0)),"?"))</f>
        <v/>
      </c>
      <c r="I15" s="39"/>
      <c r="J15" s="47" t="str">
        <f>IF(tblMovimientos[[#This Row],[Tipo]]="","",IFERROR(INDEX(tblTiposMov[FactorStock],MATCH(tblMovimientos[[#This Row],[Tipo]],tblTiposMov[Tipo],0)),0))</f>
        <v/>
      </c>
      <c r="K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" s="37"/>
      <c r="O15" s="37"/>
      <c r="P15" s="37"/>
    </row>
    <row r="16" spans="2:16" x14ac:dyDescent="0.25">
      <c r="B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" s="46"/>
      <c r="D16" s="37"/>
      <c r="E16" s="37"/>
      <c r="F16" s="37"/>
      <c r="G16" s="40" t="str">
        <f>IF(tblMovimientos[[#This Row],[Producto]]="","",TRIM(LEFT(tblMovimientos[[#This Row],[Producto]],FIND(" · ",tblMovimientos[[#This Row],[Producto]]&amp;" · ")-1)))</f>
        <v/>
      </c>
      <c r="H16" s="40" t="str">
        <f>IF(tblMovimientos[[#This Row],[SKU]]="","",IFERROR(INDEX(tblProductos[Unidad],MATCH(tblMovimientos[[#This Row],[SKU]],tblProductos[SKU],0)),"?"))</f>
        <v/>
      </c>
      <c r="I16" s="39"/>
      <c r="J16" s="47" t="str">
        <f>IF(tblMovimientos[[#This Row],[Tipo]]="","",IFERROR(INDEX(tblTiposMov[FactorStock],MATCH(tblMovimientos[[#This Row],[Tipo]],tblTiposMov[Tipo],0)),0))</f>
        <v/>
      </c>
      <c r="K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" s="37"/>
      <c r="O16" s="37"/>
      <c r="P16" s="37"/>
    </row>
    <row r="17" spans="2:16" x14ac:dyDescent="0.25">
      <c r="B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" s="46"/>
      <c r="D17" s="37"/>
      <c r="E17" s="37"/>
      <c r="F17" s="37"/>
      <c r="G17" s="40" t="str">
        <f>IF(tblMovimientos[[#This Row],[Producto]]="","",TRIM(LEFT(tblMovimientos[[#This Row],[Producto]],FIND(" · ",tblMovimientos[[#This Row],[Producto]]&amp;" · ")-1)))</f>
        <v/>
      </c>
      <c r="H17" s="40" t="str">
        <f>IF(tblMovimientos[[#This Row],[SKU]]="","",IFERROR(INDEX(tblProductos[Unidad],MATCH(tblMovimientos[[#This Row],[SKU]],tblProductos[SKU],0)),"?"))</f>
        <v/>
      </c>
      <c r="I17" s="39"/>
      <c r="J17" s="47" t="str">
        <f>IF(tblMovimientos[[#This Row],[Tipo]]="","",IFERROR(INDEX(tblTiposMov[FactorStock],MATCH(tblMovimientos[[#This Row],[Tipo]],tblTiposMov[Tipo],0)),0))</f>
        <v/>
      </c>
      <c r="K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" s="37"/>
      <c r="O17" s="37"/>
      <c r="P17" s="37"/>
    </row>
    <row r="18" spans="2:16" x14ac:dyDescent="0.25">
      <c r="B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" s="46"/>
      <c r="D18" s="37"/>
      <c r="E18" s="37"/>
      <c r="F18" s="37"/>
      <c r="G18" s="40" t="str">
        <f>IF(tblMovimientos[[#This Row],[Producto]]="","",TRIM(LEFT(tblMovimientos[[#This Row],[Producto]],FIND(" · ",tblMovimientos[[#This Row],[Producto]]&amp;" · ")-1)))</f>
        <v/>
      </c>
      <c r="H18" s="40" t="str">
        <f>IF(tblMovimientos[[#This Row],[SKU]]="","",IFERROR(INDEX(tblProductos[Unidad],MATCH(tblMovimientos[[#This Row],[SKU]],tblProductos[SKU],0)),"?"))</f>
        <v/>
      </c>
      <c r="I18" s="39"/>
      <c r="J18" s="47" t="str">
        <f>IF(tblMovimientos[[#This Row],[Tipo]]="","",IFERROR(INDEX(tblTiposMov[FactorStock],MATCH(tblMovimientos[[#This Row],[Tipo]],tblTiposMov[Tipo],0)),0))</f>
        <v/>
      </c>
      <c r="K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" s="37"/>
      <c r="O18" s="37"/>
      <c r="P18" s="37"/>
    </row>
    <row r="19" spans="2:16" x14ac:dyDescent="0.25">
      <c r="B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" s="46"/>
      <c r="D19" s="37"/>
      <c r="E19" s="37"/>
      <c r="F19" s="37"/>
      <c r="G19" s="40" t="str">
        <f>IF(tblMovimientos[[#This Row],[Producto]]="","",TRIM(LEFT(tblMovimientos[[#This Row],[Producto]],FIND(" · ",tblMovimientos[[#This Row],[Producto]]&amp;" · ")-1)))</f>
        <v/>
      </c>
      <c r="H19" s="40" t="str">
        <f>IF(tblMovimientos[[#This Row],[SKU]]="","",IFERROR(INDEX(tblProductos[Unidad],MATCH(tblMovimientos[[#This Row],[SKU]],tblProductos[SKU],0)),"?"))</f>
        <v/>
      </c>
      <c r="I19" s="39"/>
      <c r="J19" s="47" t="str">
        <f>IF(tblMovimientos[[#This Row],[Tipo]]="","",IFERROR(INDEX(tblTiposMov[FactorStock],MATCH(tblMovimientos[[#This Row],[Tipo]],tblTiposMov[Tipo],0)),0))</f>
        <v/>
      </c>
      <c r="K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" s="37"/>
      <c r="O19" s="37"/>
      <c r="P19" s="37"/>
    </row>
    <row r="20" spans="2:16" x14ac:dyDescent="0.25">
      <c r="B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" s="46"/>
      <c r="D20" s="37"/>
      <c r="E20" s="37"/>
      <c r="F20" s="37"/>
      <c r="G20" s="40" t="str">
        <f>IF(tblMovimientos[[#This Row],[Producto]]="","",TRIM(LEFT(tblMovimientos[[#This Row],[Producto]],FIND(" · ",tblMovimientos[[#This Row],[Producto]]&amp;" · ")-1)))</f>
        <v/>
      </c>
      <c r="H20" s="40" t="str">
        <f>IF(tblMovimientos[[#This Row],[SKU]]="","",IFERROR(INDEX(tblProductos[Unidad],MATCH(tblMovimientos[[#This Row],[SKU]],tblProductos[SKU],0)),"?"))</f>
        <v/>
      </c>
      <c r="I20" s="39"/>
      <c r="J20" s="47" t="str">
        <f>IF(tblMovimientos[[#This Row],[Tipo]]="","",IFERROR(INDEX(tblTiposMov[FactorStock],MATCH(tblMovimientos[[#This Row],[Tipo]],tblTiposMov[Tipo],0)),0))</f>
        <v/>
      </c>
      <c r="K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" s="37"/>
      <c r="O20" s="37"/>
      <c r="P20" s="37"/>
    </row>
    <row r="21" spans="2:16" x14ac:dyDescent="0.25">
      <c r="B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" s="46"/>
      <c r="D21" s="37"/>
      <c r="E21" s="37"/>
      <c r="F21" s="37"/>
      <c r="G21" s="40" t="str">
        <f>IF(tblMovimientos[[#This Row],[Producto]]="","",TRIM(LEFT(tblMovimientos[[#This Row],[Producto]],FIND(" · ",tblMovimientos[[#This Row],[Producto]]&amp;" · ")-1)))</f>
        <v/>
      </c>
      <c r="H21" s="40" t="str">
        <f>IF(tblMovimientos[[#This Row],[SKU]]="","",IFERROR(INDEX(tblProductos[Unidad],MATCH(tblMovimientos[[#This Row],[SKU]],tblProductos[SKU],0)),"?"))</f>
        <v/>
      </c>
      <c r="I21" s="39"/>
      <c r="J21" s="47" t="str">
        <f>IF(tblMovimientos[[#This Row],[Tipo]]="","",IFERROR(INDEX(tblTiposMov[FactorStock],MATCH(tblMovimientos[[#This Row],[Tipo]],tblTiposMov[Tipo],0)),0))</f>
        <v/>
      </c>
      <c r="K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" s="37"/>
      <c r="O21" s="37"/>
      <c r="P21" s="37"/>
    </row>
    <row r="22" spans="2:16" x14ac:dyDescent="0.25">
      <c r="B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" s="46"/>
      <c r="D22" s="37"/>
      <c r="E22" s="37"/>
      <c r="F22" s="37"/>
      <c r="G22" s="40" t="str">
        <f>IF(tblMovimientos[[#This Row],[Producto]]="","",TRIM(LEFT(tblMovimientos[[#This Row],[Producto]],FIND(" · ",tblMovimientos[[#This Row],[Producto]]&amp;" · ")-1)))</f>
        <v/>
      </c>
      <c r="H22" s="40" t="str">
        <f>IF(tblMovimientos[[#This Row],[SKU]]="","",IFERROR(INDEX(tblProductos[Unidad],MATCH(tblMovimientos[[#This Row],[SKU]],tblProductos[SKU],0)),"?"))</f>
        <v/>
      </c>
      <c r="I22" s="39"/>
      <c r="J22" s="47" t="str">
        <f>IF(tblMovimientos[[#This Row],[Tipo]]="","",IFERROR(INDEX(tblTiposMov[FactorStock],MATCH(tblMovimientos[[#This Row],[Tipo]],tblTiposMov[Tipo],0)),0))</f>
        <v/>
      </c>
      <c r="K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" s="37"/>
      <c r="O22" s="37"/>
      <c r="P22" s="37"/>
    </row>
    <row r="23" spans="2:16" x14ac:dyDescent="0.25">
      <c r="B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" s="46"/>
      <c r="D23" s="37"/>
      <c r="E23" s="37"/>
      <c r="F23" s="37"/>
      <c r="G23" s="40" t="str">
        <f>IF(tblMovimientos[[#This Row],[Producto]]="","",TRIM(LEFT(tblMovimientos[[#This Row],[Producto]],FIND(" · ",tblMovimientos[[#This Row],[Producto]]&amp;" · ")-1)))</f>
        <v/>
      </c>
      <c r="H23" s="40" t="str">
        <f>IF(tblMovimientos[[#This Row],[SKU]]="","",IFERROR(INDEX(tblProductos[Unidad],MATCH(tblMovimientos[[#This Row],[SKU]],tblProductos[SKU],0)),"?"))</f>
        <v/>
      </c>
      <c r="I23" s="39"/>
      <c r="J23" s="47" t="str">
        <f>IF(tblMovimientos[[#This Row],[Tipo]]="","",IFERROR(INDEX(tblTiposMov[FactorStock],MATCH(tblMovimientos[[#This Row],[Tipo]],tblTiposMov[Tipo],0)),0))</f>
        <v/>
      </c>
      <c r="K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" s="37"/>
      <c r="O23" s="37"/>
      <c r="P23" s="37"/>
    </row>
    <row r="24" spans="2:16" x14ac:dyDescent="0.25">
      <c r="B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" s="46"/>
      <c r="D24" s="37"/>
      <c r="E24" s="37"/>
      <c r="F24" s="37"/>
      <c r="G24" s="40" t="str">
        <f>IF(tblMovimientos[[#This Row],[Producto]]="","",TRIM(LEFT(tblMovimientos[[#This Row],[Producto]],FIND(" · ",tblMovimientos[[#This Row],[Producto]]&amp;" · ")-1)))</f>
        <v/>
      </c>
      <c r="H24" s="40" t="str">
        <f>IF(tblMovimientos[[#This Row],[SKU]]="","",IFERROR(INDEX(tblProductos[Unidad],MATCH(tblMovimientos[[#This Row],[SKU]],tblProductos[SKU],0)),"?"))</f>
        <v/>
      </c>
      <c r="I24" s="39"/>
      <c r="J24" s="47" t="str">
        <f>IF(tblMovimientos[[#This Row],[Tipo]]="","",IFERROR(INDEX(tblTiposMov[FactorStock],MATCH(tblMovimientos[[#This Row],[Tipo]],tblTiposMov[Tipo],0)),0))</f>
        <v/>
      </c>
      <c r="K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" s="37"/>
      <c r="O24" s="37"/>
      <c r="P24" s="37"/>
    </row>
    <row r="25" spans="2:16" x14ac:dyDescent="0.25">
      <c r="B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" s="46"/>
      <c r="D25" s="37"/>
      <c r="E25" s="37"/>
      <c r="F25" s="37"/>
      <c r="G25" s="40" t="str">
        <f>IF(tblMovimientos[[#This Row],[Producto]]="","",TRIM(LEFT(tblMovimientos[[#This Row],[Producto]],FIND(" · ",tblMovimientos[[#This Row],[Producto]]&amp;" · ")-1)))</f>
        <v/>
      </c>
      <c r="H25" s="40" t="str">
        <f>IF(tblMovimientos[[#This Row],[SKU]]="","",IFERROR(INDEX(tblProductos[Unidad],MATCH(tblMovimientos[[#This Row],[SKU]],tblProductos[SKU],0)),"?"))</f>
        <v/>
      </c>
      <c r="I25" s="39"/>
      <c r="J25" s="47" t="str">
        <f>IF(tblMovimientos[[#This Row],[Tipo]]="","",IFERROR(INDEX(tblTiposMov[FactorStock],MATCH(tblMovimientos[[#This Row],[Tipo]],tblTiposMov[Tipo],0)),0))</f>
        <v/>
      </c>
      <c r="K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" s="37"/>
      <c r="O25" s="37"/>
      <c r="P25" s="37"/>
    </row>
    <row r="26" spans="2:16" x14ac:dyDescent="0.25">
      <c r="B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" s="46"/>
      <c r="D26" s="37"/>
      <c r="E26" s="37"/>
      <c r="F26" s="37"/>
      <c r="G26" s="40" t="str">
        <f>IF(tblMovimientos[[#This Row],[Producto]]="","",TRIM(LEFT(tblMovimientos[[#This Row],[Producto]],FIND(" · ",tblMovimientos[[#This Row],[Producto]]&amp;" · ")-1)))</f>
        <v/>
      </c>
      <c r="H26" s="40" t="str">
        <f>IF(tblMovimientos[[#This Row],[SKU]]="","",IFERROR(INDEX(tblProductos[Unidad],MATCH(tblMovimientos[[#This Row],[SKU]],tblProductos[SKU],0)),"?"))</f>
        <v/>
      </c>
      <c r="I26" s="39"/>
      <c r="J26" s="47" t="str">
        <f>IF(tblMovimientos[[#This Row],[Tipo]]="","",IFERROR(INDEX(tblTiposMov[FactorStock],MATCH(tblMovimientos[[#This Row],[Tipo]],tblTiposMov[Tipo],0)),0))</f>
        <v/>
      </c>
      <c r="K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" s="37"/>
      <c r="O26" s="37"/>
      <c r="P26" s="37"/>
    </row>
    <row r="27" spans="2:16" x14ac:dyDescent="0.25">
      <c r="B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" s="46"/>
      <c r="D27" s="37"/>
      <c r="E27" s="37"/>
      <c r="F27" s="37"/>
      <c r="G27" s="40" t="str">
        <f>IF(tblMovimientos[[#This Row],[Producto]]="","",TRIM(LEFT(tblMovimientos[[#This Row],[Producto]],FIND(" · ",tblMovimientos[[#This Row],[Producto]]&amp;" · ")-1)))</f>
        <v/>
      </c>
      <c r="H27" s="40" t="str">
        <f>IF(tblMovimientos[[#This Row],[SKU]]="","",IFERROR(INDEX(tblProductos[Unidad],MATCH(tblMovimientos[[#This Row],[SKU]],tblProductos[SKU],0)),"?"))</f>
        <v/>
      </c>
      <c r="I27" s="39"/>
      <c r="J27" s="47" t="str">
        <f>IF(tblMovimientos[[#This Row],[Tipo]]="","",IFERROR(INDEX(tblTiposMov[FactorStock],MATCH(tblMovimientos[[#This Row],[Tipo]],tblTiposMov[Tipo],0)),0))</f>
        <v/>
      </c>
      <c r="K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" s="37"/>
      <c r="O27" s="37"/>
      <c r="P27" s="37"/>
    </row>
    <row r="28" spans="2:16" x14ac:dyDescent="0.25">
      <c r="B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" s="46"/>
      <c r="D28" s="37"/>
      <c r="E28" s="37"/>
      <c r="F28" s="37"/>
      <c r="G28" s="40" t="str">
        <f>IF(tblMovimientos[[#This Row],[Producto]]="","",TRIM(LEFT(tblMovimientos[[#This Row],[Producto]],FIND(" · ",tblMovimientos[[#This Row],[Producto]]&amp;" · ")-1)))</f>
        <v/>
      </c>
      <c r="H28" s="40" t="str">
        <f>IF(tblMovimientos[[#This Row],[SKU]]="","",IFERROR(INDEX(tblProductos[Unidad],MATCH(tblMovimientos[[#This Row],[SKU]],tblProductos[SKU],0)),"?"))</f>
        <v/>
      </c>
      <c r="I28" s="39"/>
      <c r="J28" s="47" t="str">
        <f>IF(tblMovimientos[[#This Row],[Tipo]]="","",IFERROR(INDEX(tblTiposMov[FactorStock],MATCH(tblMovimientos[[#This Row],[Tipo]],tblTiposMov[Tipo],0)),0))</f>
        <v/>
      </c>
      <c r="K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" s="37"/>
      <c r="O28" s="37"/>
      <c r="P28" s="37"/>
    </row>
    <row r="29" spans="2:16" x14ac:dyDescent="0.25">
      <c r="B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" s="46"/>
      <c r="D29" s="37"/>
      <c r="E29" s="37"/>
      <c r="F29" s="37"/>
      <c r="G29" s="40" t="str">
        <f>IF(tblMovimientos[[#This Row],[Producto]]="","",TRIM(LEFT(tblMovimientos[[#This Row],[Producto]],FIND(" · ",tblMovimientos[[#This Row],[Producto]]&amp;" · ")-1)))</f>
        <v/>
      </c>
      <c r="H29" s="40" t="str">
        <f>IF(tblMovimientos[[#This Row],[SKU]]="","",IFERROR(INDEX(tblProductos[Unidad],MATCH(tblMovimientos[[#This Row],[SKU]],tblProductos[SKU],0)),"?"))</f>
        <v/>
      </c>
      <c r="I29" s="39"/>
      <c r="J29" s="47" t="str">
        <f>IF(tblMovimientos[[#This Row],[Tipo]]="","",IFERROR(INDEX(tblTiposMov[FactorStock],MATCH(tblMovimientos[[#This Row],[Tipo]],tblTiposMov[Tipo],0)),0))</f>
        <v/>
      </c>
      <c r="K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" s="37"/>
      <c r="O29" s="37"/>
      <c r="P29" s="37"/>
    </row>
    <row r="30" spans="2:16" x14ac:dyDescent="0.25">
      <c r="B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" s="46"/>
      <c r="D30" s="37"/>
      <c r="E30" s="37"/>
      <c r="F30" s="37"/>
      <c r="G30" s="40" t="str">
        <f>IF(tblMovimientos[[#This Row],[Producto]]="","",TRIM(LEFT(tblMovimientos[[#This Row],[Producto]],FIND(" · ",tblMovimientos[[#This Row],[Producto]]&amp;" · ")-1)))</f>
        <v/>
      </c>
      <c r="H30" s="40" t="str">
        <f>IF(tblMovimientos[[#This Row],[SKU]]="","",IFERROR(INDEX(tblProductos[Unidad],MATCH(tblMovimientos[[#This Row],[SKU]],tblProductos[SKU],0)),"?"))</f>
        <v/>
      </c>
      <c r="I30" s="39"/>
      <c r="J30" s="47" t="str">
        <f>IF(tblMovimientos[[#This Row],[Tipo]]="","",IFERROR(INDEX(tblTiposMov[FactorStock],MATCH(tblMovimientos[[#This Row],[Tipo]],tblTiposMov[Tipo],0)),0))</f>
        <v/>
      </c>
      <c r="K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" s="37"/>
      <c r="O30" s="37"/>
      <c r="P30" s="37"/>
    </row>
    <row r="31" spans="2:16" x14ac:dyDescent="0.25">
      <c r="B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" s="46"/>
      <c r="D31" s="37"/>
      <c r="E31" s="37"/>
      <c r="F31" s="37"/>
      <c r="G31" s="40" t="str">
        <f>IF(tblMovimientos[[#This Row],[Producto]]="","",TRIM(LEFT(tblMovimientos[[#This Row],[Producto]],FIND(" · ",tblMovimientos[[#This Row],[Producto]]&amp;" · ")-1)))</f>
        <v/>
      </c>
      <c r="H31" s="40" t="str">
        <f>IF(tblMovimientos[[#This Row],[SKU]]="","",IFERROR(INDEX(tblProductos[Unidad],MATCH(tblMovimientos[[#This Row],[SKU]],tblProductos[SKU],0)),"?"))</f>
        <v/>
      </c>
      <c r="I31" s="39"/>
      <c r="J31" s="47" t="str">
        <f>IF(tblMovimientos[[#This Row],[Tipo]]="","",IFERROR(INDEX(tblTiposMov[FactorStock],MATCH(tblMovimientos[[#This Row],[Tipo]],tblTiposMov[Tipo],0)),0))</f>
        <v/>
      </c>
      <c r="K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" s="37"/>
      <c r="O31" s="37"/>
      <c r="P31" s="37"/>
    </row>
    <row r="32" spans="2:16" x14ac:dyDescent="0.25">
      <c r="B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" s="46"/>
      <c r="D32" s="37"/>
      <c r="E32" s="37"/>
      <c r="F32" s="37"/>
      <c r="G32" s="40" t="str">
        <f>IF(tblMovimientos[[#This Row],[Producto]]="","",TRIM(LEFT(tblMovimientos[[#This Row],[Producto]],FIND(" · ",tblMovimientos[[#This Row],[Producto]]&amp;" · ")-1)))</f>
        <v/>
      </c>
      <c r="H32" s="40" t="str">
        <f>IF(tblMovimientos[[#This Row],[SKU]]="","",IFERROR(INDEX(tblProductos[Unidad],MATCH(tblMovimientos[[#This Row],[SKU]],tblProductos[SKU],0)),"?"))</f>
        <v/>
      </c>
      <c r="I32" s="39"/>
      <c r="J32" s="47" t="str">
        <f>IF(tblMovimientos[[#This Row],[Tipo]]="","",IFERROR(INDEX(tblTiposMov[FactorStock],MATCH(tblMovimientos[[#This Row],[Tipo]],tblTiposMov[Tipo],0)),0))</f>
        <v/>
      </c>
      <c r="K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" s="37"/>
      <c r="O32" s="37"/>
      <c r="P32" s="37"/>
    </row>
    <row r="33" spans="2:16" x14ac:dyDescent="0.25">
      <c r="B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" s="46"/>
      <c r="D33" s="37"/>
      <c r="E33" s="37"/>
      <c r="F33" s="37"/>
      <c r="G33" s="40" t="str">
        <f>IF(tblMovimientos[[#This Row],[Producto]]="","",TRIM(LEFT(tblMovimientos[[#This Row],[Producto]],FIND(" · ",tblMovimientos[[#This Row],[Producto]]&amp;" · ")-1)))</f>
        <v/>
      </c>
      <c r="H33" s="40" t="str">
        <f>IF(tblMovimientos[[#This Row],[SKU]]="","",IFERROR(INDEX(tblProductos[Unidad],MATCH(tblMovimientos[[#This Row],[SKU]],tblProductos[SKU],0)),"?"))</f>
        <v/>
      </c>
      <c r="I33" s="39"/>
      <c r="J33" s="47" t="str">
        <f>IF(tblMovimientos[[#This Row],[Tipo]]="","",IFERROR(INDEX(tblTiposMov[FactorStock],MATCH(tblMovimientos[[#This Row],[Tipo]],tblTiposMov[Tipo],0)),0))</f>
        <v/>
      </c>
      <c r="K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" s="37"/>
      <c r="O33" s="37"/>
      <c r="P33" s="37"/>
    </row>
    <row r="34" spans="2:16" x14ac:dyDescent="0.25">
      <c r="B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" s="46"/>
      <c r="D34" s="37"/>
      <c r="E34" s="37"/>
      <c r="F34" s="37"/>
      <c r="G34" s="40" t="str">
        <f>IF(tblMovimientos[[#This Row],[Producto]]="","",TRIM(LEFT(tblMovimientos[[#This Row],[Producto]],FIND(" · ",tblMovimientos[[#This Row],[Producto]]&amp;" · ")-1)))</f>
        <v/>
      </c>
      <c r="H34" s="40" t="str">
        <f>IF(tblMovimientos[[#This Row],[SKU]]="","",IFERROR(INDEX(tblProductos[Unidad],MATCH(tblMovimientos[[#This Row],[SKU]],tblProductos[SKU],0)),"?"))</f>
        <v/>
      </c>
      <c r="I34" s="39"/>
      <c r="J34" s="47" t="str">
        <f>IF(tblMovimientos[[#This Row],[Tipo]]="","",IFERROR(INDEX(tblTiposMov[FactorStock],MATCH(tblMovimientos[[#This Row],[Tipo]],tblTiposMov[Tipo],0)),0))</f>
        <v/>
      </c>
      <c r="K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" s="37"/>
      <c r="O34" s="37"/>
      <c r="P34" s="37"/>
    </row>
    <row r="35" spans="2:16" x14ac:dyDescent="0.25">
      <c r="B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" s="46"/>
      <c r="D35" s="37"/>
      <c r="E35" s="37"/>
      <c r="F35" s="37"/>
      <c r="G35" s="40" t="str">
        <f>IF(tblMovimientos[[#This Row],[Producto]]="","",TRIM(LEFT(tblMovimientos[[#This Row],[Producto]],FIND(" · ",tblMovimientos[[#This Row],[Producto]]&amp;" · ")-1)))</f>
        <v/>
      </c>
      <c r="H35" s="40" t="str">
        <f>IF(tblMovimientos[[#This Row],[SKU]]="","",IFERROR(INDEX(tblProductos[Unidad],MATCH(tblMovimientos[[#This Row],[SKU]],tblProductos[SKU],0)),"?"))</f>
        <v/>
      </c>
      <c r="I35" s="39"/>
      <c r="J35" s="47" t="str">
        <f>IF(tblMovimientos[[#This Row],[Tipo]]="","",IFERROR(INDEX(tblTiposMov[FactorStock],MATCH(tblMovimientos[[#This Row],[Tipo]],tblTiposMov[Tipo],0)),0))</f>
        <v/>
      </c>
      <c r="K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" s="37"/>
      <c r="O35" s="37"/>
      <c r="P35" s="37"/>
    </row>
    <row r="36" spans="2:16" x14ac:dyDescent="0.25">
      <c r="B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" s="46"/>
      <c r="D36" s="37"/>
      <c r="E36" s="37"/>
      <c r="F36" s="37"/>
      <c r="G36" s="40" t="str">
        <f>IF(tblMovimientos[[#This Row],[Producto]]="","",TRIM(LEFT(tblMovimientos[[#This Row],[Producto]],FIND(" · ",tblMovimientos[[#This Row],[Producto]]&amp;" · ")-1)))</f>
        <v/>
      </c>
      <c r="H36" s="40" t="str">
        <f>IF(tblMovimientos[[#This Row],[SKU]]="","",IFERROR(INDEX(tblProductos[Unidad],MATCH(tblMovimientos[[#This Row],[SKU]],tblProductos[SKU],0)),"?"))</f>
        <v/>
      </c>
      <c r="I36" s="39"/>
      <c r="J36" s="47" t="str">
        <f>IF(tblMovimientos[[#This Row],[Tipo]]="","",IFERROR(INDEX(tblTiposMov[FactorStock],MATCH(tblMovimientos[[#This Row],[Tipo]],tblTiposMov[Tipo],0)),0))</f>
        <v/>
      </c>
      <c r="K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" s="37"/>
      <c r="O36" s="37"/>
      <c r="P36" s="37"/>
    </row>
    <row r="37" spans="2:16" x14ac:dyDescent="0.25">
      <c r="B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" s="46"/>
      <c r="D37" s="37"/>
      <c r="E37" s="37"/>
      <c r="F37" s="37"/>
      <c r="G37" s="40" t="str">
        <f>IF(tblMovimientos[[#This Row],[Producto]]="","",TRIM(LEFT(tblMovimientos[[#This Row],[Producto]],FIND(" · ",tblMovimientos[[#This Row],[Producto]]&amp;" · ")-1)))</f>
        <v/>
      </c>
      <c r="H37" s="40" t="str">
        <f>IF(tblMovimientos[[#This Row],[SKU]]="","",IFERROR(INDEX(tblProductos[Unidad],MATCH(tblMovimientos[[#This Row],[SKU]],tblProductos[SKU],0)),"?"))</f>
        <v/>
      </c>
      <c r="I37" s="39"/>
      <c r="J37" s="47" t="str">
        <f>IF(tblMovimientos[[#This Row],[Tipo]]="","",IFERROR(INDEX(tblTiposMov[FactorStock],MATCH(tblMovimientos[[#This Row],[Tipo]],tblTiposMov[Tipo],0)),0))</f>
        <v/>
      </c>
      <c r="K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" s="37"/>
      <c r="O37" s="37"/>
      <c r="P37" s="37"/>
    </row>
    <row r="38" spans="2:16" x14ac:dyDescent="0.25">
      <c r="B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" s="46"/>
      <c r="D38" s="37"/>
      <c r="E38" s="37"/>
      <c r="F38" s="37"/>
      <c r="G38" s="40" t="str">
        <f>IF(tblMovimientos[[#This Row],[Producto]]="","",TRIM(LEFT(tblMovimientos[[#This Row],[Producto]],FIND(" · ",tblMovimientos[[#This Row],[Producto]]&amp;" · ")-1)))</f>
        <v/>
      </c>
      <c r="H38" s="40" t="str">
        <f>IF(tblMovimientos[[#This Row],[SKU]]="","",IFERROR(INDEX(tblProductos[Unidad],MATCH(tblMovimientos[[#This Row],[SKU]],tblProductos[SKU],0)),"?"))</f>
        <v/>
      </c>
      <c r="I38" s="39"/>
      <c r="J38" s="47" t="str">
        <f>IF(tblMovimientos[[#This Row],[Tipo]]="","",IFERROR(INDEX(tblTiposMov[FactorStock],MATCH(tblMovimientos[[#This Row],[Tipo]],tblTiposMov[Tipo],0)),0))</f>
        <v/>
      </c>
      <c r="K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" s="37"/>
      <c r="O38" s="37"/>
      <c r="P38" s="37"/>
    </row>
    <row r="39" spans="2:16" x14ac:dyDescent="0.25">
      <c r="B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" s="46"/>
      <c r="D39" s="37"/>
      <c r="E39" s="37"/>
      <c r="F39" s="37"/>
      <c r="G39" s="40" t="str">
        <f>IF(tblMovimientos[[#This Row],[Producto]]="","",TRIM(LEFT(tblMovimientos[[#This Row],[Producto]],FIND(" · ",tblMovimientos[[#This Row],[Producto]]&amp;" · ")-1)))</f>
        <v/>
      </c>
      <c r="H39" s="40" t="str">
        <f>IF(tblMovimientos[[#This Row],[SKU]]="","",IFERROR(INDEX(tblProductos[Unidad],MATCH(tblMovimientos[[#This Row],[SKU]],tblProductos[SKU],0)),"?"))</f>
        <v/>
      </c>
      <c r="I39" s="39"/>
      <c r="J39" s="47" t="str">
        <f>IF(tblMovimientos[[#This Row],[Tipo]]="","",IFERROR(INDEX(tblTiposMov[FactorStock],MATCH(tblMovimientos[[#This Row],[Tipo]],tblTiposMov[Tipo],0)),0))</f>
        <v/>
      </c>
      <c r="K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" s="37"/>
      <c r="O39" s="37"/>
      <c r="P39" s="37"/>
    </row>
    <row r="40" spans="2:16" x14ac:dyDescent="0.25">
      <c r="B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" s="46"/>
      <c r="D40" s="37"/>
      <c r="E40" s="37"/>
      <c r="F40" s="37"/>
      <c r="G40" s="40" t="str">
        <f>IF(tblMovimientos[[#This Row],[Producto]]="","",TRIM(LEFT(tblMovimientos[[#This Row],[Producto]],FIND(" · ",tblMovimientos[[#This Row],[Producto]]&amp;" · ")-1)))</f>
        <v/>
      </c>
      <c r="H40" s="40" t="str">
        <f>IF(tblMovimientos[[#This Row],[SKU]]="","",IFERROR(INDEX(tblProductos[Unidad],MATCH(tblMovimientos[[#This Row],[SKU]],tblProductos[SKU],0)),"?"))</f>
        <v/>
      </c>
      <c r="I40" s="39"/>
      <c r="J40" s="47" t="str">
        <f>IF(tblMovimientos[[#This Row],[Tipo]]="","",IFERROR(INDEX(tblTiposMov[FactorStock],MATCH(tblMovimientos[[#This Row],[Tipo]],tblTiposMov[Tipo],0)),0))</f>
        <v/>
      </c>
      <c r="K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" s="37"/>
      <c r="O40" s="37"/>
      <c r="P40" s="37"/>
    </row>
    <row r="41" spans="2:16" x14ac:dyDescent="0.25">
      <c r="B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" s="46"/>
      <c r="D41" s="37"/>
      <c r="E41" s="37"/>
      <c r="F41" s="37"/>
      <c r="G41" s="40" t="str">
        <f>IF(tblMovimientos[[#This Row],[Producto]]="","",TRIM(LEFT(tblMovimientos[[#This Row],[Producto]],FIND(" · ",tblMovimientos[[#This Row],[Producto]]&amp;" · ")-1)))</f>
        <v/>
      </c>
      <c r="H41" s="40" t="str">
        <f>IF(tblMovimientos[[#This Row],[SKU]]="","",IFERROR(INDEX(tblProductos[Unidad],MATCH(tblMovimientos[[#This Row],[SKU]],tblProductos[SKU],0)),"?"))</f>
        <v/>
      </c>
      <c r="I41" s="39"/>
      <c r="J41" s="47" t="str">
        <f>IF(tblMovimientos[[#This Row],[Tipo]]="","",IFERROR(INDEX(tblTiposMov[FactorStock],MATCH(tblMovimientos[[#This Row],[Tipo]],tblTiposMov[Tipo],0)),0))</f>
        <v/>
      </c>
      <c r="K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" s="37"/>
      <c r="O41" s="37"/>
      <c r="P41" s="37"/>
    </row>
    <row r="42" spans="2:16" x14ac:dyDescent="0.25">
      <c r="B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" s="46"/>
      <c r="D42" s="37"/>
      <c r="E42" s="37"/>
      <c r="F42" s="37"/>
      <c r="G42" s="40" t="str">
        <f>IF(tblMovimientos[[#This Row],[Producto]]="","",TRIM(LEFT(tblMovimientos[[#This Row],[Producto]],FIND(" · ",tblMovimientos[[#This Row],[Producto]]&amp;" · ")-1)))</f>
        <v/>
      </c>
      <c r="H42" s="40" t="str">
        <f>IF(tblMovimientos[[#This Row],[SKU]]="","",IFERROR(INDEX(tblProductos[Unidad],MATCH(tblMovimientos[[#This Row],[SKU]],tblProductos[SKU],0)),"?"))</f>
        <v/>
      </c>
      <c r="I42" s="39"/>
      <c r="J42" s="47" t="str">
        <f>IF(tblMovimientos[[#This Row],[Tipo]]="","",IFERROR(INDEX(tblTiposMov[FactorStock],MATCH(tblMovimientos[[#This Row],[Tipo]],tblTiposMov[Tipo],0)),0))</f>
        <v/>
      </c>
      <c r="K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" s="37"/>
      <c r="O42" s="37"/>
      <c r="P42" s="37"/>
    </row>
    <row r="43" spans="2:16" x14ac:dyDescent="0.25">
      <c r="B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" s="46"/>
      <c r="D43" s="37"/>
      <c r="E43" s="37"/>
      <c r="F43" s="37"/>
      <c r="G43" s="40" t="str">
        <f>IF(tblMovimientos[[#This Row],[Producto]]="","",TRIM(LEFT(tblMovimientos[[#This Row],[Producto]],FIND(" · ",tblMovimientos[[#This Row],[Producto]]&amp;" · ")-1)))</f>
        <v/>
      </c>
      <c r="H43" s="40" t="str">
        <f>IF(tblMovimientos[[#This Row],[SKU]]="","",IFERROR(INDEX(tblProductos[Unidad],MATCH(tblMovimientos[[#This Row],[SKU]],tblProductos[SKU],0)),"?"))</f>
        <v/>
      </c>
      <c r="I43" s="39"/>
      <c r="J43" s="47" t="str">
        <f>IF(tblMovimientos[[#This Row],[Tipo]]="","",IFERROR(INDEX(tblTiposMov[FactorStock],MATCH(tblMovimientos[[#This Row],[Tipo]],tblTiposMov[Tipo],0)),0))</f>
        <v/>
      </c>
      <c r="K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" s="37"/>
      <c r="O43" s="37"/>
      <c r="P43" s="37"/>
    </row>
    <row r="44" spans="2:16" x14ac:dyDescent="0.25">
      <c r="B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" s="46"/>
      <c r="D44" s="37"/>
      <c r="E44" s="37"/>
      <c r="F44" s="37"/>
      <c r="G44" s="40" t="str">
        <f>IF(tblMovimientos[[#This Row],[Producto]]="","",TRIM(LEFT(tblMovimientos[[#This Row],[Producto]],FIND(" · ",tblMovimientos[[#This Row],[Producto]]&amp;" · ")-1)))</f>
        <v/>
      </c>
      <c r="H44" s="40" t="str">
        <f>IF(tblMovimientos[[#This Row],[SKU]]="","",IFERROR(INDEX(tblProductos[Unidad],MATCH(tblMovimientos[[#This Row],[SKU]],tblProductos[SKU],0)),"?"))</f>
        <v/>
      </c>
      <c r="I44" s="39"/>
      <c r="J44" s="47" t="str">
        <f>IF(tblMovimientos[[#This Row],[Tipo]]="","",IFERROR(INDEX(tblTiposMov[FactorStock],MATCH(tblMovimientos[[#This Row],[Tipo]],tblTiposMov[Tipo],0)),0))</f>
        <v/>
      </c>
      <c r="K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" s="37"/>
      <c r="O44" s="37"/>
      <c r="P44" s="37"/>
    </row>
    <row r="45" spans="2:16" x14ac:dyDescent="0.25">
      <c r="B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" s="46"/>
      <c r="D45" s="37"/>
      <c r="E45" s="37"/>
      <c r="F45" s="37"/>
      <c r="G45" s="40" t="str">
        <f>IF(tblMovimientos[[#This Row],[Producto]]="","",TRIM(LEFT(tblMovimientos[[#This Row],[Producto]],FIND(" · ",tblMovimientos[[#This Row],[Producto]]&amp;" · ")-1)))</f>
        <v/>
      </c>
      <c r="H45" s="40" t="str">
        <f>IF(tblMovimientos[[#This Row],[SKU]]="","",IFERROR(INDEX(tblProductos[Unidad],MATCH(tblMovimientos[[#This Row],[SKU]],tblProductos[SKU],0)),"?"))</f>
        <v/>
      </c>
      <c r="I45" s="39"/>
      <c r="J45" s="47" t="str">
        <f>IF(tblMovimientos[[#This Row],[Tipo]]="","",IFERROR(INDEX(tblTiposMov[FactorStock],MATCH(tblMovimientos[[#This Row],[Tipo]],tblTiposMov[Tipo],0)),0))</f>
        <v/>
      </c>
      <c r="K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" s="37"/>
      <c r="O45" s="37"/>
      <c r="P45" s="37"/>
    </row>
    <row r="46" spans="2:16" x14ac:dyDescent="0.25">
      <c r="B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" s="46"/>
      <c r="D46" s="37"/>
      <c r="E46" s="37"/>
      <c r="F46" s="37"/>
      <c r="G46" s="40" t="str">
        <f>IF(tblMovimientos[[#This Row],[Producto]]="","",TRIM(LEFT(tblMovimientos[[#This Row],[Producto]],FIND(" · ",tblMovimientos[[#This Row],[Producto]]&amp;" · ")-1)))</f>
        <v/>
      </c>
      <c r="H46" s="40" t="str">
        <f>IF(tblMovimientos[[#This Row],[SKU]]="","",IFERROR(INDEX(tblProductos[Unidad],MATCH(tblMovimientos[[#This Row],[SKU]],tblProductos[SKU],0)),"?"))</f>
        <v/>
      </c>
      <c r="I46" s="39"/>
      <c r="J46" s="47" t="str">
        <f>IF(tblMovimientos[[#This Row],[Tipo]]="","",IFERROR(INDEX(tblTiposMov[FactorStock],MATCH(tblMovimientos[[#This Row],[Tipo]],tblTiposMov[Tipo],0)),0))</f>
        <v/>
      </c>
      <c r="K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" s="37"/>
      <c r="O46" s="37"/>
      <c r="P46" s="37"/>
    </row>
    <row r="47" spans="2:16" x14ac:dyDescent="0.25">
      <c r="B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" s="46"/>
      <c r="D47" s="37"/>
      <c r="E47" s="37"/>
      <c r="F47" s="37"/>
      <c r="G47" s="40" t="str">
        <f>IF(tblMovimientos[[#This Row],[Producto]]="","",TRIM(LEFT(tblMovimientos[[#This Row],[Producto]],FIND(" · ",tblMovimientos[[#This Row],[Producto]]&amp;" · ")-1)))</f>
        <v/>
      </c>
      <c r="H47" s="40" t="str">
        <f>IF(tblMovimientos[[#This Row],[SKU]]="","",IFERROR(INDEX(tblProductos[Unidad],MATCH(tblMovimientos[[#This Row],[SKU]],tblProductos[SKU],0)),"?"))</f>
        <v/>
      </c>
      <c r="I47" s="39"/>
      <c r="J47" s="47" t="str">
        <f>IF(tblMovimientos[[#This Row],[Tipo]]="","",IFERROR(INDEX(tblTiposMov[FactorStock],MATCH(tblMovimientos[[#This Row],[Tipo]],tblTiposMov[Tipo],0)),0))</f>
        <v/>
      </c>
      <c r="K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" s="37"/>
      <c r="O47" s="37"/>
      <c r="P47" s="37"/>
    </row>
    <row r="48" spans="2:16" x14ac:dyDescent="0.25">
      <c r="B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" s="46"/>
      <c r="D48" s="37"/>
      <c r="E48" s="37"/>
      <c r="F48" s="37"/>
      <c r="G48" s="40" t="str">
        <f>IF(tblMovimientos[[#This Row],[Producto]]="","",TRIM(LEFT(tblMovimientos[[#This Row],[Producto]],FIND(" · ",tblMovimientos[[#This Row],[Producto]]&amp;" · ")-1)))</f>
        <v/>
      </c>
      <c r="H48" s="40" t="str">
        <f>IF(tblMovimientos[[#This Row],[SKU]]="","",IFERROR(INDEX(tblProductos[Unidad],MATCH(tblMovimientos[[#This Row],[SKU]],tblProductos[SKU],0)),"?"))</f>
        <v/>
      </c>
      <c r="I48" s="39"/>
      <c r="J48" s="47" t="str">
        <f>IF(tblMovimientos[[#This Row],[Tipo]]="","",IFERROR(INDEX(tblTiposMov[FactorStock],MATCH(tblMovimientos[[#This Row],[Tipo]],tblTiposMov[Tipo],0)),0))</f>
        <v/>
      </c>
      <c r="K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" s="37"/>
      <c r="O48" s="37"/>
      <c r="P48" s="37"/>
    </row>
    <row r="49" spans="2:16" x14ac:dyDescent="0.25">
      <c r="B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" s="46"/>
      <c r="D49" s="37"/>
      <c r="E49" s="37"/>
      <c r="F49" s="37"/>
      <c r="G49" s="40" t="str">
        <f>IF(tblMovimientos[[#This Row],[Producto]]="","",TRIM(LEFT(tblMovimientos[[#This Row],[Producto]],FIND(" · ",tblMovimientos[[#This Row],[Producto]]&amp;" · ")-1)))</f>
        <v/>
      </c>
      <c r="H49" s="40" t="str">
        <f>IF(tblMovimientos[[#This Row],[SKU]]="","",IFERROR(INDEX(tblProductos[Unidad],MATCH(tblMovimientos[[#This Row],[SKU]],tblProductos[SKU],0)),"?"))</f>
        <v/>
      </c>
      <c r="I49" s="39"/>
      <c r="J49" s="47" t="str">
        <f>IF(tblMovimientos[[#This Row],[Tipo]]="","",IFERROR(INDEX(tblTiposMov[FactorStock],MATCH(tblMovimientos[[#This Row],[Tipo]],tblTiposMov[Tipo],0)),0))</f>
        <v/>
      </c>
      <c r="K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" s="37"/>
      <c r="O49" s="37"/>
      <c r="P49" s="37"/>
    </row>
    <row r="50" spans="2:16" x14ac:dyDescent="0.25">
      <c r="B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" s="46"/>
      <c r="D50" s="37"/>
      <c r="E50" s="37"/>
      <c r="F50" s="37"/>
      <c r="G50" s="40" t="str">
        <f>IF(tblMovimientos[[#This Row],[Producto]]="","",TRIM(LEFT(tblMovimientos[[#This Row],[Producto]],FIND(" · ",tblMovimientos[[#This Row],[Producto]]&amp;" · ")-1)))</f>
        <v/>
      </c>
      <c r="H50" s="40" t="str">
        <f>IF(tblMovimientos[[#This Row],[SKU]]="","",IFERROR(INDEX(tblProductos[Unidad],MATCH(tblMovimientos[[#This Row],[SKU]],tblProductos[SKU],0)),"?"))</f>
        <v/>
      </c>
      <c r="I50" s="39"/>
      <c r="J50" s="47" t="str">
        <f>IF(tblMovimientos[[#This Row],[Tipo]]="","",IFERROR(INDEX(tblTiposMov[FactorStock],MATCH(tblMovimientos[[#This Row],[Tipo]],tblTiposMov[Tipo],0)),0))</f>
        <v/>
      </c>
      <c r="K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" s="37"/>
      <c r="O50" s="37"/>
      <c r="P50" s="37"/>
    </row>
    <row r="51" spans="2:16" x14ac:dyDescent="0.25">
      <c r="B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" s="46"/>
      <c r="D51" s="37"/>
      <c r="E51" s="37"/>
      <c r="F51" s="37"/>
      <c r="G51" s="40" t="str">
        <f>IF(tblMovimientos[[#This Row],[Producto]]="","",TRIM(LEFT(tblMovimientos[[#This Row],[Producto]],FIND(" · ",tblMovimientos[[#This Row],[Producto]]&amp;" · ")-1)))</f>
        <v/>
      </c>
      <c r="H51" s="40" t="str">
        <f>IF(tblMovimientos[[#This Row],[SKU]]="","",IFERROR(INDEX(tblProductos[Unidad],MATCH(tblMovimientos[[#This Row],[SKU]],tblProductos[SKU],0)),"?"))</f>
        <v/>
      </c>
      <c r="I51" s="39"/>
      <c r="J51" s="47" t="str">
        <f>IF(tblMovimientos[[#This Row],[Tipo]]="","",IFERROR(INDEX(tblTiposMov[FactorStock],MATCH(tblMovimientos[[#This Row],[Tipo]],tblTiposMov[Tipo],0)),0))</f>
        <v/>
      </c>
      <c r="K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" s="37"/>
      <c r="O51" s="37"/>
      <c r="P51" s="37"/>
    </row>
    <row r="52" spans="2:16" x14ac:dyDescent="0.25">
      <c r="B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" s="46"/>
      <c r="D52" s="37"/>
      <c r="E52" s="37"/>
      <c r="F52" s="37"/>
      <c r="G52" s="40" t="str">
        <f>IF(tblMovimientos[[#This Row],[Producto]]="","",TRIM(LEFT(tblMovimientos[[#This Row],[Producto]],FIND(" · ",tblMovimientos[[#This Row],[Producto]]&amp;" · ")-1)))</f>
        <v/>
      </c>
      <c r="H52" s="40" t="str">
        <f>IF(tblMovimientos[[#This Row],[SKU]]="","",IFERROR(INDEX(tblProductos[Unidad],MATCH(tblMovimientos[[#This Row],[SKU]],tblProductos[SKU],0)),"?"))</f>
        <v/>
      </c>
      <c r="I52" s="39"/>
      <c r="J52" s="47" t="str">
        <f>IF(tblMovimientos[[#This Row],[Tipo]]="","",IFERROR(INDEX(tblTiposMov[FactorStock],MATCH(tblMovimientos[[#This Row],[Tipo]],tblTiposMov[Tipo],0)),0))</f>
        <v/>
      </c>
      <c r="K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" s="37"/>
      <c r="O52" s="37"/>
      <c r="P52" s="37"/>
    </row>
    <row r="53" spans="2:16" x14ac:dyDescent="0.25">
      <c r="B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" s="46"/>
      <c r="D53" s="37"/>
      <c r="E53" s="37"/>
      <c r="F53" s="37"/>
      <c r="G53" s="40" t="str">
        <f>IF(tblMovimientos[[#This Row],[Producto]]="","",TRIM(LEFT(tblMovimientos[[#This Row],[Producto]],FIND(" · ",tblMovimientos[[#This Row],[Producto]]&amp;" · ")-1)))</f>
        <v/>
      </c>
      <c r="H53" s="40" t="str">
        <f>IF(tblMovimientos[[#This Row],[SKU]]="","",IFERROR(INDEX(tblProductos[Unidad],MATCH(tblMovimientos[[#This Row],[SKU]],tblProductos[SKU],0)),"?"))</f>
        <v/>
      </c>
      <c r="I53" s="39"/>
      <c r="J53" s="47" t="str">
        <f>IF(tblMovimientos[[#This Row],[Tipo]]="","",IFERROR(INDEX(tblTiposMov[FactorStock],MATCH(tblMovimientos[[#This Row],[Tipo]],tblTiposMov[Tipo],0)),0))</f>
        <v/>
      </c>
      <c r="K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" s="37"/>
      <c r="O53" s="37"/>
      <c r="P53" s="37"/>
    </row>
    <row r="54" spans="2:16" x14ac:dyDescent="0.25">
      <c r="B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" s="46"/>
      <c r="D54" s="37"/>
      <c r="E54" s="37"/>
      <c r="F54" s="37"/>
      <c r="G54" s="40" t="str">
        <f>IF(tblMovimientos[[#This Row],[Producto]]="","",TRIM(LEFT(tblMovimientos[[#This Row],[Producto]],FIND(" · ",tblMovimientos[[#This Row],[Producto]]&amp;" · ")-1)))</f>
        <v/>
      </c>
      <c r="H54" s="40" t="str">
        <f>IF(tblMovimientos[[#This Row],[SKU]]="","",IFERROR(INDEX(tblProductos[Unidad],MATCH(tblMovimientos[[#This Row],[SKU]],tblProductos[SKU],0)),"?"))</f>
        <v/>
      </c>
      <c r="I54" s="39"/>
      <c r="J54" s="47" t="str">
        <f>IF(tblMovimientos[[#This Row],[Tipo]]="","",IFERROR(INDEX(tblTiposMov[FactorStock],MATCH(tblMovimientos[[#This Row],[Tipo]],tblTiposMov[Tipo],0)),0))</f>
        <v/>
      </c>
      <c r="K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" s="37"/>
      <c r="O54" s="37"/>
      <c r="P54" s="37"/>
    </row>
    <row r="55" spans="2:16" x14ac:dyDescent="0.25">
      <c r="B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" s="46"/>
      <c r="D55" s="37"/>
      <c r="E55" s="37"/>
      <c r="F55" s="37"/>
      <c r="G55" s="40" t="str">
        <f>IF(tblMovimientos[[#This Row],[Producto]]="","",TRIM(LEFT(tblMovimientos[[#This Row],[Producto]],FIND(" · ",tblMovimientos[[#This Row],[Producto]]&amp;" · ")-1)))</f>
        <v/>
      </c>
      <c r="H55" s="40" t="str">
        <f>IF(tblMovimientos[[#This Row],[SKU]]="","",IFERROR(INDEX(tblProductos[Unidad],MATCH(tblMovimientos[[#This Row],[SKU]],tblProductos[SKU],0)),"?"))</f>
        <v/>
      </c>
      <c r="I55" s="39"/>
      <c r="J55" s="47" t="str">
        <f>IF(tblMovimientos[[#This Row],[Tipo]]="","",IFERROR(INDEX(tblTiposMov[FactorStock],MATCH(tblMovimientos[[#This Row],[Tipo]],tblTiposMov[Tipo],0)),0))</f>
        <v/>
      </c>
      <c r="K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" s="37"/>
      <c r="O55" s="37"/>
      <c r="P55" s="37"/>
    </row>
    <row r="56" spans="2:16" x14ac:dyDescent="0.25">
      <c r="B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" s="46"/>
      <c r="D56" s="37"/>
      <c r="E56" s="37"/>
      <c r="F56" s="37"/>
      <c r="G56" s="40" t="str">
        <f>IF(tblMovimientos[[#This Row],[Producto]]="","",TRIM(LEFT(tblMovimientos[[#This Row],[Producto]],FIND(" · ",tblMovimientos[[#This Row],[Producto]]&amp;" · ")-1)))</f>
        <v/>
      </c>
      <c r="H56" s="40" t="str">
        <f>IF(tblMovimientos[[#This Row],[SKU]]="","",IFERROR(INDEX(tblProductos[Unidad],MATCH(tblMovimientos[[#This Row],[SKU]],tblProductos[SKU],0)),"?"))</f>
        <v/>
      </c>
      <c r="I56" s="39"/>
      <c r="J56" s="47" t="str">
        <f>IF(tblMovimientos[[#This Row],[Tipo]]="","",IFERROR(INDEX(tblTiposMov[FactorStock],MATCH(tblMovimientos[[#This Row],[Tipo]],tblTiposMov[Tipo],0)),0))</f>
        <v/>
      </c>
      <c r="K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" s="37"/>
      <c r="O56" s="37"/>
      <c r="P56" s="37"/>
    </row>
    <row r="57" spans="2:16" x14ac:dyDescent="0.25">
      <c r="B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" s="46"/>
      <c r="D57" s="37"/>
      <c r="E57" s="37"/>
      <c r="F57" s="37"/>
      <c r="G57" s="40" t="str">
        <f>IF(tblMovimientos[[#This Row],[Producto]]="","",TRIM(LEFT(tblMovimientos[[#This Row],[Producto]],FIND(" · ",tblMovimientos[[#This Row],[Producto]]&amp;" · ")-1)))</f>
        <v/>
      </c>
      <c r="H57" s="40" t="str">
        <f>IF(tblMovimientos[[#This Row],[SKU]]="","",IFERROR(INDEX(tblProductos[Unidad],MATCH(tblMovimientos[[#This Row],[SKU]],tblProductos[SKU],0)),"?"))</f>
        <v/>
      </c>
      <c r="I57" s="39"/>
      <c r="J57" s="47" t="str">
        <f>IF(tblMovimientos[[#This Row],[Tipo]]="","",IFERROR(INDEX(tblTiposMov[FactorStock],MATCH(tblMovimientos[[#This Row],[Tipo]],tblTiposMov[Tipo],0)),0))</f>
        <v/>
      </c>
      <c r="K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" s="37"/>
      <c r="O57" s="37"/>
      <c r="P57" s="37"/>
    </row>
    <row r="58" spans="2:16" x14ac:dyDescent="0.25">
      <c r="B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" s="46"/>
      <c r="D58" s="37"/>
      <c r="E58" s="37"/>
      <c r="F58" s="37"/>
      <c r="G58" s="40" t="str">
        <f>IF(tblMovimientos[[#This Row],[Producto]]="","",TRIM(LEFT(tblMovimientos[[#This Row],[Producto]],FIND(" · ",tblMovimientos[[#This Row],[Producto]]&amp;" · ")-1)))</f>
        <v/>
      </c>
      <c r="H58" s="40" t="str">
        <f>IF(tblMovimientos[[#This Row],[SKU]]="","",IFERROR(INDEX(tblProductos[Unidad],MATCH(tblMovimientos[[#This Row],[SKU]],tblProductos[SKU],0)),"?"))</f>
        <v/>
      </c>
      <c r="I58" s="39"/>
      <c r="J58" s="47" t="str">
        <f>IF(tblMovimientos[[#This Row],[Tipo]]="","",IFERROR(INDEX(tblTiposMov[FactorStock],MATCH(tblMovimientos[[#This Row],[Tipo]],tblTiposMov[Tipo],0)),0))</f>
        <v/>
      </c>
      <c r="K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" s="37"/>
      <c r="O58" s="37"/>
      <c r="P58" s="37"/>
    </row>
    <row r="59" spans="2:16" x14ac:dyDescent="0.25">
      <c r="B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" s="46"/>
      <c r="D59" s="37"/>
      <c r="E59" s="37"/>
      <c r="F59" s="37"/>
      <c r="G59" s="40" t="str">
        <f>IF(tblMovimientos[[#This Row],[Producto]]="","",TRIM(LEFT(tblMovimientos[[#This Row],[Producto]],FIND(" · ",tblMovimientos[[#This Row],[Producto]]&amp;" · ")-1)))</f>
        <v/>
      </c>
      <c r="H59" s="40" t="str">
        <f>IF(tblMovimientos[[#This Row],[SKU]]="","",IFERROR(INDEX(tblProductos[Unidad],MATCH(tblMovimientos[[#This Row],[SKU]],tblProductos[SKU],0)),"?"))</f>
        <v/>
      </c>
      <c r="I59" s="39"/>
      <c r="J59" s="47" t="str">
        <f>IF(tblMovimientos[[#This Row],[Tipo]]="","",IFERROR(INDEX(tblTiposMov[FactorStock],MATCH(tblMovimientos[[#This Row],[Tipo]],tblTiposMov[Tipo],0)),0))</f>
        <v/>
      </c>
      <c r="K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" s="37"/>
      <c r="O59" s="37"/>
      <c r="P59" s="37"/>
    </row>
    <row r="60" spans="2:16" x14ac:dyDescent="0.25">
      <c r="B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" s="46"/>
      <c r="D60" s="37"/>
      <c r="E60" s="37"/>
      <c r="F60" s="37"/>
      <c r="G60" s="40" t="str">
        <f>IF(tblMovimientos[[#This Row],[Producto]]="","",TRIM(LEFT(tblMovimientos[[#This Row],[Producto]],FIND(" · ",tblMovimientos[[#This Row],[Producto]]&amp;" · ")-1)))</f>
        <v/>
      </c>
      <c r="H60" s="40" t="str">
        <f>IF(tblMovimientos[[#This Row],[SKU]]="","",IFERROR(INDEX(tblProductos[Unidad],MATCH(tblMovimientos[[#This Row],[SKU]],tblProductos[SKU],0)),"?"))</f>
        <v/>
      </c>
      <c r="I60" s="39"/>
      <c r="J60" s="47" t="str">
        <f>IF(tblMovimientos[[#This Row],[Tipo]]="","",IFERROR(INDEX(tblTiposMov[FactorStock],MATCH(tblMovimientos[[#This Row],[Tipo]],tblTiposMov[Tipo],0)),0))</f>
        <v/>
      </c>
      <c r="K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" s="37"/>
      <c r="O60" s="37"/>
      <c r="P60" s="37"/>
    </row>
    <row r="61" spans="2:16" x14ac:dyDescent="0.25">
      <c r="B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" s="46"/>
      <c r="D61" s="37"/>
      <c r="E61" s="37"/>
      <c r="F61" s="37"/>
      <c r="G61" s="40" t="str">
        <f>IF(tblMovimientos[[#This Row],[Producto]]="","",TRIM(LEFT(tblMovimientos[[#This Row],[Producto]],FIND(" · ",tblMovimientos[[#This Row],[Producto]]&amp;" · ")-1)))</f>
        <v/>
      </c>
      <c r="H61" s="40" t="str">
        <f>IF(tblMovimientos[[#This Row],[SKU]]="","",IFERROR(INDEX(tblProductos[Unidad],MATCH(tblMovimientos[[#This Row],[SKU]],tblProductos[SKU],0)),"?"))</f>
        <v/>
      </c>
      <c r="I61" s="39"/>
      <c r="J61" s="47" t="str">
        <f>IF(tblMovimientos[[#This Row],[Tipo]]="","",IFERROR(INDEX(tblTiposMov[FactorStock],MATCH(tblMovimientos[[#This Row],[Tipo]],tblTiposMov[Tipo],0)),0))</f>
        <v/>
      </c>
      <c r="K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" s="37"/>
      <c r="O61" s="37"/>
      <c r="P61" s="37"/>
    </row>
    <row r="62" spans="2:16" x14ac:dyDescent="0.25">
      <c r="B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" s="46"/>
      <c r="D62" s="37"/>
      <c r="E62" s="37"/>
      <c r="F62" s="37"/>
      <c r="G62" s="40" t="str">
        <f>IF(tblMovimientos[[#This Row],[Producto]]="","",TRIM(LEFT(tblMovimientos[[#This Row],[Producto]],FIND(" · ",tblMovimientos[[#This Row],[Producto]]&amp;" · ")-1)))</f>
        <v/>
      </c>
      <c r="H62" s="40" t="str">
        <f>IF(tblMovimientos[[#This Row],[SKU]]="","",IFERROR(INDEX(tblProductos[Unidad],MATCH(tblMovimientos[[#This Row],[SKU]],tblProductos[SKU],0)),"?"))</f>
        <v/>
      </c>
      <c r="I62" s="39"/>
      <c r="J62" s="47" t="str">
        <f>IF(tblMovimientos[[#This Row],[Tipo]]="","",IFERROR(INDEX(tblTiposMov[FactorStock],MATCH(tblMovimientos[[#This Row],[Tipo]],tblTiposMov[Tipo],0)),0))</f>
        <v/>
      </c>
      <c r="K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" s="37"/>
      <c r="O62" s="37"/>
      <c r="P62" s="37"/>
    </row>
    <row r="63" spans="2:16" x14ac:dyDescent="0.25">
      <c r="B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" s="46"/>
      <c r="D63" s="37"/>
      <c r="E63" s="37"/>
      <c r="F63" s="37"/>
      <c r="G63" s="40" t="str">
        <f>IF(tblMovimientos[[#This Row],[Producto]]="","",TRIM(LEFT(tblMovimientos[[#This Row],[Producto]],FIND(" · ",tblMovimientos[[#This Row],[Producto]]&amp;" · ")-1)))</f>
        <v/>
      </c>
      <c r="H63" s="40" t="str">
        <f>IF(tblMovimientos[[#This Row],[SKU]]="","",IFERROR(INDEX(tblProductos[Unidad],MATCH(tblMovimientos[[#This Row],[SKU]],tblProductos[SKU],0)),"?"))</f>
        <v/>
      </c>
      <c r="I63" s="39"/>
      <c r="J63" s="47" t="str">
        <f>IF(tblMovimientos[[#This Row],[Tipo]]="","",IFERROR(INDEX(tblTiposMov[FactorStock],MATCH(tblMovimientos[[#This Row],[Tipo]],tblTiposMov[Tipo],0)),0))</f>
        <v/>
      </c>
      <c r="K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" s="37"/>
      <c r="O63" s="37"/>
      <c r="P63" s="37"/>
    </row>
    <row r="64" spans="2:16" x14ac:dyDescent="0.25">
      <c r="B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" s="46"/>
      <c r="D64" s="37"/>
      <c r="E64" s="37"/>
      <c r="F64" s="37"/>
      <c r="G64" s="40" t="str">
        <f>IF(tblMovimientos[[#This Row],[Producto]]="","",TRIM(LEFT(tblMovimientos[[#This Row],[Producto]],FIND(" · ",tblMovimientos[[#This Row],[Producto]]&amp;" · ")-1)))</f>
        <v/>
      </c>
      <c r="H64" s="40" t="str">
        <f>IF(tblMovimientos[[#This Row],[SKU]]="","",IFERROR(INDEX(tblProductos[Unidad],MATCH(tblMovimientos[[#This Row],[SKU]],tblProductos[SKU],0)),"?"))</f>
        <v/>
      </c>
      <c r="I64" s="39"/>
      <c r="J64" s="47" t="str">
        <f>IF(tblMovimientos[[#This Row],[Tipo]]="","",IFERROR(INDEX(tblTiposMov[FactorStock],MATCH(tblMovimientos[[#This Row],[Tipo]],tblTiposMov[Tipo],0)),0))</f>
        <v/>
      </c>
      <c r="K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" s="37"/>
      <c r="O64" s="37"/>
      <c r="P64" s="37"/>
    </row>
    <row r="65" spans="2:16" x14ac:dyDescent="0.25">
      <c r="B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" s="46"/>
      <c r="D65" s="37"/>
      <c r="E65" s="37"/>
      <c r="F65" s="37"/>
      <c r="G65" s="40" t="str">
        <f>IF(tblMovimientos[[#This Row],[Producto]]="","",TRIM(LEFT(tblMovimientos[[#This Row],[Producto]],FIND(" · ",tblMovimientos[[#This Row],[Producto]]&amp;" · ")-1)))</f>
        <v/>
      </c>
      <c r="H65" s="40" t="str">
        <f>IF(tblMovimientos[[#This Row],[SKU]]="","",IFERROR(INDEX(tblProductos[Unidad],MATCH(tblMovimientos[[#This Row],[SKU]],tblProductos[SKU],0)),"?"))</f>
        <v/>
      </c>
      <c r="I65" s="39"/>
      <c r="J65" s="47" t="str">
        <f>IF(tblMovimientos[[#This Row],[Tipo]]="","",IFERROR(INDEX(tblTiposMov[FactorStock],MATCH(tblMovimientos[[#This Row],[Tipo]],tblTiposMov[Tipo],0)),0))</f>
        <v/>
      </c>
      <c r="K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" s="37"/>
      <c r="O65" s="37"/>
      <c r="P65" s="37"/>
    </row>
    <row r="66" spans="2:16" x14ac:dyDescent="0.25">
      <c r="B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" s="46"/>
      <c r="D66" s="37"/>
      <c r="E66" s="37"/>
      <c r="F66" s="37"/>
      <c r="G66" s="40" t="str">
        <f>IF(tblMovimientos[[#This Row],[Producto]]="","",TRIM(LEFT(tblMovimientos[[#This Row],[Producto]],FIND(" · ",tblMovimientos[[#This Row],[Producto]]&amp;" · ")-1)))</f>
        <v/>
      </c>
      <c r="H66" s="40" t="str">
        <f>IF(tblMovimientos[[#This Row],[SKU]]="","",IFERROR(INDEX(tblProductos[Unidad],MATCH(tblMovimientos[[#This Row],[SKU]],tblProductos[SKU],0)),"?"))</f>
        <v/>
      </c>
      <c r="I66" s="39"/>
      <c r="J66" s="47" t="str">
        <f>IF(tblMovimientos[[#This Row],[Tipo]]="","",IFERROR(INDEX(tblTiposMov[FactorStock],MATCH(tblMovimientos[[#This Row],[Tipo]],tblTiposMov[Tipo],0)),0))</f>
        <v/>
      </c>
      <c r="K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" s="37"/>
      <c r="O66" s="37"/>
      <c r="P66" s="37"/>
    </row>
    <row r="67" spans="2:16" x14ac:dyDescent="0.25">
      <c r="B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" s="46"/>
      <c r="D67" s="37"/>
      <c r="E67" s="37"/>
      <c r="F67" s="37"/>
      <c r="G67" s="40" t="str">
        <f>IF(tblMovimientos[[#This Row],[Producto]]="","",TRIM(LEFT(tblMovimientos[[#This Row],[Producto]],FIND(" · ",tblMovimientos[[#This Row],[Producto]]&amp;" · ")-1)))</f>
        <v/>
      </c>
      <c r="H67" s="40" t="str">
        <f>IF(tblMovimientos[[#This Row],[SKU]]="","",IFERROR(INDEX(tblProductos[Unidad],MATCH(tblMovimientos[[#This Row],[SKU]],tblProductos[SKU],0)),"?"))</f>
        <v/>
      </c>
      <c r="I67" s="39"/>
      <c r="J67" s="47" t="str">
        <f>IF(tblMovimientos[[#This Row],[Tipo]]="","",IFERROR(INDEX(tblTiposMov[FactorStock],MATCH(tblMovimientos[[#This Row],[Tipo]],tblTiposMov[Tipo],0)),0))</f>
        <v/>
      </c>
      <c r="K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" s="37"/>
      <c r="O67" s="37"/>
      <c r="P67" s="37"/>
    </row>
    <row r="68" spans="2:16" x14ac:dyDescent="0.25">
      <c r="B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" s="46"/>
      <c r="D68" s="37"/>
      <c r="E68" s="37"/>
      <c r="F68" s="37"/>
      <c r="G68" s="40" t="str">
        <f>IF(tblMovimientos[[#This Row],[Producto]]="","",TRIM(LEFT(tblMovimientos[[#This Row],[Producto]],FIND(" · ",tblMovimientos[[#This Row],[Producto]]&amp;" · ")-1)))</f>
        <v/>
      </c>
      <c r="H68" s="40" t="str">
        <f>IF(tblMovimientos[[#This Row],[SKU]]="","",IFERROR(INDEX(tblProductos[Unidad],MATCH(tblMovimientos[[#This Row],[SKU]],tblProductos[SKU],0)),"?"))</f>
        <v/>
      </c>
      <c r="I68" s="39"/>
      <c r="J68" s="47" t="str">
        <f>IF(tblMovimientos[[#This Row],[Tipo]]="","",IFERROR(INDEX(tblTiposMov[FactorStock],MATCH(tblMovimientos[[#This Row],[Tipo]],tblTiposMov[Tipo],0)),0))</f>
        <v/>
      </c>
      <c r="K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" s="37"/>
      <c r="O68" s="37"/>
      <c r="P68" s="37"/>
    </row>
    <row r="69" spans="2:16" x14ac:dyDescent="0.25">
      <c r="B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" s="46"/>
      <c r="D69" s="37"/>
      <c r="E69" s="37"/>
      <c r="F69" s="37"/>
      <c r="G69" s="40" t="str">
        <f>IF(tblMovimientos[[#This Row],[Producto]]="","",TRIM(LEFT(tblMovimientos[[#This Row],[Producto]],FIND(" · ",tblMovimientos[[#This Row],[Producto]]&amp;" · ")-1)))</f>
        <v/>
      </c>
      <c r="H69" s="40" t="str">
        <f>IF(tblMovimientos[[#This Row],[SKU]]="","",IFERROR(INDEX(tblProductos[Unidad],MATCH(tblMovimientos[[#This Row],[SKU]],tblProductos[SKU],0)),"?"))</f>
        <v/>
      </c>
      <c r="I69" s="39"/>
      <c r="J69" s="47" t="str">
        <f>IF(tblMovimientos[[#This Row],[Tipo]]="","",IFERROR(INDEX(tblTiposMov[FactorStock],MATCH(tblMovimientos[[#This Row],[Tipo]],tblTiposMov[Tipo],0)),0))</f>
        <v/>
      </c>
      <c r="K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" s="37"/>
      <c r="O69" s="37"/>
      <c r="P69" s="37"/>
    </row>
    <row r="70" spans="2:16" x14ac:dyDescent="0.25">
      <c r="B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" s="46"/>
      <c r="D70" s="37"/>
      <c r="E70" s="37"/>
      <c r="F70" s="37"/>
      <c r="G70" s="40" t="str">
        <f>IF(tblMovimientos[[#This Row],[Producto]]="","",TRIM(LEFT(tblMovimientos[[#This Row],[Producto]],FIND(" · ",tblMovimientos[[#This Row],[Producto]]&amp;" · ")-1)))</f>
        <v/>
      </c>
      <c r="H70" s="40" t="str">
        <f>IF(tblMovimientos[[#This Row],[SKU]]="","",IFERROR(INDEX(tblProductos[Unidad],MATCH(tblMovimientos[[#This Row],[SKU]],tblProductos[SKU],0)),"?"))</f>
        <v/>
      </c>
      <c r="I70" s="39"/>
      <c r="J70" s="47" t="str">
        <f>IF(tblMovimientos[[#This Row],[Tipo]]="","",IFERROR(INDEX(tblTiposMov[FactorStock],MATCH(tblMovimientos[[#This Row],[Tipo]],tblTiposMov[Tipo],0)),0))</f>
        <v/>
      </c>
      <c r="K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" s="37"/>
      <c r="O70" s="37"/>
      <c r="P70" s="37"/>
    </row>
    <row r="71" spans="2:16" x14ac:dyDescent="0.25">
      <c r="B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" s="46"/>
      <c r="D71" s="37"/>
      <c r="E71" s="37"/>
      <c r="F71" s="37"/>
      <c r="G71" s="40" t="str">
        <f>IF(tblMovimientos[[#This Row],[Producto]]="","",TRIM(LEFT(tblMovimientos[[#This Row],[Producto]],FIND(" · ",tblMovimientos[[#This Row],[Producto]]&amp;" · ")-1)))</f>
        <v/>
      </c>
      <c r="H71" s="40" t="str">
        <f>IF(tblMovimientos[[#This Row],[SKU]]="","",IFERROR(INDEX(tblProductos[Unidad],MATCH(tblMovimientos[[#This Row],[SKU]],tblProductos[SKU],0)),"?"))</f>
        <v/>
      </c>
      <c r="I71" s="39"/>
      <c r="J71" s="47" t="str">
        <f>IF(tblMovimientos[[#This Row],[Tipo]]="","",IFERROR(INDEX(tblTiposMov[FactorStock],MATCH(tblMovimientos[[#This Row],[Tipo]],tblTiposMov[Tipo],0)),0))</f>
        <v/>
      </c>
      <c r="K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" s="37"/>
      <c r="O71" s="37"/>
      <c r="P71" s="37"/>
    </row>
    <row r="72" spans="2:16" x14ac:dyDescent="0.25">
      <c r="B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" s="46"/>
      <c r="D72" s="37"/>
      <c r="E72" s="37"/>
      <c r="F72" s="37"/>
      <c r="G72" s="40" t="str">
        <f>IF(tblMovimientos[[#This Row],[Producto]]="","",TRIM(LEFT(tblMovimientos[[#This Row],[Producto]],FIND(" · ",tblMovimientos[[#This Row],[Producto]]&amp;" · ")-1)))</f>
        <v/>
      </c>
      <c r="H72" s="40" t="str">
        <f>IF(tblMovimientos[[#This Row],[SKU]]="","",IFERROR(INDEX(tblProductos[Unidad],MATCH(tblMovimientos[[#This Row],[SKU]],tblProductos[SKU],0)),"?"))</f>
        <v/>
      </c>
      <c r="I72" s="39"/>
      <c r="J72" s="47" t="str">
        <f>IF(tblMovimientos[[#This Row],[Tipo]]="","",IFERROR(INDEX(tblTiposMov[FactorStock],MATCH(tblMovimientos[[#This Row],[Tipo]],tblTiposMov[Tipo],0)),0))</f>
        <v/>
      </c>
      <c r="K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" s="37"/>
      <c r="O72" s="37"/>
      <c r="P72" s="37"/>
    </row>
    <row r="73" spans="2:16" x14ac:dyDescent="0.25">
      <c r="B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" s="46"/>
      <c r="D73" s="37"/>
      <c r="E73" s="37"/>
      <c r="F73" s="37"/>
      <c r="G73" s="40" t="str">
        <f>IF(tblMovimientos[[#This Row],[Producto]]="","",TRIM(LEFT(tblMovimientos[[#This Row],[Producto]],FIND(" · ",tblMovimientos[[#This Row],[Producto]]&amp;" · ")-1)))</f>
        <v/>
      </c>
      <c r="H73" s="40" t="str">
        <f>IF(tblMovimientos[[#This Row],[SKU]]="","",IFERROR(INDEX(tblProductos[Unidad],MATCH(tblMovimientos[[#This Row],[SKU]],tblProductos[SKU],0)),"?"))</f>
        <v/>
      </c>
      <c r="I73" s="39"/>
      <c r="J73" s="47" t="str">
        <f>IF(tblMovimientos[[#This Row],[Tipo]]="","",IFERROR(INDEX(tblTiposMov[FactorStock],MATCH(tblMovimientos[[#This Row],[Tipo]],tblTiposMov[Tipo],0)),0))</f>
        <v/>
      </c>
      <c r="K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" s="37"/>
      <c r="O73" s="37"/>
      <c r="P73" s="37"/>
    </row>
    <row r="74" spans="2:16" x14ac:dyDescent="0.25">
      <c r="B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" s="46"/>
      <c r="D74" s="37"/>
      <c r="E74" s="37"/>
      <c r="F74" s="37"/>
      <c r="G74" s="40" t="str">
        <f>IF(tblMovimientos[[#This Row],[Producto]]="","",TRIM(LEFT(tblMovimientos[[#This Row],[Producto]],FIND(" · ",tblMovimientos[[#This Row],[Producto]]&amp;" · ")-1)))</f>
        <v/>
      </c>
      <c r="H74" s="40" t="str">
        <f>IF(tblMovimientos[[#This Row],[SKU]]="","",IFERROR(INDEX(tblProductos[Unidad],MATCH(tblMovimientos[[#This Row],[SKU]],tblProductos[SKU],0)),"?"))</f>
        <v/>
      </c>
      <c r="I74" s="39"/>
      <c r="J74" s="47" t="str">
        <f>IF(tblMovimientos[[#This Row],[Tipo]]="","",IFERROR(INDEX(tblTiposMov[FactorStock],MATCH(tblMovimientos[[#This Row],[Tipo]],tblTiposMov[Tipo],0)),0))</f>
        <v/>
      </c>
      <c r="K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" s="37"/>
      <c r="O74" s="37"/>
      <c r="P74" s="37"/>
    </row>
    <row r="75" spans="2:16" x14ac:dyDescent="0.25">
      <c r="B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" s="46"/>
      <c r="D75" s="37"/>
      <c r="E75" s="37"/>
      <c r="F75" s="37"/>
      <c r="G75" s="40" t="str">
        <f>IF(tblMovimientos[[#This Row],[Producto]]="","",TRIM(LEFT(tblMovimientos[[#This Row],[Producto]],FIND(" · ",tblMovimientos[[#This Row],[Producto]]&amp;" · ")-1)))</f>
        <v/>
      </c>
      <c r="H75" s="40" t="str">
        <f>IF(tblMovimientos[[#This Row],[SKU]]="","",IFERROR(INDEX(tblProductos[Unidad],MATCH(tblMovimientos[[#This Row],[SKU]],tblProductos[SKU],0)),"?"))</f>
        <v/>
      </c>
      <c r="I75" s="39"/>
      <c r="J75" s="47" t="str">
        <f>IF(tblMovimientos[[#This Row],[Tipo]]="","",IFERROR(INDEX(tblTiposMov[FactorStock],MATCH(tblMovimientos[[#This Row],[Tipo]],tblTiposMov[Tipo],0)),0))</f>
        <v/>
      </c>
      <c r="K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" s="37"/>
      <c r="O75" s="37"/>
      <c r="P75" s="37"/>
    </row>
    <row r="76" spans="2:16" x14ac:dyDescent="0.25">
      <c r="B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" s="46"/>
      <c r="D76" s="37"/>
      <c r="E76" s="37"/>
      <c r="F76" s="37"/>
      <c r="G76" s="40" t="str">
        <f>IF(tblMovimientos[[#This Row],[Producto]]="","",TRIM(LEFT(tblMovimientos[[#This Row],[Producto]],FIND(" · ",tblMovimientos[[#This Row],[Producto]]&amp;" · ")-1)))</f>
        <v/>
      </c>
      <c r="H76" s="40" t="str">
        <f>IF(tblMovimientos[[#This Row],[SKU]]="","",IFERROR(INDEX(tblProductos[Unidad],MATCH(tblMovimientos[[#This Row],[SKU]],tblProductos[SKU],0)),"?"))</f>
        <v/>
      </c>
      <c r="I76" s="39"/>
      <c r="J76" s="47" t="str">
        <f>IF(tblMovimientos[[#This Row],[Tipo]]="","",IFERROR(INDEX(tblTiposMov[FactorStock],MATCH(tblMovimientos[[#This Row],[Tipo]],tblTiposMov[Tipo],0)),0))</f>
        <v/>
      </c>
      <c r="K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" s="37"/>
      <c r="O76" s="37"/>
      <c r="P76" s="37"/>
    </row>
    <row r="77" spans="2:16" x14ac:dyDescent="0.25">
      <c r="B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" s="46"/>
      <c r="D77" s="37"/>
      <c r="E77" s="37"/>
      <c r="F77" s="37"/>
      <c r="G77" s="40" t="str">
        <f>IF(tblMovimientos[[#This Row],[Producto]]="","",TRIM(LEFT(tblMovimientos[[#This Row],[Producto]],FIND(" · ",tblMovimientos[[#This Row],[Producto]]&amp;" · ")-1)))</f>
        <v/>
      </c>
      <c r="H77" s="40" t="str">
        <f>IF(tblMovimientos[[#This Row],[SKU]]="","",IFERROR(INDEX(tblProductos[Unidad],MATCH(tblMovimientos[[#This Row],[SKU]],tblProductos[SKU],0)),"?"))</f>
        <v/>
      </c>
      <c r="I77" s="39"/>
      <c r="J77" s="47" t="str">
        <f>IF(tblMovimientos[[#This Row],[Tipo]]="","",IFERROR(INDEX(tblTiposMov[FactorStock],MATCH(tblMovimientos[[#This Row],[Tipo]],tblTiposMov[Tipo],0)),0))</f>
        <v/>
      </c>
      <c r="K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" s="37"/>
      <c r="O77" s="37"/>
      <c r="P77" s="37"/>
    </row>
    <row r="78" spans="2:16" x14ac:dyDescent="0.25">
      <c r="B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" s="46"/>
      <c r="D78" s="37"/>
      <c r="E78" s="37"/>
      <c r="F78" s="37"/>
      <c r="G78" s="40" t="str">
        <f>IF(tblMovimientos[[#This Row],[Producto]]="","",TRIM(LEFT(tblMovimientos[[#This Row],[Producto]],FIND(" · ",tblMovimientos[[#This Row],[Producto]]&amp;" · ")-1)))</f>
        <v/>
      </c>
      <c r="H78" s="40" t="str">
        <f>IF(tblMovimientos[[#This Row],[SKU]]="","",IFERROR(INDEX(tblProductos[Unidad],MATCH(tblMovimientos[[#This Row],[SKU]],tblProductos[SKU],0)),"?"))</f>
        <v/>
      </c>
      <c r="I78" s="39"/>
      <c r="J78" s="47" t="str">
        <f>IF(tblMovimientos[[#This Row],[Tipo]]="","",IFERROR(INDEX(tblTiposMov[FactorStock],MATCH(tblMovimientos[[#This Row],[Tipo]],tblTiposMov[Tipo],0)),0))</f>
        <v/>
      </c>
      <c r="K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" s="37"/>
      <c r="O78" s="37"/>
      <c r="P78" s="37"/>
    </row>
    <row r="79" spans="2:16" x14ac:dyDescent="0.25">
      <c r="B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" s="46"/>
      <c r="D79" s="37"/>
      <c r="E79" s="37"/>
      <c r="F79" s="37"/>
      <c r="G79" s="40" t="str">
        <f>IF(tblMovimientos[[#This Row],[Producto]]="","",TRIM(LEFT(tblMovimientos[[#This Row],[Producto]],FIND(" · ",tblMovimientos[[#This Row],[Producto]]&amp;" · ")-1)))</f>
        <v/>
      </c>
      <c r="H79" s="40" t="str">
        <f>IF(tblMovimientos[[#This Row],[SKU]]="","",IFERROR(INDEX(tblProductos[Unidad],MATCH(tblMovimientos[[#This Row],[SKU]],tblProductos[SKU],0)),"?"))</f>
        <v/>
      </c>
      <c r="I79" s="39"/>
      <c r="J79" s="47" t="str">
        <f>IF(tblMovimientos[[#This Row],[Tipo]]="","",IFERROR(INDEX(tblTiposMov[FactorStock],MATCH(tblMovimientos[[#This Row],[Tipo]],tblTiposMov[Tipo],0)),0))</f>
        <v/>
      </c>
      <c r="K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" s="37"/>
      <c r="O79" s="37"/>
      <c r="P79" s="37"/>
    </row>
    <row r="80" spans="2:16" x14ac:dyDescent="0.25">
      <c r="B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" s="46"/>
      <c r="D80" s="37"/>
      <c r="E80" s="37"/>
      <c r="F80" s="37"/>
      <c r="G80" s="40" t="str">
        <f>IF(tblMovimientos[[#This Row],[Producto]]="","",TRIM(LEFT(tblMovimientos[[#This Row],[Producto]],FIND(" · ",tblMovimientos[[#This Row],[Producto]]&amp;" · ")-1)))</f>
        <v/>
      </c>
      <c r="H80" s="40" t="str">
        <f>IF(tblMovimientos[[#This Row],[SKU]]="","",IFERROR(INDEX(tblProductos[Unidad],MATCH(tblMovimientos[[#This Row],[SKU]],tblProductos[SKU],0)),"?"))</f>
        <v/>
      </c>
      <c r="I80" s="39"/>
      <c r="J80" s="47" t="str">
        <f>IF(tblMovimientos[[#This Row],[Tipo]]="","",IFERROR(INDEX(tblTiposMov[FactorStock],MATCH(tblMovimientos[[#This Row],[Tipo]],tblTiposMov[Tipo],0)),0))</f>
        <v/>
      </c>
      <c r="K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" s="37"/>
      <c r="O80" s="37"/>
      <c r="P80" s="37"/>
    </row>
    <row r="81" spans="2:16" x14ac:dyDescent="0.25">
      <c r="B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" s="46"/>
      <c r="D81" s="37"/>
      <c r="E81" s="37"/>
      <c r="F81" s="37"/>
      <c r="G81" s="40" t="str">
        <f>IF(tblMovimientos[[#This Row],[Producto]]="","",TRIM(LEFT(tblMovimientos[[#This Row],[Producto]],FIND(" · ",tblMovimientos[[#This Row],[Producto]]&amp;" · ")-1)))</f>
        <v/>
      </c>
      <c r="H81" s="40" t="str">
        <f>IF(tblMovimientos[[#This Row],[SKU]]="","",IFERROR(INDEX(tblProductos[Unidad],MATCH(tblMovimientos[[#This Row],[SKU]],tblProductos[SKU],0)),"?"))</f>
        <v/>
      </c>
      <c r="I81" s="39"/>
      <c r="J81" s="47" t="str">
        <f>IF(tblMovimientos[[#This Row],[Tipo]]="","",IFERROR(INDEX(tblTiposMov[FactorStock],MATCH(tblMovimientos[[#This Row],[Tipo]],tblTiposMov[Tipo],0)),0))</f>
        <v/>
      </c>
      <c r="K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" s="37"/>
      <c r="O81" s="37"/>
      <c r="P81" s="37"/>
    </row>
    <row r="82" spans="2:16" x14ac:dyDescent="0.25">
      <c r="B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" s="46"/>
      <c r="D82" s="37"/>
      <c r="E82" s="37"/>
      <c r="F82" s="37"/>
      <c r="G82" s="40" t="str">
        <f>IF(tblMovimientos[[#This Row],[Producto]]="","",TRIM(LEFT(tblMovimientos[[#This Row],[Producto]],FIND(" · ",tblMovimientos[[#This Row],[Producto]]&amp;" · ")-1)))</f>
        <v/>
      </c>
      <c r="H82" s="40" t="str">
        <f>IF(tblMovimientos[[#This Row],[SKU]]="","",IFERROR(INDEX(tblProductos[Unidad],MATCH(tblMovimientos[[#This Row],[SKU]],tblProductos[SKU],0)),"?"))</f>
        <v/>
      </c>
      <c r="I82" s="39"/>
      <c r="J82" s="47" t="str">
        <f>IF(tblMovimientos[[#This Row],[Tipo]]="","",IFERROR(INDEX(tblTiposMov[FactorStock],MATCH(tblMovimientos[[#This Row],[Tipo]],tblTiposMov[Tipo],0)),0))</f>
        <v/>
      </c>
      <c r="K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" s="37"/>
      <c r="O82" s="37"/>
      <c r="P82" s="37"/>
    </row>
    <row r="83" spans="2:16" x14ac:dyDescent="0.25">
      <c r="B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" s="46"/>
      <c r="D83" s="37"/>
      <c r="E83" s="37"/>
      <c r="F83" s="37"/>
      <c r="G83" s="40" t="str">
        <f>IF(tblMovimientos[[#This Row],[Producto]]="","",TRIM(LEFT(tblMovimientos[[#This Row],[Producto]],FIND(" · ",tblMovimientos[[#This Row],[Producto]]&amp;" · ")-1)))</f>
        <v/>
      </c>
      <c r="H83" s="40" t="str">
        <f>IF(tblMovimientos[[#This Row],[SKU]]="","",IFERROR(INDEX(tblProductos[Unidad],MATCH(tblMovimientos[[#This Row],[SKU]],tblProductos[SKU],0)),"?"))</f>
        <v/>
      </c>
      <c r="I83" s="39"/>
      <c r="J83" s="47" t="str">
        <f>IF(tblMovimientos[[#This Row],[Tipo]]="","",IFERROR(INDEX(tblTiposMov[FactorStock],MATCH(tblMovimientos[[#This Row],[Tipo]],tblTiposMov[Tipo],0)),0))</f>
        <v/>
      </c>
      <c r="K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" s="37"/>
      <c r="O83" s="37"/>
      <c r="P83" s="37"/>
    </row>
    <row r="84" spans="2:16" x14ac:dyDescent="0.25">
      <c r="B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" s="46"/>
      <c r="D84" s="37"/>
      <c r="E84" s="37"/>
      <c r="F84" s="37"/>
      <c r="G84" s="40" t="str">
        <f>IF(tblMovimientos[[#This Row],[Producto]]="","",TRIM(LEFT(tblMovimientos[[#This Row],[Producto]],FIND(" · ",tblMovimientos[[#This Row],[Producto]]&amp;" · ")-1)))</f>
        <v/>
      </c>
      <c r="H84" s="40" t="str">
        <f>IF(tblMovimientos[[#This Row],[SKU]]="","",IFERROR(INDEX(tblProductos[Unidad],MATCH(tblMovimientos[[#This Row],[SKU]],tblProductos[SKU],0)),"?"))</f>
        <v/>
      </c>
      <c r="I84" s="39"/>
      <c r="J84" s="47" t="str">
        <f>IF(tblMovimientos[[#This Row],[Tipo]]="","",IFERROR(INDEX(tblTiposMov[FactorStock],MATCH(tblMovimientos[[#This Row],[Tipo]],tblTiposMov[Tipo],0)),0))</f>
        <v/>
      </c>
      <c r="K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" s="37"/>
      <c r="O84" s="37"/>
      <c r="P84" s="37"/>
    </row>
    <row r="85" spans="2:16" x14ac:dyDescent="0.25">
      <c r="B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" s="46"/>
      <c r="D85" s="37"/>
      <c r="E85" s="37"/>
      <c r="F85" s="37"/>
      <c r="G85" s="40" t="str">
        <f>IF(tblMovimientos[[#This Row],[Producto]]="","",TRIM(LEFT(tblMovimientos[[#This Row],[Producto]],FIND(" · ",tblMovimientos[[#This Row],[Producto]]&amp;" · ")-1)))</f>
        <v/>
      </c>
      <c r="H85" s="40" t="str">
        <f>IF(tblMovimientos[[#This Row],[SKU]]="","",IFERROR(INDEX(tblProductos[Unidad],MATCH(tblMovimientos[[#This Row],[SKU]],tblProductos[SKU],0)),"?"))</f>
        <v/>
      </c>
      <c r="I85" s="39"/>
      <c r="J85" s="47" t="str">
        <f>IF(tblMovimientos[[#This Row],[Tipo]]="","",IFERROR(INDEX(tblTiposMov[FactorStock],MATCH(tblMovimientos[[#This Row],[Tipo]],tblTiposMov[Tipo],0)),0))</f>
        <v/>
      </c>
      <c r="K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" s="37"/>
      <c r="O85" s="37"/>
      <c r="P85" s="37"/>
    </row>
    <row r="86" spans="2:16" x14ac:dyDescent="0.25">
      <c r="B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" s="46"/>
      <c r="D86" s="37"/>
      <c r="E86" s="37"/>
      <c r="F86" s="37"/>
      <c r="G86" s="40" t="str">
        <f>IF(tblMovimientos[[#This Row],[Producto]]="","",TRIM(LEFT(tblMovimientos[[#This Row],[Producto]],FIND(" · ",tblMovimientos[[#This Row],[Producto]]&amp;" · ")-1)))</f>
        <v/>
      </c>
      <c r="H86" s="40" t="str">
        <f>IF(tblMovimientos[[#This Row],[SKU]]="","",IFERROR(INDEX(tblProductos[Unidad],MATCH(tblMovimientos[[#This Row],[SKU]],tblProductos[SKU],0)),"?"))</f>
        <v/>
      </c>
      <c r="I86" s="39"/>
      <c r="J86" s="47" t="str">
        <f>IF(tblMovimientos[[#This Row],[Tipo]]="","",IFERROR(INDEX(tblTiposMov[FactorStock],MATCH(tblMovimientos[[#This Row],[Tipo]],tblTiposMov[Tipo],0)),0))</f>
        <v/>
      </c>
      <c r="K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" s="37"/>
      <c r="O86" s="37"/>
      <c r="P86" s="37"/>
    </row>
    <row r="87" spans="2:16" x14ac:dyDescent="0.25">
      <c r="B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" s="46"/>
      <c r="D87" s="37"/>
      <c r="E87" s="37"/>
      <c r="F87" s="37"/>
      <c r="G87" s="40" t="str">
        <f>IF(tblMovimientos[[#This Row],[Producto]]="","",TRIM(LEFT(tblMovimientos[[#This Row],[Producto]],FIND(" · ",tblMovimientos[[#This Row],[Producto]]&amp;" · ")-1)))</f>
        <v/>
      </c>
      <c r="H87" s="40" t="str">
        <f>IF(tblMovimientos[[#This Row],[SKU]]="","",IFERROR(INDEX(tblProductos[Unidad],MATCH(tblMovimientos[[#This Row],[SKU]],tblProductos[SKU],0)),"?"))</f>
        <v/>
      </c>
      <c r="I87" s="39"/>
      <c r="J87" s="47" t="str">
        <f>IF(tblMovimientos[[#This Row],[Tipo]]="","",IFERROR(INDEX(tblTiposMov[FactorStock],MATCH(tblMovimientos[[#This Row],[Tipo]],tblTiposMov[Tipo],0)),0))</f>
        <v/>
      </c>
      <c r="K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" s="37"/>
      <c r="O87" s="37"/>
      <c r="P87" s="37"/>
    </row>
    <row r="88" spans="2:16" x14ac:dyDescent="0.25">
      <c r="B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" s="46"/>
      <c r="D88" s="37"/>
      <c r="E88" s="37"/>
      <c r="F88" s="37"/>
      <c r="G88" s="40" t="str">
        <f>IF(tblMovimientos[[#This Row],[Producto]]="","",TRIM(LEFT(tblMovimientos[[#This Row],[Producto]],FIND(" · ",tblMovimientos[[#This Row],[Producto]]&amp;" · ")-1)))</f>
        <v/>
      </c>
      <c r="H88" s="40" t="str">
        <f>IF(tblMovimientos[[#This Row],[SKU]]="","",IFERROR(INDEX(tblProductos[Unidad],MATCH(tblMovimientos[[#This Row],[SKU]],tblProductos[SKU],0)),"?"))</f>
        <v/>
      </c>
      <c r="I88" s="39"/>
      <c r="J88" s="47" t="str">
        <f>IF(tblMovimientos[[#This Row],[Tipo]]="","",IFERROR(INDEX(tblTiposMov[FactorStock],MATCH(tblMovimientos[[#This Row],[Tipo]],tblTiposMov[Tipo],0)),0))</f>
        <v/>
      </c>
      <c r="K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" s="37"/>
      <c r="O88" s="37"/>
      <c r="P88" s="37"/>
    </row>
    <row r="89" spans="2:16" x14ac:dyDescent="0.25">
      <c r="B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" s="46"/>
      <c r="D89" s="37"/>
      <c r="E89" s="37"/>
      <c r="F89" s="37"/>
      <c r="G89" s="40" t="str">
        <f>IF(tblMovimientos[[#This Row],[Producto]]="","",TRIM(LEFT(tblMovimientos[[#This Row],[Producto]],FIND(" · ",tblMovimientos[[#This Row],[Producto]]&amp;" · ")-1)))</f>
        <v/>
      </c>
      <c r="H89" s="40" t="str">
        <f>IF(tblMovimientos[[#This Row],[SKU]]="","",IFERROR(INDEX(tblProductos[Unidad],MATCH(tblMovimientos[[#This Row],[SKU]],tblProductos[SKU],0)),"?"))</f>
        <v/>
      </c>
      <c r="I89" s="39"/>
      <c r="J89" s="47" t="str">
        <f>IF(tblMovimientos[[#This Row],[Tipo]]="","",IFERROR(INDEX(tblTiposMov[FactorStock],MATCH(tblMovimientos[[#This Row],[Tipo]],tblTiposMov[Tipo],0)),0))</f>
        <v/>
      </c>
      <c r="K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" s="37"/>
      <c r="O89" s="37"/>
      <c r="P89" s="37"/>
    </row>
    <row r="90" spans="2:16" x14ac:dyDescent="0.25">
      <c r="B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" s="46"/>
      <c r="D90" s="37"/>
      <c r="E90" s="37"/>
      <c r="F90" s="37"/>
      <c r="G90" s="40" t="str">
        <f>IF(tblMovimientos[[#This Row],[Producto]]="","",TRIM(LEFT(tblMovimientos[[#This Row],[Producto]],FIND(" · ",tblMovimientos[[#This Row],[Producto]]&amp;" · ")-1)))</f>
        <v/>
      </c>
      <c r="H90" s="40" t="str">
        <f>IF(tblMovimientos[[#This Row],[SKU]]="","",IFERROR(INDEX(tblProductos[Unidad],MATCH(tblMovimientos[[#This Row],[SKU]],tblProductos[SKU],0)),"?"))</f>
        <v/>
      </c>
      <c r="I90" s="39"/>
      <c r="J90" s="47" t="str">
        <f>IF(tblMovimientos[[#This Row],[Tipo]]="","",IFERROR(INDEX(tblTiposMov[FactorStock],MATCH(tblMovimientos[[#This Row],[Tipo]],tblTiposMov[Tipo],0)),0))</f>
        <v/>
      </c>
      <c r="K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" s="37"/>
      <c r="O90" s="37"/>
      <c r="P90" s="37"/>
    </row>
    <row r="91" spans="2:16" x14ac:dyDescent="0.25">
      <c r="B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" s="46"/>
      <c r="D91" s="37"/>
      <c r="E91" s="37"/>
      <c r="F91" s="37"/>
      <c r="G91" s="40" t="str">
        <f>IF(tblMovimientos[[#This Row],[Producto]]="","",TRIM(LEFT(tblMovimientos[[#This Row],[Producto]],FIND(" · ",tblMovimientos[[#This Row],[Producto]]&amp;" · ")-1)))</f>
        <v/>
      </c>
      <c r="H91" s="40" t="str">
        <f>IF(tblMovimientos[[#This Row],[SKU]]="","",IFERROR(INDEX(tblProductos[Unidad],MATCH(tblMovimientos[[#This Row],[SKU]],tblProductos[SKU],0)),"?"))</f>
        <v/>
      </c>
      <c r="I91" s="39"/>
      <c r="J91" s="47" t="str">
        <f>IF(tblMovimientos[[#This Row],[Tipo]]="","",IFERROR(INDEX(tblTiposMov[FactorStock],MATCH(tblMovimientos[[#This Row],[Tipo]],tblTiposMov[Tipo],0)),0))</f>
        <v/>
      </c>
      <c r="K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" s="37"/>
      <c r="O91" s="37"/>
      <c r="P91" s="37"/>
    </row>
    <row r="92" spans="2:16" x14ac:dyDescent="0.25">
      <c r="B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" s="46"/>
      <c r="D92" s="37"/>
      <c r="E92" s="37"/>
      <c r="F92" s="37"/>
      <c r="G92" s="40" t="str">
        <f>IF(tblMovimientos[[#This Row],[Producto]]="","",TRIM(LEFT(tblMovimientos[[#This Row],[Producto]],FIND(" · ",tblMovimientos[[#This Row],[Producto]]&amp;" · ")-1)))</f>
        <v/>
      </c>
      <c r="H92" s="40" t="str">
        <f>IF(tblMovimientos[[#This Row],[SKU]]="","",IFERROR(INDEX(tblProductos[Unidad],MATCH(tblMovimientos[[#This Row],[SKU]],tblProductos[SKU],0)),"?"))</f>
        <v/>
      </c>
      <c r="I92" s="39"/>
      <c r="J92" s="47" t="str">
        <f>IF(tblMovimientos[[#This Row],[Tipo]]="","",IFERROR(INDEX(tblTiposMov[FactorStock],MATCH(tblMovimientos[[#This Row],[Tipo]],tblTiposMov[Tipo],0)),0))</f>
        <v/>
      </c>
      <c r="K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" s="37"/>
      <c r="O92" s="37"/>
      <c r="P92" s="37"/>
    </row>
    <row r="93" spans="2:16" x14ac:dyDescent="0.25">
      <c r="B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" s="46"/>
      <c r="D93" s="37"/>
      <c r="E93" s="37"/>
      <c r="F93" s="37"/>
      <c r="G93" s="40" t="str">
        <f>IF(tblMovimientos[[#This Row],[Producto]]="","",TRIM(LEFT(tblMovimientos[[#This Row],[Producto]],FIND(" · ",tblMovimientos[[#This Row],[Producto]]&amp;" · ")-1)))</f>
        <v/>
      </c>
      <c r="H93" s="40" t="str">
        <f>IF(tblMovimientos[[#This Row],[SKU]]="","",IFERROR(INDEX(tblProductos[Unidad],MATCH(tblMovimientos[[#This Row],[SKU]],tblProductos[SKU],0)),"?"))</f>
        <v/>
      </c>
      <c r="I93" s="39"/>
      <c r="J93" s="47" t="str">
        <f>IF(tblMovimientos[[#This Row],[Tipo]]="","",IFERROR(INDEX(tblTiposMov[FactorStock],MATCH(tblMovimientos[[#This Row],[Tipo]],tblTiposMov[Tipo],0)),0))</f>
        <v/>
      </c>
      <c r="K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" s="37"/>
      <c r="O93" s="37"/>
      <c r="P93" s="37"/>
    </row>
    <row r="94" spans="2:16" x14ac:dyDescent="0.25">
      <c r="B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" s="46"/>
      <c r="D94" s="37"/>
      <c r="E94" s="37"/>
      <c r="F94" s="37"/>
      <c r="G94" s="40" t="str">
        <f>IF(tblMovimientos[[#This Row],[Producto]]="","",TRIM(LEFT(tblMovimientos[[#This Row],[Producto]],FIND(" · ",tblMovimientos[[#This Row],[Producto]]&amp;" · ")-1)))</f>
        <v/>
      </c>
      <c r="H94" s="40" t="str">
        <f>IF(tblMovimientos[[#This Row],[SKU]]="","",IFERROR(INDEX(tblProductos[Unidad],MATCH(tblMovimientos[[#This Row],[SKU]],tblProductos[SKU],0)),"?"))</f>
        <v/>
      </c>
      <c r="I94" s="39"/>
      <c r="J94" s="47" t="str">
        <f>IF(tblMovimientos[[#This Row],[Tipo]]="","",IFERROR(INDEX(tblTiposMov[FactorStock],MATCH(tblMovimientos[[#This Row],[Tipo]],tblTiposMov[Tipo],0)),0))</f>
        <v/>
      </c>
      <c r="K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" s="37"/>
      <c r="O94" s="37"/>
      <c r="P94" s="37"/>
    </row>
    <row r="95" spans="2:16" x14ac:dyDescent="0.25">
      <c r="B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" s="46"/>
      <c r="D95" s="37"/>
      <c r="E95" s="37"/>
      <c r="F95" s="37"/>
      <c r="G95" s="40" t="str">
        <f>IF(tblMovimientos[[#This Row],[Producto]]="","",TRIM(LEFT(tblMovimientos[[#This Row],[Producto]],FIND(" · ",tblMovimientos[[#This Row],[Producto]]&amp;" · ")-1)))</f>
        <v/>
      </c>
      <c r="H95" s="40" t="str">
        <f>IF(tblMovimientos[[#This Row],[SKU]]="","",IFERROR(INDEX(tblProductos[Unidad],MATCH(tblMovimientos[[#This Row],[SKU]],tblProductos[SKU],0)),"?"))</f>
        <v/>
      </c>
      <c r="I95" s="39"/>
      <c r="J95" s="47" t="str">
        <f>IF(tblMovimientos[[#This Row],[Tipo]]="","",IFERROR(INDEX(tblTiposMov[FactorStock],MATCH(tblMovimientos[[#This Row],[Tipo]],tblTiposMov[Tipo],0)),0))</f>
        <v/>
      </c>
      <c r="K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" s="37"/>
      <c r="O95" s="37"/>
      <c r="P95" s="37"/>
    </row>
    <row r="96" spans="2:16" x14ac:dyDescent="0.25">
      <c r="B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" s="46"/>
      <c r="D96" s="37"/>
      <c r="E96" s="37"/>
      <c r="F96" s="37"/>
      <c r="G96" s="40" t="str">
        <f>IF(tblMovimientos[[#This Row],[Producto]]="","",TRIM(LEFT(tblMovimientos[[#This Row],[Producto]],FIND(" · ",tblMovimientos[[#This Row],[Producto]]&amp;" · ")-1)))</f>
        <v/>
      </c>
      <c r="H96" s="40" t="str">
        <f>IF(tblMovimientos[[#This Row],[SKU]]="","",IFERROR(INDEX(tblProductos[Unidad],MATCH(tblMovimientos[[#This Row],[SKU]],tblProductos[SKU],0)),"?"))</f>
        <v/>
      </c>
      <c r="I96" s="39"/>
      <c r="J96" s="47" t="str">
        <f>IF(tblMovimientos[[#This Row],[Tipo]]="","",IFERROR(INDEX(tblTiposMov[FactorStock],MATCH(tblMovimientos[[#This Row],[Tipo]],tblTiposMov[Tipo],0)),0))</f>
        <v/>
      </c>
      <c r="K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" s="37"/>
      <c r="O96" s="37"/>
      <c r="P96" s="37"/>
    </row>
    <row r="97" spans="2:16" x14ac:dyDescent="0.25">
      <c r="B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" s="46"/>
      <c r="D97" s="37"/>
      <c r="E97" s="37"/>
      <c r="F97" s="37"/>
      <c r="G97" s="40" t="str">
        <f>IF(tblMovimientos[[#This Row],[Producto]]="","",TRIM(LEFT(tblMovimientos[[#This Row],[Producto]],FIND(" · ",tblMovimientos[[#This Row],[Producto]]&amp;" · ")-1)))</f>
        <v/>
      </c>
      <c r="H97" s="40" t="str">
        <f>IF(tblMovimientos[[#This Row],[SKU]]="","",IFERROR(INDEX(tblProductos[Unidad],MATCH(tblMovimientos[[#This Row],[SKU]],tblProductos[SKU],0)),"?"))</f>
        <v/>
      </c>
      <c r="I97" s="39"/>
      <c r="J97" s="47" t="str">
        <f>IF(tblMovimientos[[#This Row],[Tipo]]="","",IFERROR(INDEX(tblTiposMov[FactorStock],MATCH(tblMovimientos[[#This Row],[Tipo]],tblTiposMov[Tipo],0)),0))</f>
        <v/>
      </c>
      <c r="K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" s="37"/>
      <c r="O97" s="37"/>
      <c r="P97" s="37"/>
    </row>
    <row r="98" spans="2:16" x14ac:dyDescent="0.25">
      <c r="B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" s="46"/>
      <c r="D98" s="37"/>
      <c r="E98" s="37"/>
      <c r="F98" s="37"/>
      <c r="G98" s="40" t="str">
        <f>IF(tblMovimientos[[#This Row],[Producto]]="","",TRIM(LEFT(tblMovimientos[[#This Row],[Producto]],FIND(" · ",tblMovimientos[[#This Row],[Producto]]&amp;" · ")-1)))</f>
        <v/>
      </c>
      <c r="H98" s="40" t="str">
        <f>IF(tblMovimientos[[#This Row],[SKU]]="","",IFERROR(INDEX(tblProductos[Unidad],MATCH(tblMovimientos[[#This Row],[SKU]],tblProductos[SKU],0)),"?"))</f>
        <v/>
      </c>
      <c r="I98" s="39"/>
      <c r="J98" s="47" t="str">
        <f>IF(tblMovimientos[[#This Row],[Tipo]]="","",IFERROR(INDEX(tblTiposMov[FactorStock],MATCH(tblMovimientos[[#This Row],[Tipo]],tblTiposMov[Tipo],0)),0))</f>
        <v/>
      </c>
      <c r="K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" s="37"/>
      <c r="O98" s="37"/>
      <c r="P98" s="37"/>
    </row>
    <row r="99" spans="2:16" x14ac:dyDescent="0.25">
      <c r="B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" s="46"/>
      <c r="D99" s="37"/>
      <c r="E99" s="37"/>
      <c r="F99" s="37"/>
      <c r="G99" s="40" t="str">
        <f>IF(tblMovimientos[[#This Row],[Producto]]="","",TRIM(LEFT(tblMovimientos[[#This Row],[Producto]],FIND(" · ",tblMovimientos[[#This Row],[Producto]]&amp;" · ")-1)))</f>
        <v/>
      </c>
      <c r="H99" s="40" t="str">
        <f>IF(tblMovimientos[[#This Row],[SKU]]="","",IFERROR(INDEX(tblProductos[Unidad],MATCH(tblMovimientos[[#This Row],[SKU]],tblProductos[SKU],0)),"?"))</f>
        <v/>
      </c>
      <c r="I99" s="39"/>
      <c r="J99" s="47" t="str">
        <f>IF(tblMovimientos[[#This Row],[Tipo]]="","",IFERROR(INDEX(tblTiposMov[FactorStock],MATCH(tblMovimientos[[#This Row],[Tipo]],tblTiposMov[Tipo],0)),0))</f>
        <v/>
      </c>
      <c r="K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" s="37"/>
      <c r="O99" s="37"/>
      <c r="P99" s="37"/>
    </row>
    <row r="100" spans="2:16" x14ac:dyDescent="0.25">
      <c r="B1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" s="46"/>
      <c r="D100" s="37"/>
      <c r="E100" s="37"/>
      <c r="F100" s="37"/>
      <c r="G100" s="40" t="str">
        <f>IF(tblMovimientos[[#This Row],[Producto]]="","",TRIM(LEFT(tblMovimientos[[#This Row],[Producto]],FIND(" · ",tblMovimientos[[#This Row],[Producto]]&amp;" · ")-1)))</f>
        <v/>
      </c>
      <c r="H100" s="40" t="str">
        <f>IF(tblMovimientos[[#This Row],[SKU]]="","",IFERROR(INDEX(tblProductos[Unidad],MATCH(tblMovimientos[[#This Row],[SKU]],tblProductos[SKU],0)),"?"))</f>
        <v/>
      </c>
      <c r="I100" s="39"/>
      <c r="J100" s="47" t="str">
        <f>IF(tblMovimientos[[#This Row],[Tipo]]="","",IFERROR(INDEX(tblTiposMov[FactorStock],MATCH(tblMovimientos[[#This Row],[Tipo]],tblTiposMov[Tipo],0)),0))</f>
        <v/>
      </c>
      <c r="K1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" s="37"/>
      <c r="O100" s="37"/>
      <c r="P100" s="37"/>
    </row>
    <row r="101" spans="2:16" x14ac:dyDescent="0.25">
      <c r="B1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" s="46"/>
      <c r="D101" s="37"/>
      <c r="E101" s="37"/>
      <c r="F101" s="37"/>
      <c r="G101" s="40" t="str">
        <f>IF(tblMovimientos[[#This Row],[Producto]]="","",TRIM(LEFT(tblMovimientos[[#This Row],[Producto]],FIND(" · ",tblMovimientos[[#This Row],[Producto]]&amp;" · ")-1)))</f>
        <v/>
      </c>
      <c r="H101" s="40" t="str">
        <f>IF(tblMovimientos[[#This Row],[SKU]]="","",IFERROR(INDEX(tblProductos[Unidad],MATCH(tblMovimientos[[#This Row],[SKU]],tblProductos[SKU],0)),"?"))</f>
        <v/>
      </c>
      <c r="I101" s="39"/>
      <c r="J101" s="47" t="str">
        <f>IF(tblMovimientos[[#This Row],[Tipo]]="","",IFERROR(INDEX(tblTiposMov[FactorStock],MATCH(tblMovimientos[[#This Row],[Tipo]],tblTiposMov[Tipo],0)),0))</f>
        <v/>
      </c>
      <c r="K1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" s="37"/>
      <c r="O101" s="37"/>
      <c r="P101" s="37"/>
    </row>
    <row r="102" spans="2:16" x14ac:dyDescent="0.25">
      <c r="B1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" s="46"/>
      <c r="D102" s="37"/>
      <c r="E102" s="37"/>
      <c r="F102" s="37"/>
      <c r="G102" s="40" t="str">
        <f>IF(tblMovimientos[[#This Row],[Producto]]="","",TRIM(LEFT(tblMovimientos[[#This Row],[Producto]],FIND(" · ",tblMovimientos[[#This Row],[Producto]]&amp;" · ")-1)))</f>
        <v/>
      </c>
      <c r="H102" s="40" t="str">
        <f>IF(tblMovimientos[[#This Row],[SKU]]="","",IFERROR(INDEX(tblProductos[Unidad],MATCH(tblMovimientos[[#This Row],[SKU]],tblProductos[SKU],0)),"?"))</f>
        <v/>
      </c>
      <c r="I102" s="39"/>
      <c r="J102" s="47" t="str">
        <f>IF(tblMovimientos[[#This Row],[Tipo]]="","",IFERROR(INDEX(tblTiposMov[FactorStock],MATCH(tblMovimientos[[#This Row],[Tipo]],tblTiposMov[Tipo],0)),0))</f>
        <v/>
      </c>
      <c r="K1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" s="37"/>
      <c r="O102" s="37"/>
      <c r="P102" s="37"/>
    </row>
    <row r="103" spans="2:16" x14ac:dyDescent="0.25">
      <c r="B1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" s="46"/>
      <c r="D103" s="37"/>
      <c r="E103" s="37"/>
      <c r="F103" s="37"/>
      <c r="G103" s="40" t="str">
        <f>IF(tblMovimientos[[#This Row],[Producto]]="","",TRIM(LEFT(tblMovimientos[[#This Row],[Producto]],FIND(" · ",tblMovimientos[[#This Row],[Producto]]&amp;" · ")-1)))</f>
        <v/>
      </c>
      <c r="H103" s="40" t="str">
        <f>IF(tblMovimientos[[#This Row],[SKU]]="","",IFERROR(INDEX(tblProductos[Unidad],MATCH(tblMovimientos[[#This Row],[SKU]],tblProductos[SKU],0)),"?"))</f>
        <v/>
      </c>
      <c r="I103" s="39"/>
      <c r="J103" s="47" t="str">
        <f>IF(tblMovimientos[[#This Row],[Tipo]]="","",IFERROR(INDEX(tblTiposMov[FactorStock],MATCH(tblMovimientos[[#This Row],[Tipo]],tblTiposMov[Tipo],0)),0))</f>
        <v/>
      </c>
      <c r="K1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" s="37"/>
      <c r="O103" s="37"/>
      <c r="P103" s="37"/>
    </row>
    <row r="104" spans="2:16" x14ac:dyDescent="0.25">
      <c r="B1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" s="46"/>
      <c r="D104" s="37"/>
      <c r="E104" s="37"/>
      <c r="F104" s="37"/>
      <c r="G104" s="40" t="str">
        <f>IF(tblMovimientos[[#This Row],[Producto]]="","",TRIM(LEFT(tblMovimientos[[#This Row],[Producto]],FIND(" · ",tblMovimientos[[#This Row],[Producto]]&amp;" · ")-1)))</f>
        <v/>
      </c>
      <c r="H104" s="40" t="str">
        <f>IF(tblMovimientos[[#This Row],[SKU]]="","",IFERROR(INDEX(tblProductos[Unidad],MATCH(tblMovimientos[[#This Row],[SKU]],tblProductos[SKU],0)),"?"))</f>
        <v/>
      </c>
      <c r="I104" s="39"/>
      <c r="J104" s="47" t="str">
        <f>IF(tblMovimientos[[#This Row],[Tipo]]="","",IFERROR(INDEX(tblTiposMov[FactorStock],MATCH(tblMovimientos[[#This Row],[Tipo]],tblTiposMov[Tipo],0)),0))</f>
        <v/>
      </c>
      <c r="K1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" s="37"/>
      <c r="O104" s="37"/>
      <c r="P104" s="37"/>
    </row>
    <row r="105" spans="2:16" x14ac:dyDescent="0.25">
      <c r="B1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" s="46"/>
      <c r="D105" s="37"/>
      <c r="E105" s="37"/>
      <c r="F105" s="37"/>
      <c r="G105" s="40" t="str">
        <f>IF(tblMovimientos[[#This Row],[Producto]]="","",TRIM(LEFT(tblMovimientos[[#This Row],[Producto]],FIND(" · ",tblMovimientos[[#This Row],[Producto]]&amp;" · ")-1)))</f>
        <v/>
      </c>
      <c r="H105" s="40" t="str">
        <f>IF(tblMovimientos[[#This Row],[SKU]]="","",IFERROR(INDEX(tblProductos[Unidad],MATCH(tblMovimientos[[#This Row],[SKU]],tblProductos[SKU],0)),"?"))</f>
        <v/>
      </c>
      <c r="I105" s="39"/>
      <c r="J105" s="47" t="str">
        <f>IF(tblMovimientos[[#This Row],[Tipo]]="","",IFERROR(INDEX(tblTiposMov[FactorStock],MATCH(tblMovimientos[[#This Row],[Tipo]],tblTiposMov[Tipo],0)),0))</f>
        <v/>
      </c>
      <c r="K1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" s="37"/>
      <c r="O105" s="37"/>
      <c r="P105" s="37"/>
    </row>
    <row r="106" spans="2:16" x14ac:dyDescent="0.25">
      <c r="B1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" s="46"/>
      <c r="D106" s="37"/>
      <c r="E106" s="37"/>
      <c r="F106" s="37"/>
      <c r="G106" s="40" t="str">
        <f>IF(tblMovimientos[[#This Row],[Producto]]="","",TRIM(LEFT(tblMovimientos[[#This Row],[Producto]],FIND(" · ",tblMovimientos[[#This Row],[Producto]]&amp;" · ")-1)))</f>
        <v/>
      </c>
      <c r="H106" s="40" t="str">
        <f>IF(tblMovimientos[[#This Row],[SKU]]="","",IFERROR(INDEX(tblProductos[Unidad],MATCH(tblMovimientos[[#This Row],[SKU]],tblProductos[SKU],0)),"?"))</f>
        <v/>
      </c>
      <c r="I106" s="39"/>
      <c r="J106" s="47" t="str">
        <f>IF(tblMovimientos[[#This Row],[Tipo]]="","",IFERROR(INDEX(tblTiposMov[FactorStock],MATCH(tblMovimientos[[#This Row],[Tipo]],tblTiposMov[Tipo],0)),0))</f>
        <v/>
      </c>
      <c r="K1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" s="37"/>
      <c r="O106" s="37"/>
      <c r="P106" s="37"/>
    </row>
    <row r="107" spans="2:16" x14ac:dyDescent="0.25">
      <c r="B1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" s="46"/>
      <c r="D107" s="37"/>
      <c r="E107" s="37"/>
      <c r="F107" s="37"/>
      <c r="G107" s="40" t="str">
        <f>IF(tblMovimientos[[#This Row],[Producto]]="","",TRIM(LEFT(tblMovimientos[[#This Row],[Producto]],FIND(" · ",tblMovimientos[[#This Row],[Producto]]&amp;" · ")-1)))</f>
        <v/>
      </c>
      <c r="H107" s="40" t="str">
        <f>IF(tblMovimientos[[#This Row],[SKU]]="","",IFERROR(INDEX(tblProductos[Unidad],MATCH(tblMovimientos[[#This Row],[SKU]],tblProductos[SKU],0)),"?"))</f>
        <v/>
      </c>
      <c r="I107" s="39"/>
      <c r="J107" s="47" t="str">
        <f>IF(tblMovimientos[[#This Row],[Tipo]]="","",IFERROR(INDEX(tblTiposMov[FactorStock],MATCH(tblMovimientos[[#This Row],[Tipo]],tblTiposMov[Tipo],0)),0))</f>
        <v/>
      </c>
      <c r="K1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" s="37"/>
      <c r="O107" s="37"/>
      <c r="P107" s="37"/>
    </row>
    <row r="108" spans="2:16" x14ac:dyDescent="0.25">
      <c r="B1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" s="46"/>
      <c r="D108" s="37"/>
      <c r="E108" s="37"/>
      <c r="F108" s="37"/>
      <c r="G108" s="40" t="str">
        <f>IF(tblMovimientos[[#This Row],[Producto]]="","",TRIM(LEFT(tblMovimientos[[#This Row],[Producto]],FIND(" · ",tblMovimientos[[#This Row],[Producto]]&amp;" · ")-1)))</f>
        <v/>
      </c>
      <c r="H108" s="40" t="str">
        <f>IF(tblMovimientos[[#This Row],[SKU]]="","",IFERROR(INDEX(tblProductos[Unidad],MATCH(tblMovimientos[[#This Row],[SKU]],tblProductos[SKU],0)),"?"))</f>
        <v/>
      </c>
      <c r="I108" s="39"/>
      <c r="J108" s="47" t="str">
        <f>IF(tblMovimientos[[#This Row],[Tipo]]="","",IFERROR(INDEX(tblTiposMov[FactorStock],MATCH(tblMovimientos[[#This Row],[Tipo]],tblTiposMov[Tipo],0)),0))</f>
        <v/>
      </c>
      <c r="K1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" s="37"/>
      <c r="O108" s="37"/>
      <c r="P108" s="37"/>
    </row>
    <row r="109" spans="2:16" x14ac:dyDescent="0.25">
      <c r="B1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" s="46"/>
      <c r="D109" s="37"/>
      <c r="E109" s="37"/>
      <c r="F109" s="37"/>
      <c r="G109" s="40" t="str">
        <f>IF(tblMovimientos[[#This Row],[Producto]]="","",TRIM(LEFT(tblMovimientos[[#This Row],[Producto]],FIND(" · ",tblMovimientos[[#This Row],[Producto]]&amp;" · ")-1)))</f>
        <v/>
      </c>
      <c r="H109" s="40" t="str">
        <f>IF(tblMovimientos[[#This Row],[SKU]]="","",IFERROR(INDEX(tblProductos[Unidad],MATCH(tblMovimientos[[#This Row],[SKU]],tblProductos[SKU],0)),"?"))</f>
        <v/>
      </c>
      <c r="I109" s="39"/>
      <c r="J109" s="47" t="str">
        <f>IF(tblMovimientos[[#This Row],[Tipo]]="","",IFERROR(INDEX(tblTiposMov[FactorStock],MATCH(tblMovimientos[[#This Row],[Tipo]],tblTiposMov[Tipo],0)),0))</f>
        <v/>
      </c>
      <c r="K1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" s="37"/>
      <c r="O109" s="37"/>
      <c r="P109" s="37"/>
    </row>
    <row r="110" spans="2:16" x14ac:dyDescent="0.25">
      <c r="B1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" s="46"/>
      <c r="D110" s="37"/>
      <c r="E110" s="37"/>
      <c r="F110" s="37"/>
      <c r="G110" s="40" t="str">
        <f>IF(tblMovimientos[[#This Row],[Producto]]="","",TRIM(LEFT(tblMovimientos[[#This Row],[Producto]],FIND(" · ",tblMovimientos[[#This Row],[Producto]]&amp;" · ")-1)))</f>
        <v/>
      </c>
      <c r="H110" s="40" t="str">
        <f>IF(tblMovimientos[[#This Row],[SKU]]="","",IFERROR(INDEX(tblProductos[Unidad],MATCH(tblMovimientos[[#This Row],[SKU]],tblProductos[SKU],0)),"?"))</f>
        <v/>
      </c>
      <c r="I110" s="39"/>
      <c r="J110" s="47" t="str">
        <f>IF(tblMovimientos[[#This Row],[Tipo]]="","",IFERROR(INDEX(tblTiposMov[FactorStock],MATCH(tblMovimientos[[#This Row],[Tipo]],tblTiposMov[Tipo],0)),0))</f>
        <v/>
      </c>
      <c r="K1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" s="37"/>
      <c r="O110" s="37"/>
      <c r="P110" s="37"/>
    </row>
    <row r="111" spans="2:16" x14ac:dyDescent="0.25">
      <c r="B1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" s="46"/>
      <c r="D111" s="37"/>
      <c r="E111" s="37"/>
      <c r="F111" s="37"/>
      <c r="G111" s="40" t="str">
        <f>IF(tblMovimientos[[#This Row],[Producto]]="","",TRIM(LEFT(tblMovimientos[[#This Row],[Producto]],FIND(" · ",tblMovimientos[[#This Row],[Producto]]&amp;" · ")-1)))</f>
        <v/>
      </c>
      <c r="H111" s="40" t="str">
        <f>IF(tblMovimientos[[#This Row],[SKU]]="","",IFERROR(INDEX(tblProductos[Unidad],MATCH(tblMovimientos[[#This Row],[SKU]],tblProductos[SKU],0)),"?"))</f>
        <v/>
      </c>
      <c r="I111" s="39"/>
      <c r="J111" s="47" t="str">
        <f>IF(tblMovimientos[[#This Row],[Tipo]]="","",IFERROR(INDEX(tblTiposMov[FactorStock],MATCH(tblMovimientos[[#This Row],[Tipo]],tblTiposMov[Tipo],0)),0))</f>
        <v/>
      </c>
      <c r="K1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" s="37"/>
      <c r="O111" s="37"/>
      <c r="P111" s="37"/>
    </row>
    <row r="112" spans="2:16" x14ac:dyDescent="0.25">
      <c r="B1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" s="46"/>
      <c r="D112" s="37"/>
      <c r="E112" s="37"/>
      <c r="F112" s="37"/>
      <c r="G112" s="40" t="str">
        <f>IF(tblMovimientos[[#This Row],[Producto]]="","",TRIM(LEFT(tblMovimientos[[#This Row],[Producto]],FIND(" · ",tblMovimientos[[#This Row],[Producto]]&amp;" · ")-1)))</f>
        <v/>
      </c>
      <c r="H112" s="40" t="str">
        <f>IF(tblMovimientos[[#This Row],[SKU]]="","",IFERROR(INDEX(tblProductos[Unidad],MATCH(tblMovimientos[[#This Row],[SKU]],tblProductos[SKU],0)),"?"))</f>
        <v/>
      </c>
      <c r="I112" s="39"/>
      <c r="J112" s="47" t="str">
        <f>IF(tblMovimientos[[#This Row],[Tipo]]="","",IFERROR(INDEX(tblTiposMov[FactorStock],MATCH(tblMovimientos[[#This Row],[Tipo]],tblTiposMov[Tipo],0)),0))</f>
        <v/>
      </c>
      <c r="K1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" s="37"/>
      <c r="O112" s="37"/>
      <c r="P112" s="37"/>
    </row>
    <row r="113" spans="2:16" x14ac:dyDescent="0.25">
      <c r="B1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" s="46"/>
      <c r="D113" s="37"/>
      <c r="E113" s="37"/>
      <c r="F113" s="37"/>
      <c r="G113" s="40" t="str">
        <f>IF(tblMovimientos[[#This Row],[Producto]]="","",TRIM(LEFT(tblMovimientos[[#This Row],[Producto]],FIND(" · ",tblMovimientos[[#This Row],[Producto]]&amp;" · ")-1)))</f>
        <v/>
      </c>
      <c r="H113" s="40" t="str">
        <f>IF(tblMovimientos[[#This Row],[SKU]]="","",IFERROR(INDEX(tblProductos[Unidad],MATCH(tblMovimientos[[#This Row],[SKU]],tblProductos[SKU],0)),"?"))</f>
        <v/>
      </c>
      <c r="I113" s="39"/>
      <c r="J113" s="47" t="str">
        <f>IF(tblMovimientos[[#This Row],[Tipo]]="","",IFERROR(INDEX(tblTiposMov[FactorStock],MATCH(tblMovimientos[[#This Row],[Tipo]],tblTiposMov[Tipo],0)),0))</f>
        <v/>
      </c>
      <c r="K1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" s="37"/>
      <c r="O113" s="37"/>
      <c r="P113" s="37"/>
    </row>
    <row r="114" spans="2:16" x14ac:dyDescent="0.25">
      <c r="B1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" s="46"/>
      <c r="D114" s="37"/>
      <c r="E114" s="37"/>
      <c r="F114" s="37"/>
      <c r="G114" s="40" t="str">
        <f>IF(tblMovimientos[[#This Row],[Producto]]="","",TRIM(LEFT(tblMovimientos[[#This Row],[Producto]],FIND(" · ",tblMovimientos[[#This Row],[Producto]]&amp;" · ")-1)))</f>
        <v/>
      </c>
      <c r="H114" s="40" t="str">
        <f>IF(tblMovimientos[[#This Row],[SKU]]="","",IFERROR(INDEX(tblProductos[Unidad],MATCH(tblMovimientos[[#This Row],[SKU]],tblProductos[SKU],0)),"?"))</f>
        <v/>
      </c>
      <c r="I114" s="39"/>
      <c r="J114" s="47" t="str">
        <f>IF(tblMovimientos[[#This Row],[Tipo]]="","",IFERROR(INDEX(tblTiposMov[FactorStock],MATCH(tblMovimientos[[#This Row],[Tipo]],tblTiposMov[Tipo],0)),0))</f>
        <v/>
      </c>
      <c r="K1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" s="37"/>
      <c r="O114" s="37"/>
      <c r="P114" s="37"/>
    </row>
    <row r="115" spans="2:16" x14ac:dyDescent="0.25">
      <c r="B1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" s="46"/>
      <c r="D115" s="37"/>
      <c r="E115" s="37"/>
      <c r="F115" s="37"/>
      <c r="G115" s="40" t="str">
        <f>IF(tblMovimientos[[#This Row],[Producto]]="","",TRIM(LEFT(tblMovimientos[[#This Row],[Producto]],FIND(" · ",tblMovimientos[[#This Row],[Producto]]&amp;" · ")-1)))</f>
        <v/>
      </c>
      <c r="H115" s="40" t="str">
        <f>IF(tblMovimientos[[#This Row],[SKU]]="","",IFERROR(INDEX(tblProductos[Unidad],MATCH(tblMovimientos[[#This Row],[SKU]],tblProductos[SKU],0)),"?"))</f>
        <v/>
      </c>
      <c r="I115" s="39"/>
      <c r="J115" s="47" t="str">
        <f>IF(tblMovimientos[[#This Row],[Tipo]]="","",IFERROR(INDEX(tblTiposMov[FactorStock],MATCH(tblMovimientos[[#This Row],[Tipo]],tblTiposMov[Tipo],0)),0))</f>
        <v/>
      </c>
      <c r="K1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" s="37"/>
      <c r="O115" s="37"/>
      <c r="P115" s="37"/>
    </row>
    <row r="116" spans="2:16" x14ac:dyDescent="0.25">
      <c r="B1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" s="46"/>
      <c r="D116" s="37"/>
      <c r="E116" s="37"/>
      <c r="F116" s="37"/>
      <c r="G116" s="40" t="str">
        <f>IF(tblMovimientos[[#This Row],[Producto]]="","",TRIM(LEFT(tblMovimientos[[#This Row],[Producto]],FIND(" · ",tblMovimientos[[#This Row],[Producto]]&amp;" · ")-1)))</f>
        <v/>
      </c>
      <c r="H116" s="40" t="str">
        <f>IF(tblMovimientos[[#This Row],[SKU]]="","",IFERROR(INDEX(tblProductos[Unidad],MATCH(tblMovimientos[[#This Row],[SKU]],tblProductos[SKU],0)),"?"))</f>
        <v/>
      </c>
      <c r="I116" s="39"/>
      <c r="J116" s="47" t="str">
        <f>IF(tblMovimientos[[#This Row],[Tipo]]="","",IFERROR(INDEX(tblTiposMov[FactorStock],MATCH(tblMovimientos[[#This Row],[Tipo]],tblTiposMov[Tipo],0)),0))</f>
        <v/>
      </c>
      <c r="K1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" s="37"/>
      <c r="O116" s="37"/>
      <c r="P116" s="37"/>
    </row>
    <row r="117" spans="2:16" x14ac:dyDescent="0.25">
      <c r="B1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" s="46"/>
      <c r="D117" s="37"/>
      <c r="E117" s="37"/>
      <c r="F117" s="37"/>
      <c r="G117" s="40" t="str">
        <f>IF(tblMovimientos[[#This Row],[Producto]]="","",TRIM(LEFT(tblMovimientos[[#This Row],[Producto]],FIND(" · ",tblMovimientos[[#This Row],[Producto]]&amp;" · ")-1)))</f>
        <v/>
      </c>
      <c r="H117" s="40" t="str">
        <f>IF(tblMovimientos[[#This Row],[SKU]]="","",IFERROR(INDEX(tblProductos[Unidad],MATCH(tblMovimientos[[#This Row],[SKU]],tblProductos[SKU],0)),"?"))</f>
        <v/>
      </c>
      <c r="I117" s="39"/>
      <c r="J117" s="47" t="str">
        <f>IF(tblMovimientos[[#This Row],[Tipo]]="","",IFERROR(INDEX(tblTiposMov[FactorStock],MATCH(tblMovimientos[[#This Row],[Tipo]],tblTiposMov[Tipo],0)),0))</f>
        <v/>
      </c>
      <c r="K1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" s="37"/>
      <c r="O117" s="37"/>
      <c r="P117" s="37"/>
    </row>
    <row r="118" spans="2:16" x14ac:dyDescent="0.25">
      <c r="B1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" s="46"/>
      <c r="D118" s="37"/>
      <c r="E118" s="37"/>
      <c r="F118" s="37"/>
      <c r="G118" s="40" t="str">
        <f>IF(tblMovimientos[[#This Row],[Producto]]="","",TRIM(LEFT(tblMovimientos[[#This Row],[Producto]],FIND(" · ",tblMovimientos[[#This Row],[Producto]]&amp;" · ")-1)))</f>
        <v/>
      </c>
      <c r="H118" s="40" t="str">
        <f>IF(tblMovimientos[[#This Row],[SKU]]="","",IFERROR(INDEX(tblProductos[Unidad],MATCH(tblMovimientos[[#This Row],[SKU]],tblProductos[SKU],0)),"?"))</f>
        <v/>
      </c>
      <c r="I118" s="39"/>
      <c r="J118" s="47" t="str">
        <f>IF(tblMovimientos[[#This Row],[Tipo]]="","",IFERROR(INDEX(tblTiposMov[FactorStock],MATCH(tblMovimientos[[#This Row],[Tipo]],tblTiposMov[Tipo],0)),0))</f>
        <v/>
      </c>
      <c r="K1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" s="37"/>
      <c r="O118" s="37"/>
      <c r="P118" s="37"/>
    </row>
    <row r="119" spans="2:16" x14ac:dyDescent="0.25">
      <c r="B1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" s="46"/>
      <c r="D119" s="37"/>
      <c r="E119" s="37"/>
      <c r="F119" s="37"/>
      <c r="G119" s="40" t="str">
        <f>IF(tblMovimientos[[#This Row],[Producto]]="","",TRIM(LEFT(tblMovimientos[[#This Row],[Producto]],FIND(" · ",tblMovimientos[[#This Row],[Producto]]&amp;" · ")-1)))</f>
        <v/>
      </c>
      <c r="H119" s="40" t="str">
        <f>IF(tblMovimientos[[#This Row],[SKU]]="","",IFERROR(INDEX(tblProductos[Unidad],MATCH(tblMovimientos[[#This Row],[SKU]],tblProductos[SKU],0)),"?"))</f>
        <v/>
      </c>
      <c r="I119" s="39"/>
      <c r="J119" s="47" t="str">
        <f>IF(tblMovimientos[[#This Row],[Tipo]]="","",IFERROR(INDEX(tblTiposMov[FactorStock],MATCH(tblMovimientos[[#This Row],[Tipo]],tblTiposMov[Tipo],0)),0))</f>
        <v/>
      </c>
      <c r="K1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" s="37"/>
      <c r="O119" s="37"/>
      <c r="P119" s="37"/>
    </row>
    <row r="120" spans="2:16" x14ac:dyDescent="0.25">
      <c r="B1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" s="46"/>
      <c r="D120" s="37"/>
      <c r="E120" s="37"/>
      <c r="F120" s="37"/>
      <c r="G120" s="40" t="str">
        <f>IF(tblMovimientos[[#This Row],[Producto]]="","",TRIM(LEFT(tblMovimientos[[#This Row],[Producto]],FIND(" · ",tblMovimientos[[#This Row],[Producto]]&amp;" · ")-1)))</f>
        <v/>
      </c>
      <c r="H120" s="40" t="str">
        <f>IF(tblMovimientos[[#This Row],[SKU]]="","",IFERROR(INDEX(tblProductos[Unidad],MATCH(tblMovimientos[[#This Row],[SKU]],tblProductos[SKU],0)),"?"))</f>
        <v/>
      </c>
      <c r="I120" s="39"/>
      <c r="J120" s="47" t="str">
        <f>IF(tblMovimientos[[#This Row],[Tipo]]="","",IFERROR(INDEX(tblTiposMov[FactorStock],MATCH(tblMovimientos[[#This Row],[Tipo]],tblTiposMov[Tipo],0)),0))</f>
        <v/>
      </c>
      <c r="K1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" s="37"/>
      <c r="O120" s="37"/>
      <c r="P120" s="37"/>
    </row>
    <row r="121" spans="2:16" x14ac:dyDescent="0.25">
      <c r="B1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" s="46"/>
      <c r="D121" s="37"/>
      <c r="E121" s="37"/>
      <c r="F121" s="37"/>
      <c r="G121" s="40" t="str">
        <f>IF(tblMovimientos[[#This Row],[Producto]]="","",TRIM(LEFT(tblMovimientos[[#This Row],[Producto]],FIND(" · ",tblMovimientos[[#This Row],[Producto]]&amp;" · ")-1)))</f>
        <v/>
      </c>
      <c r="H121" s="40" t="str">
        <f>IF(tblMovimientos[[#This Row],[SKU]]="","",IFERROR(INDEX(tblProductos[Unidad],MATCH(tblMovimientos[[#This Row],[SKU]],tblProductos[SKU],0)),"?"))</f>
        <v/>
      </c>
      <c r="I121" s="39"/>
      <c r="J121" s="47" t="str">
        <f>IF(tblMovimientos[[#This Row],[Tipo]]="","",IFERROR(INDEX(tblTiposMov[FactorStock],MATCH(tblMovimientos[[#This Row],[Tipo]],tblTiposMov[Tipo],0)),0))</f>
        <v/>
      </c>
      <c r="K1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" s="37"/>
      <c r="O121" s="37"/>
      <c r="P121" s="37"/>
    </row>
    <row r="122" spans="2:16" x14ac:dyDescent="0.25">
      <c r="B1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" s="46"/>
      <c r="D122" s="37"/>
      <c r="E122" s="37"/>
      <c r="F122" s="37"/>
      <c r="G122" s="40" t="str">
        <f>IF(tblMovimientos[[#This Row],[Producto]]="","",TRIM(LEFT(tblMovimientos[[#This Row],[Producto]],FIND(" · ",tblMovimientos[[#This Row],[Producto]]&amp;" · ")-1)))</f>
        <v/>
      </c>
      <c r="H122" s="40" t="str">
        <f>IF(tblMovimientos[[#This Row],[SKU]]="","",IFERROR(INDEX(tblProductos[Unidad],MATCH(tblMovimientos[[#This Row],[SKU]],tblProductos[SKU],0)),"?"))</f>
        <v/>
      </c>
      <c r="I122" s="39"/>
      <c r="J122" s="47" t="str">
        <f>IF(tblMovimientos[[#This Row],[Tipo]]="","",IFERROR(INDEX(tblTiposMov[FactorStock],MATCH(tblMovimientos[[#This Row],[Tipo]],tblTiposMov[Tipo],0)),0))</f>
        <v/>
      </c>
      <c r="K1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" s="37"/>
      <c r="O122" s="37"/>
      <c r="P122" s="37"/>
    </row>
    <row r="123" spans="2:16" x14ac:dyDescent="0.25">
      <c r="B1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" s="46"/>
      <c r="D123" s="37"/>
      <c r="E123" s="37"/>
      <c r="F123" s="37"/>
      <c r="G123" s="40" t="str">
        <f>IF(tblMovimientos[[#This Row],[Producto]]="","",TRIM(LEFT(tblMovimientos[[#This Row],[Producto]],FIND(" · ",tblMovimientos[[#This Row],[Producto]]&amp;" · ")-1)))</f>
        <v/>
      </c>
      <c r="H123" s="40" t="str">
        <f>IF(tblMovimientos[[#This Row],[SKU]]="","",IFERROR(INDEX(tblProductos[Unidad],MATCH(tblMovimientos[[#This Row],[SKU]],tblProductos[SKU],0)),"?"))</f>
        <v/>
      </c>
      <c r="I123" s="39"/>
      <c r="J123" s="47" t="str">
        <f>IF(tblMovimientos[[#This Row],[Tipo]]="","",IFERROR(INDEX(tblTiposMov[FactorStock],MATCH(tblMovimientos[[#This Row],[Tipo]],tblTiposMov[Tipo],0)),0))</f>
        <v/>
      </c>
      <c r="K1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" s="37"/>
      <c r="O123" s="37"/>
      <c r="P123" s="37"/>
    </row>
    <row r="124" spans="2:16" x14ac:dyDescent="0.25">
      <c r="B1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" s="46"/>
      <c r="D124" s="37"/>
      <c r="E124" s="37"/>
      <c r="F124" s="37"/>
      <c r="G124" s="40" t="str">
        <f>IF(tblMovimientos[[#This Row],[Producto]]="","",TRIM(LEFT(tblMovimientos[[#This Row],[Producto]],FIND(" · ",tblMovimientos[[#This Row],[Producto]]&amp;" · ")-1)))</f>
        <v/>
      </c>
      <c r="H124" s="40" t="str">
        <f>IF(tblMovimientos[[#This Row],[SKU]]="","",IFERROR(INDEX(tblProductos[Unidad],MATCH(tblMovimientos[[#This Row],[SKU]],tblProductos[SKU],0)),"?"))</f>
        <v/>
      </c>
      <c r="I124" s="39"/>
      <c r="J124" s="47" t="str">
        <f>IF(tblMovimientos[[#This Row],[Tipo]]="","",IFERROR(INDEX(tblTiposMov[FactorStock],MATCH(tblMovimientos[[#This Row],[Tipo]],tblTiposMov[Tipo],0)),0))</f>
        <v/>
      </c>
      <c r="K1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" s="37"/>
      <c r="O124" s="37"/>
      <c r="P124" s="37"/>
    </row>
    <row r="125" spans="2:16" x14ac:dyDescent="0.25">
      <c r="B1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" s="46"/>
      <c r="D125" s="37"/>
      <c r="E125" s="37"/>
      <c r="F125" s="37"/>
      <c r="G125" s="40" t="str">
        <f>IF(tblMovimientos[[#This Row],[Producto]]="","",TRIM(LEFT(tblMovimientos[[#This Row],[Producto]],FIND(" · ",tblMovimientos[[#This Row],[Producto]]&amp;" · ")-1)))</f>
        <v/>
      </c>
      <c r="H125" s="40" t="str">
        <f>IF(tblMovimientos[[#This Row],[SKU]]="","",IFERROR(INDEX(tblProductos[Unidad],MATCH(tblMovimientos[[#This Row],[SKU]],tblProductos[SKU],0)),"?"))</f>
        <v/>
      </c>
      <c r="I125" s="39"/>
      <c r="J125" s="47" t="str">
        <f>IF(tblMovimientos[[#This Row],[Tipo]]="","",IFERROR(INDEX(tblTiposMov[FactorStock],MATCH(tblMovimientos[[#This Row],[Tipo]],tblTiposMov[Tipo],0)),0))</f>
        <v/>
      </c>
      <c r="K1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" s="37"/>
      <c r="O125" s="37"/>
      <c r="P125" s="37"/>
    </row>
    <row r="126" spans="2:16" x14ac:dyDescent="0.25">
      <c r="B1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" s="46"/>
      <c r="D126" s="37"/>
      <c r="E126" s="37"/>
      <c r="F126" s="37"/>
      <c r="G126" s="40" t="str">
        <f>IF(tblMovimientos[[#This Row],[Producto]]="","",TRIM(LEFT(tblMovimientos[[#This Row],[Producto]],FIND(" · ",tblMovimientos[[#This Row],[Producto]]&amp;" · ")-1)))</f>
        <v/>
      </c>
      <c r="H126" s="40" t="str">
        <f>IF(tblMovimientos[[#This Row],[SKU]]="","",IFERROR(INDEX(tblProductos[Unidad],MATCH(tblMovimientos[[#This Row],[SKU]],tblProductos[SKU],0)),"?"))</f>
        <v/>
      </c>
      <c r="I126" s="39"/>
      <c r="J126" s="47" t="str">
        <f>IF(tblMovimientos[[#This Row],[Tipo]]="","",IFERROR(INDEX(tblTiposMov[FactorStock],MATCH(tblMovimientos[[#This Row],[Tipo]],tblTiposMov[Tipo],0)),0))</f>
        <v/>
      </c>
      <c r="K1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" s="37"/>
      <c r="O126" s="37"/>
      <c r="P126" s="37"/>
    </row>
    <row r="127" spans="2:16" x14ac:dyDescent="0.25">
      <c r="B1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" s="46"/>
      <c r="D127" s="37"/>
      <c r="E127" s="37"/>
      <c r="F127" s="37"/>
      <c r="G127" s="40" t="str">
        <f>IF(tblMovimientos[[#This Row],[Producto]]="","",TRIM(LEFT(tblMovimientos[[#This Row],[Producto]],FIND(" · ",tblMovimientos[[#This Row],[Producto]]&amp;" · ")-1)))</f>
        <v/>
      </c>
      <c r="H127" s="40" t="str">
        <f>IF(tblMovimientos[[#This Row],[SKU]]="","",IFERROR(INDEX(tblProductos[Unidad],MATCH(tblMovimientos[[#This Row],[SKU]],tblProductos[SKU],0)),"?"))</f>
        <v/>
      </c>
      <c r="I127" s="39"/>
      <c r="J127" s="47" t="str">
        <f>IF(tblMovimientos[[#This Row],[Tipo]]="","",IFERROR(INDEX(tblTiposMov[FactorStock],MATCH(tblMovimientos[[#This Row],[Tipo]],tblTiposMov[Tipo],0)),0))</f>
        <v/>
      </c>
      <c r="K1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" s="37"/>
      <c r="O127" s="37"/>
      <c r="P127" s="37"/>
    </row>
    <row r="128" spans="2:16" x14ac:dyDescent="0.25">
      <c r="B1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" s="46"/>
      <c r="D128" s="37"/>
      <c r="E128" s="37"/>
      <c r="F128" s="37"/>
      <c r="G128" s="40" t="str">
        <f>IF(tblMovimientos[[#This Row],[Producto]]="","",TRIM(LEFT(tblMovimientos[[#This Row],[Producto]],FIND(" · ",tblMovimientos[[#This Row],[Producto]]&amp;" · ")-1)))</f>
        <v/>
      </c>
      <c r="H128" s="40" t="str">
        <f>IF(tblMovimientos[[#This Row],[SKU]]="","",IFERROR(INDEX(tblProductos[Unidad],MATCH(tblMovimientos[[#This Row],[SKU]],tblProductos[SKU],0)),"?"))</f>
        <v/>
      </c>
      <c r="I128" s="39"/>
      <c r="J128" s="47" t="str">
        <f>IF(tblMovimientos[[#This Row],[Tipo]]="","",IFERROR(INDEX(tblTiposMov[FactorStock],MATCH(tblMovimientos[[#This Row],[Tipo]],tblTiposMov[Tipo],0)),0))</f>
        <v/>
      </c>
      <c r="K1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" s="37"/>
      <c r="O128" s="37"/>
      <c r="P128" s="37"/>
    </row>
    <row r="129" spans="2:16" x14ac:dyDescent="0.25">
      <c r="B1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" s="46"/>
      <c r="D129" s="37"/>
      <c r="E129" s="37"/>
      <c r="F129" s="37"/>
      <c r="G129" s="40" t="str">
        <f>IF(tblMovimientos[[#This Row],[Producto]]="","",TRIM(LEFT(tblMovimientos[[#This Row],[Producto]],FIND(" · ",tblMovimientos[[#This Row],[Producto]]&amp;" · ")-1)))</f>
        <v/>
      </c>
      <c r="H129" s="40" t="str">
        <f>IF(tblMovimientos[[#This Row],[SKU]]="","",IFERROR(INDEX(tblProductos[Unidad],MATCH(tblMovimientos[[#This Row],[SKU]],tblProductos[SKU],0)),"?"))</f>
        <v/>
      </c>
      <c r="I129" s="39"/>
      <c r="J129" s="47" t="str">
        <f>IF(tblMovimientos[[#This Row],[Tipo]]="","",IFERROR(INDEX(tblTiposMov[FactorStock],MATCH(tblMovimientos[[#This Row],[Tipo]],tblTiposMov[Tipo],0)),0))</f>
        <v/>
      </c>
      <c r="K1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" s="37"/>
      <c r="O129" s="37"/>
      <c r="P129" s="37"/>
    </row>
    <row r="130" spans="2:16" x14ac:dyDescent="0.25">
      <c r="B1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" s="46"/>
      <c r="D130" s="37"/>
      <c r="E130" s="37"/>
      <c r="F130" s="37"/>
      <c r="G130" s="40" t="str">
        <f>IF(tblMovimientos[[#This Row],[Producto]]="","",TRIM(LEFT(tblMovimientos[[#This Row],[Producto]],FIND(" · ",tblMovimientos[[#This Row],[Producto]]&amp;" · ")-1)))</f>
        <v/>
      </c>
      <c r="H130" s="40" t="str">
        <f>IF(tblMovimientos[[#This Row],[SKU]]="","",IFERROR(INDEX(tblProductos[Unidad],MATCH(tblMovimientos[[#This Row],[SKU]],tblProductos[SKU],0)),"?"))</f>
        <v/>
      </c>
      <c r="I130" s="39"/>
      <c r="J130" s="47" t="str">
        <f>IF(tblMovimientos[[#This Row],[Tipo]]="","",IFERROR(INDEX(tblTiposMov[FactorStock],MATCH(tblMovimientos[[#This Row],[Tipo]],tblTiposMov[Tipo],0)),0))</f>
        <v/>
      </c>
      <c r="K1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" s="37"/>
      <c r="O130" s="37"/>
      <c r="P130" s="37"/>
    </row>
    <row r="131" spans="2:16" x14ac:dyDescent="0.25">
      <c r="B1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" s="46"/>
      <c r="D131" s="37"/>
      <c r="E131" s="37"/>
      <c r="F131" s="37"/>
      <c r="G131" s="40" t="str">
        <f>IF(tblMovimientos[[#This Row],[Producto]]="","",TRIM(LEFT(tblMovimientos[[#This Row],[Producto]],FIND(" · ",tblMovimientos[[#This Row],[Producto]]&amp;" · ")-1)))</f>
        <v/>
      </c>
      <c r="H131" s="40" t="str">
        <f>IF(tblMovimientos[[#This Row],[SKU]]="","",IFERROR(INDEX(tblProductos[Unidad],MATCH(tblMovimientos[[#This Row],[SKU]],tblProductos[SKU],0)),"?"))</f>
        <v/>
      </c>
      <c r="I131" s="39"/>
      <c r="J131" s="47" t="str">
        <f>IF(tblMovimientos[[#This Row],[Tipo]]="","",IFERROR(INDEX(tblTiposMov[FactorStock],MATCH(tblMovimientos[[#This Row],[Tipo]],tblTiposMov[Tipo],0)),0))</f>
        <v/>
      </c>
      <c r="K1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" s="37"/>
      <c r="O131" s="37"/>
      <c r="P131" s="37"/>
    </row>
    <row r="132" spans="2:16" x14ac:dyDescent="0.25">
      <c r="B1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" s="46"/>
      <c r="D132" s="37"/>
      <c r="E132" s="37"/>
      <c r="F132" s="37"/>
      <c r="G132" s="40" t="str">
        <f>IF(tblMovimientos[[#This Row],[Producto]]="","",TRIM(LEFT(tblMovimientos[[#This Row],[Producto]],FIND(" · ",tblMovimientos[[#This Row],[Producto]]&amp;" · ")-1)))</f>
        <v/>
      </c>
      <c r="H132" s="40" t="str">
        <f>IF(tblMovimientos[[#This Row],[SKU]]="","",IFERROR(INDEX(tblProductos[Unidad],MATCH(tblMovimientos[[#This Row],[SKU]],tblProductos[SKU],0)),"?"))</f>
        <v/>
      </c>
      <c r="I132" s="39"/>
      <c r="J132" s="47" t="str">
        <f>IF(tblMovimientos[[#This Row],[Tipo]]="","",IFERROR(INDEX(tblTiposMov[FactorStock],MATCH(tblMovimientos[[#This Row],[Tipo]],tblTiposMov[Tipo],0)),0))</f>
        <v/>
      </c>
      <c r="K1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" s="37"/>
      <c r="O132" s="37"/>
      <c r="P132" s="37"/>
    </row>
    <row r="133" spans="2:16" x14ac:dyDescent="0.25">
      <c r="B1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" s="46"/>
      <c r="D133" s="37"/>
      <c r="E133" s="37"/>
      <c r="F133" s="37"/>
      <c r="G133" s="40" t="str">
        <f>IF(tblMovimientos[[#This Row],[Producto]]="","",TRIM(LEFT(tblMovimientos[[#This Row],[Producto]],FIND(" · ",tblMovimientos[[#This Row],[Producto]]&amp;" · ")-1)))</f>
        <v/>
      </c>
      <c r="H133" s="40" t="str">
        <f>IF(tblMovimientos[[#This Row],[SKU]]="","",IFERROR(INDEX(tblProductos[Unidad],MATCH(tblMovimientos[[#This Row],[SKU]],tblProductos[SKU],0)),"?"))</f>
        <v/>
      </c>
      <c r="I133" s="39"/>
      <c r="J133" s="47" t="str">
        <f>IF(tblMovimientos[[#This Row],[Tipo]]="","",IFERROR(INDEX(tblTiposMov[FactorStock],MATCH(tblMovimientos[[#This Row],[Tipo]],tblTiposMov[Tipo],0)),0))</f>
        <v/>
      </c>
      <c r="K1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" s="37"/>
      <c r="O133" s="37"/>
      <c r="P133" s="37"/>
    </row>
    <row r="134" spans="2:16" x14ac:dyDescent="0.25">
      <c r="B1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" s="46"/>
      <c r="D134" s="37"/>
      <c r="E134" s="37"/>
      <c r="F134" s="37"/>
      <c r="G134" s="40" t="str">
        <f>IF(tblMovimientos[[#This Row],[Producto]]="","",TRIM(LEFT(tblMovimientos[[#This Row],[Producto]],FIND(" · ",tblMovimientos[[#This Row],[Producto]]&amp;" · ")-1)))</f>
        <v/>
      </c>
      <c r="H134" s="40" t="str">
        <f>IF(tblMovimientos[[#This Row],[SKU]]="","",IFERROR(INDEX(tblProductos[Unidad],MATCH(tblMovimientos[[#This Row],[SKU]],tblProductos[SKU],0)),"?"))</f>
        <v/>
      </c>
      <c r="I134" s="39"/>
      <c r="J134" s="47" t="str">
        <f>IF(tblMovimientos[[#This Row],[Tipo]]="","",IFERROR(INDEX(tblTiposMov[FactorStock],MATCH(tblMovimientos[[#This Row],[Tipo]],tblTiposMov[Tipo],0)),0))</f>
        <v/>
      </c>
      <c r="K1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" s="37"/>
      <c r="O134" s="37"/>
      <c r="P134" s="37"/>
    </row>
    <row r="135" spans="2:16" x14ac:dyDescent="0.25">
      <c r="B1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" s="46"/>
      <c r="D135" s="37"/>
      <c r="E135" s="37"/>
      <c r="F135" s="37"/>
      <c r="G135" s="40" t="str">
        <f>IF(tblMovimientos[[#This Row],[Producto]]="","",TRIM(LEFT(tblMovimientos[[#This Row],[Producto]],FIND(" · ",tblMovimientos[[#This Row],[Producto]]&amp;" · ")-1)))</f>
        <v/>
      </c>
      <c r="H135" s="40" t="str">
        <f>IF(tblMovimientos[[#This Row],[SKU]]="","",IFERROR(INDEX(tblProductos[Unidad],MATCH(tblMovimientos[[#This Row],[SKU]],tblProductos[SKU],0)),"?"))</f>
        <v/>
      </c>
      <c r="I135" s="39"/>
      <c r="J135" s="47" t="str">
        <f>IF(tblMovimientos[[#This Row],[Tipo]]="","",IFERROR(INDEX(tblTiposMov[FactorStock],MATCH(tblMovimientos[[#This Row],[Tipo]],tblTiposMov[Tipo],0)),0))</f>
        <v/>
      </c>
      <c r="K1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" s="37"/>
      <c r="O135" s="37"/>
      <c r="P135" s="37"/>
    </row>
    <row r="136" spans="2:16" x14ac:dyDescent="0.25">
      <c r="B1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" s="46"/>
      <c r="D136" s="37"/>
      <c r="E136" s="37"/>
      <c r="F136" s="37"/>
      <c r="G136" s="40" t="str">
        <f>IF(tblMovimientos[[#This Row],[Producto]]="","",TRIM(LEFT(tblMovimientos[[#This Row],[Producto]],FIND(" · ",tblMovimientos[[#This Row],[Producto]]&amp;" · ")-1)))</f>
        <v/>
      </c>
      <c r="H136" s="40" t="str">
        <f>IF(tblMovimientos[[#This Row],[SKU]]="","",IFERROR(INDEX(tblProductos[Unidad],MATCH(tblMovimientos[[#This Row],[SKU]],tblProductos[SKU],0)),"?"))</f>
        <v/>
      </c>
      <c r="I136" s="39"/>
      <c r="J136" s="47" t="str">
        <f>IF(tblMovimientos[[#This Row],[Tipo]]="","",IFERROR(INDEX(tblTiposMov[FactorStock],MATCH(tblMovimientos[[#This Row],[Tipo]],tblTiposMov[Tipo],0)),0))</f>
        <v/>
      </c>
      <c r="K1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" s="37"/>
      <c r="O136" s="37"/>
      <c r="P136" s="37"/>
    </row>
    <row r="137" spans="2:16" x14ac:dyDescent="0.25">
      <c r="B1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" s="46"/>
      <c r="D137" s="37"/>
      <c r="E137" s="37"/>
      <c r="F137" s="37"/>
      <c r="G137" s="40" t="str">
        <f>IF(tblMovimientos[[#This Row],[Producto]]="","",TRIM(LEFT(tblMovimientos[[#This Row],[Producto]],FIND(" · ",tblMovimientos[[#This Row],[Producto]]&amp;" · ")-1)))</f>
        <v/>
      </c>
      <c r="H137" s="40" t="str">
        <f>IF(tblMovimientos[[#This Row],[SKU]]="","",IFERROR(INDEX(tblProductos[Unidad],MATCH(tblMovimientos[[#This Row],[SKU]],tblProductos[SKU],0)),"?"))</f>
        <v/>
      </c>
      <c r="I137" s="39"/>
      <c r="J137" s="47" t="str">
        <f>IF(tblMovimientos[[#This Row],[Tipo]]="","",IFERROR(INDEX(tblTiposMov[FactorStock],MATCH(tblMovimientos[[#This Row],[Tipo]],tblTiposMov[Tipo],0)),0))</f>
        <v/>
      </c>
      <c r="K1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" s="37"/>
      <c r="O137" s="37"/>
      <c r="P137" s="37"/>
    </row>
    <row r="138" spans="2:16" x14ac:dyDescent="0.25">
      <c r="B1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" s="46"/>
      <c r="D138" s="37"/>
      <c r="E138" s="37"/>
      <c r="F138" s="37"/>
      <c r="G138" s="40" t="str">
        <f>IF(tblMovimientos[[#This Row],[Producto]]="","",TRIM(LEFT(tblMovimientos[[#This Row],[Producto]],FIND(" · ",tblMovimientos[[#This Row],[Producto]]&amp;" · ")-1)))</f>
        <v/>
      </c>
      <c r="H138" s="40" t="str">
        <f>IF(tblMovimientos[[#This Row],[SKU]]="","",IFERROR(INDEX(tblProductos[Unidad],MATCH(tblMovimientos[[#This Row],[SKU]],tblProductos[SKU],0)),"?"))</f>
        <v/>
      </c>
      <c r="I138" s="39"/>
      <c r="J138" s="47" t="str">
        <f>IF(tblMovimientos[[#This Row],[Tipo]]="","",IFERROR(INDEX(tblTiposMov[FactorStock],MATCH(tblMovimientos[[#This Row],[Tipo]],tblTiposMov[Tipo],0)),0))</f>
        <v/>
      </c>
      <c r="K1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" s="37"/>
      <c r="O138" s="37"/>
      <c r="P138" s="37"/>
    </row>
    <row r="139" spans="2:16" x14ac:dyDescent="0.25">
      <c r="B1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" s="46"/>
      <c r="D139" s="37"/>
      <c r="E139" s="37"/>
      <c r="F139" s="37"/>
      <c r="G139" s="40" t="str">
        <f>IF(tblMovimientos[[#This Row],[Producto]]="","",TRIM(LEFT(tblMovimientos[[#This Row],[Producto]],FIND(" · ",tblMovimientos[[#This Row],[Producto]]&amp;" · ")-1)))</f>
        <v/>
      </c>
      <c r="H139" s="40" t="str">
        <f>IF(tblMovimientos[[#This Row],[SKU]]="","",IFERROR(INDEX(tblProductos[Unidad],MATCH(tblMovimientos[[#This Row],[SKU]],tblProductos[SKU],0)),"?"))</f>
        <v/>
      </c>
      <c r="I139" s="39"/>
      <c r="J139" s="47" t="str">
        <f>IF(tblMovimientos[[#This Row],[Tipo]]="","",IFERROR(INDEX(tblTiposMov[FactorStock],MATCH(tblMovimientos[[#This Row],[Tipo]],tblTiposMov[Tipo],0)),0))</f>
        <v/>
      </c>
      <c r="K1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" s="37"/>
      <c r="O139" s="37"/>
      <c r="P139" s="37"/>
    </row>
    <row r="140" spans="2:16" x14ac:dyDescent="0.25">
      <c r="B1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" s="46"/>
      <c r="D140" s="37"/>
      <c r="E140" s="37"/>
      <c r="F140" s="37"/>
      <c r="G140" s="40" t="str">
        <f>IF(tblMovimientos[[#This Row],[Producto]]="","",TRIM(LEFT(tblMovimientos[[#This Row],[Producto]],FIND(" · ",tblMovimientos[[#This Row],[Producto]]&amp;" · ")-1)))</f>
        <v/>
      </c>
      <c r="H140" s="40" t="str">
        <f>IF(tblMovimientos[[#This Row],[SKU]]="","",IFERROR(INDEX(tblProductos[Unidad],MATCH(tblMovimientos[[#This Row],[SKU]],tblProductos[SKU],0)),"?"))</f>
        <v/>
      </c>
      <c r="I140" s="39"/>
      <c r="J140" s="47" t="str">
        <f>IF(tblMovimientos[[#This Row],[Tipo]]="","",IFERROR(INDEX(tblTiposMov[FactorStock],MATCH(tblMovimientos[[#This Row],[Tipo]],tblTiposMov[Tipo],0)),0))</f>
        <v/>
      </c>
      <c r="K1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" s="37"/>
      <c r="O140" s="37"/>
      <c r="P140" s="37"/>
    </row>
    <row r="141" spans="2:16" x14ac:dyDescent="0.25">
      <c r="B1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" s="46"/>
      <c r="D141" s="37"/>
      <c r="E141" s="37"/>
      <c r="F141" s="37"/>
      <c r="G141" s="40" t="str">
        <f>IF(tblMovimientos[[#This Row],[Producto]]="","",TRIM(LEFT(tblMovimientos[[#This Row],[Producto]],FIND(" · ",tblMovimientos[[#This Row],[Producto]]&amp;" · ")-1)))</f>
        <v/>
      </c>
      <c r="H141" s="40" t="str">
        <f>IF(tblMovimientos[[#This Row],[SKU]]="","",IFERROR(INDEX(tblProductos[Unidad],MATCH(tblMovimientos[[#This Row],[SKU]],tblProductos[SKU],0)),"?"))</f>
        <v/>
      </c>
      <c r="I141" s="39"/>
      <c r="J141" s="47" t="str">
        <f>IF(tblMovimientos[[#This Row],[Tipo]]="","",IFERROR(INDEX(tblTiposMov[FactorStock],MATCH(tblMovimientos[[#This Row],[Tipo]],tblTiposMov[Tipo],0)),0))</f>
        <v/>
      </c>
      <c r="K1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" s="37"/>
      <c r="O141" s="37"/>
      <c r="P141" s="37"/>
    </row>
    <row r="142" spans="2:16" x14ac:dyDescent="0.25">
      <c r="B1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" s="46"/>
      <c r="D142" s="37"/>
      <c r="E142" s="37"/>
      <c r="F142" s="37"/>
      <c r="G142" s="40" t="str">
        <f>IF(tblMovimientos[[#This Row],[Producto]]="","",TRIM(LEFT(tblMovimientos[[#This Row],[Producto]],FIND(" · ",tblMovimientos[[#This Row],[Producto]]&amp;" · ")-1)))</f>
        <v/>
      </c>
      <c r="H142" s="40" t="str">
        <f>IF(tblMovimientos[[#This Row],[SKU]]="","",IFERROR(INDEX(tblProductos[Unidad],MATCH(tblMovimientos[[#This Row],[SKU]],tblProductos[SKU],0)),"?"))</f>
        <v/>
      </c>
      <c r="I142" s="39"/>
      <c r="J142" s="47" t="str">
        <f>IF(tblMovimientos[[#This Row],[Tipo]]="","",IFERROR(INDEX(tblTiposMov[FactorStock],MATCH(tblMovimientos[[#This Row],[Tipo]],tblTiposMov[Tipo],0)),0))</f>
        <v/>
      </c>
      <c r="K1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" s="37"/>
      <c r="O142" s="37"/>
      <c r="P142" s="37"/>
    </row>
    <row r="143" spans="2:16" x14ac:dyDescent="0.25">
      <c r="B1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" s="46"/>
      <c r="D143" s="37"/>
      <c r="E143" s="37"/>
      <c r="F143" s="37"/>
      <c r="G143" s="40" t="str">
        <f>IF(tblMovimientos[[#This Row],[Producto]]="","",TRIM(LEFT(tblMovimientos[[#This Row],[Producto]],FIND(" · ",tblMovimientos[[#This Row],[Producto]]&amp;" · ")-1)))</f>
        <v/>
      </c>
      <c r="H143" s="40" t="str">
        <f>IF(tblMovimientos[[#This Row],[SKU]]="","",IFERROR(INDEX(tblProductos[Unidad],MATCH(tblMovimientos[[#This Row],[SKU]],tblProductos[SKU],0)),"?"))</f>
        <v/>
      </c>
      <c r="I143" s="39"/>
      <c r="J143" s="47" t="str">
        <f>IF(tblMovimientos[[#This Row],[Tipo]]="","",IFERROR(INDEX(tblTiposMov[FactorStock],MATCH(tblMovimientos[[#This Row],[Tipo]],tblTiposMov[Tipo],0)),0))</f>
        <v/>
      </c>
      <c r="K1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" s="37"/>
      <c r="O143" s="37"/>
      <c r="P143" s="37"/>
    </row>
    <row r="144" spans="2:16" x14ac:dyDescent="0.25">
      <c r="B1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" s="46"/>
      <c r="D144" s="37"/>
      <c r="E144" s="37"/>
      <c r="F144" s="37"/>
      <c r="G144" s="40" t="str">
        <f>IF(tblMovimientos[[#This Row],[Producto]]="","",TRIM(LEFT(tblMovimientos[[#This Row],[Producto]],FIND(" · ",tblMovimientos[[#This Row],[Producto]]&amp;" · ")-1)))</f>
        <v/>
      </c>
      <c r="H144" s="40" t="str">
        <f>IF(tblMovimientos[[#This Row],[SKU]]="","",IFERROR(INDEX(tblProductos[Unidad],MATCH(tblMovimientos[[#This Row],[SKU]],tblProductos[SKU],0)),"?"))</f>
        <v/>
      </c>
      <c r="I144" s="39"/>
      <c r="J144" s="47" t="str">
        <f>IF(tblMovimientos[[#This Row],[Tipo]]="","",IFERROR(INDEX(tblTiposMov[FactorStock],MATCH(tblMovimientos[[#This Row],[Tipo]],tblTiposMov[Tipo],0)),0))</f>
        <v/>
      </c>
      <c r="K1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" s="37"/>
      <c r="O144" s="37"/>
      <c r="P144" s="37"/>
    </row>
    <row r="145" spans="2:16" x14ac:dyDescent="0.25">
      <c r="B1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" s="46"/>
      <c r="D145" s="37"/>
      <c r="E145" s="37"/>
      <c r="F145" s="37"/>
      <c r="G145" s="40" t="str">
        <f>IF(tblMovimientos[[#This Row],[Producto]]="","",TRIM(LEFT(tblMovimientos[[#This Row],[Producto]],FIND(" · ",tblMovimientos[[#This Row],[Producto]]&amp;" · ")-1)))</f>
        <v/>
      </c>
      <c r="H145" s="40" t="str">
        <f>IF(tblMovimientos[[#This Row],[SKU]]="","",IFERROR(INDEX(tblProductos[Unidad],MATCH(tblMovimientos[[#This Row],[SKU]],tblProductos[SKU],0)),"?"))</f>
        <v/>
      </c>
      <c r="I145" s="39"/>
      <c r="J145" s="47" t="str">
        <f>IF(tblMovimientos[[#This Row],[Tipo]]="","",IFERROR(INDEX(tblTiposMov[FactorStock],MATCH(tblMovimientos[[#This Row],[Tipo]],tblTiposMov[Tipo],0)),0))</f>
        <v/>
      </c>
      <c r="K1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" s="37"/>
      <c r="O145" s="37"/>
      <c r="P145" s="37"/>
    </row>
    <row r="146" spans="2:16" x14ac:dyDescent="0.25">
      <c r="B1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" s="46"/>
      <c r="D146" s="37"/>
      <c r="E146" s="37"/>
      <c r="F146" s="37"/>
      <c r="G146" s="40" t="str">
        <f>IF(tblMovimientos[[#This Row],[Producto]]="","",TRIM(LEFT(tblMovimientos[[#This Row],[Producto]],FIND(" · ",tblMovimientos[[#This Row],[Producto]]&amp;" · ")-1)))</f>
        <v/>
      </c>
      <c r="H146" s="40" t="str">
        <f>IF(tblMovimientos[[#This Row],[SKU]]="","",IFERROR(INDEX(tblProductos[Unidad],MATCH(tblMovimientos[[#This Row],[SKU]],tblProductos[SKU],0)),"?"))</f>
        <v/>
      </c>
      <c r="I146" s="39"/>
      <c r="J146" s="47" t="str">
        <f>IF(tblMovimientos[[#This Row],[Tipo]]="","",IFERROR(INDEX(tblTiposMov[FactorStock],MATCH(tblMovimientos[[#This Row],[Tipo]],tblTiposMov[Tipo],0)),0))</f>
        <v/>
      </c>
      <c r="K1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" s="37"/>
      <c r="O146" s="37"/>
      <c r="P146" s="37"/>
    </row>
    <row r="147" spans="2:16" x14ac:dyDescent="0.25">
      <c r="B1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" s="46"/>
      <c r="D147" s="37"/>
      <c r="E147" s="37"/>
      <c r="F147" s="37"/>
      <c r="G147" s="40" t="str">
        <f>IF(tblMovimientos[[#This Row],[Producto]]="","",TRIM(LEFT(tblMovimientos[[#This Row],[Producto]],FIND(" · ",tblMovimientos[[#This Row],[Producto]]&amp;" · ")-1)))</f>
        <v/>
      </c>
      <c r="H147" s="40" t="str">
        <f>IF(tblMovimientos[[#This Row],[SKU]]="","",IFERROR(INDEX(tblProductos[Unidad],MATCH(tblMovimientos[[#This Row],[SKU]],tblProductos[SKU],0)),"?"))</f>
        <v/>
      </c>
      <c r="I147" s="39"/>
      <c r="J147" s="47" t="str">
        <f>IF(tblMovimientos[[#This Row],[Tipo]]="","",IFERROR(INDEX(tblTiposMov[FactorStock],MATCH(tblMovimientos[[#This Row],[Tipo]],tblTiposMov[Tipo],0)),0))</f>
        <v/>
      </c>
      <c r="K1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" s="37"/>
      <c r="O147" s="37"/>
      <c r="P147" s="37"/>
    </row>
    <row r="148" spans="2:16" x14ac:dyDescent="0.25">
      <c r="B1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" s="46"/>
      <c r="D148" s="37"/>
      <c r="E148" s="37"/>
      <c r="F148" s="37"/>
      <c r="G148" s="40" t="str">
        <f>IF(tblMovimientos[[#This Row],[Producto]]="","",TRIM(LEFT(tblMovimientos[[#This Row],[Producto]],FIND(" · ",tblMovimientos[[#This Row],[Producto]]&amp;" · ")-1)))</f>
        <v/>
      </c>
      <c r="H148" s="40" t="str">
        <f>IF(tblMovimientos[[#This Row],[SKU]]="","",IFERROR(INDEX(tblProductos[Unidad],MATCH(tblMovimientos[[#This Row],[SKU]],tblProductos[SKU],0)),"?"))</f>
        <v/>
      </c>
      <c r="I148" s="39"/>
      <c r="J148" s="47" t="str">
        <f>IF(tblMovimientos[[#This Row],[Tipo]]="","",IFERROR(INDEX(tblTiposMov[FactorStock],MATCH(tblMovimientos[[#This Row],[Tipo]],tblTiposMov[Tipo],0)),0))</f>
        <v/>
      </c>
      <c r="K1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" s="37"/>
      <c r="O148" s="37"/>
      <c r="P148" s="37"/>
    </row>
    <row r="149" spans="2:16" x14ac:dyDescent="0.25">
      <c r="B1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" s="46"/>
      <c r="D149" s="37"/>
      <c r="E149" s="37"/>
      <c r="F149" s="37"/>
      <c r="G149" s="40" t="str">
        <f>IF(tblMovimientos[[#This Row],[Producto]]="","",TRIM(LEFT(tblMovimientos[[#This Row],[Producto]],FIND(" · ",tblMovimientos[[#This Row],[Producto]]&amp;" · ")-1)))</f>
        <v/>
      </c>
      <c r="H149" s="40" t="str">
        <f>IF(tblMovimientos[[#This Row],[SKU]]="","",IFERROR(INDEX(tblProductos[Unidad],MATCH(tblMovimientos[[#This Row],[SKU]],tblProductos[SKU],0)),"?"))</f>
        <v/>
      </c>
      <c r="I149" s="39"/>
      <c r="J149" s="47" t="str">
        <f>IF(tblMovimientos[[#This Row],[Tipo]]="","",IFERROR(INDEX(tblTiposMov[FactorStock],MATCH(tblMovimientos[[#This Row],[Tipo]],tblTiposMov[Tipo],0)),0))</f>
        <v/>
      </c>
      <c r="K1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" s="37"/>
      <c r="O149" s="37"/>
      <c r="P149" s="37"/>
    </row>
    <row r="150" spans="2:16" x14ac:dyDescent="0.25">
      <c r="B1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" s="46"/>
      <c r="D150" s="37"/>
      <c r="E150" s="37"/>
      <c r="F150" s="37"/>
      <c r="G150" s="40" t="str">
        <f>IF(tblMovimientos[[#This Row],[Producto]]="","",TRIM(LEFT(tblMovimientos[[#This Row],[Producto]],FIND(" · ",tblMovimientos[[#This Row],[Producto]]&amp;" · ")-1)))</f>
        <v/>
      </c>
      <c r="H150" s="40" t="str">
        <f>IF(tblMovimientos[[#This Row],[SKU]]="","",IFERROR(INDEX(tblProductos[Unidad],MATCH(tblMovimientos[[#This Row],[SKU]],tblProductos[SKU],0)),"?"))</f>
        <v/>
      </c>
      <c r="I150" s="39"/>
      <c r="J150" s="47" t="str">
        <f>IF(tblMovimientos[[#This Row],[Tipo]]="","",IFERROR(INDEX(tblTiposMov[FactorStock],MATCH(tblMovimientos[[#This Row],[Tipo]],tblTiposMov[Tipo],0)),0))</f>
        <v/>
      </c>
      <c r="K1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" s="37"/>
      <c r="O150" s="37"/>
      <c r="P150" s="37"/>
    </row>
    <row r="151" spans="2:16" x14ac:dyDescent="0.25">
      <c r="B1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" s="46"/>
      <c r="D151" s="37"/>
      <c r="E151" s="37"/>
      <c r="F151" s="37"/>
      <c r="G151" s="40" t="str">
        <f>IF(tblMovimientos[[#This Row],[Producto]]="","",TRIM(LEFT(tblMovimientos[[#This Row],[Producto]],FIND(" · ",tblMovimientos[[#This Row],[Producto]]&amp;" · ")-1)))</f>
        <v/>
      </c>
      <c r="H151" s="40" t="str">
        <f>IF(tblMovimientos[[#This Row],[SKU]]="","",IFERROR(INDEX(tblProductos[Unidad],MATCH(tblMovimientos[[#This Row],[SKU]],tblProductos[SKU],0)),"?"))</f>
        <v/>
      </c>
      <c r="I151" s="39"/>
      <c r="J151" s="47" t="str">
        <f>IF(tblMovimientos[[#This Row],[Tipo]]="","",IFERROR(INDEX(tblTiposMov[FactorStock],MATCH(tblMovimientos[[#This Row],[Tipo]],tblTiposMov[Tipo],0)),0))</f>
        <v/>
      </c>
      <c r="K1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" s="37"/>
      <c r="O151" s="37"/>
      <c r="P151" s="37"/>
    </row>
    <row r="152" spans="2:16" x14ac:dyDescent="0.25">
      <c r="B1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" s="46"/>
      <c r="D152" s="37"/>
      <c r="E152" s="37"/>
      <c r="F152" s="37"/>
      <c r="G152" s="40" t="str">
        <f>IF(tblMovimientos[[#This Row],[Producto]]="","",TRIM(LEFT(tblMovimientos[[#This Row],[Producto]],FIND(" · ",tblMovimientos[[#This Row],[Producto]]&amp;" · ")-1)))</f>
        <v/>
      </c>
      <c r="H152" s="40" t="str">
        <f>IF(tblMovimientos[[#This Row],[SKU]]="","",IFERROR(INDEX(tblProductos[Unidad],MATCH(tblMovimientos[[#This Row],[SKU]],tblProductos[SKU],0)),"?"))</f>
        <v/>
      </c>
      <c r="I152" s="39"/>
      <c r="J152" s="47" t="str">
        <f>IF(tblMovimientos[[#This Row],[Tipo]]="","",IFERROR(INDEX(tblTiposMov[FactorStock],MATCH(tblMovimientos[[#This Row],[Tipo]],tblTiposMov[Tipo],0)),0))</f>
        <v/>
      </c>
      <c r="K1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" s="37"/>
      <c r="O152" s="37"/>
      <c r="P152" s="37"/>
    </row>
    <row r="153" spans="2:16" x14ac:dyDescent="0.25">
      <c r="B1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" s="46"/>
      <c r="D153" s="37"/>
      <c r="E153" s="37"/>
      <c r="F153" s="37"/>
      <c r="G153" s="40" t="str">
        <f>IF(tblMovimientos[[#This Row],[Producto]]="","",TRIM(LEFT(tblMovimientos[[#This Row],[Producto]],FIND(" · ",tblMovimientos[[#This Row],[Producto]]&amp;" · ")-1)))</f>
        <v/>
      </c>
      <c r="H153" s="40" t="str">
        <f>IF(tblMovimientos[[#This Row],[SKU]]="","",IFERROR(INDEX(tblProductos[Unidad],MATCH(tblMovimientos[[#This Row],[SKU]],tblProductos[SKU],0)),"?"))</f>
        <v/>
      </c>
      <c r="I153" s="39"/>
      <c r="J153" s="47" t="str">
        <f>IF(tblMovimientos[[#This Row],[Tipo]]="","",IFERROR(INDEX(tblTiposMov[FactorStock],MATCH(tblMovimientos[[#This Row],[Tipo]],tblTiposMov[Tipo],0)),0))</f>
        <v/>
      </c>
      <c r="K1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" s="37"/>
      <c r="O153" s="37"/>
      <c r="P153" s="37"/>
    </row>
    <row r="154" spans="2:16" x14ac:dyDescent="0.25">
      <c r="B1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" s="46"/>
      <c r="D154" s="37"/>
      <c r="E154" s="37"/>
      <c r="F154" s="37"/>
      <c r="G154" s="40" t="str">
        <f>IF(tblMovimientos[[#This Row],[Producto]]="","",TRIM(LEFT(tblMovimientos[[#This Row],[Producto]],FIND(" · ",tblMovimientos[[#This Row],[Producto]]&amp;" · ")-1)))</f>
        <v/>
      </c>
      <c r="H154" s="40" t="str">
        <f>IF(tblMovimientos[[#This Row],[SKU]]="","",IFERROR(INDEX(tblProductos[Unidad],MATCH(tblMovimientos[[#This Row],[SKU]],tblProductos[SKU],0)),"?"))</f>
        <v/>
      </c>
      <c r="I154" s="39"/>
      <c r="J154" s="47" t="str">
        <f>IF(tblMovimientos[[#This Row],[Tipo]]="","",IFERROR(INDEX(tblTiposMov[FactorStock],MATCH(tblMovimientos[[#This Row],[Tipo]],tblTiposMov[Tipo],0)),0))</f>
        <v/>
      </c>
      <c r="K1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" s="37"/>
      <c r="O154" s="37"/>
      <c r="P154" s="37"/>
    </row>
    <row r="155" spans="2:16" x14ac:dyDescent="0.25">
      <c r="B1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" s="46"/>
      <c r="D155" s="37"/>
      <c r="E155" s="37"/>
      <c r="F155" s="37"/>
      <c r="G155" s="40" t="str">
        <f>IF(tblMovimientos[[#This Row],[Producto]]="","",TRIM(LEFT(tblMovimientos[[#This Row],[Producto]],FIND(" · ",tblMovimientos[[#This Row],[Producto]]&amp;" · ")-1)))</f>
        <v/>
      </c>
      <c r="H155" s="40" t="str">
        <f>IF(tblMovimientos[[#This Row],[SKU]]="","",IFERROR(INDEX(tblProductos[Unidad],MATCH(tblMovimientos[[#This Row],[SKU]],tblProductos[SKU],0)),"?"))</f>
        <v/>
      </c>
      <c r="I155" s="39"/>
      <c r="J155" s="47" t="str">
        <f>IF(tblMovimientos[[#This Row],[Tipo]]="","",IFERROR(INDEX(tblTiposMov[FactorStock],MATCH(tblMovimientos[[#This Row],[Tipo]],tblTiposMov[Tipo],0)),0))</f>
        <v/>
      </c>
      <c r="K1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" s="37"/>
      <c r="O155" s="37"/>
      <c r="P155" s="37"/>
    </row>
    <row r="156" spans="2:16" x14ac:dyDescent="0.25">
      <c r="B1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" s="46"/>
      <c r="D156" s="37"/>
      <c r="E156" s="37"/>
      <c r="F156" s="37"/>
      <c r="G156" s="40" t="str">
        <f>IF(tblMovimientos[[#This Row],[Producto]]="","",TRIM(LEFT(tblMovimientos[[#This Row],[Producto]],FIND(" · ",tblMovimientos[[#This Row],[Producto]]&amp;" · ")-1)))</f>
        <v/>
      </c>
      <c r="H156" s="40" t="str">
        <f>IF(tblMovimientos[[#This Row],[SKU]]="","",IFERROR(INDEX(tblProductos[Unidad],MATCH(tblMovimientos[[#This Row],[SKU]],tblProductos[SKU],0)),"?"))</f>
        <v/>
      </c>
      <c r="I156" s="39"/>
      <c r="J156" s="47" t="str">
        <f>IF(tblMovimientos[[#This Row],[Tipo]]="","",IFERROR(INDEX(tblTiposMov[FactorStock],MATCH(tblMovimientos[[#This Row],[Tipo]],tblTiposMov[Tipo],0)),0))</f>
        <v/>
      </c>
      <c r="K1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" s="37"/>
      <c r="O156" s="37"/>
      <c r="P156" s="37"/>
    </row>
    <row r="157" spans="2:16" x14ac:dyDescent="0.25">
      <c r="B1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" s="46"/>
      <c r="D157" s="37"/>
      <c r="E157" s="37"/>
      <c r="F157" s="37"/>
      <c r="G157" s="40" t="str">
        <f>IF(tblMovimientos[[#This Row],[Producto]]="","",TRIM(LEFT(tblMovimientos[[#This Row],[Producto]],FIND(" · ",tblMovimientos[[#This Row],[Producto]]&amp;" · ")-1)))</f>
        <v/>
      </c>
      <c r="H157" s="40" t="str">
        <f>IF(tblMovimientos[[#This Row],[SKU]]="","",IFERROR(INDEX(tblProductos[Unidad],MATCH(tblMovimientos[[#This Row],[SKU]],tblProductos[SKU],0)),"?"))</f>
        <v/>
      </c>
      <c r="I157" s="39"/>
      <c r="J157" s="47" t="str">
        <f>IF(tblMovimientos[[#This Row],[Tipo]]="","",IFERROR(INDEX(tblTiposMov[FactorStock],MATCH(tblMovimientos[[#This Row],[Tipo]],tblTiposMov[Tipo],0)),0))</f>
        <v/>
      </c>
      <c r="K1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" s="37"/>
      <c r="O157" s="37"/>
      <c r="P157" s="37"/>
    </row>
    <row r="158" spans="2:16" x14ac:dyDescent="0.25">
      <c r="B1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" s="46"/>
      <c r="D158" s="37"/>
      <c r="E158" s="37"/>
      <c r="F158" s="37"/>
      <c r="G158" s="40" t="str">
        <f>IF(tblMovimientos[[#This Row],[Producto]]="","",TRIM(LEFT(tblMovimientos[[#This Row],[Producto]],FIND(" · ",tblMovimientos[[#This Row],[Producto]]&amp;" · ")-1)))</f>
        <v/>
      </c>
      <c r="H158" s="40" t="str">
        <f>IF(tblMovimientos[[#This Row],[SKU]]="","",IFERROR(INDEX(tblProductos[Unidad],MATCH(tblMovimientos[[#This Row],[SKU]],tblProductos[SKU],0)),"?"))</f>
        <v/>
      </c>
      <c r="I158" s="39"/>
      <c r="J158" s="47" t="str">
        <f>IF(tblMovimientos[[#This Row],[Tipo]]="","",IFERROR(INDEX(tblTiposMov[FactorStock],MATCH(tblMovimientos[[#This Row],[Tipo]],tblTiposMov[Tipo],0)),0))</f>
        <v/>
      </c>
      <c r="K1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" s="37"/>
      <c r="O158" s="37"/>
      <c r="P158" s="37"/>
    </row>
    <row r="159" spans="2:16" x14ac:dyDescent="0.25">
      <c r="B1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" s="46"/>
      <c r="D159" s="37"/>
      <c r="E159" s="37"/>
      <c r="F159" s="37"/>
      <c r="G159" s="40" t="str">
        <f>IF(tblMovimientos[[#This Row],[Producto]]="","",TRIM(LEFT(tblMovimientos[[#This Row],[Producto]],FIND(" · ",tblMovimientos[[#This Row],[Producto]]&amp;" · ")-1)))</f>
        <v/>
      </c>
      <c r="H159" s="40" t="str">
        <f>IF(tblMovimientos[[#This Row],[SKU]]="","",IFERROR(INDEX(tblProductos[Unidad],MATCH(tblMovimientos[[#This Row],[SKU]],tblProductos[SKU],0)),"?"))</f>
        <v/>
      </c>
      <c r="I159" s="39"/>
      <c r="J159" s="47" t="str">
        <f>IF(tblMovimientos[[#This Row],[Tipo]]="","",IFERROR(INDEX(tblTiposMov[FactorStock],MATCH(tblMovimientos[[#This Row],[Tipo]],tblTiposMov[Tipo],0)),0))</f>
        <v/>
      </c>
      <c r="K1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" s="37"/>
      <c r="O159" s="37"/>
      <c r="P159" s="37"/>
    </row>
    <row r="160" spans="2:16" x14ac:dyDescent="0.25">
      <c r="B1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" s="46"/>
      <c r="D160" s="37"/>
      <c r="E160" s="37"/>
      <c r="F160" s="37"/>
      <c r="G160" s="40" t="str">
        <f>IF(tblMovimientos[[#This Row],[Producto]]="","",TRIM(LEFT(tblMovimientos[[#This Row],[Producto]],FIND(" · ",tblMovimientos[[#This Row],[Producto]]&amp;" · ")-1)))</f>
        <v/>
      </c>
      <c r="H160" s="40" t="str">
        <f>IF(tblMovimientos[[#This Row],[SKU]]="","",IFERROR(INDEX(tblProductos[Unidad],MATCH(tblMovimientos[[#This Row],[SKU]],tblProductos[SKU],0)),"?"))</f>
        <v/>
      </c>
      <c r="I160" s="39"/>
      <c r="J160" s="47" t="str">
        <f>IF(tblMovimientos[[#This Row],[Tipo]]="","",IFERROR(INDEX(tblTiposMov[FactorStock],MATCH(tblMovimientos[[#This Row],[Tipo]],tblTiposMov[Tipo],0)),0))</f>
        <v/>
      </c>
      <c r="K1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" s="37"/>
      <c r="O160" s="37"/>
      <c r="P160" s="37"/>
    </row>
    <row r="161" spans="2:16" x14ac:dyDescent="0.25">
      <c r="B1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" s="46"/>
      <c r="D161" s="37"/>
      <c r="E161" s="37"/>
      <c r="F161" s="37"/>
      <c r="G161" s="40" t="str">
        <f>IF(tblMovimientos[[#This Row],[Producto]]="","",TRIM(LEFT(tblMovimientos[[#This Row],[Producto]],FIND(" · ",tblMovimientos[[#This Row],[Producto]]&amp;" · ")-1)))</f>
        <v/>
      </c>
      <c r="H161" s="40" t="str">
        <f>IF(tblMovimientos[[#This Row],[SKU]]="","",IFERROR(INDEX(tblProductos[Unidad],MATCH(tblMovimientos[[#This Row],[SKU]],tblProductos[SKU],0)),"?"))</f>
        <v/>
      </c>
      <c r="I161" s="39"/>
      <c r="J161" s="47" t="str">
        <f>IF(tblMovimientos[[#This Row],[Tipo]]="","",IFERROR(INDEX(tblTiposMov[FactorStock],MATCH(tblMovimientos[[#This Row],[Tipo]],tblTiposMov[Tipo],0)),0))</f>
        <v/>
      </c>
      <c r="K1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" s="37"/>
      <c r="O161" s="37"/>
      <c r="P161" s="37"/>
    </row>
    <row r="162" spans="2:16" x14ac:dyDescent="0.25">
      <c r="B1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" s="46"/>
      <c r="D162" s="37"/>
      <c r="E162" s="37"/>
      <c r="F162" s="37"/>
      <c r="G162" s="40" t="str">
        <f>IF(tblMovimientos[[#This Row],[Producto]]="","",TRIM(LEFT(tblMovimientos[[#This Row],[Producto]],FIND(" · ",tblMovimientos[[#This Row],[Producto]]&amp;" · ")-1)))</f>
        <v/>
      </c>
      <c r="H162" s="40" t="str">
        <f>IF(tblMovimientos[[#This Row],[SKU]]="","",IFERROR(INDEX(tblProductos[Unidad],MATCH(tblMovimientos[[#This Row],[SKU]],tblProductos[SKU],0)),"?"))</f>
        <v/>
      </c>
      <c r="I162" s="39"/>
      <c r="J162" s="47" t="str">
        <f>IF(tblMovimientos[[#This Row],[Tipo]]="","",IFERROR(INDEX(tblTiposMov[FactorStock],MATCH(tblMovimientos[[#This Row],[Tipo]],tblTiposMov[Tipo],0)),0))</f>
        <v/>
      </c>
      <c r="K1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" s="37"/>
      <c r="O162" s="37"/>
      <c r="P162" s="37"/>
    </row>
    <row r="163" spans="2:16" x14ac:dyDescent="0.25">
      <c r="B1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" s="46"/>
      <c r="D163" s="37"/>
      <c r="E163" s="37"/>
      <c r="F163" s="37"/>
      <c r="G163" s="40" t="str">
        <f>IF(tblMovimientos[[#This Row],[Producto]]="","",TRIM(LEFT(tblMovimientos[[#This Row],[Producto]],FIND(" · ",tblMovimientos[[#This Row],[Producto]]&amp;" · ")-1)))</f>
        <v/>
      </c>
      <c r="H163" s="40" t="str">
        <f>IF(tblMovimientos[[#This Row],[SKU]]="","",IFERROR(INDEX(tblProductos[Unidad],MATCH(tblMovimientos[[#This Row],[SKU]],tblProductos[SKU],0)),"?"))</f>
        <v/>
      </c>
      <c r="I163" s="39"/>
      <c r="J163" s="47" t="str">
        <f>IF(tblMovimientos[[#This Row],[Tipo]]="","",IFERROR(INDEX(tblTiposMov[FactorStock],MATCH(tblMovimientos[[#This Row],[Tipo]],tblTiposMov[Tipo],0)),0))</f>
        <v/>
      </c>
      <c r="K1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" s="37"/>
      <c r="O163" s="37"/>
      <c r="P163" s="37"/>
    </row>
    <row r="164" spans="2:16" x14ac:dyDescent="0.25">
      <c r="B1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" s="46"/>
      <c r="D164" s="37"/>
      <c r="E164" s="37"/>
      <c r="F164" s="37"/>
      <c r="G164" s="40" t="str">
        <f>IF(tblMovimientos[[#This Row],[Producto]]="","",TRIM(LEFT(tblMovimientos[[#This Row],[Producto]],FIND(" · ",tblMovimientos[[#This Row],[Producto]]&amp;" · ")-1)))</f>
        <v/>
      </c>
      <c r="H164" s="40" t="str">
        <f>IF(tblMovimientos[[#This Row],[SKU]]="","",IFERROR(INDEX(tblProductos[Unidad],MATCH(tblMovimientos[[#This Row],[SKU]],tblProductos[SKU],0)),"?"))</f>
        <v/>
      </c>
      <c r="I164" s="39"/>
      <c r="J164" s="47" t="str">
        <f>IF(tblMovimientos[[#This Row],[Tipo]]="","",IFERROR(INDEX(tblTiposMov[FactorStock],MATCH(tblMovimientos[[#This Row],[Tipo]],tblTiposMov[Tipo],0)),0))</f>
        <v/>
      </c>
      <c r="K1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" s="37"/>
      <c r="O164" s="37"/>
      <c r="P164" s="37"/>
    </row>
    <row r="165" spans="2:16" x14ac:dyDescent="0.25">
      <c r="B1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" s="46"/>
      <c r="D165" s="37"/>
      <c r="E165" s="37"/>
      <c r="F165" s="37"/>
      <c r="G165" s="40" t="str">
        <f>IF(tblMovimientos[[#This Row],[Producto]]="","",TRIM(LEFT(tblMovimientos[[#This Row],[Producto]],FIND(" · ",tblMovimientos[[#This Row],[Producto]]&amp;" · ")-1)))</f>
        <v/>
      </c>
      <c r="H165" s="40" t="str">
        <f>IF(tblMovimientos[[#This Row],[SKU]]="","",IFERROR(INDEX(tblProductos[Unidad],MATCH(tblMovimientos[[#This Row],[SKU]],tblProductos[SKU],0)),"?"))</f>
        <v/>
      </c>
      <c r="I165" s="39"/>
      <c r="J165" s="47" t="str">
        <f>IF(tblMovimientos[[#This Row],[Tipo]]="","",IFERROR(INDEX(tblTiposMov[FactorStock],MATCH(tblMovimientos[[#This Row],[Tipo]],tblTiposMov[Tipo],0)),0))</f>
        <v/>
      </c>
      <c r="K1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" s="37"/>
      <c r="O165" s="37"/>
      <c r="P165" s="37"/>
    </row>
    <row r="166" spans="2:16" x14ac:dyDescent="0.25">
      <c r="B1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" s="46"/>
      <c r="D166" s="37"/>
      <c r="E166" s="37"/>
      <c r="F166" s="37"/>
      <c r="G166" s="40" t="str">
        <f>IF(tblMovimientos[[#This Row],[Producto]]="","",TRIM(LEFT(tblMovimientos[[#This Row],[Producto]],FIND(" · ",tblMovimientos[[#This Row],[Producto]]&amp;" · ")-1)))</f>
        <v/>
      </c>
      <c r="H166" s="40" t="str">
        <f>IF(tblMovimientos[[#This Row],[SKU]]="","",IFERROR(INDEX(tblProductos[Unidad],MATCH(tblMovimientos[[#This Row],[SKU]],tblProductos[SKU],0)),"?"))</f>
        <v/>
      </c>
      <c r="I166" s="39"/>
      <c r="J166" s="47" t="str">
        <f>IF(tblMovimientos[[#This Row],[Tipo]]="","",IFERROR(INDEX(tblTiposMov[FactorStock],MATCH(tblMovimientos[[#This Row],[Tipo]],tblTiposMov[Tipo],0)),0))</f>
        <v/>
      </c>
      <c r="K1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" s="37"/>
      <c r="O166" s="37"/>
      <c r="P166" s="37"/>
    </row>
    <row r="167" spans="2:16" x14ac:dyDescent="0.25">
      <c r="B1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" s="46"/>
      <c r="D167" s="37"/>
      <c r="E167" s="37"/>
      <c r="F167" s="37"/>
      <c r="G167" s="40" t="str">
        <f>IF(tblMovimientos[[#This Row],[Producto]]="","",TRIM(LEFT(tblMovimientos[[#This Row],[Producto]],FIND(" · ",tblMovimientos[[#This Row],[Producto]]&amp;" · ")-1)))</f>
        <v/>
      </c>
      <c r="H167" s="40" t="str">
        <f>IF(tblMovimientos[[#This Row],[SKU]]="","",IFERROR(INDEX(tblProductos[Unidad],MATCH(tblMovimientos[[#This Row],[SKU]],tblProductos[SKU],0)),"?"))</f>
        <v/>
      </c>
      <c r="I167" s="39"/>
      <c r="J167" s="47" t="str">
        <f>IF(tblMovimientos[[#This Row],[Tipo]]="","",IFERROR(INDEX(tblTiposMov[FactorStock],MATCH(tblMovimientos[[#This Row],[Tipo]],tblTiposMov[Tipo],0)),0))</f>
        <v/>
      </c>
      <c r="K1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" s="37"/>
      <c r="O167" s="37"/>
      <c r="P167" s="37"/>
    </row>
    <row r="168" spans="2:16" x14ac:dyDescent="0.25">
      <c r="B1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" s="46"/>
      <c r="D168" s="37"/>
      <c r="E168" s="37"/>
      <c r="F168" s="37"/>
      <c r="G168" s="40" t="str">
        <f>IF(tblMovimientos[[#This Row],[Producto]]="","",TRIM(LEFT(tblMovimientos[[#This Row],[Producto]],FIND(" · ",tblMovimientos[[#This Row],[Producto]]&amp;" · ")-1)))</f>
        <v/>
      </c>
      <c r="H168" s="40" t="str">
        <f>IF(tblMovimientos[[#This Row],[SKU]]="","",IFERROR(INDEX(tblProductos[Unidad],MATCH(tblMovimientos[[#This Row],[SKU]],tblProductos[SKU],0)),"?"))</f>
        <v/>
      </c>
      <c r="I168" s="39"/>
      <c r="J168" s="47" t="str">
        <f>IF(tblMovimientos[[#This Row],[Tipo]]="","",IFERROR(INDEX(tblTiposMov[FactorStock],MATCH(tblMovimientos[[#This Row],[Tipo]],tblTiposMov[Tipo],0)),0))</f>
        <v/>
      </c>
      <c r="K1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" s="37"/>
      <c r="O168" s="37"/>
      <c r="P168" s="37"/>
    </row>
    <row r="169" spans="2:16" x14ac:dyDescent="0.25">
      <c r="B1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" s="46"/>
      <c r="D169" s="37"/>
      <c r="E169" s="37"/>
      <c r="F169" s="37"/>
      <c r="G169" s="40" t="str">
        <f>IF(tblMovimientos[[#This Row],[Producto]]="","",TRIM(LEFT(tblMovimientos[[#This Row],[Producto]],FIND(" · ",tblMovimientos[[#This Row],[Producto]]&amp;" · ")-1)))</f>
        <v/>
      </c>
      <c r="H169" s="40" t="str">
        <f>IF(tblMovimientos[[#This Row],[SKU]]="","",IFERROR(INDEX(tblProductos[Unidad],MATCH(tblMovimientos[[#This Row],[SKU]],tblProductos[SKU],0)),"?"))</f>
        <v/>
      </c>
      <c r="I169" s="39"/>
      <c r="J169" s="47" t="str">
        <f>IF(tblMovimientos[[#This Row],[Tipo]]="","",IFERROR(INDEX(tblTiposMov[FactorStock],MATCH(tblMovimientos[[#This Row],[Tipo]],tblTiposMov[Tipo],0)),0))</f>
        <v/>
      </c>
      <c r="K1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" s="37"/>
      <c r="O169" s="37"/>
      <c r="P169" s="37"/>
    </row>
    <row r="170" spans="2:16" x14ac:dyDescent="0.25">
      <c r="B1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" s="46"/>
      <c r="D170" s="37"/>
      <c r="E170" s="37"/>
      <c r="F170" s="37"/>
      <c r="G170" s="40" t="str">
        <f>IF(tblMovimientos[[#This Row],[Producto]]="","",TRIM(LEFT(tblMovimientos[[#This Row],[Producto]],FIND(" · ",tblMovimientos[[#This Row],[Producto]]&amp;" · ")-1)))</f>
        <v/>
      </c>
      <c r="H170" s="40" t="str">
        <f>IF(tblMovimientos[[#This Row],[SKU]]="","",IFERROR(INDEX(tblProductos[Unidad],MATCH(tblMovimientos[[#This Row],[SKU]],tblProductos[SKU],0)),"?"))</f>
        <v/>
      </c>
      <c r="I170" s="39"/>
      <c r="J170" s="47" t="str">
        <f>IF(tblMovimientos[[#This Row],[Tipo]]="","",IFERROR(INDEX(tblTiposMov[FactorStock],MATCH(tblMovimientos[[#This Row],[Tipo]],tblTiposMov[Tipo],0)),0))</f>
        <v/>
      </c>
      <c r="K1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" s="37"/>
      <c r="O170" s="37"/>
      <c r="P170" s="37"/>
    </row>
    <row r="171" spans="2:16" x14ac:dyDescent="0.25">
      <c r="B1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" s="46"/>
      <c r="D171" s="37"/>
      <c r="E171" s="37"/>
      <c r="F171" s="37"/>
      <c r="G171" s="40" t="str">
        <f>IF(tblMovimientos[[#This Row],[Producto]]="","",TRIM(LEFT(tblMovimientos[[#This Row],[Producto]],FIND(" · ",tblMovimientos[[#This Row],[Producto]]&amp;" · ")-1)))</f>
        <v/>
      </c>
      <c r="H171" s="40" t="str">
        <f>IF(tblMovimientos[[#This Row],[SKU]]="","",IFERROR(INDEX(tblProductos[Unidad],MATCH(tblMovimientos[[#This Row],[SKU]],tblProductos[SKU],0)),"?"))</f>
        <v/>
      </c>
      <c r="I171" s="39"/>
      <c r="J171" s="47" t="str">
        <f>IF(tblMovimientos[[#This Row],[Tipo]]="","",IFERROR(INDEX(tblTiposMov[FactorStock],MATCH(tblMovimientos[[#This Row],[Tipo]],tblTiposMov[Tipo],0)),0))</f>
        <v/>
      </c>
      <c r="K1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" s="37"/>
      <c r="O171" s="37"/>
      <c r="P171" s="37"/>
    </row>
    <row r="172" spans="2:16" x14ac:dyDescent="0.25">
      <c r="B1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" s="46"/>
      <c r="D172" s="37"/>
      <c r="E172" s="37"/>
      <c r="F172" s="37"/>
      <c r="G172" s="40" t="str">
        <f>IF(tblMovimientos[[#This Row],[Producto]]="","",TRIM(LEFT(tblMovimientos[[#This Row],[Producto]],FIND(" · ",tblMovimientos[[#This Row],[Producto]]&amp;" · ")-1)))</f>
        <v/>
      </c>
      <c r="H172" s="40" t="str">
        <f>IF(tblMovimientos[[#This Row],[SKU]]="","",IFERROR(INDEX(tblProductos[Unidad],MATCH(tblMovimientos[[#This Row],[SKU]],tblProductos[SKU],0)),"?"))</f>
        <v/>
      </c>
      <c r="I172" s="39"/>
      <c r="J172" s="47" t="str">
        <f>IF(tblMovimientos[[#This Row],[Tipo]]="","",IFERROR(INDEX(tblTiposMov[FactorStock],MATCH(tblMovimientos[[#This Row],[Tipo]],tblTiposMov[Tipo],0)),0))</f>
        <v/>
      </c>
      <c r="K1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" s="37"/>
      <c r="O172" s="37"/>
      <c r="P172" s="37"/>
    </row>
    <row r="173" spans="2:16" x14ac:dyDescent="0.25">
      <c r="B1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" s="46"/>
      <c r="D173" s="37"/>
      <c r="E173" s="37"/>
      <c r="F173" s="37"/>
      <c r="G173" s="40" t="str">
        <f>IF(tblMovimientos[[#This Row],[Producto]]="","",TRIM(LEFT(tblMovimientos[[#This Row],[Producto]],FIND(" · ",tblMovimientos[[#This Row],[Producto]]&amp;" · ")-1)))</f>
        <v/>
      </c>
      <c r="H173" s="40" t="str">
        <f>IF(tblMovimientos[[#This Row],[SKU]]="","",IFERROR(INDEX(tblProductos[Unidad],MATCH(tblMovimientos[[#This Row],[SKU]],tblProductos[SKU],0)),"?"))</f>
        <v/>
      </c>
      <c r="I173" s="39"/>
      <c r="J173" s="47" t="str">
        <f>IF(tblMovimientos[[#This Row],[Tipo]]="","",IFERROR(INDEX(tblTiposMov[FactorStock],MATCH(tblMovimientos[[#This Row],[Tipo]],tblTiposMov[Tipo],0)),0))</f>
        <v/>
      </c>
      <c r="K1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" s="37"/>
      <c r="O173" s="37"/>
      <c r="P173" s="37"/>
    </row>
    <row r="174" spans="2:16" x14ac:dyDescent="0.25">
      <c r="B1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" s="46"/>
      <c r="D174" s="37"/>
      <c r="E174" s="37"/>
      <c r="F174" s="37"/>
      <c r="G174" s="40" t="str">
        <f>IF(tblMovimientos[[#This Row],[Producto]]="","",TRIM(LEFT(tblMovimientos[[#This Row],[Producto]],FIND(" · ",tblMovimientos[[#This Row],[Producto]]&amp;" · ")-1)))</f>
        <v/>
      </c>
      <c r="H174" s="40" t="str">
        <f>IF(tblMovimientos[[#This Row],[SKU]]="","",IFERROR(INDEX(tblProductos[Unidad],MATCH(tblMovimientos[[#This Row],[SKU]],tblProductos[SKU],0)),"?"))</f>
        <v/>
      </c>
      <c r="I174" s="39"/>
      <c r="J174" s="47" t="str">
        <f>IF(tblMovimientos[[#This Row],[Tipo]]="","",IFERROR(INDEX(tblTiposMov[FactorStock],MATCH(tblMovimientos[[#This Row],[Tipo]],tblTiposMov[Tipo],0)),0))</f>
        <v/>
      </c>
      <c r="K1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" s="37"/>
      <c r="O174" s="37"/>
      <c r="P174" s="37"/>
    </row>
    <row r="175" spans="2:16" x14ac:dyDescent="0.25">
      <c r="B1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" s="46"/>
      <c r="D175" s="37"/>
      <c r="E175" s="37"/>
      <c r="F175" s="37"/>
      <c r="G175" s="40" t="str">
        <f>IF(tblMovimientos[[#This Row],[Producto]]="","",TRIM(LEFT(tblMovimientos[[#This Row],[Producto]],FIND(" · ",tblMovimientos[[#This Row],[Producto]]&amp;" · ")-1)))</f>
        <v/>
      </c>
      <c r="H175" s="40" t="str">
        <f>IF(tblMovimientos[[#This Row],[SKU]]="","",IFERROR(INDEX(tblProductos[Unidad],MATCH(tblMovimientos[[#This Row],[SKU]],tblProductos[SKU],0)),"?"))</f>
        <v/>
      </c>
      <c r="I175" s="39"/>
      <c r="J175" s="47" t="str">
        <f>IF(tblMovimientos[[#This Row],[Tipo]]="","",IFERROR(INDEX(tblTiposMov[FactorStock],MATCH(tblMovimientos[[#This Row],[Tipo]],tblTiposMov[Tipo],0)),0))</f>
        <v/>
      </c>
      <c r="K1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" s="37"/>
      <c r="O175" s="37"/>
      <c r="P175" s="37"/>
    </row>
    <row r="176" spans="2:16" x14ac:dyDescent="0.25">
      <c r="B1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" s="46"/>
      <c r="D176" s="37"/>
      <c r="E176" s="37"/>
      <c r="F176" s="37"/>
      <c r="G176" s="40" t="str">
        <f>IF(tblMovimientos[[#This Row],[Producto]]="","",TRIM(LEFT(tblMovimientos[[#This Row],[Producto]],FIND(" · ",tblMovimientos[[#This Row],[Producto]]&amp;" · ")-1)))</f>
        <v/>
      </c>
      <c r="H176" s="40" t="str">
        <f>IF(tblMovimientos[[#This Row],[SKU]]="","",IFERROR(INDEX(tblProductos[Unidad],MATCH(tblMovimientos[[#This Row],[SKU]],tblProductos[SKU],0)),"?"))</f>
        <v/>
      </c>
      <c r="I176" s="39"/>
      <c r="J176" s="47" t="str">
        <f>IF(tblMovimientos[[#This Row],[Tipo]]="","",IFERROR(INDEX(tblTiposMov[FactorStock],MATCH(tblMovimientos[[#This Row],[Tipo]],tblTiposMov[Tipo],0)),0))</f>
        <v/>
      </c>
      <c r="K1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" s="37"/>
      <c r="O176" s="37"/>
      <c r="P176" s="37"/>
    </row>
    <row r="177" spans="2:16" x14ac:dyDescent="0.25">
      <c r="B1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" s="46"/>
      <c r="D177" s="37"/>
      <c r="E177" s="37"/>
      <c r="F177" s="37"/>
      <c r="G177" s="40" t="str">
        <f>IF(tblMovimientos[[#This Row],[Producto]]="","",TRIM(LEFT(tblMovimientos[[#This Row],[Producto]],FIND(" · ",tblMovimientos[[#This Row],[Producto]]&amp;" · ")-1)))</f>
        <v/>
      </c>
      <c r="H177" s="40" t="str">
        <f>IF(tblMovimientos[[#This Row],[SKU]]="","",IFERROR(INDEX(tblProductos[Unidad],MATCH(tblMovimientos[[#This Row],[SKU]],tblProductos[SKU],0)),"?"))</f>
        <v/>
      </c>
      <c r="I177" s="39"/>
      <c r="J177" s="47" t="str">
        <f>IF(tblMovimientos[[#This Row],[Tipo]]="","",IFERROR(INDEX(tblTiposMov[FactorStock],MATCH(tblMovimientos[[#This Row],[Tipo]],tblTiposMov[Tipo],0)),0))</f>
        <v/>
      </c>
      <c r="K1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" s="37"/>
      <c r="O177" s="37"/>
      <c r="P177" s="37"/>
    </row>
    <row r="178" spans="2:16" x14ac:dyDescent="0.25">
      <c r="B1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" s="46"/>
      <c r="D178" s="37"/>
      <c r="E178" s="37"/>
      <c r="F178" s="37"/>
      <c r="G178" s="40" t="str">
        <f>IF(tblMovimientos[[#This Row],[Producto]]="","",TRIM(LEFT(tblMovimientos[[#This Row],[Producto]],FIND(" · ",tblMovimientos[[#This Row],[Producto]]&amp;" · ")-1)))</f>
        <v/>
      </c>
      <c r="H178" s="40" t="str">
        <f>IF(tblMovimientos[[#This Row],[SKU]]="","",IFERROR(INDEX(tblProductos[Unidad],MATCH(tblMovimientos[[#This Row],[SKU]],tblProductos[SKU],0)),"?"))</f>
        <v/>
      </c>
      <c r="I178" s="39"/>
      <c r="J178" s="47" t="str">
        <f>IF(tblMovimientos[[#This Row],[Tipo]]="","",IFERROR(INDEX(tblTiposMov[FactorStock],MATCH(tblMovimientos[[#This Row],[Tipo]],tblTiposMov[Tipo],0)),0))</f>
        <v/>
      </c>
      <c r="K1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" s="37"/>
      <c r="O178" s="37"/>
      <c r="P178" s="37"/>
    </row>
    <row r="179" spans="2:16" x14ac:dyDescent="0.25">
      <c r="B1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" s="46"/>
      <c r="D179" s="37"/>
      <c r="E179" s="37"/>
      <c r="F179" s="37"/>
      <c r="G179" s="40" t="str">
        <f>IF(tblMovimientos[[#This Row],[Producto]]="","",TRIM(LEFT(tblMovimientos[[#This Row],[Producto]],FIND(" · ",tblMovimientos[[#This Row],[Producto]]&amp;" · ")-1)))</f>
        <v/>
      </c>
      <c r="H179" s="40" t="str">
        <f>IF(tblMovimientos[[#This Row],[SKU]]="","",IFERROR(INDEX(tblProductos[Unidad],MATCH(tblMovimientos[[#This Row],[SKU]],tblProductos[SKU],0)),"?"))</f>
        <v/>
      </c>
      <c r="I179" s="39"/>
      <c r="J179" s="47" t="str">
        <f>IF(tblMovimientos[[#This Row],[Tipo]]="","",IFERROR(INDEX(tblTiposMov[FactorStock],MATCH(tblMovimientos[[#This Row],[Tipo]],tblTiposMov[Tipo],0)),0))</f>
        <v/>
      </c>
      <c r="K1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" s="37"/>
      <c r="O179" s="37"/>
      <c r="P179" s="37"/>
    </row>
    <row r="180" spans="2:16" x14ac:dyDescent="0.25">
      <c r="B1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" s="46"/>
      <c r="D180" s="37"/>
      <c r="E180" s="37"/>
      <c r="F180" s="37"/>
      <c r="G180" s="40" t="str">
        <f>IF(tblMovimientos[[#This Row],[Producto]]="","",TRIM(LEFT(tblMovimientos[[#This Row],[Producto]],FIND(" · ",tblMovimientos[[#This Row],[Producto]]&amp;" · ")-1)))</f>
        <v/>
      </c>
      <c r="H180" s="40" t="str">
        <f>IF(tblMovimientos[[#This Row],[SKU]]="","",IFERROR(INDEX(tblProductos[Unidad],MATCH(tblMovimientos[[#This Row],[SKU]],tblProductos[SKU],0)),"?"))</f>
        <v/>
      </c>
      <c r="I180" s="39"/>
      <c r="J180" s="47" t="str">
        <f>IF(tblMovimientos[[#This Row],[Tipo]]="","",IFERROR(INDEX(tblTiposMov[FactorStock],MATCH(tblMovimientos[[#This Row],[Tipo]],tblTiposMov[Tipo],0)),0))</f>
        <v/>
      </c>
      <c r="K1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" s="37"/>
      <c r="O180" s="37"/>
      <c r="P180" s="37"/>
    </row>
    <row r="181" spans="2:16" x14ac:dyDescent="0.25">
      <c r="B1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" s="46"/>
      <c r="D181" s="37"/>
      <c r="E181" s="37"/>
      <c r="F181" s="37"/>
      <c r="G181" s="40" t="str">
        <f>IF(tblMovimientos[[#This Row],[Producto]]="","",TRIM(LEFT(tblMovimientos[[#This Row],[Producto]],FIND(" · ",tblMovimientos[[#This Row],[Producto]]&amp;" · ")-1)))</f>
        <v/>
      </c>
      <c r="H181" s="40" t="str">
        <f>IF(tblMovimientos[[#This Row],[SKU]]="","",IFERROR(INDEX(tblProductos[Unidad],MATCH(tblMovimientos[[#This Row],[SKU]],tblProductos[SKU],0)),"?"))</f>
        <v/>
      </c>
      <c r="I181" s="39"/>
      <c r="J181" s="47" t="str">
        <f>IF(tblMovimientos[[#This Row],[Tipo]]="","",IFERROR(INDEX(tblTiposMov[FactorStock],MATCH(tblMovimientos[[#This Row],[Tipo]],tblTiposMov[Tipo],0)),0))</f>
        <v/>
      </c>
      <c r="K1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" s="37"/>
      <c r="O181" s="37"/>
      <c r="P181" s="37"/>
    </row>
    <row r="182" spans="2:16" x14ac:dyDescent="0.25">
      <c r="B1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" s="46"/>
      <c r="D182" s="37"/>
      <c r="E182" s="37"/>
      <c r="F182" s="37"/>
      <c r="G182" s="40" t="str">
        <f>IF(tblMovimientos[[#This Row],[Producto]]="","",TRIM(LEFT(tblMovimientos[[#This Row],[Producto]],FIND(" · ",tblMovimientos[[#This Row],[Producto]]&amp;" · ")-1)))</f>
        <v/>
      </c>
      <c r="H182" s="40" t="str">
        <f>IF(tblMovimientos[[#This Row],[SKU]]="","",IFERROR(INDEX(tblProductos[Unidad],MATCH(tblMovimientos[[#This Row],[SKU]],tblProductos[SKU],0)),"?"))</f>
        <v/>
      </c>
      <c r="I182" s="39"/>
      <c r="J182" s="47" t="str">
        <f>IF(tblMovimientos[[#This Row],[Tipo]]="","",IFERROR(INDEX(tblTiposMov[FactorStock],MATCH(tblMovimientos[[#This Row],[Tipo]],tblTiposMov[Tipo],0)),0))</f>
        <v/>
      </c>
      <c r="K1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" s="37"/>
      <c r="O182" s="37"/>
      <c r="P182" s="37"/>
    </row>
    <row r="183" spans="2:16" x14ac:dyDescent="0.25">
      <c r="B1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" s="46"/>
      <c r="D183" s="37"/>
      <c r="E183" s="37"/>
      <c r="F183" s="37"/>
      <c r="G183" s="40" t="str">
        <f>IF(tblMovimientos[[#This Row],[Producto]]="","",TRIM(LEFT(tblMovimientos[[#This Row],[Producto]],FIND(" · ",tblMovimientos[[#This Row],[Producto]]&amp;" · ")-1)))</f>
        <v/>
      </c>
      <c r="H183" s="40" t="str">
        <f>IF(tblMovimientos[[#This Row],[SKU]]="","",IFERROR(INDEX(tblProductos[Unidad],MATCH(tblMovimientos[[#This Row],[SKU]],tblProductos[SKU],0)),"?"))</f>
        <v/>
      </c>
      <c r="I183" s="39"/>
      <c r="J183" s="47" t="str">
        <f>IF(tblMovimientos[[#This Row],[Tipo]]="","",IFERROR(INDEX(tblTiposMov[FactorStock],MATCH(tblMovimientos[[#This Row],[Tipo]],tblTiposMov[Tipo],0)),0))</f>
        <v/>
      </c>
      <c r="K1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" s="37"/>
      <c r="O183" s="37"/>
      <c r="P183" s="37"/>
    </row>
    <row r="184" spans="2:16" x14ac:dyDescent="0.25">
      <c r="B1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" s="46"/>
      <c r="D184" s="37"/>
      <c r="E184" s="37"/>
      <c r="F184" s="37"/>
      <c r="G184" s="40" t="str">
        <f>IF(tblMovimientos[[#This Row],[Producto]]="","",TRIM(LEFT(tblMovimientos[[#This Row],[Producto]],FIND(" · ",tblMovimientos[[#This Row],[Producto]]&amp;" · ")-1)))</f>
        <v/>
      </c>
      <c r="H184" s="40" t="str">
        <f>IF(tblMovimientos[[#This Row],[SKU]]="","",IFERROR(INDEX(tblProductos[Unidad],MATCH(tblMovimientos[[#This Row],[SKU]],tblProductos[SKU],0)),"?"))</f>
        <v/>
      </c>
      <c r="I184" s="39"/>
      <c r="J184" s="47" t="str">
        <f>IF(tblMovimientos[[#This Row],[Tipo]]="","",IFERROR(INDEX(tblTiposMov[FactorStock],MATCH(tblMovimientos[[#This Row],[Tipo]],tblTiposMov[Tipo],0)),0))</f>
        <v/>
      </c>
      <c r="K1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" s="37"/>
      <c r="O184" s="37"/>
      <c r="P184" s="37"/>
    </row>
    <row r="185" spans="2:16" x14ac:dyDescent="0.25">
      <c r="B1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" s="46"/>
      <c r="D185" s="37"/>
      <c r="E185" s="37"/>
      <c r="F185" s="37"/>
      <c r="G185" s="40" t="str">
        <f>IF(tblMovimientos[[#This Row],[Producto]]="","",TRIM(LEFT(tblMovimientos[[#This Row],[Producto]],FIND(" · ",tblMovimientos[[#This Row],[Producto]]&amp;" · ")-1)))</f>
        <v/>
      </c>
      <c r="H185" s="40" t="str">
        <f>IF(tblMovimientos[[#This Row],[SKU]]="","",IFERROR(INDEX(tblProductos[Unidad],MATCH(tblMovimientos[[#This Row],[SKU]],tblProductos[SKU],0)),"?"))</f>
        <v/>
      </c>
      <c r="I185" s="39"/>
      <c r="J185" s="47" t="str">
        <f>IF(tblMovimientos[[#This Row],[Tipo]]="","",IFERROR(INDEX(tblTiposMov[FactorStock],MATCH(tblMovimientos[[#This Row],[Tipo]],tblTiposMov[Tipo],0)),0))</f>
        <v/>
      </c>
      <c r="K1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" s="37"/>
      <c r="O185" s="37"/>
      <c r="P185" s="37"/>
    </row>
    <row r="186" spans="2:16" x14ac:dyDescent="0.25">
      <c r="B1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" s="46"/>
      <c r="D186" s="37"/>
      <c r="E186" s="37"/>
      <c r="F186" s="37"/>
      <c r="G186" s="40" t="str">
        <f>IF(tblMovimientos[[#This Row],[Producto]]="","",TRIM(LEFT(tblMovimientos[[#This Row],[Producto]],FIND(" · ",tblMovimientos[[#This Row],[Producto]]&amp;" · ")-1)))</f>
        <v/>
      </c>
      <c r="H186" s="40" t="str">
        <f>IF(tblMovimientos[[#This Row],[SKU]]="","",IFERROR(INDEX(tblProductos[Unidad],MATCH(tblMovimientos[[#This Row],[SKU]],tblProductos[SKU],0)),"?"))</f>
        <v/>
      </c>
      <c r="I186" s="39"/>
      <c r="J186" s="47" t="str">
        <f>IF(tblMovimientos[[#This Row],[Tipo]]="","",IFERROR(INDEX(tblTiposMov[FactorStock],MATCH(tblMovimientos[[#This Row],[Tipo]],tblTiposMov[Tipo],0)),0))</f>
        <v/>
      </c>
      <c r="K1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" s="37"/>
      <c r="O186" s="37"/>
      <c r="P186" s="37"/>
    </row>
    <row r="187" spans="2:16" x14ac:dyDescent="0.25">
      <c r="B1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" s="46"/>
      <c r="D187" s="37"/>
      <c r="E187" s="37"/>
      <c r="F187" s="37"/>
      <c r="G187" s="40" t="str">
        <f>IF(tblMovimientos[[#This Row],[Producto]]="","",TRIM(LEFT(tblMovimientos[[#This Row],[Producto]],FIND(" · ",tblMovimientos[[#This Row],[Producto]]&amp;" · ")-1)))</f>
        <v/>
      </c>
      <c r="H187" s="40" t="str">
        <f>IF(tblMovimientos[[#This Row],[SKU]]="","",IFERROR(INDEX(tblProductos[Unidad],MATCH(tblMovimientos[[#This Row],[SKU]],tblProductos[SKU],0)),"?"))</f>
        <v/>
      </c>
      <c r="I187" s="39"/>
      <c r="J187" s="47" t="str">
        <f>IF(tblMovimientos[[#This Row],[Tipo]]="","",IFERROR(INDEX(tblTiposMov[FactorStock],MATCH(tblMovimientos[[#This Row],[Tipo]],tblTiposMov[Tipo],0)),0))</f>
        <v/>
      </c>
      <c r="K1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" s="37"/>
      <c r="O187" s="37"/>
      <c r="P187" s="37"/>
    </row>
    <row r="188" spans="2:16" x14ac:dyDescent="0.25">
      <c r="B1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" s="46"/>
      <c r="D188" s="37"/>
      <c r="E188" s="37"/>
      <c r="F188" s="37"/>
      <c r="G188" s="40" t="str">
        <f>IF(tblMovimientos[[#This Row],[Producto]]="","",TRIM(LEFT(tblMovimientos[[#This Row],[Producto]],FIND(" · ",tblMovimientos[[#This Row],[Producto]]&amp;" · ")-1)))</f>
        <v/>
      </c>
      <c r="H188" s="40" t="str">
        <f>IF(tblMovimientos[[#This Row],[SKU]]="","",IFERROR(INDEX(tblProductos[Unidad],MATCH(tblMovimientos[[#This Row],[SKU]],tblProductos[SKU],0)),"?"))</f>
        <v/>
      </c>
      <c r="I188" s="39"/>
      <c r="J188" s="47" t="str">
        <f>IF(tblMovimientos[[#This Row],[Tipo]]="","",IFERROR(INDEX(tblTiposMov[FactorStock],MATCH(tblMovimientos[[#This Row],[Tipo]],tblTiposMov[Tipo],0)),0))</f>
        <v/>
      </c>
      <c r="K1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" s="37"/>
      <c r="O188" s="37"/>
      <c r="P188" s="37"/>
    </row>
    <row r="189" spans="2:16" x14ac:dyDescent="0.25">
      <c r="B1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" s="46"/>
      <c r="D189" s="37"/>
      <c r="E189" s="37"/>
      <c r="F189" s="37"/>
      <c r="G189" s="40" t="str">
        <f>IF(tblMovimientos[[#This Row],[Producto]]="","",TRIM(LEFT(tblMovimientos[[#This Row],[Producto]],FIND(" · ",tblMovimientos[[#This Row],[Producto]]&amp;" · ")-1)))</f>
        <v/>
      </c>
      <c r="H189" s="40" t="str">
        <f>IF(tblMovimientos[[#This Row],[SKU]]="","",IFERROR(INDEX(tblProductos[Unidad],MATCH(tblMovimientos[[#This Row],[SKU]],tblProductos[SKU],0)),"?"))</f>
        <v/>
      </c>
      <c r="I189" s="39"/>
      <c r="J189" s="47" t="str">
        <f>IF(tblMovimientos[[#This Row],[Tipo]]="","",IFERROR(INDEX(tblTiposMov[FactorStock],MATCH(tblMovimientos[[#This Row],[Tipo]],tblTiposMov[Tipo],0)),0))</f>
        <v/>
      </c>
      <c r="K1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" s="37"/>
      <c r="O189" s="37"/>
      <c r="P189" s="37"/>
    </row>
    <row r="190" spans="2:16" x14ac:dyDescent="0.25">
      <c r="B1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" s="46"/>
      <c r="D190" s="37"/>
      <c r="E190" s="37"/>
      <c r="F190" s="37"/>
      <c r="G190" s="40" t="str">
        <f>IF(tblMovimientos[[#This Row],[Producto]]="","",TRIM(LEFT(tblMovimientos[[#This Row],[Producto]],FIND(" · ",tblMovimientos[[#This Row],[Producto]]&amp;" · ")-1)))</f>
        <v/>
      </c>
      <c r="H190" s="40" t="str">
        <f>IF(tblMovimientos[[#This Row],[SKU]]="","",IFERROR(INDEX(tblProductos[Unidad],MATCH(tblMovimientos[[#This Row],[SKU]],tblProductos[SKU],0)),"?"))</f>
        <v/>
      </c>
      <c r="I190" s="39"/>
      <c r="J190" s="47" t="str">
        <f>IF(tblMovimientos[[#This Row],[Tipo]]="","",IFERROR(INDEX(tblTiposMov[FactorStock],MATCH(tblMovimientos[[#This Row],[Tipo]],tblTiposMov[Tipo],0)),0))</f>
        <v/>
      </c>
      <c r="K1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" s="37"/>
      <c r="O190" s="37"/>
      <c r="P190" s="37"/>
    </row>
    <row r="191" spans="2:16" x14ac:dyDescent="0.25">
      <c r="B1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" s="46"/>
      <c r="D191" s="37"/>
      <c r="E191" s="37"/>
      <c r="F191" s="37"/>
      <c r="G191" s="40" t="str">
        <f>IF(tblMovimientos[[#This Row],[Producto]]="","",TRIM(LEFT(tblMovimientos[[#This Row],[Producto]],FIND(" · ",tblMovimientos[[#This Row],[Producto]]&amp;" · ")-1)))</f>
        <v/>
      </c>
      <c r="H191" s="40" t="str">
        <f>IF(tblMovimientos[[#This Row],[SKU]]="","",IFERROR(INDEX(tblProductos[Unidad],MATCH(tblMovimientos[[#This Row],[SKU]],tblProductos[SKU],0)),"?"))</f>
        <v/>
      </c>
      <c r="I191" s="39"/>
      <c r="J191" s="47" t="str">
        <f>IF(tblMovimientos[[#This Row],[Tipo]]="","",IFERROR(INDEX(tblTiposMov[FactorStock],MATCH(tblMovimientos[[#This Row],[Tipo]],tblTiposMov[Tipo],0)),0))</f>
        <v/>
      </c>
      <c r="K1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" s="37"/>
      <c r="O191" s="37"/>
      <c r="P191" s="37"/>
    </row>
    <row r="192" spans="2:16" x14ac:dyDescent="0.25">
      <c r="B1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" s="46"/>
      <c r="D192" s="37"/>
      <c r="E192" s="37"/>
      <c r="F192" s="37"/>
      <c r="G192" s="40" t="str">
        <f>IF(tblMovimientos[[#This Row],[Producto]]="","",TRIM(LEFT(tblMovimientos[[#This Row],[Producto]],FIND(" · ",tblMovimientos[[#This Row],[Producto]]&amp;" · ")-1)))</f>
        <v/>
      </c>
      <c r="H192" s="40" t="str">
        <f>IF(tblMovimientos[[#This Row],[SKU]]="","",IFERROR(INDEX(tblProductos[Unidad],MATCH(tblMovimientos[[#This Row],[SKU]],tblProductos[SKU],0)),"?"))</f>
        <v/>
      </c>
      <c r="I192" s="39"/>
      <c r="J192" s="47" t="str">
        <f>IF(tblMovimientos[[#This Row],[Tipo]]="","",IFERROR(INDEX(tblTiposMov[FactorStock],MATCH(tblMovimientos[[#This Row],[Tipo]],tblTiposMov[Tipo],0)),0))</f>
        <v/>
      </c>
      <c r="K1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" s="37"/>
      <c r="O192" s="37"/>
      <c r="P192" s="37"/>
    </row>
    <row r="193" spans="2:16" x14ac:dyDescent="0.25">
      <c r="B1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" s="46"/>
      <c r="D193" s="37"/>
      <c r="E193" s="37"/>
      <c r="F193" s="37"/>
      <c r="G193" s="40" t="str">
        <f>IF(tblMovimientos[[#This Row],[Producto]]="","",TRIM(LEFT(tblMovimientos[[#This Row],[Producto]],FIND(" · ",tblMovimientos[[#This Row],[Producto]]&amp;" · ")-1)))</f>
        <v/>
      </c>
      <c r="H193" s="40" t="str">
        <f>IF(tblMovimientos[[#This Row],[SKU]]="","",IFERROR(INDEX(tblProductos[Unidad],MATCH(tblMovimientos[[#This Row],[SKU]],tblProductos[SKU],0)),"?"))</f>
        <v/>
      </c>
      <c r="I193" s="39"/>
      <c r="J193" s="47" t="str">
        <f>IF(tblMovimientos[[#This Row],[Tipo]]="","",IFERROR(INDEX(tblTiposMov[FactorStock],MATCH(tblMovimientos[[#This Row],[Tipo]],tblTiposMov[Tipo],0)),0))</f>
        <v/>
      </c>
      <c r="K1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" s="37"/>
      <c r="O193" s="37"/>
      <c r="P193" s="37"/>
    </row>
    <row r="194" spans="2:16" x14ac:dyDescent="0.25">
      <c r="B1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" s="46"/>
      <c r="D194" s="37"/>
      <c r="E194" s="37"/>
      <c r="F194" s="37"/>
      <c r="G194" s="40" t="str">
        <f>IF(tblMovimientos[[#This Row],[Producto]]="","",TRIM(LEFT(tblMovimientos[[#This Row],[Producto]],FIND(" · ",tblMovimientos[[#This Row],[Producto]]&amp;" · ")-1)))</f>
        <v/>
      </c>
      <c r="H194" s="40" t="str">
        <f>IF(tblMovimientos[[#This Row],[SKU]]="","",IFERROR(INDEX(tblProductos[Unidad],MATCH(tblMovimientos[[#This Row],[SKU]],tblProductos[SKU],0)),"?"))</f>
        <v/>
      </c>
      <c r="I194" s="39"/>
      <c r="J194" s="47" t="str">
        <f>IF(tblMovimientos[[#This Row],[Tipo]]="","",IFERROR(INDEX(tblTiposMov[FactorStock],MATCH(tblMovimientos[[#This Row],[Tipo]],tblTiposMov[Tipo],0)),0))</f>
        <v/>
      </c>
      <c r="K1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" s="37"/>
      <c r="O194" s="37"/>
      <c r="P194" s="37"/>
    </row>
    <row r="195" spans="2:16" x14ac:dyDescent="0.25">
      <c r="B1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" s="46"/>
      <c r="D195" s="37"/>
      <c r="E195" s="37"/>
      <c r="F195" s="37"/>
      <c r="G195" s="40" t="str">
        <f>IF(tblMovimientos[[#This Row],[Producto]]="","",TRIM(LEFT(tblMovimientos[[#This Row],[Producto]],FIND(" · ",tblMovimientos[[#This Row],[Producto]]&amp;" · ")-1)))</f>
        <v/>
      </c>
      <c r="H195" s="40" t="str">
        <f>IF(tblMovimientos[[#This Row],[SKU]]="","",IFERROR(INDEX(tblProductos[Unidad],MATCH(tblMovimientos[[#This Row],[SKU]],tblProductos[SKU],0)),"?"))</f>
        <v/>
      </c>
      <c r="I195" s="39"/>
      <c r="J195" s="47" t="str">
        <f>IF(tblMovimientos[[#This Row],[Tipo]]="","",IFERROR(INDEX(tblTiposMov[FactorStock],MATCH(tblMovimientos[[#This Row],[Tipo]],tblTiposMov[Tipo],0)),0))</f>
        <v/>
      </c>
      <c r="K1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" s="37"/>
      <c r="O195" s="37"/>
      <c r="P195" s="37"/>
    </row>
    <row r="196" spans="2:16" x14ac:dyDescent="0.25">
      <c r="B1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" s="46"/>
      <c r="D196" s="37"/>
      <c r="E196" s="37"/>
      <c r="F196" s="37"/>
      <c r="G196" s="40" t="str">
        <f>IF(tblMovimientos[[#This Row],[Producto]]="","",TRIM(LEFT(tblMovimientos[[#This Row],[Producto]],FIND(" · ",tblMovimientos[[#This Row],[Producto]]&amp;" · ")-1)))</f>
        <v/>
      </c>
      <c r="H196" s="40" t="str">
        <f>IF(tblMovimientos[[#This Row],[SKU]]="","",IFERROR(INDEX(tblProductos[Unidad],MATCH(tblMovimientos[[#This Row],[SKU]],tblProductos[SKU],0)),"?"))</f>
        <v/>
      </c>
      <c r="I196" s="39"/>
      <c r="J196" s="47" t="str">
        <f>IF(tblMovimientos[[#This Row],[Tipo]]="","",IFERROR(INDEX(tblTiposMov[FactorStock],MATCH(tblMovimientos[[#This Row],[Tipo]],tblTiposMov[Tipo],0)),0))</f>
        <v/>
      </c>
      <c r="K1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" s="37"/>
      <c r="O196" s="37"/>
      <c r="P196" s="37"/>
    </row>
    <row r="197" spans="2:16" x14ac:dyDescent="0.25">
      <c r="B1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" s="46"/>
      <c r="D197" s="37"/>
      <c r="E197" s="37"/>
      <c r="F197" s="37"/>
      <c r="G197" s="40" t="str">
        <f>IF(tblMovimientos[[#This Row],[Producto]]="","",TRIM(LEFT(tblMovimientos[[#This Row],[Producto]],FIND(" · ",tblMovimientos[[#This Row],[Producto]]&amp;" · ")-1)))</f>
        <v/>
      </c>
      <c r="H197" s="40" t="str">
        <f>IF(tblMovimientos[[#This Row],[SKU]]="","",IFERROR(INDEX(tblProductos[Unidad],MATCH(tblMovimientos[[#This Row],[SKU]],tblProductos[SKU],0)),"?"))</f>
        <v/>
      </c>
      <c r="I197" s="39"/>
      <c r="J197" s="47" t="str">
        <f>IF(tblMovimientos[[#This Row],[Tipo]]="","",IFERROR(INDEX(tblTiposMov[FactorStock],MATCH(tblMovimientos[[#This Row],[Tipo]],tblTiposMov[Tipo],0)),0))</f>
        <v/>
      </c>
      <c r="K1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" s="37"/>
      <c r="O197" s="37"/>
      <c r="P197" s="37"/>
    </row>
    <row r="198" spans="2:16" x14ac:dyDescent="0.25">
      <c r="B1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" s="46"/>
      <c r="D198" s="37"/>
      <c r="E198" s="37"/>
      <c r="F198" s="37"/>
      <c r="G198" s="40" t="str">
        <f>IF(tblMovimientos[[#This Row],[Producto]]="","",TRIM(LEFT(tblMovimientos[[#This Row],[Producto]],FIND(" · ",tblMovimientos[[#This Row],[Producto]]&amp;" · ")-1)))</f>
        <v/>
      </c>
      <c r="H198" s="40" t="str">
        <f>IF(tblMovimientos[[#This Row],[SKU]]="","",IFERROR(INDEX(tblProductos[Unidad],MATCH(tblMovimientos[[#This Row],[SKU]],tblProductos[SKU],0)),"?"))</f>
        <v/>
      </c>
      <c r="I198" s="39"/>
      <c r="J198" s="47" t="str">
        <f>IF(tblMovimientos[[#This Row],[Tipo]]="","",IFERROR(INDEX(tblTiposMov[FactorStock],MATCH(tblMovimientos[[#This Row],[Tipo]],tblTiposMov[Tipo],0)),0))</f>
        <v/>
      </c>
      <c r="K1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" s="37"/>
      <c r="O198" s="37"/>
      <c r="P198" s="37"/>
    </row>
    <row r="199" spans="2:16" x14ac:dyDescent="0.25">
      <c r="B1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" s="46"/>
      <c r="D199" s="37"/>
      <c r="E199" s="37"/>
      <c r="F199" s="37"/>
      <c r="G199" s="40" t="str">
        <f>IF(tblMovimientos[[#This Row],[Producto]]="","",TRIM(LEFT(tblMovimientos[[#This Row],[Producto]],FIND(" · ",tblMovimientos[[#This Row],[Producto]]&amp;" · ")-1)))</f>
        <v/>
      </c>
      <c r="H199" s="40" t="str">
        <f>IF(tblMovimientos[[#This Row],[SKU]]="","",IFERROR(INDEX(tblProductos[Unidad],MATCH(tblMovimientos[[#This Row],[SKU]],tblProductos[SKU],0)),"?"))</f>
        <v/>
      </c>
      <c r="I199" s="39"/>
      <c r="J199" s="47" t="str">
        <f>IF(tblMovimientos[[#This Row],[Tipo]]="","",IFERROR(INDEX(tblTiposMov[FactorStock],MATCH(tblMovimientos[[#This Row],[Tipo]],tblTiposMov[Tipo],0)),0))</f>
        <v/>
      </c>
      <c r="K1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" s="37"/>
      <c r="O199" s="37"/>
      <c r="P199" s="37"/>
    </row>
    <row r="200" spans="2:16" x14ac:dyDescent="0.25">
      <c r="B2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" s="46"/>
      <c r="D200" s="37"/>
      <c r="E200" s="37"/>
      <c r="F200" s="37"/>
      <c r="G200" s="40" t="str">
        <f>IF(tblMovimientos[[#This Row],[Producto]]="","",TRIM(LEFT(tblMovimientos[[#This Row],[Producto]],FIND(" · ",tblMovimientos[[#This Row],[Producto]]&amp;" · ")-1)))</f>
        <v/>
      </c>
      <c r="H200" s="40" t="str">
        <f>IF(tblMovimientos[[#This Row],[SKU]]="","",IFERROR(INDEX(tblProductos[Unidad],MATCH(tblMovimientos[[#This Row],[SKU]],tblProductos[SKU],0)),"?"))</f>
        <v/>
      </c>
      <c r="I200" s="39"/>
      <c r="J200" s="47" t="str">
        <f>IF(tblMovimientos[[#This Row],[Tipo]]="","",IFERROR(INDEX(tblTiposMov[FactorStock],MATCH(tblMovimientos[[#This Row],[Tipo]],tblTiposMov[Tipo],0)),0))</f>
        <v/>
      </c>
      <c r="K2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" s="37"/>
      <c r="O200" s="37"/>
      <c r="P200" s="37"/>
    </row>
    <row r="201" spans="2:16" x14ac:dyDescent="0.25">
      <c r="B2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" s="46"/>
      <c r="D201" s="37"/>
      <c r="E201" s="37"/>
      <c r="F201" s="37"/>
      <c r="G201" s="40" t="str">
        <f>IF(tblMovimientos[[#This Row],[Producto]]="","",TRIM(LEFT(tblMovimientos[[#This Row],[Producto]],FIND(" · ",tblMovimientos[[#This Row],[Producto]]&amp;" · ")-1)))</f>
        <v/>
      </c>
      <c r="H201" s="40" t="str">
        <f>IF(tblMovimientos[[#This Row],[SKU]]="","",IFERROR(INDEX(tblProductos[Unidad],MATCH(tblMovimientos[[#This Row],[SKU]],tblProductos[SKU],0)),"?"))</f>
        <v/>
      </c>
      <c r="I201" s="39"/>
      <c r="J201" s="47" t="str">
        <f>IF(tblMovimientos[[#This Row],[Tipo]]="","",IFERROR(INDEX(tblTiposMov[FactorStock],MATCH(tblMovimientos[[#This Row],[Tipo]],tblTiposMov[Tipo],0)),0))</f>
        <v/>
      </c>
      <c r="K2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" s="37"/>
      <c r="O201" s="37"/>
      <c r="P201" s="37"/>
    </row>
    <row r="202" spans="2:16" x14ac:dyDescent="0.25">
      <c r="B2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" s="46"/>
      <c r="D202" s="37"/>
      <c r="E202" s="37"/>
      <c r="F202" s="37"/>
      <c r="G202" s="40" t="str">
        <f>IF(tblMovimientos[[#This Row],[Producto]]="","",TRIM(LEFT(tblMovimientos[[#This Row],[Producto]],FIND(" · ",tblMovimientos[[#This Row],[Producto]]&amp;" · ")-1)))</f>
        <v/>
      </c>
      <c r="H202" s="40" t="str">
        <f>IF(tblMovimientos[[#This Row],[SKU]]="","",IFERROR(INDEX(tblProductos[Unidad],MATCH(tblMovimientos[[#This Row],[SKU]],tblProductos[SKU],0)),"?"))</f>
        <v/>
      </c>
      <c r="I202" s="39"/>
      <c r="J202" s="47" t="str">
        <f>IF(tblMovimientos[[#This Row],[Tipo]]="","",IFERROR(INDEX(tblTiposMov[FactorStock],MATCH(tblMovimientos[[#This Row],[Tipo]],tblTiposMov[Tipo],0)),0))</f>
        <v/>
      </c>
      <c r="K2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" s="37"/>
      <c r="O202" s="37"/>
      <c r="P202" s="37"/>
    </row>
    <row r="203" spans="2:16" x14ac:dyDescent="0.25">
      <c r="B2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" s="46"/>
      <c r="D203" s="37"/>
      <c r="E203" s="37"/>
      <c r="F203" s="37"/>
      <c r="G203" s="40" t="str">
        <f>IF(tblMovimientos[[#This Row],[Producto]]="","",TRIM(LEFT(tblMovimientos[[#This Row],[Producto]],FIND(" · ",tblMovimientos[[#This Row],[Producto]]&amp;" · ")-1)))</f>
        <v/>
      </c>
      <c r="H203" s="40" t="str">
        <f>IF(tblMovimientos[[#This Row],[SKU]]="","",IFERROR(INDEX(tblProductos[Unidad],MATCH(tblMovimientos[[#This Row],[SKU]],tblProductos[SKU],0)),"?"))</f>
        <v/>
      </c>
      <c r="I203" s="39"/>
      <c r="J203" s="47" t="str">
        <f>IF(tblMovimientos[[#This Row],[Tipo]]="","",IFERROR(INDEX(tblTiposMov[FactorStock],MATCH(tblMovimientos[[#This Row],[Tipo]],tblTiposMov[Tipo],0)),0))</f>
        <v/>
      </c>
      <c r="K2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" s="37"/>
      <c r="O203" s="37"/>
      <c r="P203" s="37"/>
    </row>
    <row r="204" spans="2:16" x14ac:dyDescent="0.25">
      <c r="B2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" s="46"/>
      <c r="D204" s="37"/>
      <c r="E204" s="37"/>
      <c r="F204" s="37"/>
      <c r="G204" s="40" t="str">
        <f>IF(tblMovimientos[[#This Row],[Producto]]="","",TRIM(LEFT(tblMovimientos[[#This Row],[Producto]],FIND(" · ",tblMovimientos[[#This Row],[Producto]]&amp;" · ")-1)))</f>
        <v/>
      </c>
      <c r="H204" s="40" t="str">
        <f>IF(tblMovimientos[[#This Row],[SKU]]="","",IFERROR(INDEX(tblProductos[Unidad],MATCH(tblMovimientos[[#This Row],[SKU]],tblProductos[SKU],0)),"?"))</f>
        <v/>
      </c>
      <c r="I204" s="39"/>
      <c r="J204" s="47" t="str">
        <f>IF(tblMovimientos[[#This Row],[Tipo]]="","",IFERROR(INDEX(tblTiposMov[FactorStock],MATCH(tblMovimientos[[#This Row],[Tipo]],tblTiposMov[Tipo],0)),0))</f>
        <v/>
      </c>
      <c r="K2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" s="37"/>
      <c r="O204" s="37"/>
      <c r="P204" s="37"/>
    </row>
    <row r="205" spans="2:16" x14ac:dyDescent="0.25">
      <c r="B2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" s="46"/>
      <c r="D205" s="37"/>
      <c r="E205" s="37"/>
      <c r="F205" s="37"/>
      <c r="G205" s="40" t="str">
        <f>IF(tblMovimientos[[#This Row],[Producto]]="","",TRIM(LEFT(tblMovimientos[[#This Row],[Producto]],FIND(" · ",tblMovimientos[[#This Row],[Producto]]&amp;" · ")-1)))</f>
        <v/>
      </c>
      <c r="H205" s="40" t="str">
        <f>IF(tblMovimientos[[#This Row],[SKU]]="","",IFERROR(INDEX(tblProductos[Unidad],MATCH(tblMovimientos[[#This Row],[SKU]],tblProductos[SKU],0)),"?"))</f>
        <v/>
      </c>
      <c r="I205" s="39"/>
      <c r="J205" s="47" t="str">
        <f>IF(tblMovimientos[[#This Row],[Tipo]]="","",IFERROR(INDEX(tblTiposMov[FactorStock],MATCH(tblMovimientos[[#This Row],[Tipo]],tblTiposMov[Tipo],0)),0))</f>
        <v/>
      </c>
      <c r="K2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" s="37"/>
      <c r="O205" s="37"/>
      <c r="P205" s="37"/>
    </row>
    <row r="206" spans="2:16" x14ac:dyDescent="0.25">
      <c r="B2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" s="46"/>
      <c r="D206" s="37"/>
      <c r="E206" s="37"/>
      <c r="F206" s="37"/>
      <c r="G206" s="40" t="str">
        <f>IF(tblMovimientos[[#This Row],[Producto]]="","",TRIM(LEFT(tblMovimientos[[#This Row],[Producto]],FIND(" · ",tblMovimientos[[#This Row],[Producto]]&amp;" · ")-1)))</f>
        <v/>
      </c>
      <c r="H206" s="40" t="str">
        <f>IF(tblMovimientos[[#This Row],[SKU]]="","",IFERROR(INDEX(tblProductos[Unidad],MATCH(tblMovimientos[[#This Row],[SKU]],tblProductos[SKU],0)),"?"))</f>
        <v/>
      </c>
      <c r="I206" s="39"/>
      <c r="J206" s="47" t="str">
        <f>IF(tblMovimientos[[#This Row],[Tipo]]="","",IFERROR(INDEX(tblTiposMov[FactorStock],MATCH(tblMovimientos[[#This Row],[Tipo]],tblTiposMov[Tipo],0)),0))</f>
        <v/>
      </c>
      <c r="K2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" s="37"/>
      <c r="O206" s="37"/>
      <c r="P206" s="37"/>
    </row>
    <row r="207" spans="2:16" x14ac:dyDescent="0.25">
      <c r="B2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" s="46"/>
      <c r="D207" s="37"/>
      <c r="E207" s="37"/>
      <c r="F207" s="37"/>
      <c r="G207" s="40" t="str">
        <f>IF(tblMovimientos[[#This Row],[Producto]]="","",TRIM(LEFT(tblMovimientos[[#This Row],[Producto]],FIND(" · ",tblMovimientos[[#This Row],[Producto]]&amp;" · ")-1)))</f>
        <v/>
      </c>
      <c r="H207" s="40" t="str">
        <f>IF(tblMovimientos[[#This Row],[SKU]]="","",IFERROR(INDEX(tblProductos[Unidad],MATCH(tblMovimientos[[#This Row],[SKU]],tblProductos[SKU],0)),"?"))</f>
        <v/>
      </c>
      <c r="I207" s="39"/>
      <c r="J207" s="47" t="str">
        <f>IF(tblMovimientos[[#This Row],[Tipo]]="","",IFERROR(INDEX(tblTiposMov[FactorStock],MATCH(tblMovimientos[[#This Row],[Tipo]],tblTiposMov[Tipo],0)),0))</f>
        <v/>
      </c>
      <c r="K2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" s="37"/>
      <c r="O207" s="37"/>
      <c r="P207" s="37"/>
    </row>
    <row r="208" spans="2:16" x14ac:dyDescent="0.25">
      <c r="B2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" s="46"/>
      <c r="D208" s="37"/>
      <c r="E208" s="37"/>
      <c r="F208" s="37"/>
      <c r="G208" s="40" t="str">
        <f>IF(tblMovimientos[[#This Row],[Producto]]="","",TRIM(LEFT(tblMovimientos[[#This Row],[Producto]],FIND(" · ",tblMovimientos[[#This Row],[Producto]]&amp;" · ")-1)))</f>
        <v/>
      </c>
      <c r="H208" s="40" t="str">
        <f>IF(tblMovimientos[[#This Row],[SKU]]="","",IFERROR(INDEX(tblProductos[Unidad],MATCH(tblMovimientos[[#This Row],[SKU]],tblProductos[SKU],0)),"?"))</f>
        <v/>
      </c>
      <c r="I208" s="39"/>
      <c r="J208" s="47" t="str">
        <f>IF(tblMovimientos[[#This Row],[Tipo]]="","",IFERROR(INDEX(tblTiposMov[FactorStock],MATCH(tblMovimientos[[#This Row],[Tipo]],tblTiposMov[Tipo],0)),0))</f>
        <v/>
      </c>
      <c r="K2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" s="37"/>
      <c r="O208" s="37"/>
      <c r="P208" s="37"/>
    </row>
    <row r="209" spans="2:16" x14ac:dyDescent="0.25">
      <c r="B2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" s="46"/>
      <c r="D209" s="37"/>
      <c r="E209" s="37"/>
      <c r="F209" s="37"/>
      <c r="G209" s="40" t="str">
        <f>IF(tblMovimientos[[#This Row],[Producto]]="","",TRIM(LEFT(tblMovimientos[[#This Row],[Producto]],FIND(" · ",tblMovimientos[[#This Row],[Producto]]&amp;" · ")-1)))</f>
        <v/>
      </c>
      <c r="H209" s="40" t="str">
        <f>IF(tblMovimientos[[#This Row],[SKU]]="","",IFERROR(INDEX(tblProductos[Unidad],MATCH(tblMovimientos[[#This Row],[SKU]],tblProductos[SKU],0)),"?"))</f>
        <v/>
      </c>
      <c r="I209" s="39"/>
      <c r="J209" s="47" t="str">
        <f>IF(tblMovimientos[[#This Row],[Tipo]]="","",IFERROR(INDEX(tblTiposMov[FactorStock],MATCH(tblMovimientos[[#This Row],[Tipo]],tblTiposMov[Tipo],0)),0))</f>
        <v/>
      </c>
      <c r="K2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" s="37"/>
      <c r="O209" s="37"/>
      <c r="P209" s="37"/>
    </row>
    <row r="210" spans="2:16" x14ac:dyDescent="0.25">
      <c r="B2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" s="46"/>
      <c r="D210" s="37"/>
      <c r="E210" s="37"/>
      <c r="F210" s="37"/>
      <c r="G210" s="40" t="str">
        <f>IF(tblMovimientos[[#This Row],[Producto]]="","",TRIM(LEFT(tblMovimientos[[#This Row],[Producto]],FIND(" · ",tblMovimientos[[#This Row],[Producto]]&amp;" · ")-1)))</f>
        <v/>
      </c>
      <c r="H210" s="40" t="str">
        <f>IF(tblMovimientos[[#This Row],[SKU]]="","",IFERROR(INDEX(tblProductos[Unidad],MATCH(tblMovimientos[[#This Row],[SKU]],tblProductos[SKU],0)),"?"))</f>
        <v/>
      </c>
      <c r="I210" s="39"/>
      <c r="J210" s="47" t="str">
        <f>IF(tblMovimientos[[#This Row],[Tipo]]="","",IFERROR(INDEX(tblTiposMov[FactorStock],MATCH(tblMovimientos[[#This Row],[Tipo]],tblTiposMov[Tipo],0)),0))</f>
        <v/>
      </c>
      <c r="K2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" s="37"/>
      <c r="O210" s="37"/>
      <c r="P210" s="37"/>
    </row>
    <row r="211" spans="2:16" x14ac:dyDescent="0.25">
      <c r="B2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" s="46"/>
      <c r="D211" s="37"/>
      <c r="E211" s="37"/>
      <c r="F211" s="37"/>
      <c r="G211" s="40" t="str">
        <f>IF(tblMovimientos[[#This Row],[Producto]]="","",TRIM(LEFT(tblMovimientos[[#This Row],[Producto]],FIND(" · ",tblMovimientos[[#This Row],[Producto]]&amp;" · ")-1)))</f>
        <v/>
      </c>
      <c r="H211" s="40" t="str">
        <f>IF(tblMovimientos[[#This Row],[SKU]]="","",IFERROR(INDEX(tblProductos[Unidad],MATCH(tblMovimientos[[#This Row],[SKU]],tblProductos[SKU],0)),"?"))</f>
        <v/>
      </c>
      <c r="I211" s="39"/>
      <c r="J211" s="47" t="str">
        <f>IF(tblMovimientos[[#This Row],[Tipo]]="","",IFERROR(INDEX(tblTiposMov[FactorStock],MATCH(tblMovimientos[[#This Row],[Tipo]],tblTiposMov[Tipo],0)),0))</f>
        <v/>
      </c>
      <c r="K2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" s="37"/>
      <c r="O211" s="37"/>
      <c r="P211" s="37"/>
    </row>
    <row r="212" spans="2:16" x14ac:dyDescent="0.25">
      <c r="B2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" s="46"/>
      <c r="D212" s="37"/>
      <c r="E212" s="37"/>
      <c r="F212" s="37"/>
      <c r="G212" s="40" t="str">
        <f>IF(tblMovimientos[[#This Row],[Producto]]="","",TRIM(LEFT(tblMovimientos[[#This Row],[Producto]],FIND(" · ",tblMovimientos[[#This Row],[Producto]]&amp;" · ")-1)))</f>
        <v/>
      </c>
      <c r="H212" s="40" t="str">
        <f>IF(tblMovimientos[[#This Row],[SKU]]="","",IFERROR(INDEX(tblProductos[Unidad],MATCH(tblMovimientos[[#This Row],[SKU]],tblProductos[SKU],0)),"?"))</f>
        <v/>
      </c>
      <c r="I212" s="39"/>
      <c r="J212" s="47" t="str">
        <f>IF(tblMovimientos[[#This Row],[Tipo]]="","",IFERROR(INDEX(tblTiposMov[FactorStock],MATCH(tblMovimientos[[#This Row],[Tipo]],tblTiposMov[Tipo],0)),0))</f>
        <v/>
      </c>
      <c r="K2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" s="37"/>
      <c r="O212" s="37"/>
      <c r="P212" s="37"/>
    </row>
    <row r="213" spans="2:16" x14ac:dyDescent="0.25">
      <c r="B2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" s="46"/>
      <c r="D213" s="37"/>
      <c r="E213" s="37"/>
      <c r="F213" s="37"/>
      <c r="G213" s="40" t="str">
        <f>IF(tblMovimientos[[#This Row],[Producto]]="","",TRIM(LEFT(tblMovimientos[[#This Row],[Producto]],FIND(" · ",tblMovimientos[[#This Row],[Producto]]&amp;" · ")-1)))</f>
        <v/>
      </c>
      <c r="H213" s="40" t="str">
        <f>IF(tblMovimientos[[#This Row],[SKU]]="","",IFERROR(INDEX(tblProductos[Unidad],MATCH(tblMovimientos[[#This Row],[SKU]],tblProductos[SKU],0)),"?"))</f>
        <v/>
      </c>
      <c r="I213" s="39"/>
      <c r="J213" s="47" t="str">
        <f>IF(tblMovimientos[[#This Row],[Tipo]]="","",IFERROR(INDEX(tblTiposMov[FactorStock],MATCH(tblMovimientos[[#This Row],[Tipo]],tblTiposMov[Tipo],0)),0))</f>
        <v/>
      </c>
      <c r="K2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" s="37"/>
      <c r="O213" s="37"/>
      <c r="P213" s="37"/>
    </row>
    <row r="214" spans="2:16" x14ac:dyDescent="0.25">
      <c r="B2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" s="46"/>
      <c r="D214" s="37"/>
      <c r="E214" s="37"/>
      <c r="F214" s="37"/>
      <c r="G214" s="40" t="str">
        <f>IF(tblMovimientos[[#This Row],[Producto]]="","",TRIM(LEFT(tblMovimientos[[#This Row],[Producto]],FIND(" · ",tblMovimientos[[#This Row],[Producto]]&amp;" · ")-1)))</f>
        <v/>
      </c>
      <c r="H214" s="40" t="str">
        <f>IF(tblMovimientos[[#This Row],[SKU]]="","",IFERROR(INDEX(tblProductos[Unidad],MATCH(tblMovimientos[[#This Row],[SKU]],tblProductos[SKU],0)),"?"))</f>
        <v/>
      </c>
      <c r="I214" s="39"/>
      <c r="J214" s="47" t="str">
        <f>IF(tblMovimientos[[#This Row],[Tipo]]="","",IFERROR(INDEX(tblTiposMov[FactorStock],MATCH(tblMovimientos[[#This Row],[Tipo]],tblTiposMov[Tipo],0)),0))</f>
        <v/>
      </c>
      <c r="K2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" s="37"/>
      <c r="O214" s="37"/>
      <c r="P214" s="37"/>
    </row>
    <row r="215" spans="2:16" x14ac:dyDescent="0.25">
      <c r="B2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" s="46"/>
      <c r="D215" s="37"/>
      <c r="E215" s="37"/>
      <c r="F215" s="37"/>
      <c r="G215" s="40" t="str">
        <f>IF(tblMovimientos[[#This Row],[Producto]]="","",TRIM(LEFT(tblMovimientos[[#This Row],[Producto]],FIND(" · ",tblMovimientos[[#This Row],[Producto]]&amp;" · ")-1)))</f>
        <v/>
      </c>
      <c r="H215" s="40" t="str">
        <f>IF(tblMovimientos[[#This Row],[SKU]]="","",IFERROR(INDEX(tblProductos[Unidad],MATCH(tblMovimientos[[#This Row],[SKU]],tblProductos[SKU],0)),"?"))</f>
        <v/>
      </c>
      <c r="I215" s="39"/>
      <c r="J215" s="47" t="str">
        <f>IF(tblMovimientos[[#This Row],[Tipo]]="","",IFERROR(INDEX(tblTiposMov[FactorStock],MATCH(tblMovimientos[[#This Row],[Tipo]],tblTiposMov[Tipo],0)),0))</f>
        <v/>
      </c>
      <c r="K2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" s="37"/>
      <c r="O215" s="37"/>
      <c r="P215" s="37"/>
    </row>
    <row r="216" spans="2:16" x14ac:dyDescent="0.25">
      <c r="B2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" s="46"/>
      <c r="D216" s="37"/>
      <c r="E216" s="37"/>
      <c r="F216" s="37"/>
      <c r="G216" s="40" t="str">
        <f>IF(tblMovimientos[[#This Row],[Producto]]="","",TRIM(LEFT(tblMovimientos[[#This Row],[Producto]],FIND(" · ",tblMovimientos[[#This Row],[Producto]]&amp;" · ")-1)))</f>
        <v/>
      </c>
      <c r="H216" s="40" t="str">
        <f>IF(tblMovimientos[[#This Row],[SKU]]="","",IFERROR(INDEX(tblProductos[Unidad],MATCH(tblMovimientos[[#This Row],[SKU]],tblProductos[SKU],0)),"?"))</f>
        <v/>
      </c>
      <c r="I216" s="39"/>
      <c r="J216" s="47" t="str">
        <f>IF(tblMovimientos[[#This Row],[Tipo]]="","",IFERROR(INDEX(tblTiposMov[FactorStock],MATCH(tblMovimientos[[#This Row],[Tipo]],tblTiposMov[Tipo],0)),0))</f>
        <v/>
      </c>
      <c r="K2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" s="37"/>
      <c r="O216" s="37"/>
      <c r="P216" s="37"/>
    </row>
    <row r="217" spans="2:16" x14ac:dyDescent="0.25">
      <c r="B2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" s="46"/>
      <c r="D217" s="37"/>
      <c r="E217" s="37"/>
      <c r="F217" s="37"/>
      <c r="G217" s="40" t="str">
        <f>IF(tblMovimientos[[#This Row],[Producto]]="","",TRIM(LEFT(tblMovimientos[[#This Row],[Producto]],FIND(" · ",tblMovimientos[[#This Row],[Producto]]&amp;" · ")-1)))</f>
        <v/>
      </c>
      <c r="H217" s="40" t="str">
        <f>IF(tblMovimientos[[#This Row],[SKU]]="","",IFERROR(INDEX(tblProductos[Unidad],MATCH(tblMovimientos[[#This Row],[SKU]],tblProductos[SKU],0)),"?"))</f>
        <v/>
      </c>
      <c r="I217" s="39"/>
      <c r="J217" s="47" t="str">
        <f>IF(tblMovimientos[[#This Row],[Tipo]]="","",IFERROR(INDEX(tblTiposMov[FactorStock],MATCH(tblMovimientos[[#This Row],[Tipo]],tblTiposMov[Tipo],0)),0))</f>
        <v/>
      </c>
      <c r="K2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" s="37"/>
      <c r="O217" s="37"/>
      <c r="P217" s="37"/>
    </row>
    <row r="218" spans="2:16" x14ac:dyDescent="0.25">
      <c r="B2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" s="46"/>
      <c r="D218" s="37"/>
      <c r="E218" s="37"/>
      <c r="F218" s="37"/>
      <c r="G218" s="40" t="str">
        <f>IF(tblMovimientos[[#This Row],[Producto]]="","",TRIM(LEFT(tblMovimientos[[#This Row],[Producto]],FIND(" · ",tblMovimientos[[#This Row],[Producto]]&amp;" · ")-1)))</f>
        <v/>
      </c>
      <c r="H218" s="40" t="str">
        <f>IF(tblMovimientos[[#This Row],[SKU]]="","",IFERROR(INDEX(tblProductos[Unidad],MATCH(tblMovimientos[[#This Row],[SKU]],tblProductos[SKU],0)),"?"))</f>
        <v/>
      </c>
      <c r="I218" s="39"/>
      <c r="J218" s="47" t="str">
        <f>IF(tblMovimientos[[#This Row],[Tipo]]="","",IFERROR(INDEX(tblTiposMov[FactorStock],MATCH(tblMovimientos[[#This Row],[Tipo]],tblTiposMov[Tipo],0)),0))</f>
        <v/>
      </c>
      <c r="K2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" s="37"/>
      <c r="O218" s="37"/>
      <c r="P218" s="37"/>
    </row>
    <row r="219" spans="2:16" x14ac:dyDescent="0.25">
      <c r="B2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" s="46"/>
      <c r="D219" s="37"/>
      <c r="E219" s="37"/>
      <c r="F219" s="37"/>
      <c r="G219" s="40" t="str">
        <f>IF(tblMovimientos[[#This Row],[Producto]]="","",TRIM(LEFT(tblMovimientos[[#This Row],[Producto]],FIND(" · ",tblMovimientos[[#This Row],[Producto]]&amp;" · ")-1)))</f>
        <v/>
      </c>
      <c r="H219" s="40" t="str">
        <f>IF(tblMovimientos[[#This Row],[SKU]]="","",IFERROR(INDEX(tblProductos[Unidad],MATCH(tblMovimientos[[#This Row],[SKU]],tblProductos[SKU],0)),"?"))</f>
        <v/>
      </c>
      <c r="I219" s="39"/>
      <c r="J219" s="47" t="str">
        <f>IF(tblMovimientos[[#This Row],[Tipo]]="","",IFERROR(INDEX(tblTiposMov[FactorStock],MATCH(tblMovimientos[[#This Row],[Tipo]],tblTiposMov[Tipo],0)),0))</f>
        <v/>
      </c>
      <c r="K2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" s="37"/>
      <c r="O219" s="37"/>
      <c r="P219" s="37"/>
    </row>
    <row r="220" spans="2:16" x14ac:dyDescent="0.25">
      <c r="B2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" s="46"/>
      <c r="D220" s="37"/>
      <c r="E220" s="37"/>
      <c r="F220" s="37"/>
      <c r="G220" s="40" t="str">
        <f>IF(tblMovimientos[[#This Row],[Producto]]="","",TRIM(LEFT(tblMovimientos[[#This Row],[Producto]],FIND(" · ",tblMovimientos[[#This Row],[Producto]]&amp;" · ")-1)))</f>
        <v/>
      </c>
      <c r="H220" s="40" t="str">
        <f>IF(tblMovimientos[[#This Row],[SKU]]="","",IFERROR(INDEX(tblProductos[Unidad],MATCH(tblMovimientos[[#This Row],[SKU]],tblProductos[SKU],0)),"?"))</f>
        <v/>
      </c>
      <c r="I220" s="39"/>
      <c r="J220" s="47" t="str">
        <f>IF(tblMovimientos[[#This Row],[Tipo]]="","",IFERROR(INDEX(tblTiposMov[FactorStock],MATCH(tblMovimientos[[#This Row],[Tipo]],tblTiposMov[Tipo],0)),0))</f>
        <v/>
      </c>
      <c r="K2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" s="37"/>
      <c r="O220" s="37"/>
      <c r="P220" s="37"/>
    </row>
    <row r="221" spans="2:16" x14ac:dyDescent="0.25">
      <c r="B2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" s="46"/>
      <c r="D221" s="37"/>
      <c r="E221" s="37"/>
      <c r="F221" s="37"/>
      <c r="G221" s="40" t="str">
        <f>IF(tblMovimientos[[#This Row],[Producto]]="","",TRIM(LEFT(tblMovimientos[[#This Row],[Producto]],FIND(" · ",tblMovimientos[[#This Row],[Producto]]&amp;" · ")-1)))</f>
        <v/>
      </c>
      <c r="H221" s="40" t="str">
        <f>IF(tblMovimientos[[#This Row],[SKU]]="","",IFERROR(INDEX(tblProductos[Unidad],MATCH(tblMovimientos[[#This Row],[SKU]],tblProductos[SKU],0)),"?"))</f>
        <v/>
      </c>
      <c r="I221" s="39"/>
      <c r="J221" s="47" t="str">
        <f>IF(tblMovimientos[[#This Row],[Tipo]]="","",IFERROR(INDEX(tblTiposMov[FactorStock],MATCH(tblMovimientos[[#This Row],[Tipo]],tblTiposMov[Tipo],0)),0))</f>
        <v/>
      </c>
      <c r="K2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" s="37"/>
      <c r="O221" s="37"/>
      <c r="P221" s="37"/>
    </row>
    <row r="222" spans="2:16" x14ac:dyDescent="0.25">
      <c r="B2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" s="46"/>
      <c r="D222" s="37"/>
      <c r="E222" s="37"/>
      <c r="F222" s="37"/>
      <c r="G222" s="40" t="str">
        <f>IF(tblMovimientos[[#This Row],[Producto]]="","",TRIM(LEFT(tblMovimientos[[#This Row],[Producto]],FIND(" · ",tblMovimientos[[#This Row],[Producto]]&amp;" · ")-1)))</f>
        <v/>
      </c>
      <c r="H222" s="40" t="str">
        <f>IF(tblMovimientos[[#This Row],[SKU]]="","",IFERROR(INDEX(tblProductos[Unidad],MATCH(tblMovimientos[[#This Row],[SKU]],tblProductos[SKU],0)),"?"))</f>
        <v/>
      </c>
      <c r="I222" s="39"/>
      <c r="J222" s="47" t="str">
        <f>IF(tblMovimientos[[#This Row],[Tipo]]="","",IFERROR(INDEX(tblTiposMov[FactorStock],MATCH(tblMovimientos[[#This Row],[Tipo]],tblTiposMov[Tipo],0)),0))</f>
        <v/>
      </c>
      <c r="K2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" s="37"/>
      <c r="O222" s="37"/>
      <c r="P222" s="37"/>
    </row>
    <row r="223" spans="2:16" x14ac:dyDescent="0.25">
      <c r="B2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" s="46"/>
      <c r="D223" s="37"/>
      <c r="E223" s="37"/>
      <c r="F223" s="37"/>
      <c r="G223" s="40" t="str">
        <f>IF(tblMovimientos[[#This Row],[Producto]]="","",TRIM(LEFT(tblMovimientos[[#This Row],[Producto]],FIND(" · ",tblMovimientos[[#This Row],[Producto]]&amp;" · ")-1)))</f>
        <v/>
      </c>
      <c r="H223" s="40" t="str">
        <f>IF(tblMovimientos[[#This Row],[SKU]]="","",IFERROR(INDEX(tblProductos[Unidad],MATCH(tblMovimientos[[#This Row],[SKU]],tblProductos[SKU],0)),"?"))</f>
        <v/>
      </c>
      <c r="I223" s="39"/>
      <c r="J223" s="47" t="str">
        <f>IF(tblMovimientos[[#This Row],[Tipo]]="","",IFERROR(INDEX(tblTiposMov[FactorStock],MATCH(tblMovimientos[[#This Row],[Tipo]],tblTiposMov[Tipo],0)),0))</f>
        <v/>
      </c>
      <c r="K2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" s="37"/>
      <c r="O223" s="37"/>
      <c r="P223" s="37"/>
    </row>
    <row r="224" spans="2:16" x14ac:dyDescent="0.25">
      <c r="B2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" s="46"/>
      <c r="D224" s="37"/>
      <c r="E224" s="37"/>
      <c r="F224" s="37"/>
      <c r="G224" s="40" t="str">
        <f>IF(tblMovimientos[[#This Row],[Producto]]="","",TRIM(LEFT(tblMovimientos[[#This Row],[Producto]],FIND(" · ",tblMovimientos[[#This Row],[Producto]]&amp;" · ")-1)))</f>
        <v/>
      </c>
      <c r="H224" s="40" t="str">
        <f>IF(tblMovimientos[[#This Row],[SKU]]="","",IFERROR(INDEX(tblProductos[Unidad],MATCH(tblMovimientos[[#This Row],[SKU]],tblProductos[SKU],0)),"?"))</f>
        <v/>
      </c>
      <c r="I224" s="39"/>
      <c r="J224" s="47" t="str">
        <f>IF(tblMovimientos[[#This Row],[Tipo]]="","",IFERROR(INDEX(tblTiposMov[FactorStock],MATCH(tblMovimientos[[#This Row],[Tipo]],tblTiposMov[Tipo],0)),0))</f>
        <v/>
      </c>
      <c r="K2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" s="37"/>
      <c r="O224" s="37"/>
      <c r="P224" s="37"/>
    </row>
    <row r="225" spans="2:16" x14ac:dyDescent="0.25">
      <c r="B2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" s="46"/>
      <c r="D225" s="37"/>
      <c r="E225" s="37"/>
      <c r="F225" s="37"/>
      <c r="G225" s="40" t="str">
        <f>IF(tblMovimientos[[#This Row],[Producto]]="","",TRIM(LEFT(tblMovimientos[[#This Row],[Producto]],FIND(" · ",tblMovimientos[[#This Row],[Producto]]&amp;" · ")-1)))</f>
        <v/>
      </c>
      <c r="H225" s="40" t="str">
        <f>IF(tblMovimientos[[#This Row],[SKU]]="","",IFERROR(INDEX(tblProductos[Unidad],MATCH(tblMovimientos[[#This Row],[SKU]],tblProductos[SKU],0)),"?"))</f>
        <v/>
      </c>
      <c r="I225" s="39"/>
      <c r="J225" s="47" t="str">
        <f>IF(tblMovimientos[[#This Row],[Tipo]]="","",IFERROR(INDEX(tblTiposMov[FactorStock],MATCH(tblMovimientos[[#This Row],[Tipo]],tblTiposMov[Tipo],0)),0))</f>
        <v/>
      </c>
      <c r="K2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" s="37"/>
      <c r="O225" s="37"/>
      <c r="P225" s="37"/>
    </row>
    <row r="226" spans="2:16" x14ac:dyDescent="0.25">
      <c r="B2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" s="46"/>
      <c r="D226" s="37"/>
      <c r="E226" s="37"/>
      <c r="F226" s="37"/>
      <c r="G226" s="40" t="str">
        <f>IF(tblMovimientos[[#This Row],[Producto]]="","",TRIM(LEFT(tblMovimientos[[#This Row],[Producto]],FIND(" · ",tblMovimientos[[#This Row],[Producto]]&amp;" · ")-1)))</f>
        <v/>
      </c>
      <c r="H226" s="40" t="str">
        <f>IF(tblMovimientos[[#This Row],[SKU]]="","",IFERROR(INDEX(tblProductos[Unidad],MATCH(tblMovimientos[[#This Row],[SKU]],tblProductos[SKU],0)),"?"))</f>
        <v/>
      </c>
      <c r="I226" s="39"/>
      <c r="J226" s="47" t="str">
        <f>IF(tblMovimientos[[#This Row],[Tipo]]="","",IFERROR(INDEX(tblTiposMov[FactorStock],MATCH(tblMovimientos[[#This Row],[Tipo]],tblTiposMov[Tipo],0)),0))</f>
        <v/>
      </c>
      <c r="K2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" s="37"/>
      <c r="O226" s="37"/>
      <c r="P226" s="37"/>
    </row>
    <row r="227" spans="2:16" x14ac:dyDescent="0.25">
      <c r="B2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" s="46"/>
      <c r="D227" s="37"/>
      <c r="E227" s="37"/>
      <c r="F227" s="37"/>
      <c r="G227" s="40" t="str">
        <f>IF(tblMovimientos[[#This Row],[Producto]]="","",TRIM(LEFT(tblMovimientos[[#This Row],[Producto]],FIND(" · ",tblMovimientos[[#This Row],[Producto]]&amp;" · ")-1)))</f>
        <v/>
      </c>
      <c r="H227" s="40" t="str">
        <f>IF(tblMovimientos[[#This Row],[SKU]]="","",IFERROR(INDEX(tblProductos[Unidad],MATCH(tblMovimientos[[#This Row],[SKU]],tblProductos[SKU],0)),"?"))</f>
        <v/>
      </c>
      <c r="I227" s="39"/>
      <c r="J227" s="47" t="str">
        <f>IF(tblMovimientos[[#This Row],[Tipo]]="","",IFERROR(INDEX(tblTiposMov[FactorStock],MATCH(tblMovimientos[[#This Row],[Tipo]],tblTiposMov[Tipo],0)),0))</f>
        <v/>
      </c>
      <c r="K2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" s="37"/>
      <c r="O227" s="37"/>
      <c r="P227" s="37"/>
    </row>
    <row r="228" spans="2:16" x14ac:dyDescent="0.25">
      <c r="B2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" s="46"/>
      <c r="D228" s="37"/>
      <c r="E228" s="37"/>
      <c r="F228" s="37"/>
      <c r="G228" s="40" t="str">
        <f>IF(tblMovimientos[[#This Row],[Producto]]="","",TRIM(LEFT(tblMovimientos[[#This Row],[Producto]],FIND(" · ",tblMovimientos[[#This Row],[Producto]]&amp;" · ")-1)))</f>
        <v/>
      </c>
      <c r="H228" s="40" t="str">
        <f>IF(tblMovimientos[[#This Row],[SKU]]="","",IFERROR(INDEX(tblProductos[Unidad],MATCH(tblMovimientos[[#This Row],[SKU]],tblProductos[SKU],0)),"?"))</f>
        <v/>
      </c>
      <c r="I228" s="39"/>
      <c r="J228" s="47" t="str">
        <f>IF(tblMovimientos[[#This Row],[Tipo]]="","",IFERROR(INDEX(tblTiposMov[FactorStock],MATCH(tblMovimientos[[#This Row],[Tipo]],tblTiposMov[Tipo],0)),0))</f>
        <v/>
      </c>
      <c r="K2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" s="37"/>
      <c r="O228" s="37"/>
      <c r="P228" s="37"/>
    </row>
    <row r="229" spans="2:16" x14ac:dyDescent="0.25">
      <c r="B2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" s="46"/>
      <c r="D229" s="37"/>
      <c r="E229" s="37"/>
      <c r="F229" s="37"/>
      <c r="G229" s="40" t="str">
        <f>IF(tblMovimientos[[#This Row],[Producto]]="","",TRIM(LEFT(tblMovimientos[[#This Row],[Producto]],FIND(" · ",tblMovimientos[[#This Row],[Producto]]&amp;" · ")-1)))</f>
        <v/>
      </c>
      <c r="H229" s="40" t="str">
        <f>IF(tblMovimientos[[#This Row],[SKU]]="","",IFERROR(INDEX(tblProductos[Unidad],MATCH(tblMovimientos[[#This Row],[SKU]],tblProductos[SKU],0)),"?"))</f>
        <v/>
      </c>
      <c r="I229" s="39"/>
      <c r="J229" s="47" t="str">
        <f>IF(tblMovimientos[[#This Row],[Tipo]]="","",IFERROR(INDEX(tblTiposMov[FactorStock],MATCH(tblMovimientos[[#This Row],[Tipo]],tblTiposMov[Tipo],0)),0))</f>
        <v/>
      </c>
      <c r="K2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" s="37"/>
      <c r="O229" s="37"/>
      <c r="P229" s="37"/>
    </row>
    <row r="230" spans="2:16" x14ac:dyDescent="0.25">
      <c r="B2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" s="46"/>
      <c r="D230" s="37"/>
      <c r="E230" s="37"/>
      <c r="F230" s="37"/>
      <c r="G230" s="40" t="str">
        <f>IF(tblMovimientos[[#This Row],[Producto]]="","",TRIM(LEFT(tblMovimientos[[#This Row],[Producto]],FIND(" · ",tblMovimientos[[#This Row],[Producto]]&amp;" · ")-1)))</f>
        <v/>
      </c>
      <c r="H230" s="40" t="str">
        <f>IF(tblMovimientos[[#This Row],[SKU]]="","",IFERROR(INDEX(tblProductos[Unidad],MATCH(tblMovimientos[[#This Row],[SKU]],tblProductos[SKU],0)),"?"))</f>
        <v/>
      </c>
      <c r="I230" s="39"/>
      <c r="J230" s="47" t="str">
        <f>IF(tblMovimientos[[#This Row],[Tipo]]="","",IFERROR(INDEX(tblTiposMov[FactorStock],MATCH(tblMovimientos[[#This Row],[Tipo]],tblTiposMov[Tipo],0)),0))</f>
        <v/>
      </c>
      <c r="K2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" s="37"/>
      <c r="O230" s="37"/>
      <c r="P230" s="37"/>
    </row>
    <row r="231" spans="2:16" x14ac:dyDescent="0.25">
      <c r="B2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" s="46"/>
      <c r="D231" s="37"/>
      <c r="E231" s="37"/>
      <c r="F231" s="37"/>
      <c r="G231" s="40" t="str">
        <f>IF(tblMovimientos[[#This Row],[Producto]]="","",TRIM(LEFT(tblMovimientos[[#This Row],[Producto]],FIND(" · ",tblMovimientos[[#This Row],[Producto]]&amp;" · ")-1)))</f>
        <v/>
      </c>
      <c r="H231" s="40" t="str">
        <f>IF(tblMovimientos[[#This Row],[SKU]]="","",IFERROR(INDEX(tblProductos[Unidad],MATCH(tblMovimientos[[#This Row],[SKU]],tblProductos[SKU],0)),"?"))</f>
        <v/>
      </c>
      <c r="I231" s="39"/>
      <c r="J231" s="47" t="str">
        <f>IF(tblMovimientos[[#This Row],[Tipo]]="","",IFERROR(INDEX(tblTiposMov[FactorStock],MATCH(tblMovimientos[[#This Row],[Tipo]],tblTiposMov[Tipo],0)),0))</f>
        <v/>
      </c>
      <c r="K2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" s="37"/>
      <c r="O231" s="37"/>
      <c r="P231" s="37"/>
    </row>
    <row r="232" spans="2:16" x14ac:dyDescent="0.25">
      <c r="B2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" s="46"/>
      <c r="D232" s="37"/>
      <c r="E232" s="37"/>
      <c r="F232" s="37"/>
      <c r="G232" s="40" t="str">
        <f>IF(tblMovimientos[[#This Row],[Producto]]="","",TRIM(LEFT(tblMovimientos[[#This Row],[Producto]],FIND(" · ",tblMovimientos[[#This Row],[Producto]]&amp;" · ")-1)))</f>
        <v/>
      </c>
      <c r="H232" s="40" t="str">
        <f>IF(tblMovimientos[[#This Row],[SKU]]="","",IFERROR(INDEX(tblProductos[Unidad],MATCH(tblMovimientos[[#This Row],[SKU]],tblProductos[SKU],0)),"?"))</f>
        <v/>
      </c>
      <c r="I232" s="39"/>
      <c r="J232" s="47" t="str">
        <f>IF(tblMovimientos[[#This Row],[Tipo]]="","",IFERROR(INDEX(tblTiposMov[FactorStock],MATCH(tblMovimientos[[#This Row],[Tipo]],tblTiposMov[Tipo],0)),0))</f>
        <v/>
      </c>
      <c r="K2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" s="37"/>
      <c r="O232" s="37"/>
      <c r="P232" s="37"/>
    </row>
    <row r="233" spans="2:16" x14ac:dyDescent="0.25">
      <c r="B2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" s="46"/>
      <c r="D233" s="37"/>
      <c r="E233" s="37"/>
      <c r="F233" s="37"/>
      <c r="G233" s="40" t="str">
        <f>IF(tblMovimientos[[#This Row],[Producto]]="","",TRIM(LEFT(tblMovimientos[[#This Row],[Producto]],FIND(" · ",tblMovimientos[[#This Row],[Producto]]&amp;" · ")-1)))</f>
        <v/>
      </c>
      <c r="H233" s="40" t="str">
        <f>IF(tblMovimientos[[#This Row],[SKU]]="","",IFERROR(INDEX(tblProductos[Unidad],MATCH(tblMovimientos[[#This Row],[SKU]],tblProductos[SKU],0)),"?"))</f>
        <v/>
      </c>
      <c r="I233" s="39"/>
      <c r="J233" s="47" t="str">
        <f>IF(tblMovimientos[[#This Row],[Tipo]]="","",IFERROR(INDEX(tblTiposMov[FactorStock],MATCH(tblMovimientos[[#This Row],[Tipo]],tblTiposMov[Tipo],0)),0))</f>
        <v/>
      </c>
      <c r="K2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" s="37"/>
      <c r="O233" s="37"/>
      <c r="P233" s="37"/>
    </row>
    <row r="234" spans="2:16" x14ac:dyDescent="0.25">
      <c r="B2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" s="46"/>
      <c r="D234" s="37"/>
      <c r="E234" s="37"/>
      <c r="F234" s="37"/>
      <c r="G234" s="40" t="str">
        <f>IF(tblMovimientos[[#This Row],[Producto]]="","",TRIM(LEFT(tblMovimientos[[#This Row],[Producto]],FIND(" · ",tblMovimientos[[#This Row],[Producto]]&amp;" · ")-1)))</f>
        <v/>
      </c>
      <c r="H234" s="40" t="str">
        <f>IF(tblMovimientos[[#This Row],[SKU]]="","",IFERROR(INDEX(tblProductos[Unidad],MATCH(tblMovimientos[[#This Row],[SKU]],tblProductos[SKU],0)),"?"))</f>
        <v/>
      </c>
      <c r="I234" s="39"/>
      <c r="J234" s="47" t="str">
        <f>IF(tblMovimientos[[#This Row],[Tipo]]="","",IFERROR(INDEX(tblTiposMov[FactorStock],MATCH(tblMovimientos[[#This Row],[Tipo]],tblTiposMov[Tipo],0)),0))</f>
        <v/>
      </c>
      <c r="K2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" s="37"/>
      <c r="O234" s="37"/>
      <c r="P234" s="37"/>
    </row>
    <row r="235" spans="2:16" x14ac:dyDescent="0.25">
      <c r="B2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" s="46"/>
      <c r="D235" s="37"/>
      <c r="E235" s="37"/>
      <c r="F235" s="37"/>
      <c r="G235" s="40" t="str">
        <f>IF(tblMovimientos[[#This Row],[Producto]]="","",TRIM(LEFT(tblMovimientos[[#This Row],[Producto]],FIND(" · ",tblMovimientos[[#This Row],[Producto]]&amp;" · ")-1)))</f>
        <v/>
      </c>
      <c r="H235" s="40" t="str">
        <f>IF(tblMovimientos[[#This Row],[SKU]]="","",IFERROR(INDEX(tblProductos[Unidad],MATCH(tblMovimientos[[#This Row],[SKU]],tblProductos[SKU],0)),"?"))</f>
        <v/>
      </c>
      <c r="I235" s="39"/>
      <c r="J235" s="47" t="str">
        <f>IF(tblMovimientos[[#This Row],[Tipo]]="","",IFERROR(INDEX(tblTiposMov[FactorStock],MATCH(tblMovimientos[[#This Row],[Tipo]],tblTiposMov[Tipo],0)),0))</f>
        <v/>
      </c>
      <c r="K2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" s="37"/>
      <c r="O235" s="37"/>
      <c r="P235" s="37"/>
    </row>
    <row r="236" spans="2:16" x14ac:dyDescent="0.25">
      <c r="B2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" s="46"/>
      <c r="D236" s="37"/>
      <c r="E236" s="37"/>
      <c r="F236" s="37"/>
      <c r="G236" s="40" t="str">
        <f>IF(tblMovimientos[[#This Row],[Producto]]="","",TRIM(LEFT(tblMovimientos[[#This Row],[Producto]],FIND(" · ",tblMovimientos[[#This Row],[Producto]]&amp;" · ")-1)))</f>
        <v/>
      </c>
      <c r="H236" s="40" t="str">
        <f>IF(tblMovimientos[[#This Row],[SKU]]="","",IFERROR(INDEX(tblProductos[Unidad],MATCH(tblMovimientos[[#This Row],[SKU]],tblProductos[SKU],0)),"?"))</f>
        <v/>
      </c>
      <c r="I236" s="39"/>
      <c r="J236" s="47" t="str">
        <f>IF(tblMovimientos[[#This Row],[Tipo]]="","",IFERROR(INDEX(tblTiposMov[FactorStock],MATCH(tblMovimientos[[#This Row],[Tipo]],tblTiposMov[Tipo],0)),0))</f>
        <v/>
      </c>
      <c r="K2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" s="37"/>
      <c r="O236" s="37"/>
      <c r="P236" s="37"/>
    </row>
    <row r="237" spans="2:16" x14ac:dyDescent="0.25">
      <c r="B2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" s="46"/>
      <c r="D237" s="37"/>
      <c r="E237" s="37"/>
      <c r="F237" s="37"/>
      <c r="G237" s="40" t="str">
        <f>IF(tblMovimientos[[#This Row],[Producto]]="","",TRIM(LEFT(tblMovimientos[[#This Row],[Producto]],FIND(" · ",tblMovimientos[[#This Row],[Producto]]&amp;" · ")-1)))</f>
        <v/>
      </c>
      <c r="H237" s="40" t="str">
        <f>IF(tblMovimientos[[#This Row],[SKU]]="","",IFERROR(INDEX(tblProductos[Unidad],MATCH(tblMovimientos[[#This Row],[SKU]],tblProductos[SKU],0)),"?"))</f>
        <v/>
      </c>
      <c r="I237" s="39"/>
      <c r="J237" s="47" t="str">
        <f>IF(tblMovimientos[[#This Row],[Tipo]]="","",IFERROR(INDEX(tblTiposMov[FactorStock],MATCH(tblMovimientos[[#This Row],[Tipo]],tblTiposMov[Tipo],0)),0))</f>
        <v/>
      </c>
      <c r="K2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" s="37"/>
      <c r="O237" s="37"/>
      <c r="P237" s="37"/>
    </row>
    <row r="238" spans="2:16" x14ac:dyDescent="0.25">
      <c r="B2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" s="46"/>
      <c r="D238" s="37"/>
      <c r="E238" s="37"/>
      <c r="F238" s="37"/>
      <c r="G238" s="40" t="str">
        <f>IF(tblMovimientos[[#This Row],[Producto]]="","",TRIM(LEFT(tblMovimientos[[#This Row],[Producto]],FIND(" · ",tblMovimientos[[#This Row],[Producto]]&amp;" · ")-1)))</f>
        <v/>
      </c>
      <c r="H238" s="40" t="str">
        <f>IF(tblMovimientos[[#This Row],[SKU]]="","",IFERROR(INDEX(tblProductos[Unidad],MATCH(tblMovimientos[[#This Row],[SKU]],tblProductos[SKU],0)),"?"))</f>
        <v/>
      </c>
      <c r="I238" s="39"/>
      <c r="J238" s="47" t="str">
        <f>IF(tblMovimientos[[#This Row],[Tipo]]="","",IFERROR(INDEX(tblTiposMov[FactorStock],MATCH(tblMovimientos[[#This Row],[Tipo]],tblTiposMov[Tipo],0)),0))</f>
        <v/>
      </c>
      <c r="K2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" s="37"/>
      <c r="O238" s="37"/>
      <c r="P238" s="37"/>
    </row>
    <row r="239" spans="2:16" x14ac:dyDescent="0.25">
      <c r="B2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" s="46"/>
      <c r="D239" s="37"/>
      <c r="E239" s="37"/>
      <c r="F239" s="37"/>
      <c r="G239" s="40" t="str">
        <f>IF(tblMovimientos[[#This Row],[Producto]]="","",TRIM(LEFT(tblMovimientos[[#This Row],[Producto]],FIND(" · ",tblMovimientos[[#This Row],[Producto]]&amp;" · ")-1)))</f>
        <v/>
      </c>
      <c r="H239" s="40" t="str">
        <f>IF(tblMovimientos[[#This Row],[SKU]]="","",IFERROR(INDEX(tblProductos[Unidad],MATCH(tblMovimientos[[#This Row],[SKU]],tblProductos[SKU],0)),"?"))</f>
        <v/>
      </c>
      <c r="I239" s="39"/>
      <c r="J239" s="47" t="str">
        <f>IF(tblMovimientos[[#This Row],[Tipo]]="","",IFERROR(INDEX(tblTiposMov[FactorStock],MATCH(tblMovimientos[[#This Row],[Tipo]],tblTiposMov[Tipo],0)),0))</f>
        <v/>
      </c>
      <c r="K2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" s="37"/>
      <c r="O239" s="37"/>
      <c r="P239" s="37"/>
    </row>
    <row r="240" spans="2:16" x14ac:dyDescent="0.25">
      <c r="B2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" s="46"/>
      <c r="D240" s="37"/>
      <c r="E240" s="37"/>
      <c r="F240" s="37"/>
      <c r="G240" s="40" t="str">
        <f>IF(tblMovimientos[[#This Row],[Producto]]="","",TRIM(LEFT(tblMovimientos[[#This Row],[Producto]],FIND(" · ",tblMovimientos[[#This Row],[Producto]]&amp;" · ")-1)))</f>
        <v/>
      </c>
      <c r="H240" s="40" t="str">
        <f>IF(tblMovimientos[[#This Row],[SKU]]="","",IFERROR(INDEX(tblProductos[Unidad],MATCH(tblMovimientos[[#This Row],[SKU]],tblProductos[SKU],0)),"?"))</f>
        <v/>
      </c>
      <c r="I240" s="39"/>
      <c r="J240" s="47" t="str">
        <f>IF(tblMovimientos[[#This Row],[Tipo]]="","",IFERROR(INDEX(tblTiposMov[FactorStock],MATCH(tblMovimientos[[#This Row],[Tipo]],tblTiposMov[Tipo],0)),0))</f>
        <v/>
      </c>
      <c r="K2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" s="37"/>
      <c r="O240" s="37"/>
      <c r="P240" s="37"/>
    </row>
    <row r="241" spans="2:16" x14ac:dyDescent="0.25">
      <c r="B2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" s="46"/>
      <c r="D241" s="37"/>
      <c r="E241" s="37"/>
      <c r="F241" s="37"/>
      <c r="G241" s="40" t="str">
        <f>IF(tblMovimientos[[#This Row],[Producto]]="","",TRIM(LEFT(tblMovimientos[[#This Row],[Producto]],FIND(" · ",tblMovimientos[[#This Row],[Producto]]&amp;" · ")-1)))</f>
        <v/>
      </c>
      <c r="H241" s="40" t="str">
        <f>IF(tblMovimientos[[#This Row],[SKU]]="","",IFERROR(INDEX(tblProductos[Unidad],MATCH(tblMovimientos[[#This Row],[SKU]],tblProductos[SKU],0)),"?"))</f>
        <v/>
      </c>
      <c r="I241" s="39"/>
      <c r="J241" s="47" t="str">
        <f>IF(tblMovimientos[[#This Row],[Tipo]]="","",IFERROR(INDEX(tblTiposMov[FactorStock],MATCH(tblMovimientos[[#This Row],[Tipo]],tblTiposMov[Tipo],0)),0))</f>
        <v/>
      </c>
      <c r="K2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" s="37"/>
      <c r="O241" s="37"/>
      <c r="P241" s="37"/>
    </row>
    <row r="242" spans="2:16" x14ac:dyDescent="0.25">
      <c r="B2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" s="46"/>
      <c r="D242" s="37"/>
      <c r="E242" s="37"/>
      <c r="F242" s="37"/>
      <c r="G242" s="40" t="str">
        <f>IF(tblMovimientos[[#This Row],[Producto]]="","",TRIM(LEFT(tblMovimientos[[#This Row],[Producto]],FIND(" · ",tblMovimientos[[#This Row],[Producto]]&amp;" · ")-1)))</f>
        <v/>
      </c>
      <c r="H242" s="40" t="str">
        <f>IF(tblMovimientos[[#This Row],[SKU]]="","",IFERROR(INDEX(tblProductos[Unidad],MATCH(tblMovimientos[[#This Row],[SKU]],tblProductos[SKU],0)),"?"))</f>
        <v/>
      </c>
      <c r="I242" s="39"/>
      <c r="J242" s="47" t="str">
        <f>IF(tblMovimientos[[#This Row],[Tipo]]="","",IFERROR(INDEX(tblTiposMov[FactorStock],MATCH(tblMovimientos[[#This Row],[Tipo]],tblTiposMov[Tipo],0)),0))</f>
        <v/>
      </c>
      <c r="K2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" s="37"/>
      <c r="O242" s="37"/>
      <c r="P242" s="37"/>
    </row>
    <row r="243" spans="2:16" x14ac:dyDescent="0.25">
      <c r="B2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" s="46"/>
      <c r="D243" s="37"/>
      <c r="E243" s="37"/>
      <c r="F243" s="37"/>
      <c r="G243" s="40" t="str">
        <f>IF(tblMovimientos[[#This Row],[Producto]]="","",TRIM(LEFT(tblMovimientos[[#This Row],[Producto]],FIND(" · ",tblMovimientos[[#This Row],[Producto]]&amp;" · ")-1)))</f>
        <v/>
      </c>
      <c r="H243" s="40" t="str">
        <f>IF(tblMovimientos[[#This Row],[SKU]]="","",IFERROR(INDEX(tblProductos[Unidad],MATCH(tblMovimientos[[#This Row],[SKU]],tblProductos[SKU],0)),"?"))</f>
        <v/>
      </c>
      <c r="I243" s="39"/>
      <c r="J243" s="47" t="str">
        <f>IF(tblMovimientos[[#This Row],[Tipo]]="","",IFERROR(INDEX(tblTiposMov[FactorStock],MATCH(tblMovimientos[[#This Row],[Tipo]],tblTiposMov[Tipo],0)),0))</f>
        <v/>
      </c>
      <c r="K2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" s="37"/>
      <c r="O243" s="37"/>
      <c r="P243" s="37"/>
    </row>
    <row r="244" spans="2:16" x14ac:dyDescent="0.25">
      <c r="B2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" s="46"/>
      <c r="D244" s="37"/>
      <c r="E244" s="37"/>
      <c r="F244" s="37"/>
      <c r="G244" s="40" t="str">
        <f>IF(tblMovimientos[[#This Row],[Producto]]="","",TRIM(LEFT(tblMovimientos[[#This Row],[Producto]],FIND(" · ",tblMovimientos[[#This Row],[Producto]]&amp;" · ")-1)))</f>
        <v/>
      </c>
      <c r="H244" s="40" t="str">
        <f>IF(tblMovimientos[[#This Row],[SKU]]="","",IFERROR(INDEX(tblProductos[Unidad],MATCH(tblMovimientos[[#This Row],[SKU]],tblProductos[SKU],0)),"?"))</f>
        <v/>
      </c>
      <c r="I244" s="39"/>
      <c r="J244" s="47" t="str">
        <f>IF(tblMovimientos[[#This Row],[Tipo]]="","",IFERROR(INDEX(tblTiposMov[FactorStock],MATCH(tblMovimientos[[#This Row],[Tipo]],tblTiposMov[Tipo],0)),0))</f>
        <v/>
      </c>
      <c r="K2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" s="37"/>
      <c r="O244" s="37"/>
      <c r="P244" s="37"/>
    </row>
    <row r="245" spans="2:16" x14ac:dyDescent="0.25">
      <c r="B2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" s="46"/>
      <c r="D245" s="37"/>
      <c r="E245" s="37"/>
      <c r="F245" s="37"/>
      <c r="G245" s="40" t="str">
        <f>IF(tblMovimientos[[#This Row],[Producto]]="","",TRIM(LEFT(tblMovimientos[[#This Row],[Producto]],FIND(" · ",tblMovimientos[[#This Row],[Producto]]&amp;" · ")-1)))</f>
        <v/>
      </c>
      <c r="H245" s="40" t="str">
        <f>IF(tblMovimientos[[#This Row],[SKU]]="","",IFERROR(INDEX(tblProductos[Unidad],MATCH(tblMovimientos[[#This Row],[SKU]],tblProductos[SKU],0)),"?"))</f>
        <v/>
      </c>
      <c r="I245" s="39"/>
      <c r="J245" s="47" t="str">
        <f>IF(tblMovimientos[[#This Row],[Tipo]]="","",IFERROR(INDEX(tblTiposMov[FactorStock],MATCH(tblMovimientos[[#This Row],[Tipo]],tblTiposMov[Tipo],0)),0))</f>
        <v/>
      </c>
      <c r="K2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" s="37"/>
      <c r="O245" s="37"/>
      <c r="P245" s="37"/>
    </row>
    <row r="246" spans="2:16" x14ac:dyDescent="0.25">
      <c r="B2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" s="46"/>
      <c r="D246" s="37"/>
      <c r="E246" s="37"/>
      <c r="F246" s="37"/>
      <c r="G246" s="40" t="str">
        <f>IF(tblMovimientos[[#This Row],[Producto]]="","",TRIM(LEFT(tblMovimientos[[#This Row],[Producto]],FIND(" · ",tblMovimientos[[#This Row],[Producto]]&amp;" · ")-1)))</f>
        <v/>
      </c>
      <c r="H246" s="40" t="str">
        <f>IF(tblMovimientos[[#This Row],[SKU]]="","",IFERROR(INDEX(tblProductos[Unidad],MATCH(tblMovimientos[[#This Row],[SKU]],tblProductos[SKU],0)),"?"))</f>
        <v/>
      </c>
      <c r="I246" s="39"/>
      <c r="J246" s="47" t="str">
        <f>IF(tblMovimientos[[#This Row],[Tipo]]="","",IFERROR(INDEX(tblTiposMov[FactorStock],MATCH(tblMovimientos[[#This Row],[Tipo]],tblTiposMov[Tipo],0)),0))</f>
        <v/>
      </c>
      <c r="K2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" s="37"/>
      <c r="O246" s="37"/>
      <c r="P246" s="37"/>
    </row>
    <row r="247" spans="2:16" x14ac:dyDescent="0.25">
      <c r="B2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" s="46"/>
      <c r="D247" s="37"/>
      <c r="E247" s="37"/>
      <c r="F247" s="37"/>
      <c r="G247" s="40" t="str">
        <f>IF(tblMovimientos[[#This Row],[Producto]]="","",TRIM(LEFT(tblMovimientos[[#This Row],[Producto]],FIND(" · ",tblMovimientos[[#This Row],[Producto]]&amp;" · ")-1)))</f>
        <v/>
      </c>
      <c r="H247" s="40" t="str">
        <f>IF(tblMovimientos[[#This Row],[SKU]]="","",IFERROR(INDEX(tblProductos[Unidad],MATCH(tblMovimientos[[#This Row],[SKU]],tblProductos[SKU],0)),"?"))</f>
        <v/>
      </c>
      <c r="I247" s="39"/>
      <c r="J247" s="47" t="str">
        <f>IF(tblMovimientos[[#This Row],[Tipo]]="","",IFERROR(INDEX(tblTiposMov[FactorStock],MATCH(tblMovimientos[[#This Row],[Tipo]],tblTiposMov[Tipo],0)),0))</f>
        <v/>
      </c>
      <c r="K2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" s="37"/>
      <c r="O247" s="37"/>
      <c r="P247" s="37"/>
    </row>
    <row r="248" spans="2:16" x14ac:dyDescent="0.25">
      <c r="B2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" s="46"/>
      <c r="D248" s="37"/>
      <c r="E248" s="37"/>
      <c r="F248" s="37"/>
      <c r="G248" s="40" t="str">
        <f>IF(tblMovimientos[[#This Row],[Producto]]="","",TRIM(LEFT(tblMovimientos[[#This Row],[Producto]],FIND(" · ",tblMovimientos[[#This Row],[Producto]]&amp;" · ")-1)))</f>
        <v/>
      </c>
      <c r="H248" s="40" t="str">
        <f>IF(tblMovimientos[[#This Row],[SKU]]="","",IFERROR(INDEX(tblProductos[Unidad],MATCH(tblMovimientos[[#This Row],[SKU]],tblProductos[SKU],0)),"?"))</f>
        <v/>
      </c>
      <c r="I248" s="39"/>
      <c r="J248" s="47" t="str">
        <f>IF(tblMovimientos[[#This Row],[Tipo]]="","",IFERROR(INDEX(tblTiposMov[FactorStock],MATCH(tblMovimientos[[#This Row],[Tipo]],tblTiposMov[Tipo],0)),0))</f>
        <v/>
      </c>
      <c r="K2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" s="37"/>
      <c r="O248" s="37"/>
      <c r="P248" s="37"/>
    </row>
    <row r="249" spans="2:16" x14ac:dyDescent="0.25">
      <c r="B2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" s="46"/>
      <c r="D249" s="37"/>
      <c r="E249" s="37"/>
      <c r="F249" s="37"/>
      <c r="G249" s="40" t="str">
        <f>IF(tblMovimientos[[#This Row],[Producto]]="","",TRIM(LEFT(tblMovimientos[[#This Row],[Producto]],FIND(" · ",tblMovimientos[[#This Row],[Producto]]&amp;" · ")-1)))</f>
        <v/>
      </c>
      <c r="H249" s="40" t="str">
        <f>IF(tblMovimientos[[#This Row],[SKU]]="","",IFERROR(INDEX(tblProductos[Unidad],MATCH(tblMovimientos[[#This Row],[SKU]],tblProductos[SKU],0)),"?"))</f>
        <v/>
      </c>
      <c r="I249" s="39"/>
      <c r="J249" s="47" t="str">
        <f>IF(tblMovimientos[[#This Row],[Tipo]]="","",IFERROR(INDEX(tblTiposMov[FactorStock],MATCH(tblMovimientos[[#This Row],[Tipo]],tblTiposMov[Tipo],0)),0))</f>
        <v/>
      </c>
      <c r="K2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" s="37"/>
      <c r="O249" s="37"/>
      <c r="P249" s="37"/>
    </row>
    <row r="250" spans="2:16" x14ac:dyDescent="0.25">
      <c r="B2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" s="46"/>
      <c r="D250" s="37"/>
      <c r="E250" s="37"/>
      <c r="F250" s="37"/>
      <c r="G250" s="40" t="str">
        <f>IF(tblMovimientos[[#This Row],[Producto]]="","",TRIM(LEFT(tblMovimientos[[#This Row],[Producto]],FIND(" · ",tblMovimientos[[#This Row],[Producto]]&amp;" · ")-1)))</f>
        <v/>
      </c>
      <c r="H250" s="40" t="str">
        <f>IF(tblMovimientos[[#This Row],[SKU]]="","",IFERROR(INDEX(tblProductos[Unidad],MATCH(tblMovimientos[[#This Row],[SKU]],tblProductos[SKU],0)),"?"))</f>
        <v/>
      </c>
      <c r="I250" s="39"/>
      <c r="J250" s="47" t="str">
        <f>IF(tblMovimientos[[#This Row],[Tipo]]="","",IFERROR(INDEX(tblTiposMov[FactorStock],MATCH(tblMovimientos[[#This Row],[Tipo]],tblTiposMov[Tipo],0)),0))</f>
        <v/>
      </c>
      <c r="K2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" s="37"/>
      <c r="O250" s="37"/>
      <c r="P250" s="37"/>
    </row>
    <row r="251" spans="2:16" x14ac:dyDescent="0.25">
      <c r="B2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" s="46"/>
      <c r="D251" s="37"/>
      <c r="E251" s="37"/>
      <c r="F251" s="37"/>
      <c r="G251" s="40" t="str">
        <f>IF(tblMovimientos[[#This Row],[Producto]]="","",TRIM(LEFT(tblMovimientos[[#This Row],[Producto]],FIND(" · ",tblMovimientos[[#This Row],[Producto]]&amp;" · ")-1)))</f>
        <v/>
      </c>
      <c r="H251" s="40" t="str">
        <f>IF(tblMovimientos[[#This Row],[SKU]]="","",IFERROR(INDEX(tblProductos[Unidad],MATCH(tblMovimientos[[#This Row],[SKU]],tblProductos[SKU],0)),"?"))</f>
        <v/>
      </c>
      <c r="I251" s="39"/>
      <c r="J251" s="47" t="str">
        <f>IF(tblMovimientos[[#This Row],[Tipo]]="","",IFERROR(INDEX(tblTiposMov[FactorStock],MATCH(tblMovimientos[[#This Row],[Tipo]],tblTiposMov[Tipo],0)),0))</f>
        <v/>
      </c>
      <c r="K2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" s="37"/>
      <c r="O251" s="37"/>
      <c r="P251" s="37"/>
    </row>
    <row r="252" spans="2:16" x14ac:dyDescent="0.25">
      <c r="B2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" s="46"/>
      <c r="D252" s="37"/>
      <c r="E252" s="37"/>
      <c r="F252" s="37"/>
      <c r="G252" s="40" t="str">
        <f>IF(tblMovimientos[[#This Row],[Producto]]="","",TRIM(LEFT(tblMovimientos[[#This Row],[Producto]],FIND(" · ",tblMovimientos[[#This Row],[Producto]]&amp;" · ")-1)))</f>
        <v/>
      </c>
      <c r="H252" s="40" t="str">
        <f>IF(tblMovimientos[[#This Row],[SKU]]="","",IFERROR(INDEX(tblProductos[Unidad],MATCH(tblMovimientos[[#This Row],[SKU]],tblProductos[SKU],0)),"?"))</f>
        <v/>
      </c>
      <c r="I252" s="39"/>
      <c r="J252" s="47" t="str">
        <f>IF(tblMovimientos[[#This Row],[Tipo]]="","",IFERROR(INDEX(tblTiposMov[FactorStock],MATCH(tblMovimientos[[#This Row],[Tipo]],tblTiposMov[Tipo],0)),0))</f>
        <v/>
      </c>
      <c r="K2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" s="37"/>
      <c r="O252" s="37"/>
      <c r="P252" s="37"/>
    </row>
    <row r="253" spans="2:16" x14ac:dyDescent="0.25">
      <c r="B2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" s="46"/>
      <c r="D253" s="37"/>
      <c r="E253" s="37"/>
      <c r="F253" s="37"/>
      <c r="G253" s="40" t="str">
        <f>IF(tblMovimientos[[#This Row],[Producto]]="","",TRIM(LEFT(tblMovimientos[[#This Row],[Producto]],FIND(" · ",tblMovimientos[[#This Row],[Producto]]&amp;" · ")-1)))</f>
        <v/>
      </c>
      <c r="H253" s="40" t="str">
        <f>IF(tblMovimientos[[#This Row],[SKU]]="","",IFERROR(INDEX(tblProductos[Unidad],MATCH(tblMovimientos[[#This Row],[SKU]],tblProductos[SKU],0)),"?"))</f>
        <v/>
      </c>
      <c r="I253" s="39"/>
      <c r="J253" s="47" t="str">
        <f>IF(tblMovimientos[[#This Row],[Tipo]]="","",IFERROR(INDEX(tblTiposMov[FactorStock],MATCH(tblMovimientos[[#This Row],[Tipo]],tblTiposMov[Tipo],0)),0))</f>
        <v/>
      </c>
      <c r="K2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" s="37"/>
      <c r="O253" s="37"/>
      <c r="P253" s="37"/>
    </row>
    <row r="254" spans="2:16" x14ac:dyDescent="0.25">
      <c r="B2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" s="46"/>
      <c r="D254" s="37"/>
      <c r="E254" s="37"/>
      <c r="F254" s="37"/>
      <c r="G254" s="40" t="str">
        <f>IF(tblMovimientos[[#This Row],[Producto]]="","",TRIM(LEFT(tblMovimientos[[#This Row],[Producto]],FIND(" · ",tblMovimientos[[#This Row],[Producto]]&amp;" · ")-1)))</f>
        <v/>
      </c>
      <c r="H254" s="40" t="str">
        <f>IF(tblMovimientos[[#This Row],[SKU]]="","",IFERROR(INDEX(tblProductos[Unidad],MATCH(tblMovimientos[[#This Row],[SKU]],tblProductos[SKU],0)),"?"))</f>
        <v/>
      </c>
      <c r="I254" s="39"/>
      <c r="J254" s="47" t="str">
        <f>IF(tblMovimientos[[#This Row],[Tipo]]="","",IFERROR(INDEX(tblTiposMov[FactorStock],MATCH(tblMovimientos[[#This Row],[Tipo]],tblTiposMov[Tipo],0)),0))</f>
        <v/>
      </c>
      <c r="K2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" s="37"/>
      <c r="O254" s="37"/>
      <c r="P254" s="37"/>
    </row>
    <row r="255" spans="2:16" x14ac:dyDescent="0.25">
      <c r="B2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" s="46"/>
      <c r="D255" s="37"/>
      <c r="E255" s="37"/>
      <c r="F255" s="37"/>
      <c r="G255" s="40" t="str">
        <f>IF(tblMovimientos[[#This Row],[Producto]]="","",TRIM(LEFT(tblMovimientos[[#This Row],[Producto]],FIND(" · ",tblMovimientos[[#This Row],[Producto]]&amp;" · ")-1)))</f>
        <v/>
      </c>
      <c r="H255" s="40" t="str">
        <f>IF(tblMovimientos[[#This Row],[SKU]]="","",IFERROR(INDEX(tblProductos[Unidad],MATCH(tblMovimientos[[#This Row],[SKU]],tblProductos[SKU],0)),"?"))</f>
        <v/>
      </c>
      <c r="I255" s="39"/>
      <c r="J255" s="47" t="str">
        <f>IF(tblMovimientos[[#This Row],[Tipo]]="","",IFERROR(INDEX(tblTiposMov[FactorStock],MATCH(tblMovimientos[[#This Row],[Tipo]],tblTiposMov[Tipo],0)),0))</f>
        <v/>
      </c>
      <c r="K2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" s="37"/>
      <c r="O255" s="37"/>
      <c r="P255" s="37"/>
    </row>
    <row r="256" spans="2:16" x14ac:dyDescent="0.25">
      <c r="B2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" s="46"/>
      <c r="D256" s="37"/>
      <c r="E256" s="37"/>
      <c r="F256" s="37"/>
      <c r="G256" s="40" t="str">
        <f>IF(tblMovimientos[[#This Row],[Producto]]="","",TRIM(LEFT(tblMovimientos[[#This Row],[Producto]],FIND(" · ",tblMovimientos[[#This Row],[Producto]]&amp;" · ")-1)))</f>
        <v/>
      </c>
      <c r="H256" s="40" t="str">
        <f>IF(tblMovimientos[[#This Row],[SKU]]="","",IFERROR(INDEX(tblProductos[Unidad],MATCH(tblMovimientos[[#This Row],[SKU]],tblProductos[SKU],0)),"?"))</f>
        <v/>
      </c>
      <c r="I256" s="39"/>
      <c r="J256" s="47" t="str">
        <f>IF(tblMovimientos[[#This Row],[Tipo]]="","",IFERROR(INDEX(tblTiposMov[FactorStock],MATCH(tblMovimientos[[#This Row],[Tipo]],tblTiposMov[Tipo],0)),0))</f>
        <v/>
      </c>
      <c r="K2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" s="37"/>
      <c r="O256" s="37"/>
      <c r="P256" s="37"/>
    </row>
    <row r="257" spans="2:16" x14ac:dyDescent="0.25">
      <c r="B2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" s="46"/>
      <c r="D257" s="37"/>
      <c r="E257" s="37"/>
      <c r="F257" s="37"/>
      <c r="G257" s="40" t="str">
        <f>IF(tblMovimientos[[#This Row],[Producto]]="","",TRIM(LEFT(tblMovimientos[[#This Row],[Producto]],FIND(" · ",tblMovimientos[[#This Row],[Producto]]&amp;" · ")-1)))</f>
        <v/>
      </c>
      <c r="H257" s="40" t="str">
        <f>IF(tblMovimientos[[#This Row],[SKU]]="","",IFERROR(INDEX(tblProductos[Unidad],MATCH(tblMovimientos[[#This Row],[SKU]],tblProductos[SKU],0)),"?"))</f>
        <v/>
      </c>
      <c r="I257" s="39"/>
      <c r="J257" s="47" t="str">
        <f>IF(tblMovimientos[[#This Row],[Tipo]]="","",IFERROR(INDEX(tblTiposMov[FactorStock],MATCH(tblMovimientos[[#This Row],[Tipo]],tblTiposMov[Tipo],0)),0))</f>
        <v/>
      </c>
      <c r="K2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" s="37"/>
      <c r="O257" s="37"/>
      <c r="P257" s="37"/>
    </row>
    <row r="258" spans="2:16" x14ac:dyDescent="0.25">
      <c r="B2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" s="46"/>
      <c r="D258" s="37"/>
      <c r="E258" s="37"/>
      <c r="F258" s="37"/>
      <c r="G258" s="40" t="str">
        <f>IF(tblMovimientos[[#This Row],[Producto]]="","",TRIM(LEFT(tblMovimientos[[#This Row],[Producto]],FIND(" · ",tblMovimientos[[#This Row],[Producto]]&amp;" · ")-1)))</f>
        <v/>
      </c>
      <c r="H258" s="40" t="str">
        <f>IF(tblMovimientos[[#This Row],[SKU]]="","",IFERROR(INDEX(tblProductos[Unidad],MATCH(tblMovimientos[[#This Row],[SKU]],tblProductos[SKU],0)),"?"))</f>
        <v/>
      </c>
      <c r="I258" s="39"/>
      <c r="J258" s="47" t="str">
        <f>IF(tblMovimientos[[#This Row],[Tipo]]="","",IFERROR(INDEX(tblTiposMov[FactorStock],MATCH(tblMovimientos[[#This Row],[Tipo]],tblTiposMov[Tipo],0)),0))</f>
        <v/>
      </c>
      <c r="K2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" s="37"/>
      <c r="O258" s="37"/>
      <c r="P258" s="37"/>
    </row>
    <row r="259" spans="2:16" x14ac:dyDescent="0.25">
      <c r="B2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" s="46"/>
      <c r="D259" s="37"/>
      <c r="E259" s="37"/>
      <c r="F259" s="37"/>
      <c r="G259" s="40" t="str">
        <f>IF(tblMovimientos[[#This Row],[Producto]]="","",TRIM(LEFT(tblMovimientos[[#This Row],[Producto]],FIND(" · ",tblMovimientos[[#This Row],[Producto]]&amp;" · ")-1)))</f>
        <v/>
      </c>
      <c r="H259" s="40" t="str">
        <f>IF(tblMovimientos[[#This Row],[SKU]]="","",IFERROR(INDEX(tblProductos[Unidad],MATCH(tblMovimientos[[#This Row],[SKU]],tblProductos[SKU],0)),"?"))</f>
        <v/>
      </c>
      <c r="I259" s="39"/>
      <c r="J259" s="47" t="str">
        <f>IF(tblMovimientos[[#This Row],[Tipo]]="","",IFERROR(INDEX(tblTiposMov[FactorStock],MATCH(tblMovimientos[[#This Row],[Tipo]],tblTiposMov[Tipo],0)),0))</f>
        <v/>
      </c>
      <c r="K2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" s="37"/>
      <c r="O259" s="37"/>
      <c r="P259" s="37"/>
    </row>
    <row r="260" spans="2:16" x14ac:dyDescent="0.25">
      <c r="B2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" s="46"/>
      <c r="D260" s="37"/>
      <c r="E260" s="37"/>
      <c r="F260" s="37"/>
      <c r="G260" s="40" t="str">
        <f>IF(tblMovimientos[[#This Row],[Producto]]="","",TRIM(LEFT(tblMovimientos[[#This Row],[Producto]],FIND(" · ",tblMovimientos[[#This Row],[Producto]]&amp;" · ")-1)))</f>
        <v/>
      </c>
      <c r="H260" s="40" t="str">
        <f>IF(tblMovimientos[[#This Row],[SKU]]="","",IFERROR(INDEX(tblProductos[Unidad],MATCH(tblMovimientos[[#This Row],[SKU]],tblProductos[SKU],0)),"?"))</f>
        <v/>
      </c>
      <c r="I260" s="39"/>
      <c r="J260" s="47" t="str">
        <f>IF(tblMovimientos[[#This Row],[Tipo]]="","",IFERROR(INDEX(tblTiposMov[FactorStock],MATCH(tblMovimientos[[#This Row],[Tipo]],tblTiposMov[Tipo],0)),0))</f>
        <v/>
      </c>
      <c r="K2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" s="37"/>
      <c r="O260" s="37"/>
      <c r="P260" s="37"/>
    </row>
    <row r="261" spans="2:16" x14ac:dyDescent="0.25">
      <c r="B2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" s="46"/>
      <c r="D261" s="37"/>
      <c r="E261" s="37"/>
      <c r="F261" s="37"/>
      <c r="G261" s="40" t="str">
        <f>IF(tblMovimientos[[#This Row],[Producto]]="","",TRIM(LEFT(tblMovimientos[[#This Row],[Producto]],FIND(" · ",tblMovimientos[[#This Row],[Producto]]&amp;" · ")-1)))</f>
        <v/>
      </c>
      <c r="H261" s="40" t="str">
        <f>IF(tblMovimientos[[#This Row],[SKU]]="","",IFERROR(INDEX(tblProductos[Unidad],MATCH(tblMovimientos[[#This Row],[SKU]],tblProductos[SKU],0)),"?"))</f>
        <v/>
      </c>
      <c r="I261" s="39"/>
      <c r="J261" s="47" t="str">
        <f>IF(tblMovimientos[[#This Row],[Tipo]]="","",IFERROR(INDEX(tblTiposMov[FactorStock],MATCH(tblMovimientos[[#This Row],[Tipo]],tblTiposMov[Tipo],0)),0))</f>
        <v/>
      </c>
      <c r="K2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" s="37"/>
      <c r="O261" s="37"/>
      <c r="P261" s="37"/>
    </row>
    <row r="262" spans="2:16" x14ac:dyDescent="0.25">
      <c r="B2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" s="46"/>
      <c r="D262" s="37"/>
      <c r="E262" s="37"/>
      <c r="F262" s="37"/>
      <c r="G262" s="40" t="str">
        <f>IF(tblMovimientos[[#This Row],[Producto]]="","",TRIM(LEFT(tblMovimientos[[#This Row],[Producto]],FIND(" · ",tblMovimientos[[#This Row],[Producto]]&amp;" · ")-1)))</f>
        <v/>
      </c>
      <c r="H262" s="40" t="str">
        <f>IF(tblMovimientos[[#This Row],[SKU]]="","",IFERROR(INDEX(tblProductos[Unidad],MATCH(tblMovimientos[[#This Row],[SKU]],tblProductos[SKU],0)),"?"))</f>
        <v/>
      </c>
      <c r="I262" s="39"/>
      <c r="J262" s="47" t="str">
        <f>IF(tblMovimientos[[#This Row],[Tipo]]="","",IFERROR(INDEX(tblTiposMov[FactorStock],MATCH(tblMovimientos[[#This Row],[Tipo]],tblTiposMov[Tipo],0)),0))</f>
        <v/>
      </c>
      <c r="K2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" s="37"/>
      <c r="O262" s="37"/>
      <c r="P262" s="37"/>
    </row>
    <row r="263" spans="2:16" x14ac:dyDescent="0.25">
      <c r="B2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" s="46"/>
      <c r="D263" s="37"/>
      <c r="E263" s="37"/>
      <c r="F263" s="37"/>
      <c r="G263" s="40" t="str">
        <f>IF(tblMovimientos[[#This Row],[Producto]]="","",TRIM(LEFT(tblMovimientos[[#This Row],[Producto]],FIND(" · ",tblMovimientos[[#This Row],[Producto]]&amp;" · ")-1)))</f>
        <v/>
      </c>
      <c r="H263" s="40" t="str">
        <f>IF(tblMovimientos[[#This Row],[SKU]]="","",IFERROR(INDEX(tblProductos[Unidad],MATCH(tblMovimientos[[#This Row],[SKU]],tblProductos[SKU],0)),"?"))</f>
        <v/>
      </c>
      <c r="I263" s="39"/>
      <c r="J263" s="47" t="str">
        <f>IF(tblMovimientos[[#This Row],[Tipo]]="","",IFERROR(INDEX(tblTiposMov[FactorStock],MATCH(tblMovimientos[[#This Row],[Tipo]],tblTiposMov[Tipo],0)),0))</f>
        <v/>
      </c>
      <c r="K2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" s="37"/>
      <c r="O263" s="37"/>
      <c r="P263" s="37"/>
    </row>
    <row r="264" spans="2:16" x14ac:dyDescent="0.25">
      <c r="B2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" s="46"/>
      <c r="D264" s="37"/>
      <c r="E264" s="37"/>
      <c r="F264" s="37"/>
      <c r="G264" s="40" t="str">
        <f>IF(tblMovimientos[[#This Row],[Producto]]="","",TRIM(LEFT(tblMovimientos[[#This Row],[Producto]],FIND(" · ",tblMovimientos[[#This Row],[Producto]]&amp;" · ")-1)))</f>
        <v/>
      </c>
      <c r="H264" s="40" t="str">
        <f>IF(tblMovimientos[[#This Row],[SKU]]="","",IFERROR(INDEX(tblProductos[Unidad],MATCH(tblMovimientos[[#This Row],[SKU]],tblProductos[SKU],0)),"?"))</f>
        <v/>
      </c>
      <c r="I264" s="39"/>
      <c r="J264" s="47" t="str">
        <f>IF(tblMovimientos[[#This Row],[Tipo]]="","",IFERROR(INDEX(tblTiposMov[FactorStock],MATCH(tblMovimientos[[#This Row],[Tipo]],tblTiposMov[Tipo],0)),0))</f>
        <v/>
      </c>
      <c r="K2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" s="37"/>
      <c r="O264" s="37"/>
      <c r="P264" s="37"/>
    </row>
    <row r="265" spans="2:16" x14ac:dyDescent="0.25">
      <c r="B2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" s="46"/>
      <c r="D265" s="37"/>
      <c r="E265" s="37"/>
      <c r="F265" s="37"/>
      <c r="G265" s="40" t="str">
        <f>IF(tblMovimientos[[#This Row],[Producto]]="","",TRIM(LEFT(tblMovimientos[[#This Row],[Producto]],FIND(" · ",tblMovimientos[[#This Row],[Producto]]&amp;" · ")-1)))</f>
        <v/>
      </c>
      <c r="H265" s="40" t="str">
        <f>IF(tblMovimientos[[#This Row],[SKU]]="","",IFERROR(INDEX(tblProductos[Unidad],MATCH(tblMovimientos[[#This Row],[SKU]],tblProductos[SKU],0)),"?"))</f>
        <v/>
      </c>
      <c r="I265" s="39"/>
      <c r="J265" s="47" t="str">
        <f>IF(tblMovimientos[[#This Row],[Tipo]]="","",IFERROR(INDEX(tblTiposMov[FactorStock],MATCH(tblMovimientos[[#This Row],[Tipo]],tblTiposMov[Tipo],0)),0))</f>
        <v/>
      </c>
      <c r="K2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" s="37"/>
      <c r="O265" s="37"/>
      <c r="P265" s="37"/>
    </row>
    <row r="266" spans="2:16" x14ac:dyDescent="0.25">
      <c r="B2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" s="46"/>
      <c r="D266" s="37"/>
      <c r="E266" s="37"/>
      <c r="F266" s="37"/>
      <c r="G266" s="40" t="str">
        <f>IF(tblMovimientos[[#This Row],[Producto]]="","",TRIM(LEFT(tblMovimientos[[#This Row],[Producto]],FIND(" · ",tblMovimientos[[#This Row],[Producto]]&amp;" · ")-1)))</f>
        <v/>
      </c>
      <c r="H266" s="40" t="str">
        <f>IF(tblMovimientos[[#This Row],[SKU]]="","",IFERROR(INDEX(tblProductos[Unidad],MATCH(tblMovimientos[[#This Row],[SKU]],tblProductos[SKU],0)),"?"))</f>
        <v/>
      </c>
      <c r="I266" s="39"/>
      <c r="J266" s="47" t="str">
        <f>IF(tblMovimientos[[#This Row],[Tipo]]="","",IFERROR(INDEX(tblTiposMov[FactorStock],MATCH(tblMovimientos[[#This Row],[Tipo]],tblTiposMov[Tipo],0)),0))</f>
        <v/>
      </c>
      <c r="K2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" s="37"/>
      <c r="O266" s="37"/>
      <c r="P266" s="37"/>
    </row>
    <row r="267" spans="2:16" x14ac:dyDescent="0.25">
      <c r="B2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" s="46"/>
      <c r="D267" s="37"/>
      <c r="E267" s="37"/>
      <c r="F267" s="37"/>
      <c r="G267" s="40" t="str">
        <f>IF(tblMovimientos[[#This Row],[Producto]]="","",TRIM(LEFT(tblMovimientos[[#This Row],[Producto]],FIND(" · ",tblMovimientos[[#This Row],[Producto]]&amp;" · ")-1)))</f>
        <v/>
      </c>
      <c r="H267" s="40" t="str">
        <f>IF(tblMovimientos[[#This Row],[SKU]]="","",IFERROR(INDEX(tblProductos[Unidad],MATCH(tblMovimientos[[#This Row],[SKU]],tblProductos[SKU],0)),"?"))</f>
        <v/>
      </c>
      <c r="I267" s="39"/>
      <c r="J267" s="47" t="str">
        <f>IF(tblMovimientos[[#This Row],[Tipo]]="","",IFERROR(INDEX(tblTiposMov[FactorStock],MATCH(tblMovimientos[[#This Row],[Tipo]],tblTiposMov[Tipo],0)),0))</f>
        <v/>
      </c>
      <c r="K2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" s="37"/>
      <c r="O267" s="37"/>
      <c r="P267" s="37"/>
    </row>
    <row r="268" spans="2:16" x14ac:dyDescent="0.25">
      <c r="B2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" s="46"/>
      <c r="D268" s="37"/>
      <c r="E268" s="37"/>
      <c r="F268" s="37"/>
      <c r="G268" s="40" t="str">
        <f>IF(tblMovimientos[[#This Row],[Producto]]="","",TRIM(LEFT(tblMovimientos[[#This Row],[Producto]],FIND(" · ",tblMovimientos[[#This Row],[Producto]]&amp;" · ")-1)))</f>
        <v/>
      </c>
      <c r="H268" s="40" t="str">
        <f>IF(tblMovimientos[[#This Row],[SKU]]="","",IFERROR(INDEX(tblProductos[Unidad],MATCH(tblMovimientos[[#This Row],[SKU]],tblProductos[SKU],0)),"?"))</f>
        <v/>
      </c>
      <c r="I268" s="39"/>
      <c r="J268" s="47" t="str">
        <f>IF(tblMovimientos[[#This Row],[Tipo]]="","",IFERROR(INDEX(tblTiposMov[FactorStock],MATCH(tblMovimientos[[#This Row],[Tipo]],tblTiposMov[Tipo],0)),0))</f>
        <v/>
      </c>
      <c r="K2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" s="37"/>
      <c r="O268" s="37"/>
      <c r="P268" s="37"/>
    </row>
    <row r="269" spans="2:16" x14ac:dyDescent="0.25">
      <c r="B2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" s="46"/>
      <c r="D269" s="37"/>
      <c r="E269" s="37"/>
      <c r="F269" s="37"/>
      <c r="G269" s="40" t="str">
        <f>IF(tblMovimientos[[#This Row],[Producto]]="","",TRIM(LEFT(tblMovimientos[[#This Row],[Producto]],FIND(" · ",tblMovimientos[[#This Row],[Producto]]&amp;" · ")-1)))</f>
        <v/>
      </c>
      <c r="H269" s="40" t="str">
        <f>IF(tblMovimientos[[#This Row],[SKU]]="","",IFERROR(INDEX(tblProductos[Unidad],MATCH(tblMovimientos[[#This Row],[SKU]],tblProductos[SKU],0)),"?"))</f>
        <v/>
      </c>
      <c r="I269" s="39"/>
      <c r="J269" s="47" t="str">
        <f>IF(tblMovimientos[[#This Row],[Tipo]]="","",IFERROR(INDEX(tblTiposMov[FactorStock],MATCH(tblMovimientos[[#This Row],[Tipo]],tblTiposMov[Tipo],0)),0))</f>
        <v/>
      </c>
      <c r="K2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" s="37"/>
      <c r="O269" s="37"/>
      <c r="P269" s="37"/>
    </row>
    <row r="270" spans="2:16" x14ac:dyDescent="0.25">
      <c r="B2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" s="46"/>
      <c r="D270" s="37"/>
      <c r="E270" s="37"/>
      <c r="F270" s="37"/>
      <c r="G270" s="40" t="str">
        <f>IF(tblMovimientos[[#This Row],[Producto]]="","",TRIM(LEFT(tblMovimientos[[#This Row],[Producto]],FIND(" · ",tblMovimientos[[#This Row],[Producto]]&amp;" · ")-1)))</f>
        <v/>
      </c>
      <c r="H270" s="40" t="str">
        <f>IF(tblMovimientos[[#This Row],[SKU]]="","",IFERROR(INDEX(tblProductos[Unidad],MATCH(tblMovimientos[[#This Row],[SKU]],tblProductos[SKU],0)),"?"))</f>
        <v/>
      </c>
      <c r="I270" s="39"/>
      <c r="J270" s="47" t="str">
        <f>IF(tblMovimientos[[#This Row],[Tipo]]="","",IFERROR(INDEX(tblTiposMov[FactorStock],MATCH(tblMovimientos[[#This Row],[Tipo]],tblTiposMov[Tipo],0)),0))</f>
        <v/>
      </c>
      <c r="K2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" s="37"/>
      <c r="O270" s="37"/>
      <c r="P270" s="37"/>
    </row>
    <row r="271" spans="2:16" x14ac:dyDescent="0.25">
      <c r="B2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" s="46"/>
      <c r="D271" s="37"/>
      <c r="E271" s="37"/>
      <c r="F271" s="37"/>
      <c r="G271" s="40" t="str">
        <f>IF(tblMovimientos[[#This Row],[Producto]]="","",TRIM(LEFT(tblMovimientos[[#This Row],[Producto]],FIND(" · ",tblMovimientos[[#This Row],[Producto]]&amp;" · ")-1)))</f>
        <v/>
      </c>
      <c r="H271" s="40" t="str">
        <f>IF(tblMovimientos[[#This Row],[SKU]]="","",IFERROR(INDEX(tblProductos[Unidad],MATCH(tblMovimientos[[#This Row],[SKU]],tblProductos[SKU],0)),"?"))</f>
        <v/>
      </c>
      <c r="I271" s="39"/>
      <c r="J271" s="47" t="str">
        <f>IF(tblMovimientos[[#This Row],[Tipo]]="","",IFERROR(INDEX(tblTiposMov[FactorStock],MATCH(tblMovimientos[[#This Row],[Tipo]],tblTiposMov[Tipo],0)),0))</f>
        <v/>
      </c>
      <c r="K2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" s="37"/>
      <c r="O271" s="37"/>
      <c r="P271" s="37"/>
    </row>
    <row r="272" spans="2:16" x14ac:dyDescent="0.25">
      <c r="B2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" s="46"/>
      <c r="D272" s="37"/>
      <c r="E272" s="37"/>
      <c r="F272" s="37"/>
      <c r="G272" s="40" t="str">
        <f>IF(tblMovimientos[[#This Row],[Producto]]="","",TRIM(LEFT(tblMovimientos[[#This Row],[Producto]],FIND(" · ",tblMovimientos[[#This Row],[Producto]]&amp;" · ")-1)))</f>
        <v/>
      </c>
      <c r="H272" s="40" t="str">
        <f>IF(tblMovimientos[[#This Row],[SKU]]="","",IFERROR(INDEX(tblProductos[Unidad],MATCH(tblMovimientos[[#This Row],[SKU]],tblProductos[SKU],0)),"?"))</f>
        <v/>
      </c>
      <c r="I272" s="39"/>
      <c r="J272" s="47" t="str">
        <f>IF(tblMovimientos[[#This Row],[Tipo]]="","",IFERROR(INDEX(tblTiposMov[FactorStock],MATCH(tblMovimientos[[#This Row],[Tipo]],tblTiposMov[Tipo],0)),0))</f>
        <v/>
      </c>
      <c r="K2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" s="37"/>
      <c r="O272" s="37"/>
      <c r="P272" s="37"/>
    </row>
    <row r="273" spans="2:16" x14ac:dyDescent="0.25">
      <c r="B2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" s="46"/>
      <c r="D273" s="37"/>
      <c r="E273" s="37"/>
      <c r="F273" s="37"/>
      <c r="G273" s="40" t="str">
        <f>IF(tblMovimientos[[#This Row],[Producto]]="","",TRIM(LEFT(tblMovimientos[[#This Row],[Producto]],FIND(" · ",tblMovimientos[[#This Row],[Producto]]&amp;" · ")-1)))</f>
        <v/>
      </c>
      <c r="H273" s="40" t="str">
        <f>IF(tblMovimientos[[#This Row],[SKU]]="","",IFERROR(INDEX(tblProductos[Unidad],MATCH(tblMovimientos[[#This Row],[SKU]],tblProductos[SKU],0)),"?"))</f>
        <v/>
      </c>
      <c r="I273" s="39"/>
      <c r="J273" s="47" t="str">
        <f>IF(tblMovimientos[[#This Row],[Tipo]]="","",IFERROR(INDEX(tblTiposMov[FactorStock],MATCH(tblMovimientos[[#This Row],[Tipo]],tblTiposMov[Tipo],0)),0))</f>
        <v/>
      </c>
      <c r="K2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" s="37"/>
      <c r="O273" s="37"/>
      <c r="P273" s="37"/>
    </row>
    <row r="274" spans="2:16" x14ac:dyDescent="0.25">
      <c r="B2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" s="46"/>
      <c r="D274" s="37"/>
      <c r="E274" s="37"/>
      <c r="F274" s="37"/>
      <c r="G274" s="40" t="str">
        <f>IF(tblMovimientos[[#This Row],[Producto]]="","",TRIM(LEFT(tblMovimientos[[#This Row],[Producto]],FIND(" · ",tblMovimientos[[#This Row],[Producto]]&amp;" · ")-1)))</f>
        <v/>
      </c>
      <c r="H274" s="40" t="str">
        <f>IF(tblMovimientos[[#This Row],[SKU]]="","",IFERROR(INDEX(tblProductos[Unidad],MATCH(tblMovimientos[[#This Row],[SKU]],tblProductos[SKU],0)),"?"))</f>
        <v/>
      </c>
      <c r="I274" s="39"/>
      <c r="J274" s="47" t="str">
        <f>IF(tblMovimientos[[#This Row],[Tipo]]="","",IFERROR(INDEX(tblTiposMov[FactorStock],MATCH(tblMovimientos[[#This Row],[Tipo]],tblTiposMov[Tipo],0)),0))</f>
        <v/>
      </c>
      <c r="K2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" s="37"/>
      <c r="O274" s="37"/>
      <c r="P274" s="37"/>
    </row>
    <row r="275" spans="2:16" x14ac:dyDescent="0.25">
      <c r="B2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" s="46"/>
      <c r="D275" s="37"/>
      <c r="E275" s="37"/>
      <c r="F275" s="37"/>
      <c r="G275" s="40" t="str">
        <f>IF(tblMovimientos[[#This Row],[Producto]]="","",TRIM(LEFT(tblMovimientos[[#This Row],[Producto]],FIND(" · ",tblMovimientos[[#This Row],[Producto]]&amp;" · ")-1)))</f>
        <v/>
      </c>
      <c r="H275" s="40" t="str">
        <f>IF(tblMovimientos[[#This Row],[SKU]]="","",IFERROR(INDEX(tblProductos[Unidad],MATCH(tblMovimientos[[#This Row],[SKU]],tblProductos[SKU],0)),"?"))</f>
        <v/>
      </c>
      <c r="I275" s="39"/>
      <c r="J275" s="47" t="str">
        <f>IF(tblMovimientos[[#This Row],[Tipo]]="","",IFERROR(INDEX(tblTiposMov[FactorStock],MATCH(tblMovimientos[[#This Row],[Tipo]],tblTiposMov[Tipo],0)),0))</f>
        <v/>
      </c>
      <c r="K2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" s="37"/>
      <c r="O275" s="37"/>
      <c r="P275" s="37"/>
    </row>
    <row r="276" spans="2:16" x14ac:dyDescent="0.25">
      <c r="B2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" s="46"/>
      <c r="D276" s="37"/>
      <c r="E276" s="37"/>
      <c r="F276" s="37"/>
      <c r="G276" s="40" t="str">
        <f>IF(tblMovimientos[[#This Row],[Producto]]="","",TRIM(LEFT(tblMovimientos[[#This Row],[Producto]],FIND(" · ",tblMovimientos[[#This Row],[Producto]]&amp;" · ")-1)))</f>
        <v/>
      </c>
      <c r="H276" s="40" t="str">
        <f>IF(tblMovimientos[[#This Row],[SKU]]="","",IFERROR(INDEX(tblProductos[Unidad],MATCH(tblMovimientos[[#This Row],[SKU]],tblProductos[SKU],0)),"?"))</f>
        <v/>
      </c>
      <c r="I276" s="39"/>
      <c r="J276" s="47" t="str">
        <f>IF(tblMovimientos[[#This Row],[Tipo]]="","",IFERROR(INDEX(tblTiposMov[FactorStock],MATCH(tblMovimientos[[#This Row],[Tipo]],tblTiposMov[Tipo],0)),0))</f>
        <v/>
      </c>
      <c r="K2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" s="37"/>
      <c r="O276" s="37"/>
      <c r="P276" s="37"/>
    </row>
    <row r="277" spans="2:16" x14ac:dyDescent="0.25">
      <c r="B2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" s="46"/>
      <c r="D277" s="37"/>
      <c r="E277" s="37"/>
      <c r="F277" s="37"/>
      <c r="G277" s="40" t="str">
        <f>IF(tblMovimientos[[#This Row],[Producto]]="","",TRIM(LEFT(tblMovimientos[[#This Row],[Producto]],FIND(" · ",tblMovimientos[[#This Row],[Producto]]&amp;" · ")-1)))</f>
        <v/>
      </c>
      <c r="H277" s="40" t="str">
        <f>IF(tblMovimientos[[#This Row],[SKU]]="","",IFERROR(INDEX(tblProductos[Unidad],MATCH(tblMovimientos[[#This Row],[SKU]],tblProductos[SKU],0)),"?"))</f>
        <v/>
      </c>
      <c r="I277" s="39"/>
      <c r="J277" s="47" t="str">
        <f>IF(tblMovimientos[[#This Row],[Tipo]]="","",IFERROR(INDEX(tblTiposMov[FactorStock],MATCH(tblMovimientos[[#This Row],[Tipo]],tblTiposMov[Tipo],0)),0))</f>
        <v/>
      </c>
      <c r="K2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" s="37"/>
      <c r="O277" s="37"/>
      <c r="P277" s="37"/>
    </row>
    <row r="278" spans="2:16" x14ac:dyDescent="0.25">
      <c r="B2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" s="46"/>
      <c r="D278" s="37"/>
      <c r="E278" s="37"/>
      <c r="F278" s="37"/>
      <c r="G278" s="40" t="str">
        <f>IF(tblMovimientos[[#This Row],[Producto]]="","",TRIM(LEFT(tblMovimientos[[#This Row],[Producto]],FIND(" · ",tblMovimientos[[#This Row],[Producto]]&amp;" · ")-1)))</f>
        <v/>
      </c>
      <c r="H278" s="40" t="str">
        <f>IF(tblMovimientos[[#This Row],[SKU]]="","",IFERROR(INDEX(tblProductos[Unidad],MATCH(tblMovimientos[[#This Row],[SKU]],tblProductos[SKU],0)),"?"))</f>
        <v/>
      </c>
      <c r="I278" s="39"/>
      <c r="J278" s="47" t="str">
        <f>IF(tblMovimientos[[#This Row],[Tipo]]="","",IFERROR(INDEX(tblTiposMov[FactorStock],MATCH(tblMovimientos[[#This Row],[Tipo]],tblTiposMov[Tipo],0)),0))</f>
        <v/>
      </c>
      <c r="K2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" s="37"/>
      <c r="O278" s="37"/>
      <c r="P278" s="37"/>
    </row>
    <row r="279" spans="2:16" x14ac:dyDescent="0.25">
      <c r="B2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" s="46"/>
      <c r="D279" s="37"/>
      <c r="E279" s="37"/>
      <c r="F279" s="37"/>
      <c r="G279" s="40" t="str">
        <f>IF(tblMovimientos[[#This Row],[Producto]]="","",TRIM(LEFT(tblMovimientos[[#This Row],[Producto]],FIND(" · ",tblMovimientos[[#This Row],[Producto]]&amp;" · ")-1)))</f>
        <v/>
      </c>
      <c r="H279" s="40" t="str">
        <f>IF(tblMovimientos[[#This Row],[SKU]]="","",IFERROR(INDEX(tblProductos[Unidad],MATCH(tblMovimientos[[#This Row],[SKU]],tblProductos[SKU],0)),"?"))</f>
        <v/>
      </c>
      <c r="I279" s="39"/>
      <c r="J279" s="47" t="str">
        <f>IF(tblMovimientos[[#This Row],[Tipo]]="","",IFERROR(INDEX(tblTiposMov[FactorStock],MATCH(tblMovimientos[[#This Row],[Tipo]],tblTiposMov[Tipo],0)),0))</f>
        <v/>
      </c>
      <c r="K2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" s="37"/>
      <c r="O279" s="37"/>
      <c r="P279" s="37"/>
    </row>
    <row r="280" spans="2:16" x14ac:dyDescent="0.25">
      <c r="B2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" s="46"/>
      <c r="D280" s="37"/>
      <c r="E280" s="37"/>
      <c r="F280" s="37"/>
      <c r="G280" s="40" t="str">
        <f>IF(tblMovimientos[[#This Row],[Producto]]="","",TRIM(LEFT(tblMovimientos[[#This Row],[Producto]],FIND(" · ",tblMovimientos[[#This Row],[Producto]]&amp;" · ")-1)))</f>
        <v/>
      </c>
      <c r="H280" s="40" t="str">
        <f>IF(tblMovimientos[[#This Row],[SKU]]="","",IFERROR(INDEX(tblProductos[Unidad],MATCH(tblMovimientos[[#This Row],[SKU]],tblProductos[SKU],0)),"?"))</f>
        <v/>
      </c>
      <c r="I280" s="39"/>
      <c r="J280" s="47" t="str">
        <f>IF(tblMovimientos[[#This Row],[Tipo]]="","",IFERROR(INDEX(tblTiposMov[FactorStock],MATCH(tblMovimientos[[#This Row],[Tipo]],tblTiposMov[Tipo],0)),0))</f>
        <v/>
      </c>
      <c r="K2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" s="37"/>
      <c r="O280" s="37"/>
      <c r="P280" s="37"/>
    </row>
    <row r="281" spans="2:16" x14ac:dyDescent="0.25">
      <c r="B2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" s="46"/>
      <c r="D281" s="37"/>
      <c r="E281" s="37"/>
      <c r="F281" s="37"/>
      <c r="G281" s="40" t="str">
        <f>IF(tblMovimientos[[#This Row],[Producto]]="","",TRIM(LEFT(tblMovimientos[[#This Row],[Producto]],FIND(" · ",tblMovimientos[[#This Row],[Producto]]&amp;" · ")-1)))</f>
        <v/>
      </c>
      <c r="H281" s="40" t="str">
        <f>IF(tblMovimientos[[#This Row],[SKU]]="","",IFERROR(INDEX(tblProductos[Unidad],MATCH(tblMovimientos[[#This Row],[SKU]],tblProductos[SKU],0)),"?"))</f>
        <v/>
      </c>
      <c r="I281" s="39"/>
      <c r="J281" s="47" t="str">
        <f>IF(tblMovimientos[[#This Row],[Tipo]]="","",IFERROR(INDEX(tblTiposMov[FactorStock],MATCH(tblMovimientos[[#This Row],[Tipo]],tblTiposMov[Tipo],0)),0))</f>
        <v/>
      </c>
      <c r="K2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" s="37"/>
      <c r="O281" s="37"/>
      <c r="P281" s="37"/>
    </row>
    <row r="282" spans="2:16" x14ac:dyDescent="0.25">
      <c r="B2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" s="46"/>
      <c r="D282" s="37"/>
      <c r="E282" s="37"/>
      <c r="F282" s="37"/>
      <c r="G282" s="40" t="str">
        <f>IF(tblMovimientos[[#This Row],[Producto]]="","",TRIM(LEFT(tblMovimientos[[#This Row],[Producto]],FIND(" · ",tblMovimientos[[#This Row],[Producto]]&amp;" · ")-1)))</f>
        <v/>
      </c>
      <c r="H282" s="40" t="str">
        <f>IF(tblMovimientos[[#This Row],[SKU]]="","",IFERROR(INDEX(tblProductos[Unidad],MATCH(tblMovimientos[[#This Row],[SKU]],tblProductos[SKU],0)),"?"))</f>
        <v/>
      </c>
      <c r="I282" s="39"/>
      <c r="J282" s="47" t="str">
        <f>IF(tblMovimientos[[#This Row],[Tipo]]="","",IFERROR(INDEX(tblTiposMov[FactorStock],MATCH(tblMovimientos[[#This Row],[Tipo]],tblTiposMov[Tipo],0)),0))</f>
        <v/>
      </c>
      <c r="K2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" s="37"/>
      <c r="O282" s="37"/>
      <c r="P282" s="37"/>
    </row>
    <row r="283" spans="2:16" x14ac:dyDescent="0.25">
      <c r="B2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" s="46"/>
      <c r="D283" s="37"/>
      <c r="E283" s="37"/>
      <c r="F283" s="37"/>
      <c r="G283" s="40" t="str">
        <f>IF(tblMovimientos[[#This Row],[Producto]]="","",TRIM(LEFT(tblMovimientos[[#This Row],[Producto]],FIND(" · ",tblMovimientos[[#This Row],[Producto]]&amp;" · ")-1)))</f>
        <v/>
      </c>
      <c r="H283" s="40" t="str">
        <f>IF(tblMovimientos[[#This Row],[SKU]]="","",IFERROR(INDEX(tblProductos[Unidad],MATCH(tblMovimientos[[#This Row],[SKU]],tblProductos[SKU],0)),"?"))</f>
        <v/>
      </c>
      <c r="I283" s="39"/>
      <c r="J283" s="47" t="str">
        <f>IF(tblMovimientos[[#This Row],[Tipo]]="","",IFERROR(INDEX(tblTiposMov[FactorStock],MATCH(tblMovimientos[[#This Row],[Tipo]],tblTiposMov[Tipo],0)),0))</f>
        <v/>
      </c>
      <c r="K2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" s="37"/>
      <c r="O283" s="37"/>
      <c r="P283" s="37"/>
    </row>
    <row r="284" spans="2:16" x14ac:dyDescent="0.25">
      <c r="B2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" s="46"/>
      <c r="D284" s="37"/>
      <c r="E284" s="37"/>
      <c r="F284" s="37"/>
      <c r="G284" s="40" t="str">
        <f>IF(tblMovimientos[[#This Row],[Producto]]="","",TRIM(LEFT(tblMovimientos[[#This Row],[Producto]],FIND(" · ",tblMovimientos[[#This Row],[Producto]]&amp;" · ")-1)))</f>
        <v/>
      </c>
      <c r="H284" s="40" t="str">
        <f>IF(tblMovimientos[[#This Row],[SKU]]="","",IFERROR(INDEX(tblProductos[Unidad],MATCH(tblMovimientos[[#This Row],[SKU]],tblProductos[SKU],0)),"?"))</f>
        <v/>
      </c>
      <c r="I284" s="39"/>
      <c r="J284" s="47" t="str">
        <f>IF(tblMovimientos[[#This Row],[Tipo]]="","",IFERROR(INDEX(tblTiposMov[FactorStock],MATCH(tblMovimientos[[#This Row],[Tipo]],tblTiposMov[Tipo],0)),0))</f>
        <v/>
      </c>
      <c r="K2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" s="37"/>
      <c r="O284" s="37"/>
      <c r="P284" s="37"/>
    </row>
    <row r="285" spans="2:16" x14ac:dyDescent="0.25">
      <c r="B2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" s="46"/>
      <c r="D285" s="37"/>
      <c r="E285" s="37"/>
      <c r="F285" s="37"/>
      <c r="G285" s="40" t="str">
        <f>IF(tblMovimientos[[#This Row],[Producto]]="","",TRIM(LEFT(tblMovimientos[[#This Row],[Producto]],FIND(" · ",tblMovimientos[[#This Row],[Producto]]&amp;" · ")-1)))</f>
        <v/>
      </c>
      <c r="H285" s="40" t="str">
        <f>IF(tblMovimientos[[#This Row],[SKU]]="","",IFERROR(INDEX(tblProductos[Unidad],MATCH(tblMovimientos[[#This Row],[SKU]],tblProductos[SKU],0)),"?"))</f>
        <v/>
      </c>
      <c r="I285" s="39"/>
      <c r="J285" s="47" t="str">
        <f>IF(tblMovimientos[[#This Row],[Tipo]]="","",IFERROR(INDEX(tblTiposMov[FactorStock],MATCH(tblMovimientos[[#This Row],[Tipo]],tblTiposMov[Tipo],0)),0))</f>
        <v/>
      </c>
      <c r="K2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" s="37"/>
      <c r="O285" s="37"/>
      <c r="P285" s="37"/>
    </row>
    <row r="286" spans="2:16" x14ac:dyDescent="0.25">
      <c r="B2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" s="46"/>
      <c r="D286" s="37"/>
      <c r="E286" s="37"/>
      <c r="F286" s="37"/>
      <c r="G286" s="40" t="str">
        <f>IF(tblMovimientos[[#This Row],[Producto]]="","",TRIM(LEFT(tblMovimientos[[#This Row],[Producto]],FIND(" · ",tblMovimientos[[#This Row],[Producto]]&amp;" · ")-1)))</f>
        <v/>
      </c>
      <c r="H286" s="40" t="str">
        <f>IF(tblMovimientos[[#This Row],[SKU]]="","",IFERROR(INDEX(tblProductos[Unidad],MATCH(tblMovimientos[[#This Row],[SKU]],tblProductos[SKU],0)),"?"))</f>
        <v/>
      </c>
      <c r="I286" s="39"/>
      <c r="J286" s="47" t="str">
        <f>IF(tblMovimientos[[#This Row],[Tipo]]="","",IFERROR(INDEX(tblTiposMov[FactorStock],MATCH(tblMovimientos[[#This Row],[Tipo]],tblTiposMov[Tipo],0)),0))</f>
        <v/>
      </c>
      <c r="K2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" s="37"/>
      <c r="O286" s="37"/>
      <c r="P286" s="37"/>
    </row>
    <row r="287" spans="2:16" x14ac:dyDescent="0.25">
      <c r="B2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" s="46"/>
      <c r="D287" s="37"/>
      <c r="E287" s="37"/>
      <c r="F287" s="37"/>
      <c r="G287" s="40" t="str">
        <f>IF(tblMovimientos[[#This Row],[Producto]]="","",TRIM(LEFT(tblMovimientos[[#This Row],[Producto]],FIND(" · ",tblMovimientos[[#This Row],[Producto]]&amp;" · ")-1)))</f>
        <v/>
      </c>
      <c r="H287" s="40" t="str">
        <f>IF(tblMovimientos[[#This Row],[SKU]]="","",IFERROR(INDEX(tblProductos[Unidad],MATCH(tblMovimientos[[#This Row],[SKU]],tblProductos[SKU],0)),"?"))</f>
        <v/>
      </c>
      <c r="I287" s="39"/>
      <c r="J287" s="47" t="str">
        <f>IF(tblMovimientos[[#This Row],[Tipo]]="","",IFERROR(INDEX(tblTiposMov[FactorStock],MATCH(tblMovimientos[[#This Row],[Tipo]],tblTiposMov[Tipo],0)),0))</f>
        <v/>
      </c>
      <c r="K2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" s="37"/>
      <c r="O287" s="37"/>
      <c r="P287" s="37"/>
    </row>
    <row r="288" spans="2:16" x14ac:dyDescent="0.25">
      <c r="B2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" s="46"/>
      <c r="D288" s="37"/>
      <c r="E288" s="37"/>
      <c r="F288" s="37"/>
      <c r="G288" s="40" t="str">
        <f>IF(tblMovimientos[[#This Row],[Producto]]="","",TRIM(LEFT(tblMovimientos[[#This Row],[Producto]],FIND(" · ",tblMovimientos[[#This Row],[Producto]]&amp;" · ")-1)))</f>
        <v/>
      </c>
      <c r="H288" s="40" t="str">
        <f>IF(tblMovimientos[[#This Row],[SKU]]="","",IFERROR(INDEX(tblProductos[Unidad],MATCH(tblMovimientos[[#This Row],[SKU]],tblProductos[SKU],0)),"?"))</f>
        <v/>
      </c>
      <c r="I288" s="39"/>
      <c r="J288" s="47" t="str">
        <f>IF(tblMovimientos[[#This Row],[Tipo]]="","",IFERROR(INDEX(tblTiposMov[FactorStock],MATCH(tblMovimientos[[#This Row],[Tipo]],tblTiposMov[Tipo],0)),0))</f>
        <v/>
      </c>
      <c r="K2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" s="37"/>
      <c r="O288" s="37"/>
      <c r="P288" s="37"/>
    </row>
    <row r="289" spans="2:16" x14ac:dyDescent="0.25">
      <c r="B2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" s="46"/>
      <c r="D289" s="37"/>
      <c r="E289" s="37"/>
      <c r="F289" s="37"/>
      <c r="G289" s="40" t="str">
        <f>IF(tblMovimientos[[#This Row],[Producto]]="","",TRIM(LEFT(tblMovimientos[[#This Row],[Producto]],FIND(" · ",tblMovimientos[[#This Row],[Producto]]&amp;" · ")-1)))</f>
        <v/>
      </c>
      <c r="H289" s="40" t="str">
        <f>IF(tblMovimientos[[#This Row],[SKU]]="","",IFERROR(INDEX(tblProductos[Unidad],MATCH(tblMovimientos[[#This Row],[SKU]],tblProductos[SKU],0)),"?"))</f>
        <v/>
      </c>
      <c r="I289" s="39"/>
      <c r="J289" s="47" t="str">
        <f>IF(tblMovimientos[[#This Row],[Tipo]]="","",IFERROR(INDEX(tblTiposMov[FactorStock],MATCH(tblMovimientos[[#This Row],[Tipo]],tblTiposMov[Tipo],0)),0))</f>
        <v/>
      </c>
      <c r="K2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" s="37"/>
      <c r="O289" s="37"/>
      <c r="P289" s="37"/>
    </row>
    <row r="290" spans="2:16" x14ac:dyDescent="0.25">
      <c r="B2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" s="46"/>
      <c r="D290" s="37"/>
      <c r="E290" s="37"/>
      <c r="F290" s="37"/>
      <c r="G290" s="40" t="str">
        <f>IF(tblMovimientos[[#This Row],[Producto]]="","",TRIM(LEFT(tblMovimientos[[#This Row],[Producto]],FIND(" · ",tblMovimientos[[#This Row],[Producto]]&amp;" · ")-1)))</f>
        <v/>
      </c>
      <c r="H290" s="40" t="str">
        <f>IF(tblMovimientos[[#This Row],[SKU]]="","",IFERROR(INDEX(tblProductos[Unidad],MATCH(tblMovimientos[[#This Row],[SKU]],tblProductos[SKU],0)),"?"))</f>
        <v/>
      </c>
      <c r="I290" s="39"/>
      <c r="J290" s="47" t="str">
        <f>IF(tblMovimientos[[#This Row],[Tipo]]="","",IFERROR(INDEX(tblTiposMov[FactorStock],MATCH(tblMovimientos[[#This Row],[Tipo]],tblTiposMov[Tipo],0)),0))</f>
        <v/>
      </c>
      <c r="K2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" s="37"/>
      <c r="O290" s="37"/>
      <c r="P290" s="37"/>
    </row>
    <row r="291" spans="2:16" x14ac:dyDescent="0.25">
      <c r="B2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" s="46"/>
      <c r="D291" s="37"/>
      <c r="E291" s="37"/>
      <c r="F291" s="37"/>
      <c r="G291" s="40" t="str">
        <f>IF(tblMovimientos[[#This Row],[Producto]]="","",TRIM(LEFT(tblMovimientos[[#This Row],[Producto]],FIND(" · ",tblMovimientos[[#This Row],[Producto]]&amp;" · ")-1)))</f>
        <v/>
      </c>
      <c r="H291" s="40" t="str">
        <f>IF(tblMovimientos[[#This Row],[SKU]]="","",IFERROR(INDEX(tblProductos[Unidad],MATCH(tblMovimientos[[#This Row],[SKU]],tblProductos[SKU],0)),"?"))</f>
        <v/>
      </c>
      <c r="I291" s="39"/>
      <c r="J291" s="47" t="str">
        <f>IF(tblMovimientos[[#This Row],[Tipo]]="","",IFERROR(INDEX(tblTiposMov[FactorStock],MATCH(tblMovimientos[[#This Row],[Tipo]],tblTiposMov[Tipo],0)),0))</f>
        <v/>
      </c>
      <c r="K2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" s="37"/>
      <c r="O291" s="37"/>
      <c r="P291" s="37"/>
    </row>
    <row r="292" spans="2:16" x14ac:dyDescent="0.25">
      <c r="B2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" s="46"/>
      <c r="D292" s="37"/>
      <c r="E292" s="37"/>
      <c r="F292" s="37"/>
      <c r="G292" s="40" t="str">
        <f>IF(tblMovimientos[[#This Row],[Producto]]="","",TRIM(LEFT(tblMovimientos[[#This Row],[Producto]],FIND(" · ",tblMovimientos[[#This Row],[Producto]]&amp;" · ")-1)))</f>
        <v/>
      </c>
      <c r="H292" s="40" t="str">
        <f>IF(tblMovimientos[[#This Row],[SKU]]="","",IFERROR(INDEX(tblProductos[Unidad],MATCH(tblMovimientos[[#This Row],[SKU]],tblProductos[SKU],0)),"?"))</f>
        <v/>
      </c>
      <c r="I292" s="39"/>
      <c r="J292" s="47" t="str">
        <f>IF(tblMovimientos[[#This Row],[Tipo]]="","",IFERROR(INDEX(tblTiposMov[FactorStock],MATCH(tblMovimientos[[#This Row],[Tipo]],tblTiposMov[Tipo],0)),0))</f>
        <v/>
      </c>
      <c r="K2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" s="37"/>
      <c r="O292" s="37"/>
      <c r="P292" s="37"/>
    </row>
    <row r="293" spans="2:16" x14ac:dyDescent="0.25">
      <c r="B2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" s="46"/>
      <c r="D293" s="37"/>
      <c r="E293" s="37"/>
      <c r="F293" s="37"/>
      <c r="G293" s="40" t="str">
        <f>IF(tblMovimientos[[#This Row],[Producto]]="","",TRIM(LEFT(tblMovimientos[[#This Row],[Producto]],FIND(" · ",tblMovimientos[[#This Row],[Producto]]&amp;" · ")-1)))</f>
        <v/>
      </c>
      <c r="H293" s="40" t="str">
        <f>IF(tblMovimientos[[#This Row],[SKU]]="","",IFERROR(INDEX(tblProductos[Unidad],MATCH(tblMovimientos[[#This Row],[SKU]],tblProductos[SKU],0)),"?"))</f>
        <v/>
      </c>
      <c r="I293" s="39"/>
      <c r="J293" s="47" t="str">
        <f>IF(tblMovimientos[[#This Row],[Tipo]]="","",IFERROR(INDEX(tblTiposMov[FactorStock],MATCH(tblMovimientos[[#This Row],[Tipo]],tblTiposMov[Tipo],0)),0))</f>
        <v/>
      </c>
      <c r="K2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" s="37"/>
      <c r="O293" s="37"/>
      <c r="P293" s="37"/>
    </row>
    <row r="294" spans="2:16" x14ac:dyDescent="0.25">
      <c r="B2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" s="46"/>
      <c r="D294" s="37"/>
      <c r="E294" s="37"/>
      <c r="F294" s="37"/>
      <c r="G294" s="40" t="str">
        <f>IF(tblMovimientos[[#This Row],[Producto]]="","",TRIM(LEFT(tblMovimientos[[#This Row],[Producto]],FIND(" · ",tblMovimientos[[#This Row],[Producto]]&amp;" · ")-1)))</f>
        <v/>
      </c>
      <c r="H294" s="40" t="str">
        <f>IF(tblMovimientos[[#This Row],[SKU]]="","",IFERROR(INDEX(tblProductos[Unidad],MATCH(tblMovimientos[[#This Row],[SKU]],tblProductos[SKU],0)),"?"))</f>
        <v/>
      </c>
      <c r="I294" s="39"/>
      <c r="J294" s="47" t="str">
        <f>IF(tblMovimientos[[#This Row],[Tipo]]="","",IFERROR(INDEX(tblTiposMov[FactorStock],MATCH(tblMovimientos[[#This Row],[Tipo]],tblTiposMov[Tipo],0)),0))</f>
        <v/>
      </c>
      <c r="K2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" s="37"/>
      <c r="O294" s="37"/>
      <c r="P294" s="37"/>
    </row>
    <row r="295" spans="2:16" x14ac:dyDescent="0.25">
      <c r="B2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" s="46"/>
      <c r="D295" s="37"/>
      <c r="E295" s="37"/>
      <c r="F295" s="37"/>
      <c r="G295" s="40" t="str">
        <f>IF(tblMovimientos[[#This Row],[Producto]]="","",TRIM(LEFT(tblMovimientos[[#This Row],[Producto]],FIND(" · ",tblMovimientos[[#This Row],[Producto]]&amp;" · ")-1)))</f>
        <v/>
      </c>
      <c r="H295" s="40" t="str">
        <f>IF(tblMovimientos[[#This Row],[SKU]]="","",IFERROR(INDEX(tblProductos[Unidad],MATCH(tblMovimientos[[#This Row],[SKU]],tblProductos[SKU],0)),"?"))</f>
        <v/>
      </c>
      <c r="I295" s="39"/>
      <c r="J295" s="47" t="str">
        <f>IF(tblMovimientos[[#This Row],[Tipo]]="","",IFERROR(INDEX(tblTiposMov[FactorStock],MATCH(tblMovimientos[[#This Row],[Tipo]],tblTiposMov[Tipo],0)),0))</f>
        <v/>
      </c>
      <c r="K2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" s="37"/>
      <c r="O295" s="37"/>
      <c r="P295" s="37"/>
    </row>
    <row r="296" spans="2:16" x14ac:dyDescent="0.25">
      <c r="B2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" s="46"/>
      <c r="D296" s="37"/>
      <c r="E296" s="37"/>
      <c r="F296" s="37"/>
      <c r="G296" s="40" t="str">
        <f>IF(tblMovimientos[[#This Row],[Producto]]="","",TRIM(LEFT(tblMovimientos[[#This Row],[Producto]],FIND(" · ",tblMovimientos[[#This Row],[Producto]]&amp;" · ")-1)))</f>
        <v/>
      </c>
      <c r="H296" s="40" t="str">
        <f>IF(tblMovimientos[[#This Row],[SKU]]="","",IFERROR(INDEX(tblProductos[Unidad],MATCH(tblMovimientos[[#This Row],[SKU]],tblProductos[SKU],0)),"?"))</f>
        <v/>
      </c>
      <c r="I296" s="39"/>
      <c r="J296" s="47" t="str">
        <f>IF(tblMovimientos[[#This Row],[Tipo]]="","",IFERROR(INDEX(tblTiposMov[FactorStock],MATCH(tblMovimientos[[#This Row],[Tipo]],tblTiposMov[Tipo],0)),0))</f>
        <v/>
      </c>
      <c r="K2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" s="37"/>
      <c r="O296" s="37"/>
      <c r="P296" s="37"/>
    </row>
    <row r="297" spans="2:16" x14ac:dyDescent="0.25">
      <c r="B2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" s="46"/>
      <c r="D297" s="37"/>
      <c r="E297" s="37"/>
      <c r="F297" s="37"/>
      <c r="G297" s="40" t="str">
        <f>IF(tblMovimientos[[#This Row],[Producto]]="","",TRIM(LEFT(tblMovimientos[[#This Row],[Producto]],FIND(" · ",tblMovimientos[[#This Row],[Producto]]&amp;" · ")-1)))</f>
        <v/>
      </c>
      <c r="H297" s="40" t="str">
        <f>IF(tblMovimientos[[#This Row],[SKU]]="","",IFERROR(INDEX(tblProductos[Unidad],MATCH(tblMovimientos[[#This Row],[SKU]],tblProductos[SKU],0)),"?"))</f>
        <v/>
      </c>
      <c r="I297" s="39"/>
      <c r="J297" s="47" t="str">
        <f>IF(tblMovimientos[[#This Row],[Tipo]]="","",IFERROR(INDEX(tblTiposMov[FactorStock],MATCH(tblMovimientos[[#This Row],[Tipo]],tblTiposMov[Tipo],0)),0))</f>
        <v/>
      </c>
      <c r="K2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" s="37"/>
      <c r="O297" s="37"/>
      <c r="P297" s="37"/>
    </row>
    <row r="298" spans="2:16" x14ac:dyDescent="0.25">
      <c r="B2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" s="46"/>
      <c r="D298" s="37"/>
      <c r="E298" s="37"/>
      <c r="F298" s="37"/>
      <c r="G298" s="40" t="str">
        <f>IF(tblMovimientos[[#This Row],[Producto]]="","",TRIM(LEFT(tblMovimientos[[#This Row],[Producto]],FIND(" · ",tblMovimientos[[#This Row],[Producto]]&amp;" · ")-1)))</f>
        <v/>
      </c>
      <c r="H298" s="40" t="str">
        <f>IF(tblMovimientos[[#This Row],[SKU]]="","",IFERROR(INDEX(tblProductos[Unidad],MATCH(tblMovimientos[[#This Row],[SKU]],tblProductos[SKU],0)),"?"))</f>
        <v/>
      </c>
      <c r="I298" s="39"/>
      <c r="J298" s="47" t="str">
        <f>IF(tblMovimientos[[#This Row],[Tipo]]="","",IFERROR(INDEX(tblTiposMov[FactorStock],MATCH(tblMovimientos[[#This Row],[Tipo]],tblTiposMov[Tipo],0)),0))</f>
        <v/>
      </c>
      <c r="K2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" s="37"/>
      <c r="O298" s="37"/>
      <c r="P298" s="37"/>
    </row>
    <row r="299" spans="2:16" x14ac:dyDescent="0.25">
      <c r="B2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" s="46"/>
      <c r="D299" s="37"/>
      <c r="E299" s="37"/>
      <c r="F299" s="37"/>
      <c r="G299" s="40" t="str">
        <f>IF(tblMovimientos[[#This Row],[Producto]]="","",TRIM(LEFT(tblMovimientos[[#This Row],[Producto]],FIND(" · ",tblMovimientos[[#This Row],[Producto]]&amp;" · ")-1)))</f>
        <v/>
      </c>
      <c r="H299" s="40" t="str">
        <f>IF(tblMovimientos[[#This Row],[SKU]]="","",IFERROR(INDEX(tblProductos[Unidad],MATCH(tblMovimientos[[#This Row],[SKU]],tblProductos[SKU],0)),"?"))</f>
        <v/>
      </c>
      <c r="I299" s="39"/>
      <c r="J299" s="47" t="str">
        <f>IF(tblMovimientos[[#This Row],[Tipo]]="","",IFERROR(INDEX(tblTiposMov[FactorStock],MATCH(tblMovimientos[[#This Row],[Tipo]],tblTiposMov[Tipo],0)),0))</f>
        <v/>
      </c>
      <c r="K2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" s="37"/>
      <c r="O299" s="37"/>
      <c r="P299" s="37"/>
    </row>
    <row r="300" spans="2:16" x14ac:dyDescent="0.25">
      <c r="B3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" s="46"/>
      <c r="D300" s="37"/>
      <c r="E300" s="37"/>
      <c r="F300" s="37"/>
      <c r="G300" s="40" t="str">
        <f>IF(tblMovimientos[[#This Row],[Producto]]="","",TRIM(LEFT(tblMovimientos[[#This Row],[Producto]],FIND(" · ",tblMovimientos[[#This Row],[Producto]]&amp;" · ")-1)))</f>
        <v/>
      </c>
      <c r="H300" s="40" t="str">
        <f>IF(tblMovimientos[[#This Row],[SKU]]="","",IFERROR(INDEX(tblProductos[Unidad],MATCH(tblMovimientos[[#This Row],[SKU]],tblProductos[SKU],0)),"?"))</f>
        <v/>
      </c>
      <c r="I300" s="39"/>
      <c r="J300" s="47" t="str">
        <f>IF(tblMovimientos[[#This Row],[Tipo]]="","",IFERROR(INDEX(tblTiposMov[FactorStock],MATCH(tblMovimientos[[#This Row],[Tipo]],tblTiposMov[Tipo],0)),0))</f>
        <v/>
      </c>
      <c r="K3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" s="37"/>
      <c r="O300" s="37"/>
      <c r="P300" s="37"/>
    </row>
    <row r="301" spans="2:16" x14ac:dyDescent="0.25">
      <c r="B3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" s="46"/>
      <c r="D301" s="37"/>
      <c r="E301" s="37"/>
      <c r="F301" s="37"/>
      <c r="G301" s="40" t="str">
        <f>IF(tblMovimientos[[#This Row],[Producto]]="","",TRIM(LEFT(tblMovimientos[[#This Row],[Producto]],FIND(" · ",tblMovimientos[[#This Row],[Producto]]&amp;" · ")-1)))</f>
        <v/>
      </c>
      <c r="H301" s="40" t="str">
        <f>IF(tblMovimientos[[#This Row],[SKU]]="","",IFERROR(INDEX(tblProductos[Unidad],MATCH(tblMovimientos[[#This Row],[SKU]],tblProductos[SKU],0)),"?"))</f>
        <v/>
      </c>
      <c r="I301" s="39"/>
      <c r="J301" s="47" t="str">
        <f>IF(tblMovimientos[[#This Row],[Tipo]]="","",IFERROR(INDEX(tblTiposMov[FactorStock],MATCH(tblMovimientos[[#This Row],[Tipo]],tblTiposMov[Tipo],0)),0))</f>
        <v/>
      </c>
      <c r="K3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" s="37"/>
      <c r="O301" s="37"/>
      <c r="P301" s="37"/>
    </row>
    <row r="302" spans="2:16" x14ac:dyDescent="0.25">
      <c r="B3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" s="46"/>
      <c r="D302" s="37"/>
      <c r="E302" s="37"/>
      <c r="F302" s="37"/>
      <c r="G302" s="40" t="str">
        <f>IF(tblMovimientos[[#This Row],[Producto]]="","",TRIM(LEFT(tblMovimientos[[#This Row],[Producto]],FIND(" · ",tblMovimientos[[#This Row],[Producto]]&amp;" · ")-1)))</f>
        <v/>
      </c>
      <c r="H302" s="40" t="str">
        <f>IF(tblMovimientos[[#This Row],[SKU]]="","",IFERROR(INDEX(tblProductos[Unidad],MATCH(tblMovimientos[[#This Row],[SKU]],tblProductos[SKU],0)),"?"))</f>
        <v/>
      </c>
      <c r="I302" s="39"/>
      <c r="J302" s="47" t="str">
        <f>IF(tblMovimientos[[#This Row],[Tipo]]="","",IFERROR(INDEX(tblTiposMov[FactorStock],MATCH(tblMovimientos[[#This Row],[Tipo]],tblTiposMov[Tipo],0)),0))</f>
        <v/>
      </c>
      <c r="K3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" s="37"/>
      <c r="O302" s="37"/>
      <c r="P302" s="37"/>
    </row>
    <row r="303" spans="2:16" x14ac:dyDescent="0.25">
      <c r="B3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" s="46"/>
      <c r="D303" s="37"/>
      <c r="E303" s="37"/>
      <c r="F303" s="37"/>
      <c r="G303" s="40" t="str">
        <f>IF(tblMovimientos[[#This Row],[Producto]]="","",TRIM(LEFT(tblMovimientos[[#This Row],[Producto]],FIND(" · ",tblMovimientos[[#This Row],[Producto]]&amp;" · ")-1)))</f>
        <v/>
      </c>
      <c r="H303" s="40" t="str">
        <f>IF(tblMovimientos[[#This Row],[SKU]]="","",IFERROR(INDEX(tblProductos[Unidad],MATCH(tblMovimientos[[#This Row],[SKU]],tblProductos[SKU],0)),"?"))</f>
        <v/>
      </c>
      <c r="I303" s="39"/>
      <c r="J303" s="47" t="str">
        <f>IF(tblMovimientos[[#This Row],[Tipo]]="","",IFERROR(INDEX(tblTiposMov[FactorStock],MATCH(tblMovimientos[[#This Row],[Tipo]],tblTiposMov[Tipo],0)),0))</f>
        <v/>
      </c>
      <c r="K3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" s="37"/>
      <c r="O303" s="37"/>
      <c r="P303" s="37"/>
    </row>
    <row r="304" spans="2:16" x14ac:dyDescent="0.25">
      <c r="B3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" s="46"/>
      <c r="D304" s="37"/>
      <c r="E304" s="37"/>
      <c r="F304" s="37"/>
      <c r="G304" s="40" t="str">
        <f>IF(tblMovimientos[[#This Row],[Producto]]="","",TRIM(LEFT(tblMovimientos[[#This Row],[Producto]],FIND(" · ",tblMovimientos[[#This Row],[Producto]]&amp;" · ")-1)))</f>
        <v/>
      </c>
      <c r="H304" s="40" t="str">
        <f>IF(tblMovimientos[[#This Row],[SKU]]="","",IFERROR(INDEX(tblProductos[Unidad],MATCH(tblMovimientos[[#This Row],[SKU]],tblProductos[SKU],0)),"?"))</f>
        <v/>
      </c>
      <c r="I304" s="39"/>
      <c r="J304" s="47" t="str">
        <f>IF(tblMovimientos[[#This Row],[Tipo]]="","",IFERROR(INDEX(tblTiposMov[FactorStock],MATCH(tblMovimientos[[#This Row],[Tipo]],tblTiposMov[Tipo],0)),0))</f>
        <v/>
      </c>
      <c r="K3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" s="37"/>
      <c r="O304" s="37"/>
      <c r="P304" s="37"/>
    </row>
    <row r="305" spans="2:16" x14ac:dyDescent="0.25">
      <c r="B3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" s="46"/>
      <c r="D305" s="37"/>
      <c r="E305" s="37"/>
      <c r="F305" s="37"/>
      <c r="G305" s="40" t="str">
        <f>IF(tblMovimientos[[#This Row],[Producto]]="","",TRIM(LEFT(tblMovimientos[[#This Row],[Producto]],FIND(" · ",tblMovimientos[[#This Row],[Producto]]&amp;" · ")-1)))</f>
        <v/>
      </c>
      <c r="H305" s="40" t="str">
        <f>IF(tblMovimientos[[#This Row],[SKU]]="","",IFERROR(INDEX(tblProductos[Unidad],MATCH(tblMovimientos[[#This Row],[SKU]],tblProductos[SKU],0)),"?"))</f>
        <v/>
      </c>
      <c r="I305" s="39"/>
      <c r="J305" s="47" t="str">
        <f>IF(tblMovimientos[[#This Row],[Tipo]]="","",IFERROR(INDEX(tblTiposMov[FactorStock],MATCH(tblMovimientos[[#This Row],[Tipo]],tblTiposMov[Tipo],0)),0))</f>
        <v/>
      </c>
      <c r="K3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" s="37"/>
      <c r="O305" s="37"/>
      <c r="P305" s="37"/>
    </row>
    <row r="306" spans="2:16" x14ac:dyDescent="0.25">
      <c r="B3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" s="46"/>
      <c r="D306" s="37"/>
      <c r="E306" s="37"/>
      <c r="F306" s="37"/>
      <c r="G306" s="40" t="str">
        <f>IF(tblMovimientos[[#This Row],[Producto]]="","",TRIM(LEFT(tblMovimientos[[#This Row],[Producto]],FIND(" · ",tblMovimientos[[#This Row],[Producto]]&amp;" · ")-1)))</f>
        <v/>
      </c>
      <c r="H306" s="40" t="str">
        <f>IF(tblMovimientos[[#This Row],[SKU]]="","",IFERROR(INDEX(tblProductos[Unidad],MATCH(tblMovimientos[[#This Row],[SKU]],tblProductos[SKU],0)),"?"))</f>
        <v/>
      </c>
      <c r="I306" s="39"/>
      <c r="J306" s="47" t="str">
        <f>IF(tblMovimientos[[#This Row],[Tipo]]="","",IFERROR(INDEX(tblTiposMov[FactorStock],MATCH(tblMovimientos[[#This Row],[Tipo]],tblTiposMov[Tipo],0)),0))</f>
        <v/>
      </c>
      <c r="K3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" s="37"/>
      <c r="O306" s="37"/>
      <c r="P306" s="37"/>
    </row>
    <row r="307" spans="2:16" x14ac:dyDescent="0.25">
      <c r="B3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" s="46"/>
      <c r="D307" s="37"/>
      <c r="E307" s="37"/>
      <c r="F307" s="37"/>
      <c r="G307" s="40" t="str">
        <f>IF(tblMovimientos[[#This Row],[Producto]]="","",TRIM(LEFT(tblMovimientos[[#This Row],[Producto]],FIND(" · ",tblMovimientos[[#This Row],[Producto]]&amp;" · ")-1)))</f>
        <v/>
      </c>
      <c r="H307" s="40" t="str">
        <f>IF(tblMovimientos[[#This Row],[SKU]]="","",IFERROR(INDEX(tblProductos[Unidad],MATCH(tblMovimientos[[#This Row],[SKU]],tblProductos[SKU],0)),"?"))</f>
        <v/>
      </c>
      <c r="I307" s="39"/>
      <c r="J307" s="47" t="str">
        <f>IF(tblMovimientos[[#This Row],[Tipo]]="","",IFERROR(INDEX(tblTiposMov[FactorStock],MATCH(tblMovimientos[[#This Row],[Tipo]],tblTiposMov[Tipo],0)),0))</f>
        <v/>
      </c>
      <c r="K3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" s="37"/>
      <c r="O307" s="37"/>
      <c r="P307" s="37"/>
    </row>
    <row r="308" spans="2:16" x14ac:dyDescent="0.25">
      <c r="B3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" s="46"/>
      <c r="D308" s="37"/>
      <c r="E308" s="37"/>
      <c r="F308" s="37"/>
      <c r="G308" s="40" t="str">
        <f>IF(tblMovimientos[[#This Row],[Producto]]="","",TRIM(LEFT(tblMovimientos[[#This Row],[Producto]],FIND(" · ",tblMovimientos[[#This Row],[Producto]]&amp;" · ")-1)))</f>
        <v/>
      </c>
      <c r="H308" s="40" t="str">
        <f>IF(tblMovimientos[[#This Row],[SKU]]="","",IFERROR(INDEX(tblProductos[Unidad],MATCH(tblMovimientos[[#This Row],[SKU]],tblProductos[SKU],0)),"?"))</f>
        <v/>
      </c>
      <c r="I308" s="39"/>
      <c r="J308" s="47" t="str">
        <f>IF(tblMovimientos[[#This Row],[Tipo]]="","",IFERROR(INDEX(tblTiposMov[FactorStock],MATCH(tblMovimientos[[#This Row],[Tipo]],tblTiposMov[Tipo],0)),0))</f>
        <v/>
      </c>
      <c r="K3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" s="37"/>
      <c r="O308" s="37"/>
      <c r="P308" s="37"/>
    </row>
    <row r="309" spans="2:16" x14ac:dyDescent="0.25">
      <c r="B3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" s="46"/>
      <c r="D309" s="37"/>
      <c r="E309" s="37"/>
      <c r="F309" s="37"/>
      <c r="G309" s="40" t="str">
        <f>IF(tblMovimientos[[#This Row],[Producto]]="","",TRIM(LEFT(tblMovimientos[[#This Row],[Producto]],FIND(" · ",tblMovimientos[[#This Row],[Producto]]&amp;" · ")-1)))</f>
        <v/>
      </c>
      <c r="H309" s="40" t="str">
        <f>IF(tblMovimientos[[#This Row],[SKU]]="","",IFERROR(INDEX(tblProductos[Unidad],MATCH(tblMovimientos[[#This Row],[SKU]],tblProductos[SKU],0)),"?"))</f>
        <v/>
      </c>
      <c r="I309" s="39"/>
      <c r="J309" s="47" t="str">
        <f>IF(tblMovimientos[[#This Row],[Tipo]]="","",IFERROR(INDEX(tblTiposMov[FactorStock],MATCH(tblMovimientos[[#This Row],[Tipo]],tblTiposMov[Tipo],0)),0))</f>
        <v/>
      </c>
      <c r="K3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" s="37"/>
      <c r="O309" s="37"/>
      <c r="P309" s="37"/>
    </row>
    <row r="310" spans="2:16" x14ac:dyDescent="0.25">
      <c r="B3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" s="46"/>
      <c r="D310" s="37"/>
      <c r="E310" s="37"/>
      <c r="F310" s="37"/>
      <c r="G310" s="40" t="str">
        <f>IF(tblMovimientos[[#This Row],[Producto]]="","",TRIM(LEFT(tblMovimientos[[#This Row],[Producto]],FIND(" · ",tblMovimientos[[#This Row],[Producto]]&amp;" · ")-1)))</f>
        <v/>
      </c>
      <c r="H310" s="40" t="str">
        <f>IF(tblMovimientos[[#This Row],[SKU]]="","",IFERROR(INDEX(tblProductos[Unidad],MATCH(tblMovimientos[[#This Row],[SKU]],tblProductos[SKU],0)),"?"))</f>
        <v/>
      </c>
      <c r="I310" s="39"/>
      <c r="J310" s="47" t="str">
        <f>IF(tblMovimientos[[#This Row],[Tipo]]="","",IFERROR(INDEX(tblTiposMov[FactorStock],MATCH(tblMovimientos[[#This Row],[Tipo]],tblTiposMov[Tipo],0)),0))</f>
        <v/>
      </c>
      <c r="K3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" s="37"/>
      <c r="O310" s="37"/>
      <c r="P310" s="37"/>
    </row>
    <row r="311" spans="2:16" x14ac:dyDescent="0.25">
      <c r="B3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" s="46"/>
      <c r="D311" s="37"/>
      <c r="E311" s="37"/>
      <c r="F311" s="37"/>
      <c r="G311" s="40" t="str">
        <f>IF(tblMovimientos[[#This Row],[Producto]]="","",TRIM(LEFT(tblMovimientos[[#This Row],[Producto]],FIND(" · ",tblMovimientos[[#This Row],[Producto]]&amp;" · ")-1)))</f>
        <v/>
      </c>
      <c r="H311" s="40" t="str">
        <f>IF(tblMovimientos[[#This Row],[SKU]]="","",IFERROR(INDEX(tblProductos[Unidad],MATCH(tblMovimientos[[#This Row],[SKU]],tblProductos[SKU],0)),"?"))</f>
        <v/>
      </c>
      <c r="I311" s="39"/>
      <c r="J311" s="47" t="str">
        <f>IF(tblMovimientos[[#This Row],[Tipo]]="","",IFERROR(INDEX(tblTiposMov[FactorStock],MATCH(tblMovimientos[[#This Row],[Tipo]],tblTiposMov[Tipo],0)),0))</f>
        <v/>
      </c>
      <c r="K3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" s="37"/>
      <c r="O311" s="37"/>
      <c r="P311" s="37"/>
    </row>
    <row r="312" spans="2:16" x14ac:dyDescent="0.25">
      <c r="B3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" s="46"/>
      <c r="D312" s="37"/>
      <c r="E312" s="37"/>
      <c r="F312" s="37"/>
      <c r="G312" s="40" t="str">
        <f>IF(tblMovimientos[[#This Row],[Producto]]="","",TRIM(LEFT(tblMovimientos[[#This Row],[Producto]],FIND(" · ",tblMovimientos[[#This Row],[Producto]]&amp;" · ")-1)))</f>
        <v/>
      </c>
      <c r="H312" s="40" t="str">
        <f>IF(tblMovimientos[[#This Row],[SKU]]="","",IFERROR(INDEX(tblProductos[Unidad],MATCH(tblMovimientos[[#This Row],[SKU]],tblProductos[SKU],0)),"?"))</f>
        <v/>
      </c>
      <c r="I312" s="39"/>
      <c r="J312" s="47" t="str">
        <f>IF(tblMovimientos[[#This Row],[Tipo]]="","",IFERROR(INDEX(tblTiposMov[FactorStock],MATCH(tblMovimientos[[#This Row],[Tipo]],tblTiposMov[Tipo],0)),0))</f>
        <v/>
      </c>
      <c r="K3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" s="37"/>
      <c r="O312" s="37"/>
      <c r="P312" s="37"/>
    </row>
    <row r="313" spans="2:16" x14ac:dyDescent="0.25">
      <c r="B3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" s="46"/>
      <c r="D313" s="37"/>
      <c r="E313" s="37"/>
      <c r="F313" s="37"/>
      <c r="G313" s="40" t="str">
        <f>IF(tblMovimientos[[#This Row],[Producto]]="","",TRIM(LEFT(tblMovimientos[[#This Row],[Producto]],FIND(" · ",tblMovimientos[[#This Row],[Producto]]&amp;" · ")-1)))</f>
        <v/>
      </c>
      <c r="H313" s="40" t="str">
        <f>IF(tblMovimientos[[#This Row],[SKU]]="","",IFERROR(INDEX(tblProductos[Unidad],MATCH(tblMovimientos[[#This Row],[SKU]],tblProductos[SKU],0)),"?"))</f>
        <v/>
      </c>
      <c r="I313" s="39"/>
      <c r="J313" s="47" t="str">
        <f>IF(tblMovimientos[[#This Row],[Tipo]]="","",IFERROR(INDEX(tblTiposMov[FactorStock],MATCH(tblMovimientos[[#This Row],[Tipo]],tblTiposMov[Tipo],0)),0))</f>
        <v/>
      </c>
      <c r="K3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" s="37"/>
      <c r="O313" s="37"/>
      <c r="P313" s="37"/>
    </row>
    <row r="314" spans="2:16" x14ac:dyDescent="0.25">
      <c r="B3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" s="46"/>
      <c r="D314" s="37"/>
      <c r="E314" s="37"/>
      <c r="F314" s="37"/>
      <c r="G314" s="40" t="str">
        <f>IF(tblMovimientos[[#This Row],[Producto]]="","",TRIM(LEFT(tblMovimientos[[#This Row],[Producto]],FIND(" · ",tblMovimientos[[#This Row],[Producto]]&amp;" · ")-1)))</f>
        <v/>
      </c>
      <c r="H314" s="40" t="str">
        <f>IF(tblMovimientos[[#This Row],[SKU]]="","",IFERROR(INDEX(tblProductos[Unidad],MATCH(tblMovimientos[[#This Row],[SKU]],tblProductos[SKU],0)),"?"))</f>
        <v/>
      </c>
      <c r="I314" s="39"/>
      <c r="J314" s="47" t="str">
        <f>IF(tblMovimientos[[#This Row],[Tipo]]="","",IFERROR(INDEX(tblTiposMov[FactorStock],MATCH(tblMovimientos[[#This Row],[Tipo]],tblTiposMov[Tipo],0)),0))</f>
        <v/>
      </c>
      <c r="K3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" s="37"/>
      <c r="O314" s="37"/>
      <c r="P314" s="37"/>
    </row>
    <row r="315" spans="2:16" x14ac:dyDescent="0.25">
      <c r="B3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" s="46"/>
      <c r="D315" s="37"/>
      <c r="E315" s="37"/>
      <c r="F315" s="37"/>
      <c r="G315" s="40" t="str">
        <f>IF(tblMovimientos[[#This Row],[Producto]]="","",TRIM(LEFT(tblMovimientos[[#This Row],[Producto]],FIND(" · ",tblMovimientos[[#This Row],[Producto]]&amp;" · ")-1)))</f>
        <v/>
      </c>
      <c r="H315" s="40" t="str">
        <f>IF(tblMovimientos[[#This Row],[SKU]]="","",IFERROR(INDEX(tblProductos[Unidad],MATCH(tblMovimientos[[#This Row],[SKU]],tblProductos[SKU],0)),"?"))</f>
        <v/>
      </c>
      <c r="I315" s="39"/>
      <c r="J315" s="47" t="str">
        <f>IF(tblMovimientos[[#This Row],[Tipo]]="","",IFERROR(INDEX(tblTiposMov[FactorStock],MATCH(tblMovimientos[[#This Row],[Tipo]],tblTiposMov[Tipo],0)),0))</f>
        <v/>
      </c>
      <c r="K3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" s="37"/>
      <c r="O315" s="37"/>
      <c r="P315" s="37"/>
    </row>
    <row r="316" spans="2:16" x14ac:dyDescent="0.25">
      <c r="B3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" s="46"/>
      <c r="D316" s="37"/>
      <c r="E316" s="37"/>
      <c r="F316" s="37"/>
      <c r="G316" s="40" t="str">
        <f>IF(tblMovimientos[[#This Row],[Producto]]="","",TRIM(LEFT(tblMovimientos[[#This Row],[Producto]],FIND(" · ",tblMovimientos[[#This Row],[Producto]]&amp;" · ")-1)))</f>
        <v/>
      </c>
      <c r="H316" s="40" t="str">
        <f>IF(tblMovimientos[[#This Row],[SKU]]="","",IFERROR(INDEX(tblProductos[Unidad],MATCH(tblMovimientos[[#This Row],[SKU]],tblProductos[SKU],0)),"?"))</f>
        <v/>
      </c>
      <c r="I316" s="39"/>
      <c r="J316" s="47" t="str">
        <f>IF(tblMovimientos[[#This Row],[Tipo]]="","",IFERROR(INDEX(tblTiposMov[FactorStock],MATCH(tblMovimientos[[#This Row],[Tipo]],tblTiposMov[Tipo],0)),0))</f>
        <v/>
      </c>
      <c r="K3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" s="37"/>
      <c r="O316" s="37"/>
      <c r="P316" s="37"/>
    </row>
    <row r="317" spans="2:16" x14ac:dyDescent="0.25">
      <c r="B3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" s="46"/>
      <c r="D317" s="37"/>
      <c r="E317" s="37"/>
      <c r="F317" s="37"/>
      <c r="G317" s="40" t="str">
        <f>IF(tblMovimientos[[#This Row],[Producto]]="","",TRIM(LEFT(tblMovimientos[[#This Row],[Producto]],FIND(" · ",tblMovimientos[[#This Row],[Producto]]&amp;" · ")-1)))</f>
        <v/>
      </c>
      <c r="H317" s="40" t="str">
        <f>IF(tblMovimientos[[#This Row],[SKU]]="","",IFERROR(INDEX(tblProductos[Unidad],MATCH(tblMovimientos[[#This Row],[SKU]],tblProductos[SKU],0)),"?"))</f>
        <v/>
      </c>
      <c r="I317" s="39"/>
      <c r="J317" s="47" t="str">
        <f>IF(tblMovimientos[[#This Row],[Tipo]]="","",IFERROR(INDEX(tblTiposMov[FactorStock],MATCH(tblMovimientos[[#This Row],[Tipo]],tblTiposMov[Tipo],0)),0))</f>
        <v/>
      </c>
      <c r="K3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" s="37"/>
      <c r="O317" s="37"/>
      <c r="P317" s="37"/>
    </row>
    <row r="318" spans="2:16" x14ac:dyDescent="0.25">
      <c r="B3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" s="46"/>
      <c r="D318" s="37"/>
      <c r="E318" s="37"/>
      <c r="F318" s="37"/>
      <c r="G318" s="40" t="str">
        <f>IF(tblMovimientos[[#This Row],[Producto]]="","",TRIM(LEFT(tblMovimientos[[#This Row],[Producto]],FIND(" · ",tblMovimientos[[#This Row],[Producto]]&amp;" · ")-1)))</f>
        <v/>
      </c>
      <c r="H318" s="40" t="str">
        <f>IF(tblMovimientos[[#This Row],[SKU]]="","",IFERROR(INDEX(tblProductos[Unidad],MATCH(tblMovimientos[[#This Row],[SKU]],tblProductos[SKU],0)),"?"))</f>
        <v/>
      </c>
      <c r="I318" s="39"/>
      <c r="J318" s="47" t="str">
        <f>IF(tblMovimientos[[#This Row],[Tipo]]="","",IFERROR(INDEX(tblTiposMov[FactorStock],MATCH(tblMovimientos[[#This Row],[Tipo]],tblTiposMov[Tipo],0)),0))</f>
        <v/>
      </c>
      <c r="K3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" s="37"/>
      <c r="O318" s="37"/>
      <c r="P318" s="37"/>
    </row>
    <row r="319" spans="2:16" x14ac:dyDescent="0.25">
      <c r="B3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" s="46"/>
      <c r="D319" s="37"/>
      <c r="E319" s="37"/>
      <c r="F319" s="37"/>
      <c r="G319" s="40" t="str">
        <f>IF(tblMovimientos[[#This Row],[Producto]]="","",TRIM(LEFT(tblMovimientos[[#This Row],[Producto]],FIND(" · ",tblMovimientos[[#This Row],[Producto]]&amp;" · ")-1)))</f>
        <v/>
      </c>
      <c r="H319" s="40" t="str">
        <f>IF(tblMovimientos[[#This Row],[SKU]]="","",IFERROR(INDEX(tblProductos[Unidad],MATCH(tblMovimientos[[#This Row],[SKU]],tblProductos[SKU],0)),"?"))</f>
        <v/>
      </c>
      <c r="I319" s="39"/>
      <c r="J319" s="47" t="str">
        <f>IF(tblMovimientos[[#This Row],[Tipo]]="","",IFERROR(INDEX(tblTiposMov[FactorStock],MATCH(tblMovimientos[[#This Row],[Tipo]],tblTiposMov[Tipo],0)),0))</f>
        <v/>
      </c>
      <c r="K3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" s="37"/>
      <c r="O319" s="37"/>
      <c r="P319" s="37"/>
    </row>
    <row r="320" spans="2:16" x14ac:dyDescent="0.25">
      <c r="B3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" s="46"/>
      <c r="D320" s="37"/>
      <c r="E320" s="37"/>
      <c r="F320" s="37"/>
      <c r="G320" s="40" t="str">
        <f>IF(tblMovimientos[[#This Row],[Producto]]="","",TRIM(LEFT(tblMovimientos[[#This Row],[Producto]],FIND(" · ",tblMovimientos[[#This Row],[Producto]]&amp;" · ")-1)))</f>
        <v/>
      </c>
      <c r="H320" s="40" t="str">
        <f>IF(tblMovimientos[[#This Row],[SKU]]="","",IFERROR(INDEX(tblProductos[Unidad],MATCH(tblMovimientos[[#This Row],[SKU]],tblProductos[SKU],0)),"?"))</f>
        <v/>
      </c>
      <c r="I320" s="39"/>
      <c r="J320" s="47" t="str">
        <f>IF(tblMovimientos[[#This Row],[Tipo]]="","",IFERROR(INDEX(tblTiposMov[FactorStock],MATCH(tblMovimientos[[#This Row],[Tipo]],tblTiposMov[Tipo],0)),0))</f>
        <v/>
      </c>
      <c r="K3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" s="37"/>
      <c r="O320" s="37"/>
      <c r="P320" s="37"/>
    </row>
    <row r="321" spans="2:16" x14ac:dyDescent="0.25">
      <c r="B3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" s="46"/>
      <c r="D321" s="37"/>
      <c r="E321" s="37"/>
      <c r="F321" s="37"/>
      <c r="G321" s="40" t="str">
        <f>IF(tblMovimientos[[#This Row],[Producto]]="","",TRIM(LEFT(tblMovimientos[[#This Row],[Producto]],FIND(" · ",tblMovimientos[[#This Row],[Producto]]&amp;" · ")-1)))</f>
        <v/>
      </c>
      <c r="H321" s="40" t="str">
        <f>IF(tblMovimientos[[#This Row],[SKU]]="","",IFERROR(INDEX(tblProductos[Unidad],MATCH(tblMovimientos[[#This Row],[SKU]],tblProductos[SKU],0)),"?"))</f>
        <v/>
      </c>
      <c r="I321" s="39"/>
      <c r="J321" s="47" t="str">
        <f>IF(tblMovimientos[[#This Row],[Tipo]]="","",IFERROR(INDEX(tblTiposMov[FactorStock],MATCH(tblMovimientos[[#This Row],[Tipo]],tblTiposMov[Tipo],0)),0))</f>
        <v/>
      </c>
      <c r="K3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" s="37"/>
      <c r="O321" s="37"/>
      <c r="P321" s="37"/>
    </row>
    <row r="322" spans="2:16" x14ac:dyDescent="0.25">
      <c r="B3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" s="46"/>
      <c r="D322" s="37"/>
      <c r="E322" s="37"/>
      <c r="F322" s="37"/>
      <c r="G322" s="40" t="str">
        <f>IF(tblMovimientos[[#This Row],[Producto]]="","",TRIM(LEFT(tblMovimientos[[#This Row],[Producto]],FIND(" · ",tblMovimientos[[#This Row],[Producto]]&amp;" · ")-1)))</f>
        <v/>
      </c>
      <c r="H322" s="40" t="str">
        <f>IF(tblMovimientos[[#This Row],[SKU]]="","",IFERROR(INDEX(tblProductos[Unidad],MATCH(tblMovimientos[[#This Row],[SKU]],tblProductos[SKU],0)),"?"))</f>
        <v/>
      </c>
      <c r="I322" s="39"/>
      <c r="J322" s="47" t="str">
        <f>IF(tblMovimientos[[#This Row],[Tipo]]="","",IFERROR(INDEX(tblTiposMov[FactorStock],MATCH(tblMovimientos[[#This Row],[Tipo]],tblTiposMov[Tipo],0)),0))</f>
        <v/>
      </c>
      <c r="K3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" s="37"/>
      <c r="O322" s="37"/>
      <c r="P322" s="37"/>
    </row>
    <row r="323" spans="2:16" x14ac:dyDescent="0.25">
      <c r="B3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" s="46"/>
      <c r="D323" s="37"/>
      <c r="E323" s="37"/>
      <c r="F323" s="37"/>
      <c r="G323" s="40" t="str">
        <f>IF(tblMovimientos[[#This Row],[Producto]]="","",TRIM(LEFT(tblMovimientos[[#This Row],[Producto]],FIND(" · ",tblMovimientos[[#This Row],[Producto]]&amp;" · ")-1)))</f>
        <v/>
      </c>
      <c r="H323" s="40" t="str">
        <f>IF(tblMovimientos[[#This Row],[SKU]]="","",IFERROR(INDEX(tblProductos[Unidad],MATCH(tblMovimientos[[#This Row],[SKU]],tblProductos[SKU],0)),"?"))</f>
        <v/>
      </c>
      <c r="I323" s="39"/>
      <c r="J323" s="47" t="str">
        <f>IF(tblMovimientos[[#This Row],[Tipo]]="","",IFERROR(INDEX(tblTiposMov[FactorStock],MATCH(tblMovimientos[[#This Row],[Tipo]],tblTiposMov[Tipo],0)),0))</f>
        <v/>
      </c>
      <c r="K3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" s="37"/>
      <c r="O323" s="37"/>
      <c r="P323" s="37"/>
    </row>
    <row r="324" spans="2:16" x14ac:dyDescent="0.25">
      <c r="B3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" s="46"/>
      <c r="D324" s="37"/>
      <c r="E324" s="37"/>
      <c r="F324" s="37"/>
      <c r="G324" s="40" t="str">
        <f>IF(tblMovimientos[[#This Row],[Producto]]="","",TRIM(LEFT(tblMovimientos[[#This Row],[Producto]],FIND(" · ",tblMovimientos[[#This Row],[Producto]]&amp;" · ")-1)))</f>
        <v/>
      </c>
      <c r="H324" s="40" t="str">
        <f>IF(tblMovimientos[[#This Row],[SKU]]="","",IFERROR(INDEX(tblProductos[Unidad],MATCH(tblMovimientos[[#This Row],[SKU]],tblProductos[SKU],0)),"?"))</f>
        <v/>
      </c>
      <c r="I324" s="39"/>
      <c r="J324" s="47" t="str">
        <f>IF(tblMovimientos[[#This Row],[Tipo]]="","",IFERROR(INDEX(tblTiposMov[FactorStock],MATCH(tblMovimientos[[#This Row],[Tipo]],tblTiposMov[Tipo],0)),0))</f>
        <v/>
      </c>
      <c r="K3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" s="37"/>
      <c r="O324" s="37"/>
      <c r="P324" s="37"/>
    </row>
    <row r="325" spans="2:16" x14ac:dyDescent="0.25">
      <c r="B3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" s="46"/>
      <c r="D325" s="37"/>
      <c r="E325" s="37"/>
      <c r="F325" s="37"/>
      <c r="G325" s="40" t="str">
        <f>IF(tblMovimientos[[#This Row],[Producto]]="","",TRIM(LEFT(tblMovimientos[[#This Row],[Producto]],FIND(" · ",tblMovimientos[[#This Row],[Producto]]&amp;" · ")-1)))</f>
        <v/>
      </c>
      <c r="H325" s="40" t="str">
        <f>IF(tblMovimientos[[#This Row],[SKU]]="","",IFERROR(INDEX(tblProductos[Unidad],MATCH(tblMovimientos[[#This Row],[SKU]],tblProductos[SKU],0)),"?"))</f>
        <v/>
      </c>
      <c r="I325" s="39"/>
      <c r="J325" s="47" t="str">
        <f>IF(tblMovimientos[[#This Row],[Tipo]]="","",IFERROR(INDEX(tblTiposMov[FactorStock],MATCH(tblMovimientos[[#This Row],[Tipo]],tblTiposMov[Tipo],0)),0))</f>
        <v/>
      </c>
      <c r="K3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" s="37"/>
      <c r="O325" s="37"/>
      <c r="P325" s="37"/>
    </row>
    <row r="326" spans="2:16" x14ac:dyDescent="0.25">
      <c r="B3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" s="46"/>
      <c r="D326" s="37"/>
      <c r="E326" s="37"/>
      <c r="F326" s="37"/>
      <c r="G326" s="40" t="str">
        <f>IF(tblMovimientos[[#This Row],[Producto]]="","",TRIM(LEFT(tblMovimientos[[#This Row],[Producto]],FIND(" · ",tblMovimientos[[#This Row],[Producto]]&amp;" · ")-1)))</f>
        <v/>
      </c>
      <c r="H326" s="40" t="str">
        <f>IF(tblMovimientos[[#This Row],[SKU]]="","",IFERROR(INDEX(tblProductos[Unidad],MATCH(tblMovimientos[[#This Row],[SKU]],tblProductos[SKU],0)),"?"))</f>
        <v/>
      </c>
      <c r="I326" s="39"/>
      <c r="J326" s="47" t="str">
        <f>IF(tblMovimientos[[#This Row],[Tipo]]="","",IFERROR(INDEX(tblTiposMov[FactorStock],MATCH(tblMovimientos[[#This Row],[Tipo]],tblTiposMov[Tipo],0)),0))</f>
        <v/>
      </c>
      <c r="K3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" s="37"/>
      <c r="O326" s="37"/>
      <c r="P326" s="37"/>
    </row>
    <row r="327" spans="2:16" x14ac:dyDescent="0.25">
      <c r="B3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" s="46"/>
      <c r="D327" s="37"/>
      <c r="E327" s="37"/>
      <c r="F327" s="37"/>
      <c r="G327" s="40" t="str">
        <f>IF(tblMovimientos[[#This Row],[Producto]]="","",TRIM(LEFT(tblMovimientos[[#This Row],[Producto]],FIND(" · ",tblMovimientos[[#This Row],[Producto]]&amp;" · ")-1)))</f>
        <v/>
      </c>
      <c r="H327" s="40" t="str">
        <f>IF(tblMovimientos[[#This Row],[SKU]]="","",IFERROR(INDEX(tblProductos[Unidad],MATCH(tblMovimientos[[#This Row],[SKU]],tblProductos[SKU],0)),"?"))</f>
        <v/>
      </c>
      <c r="I327" s="39"/>
      <c r="J327" s="47" t="str">
        <f>IF(tblMovimientos[[#This Row],[Tipo]]="","",IFERROR(INDEX(tblTiposMov[FactorStock],MATCH(tblMovimientos[[#This Row],[Tipo]],tblTiposMov[Tipo],0)),0))</f>
        <v/>
      </c>
      <c r="K3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" s="37"/>
      <c r="O327" s="37"/>
      <c r="P327" s="37"/>
    </row>
    <row r="328" spans="2:16" x14ac:dyDescent="0.25">
      <c r="B3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" s="46"/>
      <c r="D328" s="37"/>
      <c r="E328" s="37"/>
      <c r="F328" s="37"/>
      <c r="G328" s="40" t="str">
        <f>IF(tblMovimientos[[#This Row],[Producto]]="","",TRIM(LEFT(tblMovimientos[[#This Row],[Producto]],FIND(" · ",tblMovimientos[[#This Row],[Producto]]&amp;" · ")-1)))</f>
        <v/>
      </c>
      <c r="H328" s="40" t="str">
        <f>IF(tblMovimientos[[#This Row],[SKU]]="","",IFERROR(INDEX(tblProductos[Unidad],MATCH(tblMovimientos[[#This Row],[SKU]],tblProductos[SKU],0)),"?"))</f>
        <v/>
      </c>
      <c r="I328" s="39"/>
      <c r="J328" s="47" t="str">
        <f>IF(tblMovimientos[[#This Row],[Tipo]]="","",IFERROR(INDEX(tblTiposMov[FactorStock],MATCH(tblMovimientos[[#This Row],[Tipo]],tblTiposMov[Tipo],0)),0))</f>
        <v/>
      </c>
      <c r="K3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" s="37"/>
      <c r="O328" s="37"/>
      <c r="P328" s="37"/>
    </row>
    <row r="329" spans="2:16" x14ac:dyDescent="0.25">
      <c r="B3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" s="46"/>
      <c r="D329" s="37"/>
      <c r="E329" s="37"/>
      <c r="F329" s="37"/>
      <c r="G329" s="40" t="str">
        <f>IF(tblMovimientos[[#This Row],[Producto]]="","",TRIM(LEFT(tblMovimientos[[#This Row],[Producto]],FIND(" · ",tblMovimientos[[#This Row],[Producto]]&amp;" · ")-1)))</f>
        <v/>
      </c>
      <c r="H329" s="40" t="str">
        <f>IF(tblMovimientos[[#This Row],[SKU]]="","",IFERROR(INDEX(tblProductos[Unidad],MATCH(tblMovimientos[[#This Row],[SKU]],tblProductos[SKU],0)),"?"))</f>
        <v/>
      </c>
      <c r="I329" s="39"/>
      <c r="J329" s="47" t="str">
        <f>IF(tblMovimientos[[#This Row],[Tipo]]="","",IFERROR(INDEX(tblTiposMov[FactorStock],MATCH(tblMovimientos[[#This Row],[Tipo]],tblTiposMov[Tipo],0)),0))</f>
        <v/>
      </c>
      <c r="K3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" s="37"/>
      <c r="O329" s="37"/>
      <c r="P329" s="37"/>
    </row>
    <row r="330" spans="2:16" x14ac:dyDescent="0.25">
      <c r="B3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" s="46"/>
      <c r="D330" s="37"/>
      <c r="E330" s="37"/>
      <c r="F330" s="37"/>
      <c r="G330" s="40" t="str">
        <f>IF(tblMovimientos[[#This Row],[Producto]]="","",TRIM(LEFT(tblMovimientos[[#This Row],[Producto]],FIND(" · ",tblMovimientos[[#This Row],[Producto]]&amp;" · ")-1)))</f>
        <v/>
      </c>
      <c r="H330" s="40" t="str">
        <f>IF(tblMovimientos[[#This Row],[SKU]]="","",IFERROR(INDEX(tblProductos[Unidad],MATCH(tblMovimientos[[#This Row],[SKU]],tblProductos[SKU],0)),"?"))</f>
        <v/>
      </c>
      <c r="I330" s="39"/>
      <c r="J330" s="47" t="str">
        <f>IF(tblMovimientos[[#This Row],[Tipo]]="","",IFERROR(INDEX(tblTiposMov[FactorStock],MATCH(tblMovimientos[[#This Row],[Tipo]],tblTiposMov[Tipo],0)),0))</f>
        <v/>
      </c>
      <c r="K3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" s="37"/>
      <c r="O330" s="37"/>
      <c r="P330" s="37"/>
    </row>
    <row r="331" spans="2:16" x14ac:dyDescent="0.25">
      <c r="B3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" s="46"/>
      <c r="D331" s="37"/>
      <c r="E331" s="37"/>
      <c r="F331" s="37"/>
      <c r="G331" s="40" t="str">
        <f>IF(tblMovimientos[[#This Row],[Producto]]="","",TRIM(LEFT(tblMovimientos[[#This Row],[Producto]],FIND(" · ",tblMovimientos[[#This Row],[Producto]]&amp;" · ")-1)))</f>
        <v/>
      </c>
      <c r="H331" s="40" t="str">
        <f>IF(tblMovimientos[[#This Row],[SKU]]="","",IFERROR(INDEX(tblProductos[Unidad],MATCH(tblMovimientos[[#This Row],[SKU]],tblProductos[SKU],0)),"?"))</f>
        <v/>
      </c>
      <c r="I331" s="39"/>
      <c r="J331" s="47" t="str">
        <f>IF(tblMovimientos[[#This Row],[Tipo]]="","",IFERROR(INDEX(tblTiposMov[FactorStock],MATCH(tblMovimientos[[#This Row],[Tipo]],tblTiposMov[Tipo],0)),0))</f>
        <v/>
      </c>
      <c r="K3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" s="37"/>
      <c r="O331" s="37"/>
      <c r="P331" s="37"/>
    </row>
    <row r="332" spans="2:16" x14ac:dyDescent="0.25">
      <c r="B3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" s="46"/>
      <c r="D332" s="37"/>
      <c r="E332" s="37"/>
      <c r="F332" s="37"/>
      <c r="G332" s="40" t="str">
        <f>IF(tblMovimientos[[#This Row],[Producto]]="","",TRIM(LEFT(tblMovimientos[[#This Row],[Producto]],FIND(" · ",tblMovimientos[[#This Row],[Producto]]&amp;" · ")-1)))</f>
        <v/>
      </c>
      <c r="H332" s="40" t="str">
        <f>IF(tblMovimientos[[#This Row],[SKU]]="","",IFERROR(INDEX(tblProductos[Unidad],MATCH(tblMovimientos[[#This Row],[SKU]],tblProductos[SKU],0)),"?"))</f>
        <v/>
      </c>
      <c r="I332" s="39"/>
      <c r="J332" s="47" t="str">
        <f>IF(tblMovimientos[[#This Row],[Tipo]]="","",IFERROR(INDEX(tblTiposMov[FactorStock],MATCH(tblMovimientos[[#This Row],[Tipo]],tblTiposMov[Tipo],0)),0))</f>
        <v/>
      </c>
      <c r="K3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" s="37"/>
      <c r="O332" s="37"/>
      <c r="P332" s="37"/>
    </row>
    <row r="333" spans="2:16" x14ac:dyDescent="0.25">
      <c r="B3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" s="46"/>
      <c r="D333" s="37"/>
      <c r="E333" s="37"/>
      <c r="F333" s="37"/>
      <c r="G333" s="40" t="str">
        <f>IF(tblMovimientos[[#This Row],[Producto]]="","",TRIM(LEFT(tblMovimientos[[#This Row],[Producto]],FIND(" · ",tblMovimientos[[#This Row],[Producto]]&amp;" · ")-1)))</f>
        <v/>
      </c>
      <c r="H333" s="40" t="str">
        <f>IF(tblMovimientos[[#This Row],[SKU]]="","",IFERROR(INDEX(tblProductos[Unidad],MATCH(tblMovimientos[[#This Row],[SKU]],tblProductos[SKU],0)),"?"))</f>
        <v/>
      </c>
      <c r="I333" s="39"/>
      <c r="J333" s="47" t="str">
        <f>IF(tblMovimientos[[#This Row],[Tipo]]="","",IFERROR(INDEX(tblTiposMov[FactorStock],MATCH(tblMovimientos[[#This Row],[Tipo]],tblTiposMov[Tipo],0)),0))</f>
        <v/>
      </c>
      <c r="K3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" s="37"/>
      <c r="O333" s="37"/>
      <c r="P333" s="37"/>
    </row>
    <row r="334" spans="2:16" x14ac:dyDescent="0.25">
      <c r="B3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" s="46"/>
      <c r="D334" s="37"/>
      <c r="E334" s="37"/>
      <c r="F334" s="37"/>
      <c r="G334" s="40" t="str">
        <f>IF(tblMovimientos[[#This Row],[Producto]]="","",TRIM(LEFT(tblMovimientos[[#This Row],[Producto]],FIND(" · ",tblMovimientos[[#This Row],[Producto]]&amp;" · ")-1)))</f>
        <v/>
      </c>
      <c r="H334" s="40" t="str">
        <f>IF(tblMovimientos[[#This Row],[SKU]]="","",IFERROR(INDEX(tblProductos[Unidad],MATCH(tblMovimientos[[#This Row],[SKU]],tblProductos[SKU],0)),"?"))</f>
        <v/>
      </c>
      <c r="I334" s="39"/>
      <c r="J334" s="47" t="str">
        <f>IF(tblMovimientos[[#This Row],[Tipo]]="","",IFERROR(INDEX(tblTiposMov[FactorStock],MATCH(tblMovimientos[[#This Row],[Tipo]],tblTiposMov[Tipo],0)),0))</f>
        <v/>
      </c>
      <c r="K3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" s="37"/>
      <c r="O334" s="37"/>
      <c r="P334" s="37"/>
    </row>
    <row r="335" spans="2:16" x14ac:dyDescent="0.25">
      <c r="B3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" s="46"/>
      <c r="D335" s="37"/>
      <c r="E335" s="37"/>
      <c r="F335" s="37"/>
      <c r="G335" s="40" t="str">
        <f>IF(tblMovimientos[[#This Row],[Producto]]="","",TRIM(LEFT(tblMovimientos[[#This Row],[Producto]],FIND(" · ",tblMovimientos[[#This Row],[Producto]]&amp;" · ")-1)))</f>
        <v/>
      </c>
      <c r="H335" s="40" t="str">
        <f>IF(tblMovimientos[[#This Row],[SKU]]="","",IFERROR(INDEX(tblProductos[Unidad],MATCH(tblMovimientos[[#This Row],[SKU]],tblProductos[SKU],0)),"?"))</f>
        <v/>
      </c>
      <c r="I335" s="39"/>
      <c r="J335" s="47" t="str">
        <f>IF(tblMovimientos[[#This Row],[Tipo]]="","",IFERROR(INDEX(tblTiposMov[FactorStock],MATCH(tblMovimientos[[#This Row],[Tipo]],tblTiposMov[Tipo],0)),0))</f>
        <v/>
      </c>
      <c r="K3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" s="37"/>
      <c r="O335" s="37"/>
      <c r="P335" s="37"/>
    </row>
    <row r="336" spans="2:16" x14ac:dyDescent="0.25">
      <c r="B3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" s="46"/>
      <c r="D336" s="37"/>
      <c r="E336" s="37"/>
      <c r="F336" s="37"/>
      <c r="G336" s="40" t="str">
        <f>IF(tblMovimientos[[#This Row],[Producto]]="","",TRIM(LEFT(tblMovimientos[[#This Row],[Producto]],FIND(" · ",tblMovimientos[[#This Row],[Producto]]&amp;" · ")-1)))</f>
        <v/>
      </c>
      <c r="H336" s="40" t="str">
        <f>IF(tblMovimientos[[#This Row],[SKU]]="","",IFERROR(INDEX(tblProductos[Unidad],MATCH(tblMovimientos[[#This Row],[SKU]],tblProductos[SKU],0)),"?"))</f>
        <v/>
      </c>
      <c r="I336" s="39"/>
      <c r="J336" s="47" t="str">
        <f>IF(tblMovimientos[[#This Row],[Tipo]]="","",IFERROR(INDEX(tblTiposMov[FactorStock],MATCH(tblMovimientos[[#This Row],[Tipo]],tblTiposMov[Tipo],0)),0))</f>
        <v/>
      </c>
      <c r="K3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" s="37"/>
      <c r="O336" s="37"/>
      <c r="P336" s="37"/>
    </row>
    <row r="337" spans="2:16" x14ac:dyDescent="0.25">
      <c r="B3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" s="46"/>
      <c r="D337" s="37"/>
      <c r="E337" s="37"/>
      <c r="F337" s="37"/>
      <c r="G337" s="40" t="str">
        <f>IF(tblMovimientos[[#This Row],[Producto]]="","",TRIM(LEFT(tblMovimientos[[#This Row],[Producto]],FIND(" · ",tblMovimientos[[#This Row],[Producto]]&amp;" · ")-1)))</f>
        <v/>
      </c>
      <c r="H337" s="40" t="str">
        <f>IF(tblMovimientos[[#This Row],[SKU]]="","",IFERROR(INDEX(tblProductos[Unidad],MATCH(tblMovimientos[[#This Row],[SKU]],tblProductos[SKU],0)),"?"))</f>
        <v/>
      </c>
      <c r="I337" s="39"/>
      <c r="J337" s="47" t="str">
        <f>IF(tblMovimientos[[#This Row],[Tipo]]="","",IFERROR(INDEX(tblTiposMov[FactorStock],MATCH(tblMovimientos[[#This Row],[Tipo]],tblTiposMov[Tipo],0)),0))</f>
        <v/>
      </c>
      <c r="K3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" s="37"/>
      <c r="O337" s="37"/>
      <c r="P337" s="37"/>
    </row>
    <row r="338" spans="2:16" x14ac:dyDescent="0.25">
      <c r="B3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" s="46"/>
      <c r="D338" s="37"/>
      <c r="E338" s="37"/>
      <c r="F338" s="37"/>
      <c r="G338" s="40" t="str">
        <f>IF(tblMovimientos[[#This Row],[Producto]]="","",TRIM(LEFT(tblMovimientos[[#This Row],[Producto]],FIND(" · ",tblMovimientos[[#This Row],[Producto]]&amp;" · ")-1)))</f>
        <v/>
      </c>
      <c r="H338" s="40" t="str">
        <f>IF(tblMovimientos[[#This Row],[SKU]]="","",IFERROR(INDEX(tblProductos[Unidad],MATCH(tblMovimientos[[#This Row],[SKU]],tblProductos[SKU],0)),"?"))</f>
        <v/>
      </c>
      <c r="I338" s="39"/>
      <c r="J338" s="47" t="str">
        <f>IF(tblMovimientos[[#This Row],[Tipo]]="","",IFERROR(INDEX(tblTiposMov[FactorStock],MATCH(tblMovimientos[[#This Row],[Tipo]],tblTiposMov[Tipo],0)),0))</f>
        <v/>
      </c>
      <c r="K3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" s="37"/>
      <c r="O338" s="37"/>
      <c r="P338" s="37"/>
    </row>
    <row r="339" spans="2:16" x14ac:dyDescent="0.25">
      <c r="B3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" s="46"/>
      <c r="D339" s="37"/>
      <c r="E339" s="37"/>
      <c r="F339" s="37"/>
      <c r="G339" s="40" t="str">
        <f>IF(tblMovimientos[[#This Row],[Producto]]="","",TRIM(LEFT(tblMovimientos[[#This Row],[Producto]],FIND(" · ",tblMovimientos[[#This Row],[Producto]]&amp;" · ")-1)))</f>
        <v/>
      </c>
      <c r="H339" s="40" t="str">
        <f>IF(tblMovimientos[[#This Row],[SKU]]="","",IFERROR(INDEX(tblProductos[Unidad],MATCH(tblMovimientos[[#This Row],[SKU]],tblProductos[SKU],0)),"?"))</f>
        <v/>
      </c>
      <c r="I339" s="39"/>
      <c r="J339" s="47" t="str">
        <f>IF(tblMovimientos[[#This Row],[Tipo]]="","",IFERROR(INDEX(tblTiposMov[FactorStock],MATCH(tblMovimientos[[#This Row],[Tipo]],tblTiposMov[Tipo],0)),0))</f>
        <v/>
      </c>
      <c r="K3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" s="37"/>
      <c r="O339" s="37"/>
      <c r="P339" s="37"/>
    </row>
    <row r="340" spans="2:16" x14ac:dyDescent="0.25">
      <c r="B3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" s="46"/>
      <c r="D340" s="37"/>
      <c r="E340" s="37"/>
      <c r="F340" s="37"/>
      <c r="G340" s="40" t="str">
        <f>IF(tblMovimientos[[#This Row],[Producto]]="","",TRIM(LEFT(tblMovimientos[[#This Row],[Producto]],FIND(" · ",tblMovimientos[[#This Row],[Producto]]&amp;" · ")-1)))</f>
        <v/>
      </c>
      <c r="H340" s="40" t="str">
        <f>IF(tblMovimientos[[#This Row],[SKU]]="","",IFERROR(INDEX(tblProductos[Unidad],MATCH(tblMovimientos[[#This Row],[SKU]],tblProductos[SKU],0)),"?"))</f>
        <v/>
      </c>
      <c r="I340" s="39"/>
      <c r="J340" s="47" t="str">
        <f>IF(tblMovimientos[[#This Row],[Tipo]]="","",IFERROR(INDEX(tblTiposMov[FactorStock],MATCH(tblMovimientos[[#This Row],[Tipo]],tblTiposMov[Tipo],0)),0))</f>
        <v/>
      </c>
      <c r="K3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" s="37"/>
      <c r="O340" s="37"/>
      <c r="P340" s="37"/>
    </row>
    <row r="341" spans="2:16" x14ac:dyDescent="0.25">
      <c r="B3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" s="46"/>
      <c r="D341" s="37"/>
      <c r="E341" s="37"/>
      <c r="F341" s="37"/>
      <c r="G341" s="40" t="str">
        <f>IF(tblMovimientos[[#This Row],[Producto]]="","",TRIM(LEFT(tblMovimientos[[#This Row],[Producto]],FIND(" · ",tblMovimientos[[#This Row],[Producto]]&amp;" · ")-1)))</f>
        <v/>
      </c>
      <c r="H341" s="40" t="str">
        <f>IF(tblMovimientos[[#This Row],[SKU]]="","",IFERROR(INDEX(tblProductos[Unidad],MATCH(tblMovimientos[[#This Row],[SKU]],tblProductos[SKU],0)),"?"))</f>
        <v/>
      </c>
      <c r="I341" s="39"/>
      <c r="J341" s="47" t="str">
        <f>IF(tblMovimientos[[#This Row],[Tipo]]="","",IFERROR(INDEX(tblTiposMov[FactorStock],MATCH(tblMovimientos[[#This Row],[Tipo]],tblTiposMov[Tipo],0)),0))</f>
        <v/>
      </c>
      <c r="K3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" s="37"/>
      <c r="O341" s="37"/>
      <c r="P341" s="37"/>
    </row>
    <row r="342" spans="2:16" x14ac:dyDescent="0.25">
      <c r="B3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" s="46"/>
      <c r="D342" s="37"/>
      <c r="E342" s="37"/>
      <c r="F342" s="37"/>
      <c r="G342" s="40" t="str">
        <f>IF(tblMovimientos[[#This Row],[Producto]]="","",TRIM(LEFT(tblMovimientos[[#This Row],[Producto]],FIND(" · ",tblMovimientos[[#This Row],[Producto]]&amp;" · ")-1)))</f>
        <v/>
      </c>
      <c r="H342" s="40" t="str">
        <f>IF(tblMovimientos[[#This Row],[SKU]]="","",IFERROR(INDEX(tblProductos[Unidad],MATCH(tblMovimientos[[#This Row],[SKU]],tblProductos[SKU],0)),"?"))</f>
        <v/>
      </c>
      <c r="I342" s="39"/>
      <c r="J342" s="47" t="str">
        <f>IF(tblMovimientos[[#This Row],[Tipo]]="","",IFERROR(INDEX(tblTiposMov[FactorStock],MATCH(tblMovimientos[[#This Row],[Tipo]],tblTiposMov[Tipo],0)),0))</f>
        <v/>
      </c>
      <c r="K3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" s="37"/>
      <c r="O342" s="37"/>
      <c r="P342" s="37"/>
    </row>
    <row r="343" spans="2:16" x14ac:dyDescent="0.25">
      <c r="B3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" s="46"/>
      <c r="D343" s="37"/>
      <c r="E343" s="37"/>
      <c r="F343" s="37"/>
      <c r="G343" s="40" t="str">
        <f>IF(tblMovimientos[[#This Row],[Producto]]="","",TRIM(LEFT(tblMovimientos[[#This Row],[Producto]],FIND(" · ",tblMovimientos[[#This Row],[Producto]]&amp;" · ")-1)))</f>
        <v/>
      </c>
      <c r="H343" s="40" t="str">
        <f>IF(tblMovimientos[[#This Row],[SKU]]="","",IFERROR(INDEX(tblProductos[Unidad],MATCH(tblMovimientos[[#This Row],[SKU]],tblProductos[SKU],0)),"?"))</f>
        <v/>
      </c>
      <c r="I343" s="39"/>
      <c r="J343" s="47" t="str">
        <f>IF(tblMovimientos[[#This Row],[Tipo]]="","",IFERROR(INDEX(tblTiposMov[FactorStock],MATCH(tblMovimientos[[#This Row],[Tipo]],tblTiposMov[Tipo],0)),0))</f>
        <v/>
      </c>
      <c r="K3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" s="37"/>
      <c r="O343" s="37"/>
      <c r="P343" s="37"/>
    </row>
    <row r="344" spans="2:16" x14ac:dyDescent="0.25">
      <c r="B3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" s="46"/>
      <c r="D344" s="37"/>
      <c r="E344" s="37"/>
      <c r="F344" s="37"/>
      <c r="G344" s="40" t="str">
        <f>IF(tblMovimientos[[#This Row],[Producto]]="","",TRIM(LEFT(tblMovimientos[[#This Row],[Producto]],FIND(" · ",tblMovimientos[[#This Row],[Producto]]&amp;" · ")-1)))</f>
        <v/>
      </c>
      <c r="H344" s="40" t="str">
        <f>IF(tblMovimientos[[#This Row],[SKU]]="","",IFERROR(INDEX(tblProductos[Unidad],MATCH(tblMovimientos[[#This Row],[SKU]],tblProductos[SKU],0)),"?"))</f>
        <v/>
      </c>
      <c r="I344" s="39"/>
      <c r="J344" s="47" t="str">
        <f>IF(tblMovimientos[[#This Row],[Tipo]]="","",IFERROR(INDEX(tblTiposMov[FactorStock],MATCH(tblMovimientos[[#This Row],[Tipo]],tblTiposMov[Tipo],0)),0))</f>
        <v/>
      </c>
      <c r="K3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" s="37"/>
      <c r="O344" s="37"/>
      <c r="P344" s="37"/>
    </row>
    <row r="345" spans="2:16" x14ac:dyDescent="0.25">
      <c r="B3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" s="46"/>
      <c r="D345" s="37"/>
      <c r="E345" s="37"/>
      <c r="F345" s="37"/>
      <c r="G345" s="40" t="str">
        <f>IF(tblMovimientos[[#This Row],[Producto]]="","",TRIM(LEFT(tblMovimientos[[#This Row],[Producto]],FIND(" · ",tblMovimientos[[#This Row],[Producto]]&amp;" · ")-1)))</f>
        <v/>
      </c>
      <c r="H345" s="40" t="str">
        <f>IF(tblMovimientos[[#This Row],[SKU]]="","",IFERROR(INDEX(tblProductos[Unidad],MATCH(tblMovimientos[[#This Row],[SKU]],tblProductos[SKU],0)),"?"))</f>
        <v/>
      </c>
      <c r="I345" s="39"/>
      <c r="J345" s="47" t="str">
        <f>IF(tblMovimientos[[#This Row],[Tipo]]="","",IFERROR(INDEX(tblTiposMov[FactorStock],MATCH(tblMovimientos[[#This Row],[Tipo]],tblTiposMov[Tipo],0)),0))</f>
        <v/>
      </c>
      <c r="K3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" s="37"/>
      <c r="O345" s="37"/>
      <c r="P345" s="37"/>
    </row>
    <row r="346" spans="2:16" x14ac:dyDescent="0.25">
      <c r="B3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" s="46"/>
      <c r="D346" s="37"/>
      <c r="E346" s="37"/>
      <c r="F346" s="37"/>
      <c r="G346" s="40" t="str">
        <f>IF(tblMovimientos[[#This Row],[Producto]]="","",TRIM(LEFT(tblMovimientos[[#This Row],[Producto]],FIND(" · ",tblMovimientos[[#This Row],[Producto]]&amp;" · ")-1)))</f>
        <v/>
      </c>
      <c r="H346" s="40" t="str">
        <f>IF(tblMovimientos[[#This Row],[SKU]]="","",IFERROR(INDEX(tblProductos[Unidad],MATCH(tblMovimientos[[#This Row],[SKU]],tblProductos[SKU],0)),"?"))</f>
        <v/>
      </c>
      <c r="I346" s="39"/>
      <c r="J346" s="47" t="str">
        <f>IF(tblMovimientos[[#This Row],[Tipo]]="","",IFERROR(INDEX(tblTiposMov[FactorStock],MATCH(tblMovimientos[[#This Row],[Tipo]],tblTiposMov[Tipo],0)),0))</f>
        <v/>
      </c>
      <c r="K3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" s="37"/>
      <c r="O346" s="37"/>
      <c r="P346" s="37"/>
    </row>
    <row r="347" spans="2:16" x14ac:dyDescent="0.25">
      <c r="B3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" s="46"/>
      <c r="D347" s="37"/>
      <c r="E347" s="37"/>
      <c r="F347" s="37"/>
      <c r="G347" s="40" t="str">
        <f>IF(tblMovimientos[[#This Row],[Producto]]="","",TRIM(LEFT(tblMovimientos[[#This Row],[Producto]],FIND(" · ",tblMovimientos[[#This Row],[Producto]]&amp;" · ")-1)))</f>
        <v/>
      </c>
      <c r="H347" s="40" t="str">
        <f>IF(tblMovimientos[[#This Row],[SKU]]="","",IFERROR(INDEX(tblProductos[Unidad],MATCH(tblMovimientos[[#This Row],[SKU]],tblProductos[SKU],0)),"?"))</f>
        <v/>
      </c>
      <c r="I347" s="39"/>
      <c r="J347" s="47" t="str">
        <f>IF(tblMovimientos[[#This Row],[Tipo]]="","",IFERROR(INDEX(tblTiposMov[FactorStock],MATCH(tblMovimientos[[#This Row],[Tipo]],tblTiposMov[Tipo],0)),0))</f>
        <v/>
      </c>
      <c r="K3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" s="37"/>
      <c r="O347" s="37"/>
      <c r="P347" s="37"/>
    </row>
    <row r="348" spans="2:16" x14ac:dyDescent="0.25">
      <c r="B3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" s="46"/>
      <c r="D348" s="37"/>
      <c r="E348" s="37"/>
      <c r="F348" s="37"/>
      <c r="G348" s="40" t="str">
        <f>IF(tblMovimientos[[#This Row],[Producto]]="","",TRIM(LEFT(tblMovimientos[[#This Row],[Producto]],FIND(" · ",tblMovimientos[[#This Row],[Producto]]&amp;" · ")-1)))</f>
        <v/>
      </c>
      <c r="H348" s="40" t="str">
        <f>IF(tblMovimientos[[#This Row],[SKU]]="","",IFERROR(INDEX(tblProductos[Unidad],MATCH(tblMovimientos[[#This Row],[SKU]],tblProductos[SKU],0)),"?"))</f>
        <v/>
      </c>
      <c r="I348" s="39"/>
      <c r="J348" s="47" t="str">
        <f>IF(tblMovimientos[[#This Row],[Tipo]]="","",IFERROR(INDEX(tblTiposMov[FactorStock],MATCH(tblMovimientos[[#This Row],[Tipo]],tblTiposMov[Tipo],0)),0))</f>
        <v/>
      </c>
      <c r="K3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" s="37"/>
      <c r="O348" s="37"/>
      <c r="P348" s="37"/>
    </row>
    <row r="349" spans="2:16" x14ac:dyDescent="0.25">
      <c r="B3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" s="46"/>
      <c r="D349" s="37"/>
      <c r="E349" s="37"/>
      <c r="F349" s="37"/>
      <c r="G349" s="40" t="str">
        <f>IF(tblMovimientos[[#This Row],[Producto]]="","",TRIM(LEFT(tblMovimientos[[#This Row],[Producto]],FIND(" · ",tblMovimientos[[#This Row],[Producto]]&amp;" · ")-1)))</f>
        <v/>
      </c>
      <c r="H349" s="40" t="str">
        <f>IF(tblMovimientos[[#This Row],[SKU]]="","",IFERROR(INDEX(tblProductos[Unidad],MATCH(tblMovimientos[[#This Row],[SKU]],tblProductos[SKU],0)),"?"))</f>
        <v/>
      </c>
      <c r="I349" s="39"/>
      <c r="J349" s="47" t="str">
        <f>IF(tblMovimientos[[#This Row],[Tipo]]="","",IFERROR(INDEX(tblTiposMov[FactorStock],MATCH(tblMovimientos[[#This Row],[Tipo]],tblTiposMov[Tipo],0)),0))</f>
        <v/>
      </c>
      <c r="K3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" s="37"/>
      <c r="O349" s="37"/>
      <c r="P349" s="37"/>
    </row>
    <row r="350" spans="2:16" x14ac:dyDescent="0.25">
      <c r="B3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" s="46"/>
      <c r="D350" s="37"/>
      <c r="E350" s="37"/>
      <c r="F350" s="37"/>
      <c r="G350" s="40" t="str">
        <f>IF(tblMovimientos[[#This Row],[Producto]]="","",TRIM(LEFT(tblMovimientos[[#This Row],[Producto]],FIND(" · ",tblMovimientos[[#This Row],[Producto]]&amp;" · ")-1)))</f>
        <v/>
      </c>
      <c r="H350" s="40" t="str">
        <f>IF(tblMovimientos[[#This Row],[SKU]]="","",IFERROR(INDEX(tblProductos[Unidad],MATCH(tblMovimientos[[#This Row],[SKU]],tblProductos[SKU],0)),"?"))</f>
        <v/>
      </c>
      <c r="I350" s="39"/>
      <c r="J350" s="47" t="str">
        <f>IF(tblMovimientos[[#This Row],[Tipo]]="","",IFERROR(INDEX(tblTiposMov[FactorStock],MATCH(tblMovimientos[[#This Row],[Tipo]],tblTiposMov[Tipo],0)),0))</f>
        <v/>
      </c>
      <c r="K3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" s="37"/>
      <c r="O350" s="37"/>
      <c r="P350" s="37"/>
    </row>
    <row r="351" spans="2:16" x14ac:dyDescent="0.25">
      <c r="B3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" s="46"/>
      <c r="D351" s="37"/>
      <c r="E351" s="37"/>
      <c r="F351" s="37"/>
      <c r="G351" s="40" t="str">
        <f>IF(tblMovimientos[[#This Row],[Producto]]="","",TRIM(LEFT(tblMovimientos[[#This Row],[Producto]],FIND(" · ",tblMovimientos[[#This Row],[Producto]]&amp;" · ")-1)))</f>
        <v/>
      </c>
      <c r="H351" s="40" t="str">
        <f>IF(tblMovimientos[[#This Row],[SKU]]="","",IFERROR(INDEX(tblProductos[Unidad],MATCH(tblMovimientos[[#This Row],[SKU]],tblProductos[SKU],0)),"?"))</f>
        <v/>
      </c>
      <c r="I351" s="39"/>
      <c r="J351" s="47" t="str">
        <f>IF(tblMovimientos[[#This Row],[Tipo]]="","",IFERROR(INDEX(tblTiposMov[FactorStock],MATCH(tblMovimientos[[#This Row],[Tipo]],tblTiposMov[Tipo],0)),0))</f>
        <v/>
      </c>
      <c r="K3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" s="37"/>
      <c r="O351" s="37"/>
      <c r="P351" s="37"/>
    </row>
    <row r="352" spans="2:16" x14ac:dyDescent="0.25">
      <c r="B3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" s="46"/>
      <c r="D352" s="37"/>
      <c r="E352" s="37"/>
      <c r="F352" s="37"/>
      <c r="G352" s="40" t="str">
        <f>IF(tblMovimientos[[#This Row],[Producto]]="","",TRIM(LEFT(tblMovimientos[[#This Row],[Producto]],FIND(" · ",tblMovimientos[[#This Row],[Producto]]&amp;" · ")-1)))</f>
        <v/>
      </c>
      <c r="H352" s="40" t="str">
        <f>IF(tblMovimientos[[#This Row],[SKU]]="","",IFERROR(INDEX(tblProductos[Unidad],MATCH(tblMovimientos[[#This Row],[SKU]],tblProductos[SKU],0)),"?"))</f>
        <v/>
      </c>
      <c r="I352" s="39"/>
      <c r="J352" s="47" t="str">
        <f>IF(tblMovimientos[[#This Row],[Tipo]]="","",IFERROR(INDEX(tblTiposMov[FactorStock],MATCH(tblMovimientos[[#This Row],[Tipo]],tblTiposMov[Tipo],0)),0))</f>
        <v/>
      </c>
      <c r="K3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" s="37"/>
      <c r="O352" s="37"/>
      <c r="P352" s="37"/>
    </row>
    <row r="353" spans="2:16" x14ac:dyDescent="0.25">
      <c r="B3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" s="46"/>
      <c r="D353" s="37"/>
      <c r="E353" s="37"/>
      <c r="F353" s="37"/>
      <c r="G353" s="40" t="str">
        <f>IF(tblMovimientos[[#This Row],[Producto]]="","",TRIM(LEFT(tblMovimientos[[#This Row],[Producto]],FIND(" · ",tblMovimientos[[#This Row],[Producto]]&amp;" · ")-1)))</f>
        <v/>
      </c>
      <c r="H353" s="40" t="str">
        <f>IF(tblMovimientos[[#This Row],[SKU]]="","",IFERROR(INDEX(tblProductos[Unidad],MATCH(tblMovimientos[[#This Row],[SKU]],tblProductos[SKU],0)),"?"))</f>
        <v/>
      </c>
      <c r="I353" s="39"/>
      <c r="J353" s="47" t="str">
        <f>IF(tblMovimientos[[#This Row],[Tipo]]="","",IFERROR(INDEX(tblTiposMov[FactorStock],MATCH(tblMovimientos[[#This Row],[Tipo]],tblTiposMov[Tipo],0)),0))</f>
        <v/>
      </c>
      <c r="K3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" s="37"/>
      <c r="O353" s="37"/>
      <c r="P353" s="37"/>
    </row>
    <row r="354" spans="2:16" x14ac:dyDescent="0.25">
      <c r="B3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" s="46"/>
      <c r="D354" s="37"/>
      <c r="E354" s="37"/>
      <c r="F354" s="37"/>
      <c r="G354" s="40" t="str">
        <f>IF(tblMovimientos[[#This Row],[Producto]]="","",TRIM(LEFT(tblMovimientos[[#This Row],[Producto]],FIND(" · ",tblMovimientos[[#This Row],[Producto]]&amp;" · ")-1)))</f>
        <v/>
      </c>
      <c r="H354" s="40" t="str">
        <f>IF(tblMovimientos[[#This Row],[SKU]]="","",IFERROR(INDEX(tblProductos[Unidad],MATCH(tblMovimientos[[#This Row],[SKU]],tblProductos[SKU],0)),"?"))</f>
        <v/>
      </c>
      <c r="I354" s="39"/>
      <c r="J354" s="47" t="str">
        <f>IF(tblMovimientos[[#This Row],[Tipo]]="","",IFERROR(INDEX(tblTiposMov[FactorStock],MATCH(tblMovimientos[[#This Row],[Tipo]],tblTiposMov[Tipo],0)),0))</f>
        <v/>
      </c>
      <c r="K3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" s="37"/>
      <c r="O354" s="37"/>
      <c r="P354" s="37"/>
    </row>
    <row r="355" spans="2:16" x14ac:dyDescent="0.25">
      <c r="B3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" s="46"/>
      <c r="D355" s="37"/>
      <c r="E355" s="37"/>
      <c r="F355" s="37"/>
      <c r="G355" s="40" t="str">
        <f>IF(tblMovimientos[[#This Row],[Producto]]="","",TRIM(LEFT(tblMovimientos[[#This Row],[Producto]],FIND(" · ",tblMovimientos[[#This Row],[Producto]]&amp;" · ")-1)))</f>
        <v/>
      </c>
      <c r="H355" s="40" t="str">
        <f>IF(tblMovimientos[[#This Row],[SKU]]="","",IFERROR(INDEX(tblProductos[Unidad],MATCH(tblMovimientos[[#This Row],[SKU]],tblProductos[SKU],0)),"?"))</f>
        <v/>
      </c>
      <c r="I355" s="39"/>
      <c r="J355" s="47" t="str">
        <f>IF(tblMovimientos[[#This Row],[Tipo]]="","",IFERROR(INDEX(tblTiposMov[FactorStock],MATCH(tblMovimientos[[#This Row],[Tipo]],tblTiposMov[Tipo],0)),0))</f>
        <v/>
      </c>
      <c r="K3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" s="37"/>
      <c r="O355" s="37"/>
      <c r="P355" s="37"/>
    </row>
    <row r="356" spans="2:16" x14ac:dyDescent="0.25">
      <c r="B3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" s="46"/>
      <c r="D356" s="37"/>
      <c r="E356" s="37"/>
      <c r="F356" s="37"/>
      <c r="G356" s="40" t="str">
        <f>IF(tblMovimientos[[#This Row],[Producto]]="","",TRIM(LEFT(tblMovimientos[[#This Row],[Producto]],FIND(" · ",tblMovimientos[[#This Row],[Producto]]&amp;" · ")-1)))</f>
        <v/>
      </c>
      <c r="H356" s="40" t="str">
        <f>IF(tblMovimientos[[#This Row],[SKU]]="","",IFERROR(INDEX(tblProductos[Unidad],MATCH(tblMovimientos[[#This Row],[SKU]],tblProductos[SKU],0)),"?"))</f>
        <v/>
      </c>
      <c r="I356" s="39"/>
      <c r="J356" s="47" t="str">
        <f>IF(tblMovimientos[[#This Row],[Tipo]]="","",IFERROR(INDEX(tblTiposMov[FactorStock],MATCH(tblMovimientos[[#This Row],[Tipo]],tblTiposMov[Tipo],0)),0))</f>
        <v/>
      </c>
      <c r="K3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" s="37"/>
      <c r="O356" s="37"/>
      <c r="P356" s="37"/>
    </row>
    <row r="357" spans="2:16" x14ac:dyDescent="0.25">
      <c r="B3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" s="46"/>
      <c r="D357" s="37"/>
      <c r="E357" s="37"/>
      <c r="F357" s="37"/>
      <c r="G357" s="40" t="str">
        <f>IF(tblMovimientos[[#This Row],[Producto]]="","",TRIM(LEFT(tblMovimientos[[#This Row],[Producto]],FIND(" · ",tblMovimientos[[#This Row],[Producto]]&amp;" · ")-1)))</f>
        <v/>
      </c>
      <c r="H357" s="40" t="str">
        <f>IF(tblMovimientos[[#This Row],[SKU]]="","",IFERROR(INDEX(tblProductos[Unidad],MATCH(tblMovimientos[[#This Row],[SKU]],tblProductos[SKU],0)),"?"))</f>
        <v/>
      </c>
      <c r="I357" s="39"/>
      <c r="J357" s="47" t="str">
        <f>IF(tblMovimientos[[#This Row],[Tipo]]="","",IFERROR(INDEX(tblTiposMov[FactorStock],MATCH(tblMovimientos[[#This Row],[Tipo]],tblTiposMov[Tipo],0)),0))</f>
        <v/>
      </c>
      <c r="K3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" s="37"/>
      <c r="O357" s="37"/>
      <c r="P357" s="37"/>
    </row>
    <row r="358" spans="2:16" x14ac:dyDescent="0.25">
      <c r="B3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" s="46"/>
      <c r="D358" s="37"/>
      <c r="E358" s="37"/>
      <c r="F358" s="37"/>
      <c r="G358" s="40" t="str">
        <f>IF(tblMovimientos[[#This Row],[Producto]]="","",TRIM(LEFT(tblMovimientos[[#This Row],[Producto]],FIND(" · ",tblMovimientos[[#This Row],[Producto]]&amp;" · ")-1)))</f>
        <v/>
      </c>
      <c r="H358" s="40" t="str">
        <f>IF(tblMovimientos[[#This Row],[SKU]]="","",IFERROR(INDEX(tblProductos[Unidad],MATCH(tblMovimientos[[#This Row],[SKU]],tblProductos[SKU],0)),"?"))</f>
        <v/>
      </c>
      <c r="I358" s="39"/>
      <c r="J358" s="47" t="str">
        <f>IF(tblMovimientos[[#This Row],[Tipo]]="","",IFERROR(INDEX(tblTiposMov[FactorStock],MATCH(tblMovimientos[[#This Row],[Tipo]],tblTiposMov[Tipo],0)),0))</f>
        <v/>
      </c>
      <c r="K3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" s="37"/>
      <c r="O358" s="37"/>
      <c r="P358" s="37"/>
    </row>
    <row r="359" spans="2:16" x14ac:dyDescent="0.25">
      <c r="B3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" s="46"/>
      <c r="D359" s="37"/>
      <c r="E359" s="37"/>
      <c r="F359" s="37"/>
      <c r="G359" s="40" t="str">
        <f>IF(tblMovimientos[[#This Row],[Producto]]="","",TRIM(LEFT(tblMovimientos[[#This Row],[Producto]],FIND(" · ",tblMovimientos[[#This Row],[Producto]]&amp;" · ")-1)))</f>
        <v/>
      </c>
      <c r="H359" s="40" t="str">
        <f>IF(tblMovimientos[[#This Row],[SKU]]="","",IFERROR(INDEX(tblProductos[Unidad],MATCH(tblMovimientos[[#This Row],[SKU]],tblProductos[SKU],0)),"?"))</f>
        <v/>
      </c>
      <c r="I359" s="39"/>
      <c r="J359" s="47" t="str">
        <f>IF(tblMovimientos[[#This Row],[Tipo]]="","",IFERROR(INDEX(tblTiposMov[FactorStock],MATCH(tblMovimientos[[#This Row],[Tipo]],tblTiposMov[Tipo],0)),0))</f>
        <v/>
      </c>
      <c r="K3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" s="37"/>
      <c r="O359" s="37"/>
      <c r="P359" s="37"/>
    </row>
    <row r="360" spans="2:16" x14ac:dyDescent="0.25">
      <c r="B3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" s="46"/>
      <c r="D360" s="37"/>
      <c r="E360" s="37"/>
      <c r="F360" s="37"/>
      <c r="G360" s="40" t="str">
        <f>IF(tblMovimientos[[#This Row],[Producto]]="","",TRIM(LEFT(tblMovimientos[[#This Row],[Producto]],FIND(" · ",tblMovimientos[[#This Row],[Producto]]&amp;" · ")-1)))</f>
        <v/>
      </c>
      <c r="H360" s="40" t="str">
        <f>IF(tblMovimientos[[#This Row],[SKU]]="","",IFERROR(INDEX(tblProductos[Unidad],MATCH(tblMovimientos[[#This Row],[SKU]],tblProductos[SKU],0)),"?"))</f>
        <v/>
      </c>
      <c r="I360" s="39"/>
      <c r="J360" s="47" t="str">
        <f>IF(tblMovimientos[[#This Row],[Tipo]]="","",IFERROR(INDEX(tblTiposMov[FactorStock],MATCH(tblMovimientos[[#This Row],[Tipo]],tblTiposMov[Tipo],0)),0))</f>
        <v/>
      </c>
      <c r="K3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" s="37"/>
      <c r="O360" s="37"/>
      <c r="P360" s="37"/>
    </row>
    <row r="361" spans="2:16" x14ac:dyDescent="0.25">
      <c r="B3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" s="46"/>
      <c r="D361" s="37"/>
      <c r="E361" s="37"/>
      <c r="F361" s="37"/>
      <c r="G361" s="40" t="str">
        <f>IF(tblMovimientos[[#This Row],[Producto]]="","",TRIM(LEFT(tblMovimientos[[#This Row],[Producto]],FIND(" · ",tblMovimientos[[#This Row],[Producto]]&amp;" · ")-1)))</f>
        <v/>
      </c>
      <c r="H361" s="40" t="str">
        <f>IF(tblMovimientos[[#This Row],[SKU]]="","",IFERROR(INDEX(tblProductos[Unidad],MATCH(tblMovimientos[[#This Row],[SKU]],tblProductos[SKU],0)),"?"))</f>
        <v/>
      </c>
      <c r="I361" s="39"/>
      <c r="J361" s="47" t="str">
        <f>IF(tblMovimientos[[#This Row],[Tipo]]="","",IFERROR(INDEX(tblTiposMov[FactorStock],MATCH(tblMovimientos[[#This Row],[Tipo]],tblTiposMov[Tipo],0)),0))</f>
        <v/>
      </c>
      <c r="K3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" s="37"/>
      <c r="O361" s="37"/>
      <c r="P361" s="37"/>
    </row>
    <row r="362" spans="2:16" x14ac:dyDescent="0.25">
      <c r="B3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" s="46"/>
      <c r="D362" s="37"/>
      <c r="E362" s="37"/>
      <c r="F362" s="37"/>
      <c r="G362" s="40" t="str">
        <f>IF(tblMovimientos[[#This Row],[Producto]]="","",TRIM(LEFT(tblMovimientos[[#This Row],[Producto]],FIND(" · ",tblMovimientos[[#This Row],[Producto]]&amp;" · ")-1)))</f>
        <v/>
      </c>
      <c r="H362" s="40" t="str">
        <f>IF(tblMovimientos[[#This Row],[SKU]]="","",IFERROR(INDEX(tblProductos[Unidad],MATCH(tblMovimientos[[#This Row],[SKU]],tblProductos[SKU],0)),"?"))</f>
        <v/>
      </c>
      <c r="I362" s="39"/>
      <c r="J362" s="47" t="str">
        <f>IF(tblMovimientos[[#This Row],[Tipo]]="","",IFERROR(INDEX(tblTiposMov[FactorStock],MATCH(tblMovimientos[[#This Row],[Tipo]],tblTiposMov[Tipo],0)),0))</f>
        <v/>
      </c>
      <c r="K3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" s="37"/>
      <c r="O362" s="37"/>
      <c r="P362" s="37"/>
    </row>
    <row r="363" spans="2:16" x14ac:dyDescent="0.25">
      <c r="B3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" s="46"/>
      <c r="D363" s="37"/>
      <c r="E363" s="37"/>
      <c r="F363" s="37"/>
      <c r="G363" s="40" t="str">
        <f>IF(tblMovimientos[[#This Row],[Producto]]="","",TRIM(LEFT(tblMovimientos[[#This Row],[Producto]],FIND(" · ",tblMovimientos[[#This Row],[Producto]]&amp;" · ")-1)))</f>
        <v/>
      </c>
      <c r="H363" s="40" t="str">
        <f>IF(tblMovimientos[[#This Row],[SKU]]="","",IFERROR(INDEX(tblProductos[Unidad],MATCH(tblMovimientos[[#This Row],[SKU]],tblProductos[SKU],0)),"?"))</f>
        <v/>
      </c>
      <c r="I363" s="39"/>
      <c r="J363" s="47" t="str">
        <f>IF(tblMovimientos[[#This Row],[Tipo]]="","",IFERROR(INDEX(tblTiposMov[FactorStock],MATCH(tblMovimientos[[#This Row],[Tipo]],tblTiposMov[Tipo],0)),0))</f>
        <v/>
      </c>
      <c r="K3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" s="37"/>
      <c r="O363" s="37"/>
      <c r="P363" s="37"/>
    </row>
    <row r="364" spans="2:16" x14ac:dyDescent="0.25">
      <c r="B3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" s="46"/>
      <c r="D364" s="37"/>
      <c r="E364" s="37"/>
      <c r="F364" s="37"/>
      <c r="G364" s="40" t="str">
        <f>IF(tblMovimientos[[#This Row],[Producto]]="","",TRIM(LEFT(tblMovimientos[[#This Row],[Producto]],FIND(" · ",tblMovimientos[[#This Row],[Producto]]&amp;" · ")-1)))</f>
        <v/>
      </c>
      <c r="H364" s="40" t="str">
        <f>IF(tblMovimientos[[#This Row],[SKU]]="","",IFERROR(INDEX(tblProductos[Unidad],MATCH(tblMovimientos[[#This Row],[SKU]],tblProductos[SKU],0)),"?"))</f>
        <v/>
      </c>
      <c r="I364" s="39"/>
      <c r="J364" s="47" t="str">
        <f>IF(tblMovimientos[[#This Row],[Tipo]]="","",IFERROR(INDEX(tblTiposMov[FactorStock],MATCH(tblMovimientos[[#This Row],[Tipo]],tblTiposMov[Tipo],0)),0))</f>
        <v/>
      </c>
      <c r="K3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" s="37"/>
      <c r="O364" s="37"/>
      <c r="P364" s="37"/>
    </row>
    <row r="365" spans="2:16" x14ac:dyDescent="0.25">
      <c r="B3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" s="46"/>
      <c r="D365" s="37"/>
      <c r="E365" s="37"/>
      <c r="F365" s="37"/>
      <c r="G365" s="40" t="str">
        <f>IF(tblMovimientos[[#This Row],[Producto]]="","",TRIM(LEFT(tblMovimientos[[#This Row],[Producto]],FIND(" · ",tblMovimientos[[#This Row],[Producto]]&amp;" · ")-1)))</f>
        <v/>
      </c>
      <c r="H365" s="40" t="str">
        <f>IF(tblMovimientos[[#This Row],[SKU]]="","",IFERROR(INDEX(tblProductos[Unidad],MATCH(tblMovimientos[[#This Row],[SKU]],tblProductos[SKU],0)),"?"))</f>
        <v/>
      </c>
      <c r="I365" s="39"/>
      <c r="J365" s="47" t="str">
        <f>IF(tblMovimientos[[#This Row],[Tipo]]="","",IFERROR(INDEX(tblTiposMov[FactorStock],MATCH(tblMovimientos[[#This Row],[Tipo]],tblTiposMov[Tipo],0)),0))</f>
        <v/>
      </c>
      <c r="K3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" s="37"/>
      <c r="O365" s="37"/>
      <c r="P365" s="37"/>
    </row>
    <row r="366" spans="2:16" x14ac:dyDescent="0.25">
      <c r="B3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" s="46"/>
      <c r="D366" s="37"/>
      <c r="E366" s="37"/>
      <c r="F366" s="37"/>
      <c r="G366" s="40" t="str">
        <f>IF(tblMovimientos[[#This Row],[Producto]]="","",TRIM(LEFT(tblMovimientos[[#This Row],[Producto]],FIND(" · ",tblMovimientos[[#This Row],[Producto]]&amp;" · ")-1)))</f>
        <v/>
      </c>
      <c r="H366" s="40" t="str">
        <f>IF(tblMovimientos[[#This Row],[SKU]]="","",IFERROR(INDEX(tblProductos[Unidad],MATCH(tblMovimientos[[#This Row],[SKU]],tblProductos[SKU],0)),"?"))</f>
        <v/>
      </c>
      <c r="I366" s="39"/>
      <c r="J366" s="47" t="str">
        <f>IF(tblMovimientos[[#This Row],[Tipo]]="","",IFERROR(INDEX(tblTiposMov[FactorStock],MATCH(tblMovimientos[[#This Row],[Tipo]],tblTiposMov[Tipo],0)),0))</f>
        <v/>
      </c>
      <c r="K3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" s="37"/>
      <c r="O366" s="37"/>
      <c r="P366" s="37"/>
    </row>
    <row r="367" spans="2:16" x14ac:dyDescent="0.25">
      <c r="B3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" s="46"/>
      <c r="D367" s="37"/>
      <c r="E367" s="37"/>
      <c r="F367" s="37"/>
      <c r="G367" s="40" t="str">
        <f>IF(tblMovimientos[[#This Row],[Producto]]="","",TRIM(LEFT(tblMovimientos[[#This Row],[Producto]],FIND(" · ",tblMovimientos[[#This Row],[Producto]]&amp;" · ")-1)))</f>
        <v/>
      </c>
      <c r="H367" s="40" t="str">
        <f>IF(tblMovimientos[[#This Row],[SKU]]="","",IFERROR(INDEX(tblProductos[Unidad],MATCH(tblMovimientos[[#This Row],[SKU]],tblProductos[SKU],0)),"?"))</f>
        <v/>
      </c>
      <c r="I367" s="39"/>
      <c r="J367" s="47" t="str">
        <f>IF(tblMovimientos[[#This Row],[Tipo]]="","",IFERROR(INDEX(tblTiposMov[FactorStock],MATCH(tblMovimientos[[#This Row],[Tipo]],tblTiposMov[Tipo],0)),0))</f>
        <v/>
      </c>
      <c r="K3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" s="37"/>
      <c r="O367" s="37"/>
      <c r="P367" s="37"/>
    </row>
    <row r="368" spans="2:16" x14ac:dyDescent="0.25">
      <c r="B3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" s="46"/>
      <c r="D368" s="37"/>
      <c r="E368" s="37"/>
      <c r="F368" s="37"/>
      <c r="G368" s="40" t="str">
        <f>IF(tblMovimientos[[#This Row],[Producto]]="","",TRIM(LEFT(tblMovimientos[[#This Row],[Producto]],FIND(" · ",tblMovimientos[[#This Row],[Producto]]&amp;" · ")-1)))</f>
        <v/>
      </c>
      <c r="H368" s="40" t="str">
        <f>IF(tblMovimientos[[#This Row],[SKU]]="","",IFERROR(INDEX(tblProductos[Unidad],MATCH(tblMovimientos[[#This Row],[SKU]],tblProductos[SKU],0)),"?"))</f>
        <v/>
      </c>
      <c r="I368" s="39"/>
      <c r="J368" s="47" t="str">
        <f>IF(tblMovimientos[[#This Row],[Tipo]]="","",IFERROR(INDEX(tblTiposMov[FactorStock],MATCH(tblMovimientos[[#This Row],[Tipo]],tblTiposMov[Tipo],0)),0))</f>
        <v/>
      </c>
      <c r="K3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" s="37"/>
      <c r="O368" s="37"/>
      <c r="P368" s="37"/>
    </row>
    <row r="369" spans="2:16" x14ac:dyDescent="0.25">
      <c r="B3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" s="46"/>
      <c r="D369" s="37"/>
      <c r="E369" s="37"/>
      <c r="F369" s="37"/>
      <c r="G369" s="40" t="str">
        <f>IF(tblMovimientos[[#This Row],[Producto]]="","",TRIM(LEFT(tblMovimientos[[#This Row],[Producto]],FIND(" · ",tblMovimientos[[#This Row],[Producto]]&amp;" · ")-1)))</f>
        <v/>
      </c>
      <c r="H369" s="40" t="str">
        <f>IF(tblMovimientos[[#This Row],[SKU]]="","",IFERROR(INDEX(tblProductos[Unidad],MATCH(tblMovimientos[[#This Row],[SKU]],tblProductos[SKU],0)),"?"))</f>
        <v/>
      </c>
      <c r="I369" s="39"/>
      <c r="J369" s="47" t="str">
        <f>IF(tblMovimientos[[#This Row],[Tipo]]="","",IFERROR(INDEX(tblTiposMov[FactorStock],MATCH(tblMovimientos[[#This Row],[Tipo]],tblTiposMov[Tipo],0)),0))</f>
        <v/>
      </c>
      <c r="K3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" s="37"/>
      <c r="O369" s="37"/>
      <c r="P369" s="37"/>
    </row>
    <row r="370" spans="2:16" x14ac:dyDescent="0.25">
      <c r="B3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" s="46"/>
      <c r="D370" s="37"/>
      <c r="E370" s="37"/>
      <c r="F370" s="37"/>
      <c r="G370" s="40" t="str">
        <f>IF(tblMovimientos[[#This Row],[Producto]]="","",TRIM(LEFT(tblMovimientos[[#This Row],[Producto]],FIND(" · ",tblMovimientos[[#This Row],[Producto]]&amp;" · ")-1)))</f>
        <v/>
      </c>
      <c r="H370" s="40" t="str">
        <f>IF(tblMovimientos[[#This Row],[SKU]]="","",IFERROR(INDEX(tblProductos[Unidad],MATCH(tblMovimientos[[#This Row],[SKU]],tblProductos[SKU],0)),"?"))</f>
        <v/>
      </c>
      <c r="I370" s="39"/>
      <c r="J370" s="47" t="str">
        <f>IF(tblMovimientos[[#This Row],[Tipo]]="","",IFERROR(INDEX(tblTiposMov[FactorStock],MATCH(tblMovimientos[[#This Row],[Tipo]],tblTiposMov[Tipo],0)),0))</f>
        <v/>
      </c>
      <c r="K3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" s="37"/>
      <c r="O370" s="37"/>
      <c r="P370" s="37"/>
    </row>
    <row r="371" spans="2:16" x14ac:dyDescent="0.25">
      <c r="B3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" s="46"/>
      <c r="D371" s="37"/>
      <c r="E371" s="37"/>
      <c r="F371" s="37"/>
      <c r="G371" s="40" t="str">
        <f>IF(tblMovimientos[[#This Row],[Producto]]="","",TRIM(LEFT(tblMovimientos[[#This Row],[Producto]],FIND(" · ",tblMovimientos[[#This Row],[Producto]]&amp;" · ")-1)))</f>
        <v/>
      </c>
      <c r="H371" s="40" t="str">
        <f>IF(tblMovimientos[[#This Row],[SKU]]="","",IFERROR(INDEX(tblProductos[Unidad],MATCH(tblMovimientos[[#This Row],[SKU]],tblProductos[SKU],0)),"?"))</f>
        <v/>
      </c>
      <c r="I371" s="39"/>
      <c r="J371" s="47" t="str">
        <f>IF(tblMovimientos[[#This Row],[Tipo]]="","",IFERROR(INDEX(tblTiposMov[FactorStock],MATCH(tblMovimientos[[#This Row],[Tipo]],tblTiposMov[Tipo],0)),0))</f>
        <v/>
      </c>
      <c r="K3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" s="37"/>
      <c r="O371" s="37"/>
      <c r="P371" s="37"/>
    </row>
    <row r="372" spans="2:16" x14ac:dyDescent="0.25">
      <c r="B3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" s="46"/>
      <c r="D372" s="37"/>
      <c r="E372" s="37"/>
      <c r="F372" s="37"/>
      <c r="G372" s="40" t="str">
        <f>IF(tblMovimientos[[#This Row],[Producto]]="","",TRIM(LEFT(tblMovimientos[[#This Row],[Producto]],FIND(" · ",tblMovimientos[[#This Row],[Producto]]&amp;" · ")-1)))</f>
        <v/>
      </c>
      <c r="H372" s="40" t="str">
        <f>IF(tblMovimientos[[#This Row],[SKU]]="","",IFERROR(INDEX(tblProductos[Unidad],MATCH(tblMovimientos[[#This Row],[SKU]],tblProductos[SKU],0)),"?"))</f>
        <v/>
      </c>
      <c r="I372" s="39"/>
      <c r="J372" s="47" t="str">
        <f>IF(tblMovimientos[[#This Row],[Tipo]]="","",IFERROR(INDEX(tblTiposMov[FactorStock],MATCH(tblMovimientos[[#This Row],[Tipo]],tblTiposMov[Tipo],0)),0))</f>
        <v/>
      </c>
      <c r="K3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" s="37"/>
      <c r="O372" s="37"/>
      <c r="P372" s="37"/>
    </row>
    <row r="373" spans="2:16" x14ac:dyDescent="0.25">
      <c r="B3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" s="46"/>
      <c r="D373" s="37"/>
      <c r="E373" s="37"/>
      <c r="F373" s="37"/>
      <c r="G373" s="40" t="str">
        <f>IF(tblMovimientos[[#This Row],[Producto]]="","",TRIM(LEFT(tblMovimientos[[#This Row],[Producto]],FIND(" · ",tblMovimientos[[#This Row],[Producto]]&amp;" · ")-1)))</f>
        <v/>
      </c>
      <c r="H373" s="40" t="str">
        <f>IF(tblMovimientos[[#This Row],[SKU]]="","",IFERROR(INDEX(tblProductos[Unidad],MATCH(tblMovimientos[[#This Row],[SKU]],tblProductos[SKU],0)),"?"))</f>
        <v/>
      </c>
      <c r="I373" s="39"/>
      <c r="J373" s="47" t="str">
        <f>IF(tblMovimientos[[#This Row],[Tipo]]="","",IFERROR(INDEX(tblTiposMov[FactorStock],MATCH(tblMovimientos[[#This Row],[Tipo]],tblTiposMov[Tipo],0)),0))</f>
        <v/>
      </c>
      <c r="K3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" s="37"/>
      <c r="O373" s="37"/>
      <c r="P373" s="37"/>
    </row>
    <row r="374" spans="2:16" x14ac:dyDescent="0.25">
      <c r="B3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" s="46"/>
      <c r="D374" s="37"/>
      <c r="E374" s="37"/>
      <c r="F374" s="37"/>
      <c r="G374" s="40" t="str">
        <f>IF(tblMovimientos[[#This Row],[Producto]]="","",TRIM(LEFT(tblMovimientos[[#This Row],[Producto]],FIND(" · ",tblMovimientos[[#This Row],[Producto]]&amp;" · ")-1)))</f>
        <v/>
      </c>
      <c r="H374" s="40" t="str">
        <f>IF(tblMovimientos[[#This Row],[SKU]]="","",IFERROR(INDEX(tblProductos[Unidad],MATCH(tblMovimientos[[#This Row],[SKU]],tblProductos[SKU],0)),"?"))</f>
        <v/>
      </c>
      <c r="I374" s="39"/>
      <c r="J374" s="47" t="str">
        <f>IF(tblMovimientos[[#This Row],[Tipo]]="","",IFERROR(INDEX(tblTiposMov[FactorStock],MATCH(tblMovimientos[[#This Row],[Tipo]],tblTiposMov[Tipo],0)),0))</f>
        <v/>
      </c>
      <c r="K3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" s="37"/>
      <c r="O374" s="37"/>
      <c r="P374" s="37"/>
    </row>
    <row r="375" spans="2:16" x14ac:dyDescent="0.25">
      <c r="B3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" s="46"/>
      <c r="D375" s="37"/>
      <c r="E375" s="37"/>
      <c r="F375" s="37"/>
      <c r="G375" s="40" t="str">
        <f>IF(tblMovimientos[[#This Row],[Producto]]="","",TRIM(LEFT(tblMovimientos[[#This Row],[Producto]],FIND(" · ",tblMovimientos[[#This Row],[Producto]]&amp;" · ")-1)))</f>
        <v/>
      </c>
      <c r="H375" s="40" t="str">
        <f>IF(tblMovimientos[[#This Row],[SKU]]="","",IFERROR(INDEX(tblProductos[Unidad],MATCH(tblMovimientos[[#This Row],[SKU]],tblProductos[SKU],0)),"?"))</f>
        <v/>
      </c>
      <c r="I375" s="39"/>
      <c r="J375" s="47" t="str">
        <f>IF(tblMovimientos[[#This Row],[Tipo]]="","",IFERROR(INDEX(tblTiposMov[FactorStock],MATCH(tblMovimientos[[#This Row],[Tipo]],tblTiposMov[Tipo],0)),0))</f>
        <v/>
      </c>
      <c r="K3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" s="37"/>
      <c r="O375" s="37"/>
      <c r="P375" s="37"/>
    </row>
    <row r="376" spans="2:16" x14ac:dyDescent="0.25">
      <c r="B3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" s="46"/>
      <c r="D376" s="37"/>
      <c r="E376" s="37"/>
      <c r="F376" s="37"/>
      <c r="G376" s="40" t="str">
        <f>IF(tblMovimientos[[#This Row],[Producto]]="","",TRIM(LEFT(tblMovimientos[[#This Row],[Producto]],FIND(" · ",tblMovimientos[[#This Row],[Producto]]&amp;" · ")-1)))</f>
        <v/>
      </c>
      <c r="H376" s="40" t="str">
        <f>IF(tblMovimientos[[#This Row],[SKU]]="","",IFERROR(INDEX(tblProductos[Unidad],MATCH(tblMovimientos[[#This Row],[SKU]],tblProductos[SKU],0)),"?"))</f>
        <v/>
      </c>
      <c r="I376" s="39"/>
      <c r="J376" s="47" t="str">
        <f>IF(tblMovimientos[[#This Row],[Tipo]]="","",IFERROR(INDEX(tblTiposMov[FactorStock],MATCH(tblMovimientos[[#This Row],[Tipo]],tblTiposMov[Tipo],0)),0))</f>
        <v/>
      </c>
      <c r="K3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" s="37"/>
      <c r="O376" s="37"/>
      <c r="P376" s="37"/>
    </row>
    <row r="377" spans="2:16" x14ac:dyDescent="0.25">
      <c r="B3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" s="46"/>
      <c r="D377" s="37"/>
      <c r="E377" s="37"/>
      <c r="F377" s="37"/>
      <c r="G377" s="40" t="str">
        <f>IF(tblMovimientos[[#This Row],[Producto]]="","",TRIM(LEFT(tblMovimientos[[#This Row],[Producto]],FIND(" · ",tblMovimientos[[#This Row],[Producto]]&amp;" · ")-1)))</f>
        <v/>
      </c>
      <c r="H377" s="40" t="str">
        <f>IF(tblMovimientos[[#This Row],[SKU]]="","",IFERROR(INDEX(tblProductos[Unidad],MATCH(tblMovimientos[[#This Row],[SKU]],tblProductos[SKU],0)),"?"))</f>
        <v/>
      </c>
      <c r="I377" s="39"/>
      <c r="J377" s="47" t="str">
        <f>IF(tblMovimientos[[#This Row],[Tipo]]="","",IFERROR(INDEX(tblTiposMov[FactorStock],MATCH(tblMovimientos[[#This Row],[Tipo]],tblTiposMov[Tipo],0)),0))</f>
        <v/>
      </c>
      <c r="K3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" s="37"/>
      <c r="O377" s="37"/>
      <c r="P377" s="37"/>
    </row>
    <row r="378" spans="2:16" x14ac:dyDescent="0.25">
      <c r="B3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" s="46"/>
      <c r="D378" s="37"/>
      <c r="E378" s="37"/>
      <c r="F378" s="37"/>
      <c r="G378" s="40" t="str">
        <f>IF(tblMovimientos[[#This Row],[Producto]]="","",TRIM(LEFT(tblMovimientos[[#This Row],[Producto]],FIND(" · ",tblMovimientos[[#This Row],[Producto]]&amp;" · ")-1)))</f>
        <v/>
      </c>
      <c r="H378" s="40" t="str">
        <f>IF(tblMovimientos[[#This Row],[SKU]]="","",IFERROR(INDEX(tblProductos[Unidad],MATCH(tblMovimientos[[#This Row],[SKU]],tblProductos[SKU],0)),"?"))</f>
        <v/>
      </c>
      <c r="I378" s="39"/>
      <c r="J378" s="47" t="str">
        <f>IF(tblMovimientos[[#This Row],[Tipo]]="","",IFERROR(INDEX(tblTiposMov[FactorStock],MATCH(tblMovimientos[[#This Row],[Tipo]],tblTiposMov[Tipo],0)),0))</f>
        <v/>
      </c>
      <c r="K3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" s="37"/>
      <c r="O378" s="37"/>
      <c r="P378" s="37"/>
    </row>
    <row r="379" spans="2:16" x14ac:dyDescent="0.25">
      <c r="B3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" s="46"/>
      <c r="D379" s="37"/>
      <c r="E379" s="37"/>
      <c r="F379" s="37"/>
      <c r="G379" s="40" t="str">
        <f>IF(tblMovimientos[[#This Row],[Producto]]="","",TRIM(LEFT(tblMovimientos[[#This Row],[Producto]],FIND(" · ",tblMovimientos[[#This Row],[Producto]]&amp;" · ")-1)))</f>
        <v/>
      </c>
      <c r="H379" s="40" t="str">
        <f>IF(tblMovimientos[[#This Row],[SKU]]="","",IFERROR(INDEX(tblProductos[Unidad],MATCH(tblMovimientos[[#This Row],[SKU]],tblProductos[SKU],0)),"?"))</f>
        <v/>
      </c>
      <c r="I379" s="39"/>
      <c r="J379" s="47" t="str">
        <f>IF(tblMovimientos[[#This Row],[Tipo]]="","",IFERROR(INDEX(tblTiposMov[FactorStock],MATCH(tblMovimientos[[#This Row],[Tipo]],tblTiposMov[Tipo],0)),0))</f>
        <v/>
      </c>
      <c r="K3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" s="37"/>
      <c r="O379" s="37"/>
      <c r="P379" s="37"/>
    </row>
    <row r="380" spans="2:16" x14ac:dyDescent="0.25">
      <c r="B3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" s="46"/>
      <c r="D380" s="37"/>
      <c r="E380" s="37"/>
      <c r="F380" s="37"/>
      <c r="G380" s="40" t="str">
        <f>IF(tblMovimientos[[#This Row],[Producto]]="","",TRIM(LEFT(tblMovimientos[[#This Row],[Producto]],FIND(" · ",tblMovimientos[[#This Row],[Producto]]&amp;" · ")-1)))</f>
        <v/>
      </c>
      <c r="H380" s="40" t="str">
        <f>IF(tblMovimientos[[#This Row],[SKU]]="","",IFERROR(INDEX(tblProductos[Unidad],MATCH(tblMovimientos[[#This Row],[SKU]],tblProductos[SKU],0)),"?"))</f>
        <v/>
      </c>
      <c r="I380" s="39"/>
      <c r="J380" s="47" t="str">
        <f>IF(tblMovimientos[[#This Row],[Tipo]]="","",IFERROR(INDEX(tblTiposMov[FactorStock],MATCH(tblMovimientos[[#This Row],[Tipo]],tblTiposMov[Tipo],0)),0))</f>
        <v/>
      </c>
      <c r="K3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" s="37"/>
      <c r="O380" s="37"/>
      <c r="P380" s="37"/>
    </row>
    <row r="381" spans="2:16" x14ac:dyDescent="0.25">
      <c r="B3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" s="46"/>
      <c r="D381" s="37"/>
      <c r="E381" s="37"/>
      <c r="F381" s="37"/>
      <c r="G381" s="40" t="str">
        <f>IF(tblMovimientos[[#This Row],[Producto]]="","",TRIM(LEFT(tblMovimientos[[#This Row],[Producto]],FIND(" · ",tblMovimientos[[#This Row],[Producto]]&amp;" · ")-1)))</f>
        <v/>
      </c>
      <c r="H381" s="40" t="str">
        <f>IF(tblMovimientos[[#This Row],[SKU]]="","",IFERROR(INDEX(tblProductos[Unidad],MATCH(tblMovimientos[[#This Row],[SKU]],tblProductos[SKU],0)),"?"))</f>
        <v/>
      </c>
      <c r="I381" s="39"/>
      <c r="J381" s="47" t="str">
        <f>IF(tblMovimientos[[#This Row],[Tipo]]="","",IFERROR(INDEX(tblTiposMov[FactorStock],MATCH(tblMovimientos[[#This Row],[Tipo]],tblTiposMov[Tipo],0)),0))</f>
        <v/>
      </c>
      <c r="K3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" s="37"/>
      <c r="O381" s="37"/>
      <c r="P381" s="37"/>
    </row>
    <row r="382" spans="2:16" x14ac:dyDescent="0.25">
      <c r="B3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" s="46"/>
      <c r="D382" s="37"/>
      <c r="E382" s="37"/>
      <c r="F382" s="37"/>
      <c r="G382" s="40" t="str">
        <f>IF(tblMovimientos[[#This Row],[Producto]]="","",TRIM(LEFT(tblMovimientos[[#This Row],[Producto]],FIND(" · ",tblMovimientos[[#This Row],[Producto]]&amp;" · ")-1)))</f>
        <v/>
      </c>
      <c r="H382" s="40" t="str">
        <f>IF(tblMovimientos[[#This Row],[SKU]]="","",IFERROR(INDEX(tblProductos[Unidad],MATCH(tblMovimientos[[#This Row],[SKU]],tblProductos[SKU],0)),"?"))</f>
        <v/>
      </c>
      <c r="I382" s="39"/>
      <c r="J382" s="47" t="str">
        <f>IF(tblMovimientos[[#This Row],[Tipo]]="","",IFERROR(INDEX(tblTiposMov[FactorStock],MATCH(tblMovimientos[[#This Row],[Tipo]],tblTiposMov[Tipo],0)),0))</f>
        <v/>
      </c>
      <c r="K3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" s="37"/>
      <c r="O382" s="37"/>
      <c r="P382" s="37"/>
    </row>
    <row r="383" spans="2:16" x14ac:dyDescent="0.25">
      <c r="B3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" s="46"/>
      <c r="D383" s="37"/>
      <c r="E383" s="37"/>
      <c r="F383" s="37"/>
      <c r="G383" s="40" t="str">
        <f>IF(tblMovimientos[[#This Row],[Producto]]="","",TRIM(LEFT(tblMovimientos[[#This Row],[Producto]],FIND(" · ",tblMovimientos[[#This Row],[Producto]]&amp;" · ")-1)))</f>
        <v/>
      </c>
      <c r="H383" s="40" t="str">
        <f>IF(tblMovimientos[[#This Row],[SKU]]="","",IFERROR(INDEX(tblProductos[Unidad],MATCH(tblMovimientos[[#This Row],[SKU]],tblProductos[SKU],0)),"?"))</f>
        <v/>
      </c>
      <c r="I383" s="39"/>
      <c r="J383" s="47" t="str">
        <f>IF(tblMovimientos[[#This Row],[Tipo]]="","",IFERROR(INDEX(tblTiposMov[FactorStock],MATCH(tblMovimientos[[#This Row],[Tipo]],tblTiposMov[Tipo],0)),0))</f>
        <v/>
      </c>
      <c r="K3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" s="37"/>
      <c r="O383" s="37"/>
      <c r="P383" s="37"/>
    </row>
    <row r="384" spans="2:16" x14ac:dyDescent="0.25">
      <c r="B3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" s="46"/>
      <c r="D384" s="37"/>
      <c r="E384" s="37"/>
      <c r="F384" s="37"/>
      <c r="G384" s="40" t="str">
        <f>IF(tblMovimientos[[#This Row],[Producto]]="","",TRIM(LEFT(tblMovimientos[[#This Row],[Producto]],FIND(" · ",tblMovimientos[[#This Row],[Producto]]&amp;" · ")-1)))</f>
        <v/>
      </c>
      <c r="H384" s="40" t="str">
        <f>IF(tblMovimientos[[#This Row],[SKU]]="","",IFERROR(INDEX(tblProductos[Unidad],MATCH(tblMovimientos[[#This Row],[SKU]],tblProductos[SKU],0)),"?"))</f>
        <v/>
      </c>
      <c r="I384" s="39"/>
      <c r="J384" s="47" t="str">
        <f>IF(tblMovimientos[[#This Row],[Tipo]]="","",IFERROR(INDEX(tblTiposMov[FactorStock],MATCH(tblMovimientos[[#This Row],[Tipo]],tblTiposMov[Tipo],0)),0))</f>
        <v/>
      </c>
      <c r="K3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" s="37"/>
      <c r="O384" s="37"/>
      <c r="P384" s="37"/>
    </row>
    <row r="385" spans="2:16" x14ac:dyDescent="0.25">
      <c r="B3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" s="46"/>
      <c r="D385" s="37"/>
      <c r="E385" s="37"/>
      <c r="F385" s="37"/>
      <c r="G385" s="40" t="str">
        <f>IF(tblMovimientos[[#This Row],[Producto]]="","",TRIM(LEFT(tblMovimientos[[#This Row],[Producto]],FIND(" · ",tblMovimientos[[#This Row],[Producto]]&amp;" · ")-1)))</f>
        <v/>
      </c>
      <c r="H385" s="40" t="str">
        <f>IF(tblMovimientos[[#This Row],[SKU]]="","",IFERROR(INDEX(tblProductos[Unidad],MATCH(tblMovimientos[[#This Row],[SKU]],tblProductos[SKU],0)),"?"))</f>
        <v/>
      </c>
      <c r="I385" s="39"/>
      <c r="J385" s="47" t="str">
        <f>IF(tblMovimientos[[#This Row],[Tipo]]="","",IFERROR(INDEX(tblTiposMov[FactorStock],MATCH(tblMovimientos[[#This Row],[Tipo]],tblTiposMov[Tipo],0)),0))</f>
        <v/>
      </c>
      <c r="K3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" s="37"/>
      <c r="O385" s="37"/>
      <c r="P385" s="37"/>
    </row>
    <row r="386" spans="2:16" x14ac:dyDescent="0.25">
      <c r="B3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" s="46"/>
      <c r="D386" s="37"/>
      <c r="E386" s="37"/>
      <c r="F386" s="37"/>
      <c r="G386" s="40" t="str">
        <f>IF(tblMovimientos[[#This Row],[Producto]]="","",TRIM(LEFT(tblMovimientos[[#This Row],[Producto]],FIND(" · ",tblMovimientos[[#This Row],[Producto]]&amp;" · ")-1)))</f>
        <v/>
      </c>
      <c r="H386" s="40" t="str">
        <f>IF(tblMovimientos[[#This Row],[SKU]]="","",IFERROR(INDEX(tblProductos[Unidad],MATCH(tblMovimientos[[#This Row],[SKU]],tblProductos[SKU],0)),"?"))</f>
        <v/>
      </c>
      <c r="I386" s="39"/>
      <c r="J386" s="47" t="str">
        <f>IF(tblMovimientos[[#This Row],[Tipo]]="","",IFERROR(INDEX(tblTiposMov[FactorStock],MATCH(tblMovimientos[[#This Row],[Tipo]],tblTiposMov[Tipo],0)),0))</f>
        <v/>
      </c>
      <c r="K3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" s="37"/>
      <c r="O386" s="37"/>
      <c r="P386" s="37"/>
    </row>
    <row r="387" spans="2:16" x14ac:dyDescent="0.25">
      <c r="B3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" s="46"/>
      <c r="D387" s="37"/>
      <c r="E387" s="37"/>
      <c r="F387" s="37"/>
      <c r="G387" s="40" t="str">
        <f>IF(tblMovimientos[[#This Row],[Producto]]="","",TRIM(LEFT(tblMovimientos[[#This Row],[Producto]],FIND(" · ",tblMovimientos[[#This Row],[Producto]]&amp;" · ")-1)))</f>
        <v/>
      </c>
      <c r="H387" s="40" t="str">
        <f>IF(tblMovimientos[[#This Row],[SKU]]="","",IFERROR(INDEX(tblProductos[Unidad],MATCH(tblMovimientos[[#This Row],[SKU]],tblProductos[SKU],0)),"?"))</f>
        <v/>
      </c>
      <c r="I387" s="39"/>
      <c r="J387" s="47" t="str">
        <f>IF(tblMovimientos[[#This Row],[Tipo]]="","",IFERROR(INDEX(tblTiposMov[FactorStock],MATCH(tblMovimientos[[#This Row],[Tipo]],tblTiposMov[Tipo],0)),0))</f>
        <v/>
      </c>
      <c r="K3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" s="37"/>
      <c r="O387" s="37"/>
      <c r="P387" s="37"/>
    </row>
    <row r="388" spans="2:16" x14ac:dyDescent="0.25">
      <c r="B3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" s="46"/>
      <c r="D388" s="37"/>
      <c r="E388" s="37"/>
      <c r="F388" s="37"/>
      <c r="G388" s="40" t="str">
        <f>IF(tblMovimientos[[#This Row],[Producto]]="","",TRIM(LEFT(tblMovimientos[[#This Row],[Producto]],FIND(" · ",tblMovimientos[[#This Row],[Producto]]&amp;" · ")-1)))</f>
        <v/>
      </c>
      <c r="H388" s="40" t="str">
        <f>IF(tblMovimientos[[#This Row],[SKU]]="","",IFERROR(INDEX(tblProductos[Unidad],MATCH(tblMovimientos[[#This Row],[SKU]],tblProductos[SKU],0)),"?"))</f>
        <v/>
      </c>
      <c r="I388" s="39"/>
      <c r="J388" s="47" t="str">
        <f>IF(tblMovimientos[[#This Row],[Tipo]]="","",IFERROR(INDEX(tblTiposMov[FactorStock],MATCH(tblMovimientos[[#This Row],[Tipo]],tblTiposMov[Tipo],0)),0))</f>
        <v/>
      </c>
      <c r="K3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" s="37"/>
      <c r="O388" s="37"/>
      <c r="P388" s="37"/>
    </row>
    <row r="389" spans="2:16" x14ac:dyDescent="0.25">
      <c r="B3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" s="46"/>
      <c r="D389" s="37"/>
      <c r="E389" s="37"/>
      <c r="F389" s="37"/>
      <c r="G389" s="40" t="str">
        <f>IF(tblMovimientos[[#This Row],[Producto]]="","",TRIM(LEFT(tblMovimientos[[#This Row],[Producto]],FIND(" · ",tblMovimientos[[#This Row],[Producto]]&amp;" · ")-1)))</f>
        <v/>
      </c>
      <c r="H389" s="40" t="str">
        <f>IF(tblMovimientos[[#This Row],[SKU]]="","",IFERROR(INDEX(tblProductos[Unidad],MATCH(tblMovimientos[[#This Row],[SKU]],tblProductos[SKU],0)),"?"))</f>
        <v/>
      </c>
      <c r="I389" s="39"/>
      <c r="J389" s="47" t="str">
        <f>IF(tblMovimientos[[#This Row],[Tipo]]="","",IFERROR(INDEX(tblTiposMov[FactorStock],MATCH(tblMovimientos[[#This Row],[Tipo]],tblTiposMov[Tipo],0)),0))</f>
        <v/>
      </c>
      <c r="K3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" s="37"/>
      <c r="O389" s="37"/>
      <c r="P389" s="37"/>
    </row>
    <row r="390" spans="2:16" x14ac:dyDescent="0.25">
      <c r="B3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" s="46"/>
      <c r="D390" s="37"/>
      <c r="E390" s="37"/>
      <c r="F390" s="37"/>
      <c r="G390" s="40" t="str">
        <f>IF(tblMovimientos[[#This Row],[Producto]]="","",TRIM(LEFT(tblMovimientos[[#This Row],[Producto]],FIND(" · ",tblMovimientos[[#This Row],[Producto]]&amp;" · ")-1)))</f>
        <v/>
      </c>
      <c r="H390" s="40" t="str">
        <f>IF(tblMovimientos[[#This Row],[SKU]]="","",IFERROR(INDEX(tblProductos[Unidad],MATCH(tblMovimientos[[#This Row],[SKU]],tblProductos[SKU],0)),"?"))</f>
        <v/>
      </c>
      <c r="I390" s="39"/>
      <c r="J390" s="47" t="str">
        <f>IF(tblMovimientos[[#This Row],[Tipo]]="","",IFERROR(INDEX(tblTiposMov[FactorStock],MATCH(tblMovimientos[[#This Row],[Tipo]],tblTiposMov[Tipo],0)),0))</f>
        <v/>
      </c>
      <c r="K3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" s="37"/>
      <c r="O390" s="37"/>
      <c r="P390" s="37"/>
    </row>
    <row r="391" spans="2:16" x14ac:dyDescent="0.25">
      <c r="B3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" s="46"/>
      <c r="D391" s="37"/>
      <c r="E391" s="37"/>
      <c r="F391" s="37"/>
      <c r="G391" s="40" t="str">
        <f>IF(tblMovimientos[[#This Row],[Producto]]="","",TRIM(LEFT(tblMovimientos[[#This Row],[Producto]],FIND(" · ",tblMovimientos[[#This Row],[Producto]]&amp;" · ")-1)))</f>
        <v/>
      </c>
      <c r="H391" s="40" t="str">
        <f>IF(tblMovimientos[[#This Row],[SKU]]="","",IFERROR(INDEX(tblProductos[Unidad],MATCH(tblMovimientos[[#This Row],[SKU]],tblProductos[SKU],0)),"?"))</f>
        <v/>
      </c>
      <c r="I391" s="39"/>
      <c r="J391" s="47" t="str">
        <f>IF(tblMovimientos[[#This Row],[Tipo]]="","",IFERROR(INDEX(tblTiposMov[FactorStock],MATCH(tblMovimientos[[#This Row],[Tipo]],tblTiposMov[Tipo],0)),0))</f>
        <v/>
      </c>
      <c r="K3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" s="37"/>
      <c r="O391" s="37"/>
      <c r="P391" s="37"/>
    </row>
    <row r="392" spans="2:16" x14ac:dyDescent="0.25">
      <c r="B3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" s="46"/>
      <c r="D392" s="37"/>
      <c r="E392" s="37"/>
      <c r="F392" s="37"/>
      <c r="G392" s="40" t="str">
        <f>IF(tblMovimientos[[#This Row],[Producto]]="","",TRIM(LEFT(tblMovimientos[[#This Row],[Producto]],FIND(" · ",tblMovimientos[[#This Row],[Producto]]&amp;" · ")-1)))</f>
        <v/>
      </c>
      <c r="H392" s="40" t="str">
        <f>IF(tblMovimientos[[#This Row],[SKU]]="","",IFERROR(INDEX(tblProductos[Unidad],MATCH(tblMovimientos[[#This Row],[SKU]],tblProductos[SKU],0)),"?"))</f>
        <v/>
      </c>
      <c r="I392" s="39"/>
      <c r="J392" s="47" t="str">
        <f>IF(tblMovimientos[[#This Row],[Tipo]]="","",IFERROR(INDEX(tblTiposMov[FactorStock],MATCH(tblMovimientos[[#This Row],[Tipo]],tblTiposMov[Tipo],0)),0))</f>
        <v/>
      </c>
      <c r="K3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" s="37"/>
      <c r="O392" s="37"/>
      <c r="P392" s="37"/>
    </row>
    <row r="393" spans="2:16" x14ac:dyDescent="0.25">
      <c r="B3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" s="46"/>
      <c r="D393" s="37"/>
      <c r="E393" s="37"/>
      <c r="F393" s="37"/>
      <c r="G393" s="40" t="str">
        <f>IF(tblMovimientos[[#This Row],[Producto]]="","",TRIM(LEFT(tblMovimientos[[#This Row],[Producto]],FIND(" · ",tblMovimientos[[#This Row],[Producto]]&amp;" · ")-1)))</f>
        <v/>
      </c>
      <c r="H393" s="40" t="str">
        <f>IF(tblMovimientos[[#This Row],[SKU]]="","",IFERROR(INDEX(tblProductos[Unidad],MATCH(tblMovimientos[[#This Row],[SKU]],tblProductos[SKU],0)),"?"))</f>
        <v/>
      </c>
      <c r="I393" s="39"/>
      <c r="J393" s="47" t="str">
        <f>IF(tblMovimientos[[#This Row],[Tipo]]="","",IFERROR(INDEX(tblTiposMov[FactorStock],MATCH(tblMovimientos[[#This Row],[Tipo]],tblTiposMov[Tipo],0)),0))</f>
        <v/>
      </c>
      <c r="K3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" s="37"/>
      <c r="O393" s="37"/>
      <c r="P393" s="37"/>
    </row>
    <row r="394" spans="2:16" x14ac:dyDescent="0.25">
      <c r="B3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" s="46"/>
      <c r="D394" s="37"/>
      <c r="E394" s="37"/>
      <c r="F394" s="37"/>
      <c r="G394" s="40" t="str">
        <f>IF(tblMovimientos[[#This Row],[Producto]]="","",TRIM(LEFT(tblMovimientos[[#This Row],[Producto]],FIND(" · ",tblMovimientos[[#This Row],[Producto]]&amp;" · ")-1)))</f>
        <v/>
      </c>
      <c r="H394" s="40" t="str">
        <f>IF(tblMovimientos[[#This Row],[SKU]]="","",IFERROR(INDEX(tblProductos[Unidad],MATCH(tblMovimientos[[#This Row],[SKU]],tblProductos[SKU],0)),"?"))</f>
        <v/>
      </c>
      <c r="I394" s="39"/>
      <c r="J394" s="47" t="str">
        <f>IF(tblMovimientos[[#This Row],[Tipo]]="","",IFERROR(INDEX(tblTiposMov[FactorStock],MATCH(tblMovimientos[[#This Row],[Tipo]],tblTiposMov[Tipo],0)),0))</f>
        <v/>
      </c>
      <c r="K3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" s="37"/>
      <c r="O394" s="37"/>
      <c r="P394" s="37"/>
    </row>
    <row r="395" spans="2:16" x14ac:dyDescent="0.25">
      <c r="B3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" s="46"/>
      <c r="D395" s="37"/>
      <c r="E395" s="37"/>
      <c r="F395" s="37"/>
      <c r="G395" s="40" t="str">
        <f>IF(tblMovimientos[[#This Row],[Producto]]="","",TRIM(LEFT(tblMovimientos[[#This Row],[Producto]],FIND(" · ",tblMovimientos[[#This Row],[Producto]]&amp;" · ")-1)))</f>
        <v/>
      </c>
      <c r="H395" s="40" t="str">
        <f>IF(tblMovimientos[[#This Row],[SKU]]="","",IFERROR(INDEX(tblProductos[Unidad],MATCH(tblMovimientos[[#This Row],[SKU]],tblProductos[SKU],0)),"?"))</f>
        <v/>
      </c>
      <c r="I395" s="39"/>
      <c r="J395" s="47" t="str">
        <f>IF(tblMovimientos[[#This Row],[Tipo]]="","",IFERROR(INDEX(tblTiposMov[FactorStock],MATCH(tblMovimientos[[#This Row],[Tipo]],tblTiposMov[Tipo],0)),0))</f>
        <v/>
      </c>
      <c r="K3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" s="37"/>
      <c r="O395" s="37"/>
      <c r="P395" s="37"/>
    </row>
    <row r="396" spans="2:16" x14ac:dyDescent="0.25">
      <c r="B3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" s="46"/>
      <c r="D396" s="37"/>
      <c r="E396" s="37"/>
      <c r="F396" s="37"/>
      <c r="G396" s="40" t="str">
        <f>IF(tblMovimientos[[#This Row],[Producto]]="","",TRIM(LEFT(tblMovimientos[[#This Row],[Producto]],FIND(" · ",tblMovimientos[[#This Row],[Producto]]&amp;" · ")-1)))</f>
        <v/>
      </c>
      <c r="H396" s="40" t="str">
        <f>IF(tblMovimientos[[#This Row],[SKU]]="","",IFERROR(INDEX(tblProductos[Unidad],MATCH(tblMovimientos[[#This Row],[SKU]],tblProductos[SKU],0)),"?"))</f>
        <v/>
      </c>
      <c r="I396" s="39"/>
      <c r="J396" s="47" t="str">
        <f>IF(tblMovimientos[[#This Row],[Tipo]]="","",IFERROR(INDEX(tblTiposMov[FactorStock],MATCH(tblMovimientos[[#This Row],[Tipo]],tblTiposMov[Tipo],0)),0))</f>
        <v/>
      </c>
      <c r="K3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" s="37"/>
      <c r="O396" s="37"/>
      <c r="P396" s="37"/>
    </row>
    <row r="397" spans="2:16" x14ac:dyDescent="0.25">
      <c r="B3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" s="46"/>
      <c r="D397" s="37"/>
      <c r="E397" s="37"/>
      <c r="F397" s="37"/>
      <c r="G397" s="40" t="str">
        <f>IF(tblMovimientos[[#This Row],[Producto]]="","",TRIM(LEFT(tblMovimientos[[#This Row],[Producto]],FIND(" · ",tblMovimientos[[#This Row],[Producto]]&amp;" · ")-1)))</f>
        <v/>
      </c>
      <c r="H397" s="40" t="str">
        <f>IF(tblMovimientos[[#This Row],[SKU]]="","",IFERROR(INDEX(tblProductos[Unidad],MATCH(tblMovimientos[[#This Row],[SKU]],tblProductos[SKU],0)),"?"))</f>
        <v/>
      </c>
      <c r="I397" s="39"/>
      <c r="J397" s="47" t="str">
        <f>IF(tblMovimientos[[#This Row],[Tipo]]="","",IFERROR(INDEX(tblTiposMov[FactorStock],MATCH(tblMovimientos[[#This Row],[Tipo]],tblTiposMov[Tipo],0)),0))</f>
        <v/>
      </c>
      <c r="K3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" s="37"/>
      <c r="O397" s="37"/>
      <c r="P397" s="37"/>
    </row>
    <row r="398" spans="2:16" x14ac:dyDescent="0.25">
      <c r="B3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" s="46"/>
      <c r="D398" s="37"/>
      <c r="E398" s="37"/>
      <c r="F398" s="37"/>
      <c r="G398" s="40" t="str">
        <f>IF(tblMovimientos[[#This Row],[Producto]]="","",TRIM(LEFT(tblMovimientos[[#This Row],[Producto]],FIND(" · ",tblMovimientos[[#This Row],[Producto]]&amp;" · ")-1)))</f>
        <v/>
      </c>
      <c r="H398" s="40" t="str">
        <f>IF(tblMovimientos[[#This Row],[SKU]]="","",IFERROR(INDEX(tblProductos[Unidad],MATCH(tblMovimientos[[#This Row],[SKU]],tblProductos[SKU],0)),"?"))</f>
        <v/>
      </c>
      <c r="I398" s="39"/>
      <c r="J398" s="47" t="str">
        <f>IF(tblMovimientos[[#This Row],[Tipo]]="","",IFERROR(INDEX(tblTiposMov[FactorStock],MATCH(tblMovimientos[[#This Row],[Tipo]],tblTiposMov[Tipo],0)),0))</f>
        <v/>
      </c>
      <c r="K3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" s="37"/>
      <c r="O398" s="37"/>
      <c r="P398" s="37"/>
    </row>
    <row r="399" spans="2:16" x14ac:dyDescent="0.25">
      <c r="B3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" s="46"/>
      <c r="D399" s="37"/>
      <c r="E399" s="37"/>
      <c r="F399" s="37"/>
      <c r="G399" s="40" t="str">
        <f>IF(tblMovimientos[[#This Row],[Producto]]="","",TRIM(LEFT(tblMovimientos[[#This Row],[Producto]],FIND(" · ",tblMovimientos[[#This Row],[Producto]]&amp;" · ")-1)))</f>
        <v/>
      </c>
      <c r="H399" s="40" t="str">
        <f>IF(tblMovimientos[[#This Row],[SKU]]="","",IFERROR(INDEX(tblProductos[Unidad],MATCH(tblMovimientos[[#This Row],[SKU]],tblProductos[SKU],0)),"?"))</f>
        <v/>
      </c>
      <c r="I399" s="39"/>
      <c r="J399" s="47" t="str">
        <f>IF(tblMovimientos[[#This Row],[Tipo]]="","",IFERROR(INDEX(tblTiposMov[FactorStock],MATCH(tblMovimientos[[#This Row],[Tipo]],tblTiposMov[Tipo],0)),0))</f>
        <v/>
      </c>
      <c r="K3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" s="37"/>
      <c r="O399" s="37"/>
      <c r="P399" s="37"/>
    </row>
    <row r="400" spans="2:16" x14ac:dyDescent="0.25">
      <c r="B4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" s="46"/>
      <c r="D400" s="37"/>
      <c r="E400" s="37"/>
      <c r="F400" s="37"/>
      <c r="G400" s="40" t="str">
        <f>IF(tblMovimientos[[#This Row],[Producto]]="","",TRIM(LEFT(tblMovimientos[[#This Row],[Producto]],FIND(" · ",tblMovimientos[[#This Row],[Producto]]&amp;" · ")-1)))</f>
        <v/>
      </c>
      <c r="H400" s="40" t="str">
        <f>IF(tblMovimientos[[#This Row],[SKU]]="","",IFERROR(INDEX(tblProductos[Unidad],MATCH(tblMovimientos[[#This Row],[SKU]],tblProductos[SKU],0)),"?"))</f>
        <v/>
      </c>
      <c r="I400" s="39"/>
      <c r="J400" s="47" t="str">
        <f>IF(tblMovimientos[[#This Row],[Tipo]]="","",IFERROR(INDEX(tblTiposMov[FactorStock],MATCH(tblMovimientos[[#This Row],[Tipo]],tblTiposMov[Tipo],0)),0))</f>
        <v/>
      </c>
      <c r="K4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" s="37"/>
      <c r="O400" s="37"/>
      <c r="P400" s="37"/>
    </row>
    <row r="401" spans="2:16" x14ac:dyDescent="0.25">
      <c r="B4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" s="46"/>
      <c r="D401" s="37"/>
      <c r="E401" s="37"/>
      <c r="F401" s="37"/>
      <c r="G401" s="40" t="str">
        <f>IF(tblMovimientos[[#This Row],[Producto]]="","",TRIM(LEFT(tblMovimientos[[#This Row],[Producto]],FIND(" · ",tblMovimientos[[#This Row],[Producto]]&amp;" · ")-1)))</f>
        <v/>
      </c>
      <c r="H401" s="40" t="str">
        <f>IF(tblMovimientos[[#This Row],[SKU]]="","",IFERROR(INDEX(tblProductos[Unidad],MATCH(tblMovimientos[[#This Row],[SKU]],tblProductos[SKU],0)),"?"))</f>
        <v/>
      </c>
      <c r="I401" s="39"/>
      <c r="J401" s="47" t="str">
        <f>IF(tblMovimientos[[#This Row],[Tipo]]="","",IFERROR(INDEX(tblTiposMov[FactorStock],MATCH(tblMovimientos[[#This Row],[Tipo]],tblTiposMov[Tipo],0)),0))</f>
        <v/>
      </c>
      <c r="K4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" s="37"/>
      <c r="O401" s="37"/>
      <c r="P401" s="37"/>
    </row>
    <row r="402" spans="2:16" x14ac:dyDescent="0.25">
      <c r="B4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" s="46"/>
      <c r="D402" s="37"/>
      <c r="E402" s="37"/>
      <c r="F402" s="37"/>
      <c r="G402" s="40" t="str">
        <f>IF(tblMovimientos[[#This Row],[Producto]]="","",TRIM(LEFT(tblMovimientos[[#This Row],[Producto]],FIND(" · ",tblMovimientos[[#This Row],[Producto]]&amp;" · ")-1)))</f>
        <v/>
      </c>
      <c r="H402" s="40" t="str">
        <f>IF(tblMovimientos[[#This Row],[SKU]]="","",IFERROR(INDEX(tblProductos[Unidad],MATCH(tblMovimientos[[#This Row],[SKU]],tblProductos[SKU],0)),"?"))</f>
        <v/>
      </c>
      <c r="I402" s="39"/>
      <c r="J402" s="47" t="str">
        <f>IF(tblMovimientos[[#This Row],[Tipo]]="","",IFERROR(INDEX(tblTiposMov[FactorStock],MATCH(tblMovimientos[[#This Row],[Tipo]],tblTiposMov[Tipo],0)),0))</f>
        <v/>
      </c>
      <c r="K4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" s="37"/>
      <c r="O402" s="37"/>
      <c r="P402" s="37"/>
    </row>
    <row r="403" spans="2:16" x14ac:dyDescent="0.25">
      <c r="B4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" s="46"/>
      <c r="D403" s="37"/>
      <c r="E403" s="37"/>
      <c r="F403" s="37"/>
      <c r="G403" s="40" t="str">
        <f>IF(tblMovimientos[[#This Row],[Producto]]="","",TRIM(LEFT(tblMovimientos[[#This Row],[Producto]],FIND(" · ",tblMovimientos[[#This Row],[Producto]]&amp;" · ")-1)))</f>
        <v/>
      </c>
      <c r="H403" s="40" t="str">
        <f>IF(tblMovimientos[[#This Row],[SKU]]="","",IFERROR(INDEX(tblProductos[Unidad],MATCH(tblMovimientos[[#This Row],[SKU]],tblProductos[SKU],0)),"?"))</f>
        <v/>
      </c>
      <c r="I403" s="39"/>
      <c r="J403" s="47" t="str">
        <f>IF(tblMovimientos[[#This Row],[Tipo]]="","",IFERROR(INDEX(tblTiposMov[FactorStock],MATCH(tblMovimientos[[#This Row],[Tipo]],tblTiposMov[Tipo],0)),0))</f>
        <v/>
      </c>
      <c r="K4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" s="37"/>
      <c r="O403" s="37"/>
      <c r="P403" s="37"/>
    </row>
    <row r="404" spans="2:16" x14ac:dyDescent="0.25">
      <c r="B4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" s="46"/>
      <c r="D404" s="37"/>
      <c r="E404" s="37"/>
      <c r="F404" s="37"/>
      <c r="G404" s="40" t="str">
        <f>IF(tblMovimientos[[#This Row],[Producto]]="","",TRIM(LEFT(tblMovimientos[[#This Row],[Producto]],FIND(" · ",tblMovimientos[[#This Row],[Producto]]&amp;" · ")-1)))</f>
        <v/>
      </c>
      <c r="H404" s="40" t="str">
        <f>IF(tblMovimientos[[#This Row],[SKU]]="","",IFERROR(INDEX(tblProductos[Unidad],MATCH(tblMovimientos[[#This Row],[SKU]],tblProductos[SKU],0)),"?"))</f>
        <v/>
      </c>
      <c r="I404" s="39"/>
      <c r="J404" s="47" t="str">
        <f>IF(tblMovimientos[[#This Row],[Tipo]]="","",IFERROR(INDEX(tblTiposMov[FactorStock],MATCH(tblMovimientos[[#This Row],[Tipo]],tblTiposMov[Tipo],0)),0))</f>
        <v/>
      </c>
      <c r="K4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" s="37"/>
      <c r="O404" s="37"/>
      <c r="P404" s="37"/>
    </row>
    <row r="405" spans="2:16" x14ac:dyDescent="0.25">
      <c r="B4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" s="46"/>
      <c r="D405" s="37"/>
      <c r="E405" s="37"/>
      <c r="F405" s="37"/>
      <c r="G405" s="40" t="str">
        <f>IF(tblMovimientos[[#This Row],[Producto]]="","",TRIM(LEFT(tblMovimientos[[#This Row],[Producto]],FIND(" · ",tblMovimientos[[#This Row],[Producto]]&amp;" · ")-1)))</f>
        <v/>
      </c>
      <c r="H405" s="40" t="str">
        <f>IF(tblMovimientos[[#This Row],[SKU]]="","",IFERROR(INDEX(tblProductos[Unidad],MATCH(tblMovimientos[[#This Row],[SKU]],tblProductos[SKU],0)),"?"))</f>
        <v/>
      </c>
      <c r="I405" s="39"/>
      <c r="J405" s="47" t="str">
        <f>IF(tblMovimientos[[#This Row],[Tipo]]="","",IFERROR(INDEX(tblTiposMov[FactorStock],MATCH(tblMovimientos[[#This Row],[Tipo]],tblTiposMov[Tipo],0)),0))</f>
        <v/>
      </c>
      <c r="K4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" s="37"/>
      <c r="O405" s="37"/>
      <c r="P405" s="37"/>
    </row>
    <row r="406" spans="2:16" x14ac:dyDescent="0.25">
      <c r="B4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" s="46"/>
      <c r="D406" s="37"/>
      <c r="E406" s="37"/>
      <c r="F406" s="37"/>
      <c r="G406" s="40" t="str">
        <f>IF(tblMovimientos[[#This Row],[Producto]]="","",TRIM(LEFT(tblMovimientos[[#This Row],[Producto]],FIND(" · ",tblMovimientos[[#This Row],[Producto]]&amp;" · ")-1)))</f>
        <v/>
      </c>
      <c r="H406" s="40" t="str">
        <f>IF(tblMovimientos[[#This Row],[SKU]]="","",IFERROR(INDEX(tblProductos[Unidad],MATCH(tblMovimientos[[#This Row],[SKU]],tblProductos[SKU],0)),"?"))</f>
        <v/>
      </c>
      <c r="I406" s="39"/>
      <c r="J406" s="47" t="str">
        <f>IF(tblMovimientos[[#This Row],[Tipo]]="","",IFERROR(INDEX(tblTiposMov[FactorStock],MATCH(tblMovimientos[[#This Row],[Tipo]],tblTiposMov[Tipo],0)),0))</f>
        <v/>
      </c>
      <c r="K4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" s="37"/>
      <c r="O406" s="37"/>
      <c r="P406" s="37"/>
    </row>
    <row r="407" spans="2:16" x14ac:dyDescent="0.25">
      <c r="B4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" s="46"/>
      <c r="D407" s="37"/>
      <c r="E407" s="37"/>
      <c r="F407" s="37"/>
      <c r="G407" s="40" t="str">
        <f>IF(tblMovimientos[[#This Row],[Producto]]="","",TRIM(LEFT(tblMovimientos[[#This Row],[Producto]],FIND(" · ",tblMovimientos[[#This Row],[Producto]]&amp;" · ")-1)))</f>
        <v/>
      </c>
      <c r="H407" s="40" t="str">
        <f>IF(tblMovimientos[[#This Row],[SKU]]="","",IFERROR(INDEX(tblProductos[Unidad],MATCH(tblMovimientos[[#This Row],[SKU]],tblProductos[SKU],0)),"?"))</f>
        <v/>
      </c>
      <c r="I407" s="39"/>
      <c r="J407" s="47" t="str">
        <f>IF(tblMovimientos[[#This Row],[Tipo]]="","",IFERROR(INDEX(tblTiposMov[FactorStock],MATCH(tblMovimientos[[#This Row],[Tipo]],tblTiposMov[Tipo],0)),0))</f>
        <v/>
      </c>
      <c r="K4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" s="37"/>
      <c r="O407" s="37"/>
      <c r="P407" s="37"/>
    </row>
    <row r="408" spans="2:16" x14ac:dyDescent="0.25">
      <c r="B4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" s="46"/>
      <c r="D408" s="37"/>
      <c r="E408" s="37"/>
      <c r="F408" s="37"/>
      <c r="G408" s="40" t="str">
        <f>IF(tblMovimientos[[#This Row],[Producto]]="","",TRIM(LEFT(tblMovimientos[[#This Row],[Producto]],FIND(" · ",tblMovimientos[[#This Row],[Producto]]&amp;" · ")-1)))</f>
        <v/>
      </c>
      <c r="H408" s="40" t="str">
        <f>IF(tblMovimientos[[#This Row],[SKU]]="","",IFERROR(INDEX(tblProductos[Unidad],MATCH(tblMovimientos[[#This Row],[SKU]],tblProductos[SKU],0)),"?"))</f>
        <v/>
      </c>
      <c r="I408" s="39"/>
      <c r="J408" s="47" t="str">
        <f>IF(tblMovimientos[[#This Row],[Tipo]]="","",IFERROR(INDEX(tblTiposMov[FactorStock],MATCH(tblMovimientos[[#This Row],[Tipo]],tblTiposMov[Tipo],0)),0))</f>
        <v/>
      </c>
      <c r="K4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" s="37"/>
      <c r="O408" s="37"/>
      <c r="P408" s="37"/>
    </row>
    <row r="409" spans="2:16" x14ac:dyDescent="0.25">
      <c r="B4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" s="46"/>
      <c r="D409" s="37"/>
      <c r="E409" s="37"/>
      <c r="F409" s="37"/>
      <c r="G409" s="40" t="str">
        <f>IF(tblMovimientos[[#This Row],[Producto]]="","",TRIM(LEFT(tblMovimientos[[#This Row],[Producto]],FIND(" · ",tblMovimientos[[#This Row],[Producto]]&amp;" · ")-1)))</f>
        <v/>
      </c>
      <c r="H409" s="40" t="str">
        <f>IF(tblMovimientos[[#This Row],[SKU]]="","",IFERROR(INDEX(tblProductos[Unidad],MATCH(tblMovimientos[[#This Row],[SKU]],tblProductos[SKU],0)),"?"))</f>
        <v/>
      </c>
      <c r="I409" s="39"/>
      <c r="J409" s="47" t="str">
        <f>IF(tblMovimientos[[#This Row],[Tipo]]="","",IFERROR(INDEX(tblTiposMov[FactorStock],MATCH(tblMovimientos[[#This Row],[Tipo]],tblTiposMov[Tipo],0)),0))</f>
        <v/>
      </c>
      <c r="K4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" s="37"/>
      <c r="O409" s="37"/>
      <c r="P409" s="37"/>
    </row>
    <row r="410" spans="2:16" x14ac:dyDescent="0.25">
      <c r="B4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" s="46"/>
      <c r="D410" s="37"/>
      <c r="E410" s="37"/>
      <c r="F410" s="37"/>
      <c r="G410" s="40" t="str">
        <f>IF(tblMovimientos[[#This Row],[Producto]]="","",TRIM(LEFT(tblMovimientos[[#This Row],[Producto]],FIND(" · ",tblMovimientos[[#This Row],[Producto]]&amp;" · ")-1)))</f>
        <v/>
      </c>
      <c r="H410" s="40" t="str">
        <f>IF(tblMovimientos[[#This Row],[SKU]]="","",IFERROR(INDEX(tblProductos[Unidad],MATCH(tblMovimientos[[#This Row],[SKU]],tblProductos[SKU],0)),"?"))</f>
        <v/>
      </c>
      <c r="I410" s="39"/>
      <c r="J410" s="47" t="str">
        <f>IF(tblMovimientos[[#This Row],[Tipo]]="","",IFERROR(INDEX(tblTiposMov[FactorStock],MATCH(tblMovimientos[[#This Row],[Tipo]],tblTiposMov[Tipo],0)),0))</f>
        <v/>
      </c>
      <c r="K4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" s="37"/>
      <c r="O410" s="37"/>
      <c r="P410" s="37"/>
    </row>
    <row r="411" spans="2:16" x14ac:dyDescent="0.25">
      <c r="B4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" s="46"/>
      <c r="D411" s="37"/>
      <c r="E411" s="37"/>
      <c r="F411" s="37"/>
      <c r="G411" s="40" t="str">
        <f>IF(tblMovimientos[[#This Row],[Producto]]="","",TRIM(LEFT(tblMovimientos[[#This Row],[Producto]],FIND(" · ",tblMovimientos[[#This Row],[Producto]]&amp;" · ")-1)))</f>
        <v/>
      </c>
      <c r="H411" s="40" t="str">
        <f>IF(tblMovimientos[[#This Row],[SKU]]="","",IFERROR(INDEX(tblProductos[Unidad],MATCH(tblMovimientos[[#This Row],[SKU]],tblProductos[SKU],0)),"?"))</f>
        <v/>
      </c>
      <c r="I411" s="39"/>
      <c r="J411" s="47" t="str">
        <f>IF(tblMovimientos[[#This Row],[Tipo]]="","",IFERROR(INDEX(tblTiposMov[FactorStock],MATCH(tblMovimientos[[#This Row],[Tipo]],tblTiposMov[Tipo],0)),0))</f>
        <v/>
      </c>
      <c r="K4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" s="37"/>
      <c r="O411" s="37"/>
      <c r="P411" s="37"/>
    </row>
    <row r="412" spans="2:16" x14ac:dyDescent="0.25">
      <c r="B4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" s="46"/>
      <c r="D412" s="37"/>
      <c r="E412" s="37"/>
      <c r="F412" s="37"/>
      <c r="G412" s="40" t="str">
        <f>IF(tblMovimientos[[#This Row],[Producto]]="","",TRIM(LEFT(tblMovimientos[[#This Row],[Producto]],FIND(" · ",tblMovimientos[[#This Row],[Producto]]&amp;" · ")-1)))</f>
        <v/>
      </c>
      <c r="H412" s="40" t="str">
        <f>IF(tblMovimientos[[#This Row],[SKU]]="","",IFERROR(INDEX(tblProductos[Unidad],MATCH(tblMovimientos[[#This Row],[SKU]],tblProductos[SKU],0)),"?"))</f>
        <v/>
      </c>
      <c r="I412" s="39"/>
      <c r="J412" s="47" t="str">
        <f>IF(tblMovimientos[[#This Row],[Tipo]]="","",IFERROR(INDEX(tblTiposMov[FactorStock],MATCH(tblMovimientos[[#This Row],[Tipo]],tblTiposMov[Tipo],0)),0))</f>
        <v/>
      </c>
      <c r="K4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" s="37"/>
      <c r="O412" s="37"/>
      <c r="P412" s="37"/>
    </row>
    <row r="413" spans="2:16" x14ac:dyDescent="0.25">
      <c r="B4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" s="46"/>
      <c r="D413" s="37"/>
      <c r="E413" s="37"/>
      <c r="F413" s="37"/>
      <c r="G413" s="40" t="str">
        <f>IF(tblMovimientos[[#This Row],[Producto]]="","",TRIM(LEFT(tblMovimientos[[#This Row],[Producto]],FIND(" · ",tblMovimientos[[#This Row],[Producto]]&amp;" · ")-1)))</f>
        <v/>
      </c>
      <c r="H413" s="40" t="str">
        <f>IF(tblMovimientos[[#This Row],[SKU]]="","",IFERROR(INDEX(tblProductos[Unidad],MATCH(tblMovimientos[[#This Row],[SKU]],tblProductos[SKU],0)),"?"))</f>
        <v/>
      </c>
      <c r="I413" s="39"/>
      <c r="J413" s="47" t="str">
        <f>IF(tblMovimientos[[#This Row],[Tipo]]="","",IFERROR(INDEX(tblTiposMov[FactorStock],MATCH(tblMovimientos[[#This Row],[Tipo]],tblTiposMov[Tipo],0)),0))</f>
        <v/>
      </c>
      <c r="K4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" s="37"/>
      <c r="O413" s="37"/>
      <c r="P413" s="37"/>
    </row>
    <row r="414" spans="2:16" x14ac:dyDescent="0.25">
      <c r="B4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" s="46"/>
      <c r="D414" s="37"/>
      <c r="E414" s="37"/>
      <c r="F414" s="37"/>
      <c r="G414" s="40" t="str">
        <f>IF(tblMovimientos[[#This Row],[Producto]]="","",TRIM(LEFT(tblMovimientos[[#This Row],[Producto]],FIND(" · ",tblMovimientos[[#This Row],[Producto]]&amp;" · ")-1)))</f>
        <v/>
      </c>
      <c r="H414" s="40" t="str">
        <f>IF(tblMovimientos[[#This Row],[SKU]]="","",IFERROR(INDEX(tblProductos[Unidad],MATCH(tblMovimientos[[#This Row],[SKU]],tblProductos[SKU],0)),"?"))</f>
        <v/>
      </c>
      <c r="I414" s="39"/>
      <c r="J414" s="47" t="str">
        <f>IF(tblMovimientos[[#This Row],[Tipo]]="","",IFERROR(INDEX(tblTiposMov[FactorStock],MATCH(tblMovimientos[[#This Row],[Tipo]],tblTiposMov[Tipo],0)),0))</f>
        <v/>
      </c>
      <c r="K4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" s="37"/>
      <c r="O414" s="37"/>
      <c r="P414" s="37"/>
    </row>
    <row r="415" spans="2:16" x14ac:dyDescent="0.25">
      <c r="B4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" s="46"/>
      <c r="D415" s="37"/>
      <c r="E415" s="37"/>
      <c r="F415" s="37"/>
      <c r="G415" s="40" t="str">
        <f>IF(tblMovimientos[[#This Row],[Producto]]="","",TRIM(LEFT(tblMovimientos[[#This Row],[Producto]],FIND(" · ",tblMovimientos[[#This Row],[Producto]]&amp;" · ")-1)))</f>
        <v/>
      </c>
      <c r="H415" s="40" t="str">
        <f>IF(tblMovimientos[[#This Row],[SKU]]="","",IFERROR(INDEX(tblProductos[Unidad],MATCH(tblMovimientos[[#This Row],[SKU]],tblProductos[SKU],0)),"?"))</f>
        <v/>
      </c>
      <c r="I415" s="39"/>
      <c r="J415" s="47" t="str">
        <f>IF(tblMovimientos[[#This Row],[Tipo]]="","",IFERROR(INDEX(tblTiposMov[FactorStock],MATCH(tblMovimientos[[#This Row],[Tipo]],tblTiposMov[Tipo],0)),0))</f>
        <v/>
      </c>
      <c r="K4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" s="37"/>
      <c r="O415" s="37"/>
      <c r="P415" s="37"/>
    </row>
    <row r="416" spans="2:16" x14ac:dyDescent="0.25">
      <c r="B4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" s="46"/>
      <c r="D416" s="37"/>
      <c r="E416" s="37"/>
      <c r="F416" s="37"/>
      <c r="G416" s="40" t="str">
        <f>IF(tblMovimientos[[#This Row],[Producto]]="","",TRIM(LEFT(tblMovimientos[[#This Row],[Producto]],FIND(" · ",tblMovimientos[[#This Row],[Producto]]&amp;" · ")-1)))</f>
        <v/>
      </c>
      <c r="H416" s="40" t="str">
        <f>IF(tblMovimientos[[#This Row],[SKU]]="","",IFERROR(INDEX(tblProductos[Unidad],MATCH(tblMovimientos[[#This Row],[SKU]],tblProductos[SKU],0)),"?"))</f>
        <v/>
      </c>
      <c r="I416" s="39"/>
      <c r="J416" s="47" t="str">
        <f>IF(tblMovimientos[[#This Row],[Tipo]]="","",IFERROR(INDEX(tblTiposMov[FactorStock],MATCH(tblMovimientos[[#This Row],[Tipo]],tblTiposMov[Tipo],0)),0))</f>
        <v/>
      </c>
      <c r="K4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" s="37"/>
      <c r="O416" s="37"/>
      <c r="P416" s="37"/>
    </row>
    <row r="417" spans="2:16" x14ac:dyDescent="0.25">
      <c r="B4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" s="46"/>
      <c r="D417" s="37"/>
      <c r="E417" s="37"/>
      <c r="F417" s="37"/>
      <c r="G417" s="40" t="str">
        <f>IF(tblMovimientos[[#This Row],[Producto]]="","",TRIM(LEFT(tblMovimientos[[#This Row],[Producto]],FIND(" · ",tblMovimientos[[#This Row],[Producto]]&amp;" · ")-1)))</f>
        <v/>
      </c>
      <c r="H417" s="40" t="str">
        <f>IF(tblMovimientos[[#This Row],[SKU]]="","",IFERROR(INDEX(tblProductos[Unidad],MATCH(tblMovimientos[[#This Row],[SKU]],tblProductos[SKU],0)),"?"))</f>
        <v/>
      </c>
      <c r="I417" s="39"/>
      <c r="J417" s="47" t="str">
        <f>IF(tblMovimientos[[#This Row],[Tipo]]="","",IFERROR(INDEX(tblTiposMov[FactorStock],MATCH(tblMovimientos[[#This Row],[Tipo]],tblTiposMov[Tipo],0)),0))</f>
        <v/>
      </c>
      <c r="K4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" s="37"/>
      <c r="O417" s="37"/>
      <c r="P417" s="37"/>
    </row>
    <row r="418" spans="2:16" x14ac:dyDescent="0.25">
      <c r="B4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" s="46"/>
      <c r="D418" s="37"/>
      <c r="E418" s="37"/>
      <c r="F418" s="37"/>
      <c r="G418" s="40" t="str">
        <f>IF(tblMovimientos[[#This Row],[Producto]]="","",TRIM(LEFT(tblMovimientos[[#This Row],[Producto]],FIND(" · ",tblMovimientos[[#This Row],[Producto]]&amp;" · ")-1)))</f>
        <v/>
      </c>
      <c r="H418" s="40" t="str">
        <f>IF(tblMovimientos[[#This Row],[SKU]]="","",IFERROR(INDEX(tblProductos[Unidad],MATCH(tblMovimientos[[#This Row],[SKU]],tblProductos[SKU],0)),"?"))</f>
        <v/>
      </c>
      <c r="I418" s="39"/>
      <c r="J418" s="47" t="str">
        <f>IF(tblMovimientos[[#This Row],[Tipo]]="","",IFERROR(INDEX(tblTiposMov[FactorStock],MATCH(tblMovimientos[[#This Row],[Tipo]],tblTiposMov[Tipo],0)),0))</f>
        <v/>
      </c>
      <c r="K4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" s="37"/>
      <c r="O418" s="37"/>
      <c r="P418" s="37"/>
    </row>
    <row r="419" spans="2:16" x14ac:dyDescent="0.25">
      <c r="B4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" s="46"/>
      <c r="D419" s="37"/>
      <c r="E419" s="37"/>
      <c r="F419" s="37"/>
      <c r="G419" s="40" t="str">
        <f>IF(tblMovimientos[[#This Row],[Producto]]="","",TRIM(LEFT(tblMovimientos[[#This Row],[Producto]],FIND(" · ",tblMovimientos[[#This Row],[Producto]]&amp;" · ")-1)))</f>
        <v/>
      </c>
      <c r="H419" s="40" t="str">
        <f>IF(tblMovimientos[[#This Row],[SKU]]="","",IFERROR(INDEX(tblProductos[Unidad],MATCH(tblMovimientos[[#This Row],[SKU]],tblProductos[SKU],0)),"?"))</f>
        <v/>
      </c>
      <c r="I419" s="39"/>
      <c r="J419" s="47" t="str">
        <f>IF(tblMovimientos[[#This Row],[Tipo]]="","",IFERROR(INDEX(tblTiposMov[FactorStock],MATCH(tblMovimientos[[#This Row],[Tipo]],tblTiposMov[Tipo],0)),0))</f>
        <v/>
      </c>
      <c r="K4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" s="37"/>
      <c r="O419" s="37"/>
      <c r="P419" s="37"/>
    </row>
    <row r="420" spans="2:16" x14ac:dyDescent="0.25">
      <c r="B4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" s="46"/>
      <c r="D420" s="37"/>
      <c r="E420" s="37"/>
      <c r="F420" s="37"/>
      <c r="G420" s="40" t="str">
        <f>IF(tblMovimientos[[#This Row],[Producto]]="","",TRIM(LEFT(tblMovimientos[[#This Row],[Producto]],FIND(" · ",tblMovimientos[[#This Row],[Producto]]&amp;" · ")-1)))</f>
        <v/>
      </c>
      <c r="H420" s="40" t="str">
        <f>IF(tblMovimientos[[#This Row],[SKU]]="","",IFERROR(INDEX(tblProductos[Unidad],MATCH(tblMovimientos[[#This Row],[SKU]],tblProductos[SKU],0)),"?"))</f>
        <v/>
      </c>
      <c r="I420" s="39"/>
      <c r="J420" s="47" t="str">
        <f>IF(tblMovimientos[[#This Row],[Tipo]]="","",IFERROR(INDEX(tblTiposMov[FactorStock],MATCH(tblMovimientos[[#This Row],[Tipo]],tblTiposMov[Tipo],0)),0))</f>
        <v/>
      </c>
      <c r="K4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" s="37"/>
      <c r="O420" s="37"/>
      <c r="P420" s="37"/>
    </row>
    <row r="421" spans="2:16" x14ac:dyDescent="0.25">
      <c r="B4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" s="46"/>
      <c r="D421" s="37"/>
      <c r="E421" s="37"/>
      <c r="F421" s="37"/>
      <c r="G421" s="40" t="str">
        <f>IF(tblMovimientos[[#This Row],[Producto]]="","",TRIM(LEFT(tblMovimientos[[#This Row],[Producto]],FIND(" · ",tblMovimientos[[#This Row],[Producto]]&amp;" · ")-1)))</f>
        <v/>
      </c>
      <c r="H421" s="40" t="str">
        <f>IF(tblMovimientos[[#This Row],[SKU]]="","",IFERROR(INDEX(tblProductos[Unidad],MATCH(tblMovimientos[[#This Row],[SKU]],tblProductos[SKU],0)),"?"))</f>
        <v/>
      </c>
      <c r="I421" s="39"/>
      <c r="J421" s="47" t="str">
        <f>IF(tblMovimientos[[#This Row],[Tipo]]="","",IFERROR(INDEX(tblTiposMov[FactorStock],MATCH(tblMovimientos[[#This Row],[Tipo]],tblTiposMov[Tipo],0)),0))</f>
        <v/>
      </c>
      <c r="K4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" s="37"/>
      <c r="O421" s="37"/>
      <c r="P421" s="37"/>
    </row>
    <row r="422" spans="2:16" x14ac:dyDescent="0.25">
      <c r="B4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" s="46"/>
      <c r="D422" s="37"/>
      <c r="E422" s="37"/>
      <c r="F422" s="37"/>
      <c r="G422" s="40" t="str">
        <f>IF(tblMovimientos[[#This Row],[Producto]]="","",TRIM(LEFT(tblMovimientos[[#This Row],[Producto]],FIND(" · ",tblMovimientos[[#This Row],[Producto]]&amp;" · ")-1)))</f>
        <v/>
      </c>
      <c r="H422" s="40" t="str">
        <f>IF(tblMovimientos[[#This Row],[SKU]]="","",IFERROR(INDEX(tblProductos[Unidad],MATCH(tblMovimientos[[#This Row],[SKU]],tblProductos[SKU],0)),"?"))</f>
        <v/>
      </c>
      <c r="I422" s="39"/>
      <c r="J422" s="47" t="str">
        <f>IF(tblMovimientos[[#This Row],[Tipo]]="","",IFERROR(INDEX(tblTiposMov[FactorStock],MATCH(tblMovimientos[[#This Row],[Tipo]],tblTiposMov[Tipo],0)),0))</f>
        <v/>
      </c>
      <c r="K4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" s="37"/>
      <c r="O422" s="37"/>
      <c r="P422" s="37"/>
    </row>
    <row r="423" spans="2:16" x14ac:dyDescent="0.25">
      <c r="B4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" s="46"/>
      <c r="D423" s="37"/>
      <c r="E423" s="37"/>
      <c r="F423" s="37"/>
      <c r="G423" s="40" t="str">
        <f>IF(tblMovimientos[[#This Row],[Producto]]="","",TRIM(LEFT(tblMovimientos[[#This Row],[Producto]],FIND(" · ",tblMovimientos[[#This Row],[Producto]]&amp;" · ")-1)))</f>
        <v/>
      </c>
      <c r="H423" s="40" t="str">
        <f>IF(tblMovimientos[[#This Row],[SKU]]="","",IFERROR(INDEX(tblProductos[Unidad],MATCH(tblMovimientos[[#This Row],[SKU]],tblProductos[SKU],0)),"?"))</f>
        <v/>
      </c>
      <c r="I423" s="39"/>
      <c r="J423" s="47" t="str">
        <f>IF(tblMovimientos[[#This Row],[Tipo]]="","",IFERROR(INDEX(tblTiposMov[FactorStock],MATCH(tblMovimientos[[#This Row],[Tipo]],tblTiposMov[Tipo],0)),0))</f>
        <v/>
      </c>
      <c r="K4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" s="37"/>
      <c r="O423" s="37"/>
      <c r="P423" s="37"/>
    </row>
    <row r="424" spans="2:16" x14ac:dyDescent="0.25">
      <c r="B4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" s="46"/>
      <c r="D424" s="37"/>
      <c r="E424" s="37"/>
      <c r="F424" s="37"/>
      <c r="G424" s="40" t="str">
        <f>IF(tblMovimientos[[#This Row],[Producto]]="","",TRIM(LEFT(tblMovimientos[[#This Row],[Producto]],FIND(" · ",tblMovimientos[[#This Row],[Producto]]&amp;" · ")-1)))</f>
        <v/>
      </c>
      <c r="H424" s="40" t="str">
        <f>IF(tblMovimientos[[#This Row],[SKU]]="","",IFERROR(INDEX(tblProductos[Unidad],MATCH(tblMovimientos[[#This Row],[SKU]],tblProductos[SKU],0)),"?"))</f>
        <v/>
      </c>
      <c r="I424" s="39"/>
      <c r="J424" s="47" t="str">
        <f>IF(tblMovimientos[[#This Row],[Tipo]]="","",IFERROR(INDEX(tblTiposMov[FactorStock],MATCH(tblMovimientos[[#This Row],[Tipo]],tblTiposMov[Tipo],0)),0))</f>
        <v/>
      </c>
      <c r="K4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" s="37"/>
      <c r="O424" s="37"/>
      <c r="P424" s="37"/>
    </row>
    <row r="425" spans="2:16" x14ac:dyDescent="0.25">
      <c r="B4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" s="46"/>
      <c r="D425" s="37"/>
      <c r="E425" s="37"/>
      <c r="F425" s="37"/>
      <c r="G425" s="40" t="str">
        <f>IF(tblMovimientos[[#This Row],[Producto]]="","",TRIM(LEFT(tblMovimientos[[#This Row],[Producto]],FIND(" · ",tblMovimientos[[#This Row],[Producto]]&amp;" · ")-1)))</f>
        <v/>
      </c>
      <c r="H425" s="40" t="str">
        <f>IF(tblMovimientos[[#This Row],[SKU]]="","",IFERROR(INDEX(tblProductos[Unidad],MATCH(tblMovimientos[[#This Row],[SKU]],tblProductos[SKU],0)),"?"))</f>
        <v/>
      </c>
      <c r="I425" s="39"/>
      <c r="J425" s="47" t="str">
        <f>IF(tblMovimientos[[#This Row],[Tipo]]="","",IFERROR(INDEX(tblTiposMov[FactorStock],MATCH(tblMovimientos[[#This Row],[Tipo]],tblTiposMov[Tipo],0)),0))</f>
        <v/>
      </c>
      <c r="K4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" s="37"/>
      <c r="O425" s="37"/>
      <c r="P425" s="37"/>
    </row>
    <row r="426" spans="2:16" x14ac:dyDescent="0.25">
      <c r="B4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" s="46"/>
      <c r="D426" s="37"/>
      <c r="E426" s="37"/>
      <c r="F426" s="37"/>
      <c r="G426" s="40" t="str">
        <f>IF(tblMovimientos[[#This Row],[Producto]]="","",TRIM(LEFT(tblMovimientos[[#This Row],[Producto]],FIND(" · ",tblMovimientos[[#This Row],[Producto]]&amp;" · ")-1)))</f>
        <v/>
      </c>
      <c r="H426" s="40" t="str">
        <f>IF(tblMovimientos[[#This Row],[SKU]]="","",IFERROR(INDEX(tblProductos[Unidad],MATCH(tblMovimientos[[#This Row],[SKU]],tblProductos[SKU],0)),"?"))</f>
        <v/>
      </c>
      <c r="I426" s="39"/>
      <c r="J426" s="47" t="str">
        <f>IF(tblMovimientos[[#This Row],[Tipo]]="","",IFERROR(INDEX(tblTiposMov[FactorStock],MATCH(tblMovimientos[[#This Row],[Tipo]],tblTiposMov[Tipo],0)),0))</f>
        <v/>
      </c>
      <c r="K4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" s="37"/>
      <c r="O426" s="37"/>
      <c r="P426" s="37"/>
    </row>
    <row r="427" spans="2:16" x14ac:dyDescent="0.25">
      <c r="B4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" s="46"/>
      <c r="D427" s="37"/>
      <c r="E427" s="37"/>
      <c r="F427" s="37"/>
      <c r="G427" s="40" t="str">
        <f>IF(tblMovimientos[[#This Row],[Producto]]="","",TRIM(LEFT(tblMovimientos[[#This Row],[Producto]],FIND(" · ",tblMovimientos[[#This Row],[Producto]]&amp;" · ")-1)))</f>
        <v/>
      </c>
      <c r="H427" s="40" t="str">
        <f>IF(tblMovimientos[[#This Row],[SKU]]="","",IFERROR(INDEX(tblProductos[Unidad],MATCH(tblMovimientos[[#This Row],[SKU]],tblProductos[SKU],0)),"?"))</f>
        <v/>
      </c>
      <c r="I427" s="39"/>
      <c r="J427" s="47" t="str">
        <f>IF(tblMovimientos[[#This Row],[Tipo]]="","",IFERROR(INDEX(tblTiposMov[FactorStock],MATCH(tblMovimientos[[#This Row],[Tipo]],tblTiposMov[Tipo],0)),0))</f>
        <v/>
      </c>
      <c r="K4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" s="37"/>
      <c r="O427" s="37"/>
      <c r="P427" s="37"/>
    </row>
    <row r="428" spans="2:16" x14ac:dyDescent="0.25">
      <c r="B4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" s="46"/>
      <c r="D428" s="37"/>
      <c r="E428" s="37"/>
      <c r="F428" s="37"/>
      <c r="G428" s="40" t="str">
        <f>IF(tblMovimientos[[#This Row],[Producto]]="","",TRIM(LEFT(tblMovimientos[[#This Row],[Producto]],FIND(" · ",tblMovimientos[[#This Row],[Producto]]&amp;" · ")-1)))</f>
        <v/>
      </c>
      <c r="H428" s="40" t="str">
        <f>IF(tblMovimientos[[#This Row],[SKU]]="","",IFERROR(INDEX(tblProductos[Unidad],MATCH(tblMovimientos[[#This Row],[SKU]],tblProductos[SKU],0)),"?"))</f>
        <v/>
      </c>
      <c r="I428" s="39"/>
      <c r="J428" s="47" t="str">
        <f>IF(tblMovimientos[[#This Row],[Tipo]]="","",IFERROR(INDEX(tblTiposMov[FactorStock],MATCH(tblMovimientos[[#This Row],[Tipo]],tblTiposMov[Tipo],0)),0))</f>
        <v/>
      </c>
      <c r="K4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" s="37"/>
      <c r="O428" s="37"/>
      <c r="P428" s="37"/>
    </row>
    <row r="429" spans="2:16" x14ac:dyDescent="0.25">
      <c r="B4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" s="46"/>
      <c r="D429" s="37"/>
      <c r="E429" s="37"/>
      <c r="F429" s="37"/>
      <c r="G429" s="40" t="str">
        <f>IF(tblMovimientos[[#This Row],[Producto]]="","",TRIM(LEFT(tblMovimientos[[#This Row],[Producto]],FIND(" · ",tblMovimientos[[#This Row],[Producto]]&amp;" · ")-1)))</f>
        <v/>
      </c>
      <c r="H429" s="40" t="str">
        <f>IF(tblMovimientos[[#This Row],[SKU]]="","",IFERROR(INDEX(tblProductos[Unidad],MATCH(tblMovimientos[[#This Row],[SKU]],tblProductos[SKU],0)),"?"))</f>
        <v/>
      </c>
      <c r="I429" s="39"/>
      <c r="J429" s="47" t="str">
        <f>IF(tblMovimientos[[#This Row],[Tipo]]="","",IFERROR(INDEX(tblTiposMov[FactorStock],MATCH(tblMovimientos[[#This Row],[Tipo]],tblTiposMov[Tipo],0)),0))</f>
        <v/>
      </c>
      <c r="K4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" s="37"/>
      <c r="O429" s="37"/>
      <c r="P429" s="37"/>
    </row>
    <row r="430" spans="2:16" x14ac:dyDescent="0.25">
      <c r="B4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" s="46"/>
      <c r="D430" s="37"/>
      <c r="E430" s="37"/>
      <c r="F430" s="37"/>
      <c r="G430" s="40" t="str">
        <f>IF(tblMovimientos[[#This Row],[Producto]]="","",TRIM(LEFT(tblMovimientos[[#This Row],[Producto]],FIND(" · ",tblMovimientos[[#This Row],[Producto]]&amp;" · ")-1)))</f>
        <v/>
      </c>
      <c r="H430" s="40" t="str">
        <f>IF(tblMovimientos[[#This Row],[SKU]]="","",IFERROR(INDEX(tblProductos[Unidad],MATCH(tblMovimientos[[#This Row],[SKU]],tblProductos[SKU],0)),"?"))</f>
        <v/>
      </c>
      <c r="I430" s="39"/>
      <c r="J430" s="47" t="str">
        <f>IF(tblMovimientos[[#This Row],[Tipo]]="","",IFERROR(INDEX(tblTiposMov[FactorStock],MATCH(tblMovimientos[[#This Row],[Tipo]],tblTiposMov[Tipo],0)),0))</f>
        <v/>
      </c>
      <c r="K4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" s="37"/>
      <c r="O430" s="37"/>
      <c r="P430" s="37"/>
    </row>
    <row r="431" spans="2:16" x14ac:dyDescent="0.25">
      <c r="B4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" s="46"/>
      <c r="D431" s="37"/>
      <c r="E431" s="37"/>
      <c r="F431" s="37"/>
      <c r="G431" s="40" t="str">
        <f>IF(tblMovimientos[[#This Row],[Producto]]="","",TRIM(LEFT(tblMovimientos[[#This Row],[Producto]],FIND(" · ",tblMovimientos[[#This Row],[Producto]]&amp;" · ")-1)))</f>
        <v/>
      </c>
      <c r="H431" s="40" t="str">
        <f>IF(tblMovimientos[[#This Row],[SKU]]="","",IFERROR(INDEX(tblProductos[Unidad],MATCH(tblMovimientos[[#This Row],[SKU]],tblProductos[SKU],0)),"?"))</f>
        <v/>
      </c>
      <c r="I431" s="39"/>
      <c r="J431" s="47" t="str">
        <f>IF(tblMovimientos[[#This Row],[Tipo]]="","",IFERROR(INDEX(tblTiposMov[FactorStock],MATCH(tblMovimientos[[#This Row],[Tipo]],tblTiposMov[Tipo],0)),0))</f>
        <v/>
      </c>
      <c r="K4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" s="37"/>
      <c r="O431" s="37"/>
      <c r="P431" s="37"/>
    </row>
    <row r="432" spans="2:16" x14ac:dyDescent="0.25">
      <c r="B4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" s="46"/>
      <c r="D432" s="37"/>
      <c r="E432" s="37"/>
      <c r="F432" s="37"/>
      <c r="G432" s="40" t="str">
        <f>IF(tblMovimientos[[#This Row],[Producto]]="","",TRIM(LEFT(tblMovimientos[[#This Row],[Producto]],FIND(" · ",tblMovimientos[[#This Row],[Producto]]&amp;" · ")-1)))</f>
        <v/>
      </c>
      <c r="H432" s="40" t="str">
        <f>IF(tblMovimientos[[#This Row],[SKU]]="","",IFERROR(INDEX(tblProductos[Unidad],MATCH(tblMovimientos[[#This Row],[SKU]],tblProductos[SKU],0)),"?"))</f>
        <v/>
      </c>
      <c r="I432" s="39"/>
      <c r="J432" s="47" t="str">
        <f>IF(tblMovimientos[[#This Row],[Tipo]]="","",IFERROR(INDEX(tblTiposMov[FactorStock],MATCH(tblMovimientos[[#This Row],[Tipo]],tblTiposMov[Tipo],0)),0))</f>
        <v/>
      </c>
      <c r="K4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" s="37"/>
      <c r="O432" s="37"/>
      <c r="P432" s="37"/>
    </row>
    <row r="433" spans="2:16" x14ac:dyDescent="0.25">
      <c r="B4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" s="46"/>
      <c r="D433" s="37"/>
      <c r="E433" s="37"/>
      <c r="F433" s="37"/>
      <c r="G433" s="40" t="str">
        <f>IF(tblMovimientos[[#This Row],[Producto]]="","",TRIM(LEFT(tblMovimientos[[#This Row],[Producto]],FIND(" · ",tblMovimientos[[#This Row],[Producto]]&amp;" · ")-1)))</f>
        <v/>
      </c>
      <c r="H433" s="40" t="str">
        <f>IF(tblMovimientos[[#This Row],[SKU]]="","",IFERROR(INDEX(tblProductos[Unidad],MATCH(tblMovimientos[[#This Row],[SKU]],tblProductos[SKU],0)),"?"))</f>
        <v/>
      </c>
      <c r="I433" s="39"/>
      <c r="J433" s="47" t="str">
        <f>IF(tblMovimientos[[#This Row],[Tipo]]="","",IFERROR(INDEX(tblTiposMov[FactorStock],MATCH(tblMovimientos[[#This Row],[Tipo]],tblTiposMov[Tipo],0)),0))</f>
        <v/>
      </c>
      <c r="K4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" s="37"/>
      <c r="O433" s="37"/>
      <c r="P433" s="37"/>
    </row>
    <row r="434" spans="2:16" x14ac:dyDescent="0.25">
      <c r="B4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" s="46"/>
      <c r="D434" s="37"/>
      <c r="E434" s="37"/>
      <c r="F434" s="37"/>
      <c r="G434" s="40" t="str">
        <f>IF(tblMovimientos[[#This Row],[Producto]]="","",TRIM(LEFT(tblMovimientos[[#This Row],[Producto]],FIND(" · ",tblMovimientos[[#This Row],[Producto]]&amp;" · ")-1)))</f>
        <v/>
      </c>
      <c r="H434" s="40" t="str">
        <f>IF(tblMovimientos[[#This Row],[SKU]]="","",IFERROR(INDEX(tblProductos[Unidad],MATCH(tblMovimientos[[#This Row],[SKU]],tblProductos[SKU],0)),"?"))</f>
        <v/>
      </c>
      <c r="I434" s="39"/>
      <c r="J434" s="47" t="str">
        <f>IF(tblMovimientos[[#This Row],[Tipo]]="","",IFERROR(INDEX(tblTiposMov[FactorStock],MATCH(tblMovimientos[[#This Row],[Tipo]],tblTiposMov[Tipo],0)),0))</f>
        <v/>
      </c>
      <c r="K4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" s="37"/>
      <c r="O434" s="37"/>
      <c r="P434" s="37"/>
    </row>
    <row r="435" spans="2:16" x14ac:dyDescent="0.25">
      <c r="B4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" s="46"/>
      <c r="D435" s="37"/>
      <c r="E435" s="37"/>
      <c r="F435" s="37"/>
      <c r="G435" s="40" t="str">
        <f>IF(tblMovimientos[[#This Row],[Producto]]="","",TRIM(LEFT(tblMovimientos[[#This Row],[Producto]],FIND(" · ",tblMovimientos[[#This Row],[Producto]]&amp;" · ")-1)))</f>
        <v/>
      </c>
      <c r="H435" s="40" t="str">
        <f>IF(tblMovimientos[[#This Row],[SKU]]="","",IFERROR(INDEX(tblProductos[Unidad],MATCH(tblMovimientos[[#This Row],[SKU]],tblProductos[SKU],0)),"?"))</f>
        <v/>
      </c>
      <c r="I435" s="39"/>
      <c r="J435" s="47" t="str">
        <f>IF(tblMovimientos[[#This Row],[Tipo]]="","",IFERROR(INDEX(tblTiposMov[FactorStock],MATCH(tblMovimientos[[#This Row],[Tipo]],tblTiposMov[Tipo],0)),0))</f>
        <v/>
      </c>
      <c r="K4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" s="37"/>
      <c r="O435" s="37"/>
      <c r="P435" s="37"/>
    </row>
    <row r="436" spans="2:16" x14ac:dyDescent="0.25">
      <c r="B4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" s="46"/>
      <c r="D436" s="37"/>
      <c r="E436" s="37"/>
      <c r="F436" s="37"/>
      <c r="G436" s="40" t="str">
        <f>IF(tblMovimientos[[#This Row],[Producto]]="","",TRIM(LEFT(tblMovimientos[[#This Row],[Producto]],FIND(" · ",tblMovimientos[[#This Row],[Producto]]&amp;" · ")-1)))</f>
        <v/>
      </c>
      <c r="H436" s="40" t="str">
        <f>IF(tblMovimientos[[#This Row],[SKU]]="","",IFERROR(INDEX(tblProductos[Unidad],MATCH(tblMovimientos[[#This Row],[SKU]],tblProductos[SKU],0)),"?"))</f>
        <v/>
      </c>
      <c r="I436" s="39"/>
      <c r="J436" s="47" t="str">
        <f>IF(tblMovimientos[[#This Row],[Tipo]]="","",IFERROR(INDEX(tblTiposMov[FactorStock],MATCH(tblMovimientos[[#This Row],[Tipo]],tblTiposMov[Tipo],0)),0))</f>
        <v/>
      </c>
      <c r="K4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" s="37"/>
      <c r="O436" s="37"/>
      <c r="P436" s="37"/>
    </row>
    <row r="437" spans="2:16" x14ac:dyDescent="0.25">
      <c r="B4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" s="46"/>
      <c r="D437" s="37"/>
      <c r="E437" s="37"/>
      <c r="F437" s="37"/>
      <c r="G437" s="40" t="str">
        <f>IF(tblMovimientos[[#This Row],[Producto]]="","",TRIM(LEFT(tblMovimientos[[#This Row],[Producto]],FIND(" · ",tblMovimientos[[#This Row],[Producto]]&amp;" · ")-1)))</f>
        <v/>
      </c>
      <c r="H437" s="40" t="str">
        <f>IF(tblMovimientos[[#This Row],[SKU]]="","",IFERROR(INDEX(tblProductos[Unidad],MATCH(tblMovimientos[[#This Row],[SKU]],tblProductos[SKU],0)),"?"))</f>
        <v/>
      </c>
      <c r="I437" s="39"/>
      <c r="J437" s="47" t="str">
        <f>IF(tblMovimientos[[#This Row],[Tipo]]="","",IFERROR(INDEX(tblTiposMov[FactorStock],MATCH(tblMovimientos[[#This Row],[Tipo]],tblTiposMov[Tipo],0)),0))</f>
        <v/>
      </c>
      <c r="K4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" s="37"/>
      <c r="O437" s="37"/>
      <c r="P437" s="37"/>
    </row>
    <row r="438" spans="2:16" x14ac:dyDescent="0.25">
      <c r="B4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" s="46"/>
      <c r="D438" s="37"/>
      <c r="E438" s="37"/>
      <c r="F438" s="37"/>
      <c r="G438" s="40" t="str">
        <f>IF(tblMovimientos[[#This Row],[Producto]]="","",TRIM(LEFT(tblMovimientos[[#This Row],[Producto]],FIND(" · ",tblMovimientos[[#This Row],[Producto]]&amp;" · ")-1)))</f>
        <v/>
      </c>
      <c r="H438" s="40" t="str">
        <f>IF(tblMovimientos[[#This Row],[SKU]]="","",IFERROR(INDEX(tblProductos[Unidad],MATCH(tblMovimientos[[#This Row],[SKU]],tblProductos[SKU],0)),"?"))</f>
        <v/>
      </c>
      <c r="I438" s="39"/>
      <c r="J438" s="47" t="str">
        <f>IF(tblMovimientos[[#This Row],[Tipo]]="","",IFERROR(INDEX(tblTiposMov[FactorStock],MATCH(tblMovimientos[[#This Row],[Tipo]],tblTiposMov[Tipo],0)),0))</f>
        <v/>
      </c>
      <c r="K4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" s="37"/>
      <c r="O438" s="37"/>
      <c r="P438" s="37"/>
    </row>
    <row r="439" spans="2:16" x14ac:dyDescent="0.25">
      <c r="B4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" s="46"/>
      <c r="D439" s="37"/>
      <c r="E439" s="37"/>
      <c r="F439" s="37"/>
      <c r="G439" s="40" t="str">
        <f>IF(tblMovimientos[[#This Row],[Producto]]="","",TRIM(LEFT(tblMovimientos[[#This Row],[Producto]],FIND(" · ",tblMovimientos[[#This Row],[Producto]]&amp;" · ")-1)))</f>
        <v/>
      </c>
      <c r="H439" s="40" t="str">
        <f>IF(tblMovimientos[[#This Row],[SKU]]="","",IFERROR(INDEX(tblProductos[Unidad],MATCH(tblMovimientos[[#This Row],[SKU]],tblProductos[SKU],0)),"?"))</f>
        <v/>
      </c>
      <c r="I439" s="39"/>
      <c r="J439" s="47" t="str">
        <f>IF(tblMovimientos[[#This Row],[Tipo]]="","",IFERROR(INDEX(tblTiposMov[FactorStock],MATCH(tblMovimientos[[#This Row],[Tipo]],tblTiposMov[Tipo],0)),0))</f>
        <v/>
      </c>
      <c r="K4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" s="37"/>
      <c r="O439" s="37"/>
      <c r="P439" s="37"/>
    </row>
    <row r="440" spans="2:16" x14ac:dyDescent="0.25">
      <c r="B4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" s="46"/>
      <c r="D440" s="37"/>
      <c r="E440" s="37"/>
      <c r="F440" s="37"/>
      <c r="G440" s="40" t="str">
        <f>IF(tblMovimientos[[#This Row],[Producto]]="","",TRIM(LEFT(tblMovimientos[[#This Row],[Producto]],FIND(" · ",tblMovimientos[[#This Row],[Producto]]&amp;" · ")-1)))</f>
        <v/>
      </c>
      <c r="H440" s="40" t="str">
        <f>IF(tblMovimientos[[#This Row],[SKU]]="","",IFERROR(INDEX(tblProductos[Unidad],MATCH(tblMovimientos[[#This Row],[SKU]],tblProductos[SKU],0)),"?"))</f>
        <v/>
      </c>
      <c r="I440" s="39"/>
      <c r="J440" s="47" t="str">
        <f>IF(tblMovimientos[[#This Row],[Tipo]]="","",IFERROR(INDEX(tblTiposMov[FactorStock],MATCH(tblMovimientos[[#This Row],[Tipo]],tblTiposMov[Tipo],0)),0))</f>
        <v/>
      </c>
      <c r="K4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" s="37"/>
      <c r="O440" s="37"/>
      <c r="P440" s="37"/>
    </row>
    <row r="441" spans="2:16" x14ac:dyDescent="0.25">
      <c r="B4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" s="46"/>
      <c r="D441" s="37"/>
      <c r="E441" s="37"/>
      <c r="F441" s="37"/>
      <c r="G441" s="40" t="str">
        <f>IF(tblMovimientos[[#This Row],[Producto]]="","",TRIM(LEFT(tblMovimientos[[#This Row],[Producto]],FIND(" · ",tblMovimientos[[#This Row],[Producto]]&amp;" · ")-1)))</f>
        <v/>
      </c>
      <c r="H441" s="40" t="str">
        <f>IF(tblMovimientos[[#This Row],[SKU]]="","",IFERROR(INDEX(tblProductos[Unidad],MATCH(tblMovimientos[[#This Row],[SKU]],tblProductos[SKU],0)),"?"))</f>
        <v/>
      </c>
      <c r="I441" s="39"/>
      <c r="J441" s="47" t="str">
        <f>IF(tblMovimientos[[#This Row],[Tipo]]="","",IFERROR(INDEX(tblTiposMov[FactorStock],MATCH(tblMovimientos[[#This Row],[Tipo]],tblTiposMov[Tipo],0)),0))</f>
        <v/>
      </c>
      <c r="K4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" s="37"/>
      <c r="O441" s="37"/>
      <c r="P441" s="37"/>
    </row>
    <row r="442" spans="2:16" x14ac:dyDescent="0.25">
      <c r="B4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" s="46"/>
      <c r="D442" s="37"/>
      <c r="E442" s="37"/>
      <c r="F442" s="37"/>
      <c r="G442" s="40" t="str">
        <f>IF(tblMovimientos[[#This Row],[Producto]]="","",TRIM(LEFT(tblMovimientos[[#This Row],[Producto]],FIND(" · ",tblMovimientos[[#This Row],[Producto]]&amp;" · ")-1)))</f>
        <v/>
      </c>
      <c r="H442" s="40" t="str">
        <f>IF(tblMovimientos[[#This Row],[SKU]]="","",IFERROR(INDEX(tblProductos[Unidad],MATCH(tblMovimientos[[#This Row],[SKU]],tblProductos[SKU],0)),"?"))</f>
        <v/>
      </c>
      <c r="I442" s="39"/>
      <c r="J442" s="47" t="str">
        <f>IF(tblMovimientos[[#This Row],[Tipo]]="","",IFERROR(INDEX(tblTiposMov[FactorStock],MATCH(tblMovimientos[[#This Row],[Tipo]],tblTiposMov[Tipo],0)),0))</f>
        <v/>
      </c>
      <c r="K4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" s="37"/>
      <c r="O442" s="37"/>
      <c r="P442" s="37"/>
    </row>
    <row r="443" spans="2:16" x14ac:dyDescent="0.25">
      <c r="B4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" s="46"/>
      <c r="D443" s="37"/>
      <c r="E443" s="37"/>
      <c r="F443" s="37"/>
      <c r="G443" s="40" t="str">
        <f>IF(tblMovimientos[[#This Row],[Producto]]="","",TRIM(LEFT(tblMovimientos[[#This Row],[Producto]],FIND(" · ",tblMovimientos[[#This Row],[Producto]]&amp;" · ")-1)))</f>
        <v/>
      </c>
      <c r="H443" s="40" t="str">
        <f>IF(tblMovimientos[[#This Row],[SKU]]="","",IFERROR(INDEX(tblProductos[Unidad],MATCH(tblMovimientos[[#This Row],[SKU]],tblProductos[SKU],0)),"?"))</f>
        <v/>
      </c>
      <c r="I443" s="39"/>
      <c r="J443" s="47" t="str">
        <f>IF(tblMovimientos[[#This Row],[Tipo]]="","",IFERROR(INDEX(tblTiposMov[FactorStock],MATCH(tblMovimientos[[#This Row],[Tipo]],tblTiposMov[Tipo],0)),0))</f>
        <v/>
      </c>
      <c r="K4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" s="37"/>
      <c r="O443" s="37"/>
      <c r="P443" s="37"/>
    </row>
    <row r="444" spans="2:16" x14ac:dyDescent="0.25">
      <c r="B4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" s="46"/>
      <c r="D444" s="37"/>
      <c r="E444" s="37"/>
      <c r="F444" s="37"/>
      <c r="G444" s="40" t="str">
        <f>IF(tblMovimientos[[#This Row],[Producto]]="","",TRIM(LEFT(tblMovimientos[[#This Row],[Producto]],FIND(" · ",tblMovimientos[[#This Row],[Producto]]&amp;" · ")-1)))</f>
        <v/>
      </c>
      <c r="H444" s="40" t="str">
        <f>IF(tblMovimientos[[#This Row],[SKU]]="","",IFERROR(INDEX(tblProductos[Unidad],MATCH(tblMovimientos[[#This Row],[SKU]],tblProductos[SKU],0)),"?"))</f>
        <v/>
      </c>
      <c r="I444" s="39"/>
      <c r="J444" s="47" t="str">
        <f>IF(tblMovimientos[[#This Row],[Tipo]]="","",IFERROR(INDEX(tblTiposMov[FactorStock],MATCH(tblMovimientos[[#This Row],[Tipo]],tblTiposMov[Tipo],0)),0))</f>
        <v/>
      </c>
      <c r="K4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" s="37"/>
      <c r="O444" s="37"/>
      <c r="P444" s="37"/>
    </row>
    <row r="445" spans="2:16" x14ac:dyDescent="0.25">
      <c r="B4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" s="46"/>
      <c r="D445" s="37"/>
      <c r="E445" s="37"/>
      <c r="F445" s="37"/>
      <c r="G445" s="40" t="str">
        <f>IF(tblMovimientos[[#This Row],[Producto]]="","",TRIM(LEFT(tblMovimientos[[#This Row],[Producto]],FIND(" · ",tblMovimientos[[#This Row],[Producto]]&amp;" · ")-1)))</f>
        <v/>
      </c>
      <c r="H445" s="40" t="str">
        <f>IF(tblMovimientos[[#This Row],[SKU]]="","",IFERROR(INDEX(tblProductos[Unidad],MATCH(tblMovimientos[[#This Row],[SKU]],tblProductos[SKU],0)),"?"))</f>
        <v/>
      </c>
      <c r="I445" s="39"/>
      <c r="J445" s="47" t="str">
        <f>IF(tblMovimientos[[#This Row],[Tipo]]="","",IFERROR(INDEX(tblTiposMov[FactorStock],MATCH(tblMovimientos[[#This Row],[Tipo]],tblTiposMov[Tipo],0)),0))</f>
        <v/>
      </c>
      <c r="K4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" s="37"/>
      <c r="O445" s="37"/>
      <c r="P445" s="37"/>
    </row>
    <row r="446" spans="2:16" x14ac:dyDescent="0.25">
      <c r="B4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" s="46"/>
      <c r="D446" s="37"/>
      <c r="E446" s="37"/>
      <c r="F446" s="37"/>
      <c r="G446" s="40" t="str">
        <f>IF(tblMovimientos[[#This Row],[Producto]]="","",TRIM(LEFT(tblMovimientos[[#This Row],[Producto]],FIND(" · ",tblMovimientos[[#This Row],[Producto]]&amp;" · ")-1)))</f>
        <v/>
      </c>
      <c r="H446" s="40" t="str">
        <f>IF(tblMovimientos[[#This Row],[SKU]]="","",IFERROR(INDEX(tblProductos[Unidad],MATCH(tblMovimientos[[#This Row],[SKU]],tblProductos[SKU],0)),"?"))</f>
        <v/>
      </c>
      <c r="I446" s="39"/>
      <c r="J446" s="47" t="str">
        <f>IF(tblMovimientos[[#This Row],[Tipo]]="","",IFERROR(INDEX(tblTiposMov[FactorStock],MATCH(tblMovimientos[[#This Row],[Tipo]],tblTiposMov[Tipo],0)),0))</f>
        <v/>
      </c>
      <c r="K4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" s="37"/>
      <c r="O446" s="37"/>
      <c r="P446" s="37"/>
    </row>
    <row r="447" spans="2:16" x14ac:dyDescent="0.25">
      <c r="B4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" s="46"/>
      <c r="D447" s="37"/>
      <c r="E447" s="37"/>
      <c r="F447" s="37"/>
      <c r="G447" s="40" t="str">
        <f>IF(tblMovimientos[[#This Row],[Producto]]="","",TRIM(LEFT(tblMovimientos[[#This Row],[Producto]],FIND(" · ",tblMovimientos[[#This Row],[Producto]]&amp;" · ")-1)))</f>
        <v/>
      </c>
      <c r="H447" s="40" t="str">
        <f>IF(tblMovimientos[[#This Row],[SKU]]="","",IFERROR(INDEX(tblProductos[Unidad],MATCH(tblMovimientos[[#This Row],[SKU]],tblProductos[SKU],0)),"?"))</f>
        <v/>
      </c>
      <c r="I447" s="39"/>
      <c r="J447" s="47" t="str">
        <f>IF(tblMovimientos[[#This Row],[Tipo]]="","",IFERROR(INDEX(tblTiposMov[FactorStock],MATCH(tblMovimientos[[#This Row],[Tipo]],tblTiposMov[Tipo],0)),0))</f>
        <v/>
      </c>
      <c r="K4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" s="37"/>
      <c r="O447" s="37"/>
      <c r="P447" s="37"/>
    </row>
    <row r="448" spans="2:16" x14ac:dyDescent="0.25">
      <c r="B4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" s="46"/>
      <c r="D448" s="37"/>
      <c r="E448" s="37"/>
      <c r="F448" s="37"/>
      <c r="G448" s="40" t="str">
        <f>IF(tblMovimientos[[#This Row],[Producto]]="","",TRIM(LEFT(tblMovimientos[[#This Row],[Producto]],FIND(" · ",tblMovimientos[[#This Row],[Producto]]&amp;" · ")-1)))</f>
        <v/>
      </c>
      <c r="H448" s="40" t="str">
        <f>IF(tblMovimientos[[#This Row],[SKU]]="","",IFERROR(INDEX(tblProductos[Unidad],MATCH(tblMovimientos[[#This Row],[SKU]],tblProductos[SKU],0)),"?"))</f>
        <v/>
      </c>
      <c r="I448" s="39"/>
      <c r="J448" s="47" t="str">
        <f>IF(tblMovimientos[[#This Row],[Tipo]]="","",IFERROR(INDEX(tblTiposMov[FactorStock],MATCH(tblMovimientos[[#This Row],[Tipo]],tblTiposMov[Tipo],0)),0))</f>
        <v/>
      </c>
      <c r="K4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" s="37"/>
      <c r="O448" s="37"/>
      <c r="P448" s="37"/>
    </row>
    <row r="449" spans="2:16" x14ac:dyDescent="0.25">
      <c r="B4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" s="46"/>
      <c r="D449" s="37"/>
      <c r="E449" s="37"/>
      <c r="F449" s="37"/>
      <c r="G449" s="40" t="str">
        <f>IF(tblMovimientos[[#This Row],[Producto]]="","",TRIM(LEFT(tblMovimientos[[#This Row],[Producto]],FIND(" · ",tblMovimientos[[#This Row],[Producto]]&amp;" · ")-1)))</f>
        <v/>
      </c>
      <c r="H449" s="40" t="str">
        <f>IF(tblMovimientos[[#This Row],[SKU]]="","",IFERROR(INDEX(tblProductos[Unidad],MATCH(tblMovimientos[[#This Row],[SKU]],tblProductos[SKU],0)),"?"))</f>
        <v/>
      </c>
      <c r="I449" s="39"/>
      <c r="J449" s="47" t="str">
        <f>IF(tblMovimientos[[#This Row],[Tipo]]="","",IFERROR(INDEX(tblTiposMov[FactorStock],MATCH(tblMovimientos[[#This Row],[Tipo]],tblTiposMov[Tipo],0)),0))</f>
        <v/>
      </c>
      <c r="K4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" s="37"/>
      <c r="O449" s="37"/>
      <c r="P449" s="37"/>
    </row>
    <row r="450" spans="2:16" x14ac:dyDescent="0.25">
      <c r="B4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" s="46"/>
      <c r="D450" s="37"/>
      <c r="E450" s="37"/>
      <c r="F450" s="37"/>
      <c r="G450" s="40" t="str">
        <f>IF(tblMovimientos[[#This Row],[Producto]]="","",TRIM(LEFT(tblMovimientos[[#This Row],[Producto]],FIND(" · ",tblMovimientos[[#This Row],[Producto]]&amp;" · ")-1)))</f>
        <v/>
      </c>
      <c r="H450" s="40" t="str">
        <f>IF(tblMovimientos[[#This Row],[SKU]]="","",IFERROR(INDEX(tblProductos[Unidad],MATCH(tblMovimientos[[#This Row],[SKU]],tblProductos[SKU],0)),"?"))</f>
        <v/>
      </c>
      <c r="I450" s="39"/>
      <c r="J450" s="47" t="str">
        <f>IF(tblMovimientos[[#This Row],[Tipo]]="","",IFERROR(INDEX(tblTiposMov[FactorStock],MATCH(tblMovimientos[[#This Row],[Tipo]],tblTiposMov[Tipo],0)),0))</f>
        <v/>
      </c>
      <c r="K4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" s="37"/>
      <c r="O450" s="37"/>
      <c r="P450" s="37"/>
    </row>
    <row r="451" spans="2:16" x14ac:dyDescent="0.25">
      <c r="B4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" s="46"/>
      <c r="D451" s="37"/>
      <c r="E451" s="37"/>
      <c r="F451" s="37"/>
      <c r="G451" s="40" t="str">
        <f>IF(tblMovimientos[[#This Row],[Producto]]="","",TRIM(LEFT(tblMovimientos[[#This Row],[Producto]],FIND(" · ",tblMovimientos[[#This Row],[Producto]]&amp;" · ")-1)))</f>
        <v/>
      </c>
      <c r="H451" s="40" t="str">
        <f>IF(tblMovimientos[[#This Row],[SKU]]="","",IFERROR(INDEX(tblProductos[Unidad],MATCH(tblMovimientos[[#This Row],[SKU]],tblProductos[SKU],0)),"?"))</f>
        <v/>
      </c>
      <c r="I451" s="39"/>
      <c r="J451" s="47" t="str">
        <f>IF(tblMovimientos[[#This Row],[Tipo]]="","",IFERROR(INDEX(tblTiposMov[FactorStock],MATCH(tblMovimientos[[#This Row],[Tipo]],tblTiposMov[Tipo],0)),0))</f>
        <v/>
      </c>
      <c r="K4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" s="37"/>
      <c r="O451" s="37"/>
      <c r="P451" s="37"/>
    </row>
    <row r="452" spans="2:16" x14ac:dyDescent="0.25">
      <c r="B4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" s="46"/>
      <c r="D452" s="37"/>
      <c r="E452" s="37"/>
      <c r="F452" s="37"/>
      <c r="G452" s="40" t="str">
        <f>IF(tblMovimientos[[#This Row],[Producto]]="","",TRIM(LEFT(tblMovimientos[[#This Row],[Producto]],FIND(" · ",tblMovimientos[[#This Row],[Producto]]&amp;" · ")-1)))</f>
        <v/>
      </c>
      <c r="H452" s="40" t="str">
        <f>IF(tblMovimientos[[#This Row],[SKU]]="","",IFERROR(INDEX(tblProductos[Unidad],MATCH(tblMovimientos[[#This Row],[SKU]],tblProductos[SKU],0)),"?"))</f>
        <v/>
      </c>
      <c r="I452" s="39"/>
      <c r="J452" s="47" t="str">
        <f>IF(tblMovimientos[[#This Row],[Tipo]]="","",IFERROR(INDEX(tblTiposMov[FactorStock],MATCH(tblMovimientos[[#This Row],[Tipo]],tblTiposMov[Tipo],0)),0))</f>
        <v/>
      </c>
      <c r="K4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" s="37"/>
      <c r="O452" s="37"/>
      <c r="P452" s="37"/>
    </row>
    <row r="453" spans="2:16" x14ac:dyDescent="0.25">
      <c r="B4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" s="46"/>
      <c r="D453" s="37"/>
      <c r="E453" s="37"/>
      <c r="F453" s="37"/>
      <c r="G453" s="40" t="str">
        <f>IF(tblMovimientos[[#This Row],[Producto]]="","",TRIM(LEFT(tblMovimientos[[#This Row],[Producto]],FIND(" · ",tblMovimientos[[#This Row],[Producto]]&amp;" · ")-1)))</f>
        <v/>
      </c>
      <c r="H453" s="40" t="str">
        <f>IF(tblMovimientos[[#This Row],[SKU]]="","",IFERROR(INDEX(tblProductos[Unidad],MATCH(tblMovimientos[[#This Row],[SKU]],tblProductos[SKU],0)),"?"))</f>
        <v/>
      </c>
      <c r="I453" s="39"/>
      <c r="J453" s="47" t="str">
        <f>IF(tblMovimientos[[#This Row],[Tipo]]="","",IFERROR(INDEX(tblTiposMov[FactorStock],MATCH(tblMovimientos[[#This Row],[Tipo]],tblTiposMov[Tipo],0)),0))</f>
        <v/>
      </c>
      <c r="K4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" s="37"/>
      <c r="O453" s="37"/>
      <c r="P453" s="37"/>
    </row>
    <row r="454" spans="2:16" x14ac:dyDescent="0.25">
      <c r="B4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" s="46"/>
      <c r="D454" s="37"/>
      <c r="E454" s="37"/>
      <c r="F454" s="37"/>
      <c r="G454" s="40" t="str">
        <f>IF(tblMovimientos[[#This Row],[Producto]]="","",TRIM(LEFT(tblMovimientos[[#This Row],[Producto]],FIND(" · ",tblMovimientos[[#This Row],[Producto]]&amp;" · ")-1)))</f>
        <v/>
      </c>
      <c r="H454" s="40" t="str">
        <f>IF(tblMovimientos[[#This Row],[SKU]]="","",IFERROR(INDEX(tblProductos[Unidad],MATCH(tblMovimientos[[#This Row],[SKU]],tblProductos[SKU],0)),"?"))</f>
        <v/>
      </c>
      <c r="I454" s="39"/>
      <c r="J454" s="47" t="str">
        <f>IF(tblMovimientos[[#This Row],[Tipo]]="","",IFERROR(INDEX(tblTiposMov[FactorStock],MATCH(tblMovimientos[[#This Row],[Tipo]],tblTiposMov[Tipo],0)),0))</f>
        <v/>
      </c>
      <c r="K4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" s="37"/>
      <c r="O454" s="37"/>
      <c r="P454" s="37"/>
    </row>
    <row r="455" spans="2:16" x14ac:dyDescent="0.25">
      <c r="B4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" s="46"/>
      <c r="D455" s="37"/>
      <c r="E455" s="37"/>
      <c r="F455" s="37"/>
      <c r="G455" s="40" t="str">
        <f>IF(tblMovimientos[[#This Row],[Producto]]="","",TRIM(LEFT(tblMovimientos[[#This Row],[Producto]],FIND(" · ",tblMovimientos[[#This Row],[Producto]]&amp;" · ")-1)))</f>
        <v/>
      </c>
      <c r="H455" s="40" t="str">
        <f>IF(tblMovimientos[[#This Row],[SKU]]="","",IFERROR(INDEX(tblProductos[Unidad],MATCH(tblMovimientos[[#This Row],[SKU]],tblProductos[SKU],0)),"?"))</f>
        <v/>
      </c>
      <c r="I455" s="39"/>
      <c r="J455" s="47" t="str">
        <f>IF(tblMovimientos[[#This Row],[Tipo]]="","",IFERROR(INDEX(tblTiposMov[FactorStock],MATCH(tblMovimientos[[#This Row],[Tipo]],tblTiposMov[Tipo],0)),0))</f>
        <v/>
      </c>
      <c r="K4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" s="37"/>
      <c r="O455" s="37"/>
      <c r="P455" s="37"/>
    </row>
    <row r="456" spans="2:16" x14ac:dyDescent="0.25">
      <c r="B4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" s="46"/>
      <c r="D456" s="37"/>
      <c r="E456" s="37"/>
      <c r="F456" s="37"/>
      <c r="G456" s="40" t="str">
        <f>IF(tblMovimientos[[#This Row],[Producto]]="","",TRIM(LEFT(tblMovimientos[[#This Row],[Producto]],FIND(" · ",tblMovimientos[[#This Row],[Producto]]&amp;" · ")-1)))</f>
        <v/>
      </c>
      <c r="H456" s="40" t="str">
        <f>IF(tblMovimientos[[#This Row],[SKU]]="","",IFERROR(INDEX(tblProductos[Unidad],MATCH(tblMovimientos[[#This Row],[SKU]],tblProductos[SKU],0)),"?"))</f>
        <v/>
      </c>
      <c r="I456" s="39"/>
      <c r="J456" s="47" t="str">
        <f>IF(tblMovimientos[[#This Row],[Tipo]]="","",IFERROR(INDEX(tblTiposMov[FactorStock],MATCH(tblMovimientos[[#This Row],[Tipo]],tblTiposMov[Tipo],0)),0))</f>
        <v/>
      </c>
      <c r="K4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" s="37"/>
      <c r="O456" s="37"/>
      <c r="P456" s="37"/>
    </row>
    <row r="457" spans="2:16" x14ac:dyDescent="0.25">
      <c r="B4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" s="46"/>
      <c r="D457" s="37"/>
      <c r="E457" s="37"/>
      <c r="F457" s="37"/>
      <c r="G457" s="40" t="str">
        <f>IF(tblMovimientos[[#This Row],[Producto]]="","",TRIM(LEFT(tblMovimientos[[#This Row],[Producto]],FIND(" · ",tblMovimientos[[#This Row],[Producto]]&amp;" · ")-1)))</f>
        <v/>
      </c>
      <c r="H457" s="40" t="str">
        <f>IF(tblMovimientos[[#This Row],[SKU]]="","",IFERROR(INDEX(tblProductos[Unidad],MATCH(tblMovimientos[[#This Row],[SKU]],tblProductos[SKU],0)),"?"))</f>
        <v/>
      </c>
      <c r="I457" s="39"/>
      <c r="J457" s="47" t="str">
        <f>IF(tblMovimientos[[#This Row],[Tipo]]="","",IFERROR(INDEX(tblTiposMov[FactorStock],MATCH(tblMovimientos[[#This Row],[Tipo]],tblTiposMov[Tipo],0)),0))</f>
        <v/>
      </c>
      <c r="K4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" s="37"/>
      <c r="O457" s="37"/>
      <c r="P457" s="37"/>
    </row>
    <row r="458" spans="2:16" x14ac:dyDescent="0.25">
      <c r="B4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" s="46"/>
      <c r="D458" s="37"/>
      <c r="E458" s="37"/>
      <c r="F458" s="37"/>
      <c r="G458" s="40" t="str">
        <f>IF(tblMovimientos[[#This Row],[Producto]]="","",TRIM(LEFT(tblMovimientos[[#This Row],[Producto]],FIND(" · ",tblMovimientos[[#This Row],[Producto]]&amp;" · ")-1)))</f>
        <v/>
      </c>
      <c r="H458" s="40" t="str">
        <f>IF(tblMovimientos[[#This Row],[SKU]]="","",IFERROR(INDEX(tblProductos[Unidad],MATCH(tblMovimientos[[#This Row],[SKU]],tblProductos[SKU],0)),"?"))</f>
        <v/>
      </c>
      <c r="I458" s="39"/>
      <c r="J458" s="47" t="str">
        <f>IF(tblMovimientos[[#This Row],[Tipo]]="","",IFERROR(INDEX(tblTiposMov[FactorStock],MATCH(tblMovimientos[[#This Row],[Tipo]],tblTiposMov[Tipo],0)),0))</f>
        <v/>
      </c>
      <c r="K4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" s="37"/>
      <c r="O458" s="37"/>
      <c r="P458" s="37"/>
    </row>
    <row r="459" spans="2:16" x14ac:dyDescent="0.25">
      <c r="B4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" s="46"/>
      <c r="D459" s="37"/>
      <c r="E459" s="37"/>
      <c r="F459" s="37"/>
      <c r="G459" s="40" t="str">
        <f>IF(tblMovimientos[[#This Row],[Producto]]="","",TRIM(LEFT(tblMovimientos[[#This Row],[Producto]],FIND(" · ",tblMovimientos[[#This Row],[Producto]]&amp;" · ")-1)))</f>
        <v/>
      </c>
      <c r="H459" s="40" t="str">
        <f>IF(tblMovimientos[[#This Row],[SKU]]="","",IFERROR(INDEX(tblProductos[Unidad],MATCH(tblMovimientos[[#This Row],[SKU]],tblProductos[SKU],0)),"?"))</f>
        <v/>
      </c>
      <c r="I459" s="39"/>
      <c r="J459" s="47" t="str">
        <f>IF(tblMovimientos[[#This Row],[Tipo]]="","",IFERROR(INDEX(tblTiposMov[FactorStock],MATCH(tblMovimientos[[#This Row],[Tipo]],tblTiposMov[Tipo],0)),0))</f>
        <v/>
      </c>
      <c r="K4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" s="37"/>
      <c r="O459" s="37"/>
      <c r="P459" s="37"/>
    </row>
    <row r="460" spans="2:16" x14ac:dyDescent="0.25">
      <c r="B4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" s="46"/>
      <c r="D460" s="37"/>
      <c r="E460" s="37"/>
      <c r="F460" s="37"/>
      <c r="G460" s="40" t="str">
        <f>IF(tblMovimientos[[#This Row],[Producto]]="","",TRIM(LEFT(tblMovimientos[[#This Row],[Producto]],FIND(" · ",tblMovimientos[[#This Row],[Producto]]&amp;" · ")-1)))</f>
        <v/>
      </c>
      <c r="H460" s="40" t="str">
        <f>IF(tblMovimientos[[#This Row],[SKU]]="","",IFERROR(INDEX(tblProductos[Unidad],MATCH(tblMovimientos[[#This Row],[SKU]],tblProductos[SKU],0)),"?"))</f>
        <v/>
      </c>
      <c r="I460" s="39"/>
      <c r="J460" s="47" t="str">
        <f>IF(tblMovimientos[[#This Row],[Tipo]]="","",IFERROR(INDEX(tblTiposMov[FactorStock],MATCH(tblMovimientos[[#This Row],[Tipo]],tblTiposMov[Tipo],0)),0))</f>
        <v/>
      </c>
      <c r="K4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" s="37"/>
      <c r="O460" s="37"/>
      <c r="P460" s="37"/>
    </row>
    <row r="461" spans="2:16" x14ac:dyDescent="0.25">
      <c r="B4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" s="46"/>
      <c r="D461" s="37"/>
      <c r="E461" s="37"/>
      <c r="F461" s="37"/>
      <c r="G461" s="40" t="str">
        <f>IF(tblMovimientos[[#This Row],[Producto]]="","",TRIM(LEFT(tblMovimientos[[#This Row],[Producto]],FIND(" · ",tblMovimientos[[#This Row],[Producto]]&amp;" · ")-1)))</f>
        <v/>
      </c>
      <c r="H461" s="40" t="str">
        <f>IF(tblMovimientos[[#This Row],[SKU]]="","",IFERROR(INDEX(tblProductos[Unidad],MATCH(tblMovimientos[[#This Row],[SKU]],tblProductos[SKU],0)),"?"))</f>
        <v/>
      </c>
      <c r="I461" s="39"/>
      <c r="J461" s="47" t="str">
        <f>IF(tblMovimientos[[#This Row],[Tipo]]="","",IFERROR(INDEX(tblTiposMov[FactorStock],MATCH(tblMovimientos[[#This Row],[Tipo]],tblTiposMov[Tipo],0)),0))</f>
        <v/>
      </c>
      <c r="K4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" s="37"/>
      <c r="O461" s="37"/>
      <c r="P461" s="37"/>
    </row>
    <row r="462" spans="2:16" x14ac:dyDescent="0.25">
      <c r="B4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" s="46"/>
      <c r="D462" s="37"/>
      <c r="E462" s="37"/>
      <c r="F462" s="37"/>
      <c r="G462" s="40" t="str">
        <f>IF(tblMovimientos[[#This Row],[Producto]]="","",TRIM(LEFT(tblMovimientos[[#This Row],[Producto]],FIND(" · ",tblMovimientos[[#This Row],[Producto]]&amp;" · ")-1)))</f>
        <v/>
      </c>
      <c r="H462" s="40" t="str">
        <f>IF(tblMovimientos[[#This Row],[SKU]]="","",IFERROR(INDEX(tblProductos[Unidad],MATCH(tblMovimientos[[#This Row],[SKU]],tblProductos[SKU],0)),"?"))</f>
        <v/>
      </c>
      <c r="I462" s="39"/>
      <c r="J462" s="47" t="str">
        <f>IF(tblMovimientos[[#This Row],[Tipo]]="","",IFERROR(INDEX(tblTiposMov[FactorStock],MATCH(tblMovimientos[[#This Row],[Tipo]],tblTiposMov[Tipo],0)),0))</f>
        <v/>
      </c>
      <c r="K4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" s="37"/>
      <c r="O462" s="37"/>
      <c r="P462" s="37"/>
    </row>
    <row r="463" spans="2:16" x14ac:dyDescent="0.25">
      <c r="B4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" s="46"/>
      <c r="D463" s="37"/>
      <c r="E463" s="37"/>
      <c r="F463" s="37"/>
      <c r="G463" s="40" t="str">
        <f>IF(tblMovimientos[[#This Row],[Producto]]="","",TRIM(LEFT(tblMovimientos[[#This Row],[Producto]],FIND(" · ",tblMovimientos[[#This Row],[Producto]]&amp;" · ")-1)))</f>
        <v/>
      </c>
      <c r="H463" s="40" t="str">
        <f>IF(tblMovimientos[[#This Row],[SKU]]="","",IFERROR(INDEX(tblProductos[Unidad],MATCH(tblMovimientos[[#This Row],[SKU]],tblProductos[SKU],0)),"?"))</f>
        <v/>
      </c>
      <c r="I463" s="39"/>
      <c r="J463" s="47" t="str">
        <f>IF(tblMovimientos[[#This Row],[Tipo]]="","",IFERROR(INDEX(tblTiposMov[FactorStock],MATCH(tblMovimientos[[#This Row],[Tipo]],tblTiposMov[Tipo],0)),0))</f>
        <v/>
      </c>
      <c r="K4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" s="37"/>
      <c r="O463" s="37"/>
      <c r="P463" s="37"/>
    </row>
    <row r="464" spans="2:16" x14ac:dyDescent="0.25">
      <c r="B4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" s="46"/>
      <c r="D464" s="37"/>
      <c r="E464" s="37"/>
      <c r="F464" s="37"/>
      <c r="G464" s="40" t="str">
        <f>IF(tblMovimientos[[#This Row],[Producto]]="","",TRIM(LEFT(tblMovimientos[[#This Row],[Producto]],FIND(" · ",tblMovimientos[[#This Row],[Producto]]&amp;" · ")-1)))</f>
        <v/>
      </c>
      <c r="H464" s="40" t="str">
        <f>IF(tblMovimientos[[#This Row],[SKU]]="","",IFERROR(INDEX(tblProductos[Unidad],MATCH(tblMovimientos[[#This Row],[SKU]],tblProductos[SKU],0)),"?"))</f>
        <v/>
      </c>
      <c r="I464" s="39"/>
      <c r="J464" s="47" t="str">
        <f>IF(tblMovimientos[[#This Row],[Tipo]]="","",IFERROR(INDEX(tblTiposMov[FactorStock],MATCH(tblMovimientos[[#This Row],[Tipo]],tblTiposMov[Tipo],0)),0))</f>
        <v/>
      </c>
      <c r="K4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" s="37"/>
      <c r="O464" s="37"/>
      <c r="P464" s="37"/>
    </row>
    <row r="465" spans="2:16" x14ac:dyDescent="0.25">
      <c r="B4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" s="46"/>
      <c r="D465" s="37"/>
      <c r="E465" s="37"/>
      <c r="F465" s="37"/>
      <c r="G465" s="40" t="str">
        <f>IF(tblMovimientos[[#This Row],[Producto]]="","",TRIM(LEFT(tblMovimientos[[#This Row],[Producto]],FIND(" · ",tblMovimientos[[#This Row],[Producto]]&amp;" · ")-1)))</f>
        <v/>
      </c>
      <c r="H465" s="40" t="str">
        <f>IF(tblMovimientos[[#This Row],[SKU]]="","",IFERROR(INDEX(tblProductos[Unidad],MATCH(tblMovimientos[[#This Row],[SKU]],tblProductos[SKU],0)),"?"))</f>
        <v/>
      </c>
      <c r="I465" s="39"/>
      <c r="J465" s="47" t="str">
        <f>IF(tblMovimientos[[#This Row],[Tipo]]="","",IFERROR(INDEX(tblTiposMov[FactorStock],MATCH(tblMovimientos[[#This Row],[Tipo]],tblTiposMov[Tipo],0)),0))</f>
        <v/>
      </c>
      <c r="K4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" s="37"/>
      <c r="O465" s="37"/>
      <c r="P465" s="37"/>
    </row>
    <row r="466" spans="2:16" x14ac:dyDescent="0.25">
      <c r="B4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" s="46"/>
      <c r="D466" s="37"/>
      <c r="E466" s="37"/>
      <c r="F466" s="37"/>
      <c r="G466" s="40" t="str">
        <f>IF(tblMovimientos[[#This Row],[Producto]]="","",TRIM(LEFT(tblMovimientos[[#This Row],[Producto]],FIND(" · ",tblMovimientos[[#This Row],[Producto]]&amp;" · ")-1)))</f>
        <v/>
      </c>
      <c r="H466" s="40" t="str">
        <f>IF(tblMovimientos[[#This Row],[SKU]]="","",IFERROR(INDEX(tblProductos[Unidad],MATCH(tblMovimientos[[#This Row],[SKU]],tblProductos[SKU],0)),"?"))</f>
        <v/>
      </c>
      <c r="I466" s="39"/>
      <c r="J466" s="47" t="str">
        <f>IF(tblMovimientos[[#This Row],[Tipo]]="","",IFERROR(INDEX(tblTiposMov[FactorStock],MATCH(tblMovimientos[[#This Row],[Tipo]],tblTiposMov[Tipo],0)),0))</f>
        <v/>
      </c>
      <c r="K4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" s="37"/>
      <c r="O466" s="37"/>
      <c r="P466" s="37"/>
    </row>
    <row r="467" spans="2:16" x14ac:dyDescent="0.25">
      <c r="B4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" s="46"/>
      <c r="D467" s="37"/>
      <c r="E467" s="37"/>
      <c r="F467" s="37"/>
      <c r="G467" s="40" t="str">
        <f>IF(tblMovimientos[[#This Row],[Producto]]="","",TRIM(LEFT(tblMovimientos[[#This Row],[Producto]],FIND(" · ",tblMovimientos[[#This Row],[Producto]]&amp;" · ")-1)))</f>
        <v/>
      </c>
      <c r="H467" s="40" t="str">
        <f>IF(tblMovimientos[[#This Row],[SKU]]="","",IFERROR(INDEX(tblProductos[Unidad],MATCH(tblMovimientos[[#This Row],[SKU]],tblProductos[SKU],0)),"?"))</f>
        <v/>
      </c>
      <c r="I467" s="39"/>
      <c r="J467" s="47" t="str">
        <f>IF(tblMovimientos[[#This Row],[Tipo]]="","",IFERROR(INDEX(tblTiposMov[FactorStock],MATCH(tblMovimientos[[#This Row],[Tipo]],tblTiposMov[Tipo],0)),0))</f>
        <v/>
      </c>
      <c r="K4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" s="37"/>
      <c r="O467" s="37"/>
      <c r="P467" s="37"/>
    </row>
    <row r="468" spans="2:16" x14ac:dyDescent="0.25">
      <c r="B4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" s="46"/>
      <c r="D468" s="37"/>
      <c r="E468" s="37"/>
      <c r="F468" s="37"/>
      <c r="G468" s="40" t="str">
        <f>IF(tblMovimientos[[#This Row],[Producto]]="","",TRIM(LEFT(tblMovimientos[[#This Row],[Producto]],FIND(" · ",tblMovimientos[[#This Row],[Producto]]&amp;" · ")-1)))</f>
        <v/>
      </c>
      <c r="H468" s="40" t="str">
        <f>IF(tblMovimientos[[#This Row],[SKU]]="","",IFERROR(INDEX(tblProductos[Unidad],MATCH(tblMovimientos[[#This Row],[SKU]],tblProductos[SKU],0)),"?"))</f>
        <v/>
      </c>
      <c r="I468" s="39"/>
      <c r="J468" s="47" t="str">
        <f>IF(tblMovimientos[[#This Row],[Tipo]]="","",IFERROR(INDEX(tblTiposMov[FactorStock],MATCH(tblMovimientos[[#This Row],[Tipo]],tblTiposMov[Tipo],0)),0))</f>
        <v/>
      </c>
      <c r="K4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" s="37"/>
      <c r="O468" s="37"/>
      <c r="P468" s="37"/>
    </row>
    <row r="469" spans="2:16" x14ac:dyDescent="0.25">
      <c r="B4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" s="46"/>
      <c r="D469" s="37"/>
      <c r="E469" s="37"/>
      <c r="F469" s="37"/>
      <c r="G469" s="40" t="str">
        <f>IF(tblMovimientos[[#This Row],[Producto]]="","",TRIM(LEFT(tblMovimientos[[#This Row],[Producto]],FIND(" · ",tblMovimientos[[#This Row],[Producto]]&amp;" · ")-1)))</f>
        <v/>
      </c>
      <c r="H469" s="40" t="str">
        <f>IF(tblMovimientos[[#This Row],[SKU]]="","",IFERROR(INDEX(tblProductos[Unidad],MATCH(tblMovimientos[[#This Row],[SKU]],tblProductos[SKU],0)),"?"))</f>
        <v/>
      </c>
      <c r="I469" s="39"/>
      <c r="J469" s="47" t="str">
        <f>IF(tblMovimientos[[#This Row],[Tipo]]="","",IFERROR(INDEX(tblTiposMov[FactorStock],MATCH(tblMovimientos[[#This Row],[Tipo]],tblTiposMov[Tipo],0)),0))</f>
        <v/>
      </c>
      <c r="K4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" s="37"/>
      <c r="O469" s="37"/>
      <c r="P469" s="37"/>
    </row>
    <row r="470" spans="2:16" x14ac:dyDescent="0.25">
      <c r="B4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" s="46"/>
      <c r="D470" s="37"/>
      <c r="E470" s="37"/>
      <c r="F470" s="37"/>
      <c r="G470" s="40" t="str">
        <f>IF(tblMovimientos[[#This Row],[Producto]]="","",TRIM(LEFT(tblMovimientos[[#This Row],[Producto]],FIND(" · ",tblMovimientos[[#This Row],[Producto]]&amp;" · ")-1)))</f>
        <v/>
      </c>
      <c r="H470" s="40" t="str">
        <f>IF(tblMovimientos[[#This Row],[SKU]]="","",IFERROR(INDEX(tblProductos[Unidad],MATCH(tblMovimientos[[#This Row],[SKU]],tblProductos[SKU],0)),"?"))</f>
        <v/>
      </c>
      <c r="I470" s="39"/>
      <c r="J470" s="47" t="str">
        <f>IF(tblMovimientos[[#This Row],[Tipo]]="","",IFERROR(INDEX(tblTiposMov[FactorStock],MATCH(tblMovimientos[[#This Row],[Tipo]],tblTiposMov[Tipo],0)),0))</f>
        <v/>
      </c>
      <c r="K4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" s="37"/>
      <c r="O470" s="37"/>
      <c r="P470" s="37"/>
    </row>
    <row r="471" spans="2:16" x14ac:dyDescent="0.25">
      <c r="B4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" s="46"/>
      <c r="D471" s="37"/>
      <c r="E471" s="37"/>
      <c r="F471" s="37"/>
      <c r="G471" s="40" t="str">
        <f>IF(tblMovimientos[[#This Row],[Producto]]="","",TRIM(LEFT(tblMovimientos[[#This Row],[Producto]],FIND(" · ",tblMovimientos[[#This Row],[Producto]]&amp;" · ")-1)))</f>
        <v/>
      </c>
      <c r="H471" s="40" t="str">
        <f>IF(tblMovimientos[[#This Row],[SKU]]="","",IFERROR(INDEX(tblProductos[Unidad],MATCH(tblMovimientos[[#This Row],[SKU]],tblProductos[SKU],0)),"?"))</f>
        <v/>
      </c>
      <c r="I471" s="39"/>
      <c r="J471" s="47" t="str">
        <f>IF(tblMovimientos[[#This Row],[Tipo]]="","",IFERROR(INDEX(tblTiposMov[FactorStock],MATCH(tblMovimientos[[#This Row],[Tipo]],tblTiposMov[Tipo],0)),0))</f>
        <v/>
      </c>
      <c r="K4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" s="37"/>
      <c r="O471" s="37"/>
      <c r="P471" s="37"/>
    </row>
    <row r="472" spans="2:16" x14ac:dyDescent="0.25">
      <c r="B4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" s="46"/>
      <c r="D472" s="37"/>
      <c r="E472" s="37"/>
      <c r="F472" s="37"/>
      <c r="G472" s="40" t="str">
        <f>IF(tblMovimientos[[#This Row],[Producto]]="","",TRIM(LEFT(tblMovimientos[[#This Row],[Producto]],FIND(" · ",tblMovimientos[[#This Row],[Producto]]&amp;" · ")-1)))</f>
        <v/>
      </c>
      <c r="H472" s="40" t="str">
        <f>IF(tblMovimientos[[#This Row],[SKU]]="","",IFERROR(INDEX(tblProductos[Unidad],MATCH(tblMovimientos[[#This Row],[SKU]],tblProductos[SKU],0)),"?"))</f>
        <v/>
      </c>
      <c r="I472" s="39"/>
      <c r="J472" s="47" t="str">
        <f>IF(tblMovimientos[[#This Row],[Tipo]]="","",IFERROR(INDEX(tblTiposMov[FactorStock],MATCH(tblMovimientos[[#This Row],[Tipo]],tblTiposMov[Tipo],0)),0))</f>
        <v/>
      </c>
      <c r="K4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" s="37"/>
      <c r="O472" s="37"/>
      <c r="P472" s="37"/>
    </row>
    <row r="473" spans="2:16" x14ac:dyDescent="0.25">
      <c r="B4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" s="46"/>
      <c r="D473" s="37"/>
      <c r="E473" s="37"/>
      <c r="F473" s="37"/>
      <c r="G473" s="40" t="str">
        <f>IF(tblMovimientos[[#This Row],[Producto]]="","",TRIM(LEFT(tblMovimientos[[#This Row],[Producto]],FIND(" · ",tblMovimientos[[#This Row],[Producto]]&amp;" · ")-1)))</f>
        <v/>
      </c>
      <c r="H473" s="40" t="str">
        <f>IF(tblMovimientos[[#This Row],[SKU]]="","",IFERROR(INDEX(tblProductos[Unidad],MATCH(tblMovimientos[[#This Row],[SKU]],tblProductos[SKU],0)),"?"))</f>
        <v/>
      </c>
      <c r="I473" s="39"/>
      <c r="J473" s="47" t="str">
        <f>IF(tblMovimientos[[#This Row],[Tipo]]="","",IFERROR(INDEX(tblTiposMov[FactorStock],MATCH(tblMovimientos[[#This Row],[Tipo]],tblTiposMov[Tipo],0)),0))</f>
        <v/>
      </c>
      <c r="K4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" s="37"/>
      <c r="O473" s="37"/>
      <c r="P473" s="37"/>
    </row>
    <row r="474" spans="2:16" x14ac:dyDescent="0.25">
      <c r="B4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" s="46"/>
      <c r="D474" s="37"/>
      <c r="E474" s="37"/>
      <c r="F474" s="37"/>
      <c r="G474" s="40" t="str">
        <f>IF(tblMovimientos[[#This Row],[Producto]]="","",TRIM(LEFT(tblMovimientos[[#This Row],[Producto]],FIND(" · ",tblMovimientos[[#This Row],[Producto]]&amp;" · ")-1)))</f>
        <v/>
      </c>
      <c r="H474" s="40" t="str">
        <f>IF(tblMovimientos[[#This Row],[SKU]]="","",IFERROR(INDEX(tblProductos[Unidad],MATCH(tblMovimientos[[#This Row],[SKU]],tblProductos[SKU],0)),"?"))</f>
        <v/>
      </c>
      <c r="I474" s="39"/>
      <c r="J474" s="47" t="str">
        <f>IF(tblMovimientos[[#This Row],[Tipo]]="","",IFERROR(INDEX(tblTiposMov[FactorStock],MATCH(tblMovimientos[[#This Row],[Tipo]],tblTiposMov[Tipo],0)),0))</f>
        <v/>
      </c>
      <c r="K4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" s="37"/>
      <c r="O474" s="37"/>
      <c r="P474" s="37"/>
    </row>
    <row r="475" spans="2:16" x14ac:dyDescent="0.25">
      <c r="B4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" s="46"/>
      <c r="D475" s="37"/>
      <c r="E475" s="37"/>
      <c r="F475" s="37"/>
      <c r="G475" s="40" t="str">
        <f>IF(tblMovimientos[[#This Row],[Producto]]="","",TRIM(LEFT(tblMovimientos[[#This Row],[Producto]],FIND(" · ",tblMovimientos[[#This Row],[Producto]]&amp;" · ")-1)))</f>
        <v/>
      </c>
      <c r="H475" s="40" t="str">
        <f>IF(tblMovimientos[[#This Row],[SKU]]="","",IFERROR(INDEX(tblProductos[Unidad],MATCH(tblMovimientos[[#This Row],[SKU]],tblProductos[SKU],0)),"?"))</f>
        <v/>
      </c>
      <c r="I475" s="39"/>
      <c r="J475" s="47" t="str">
        <f>IF(tblMovimientos[[#This Row],[Tipo]]="","",IFERROR(INDEX(tblTiposMov[FactorStock],MATCH(tblMovimientos[[#This Row],[Tipo]],tblTiposMov[Tipo],0)),0))</f>
        <v/>
      </c>
      <c r="K4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" s="37"/>
      <c r="O475" s="37"/>
      <c r="P475" s="37"/>
    </row>
    <row r="476" spans="2:16" x14ac:dyDescent="0.25">
      <c r="B4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" s="46"/>
      <c r="D476" s="37"/>
      <c r="E476" s="37"/>
      <c r="F476" s="37"/>
      <c r="G476" s="40" t="str">
        <f>IF(tblMovimientos[[#This Row],[Producto]]="","",TRIM(LEFT(tblMovimientos[[#This Row],[Producto]],FIND(" · ",tblMovimientos[[#This Row],[Producto]]&amp;" · ")-1)))</f>
        <v/>
      </c>
      <c r="H476" s="40" t="str">
        <f>IF(tblMovimientos[[#This Row],[SKU]]="","",IFERROR(INDEX(tblProductos[Unidad],MATCH(tblMovimientos[[#This Row],[SKU]],tblProductos[SKU],0)),"?"))</f>
        <v/>
      </c>
      <c r="I476" s="39"/>
      <c r="J476" s="47" t="str">
        <f>IF(tblMovimientos[[#This Row],[Tipo]]="","",IFERROR(INDEX(tblTiposMov[FactorStock],MATCH(tblMovimientos[[#This Row],[Tipo]],tblTiposMov[Tipo],0)),0))</f>
        <v/>
      </c>
      <c r="K4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" s="37"/>
      <c r="O476" s="37"/>
      <c r="P476" s="37"/>
    </row>
    <row r="477" spans="2:16" x14ac:dyDescent="0.25">
      <c r="B4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" s="46"/>
      <c r="D477" s="37"/>
      <c r="E477" s="37"/>
      <c r="F477" s="37"/>
      <c r="G477" s="40" t="str">
        <f>IF(tblMovimientos[[#This Row],[Producto]]="","",TRIM(LEFT(tblMovimientos[[#This Row],[Producto]],FIND(" · ",tblMovimientos[[#This Row],[Producto]]&amp;" · ")-1)))</f>
        <v/>
      </c>
      <c r="H477" s="40" t="str">
        <f>IF(tblMovimientos[[#This Row],[SKU]]="","",IFERROR(INDEX(tblProductos[Unidad],MATCH(tblMovimientos[[#This Row],[SKU]],tblProductos[SKU],0)),"?"))</f>
        <v/>
      </c>
      <c r="I477" s="39"/>
      <c r="J477" s="47" t="str">
        <f>IF(tblMovimientos[[#This Row],[Tipo]]="","",IFERROR(INDEX(tblTiposMov[FactorStock],MATCH(tblMovimientos[[#This Row],[Tipo]],tblTiposMov[Tipo],0)),0))</f>
        <v/>
      </c>
      <c r="K4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" s="37"/>
      <c r="O477" s="37"/>
      <c r="P477" s="37"/>
    </row>
    <row r="478" spans="2:16" x14ac:dyDescent="0.25">
      <c r="B4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" s="46"/>
      <c r="D478" s="37"/>
      <c r="E478" s="37"/>
      <c r="F478" s="37"/>
      <c r="G478" s="40" t="str">
        <f>IF(tblMovimientos[[#This Row],[Producto]]="","",TRIM(LEFT(tblMovimientos[[#This Row],[Producto]],FIND(" · ",tblMovimientos[[#This Row],[Producto]]&amp;" · ")-1)))</f>
        <v/>
      </c>
      <c r="H478" s="40" t="str">
        <f>IF(tblMovimientos[[#This Row],[SKU]]="","",IFERROR(INDEX(tblProductos[Unidad],MATCH(tblMovimientos[[#This Row],[SKU]],tblProductos[SKU],0)),"?"))</f>
        <v/>
      </c>
      <c r="I478" s="39"/>
      <c r="J478" s="47" t="str">
        <f>IF(tblMovimientos[[#This Row],[Tipo]]="","",IFERROR(INDEX(tblTiposMov[FactorStock],MATCH(tblMovimientos[[#This Row],[Tipo]],tblTiposMov[Tipo],0)),0))</f>
        <v/>
      </c>
      <c r="K4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" s="37"/>
      <c r="O478" s="37"/>
      <c r="P478" s="37"/>
    </row>
    <row r="479" spans="2:16" x14ac:dyDescent="0.25">
      <c r="B4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" s="46"/>
      <c r="D479" s="37"/>
      <c r="E479" s="37"/>
      <c r="F479" s="37"/>
      <c r="G479" s="40" t="str">
        <f>IF(tblMovimientos[[#This Row],[Producto]]="","",TRIM(LEFT(tblMovimientos[[#This Row],[Producto]],FIND(" · ",tblMovimientos[[#This Row],[Producto]]&amp;" · ")-1)))</f>
        <v/>
      </c>
      <c r="H479" s="40" t="str">
        <f>IF(tblMovimientos[[#This Row],[SKU]]="","",IFERROR(INDEX(tblProductos[Unidad],MATCH(tblMovimientos[[#This Row],[SKU]],tblProductos[SKU],0)),"?"))</f>
        <v/>
      </c>
      <c r="I479" s="39"/>
      <c r="J479" s="47" t="str">
        <f>IF(tblMovimientos[[#This Row],[Tipo]]="","",IFERROR(INDEX(tblTiposMov[FactorStock],MATCH(tblMovimientos[[#This Row],[Tipo]],tblTiposMov[Tipo],0)),0))</f>
        <v/>
      </c>
      <c r="K4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" s="37"/>
      <c r="O479" s="37"/>
      <c r="P479" s="37"/>
    </row>
    <row r="480" spans="2:16" x14ac:dyDescent="0.25">
      <c r="B4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" s="46"/>
      <c r="D480" s="37"/>
      <c r="E480" s="37"/>
      <c r="F480" s="37"/>
      <c r="G480" s="40" t="str">
        <f>IF(tblMovimientos[[#This Row],[Producto]]="","",TRIM(LEFT(tblMovimientos[[#This Row],[Producto]],FIND(" · ",tblMovimientos[[#This Row],[Producto]]&amp;" · ")-1)))</f>
        <v/>
      </c>
      <c r="H480" s="40" t="str">
        <f>IF(tblMovimientos[[#This Row],[SKU]]="","",IFERROR(INDEX(tblProductos[Unidad],MATCH(tblMovimientos[[#This Row],[SKU]],tblProductos[SKU],0)),"?"))</f>
        <v/>
      </c>
      <c r="I480" s="39"/>
      <c r="J480" s="47" t="str">
        <f>IF(tblMovimientos[[#This Row],[Tipo]]="","",IFERROR(INDEX(tblTiposMov[FactorStock],MATCH(tblMovimientos[[#This Row],[Tipo]],tblTiposMov[Tipo],0)),0))</f>
        <v/>
      </c>
      <c r="K4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" s="37"/>
      <c r="O480" s="37"/>
      <c r="P480" s="37"/>
    </row>
    <row r="481" spans="2:16" x14ac:dyDescent="0.25">
      <c r="B4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" s="46"/>
      <c r="D481" s="37"/>
      <c r="E481" s="37"/>
      <c r="F481" s="37"/>
      <c r="G481" s="40" t="str">
        <f>IF(tblMovimientos[[#This Row],[Producto]]="","",TRIM(LEFT(tblMovimientos[[#This Row],[Producto]],FIND(" · ",tblMovimientos[[#This Row],[Producto]]&amp;" · ")-1)))</f>
        <v/>
      </c>
      <c r="H481" s="40" t="str">
        <f>IF(tblMovimientos[[#This Row],[SKU]]="","",IFERROR(INDEX(tblProductos[Unidad],MATCH(tblMovimientos[[#This Row],[SKU]],tblProductos[SKU],0)),"?"))</f>
        <v/>
      </c>
      <c r="I481" s="39"/>
      <c r="J481" s="47" t="str">
        <f>IF(tblMovimientos[[#This Row],[Tipo]]="","",IFERROR(INDEX(tblTiposMov[FactorStock],MATCH(tblMovimientos[[#This Row],[Tipo]],tblTiposMov[Tipo],0)),0))</f>
        <v/>
      </c>
      <c r="K4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" s="37"/>
      <c r="O481" s="37"/>
      <c r="P481" s="37"/>
    </row>
    <row r="482" spans="2:16" x14ac:dyDescent="0.25">
      <c r="B4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" s="46"/>
      <c r="D482" s="37"/>
      <c r="E482" s="37"/>
      <c r="F482" s="37"/>
      <c r="G482" s="40" t="str">
        <f>IF(tblMovimientos[[#This Row],[Producto]]="","",TRIM(LEFT(tblMovimientos[[#This Row],[Producto]],FIND(" · ",tblMovimientos[[#This Row],[Producto]]&amp;" · ")-1)))</f>
        <v/>
      </c>
      <c r="H482" s="40" t="str">
        <f>IF(tblMovimientos[[#This Row],[SKU]]="","",IFERROR(INDEX(tblProductos[Unidad],MATCH(tblMovimientos[[#This Row],[SKU]],tblProductos[SKU],0)),"?"))</f>
        <v/>
      </c>
      <c r="I482" s="39"/>
      <c r="J482" s="47" t="str">
        <f>IF(tblMovimientos[[#This Row],[Tipo]]="","",IFERROR(INDEX(tblTiposMov[FactorStock],MATCH(tblMovimientos[[#This Row],[Tipo]],tblTiposMov[Tipo],0)),0))</f>
        <v/>
      </c>
      <c r="K4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" s="37"/>
      <c r="O482" s="37"/>
      <c r="P482" s="37"/>
    </row>
    <row r="483" spans="2:16" x14ac:dyDescent="0.25">
      <c r="B4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" s="46"/>
      <c r="D483" s="37"/>
      <c r="E483" s="37"/>
      <c r="F483" s="37"/>
      <c r="G483" s="40" t="str">
        <f>IF(tblMovimientos[[#This Row],[Producto]]="","",TRIM(LEFT(tblMovimientos[[#This Row],[Producto]],FIND(" · ",tblMovimientos[[#This Row],[Producto]]&amp;" · ")-1)))</f>
        <v/>
      </c>
      <c r="H483" s="40" t="str">
        <f>IF(tblMovimientos[[#This Row],[SKU]]="","",IFERROR(INDEX(tblProductos[Unidad],MATCH(tblMovimientos[[#This Row],[SKU]],tblProductos[SKU],0)),"?"))</f>
        <v/>
      </c>
      <c r="I483" s="39"/>
      <c r="J483" s="47" t="str">
        <f>IF(tblMovimientos[[#This Row],[Tipo]]="","",IFERROR(INDEX(tblTiposMov[FactorStock],MATCH(tblMovimientos[[#This Row],[Tipo]],tblTiposMov[Tipo],0)),0))</f>
        <v/>
      </c>
      <c r="K4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" s="37"/>
      <c r="O483" s="37"/>
      <c r="P483" s="37"/>
    </row>
    <row r="484" spans="2:16" x14ac:dyDescent="0.25">
      <c r="B4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" s="46"/>
      <c r="D484" s="37"/>
      <c r="E484" s="37"/>
      <c r="F484" s="37"/>
      <c r="G484" s="40" t="str">
        <f>IF(tblMovimientos[[#This Row],[Producto]]="","",TRIM(LEFT(tblMovimientos[[#This Row],[Producto]],FIND(" · ",tblMovimientos[[#This Row],[Producto]]&amp;" · ")-1)))</f>
        <v/>
      </c>
      <c r="H484" s="40" t="str">
        <f>IF(tblMovimientos[[#This Row],[SKU]]="","",IFERROR(INDEX(tblProductos[Unidad],MATCH(tblMovimientos[[#This Row],[SKU]],tblProductos[SKU],0)),"?"))</f>
        <v/>
      </c>
      <c r="I484" s="39"/>
      <c r="J484" s="47" t="str">
        <f>IF(tblMovimientos[[#This Row],[Tipo]]="","",IFERROR(INDEX(tblTiposMov[FactorStock],MATCH(tblMovimientos[[#This Row],[Tipo]],tblTiposMov[Tipo],0)),0))</f>
        <v/>
      </c>
      <c r="K4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" s="37"/>
      <c r="O484" s="37"/>
      <c r="P484" s="37"/>
    </row>
    <row r="485" spans="2:16" x14ac:dyDescent="0.25">
      <c r="B4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" s="46"/>
      <c r="D485" s="37"/>
      <c r="E485" s="37"/>
      <c r="F485" s="37"/>
      <c r="G485" s="40" t="str">
        <f>IF(tblMovimientos[[#This Row],[Producto]]="","",TRIM(LEFT(tblMovimientos[[#This Row],[Producto]],FIND(" · ",tblMovimientos[[#This Row],[Producto]]&amp;" · ")-1)))</f>
        <v/>
      </c>
      <c r="H485" s="40" t="str">
        <f>IF(tblMovimientos[[#This Row],[SKU]]="","",IFERROR(INDEX(tblProductos[Unidad],MATCH(tblMovimientos[[#This Row],[SKU]],tblProductos[SKU],0)),"?"))</f>
        <v/>
      </c>
      <c r="I485" s="39"/>
      <c r="J485" s="47" t="str">
        <f>IF(tblMovimientos[[#This Row],[Tipo]]="","",IFERROR(INDEX(tblTiposMov[FactorStock],MATCH(tblMovimientos[[#This Row],[Tipo]],tblTiposMov[Tipo],0)),0))</f>
        <v/>
      </c>
      <c r="K4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" s="37"/>
      <c r="O485" s="37"/>
      <c r="P485" s="37"/>
    </row>
    <row r="486" spans="2:16" x14ac:dyDescent="0.25">
      <c r="B4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" s="46"/>
      <c r="D486" s="37"/>
      <c r="E486" s="37"/>
      <c r="F486" s="37"/>
      <c r="G486" s="40" t="str">
        <f>IF(tblMovimientos[[#This Row],[Producto]]="","",TRIM(LEFT(tblMovimientos[[#This Row],[Producto]],FIND(" · ",tblMovimientos[[#This Row],[Producto]]&amp;" · ")-1)))</f>
        <v/>
      </c>
      <c r="H486" s="40" t="str">
        <f>IF(tblMovimientos[[#This Row],[SKU]]="","",IFERROR(INDEX(tblProductos[Unidad],MATCH(tblMovimientos[[#This Row],[SKU]],tblProductos[SKU],0)),"?"))</f>
        <v/>
      </c>
      <c r="I486" s="39"/>
      <c r="J486" s="47" t="str">
        <f>IF(tblMovimientos[[#This Row],[Tipo]]="","",IFERROR(INDEX(tblTiposMov[FactorStock],MATCH(tblMovimientos[[#This Row],[Tipo]],tblTiposMov[Tipo],0)),0))</f>
        <v/>
      </c>
      <c r="K4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" s="37"/>
      <c r="O486" s="37"/>
      <c r="P486" s="37"/>
    </row>
    <row r="487" spans="2:16" x14ac:dyDescent="0.25">
      <c r="B4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" s="46"/>
      <c r="D487" s="37"/>
      <c r="E487" s="37"/>
      <c r="F487" s="37"/>
      <c r="G487" s="40" t="str">
        <f>IF(tblMovimientos[[#This Row],[Producto]]="","",TRIM(LEFT(tblMovimientos[[#This Row],[Producto]],FIND(" · ",tblMovimientos[[#This Row],[Producto]]&amp;" · ")-1)))</f>
        <v/>
      </c>
      <c r="H487" s="40" t="str">
        <f>IF(tblMovimientos[[#This Row],[SKU]]="","",IFERROR(INDEX(tblProductos[Unidad],MATCH(tblMovimientos[[#This Row],[SKU]],tblProductos[SKU],0)),"?"))</f>
        <v/>
      </c>
      <c r="I487" s="39"/>
      <c r="J487" s="47" t="str">
        <f>IF(tblMovimientos[[#This Row],[Tipo]]="","",IFERROR(INDEX(tblTiposMov[FactorStock],MATCH(tblMovimientos[[#This Row],[Tipo]],tblTiposMov[Tipo],0)),0))</f>
        <v/>
      </c>
      <c r="K4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" s="37"/>
      <c r="O487" s="37"/>
      <c r="P487" s="37"/>
    </row>
    <row r="488" spans="2:16" x14ac:dyDescent="0.25">
      <c r="B4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" s="46"/>
      <c r="D488" s="37"/>
      <c r="E488" s="37"/>
      <c r="F488" s="37"/>
      <c r="G488" s="40" t="str">
        <f>IF(tblMovimientos[[#This Row],[Producto]]="","",TRIM(LEFT(tblMovimientos[[#This Row],[Producto]],FIND(" · ",tblMovimientos[[#This Row],[Producto]]&amp;" · ")-1)))</f>
        <v/>
      </c>
      <c r="H488" s="40" t="str">
        <f>IF(tblMovimientos[[#This Row],[SKU]]="","",IFERROR(INDEX(tblProductos[Unidad],MATCH(tblMovimientos[[#This Row],[SKU]],tblProductos[SKU],0)),"?"))</f>
        <v/>
      </c>
      <c r="I488" s="39"/>
      <c r="J488" s="47" t="str">
        <f>IF(tblMovimientos[[#This Row],[Tipo]]="","",IFERROR(INDEX(tblTiposMov[FactorStock],MATCH(tblMovimientos[[#This Row],[Tipo]],tblTiposMov[Tipo],0)),0))</f>
        <v/>
      </c>
      <c r="K4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" s="37"/>
      <c r="O488" s="37"/>
      <c r="P488" s="37"/>
    </row>
    <row r="489" spans="2:16" x14ac:dyDescent="0.25">
      <c r="B4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" s="46"/>
      <c r="D489" s="37"/>
      <c r="E489" s="37"/>
      <c r="F489" s="37"/>
      <c r="G489" s="40" t="str">
        <f>IF(tblMovimientos[[#This Row],[Producto]]="","",TRIM(LEFT(tblMovimientos[[#This Row],[Producto]],FIND(" · ",tblMovimientos[[#This Row],[Producto]]&amp;" · ")-1)))</f>
        <v/>
      </c>
      <c r="H489" s="40" t="str">
        <f>IF(tblMovimientos[[#This Row],[SKU]]="","",IFERROR(INDEX(tblProductos[Unidad],MATCH(tblMovimientos[[#This Row],[SKU]],tblProductos[SKU],0)),"?"))</f>
        <v/>
      </c>
      <c r="I489" s="39"/>
      <c r="J489" s="47" t="str">
        <f>IF(tblMovimientos[[#This Row],[Tipo]]="","",IFERROR(INDEX(tblTiposMov[FactorStock],MATCH(tblMovimientos[[#This Row],[Tipo]],tblTiposMov[Tipo],0)),0))</f>
        <v/>
      </c>
      <c r="K4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" s="37"/>
      <c r="O489" s="37"/>
      <c r="P489" s="37"/>
    </row>
    <row r="490" spans="2:16" x14ac:dyDescent="0.25">
      <c r="B4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" s="46"/>
      <c r="D490" s="37"/>
      <c r="E490" s="37"/>
      <c r="F490" s="37"/>
      <c r="G490" s="40" t="str">
        <f>IF(tblMovimientos[[#This Row],[Producto]]="","",TRIM(LEFT(tblMovimientos[[#This Row],[Producto]],FIND(" · ",tblMovimientos[[#This Row],[Producto]]&amp;" · ")-1)))</f>
        <v/>
      </c>
      <c r="H490" s="40" t="str">
        <f>IF(tblMovimientos[[#This Row],[SKU]]="","",IFERROR(INDEX(tblProductos[Unidad],MATCH(tblMovimientos[[#This Row],[SKU]],tblProductos[SKU],0)),"?"))</f>
        <v/>
      </c>
      <c r="I490" s="39"/>
      <c r="J490" s="47" t="str">
        <f>IF(tblMovimientos[[#This Row],[Tipo]]="","",IFERROR(INDEX(tblTiposMov[FactorStock],MATCH(tblMovimientos[[#This Row],[Tipo]],tblTiposMov[Tipo],0)),0))</f>
        <v/>
      </c>
      <c r="K4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" s="37"/>
      <c r="O490" s="37"/>
      <c r="P490" s="37"/>
    </row>
    <row r="491" spans="2:16" x14ac:dyDescent="0.25">
      <c r="B4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" s="46"/>
      <c r="D491" s="37"/>
      <c r="E491" s="37"/>
      <c r="F491" s="37"/>
      <c r="G491" s="40" t="str">
        <f>IF(tblMovimientos[[#This Row],[Producto]]="","",TRIM(LEFT(tblMovimientos[[#This Row],[Producto]],FIND(" · ",tblMovimientos[[#This Row],[Producto]]&amp;" · ")-1)))</f>
        <v/>
      </c>
      <c r="H491" s="40" t="str">
        <f>IF(tblMovimientos[[#This Row],[SKU]]="","",IFERROR(INDEX(tblProductos[Unidad],MATCH(tblMovimientos[[#This Row],[SKU]],tblProductos[SKU],0)),"?"))</f>
        <v/>
      </c>
      <c r="I491" s="39"/>
      <c r="J491" s="47" t="str">
        <f>IF(tblMovimientos[[#This Row],[Tipo]]="","",IFERROR(INDEX(tblTiposMov[FactorStock],MATCH(tblMovimientos[[#This Row],[Tipo]],tblTiposMov[Tipo],0)),0))</f>
        <v/>
      </c>
      <c r="K4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" s="37"/>
      <c r="O491" s="37"/>
      <c r="P491" s="37"/>
    </row>
    <row r="492" spans="2:16" x14ac:dyDescent="0.25">
      <c r="B4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" s="46"/>
      <c r="D492" s="37"/>
      <c r="E492" s="37"/>
      <c r="F492" s="37"/>
      <c r="G492" s="40" t="str">
        <f>IF(tblMovimientos[[#This Row],[Producto]]="","",TRIM(LEFT(tblMovimientos[[#This Row],[Producto]],FIND(" · ",tblMovimientos[[#This Row],[Producto]]&amp;" · ")-1)))</f>
        <v/>
      </c>
      <c r="H492" s="40" t="str">
        <f>IF(tblMovimientos[[#This Row],[SKU]]="","",IFERROR(INDEX(tblProductos[Unidad],MATCH(tblMovimientos[[#This Row],[SKU]],tblProductos[SKU],0)),"?"))</f>
        <v/>
      </c>
      <c r="I492" s="39"/>
      <c r="J492" s="47" t="str">
        <f>IF(tblMovimientos[[#This Row],[Tipo]]="","",IFERROR(INDEX(tblTiposMov[FactorStock],MATCH(tblMovimientos[[#This Row],[Tipo]],tblTiposMov[Tipo],0)),0))</f>
        <v/>
      </c>
      <c r="K4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" s="37"/>
      <c r="O492" s="37"/>
      <c r="P492" s="37"/>
    </row>
    <row r="493" spans="2:16" x14ac:dyDescent="0.25">
      <c r="B4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" s="46"/>
      <c r="D493" s="37"/>
      <c r="E493" s="37"/>
      <c r="F493" s="37"/>
      <c r="G493" s="40" t="str">
        <f>IF(tblMovimientos[[#This Row],[Producto]]="","",TRIM(LEFT(tblMovimientos[[#This Row],[Producto]],FIND(" · ",tblMovimientos[[#This Row],[Producto]]&amp;" · ")-1)))</f>
        <v/>
      </c>
      <c r="H493" s="40" t="str">
        <f>IF(tblMovimientos[[#This Row],[SKU]]="","",IFERROR(INDEX(tblProductos[Unidad],MATCH(tblMovimientos[[#This Row],[SKU]],tblProductos[SKU],0)),"?"))</f>
        <v/>
      </c>
      <c r="I493" s="39"/>
      <c r="J493" s="47" t="str">
        <f>IF(tblMovimientos[[#This Row],[Tipo]]="","",IFERROR(INDEX(tblTiposMov[FactorStock],MATCH(tblMovimientos[[#This Row],[Tipo]],tblTiposMov[Tipo],0)),0))</f>
        <v/>
      </c>
      <c r="K4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" s="37"/>
      <c r="O493" s="37"/>
      <c r="P493" s="37"/>
    </row>
    <row r="494" spans="2:16" x14ac:dyDescent="0.25">
      <c r="B4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" s="46"/>
      <c r="D494" s="37"/>
      <c r="E494" s="37"/>
      <c r="F494" s="37"/>
      <c r="G494" s="40" t="str">
        <f>IF(tblMovimientos[[#This Row],[Producto]]="","",TRIM(LEFT(tblMovimientos[[#This Row],[Producto]],FIND(" · ",tblMovimientos[[#This Row],[Producto]]&amp;" · ")-1)))</f>
        <v/>
      </c>
      <c r="H494" s="40" t="str">
        <f>IF(tblMovimientos[[#This Row],[SKU]]="","",IFERROR(INDEX(tblProductos[Unidad],MATCH(tblMovimientos[[#This Row],[SKU]],tblProductos[SKU],0)),"?"))</f>
        <v/>
      </c>
      <c r="I494" s="39"/>
      <c r="J494" s="47" t="str">
        <f>IF(tblMovimientos[[#This Row],[Tipo]]="","",IFERROR(INDEX(tblTiposMov[FactorStock],MATCH(tblMovimientos[[#This Row],[Tipo]],tblTiposMov[Tipo],0)),0))</f>
        <v/>
      </c>
      <c r="K4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" s="37"/>
      <c r="O494" s="37"/>
      <c r="P494" s="37"/>
    </row>
    <row r="495" spans="2:16" x14ac:dyDescent="0.25">
      <c r="B4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" s="46"/>
      <c r="D495" s="37"/>
      <c r="E495" s="37"/>
      <c r="F495" s="37"/>
      <c r="G495" s="40" t="str">
        <f>IF(tblMovimientos[[#This Row],[Producto]]="","",TRIM(LEFT(tblMovimientos[[#This Row],[Producto]],FIND(" · ",tblMovimientos[[#This Row],[Producto]]&amp;" · ")-1)))</f>
        <v/>
      </c>
      <c r="H495" s="40" t="str">
        <f>IF(tblMovimientos[[#This Row],[SKU]]="","",IFERROR(INDEX(tblProductos[Unidad],MATCH(tblMovimientos[[#This Row],[SKU]],tblProductos[SKU],0)),"?"))</f>
        <v/>
      </c>
      <c r="I495" s="39"/>
      <c r="J495" s="47" t="str">
        <f>IF(tblMovimientos[[#This Row],[Tipo]]="","",IFERROR(INDEX(tblTiposMov[FactorStock],MATCH(tblMovimientos[[#This Row],[Tipo]],tblTiposMov[Tipo],0)),0))</f>
        <v/>
      </c>
      <c r="K4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" s="37"/>
      <c r="O495" s="37"/>
      <c r="P495" s="37"/>
    </row>
    <row r="496" spans="2:16" x14ac:dyDescent="0.25">
      <c r="B4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" s="46"/>
      <c r="D496" s="37"/>
      <c r="E496" s="37"/>
      <c r="F496" s="37"/>
      <c r="G496" s="40" t="str">
        <f>IF(tblMovimientos[[#This Row],[Producto]]="","",TRIM(LEFT(tblMovimientos[[#This Row],[Producto]],FIND(" · ",tblMovimientos[[#This Row],[Producto]]&amp;" · ")-1)))</f>
        <v/>
      </c>
      <c r="H496" s="40" t="str">
        <f>IF(tblMovimientos[[#This Row],[SKU]]="","",IFERROR(INDEX(tblProductos[Unidad],MATCH(tblMovimientos[[#This Row],[SKU]],tblProductos[SKU],0)),"?"))</f>
        <v/>
      </c>
      <c r="I496" s="39"/>
      <c r="J496" s="47" t="str">
        <f>IF(tblMovimientos[[#This Row],[Tipo]]="","",IFERROR(INDEX(tblTiposMov[FactorStock],MATCH(tblMovimientos[[#This Row],[Tipo]],tblTiposMov[Tipo],0)),0))</f>
        <v/>
      </c>
      <c r="K4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" s="37"/>
      <c r="O496" s="37"/>
      <c r="P496" s="37"/>
    </row>
    <row r="497" spans="2:16" x14ac:dyDescent="0.25">
      <c r="B4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" s="46"/>
      <c r="D497" s="37"/>
      <c r="E497" s="37"/>
      <c r="F497" s="37"/>
      <c r="G497" s="40" t="str">
        <f>IF(tblMovimientos[[#This Row],[Producto]]="","",TRIM(LEFT(tblMovimientos[[#This Row],[Producto]],FIND(" · ",tblMovimientos[[#This Row],[Producto]]&amp;" · ")-1)))</f>
        <v/>
      </c>
      <c r="H497" s="40" t="str">
        <f>IF(tblMovimientos[[#This Row],[SKU]]="","",IFERROR(INDEX(tblProductos[Unidad],MATCH(tblMovimientos[[#This Row],[SKU]],tblProductos[SKU],0)),"?"))</f>
        <v/>
      </c>
      <c r="I497" s="39"/>
      <c r="J497" s="47" t="str">
        <f>IF(tblMovimientos[[#This Row],[Tipo]]="","",IFERROR(INDEX(tblTiposMov[FactorStock],MATCH(tblMovimientos[[#This Row],[Tipo]],tblTiposMov[Tipo],0)),0))</f>
        <v/>
      </c>
      <c r="K4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" s="37"/>
      <c r="O497" s="37"/>
      <c r="P497" s="37"/>
    </row>
    <row r="498" spans="2:16" x14ac:dyDescent="0.25">
      <c r="B4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" s="46"/>
      <c r="D498" s="37"/>
      <c r="E498" s="37"/>
      <c r="F498" s="37"/>
      <c r="G498" s="40" t="str">
        <f>IF(tblMovimientos[[#This Row],[Producto]]="","",TRIM(LEFT(tblMovimientos[[#This Row],[Producto]],FIND(" · ",tblMovimientos[[#This Row],[Producto]]&amp;" · ")-1)))</f>
        <v/>
      </c>
      <c r="H498" s="40" t="str">
        <f>IF(tblMovimientos[[#This Row],[SKU]]="","",IFERROR(INDEX(tblProductos[Unidad],MATCH(tblMovimientos[[#This Row],[SKU]],tblProductos[SKU],0)),"?"))</f>
        <v/>
      </c>
      <c r="I498" s="39"/>
      <c r="J498" s="47" t="str">
        <f>IF(tblMovimientos[[#This Row],[Tipo]]="","",IFERROR(INDEX(tblTiposMov[FactorStock],MATCH(tblMovimientos[[#This Row],[Tipo]],tblTiposMov[Tipo],0)),0))</f>
        <v/>
      </c>
      <c r="K4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" s="37"/>
      <c r="O498" s="37"/>
      <c r="P498" s="37"/>
    </row>
    <row r="499" spans="2:16" x14ac:dyDescent="0.25">
      <c r="B4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" s="46"/>
      <c r="D499" s="37"/>
      <c r="E499" s="37"/>
      <c r="F499" s="37"/>
      <c r="G499" s="40" t="str">
        <f>IF(tblMovimientos[[#This Row],[Producto]]="","",TRIM(LEFT(tblMovimientos[[#This Row],[Producto]],FIND(" · ",tblMovimientos[[#This Row],[Producto]]&amp;" · ")-1)))</f>
        <v/>
      </c>
      <c r="H499" s="40" t="str">
        <f>IF(tblMovimientos[[#This Row],[SKU]]="","",IFERROR(INDEX(tblProductos[Unidad],MATCH(tblMovimientos[[#This Row],[SKU]],tblProductos[SKU],0)),"?"))</f>
        <v/>
      </c>
      <c r="I499" s="39"/>
      <c r="J499" s="47" t="str">
        <f>IF(tblMovimientos[[#This Row],[Tipo]]="","",IFERROR(INDEX(tblTiposMov[FactorStock],MATCH(tblMovimientos[[#This Row],[Tipo]],tblTiposMov[Tipo],0)),0))</f>
        <v/>
      </c>
      <c r="K4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" s="37"/>
      <c r="O499" s="37"/>
      <c r="P499" s="37"/>
    </row>
    <row r="500" spans="2:16" x14ac:dyDescent="0.25">
      <c r="B5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" s="46"/>
      <c r="D500" s="37"/>
      <c r="E500" s="37"/>
      <c r="F500" s="37"/>
      <c r="G500" s="40" t="str">
        <f>IF(tblMovimientos[[#This Row],[Producto]]="","",TRIM(LEFT(tblMovimientos[[#This Row],[Producto]],FIND(" · ",tblMovimientos[[#This Row],[Producto]]&amp;" · ")-1)))</f>
        <v/>
      </c>
      <c r="H500" s="40" t="str">
        <f>IF(tblMovimientos[[#This Row],[SKU]]="","",IFERROR(INDEX(tblProductos[Unidad],MATCH(tblMovimientos[[#This Row],[SKU]],tblProductos[SKU],0)),"?"))</f>
        <v/>
      </c>
      <c r="I500" s="39"/>
      <c r="J500" s="47" t="str">
        <f>IF(tblMovimientos[[#This Row],[Tipo]]="","",IFERROR(INDEX(tblTiposMov[FactorStock],MATCH(tblMovimientos[[#This Row],[Tipo]],tblTiposMov[Tipo],0)),0))</f>
        <v/>
      </c>
      <c r="K5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" s="37"/>
      <c r="O500" s="37"/>
      <c r="P500" s="37"/>
    </row>
    <row r="501" spans="2:16" x14ac:dyDescent="0.25">
      <c r="B5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1" s="46"/>
      <c r="D501" s="37"/>
      <c r="E501" s="37"/>
      <c r="F501" s="37"/>
      <c r="G501" s="40" t="str">
        <f>IF(tblMovimientos[[#This Row],[Producto]]="","",TRIM(LEFT(tblMovimientos[[#This Row],[Producto]],FIND(" · ",tblMovimientos[[#This Row],[Producto]]&amp;" · ")-1)))</f>
        <v/>
      </c>
      <c r="H501" s="40" t="str">
        <f>IF(tblMovimientos[[#This Row],[SKU]]="","",IFERROR(INDEX(tblProductos[Unidad],MATCH(tblMovimientos[[#This Row],[SKU]],tblProductos[SKU],0)),"?"))</f>
        <v/>
      </c>
      <c r="I501" s="39"/>
      <c r="J501" s="47" t="str">
        <f>IF(tblMovimientos[[#This Row],[Tipo]]="","",IFERROR(INDEX(tblTiposMov[FactorStock],MATCH(tblMovimientos[[#This Row],[Tipo]],tblTiposMov[Tipo],0)),0))</f>
        <v/>
      </c>
      <c r="K5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1" s="37"/>
      <c r="O501" s="37"/>
      <c r="P501" s="37"/>
    </row>
    <row r="502" spans="2:16" x14ac:dyDescent="0.25">
      <c r="B5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2" s="46"/>
      <c r="D502" s="37"/>
      <c r="E502" s="37"/>
      <c r="F502" s="37"/>
      <c r="G502" s="40" t="str">
        <f>IF(tblMovimientos[[#This Row],[Producto]]="","",TRIM(LEFT(tblMovimientos[[#This Row],[Producto]],FIND(" · ",tblMovimientos[[#This Row],[Producto]]&amp;" · ")-1)))</f>
        <v/>
      </c>
      <c r="H502" s="40" t="str">
        <f>IF(tblMovimientos[[#This Row],[SKU]]="","",IFERROR(INDEX(tblProductos[Unidad],MATCH(tblMovimientos[[#This Row],[SKU]],tblProductos[SKU],0)),"?"))</f>
        <v/>
      </c>
      <c r="I502" s="39"/>
      <c r="J502" s="47" t="str">
        <f>IF(tblMovimientos[[#This Row],[Tipo]]="","",IFERROR(INDEX(tblTiposMov[FactorStock],MATCH(tblMovimientos[[#This Row],[Tipo]],tblTiposMov[Tipo],0)),0))</f>
        <v/>
      </c>
      <c r="K5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2" s="37"/>
      <c r="O502" s="37"/>
      <c r="P502" s="37"/>
    </row>
    <row r="503" spans="2:16" x14ac:dyDescent="0.25">
      <c r="B5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3" s="46"/>
      <c r="D503" s="37"/>
      <c r="E503" s="37"/>
      <c r="F503" s="37"/>
      <c r="G503" s="40" t="str">
        <f>IF(tblMovimientos[[#This Row],[Producto]]="","",TRIM(LEFT(tblMovimientos[[#This Row],[Producto]],FIND(" · ",tblMovimientos[[#This Row],[Producto]]&amp;" · ")-1)))</f>
        <v/>
      </c>
      <c r="H503" s="40" t="str">
        <f>IF(tblMovimientos[[#This Row],[SKU]]="","",IFERROR(INDEX(tblProductos[Unidad],MATCH(tblMovimientos[[#This Row],[SKU]],tblProductos[SKU],0)),"?"))</f>
        <v/>
      </c>
      <c r="I503" s="39"/>
      <c r="J503" s="47" t="str">
        <f>IF(tblMovimientos[[#This Row],[Tipo]]="","",IFERROR(INDEX(tblTiposMov[FactorStock],MATCH(tblMovimientos[[#This Row],[Tipo]],tblTiposMov[Tipo],0)),0))</f>
        <v/>
      </c>
      <c r="K5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3" s="37"/>
      <c r="O503" s="37"/>
      <c r="P503" s="37"/>
    </row>
    <row r="504" spans="2:16" x14ac:dyDescent="0.25">
      <c r="B5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4" s="46"/>
      <c r="D504" s="37"/>
      <c r="E504" s="37"/>
      <c r="F504" s="37"/>
      <c r="G504" s="40" t="str">
        <f>IF(tblMovimientos[[#This Row],[Producto]]="","",TRIM(LEFT(tblMovimientos[[#This Row],[Producto]],FIND(" · ",tblMovimientos[[#This Row],[Producto]]&amp;" · ")-1)))</f>
        <v/>
      </c>
      <c r="H504" s="40" t="str">
        <f>IF(tblMovimientos[[#This Row],[SKU]]="","",IFERROR(INDEX(tblProductos[Unidad],MATCH(tblMovimientos[[#This Row],[SKU]],tblProductos[SKU],0)),"?"))</f>
        <v/>
      </c>
      <c r="I504" s="39"/>
      <c r="J504" s="47" t="str">
        <f>IF(tblMovimientos[[#This Row],[Tipo]]="","",IFERROR(INDEX(tblTiposMov[FactorStock],MATCH(tblMovimientos[[#This Row],[Tipo]],tblTiposMov[Tipo],0)),0))</f>
        <v/>
      </c>
      <c r="K5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4" s="37"/>
      <c r="O504" s="37"/>
      <c r="P504" s="37"/>
    </row>
    <row r="505" spans="2:16" x14ac:dyDescent="0.25">
      <c r="B5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5" s="46"/>
      <c r="D505" s="37"/>
      <c r="E505" s="37"/>
      <c r="F505" s="37"/>
      <c r="G505" s="40" t="str">
        <f>IF(tblMovimientos[[#This Row],[Producto]]="","",TRIM(LEFT(tblMovimientos[[#This Row],[Producto]],FIND(" · ",tblMovimientos[[#This Row],[Producto]]&amp;" · ")-1)))</f>
        <v/>
      </c>
      <c r="H505" s="40" t="str">
        <f>IF(tblMovimientos[[#This Row],[SKU]]="","",IFERROR(INDEX(tblProductos[Unidad],MATCH(tblMovimientos[[#This Row],[SKU]],tblProductos[SKU],0)),"?"))</f>
        <v/>
      </c>
      <c r="I505" s="39"/>
      <c r="J505" s="47" t="str">
        <f>IF(tblMovimientos[[#This Row],[Tipo]]="","",IFERROR(INDEX(tblTiposMov[FactorStock],MATCH(tblMovimientos[[#This Row],[Tipo]],tblTiposMov[Tipo],0)),0))</f>
        <v/>
      </c>
      <c r="K5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5" s="37"/>
      <c r="O505" s="37"/>
      <c r="P505" s="37"/>
    </row>
    <row r="506" spans="2:16" x14ac:dyDescent="0.25">
      <c r="B5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6" s="46"/>
      <c r="D506" s="37"/>
      <c r="E506" s="37"/>
      <c r="F506" s="37"/>
      <c r="G506" s="40" t="str">
        <f>IF(tblMovimientos[[#This Row],[Producto]]="","",TRIM(LEFT(tblMovimientos[[#This Row],[Producto]],FIND(" · ",tblMovimientos[[#This Row],[Producto]]&amp;" · ")-1)))</f>
        <v/>
      </c>
      <c r="H506" s="40" t="str">
        <f>IF(tblMovimientos[[#This Row],[SKU]]="","",IFERROR(INDEX(tblProductos[Unidad],MATCH(tblMovimientos[[#This Row],[SKU]],tblProductos[SKU],0)),"?"))</f>
        <v/>
      </c>
      <c r="I506" s="39"/>
      <c r="J506" s="47" t="str">
        <f>IF(tblMovimientos[[#This Row],[Tipo]]="","",IFERROR(INDEX(tblTiposMov[FactorStock],MATCH(tblMovimientos[[#This Row],[Tipo]],tblTiposMov[Tipo],0)),0))</f>
        <v/>
      </c>
      <c r="K5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6" s="37"/>
      <c r="O506" s="37"/>
      <c r="P506" s="37"/>
    </row>
    <row r="507" spans="2:16" x14ac:dyDescent="0.25">
      <c r="B5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7" s="46"/>
      <c r="D507" s="37"/>
      <c r="E507" s="37"/>
      <c r="F507" s="37"/>
      <c r="G507" s="40" t="str">
        <f>IF(tblMovimientos[[#This Row],[Producto]]="","",TRIM(LEFT(tblMovimientos[[#This Row],[Producto]],FIND(" · ",tblMovimientos[[#This Row],[Producto]]&amp;" · ")-1)))</f>
        <v/>
      </c>
      <c r="H507" s="40" t="str">
        <f>IF(tblMovimientos[[#This Row],[SKU]]="","",IFERROR(INDEX(tblProductos[Unidad],MATCH(tblMovimientos[[#This Row],[SKU]],tblProductos[SKU],0)),"?"))</f>
        <v/>
      </c>
      <c r="I507" s="39"/>
      <c r="J507" s="47" t="str">
        <f>IF(tblMovimientos[[#This Row],[Tipo]]="","",IFERROR(INDEX(tblTiposMov[FactorStock],MATCH(tblMovimientos[[#This Row],[Tipo]],tblTiposMov[Tipo],0)),0))</f>
        <v/>
      </c>
      <c r="K5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7" s="37"/>
      <c r="O507" s="37"/>
      <c r="P507" s="37"/>
    </row>
    <row r="508" spans="2:16" x14ac:dyDescent="0.25">
      <c r="B5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8" s="46"/>
      <c r="D508" s="37"/>
      <c r="E508" s="37"/>
      <c r="F508" s="37"/>
      <c r="G508" s="40" t="str">
        <f>IF(tblMovimientos[[#This Row],[Producto]]="","",TRIM(LEFT(tblMovimientos[[#This Row],[Producto]],FIND(" · ",tblMovimientos[[#This Row],[Producto]]&amp;" · ")-1)))</f>
        <v/>
      </c>
      <c r="H508" s="40" t="str">
        <f>IF(tblMovimientos[[#This Row],[SKU]]="","",IFERROR(INDEX(tblProductos[Unidad],MATCH(tblMovimientos[[#This Row],[SKU]],tblProductos[SKU],0)),"?"))</f>
        <v/>
      </c>
      <c r="I508" s="39"/>
      <c r="J508" s="47" t="str">
        <f>IF(tblMovimientos[[#This Row],[Tipo]]="","",IFERROR(INDEX(tblTiposMov[FactorStock],MATCH(tblMovimientos[[#This Row],[Tipo]],tblTiposMov[Tipo],0)),0))</f>
        <v/>
      </c>
      <c r="K5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8" s="37"/>
      <c r="O508" s="37"/>
      <c r="P508" s="37"/>
    </row>
    <row r="509" spans="2:16" x14ac:dyDescent="0.25">
      <c r="B5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9" s="46"/>
      <c r="D509" s="37"/>
      <c r="E509" s="37"/>
      <c r="F509" s="37"/>
      <c r="G509" s="40" t="str">
        <f>IF(tblMovimientos[[#This Row],[Producto]]="","",TRIM(LEFT(tblMovimientos[[#This Row],[Producto]],FIND(" · ",tblMovimientos[[#This Row],[Producto]]&amp;" · ")-1)))</f>
        <v/>
      </c>
      <c r="H509" s="40" t="str">
        <f>IF(tblMovimientos[[#This Row],[SKU]]="","",IFERROR(INDEX(tblProductos[Unidad],MATCH(tblMovimientos[[#This Row],[SKU]],tblProductos[SKU],0)),"?"))</f>
        <v/>
      </c>
      <c r="I509" s="39"/>
      <c r="J509" s="47" t="str">
        <f>IF(tblMovimientos[[#This Row],[Tipo]]="","",IFERROR(INDEX(tblTiposMov[FactorStock],MATCH(tblMovimientos[[#This Row],[Tipo]],tblTiposMov[Tipo],0)),0))</f>
        <v/>
      </c>
      <c r="K5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9" s="37"/>
      <c r="O509" s="37"/>
      <c r="P509" s="37"/>
    </row>
    <row r="510" spans="2:16" x14ac:dyDescent="0.25">
      <c r="B5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0" s="46"/>
      <c r="D510" s="37"/>
      <c r="E510" s="37"/>
      <c r="F510" s="37"/>
      <c r="G510" s="40" t="str">
        <f>IF(tblMovimientos[[#This Row],[Producto]]="","",TRIM(LEFT(tblMovimientos[[#This Row],[Producto]],FIND(" · ",tblMovimientos[[#This Row],[Producto]]&amp;" · ")-1)))</f>
        <v/>
      </c>
      <c r="H510" s="40" t="str">
        <f>IF(tblMovimientos[[#This Row],[SKU]]="","",IFERROR(INDEX(tblProductos[Unidad],MATCH(tblMovimientos[[#This Row],[SKU]],tblProductos[SKU],0)),"?"))</f>
        <v/>
      </c>
      <c r="I510" s="39"/>
      <c r="J510" s="47" t="str">
        <f>IF(tblMovimientos[[#This Row],[Tipo]]="","",IFERROR(INDEX(tblTiposMov[FactorStock],MATCH(tblMovimientos[[#This Row],[Tipo]],tblTiposMov[Tipo],0)),0))</f>
        <v/>
      </c>
      <c r="K5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0" s="37"/>
      <c r="O510" s="37"/>
      <c r="P510" s="37"/>
    </row>
    <row r="511" spans="2:16" x14ac:dyDescent="0.25">
      <c r="B5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1" s="46"/>
      <c r="D511" s="37"/>
      <c r="E511" s="37"/>
      <c r="F511" s="37"/>
      <c r="G511" s="40" t="str">
        <f>IF(tblMovimientos[[#This Row],[Producto]]="","",TRIM(LEFT(tblMovimientos[[#This Row],[Producto]],FIND(" · ",tblMovimientos[[#This Row],[Producto]]&amp;" · ")-1)))</f>
        <v/>
      </c>
      <c r="H511" s="40" t="str">
        <f>IF(tblMovimientos[[#This Row],[SKU]]="","",IFERROR(INDEX(tblProductos[Unidad],MATCH(tblMovimientos[[#This Row],[SKU]],tblProductos[SKU],0)),"?"))</f>
        <v/>
      </c>
      <c r="I511" s="39"/>
      <c r="J511" s="47" t="str">
        <f>IF(tblMovimientos[[#This Row],[Tipo]]="","",IFERROR(INDEX(tblTiposMov[FactorStock],MATCH(tblMovimientos[[#This Row],[Tipo]],tblTiposMov[Tipo],0)),0))</f>
        <v/>
      </c>
      <c r="K5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1" s="37"/>
      <c r="O511" s="37"/>
      <c r="P511" s="37"/>
    </row>
    <row r="512" spans="2:16" x14ac:dyDescent="0.25">
      <c r="B5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2" s="46"/>
      <c r="D512" s="37"/>
      <c r="E512" s="37"/>
      <c r="F512" s="37"/>
      <c r="G512" s="40" t="str">
        <f>IF(tblMovimientos[[#This Row],[Producto]]="","",TRIM(LEFT(tblMovimientos[[#This Row],[Producto]],FIND(" · ",tblMovimientos[[#This Row],[Producto]]&amp;" · ")-1)))</f>
        <v/>
      </c>
      <c r="H512" s="40" t="str">
        <f>IF(tblMovimientos[[#This Row],[SKU]]="","",IFERROR(INDEX(tblProductos[Unidad],MATCH(tblMovimientos[[#This Row],[SKU]],tblProductos[SKU],0)),"?"))</f>
        <v/>
      </c>
      <c r="I512" s="39"/>
      <c r="J512" s="47" t="str">
        <f>IF(tblMovimientos[[#This Row],[Tipo]]="","",IFERROR(INDEX(tblTiposMov[FactorStock],MATCH(tblMovimientos[[#This Row],[Tipo]],tblTiposMov[Tipo],0)),0))</f>
        <v/>
      </c>
      <c r="K5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2" s="37"/>
      <c r="O512" s="37"/>
      <c r="P512" s="37"/>
    </row>
    <row r="513" spans="2:16" x14ac:dyDescent="0.25">
      <c r="B5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3" s="46"/>
      <c r="D513" s="37"/>
      <c r="E513" s="37"/>
      <c r="F513" s="37"/>
      <c r="G513" s="40" t="str">
        <f>IF(tblMovimientos[[#This Row],[Producto]]="","",TRIM(LEFT(tblMovimientos[[#This Row],[Producto]],FIND(" · ",tblMovimientos[[#This Row],[Producto]]&amp;" · ")-1)))</f>
        <v/>
      </c>
      <c r="H513" s="40" t="str">
        <f>IF(tblMovimientos[[#This Row],[SKU]]="","",IFERROR(INDEX(tblProductos[Unidad],MATCH(tblMovimientos[[#This Row],[SKU]],tblProductos[SKU],0)),"?"))</f>
        <v/>
      </c>
      <c r="I513" s="39"/>
      <c r="J513" s="47" t="str">
        <f>IF(tblMovimientos[[#This Row],[Tipo]]="","",IFERROR(INDEX(tblTiposMov[FactorStock],MATCH(tblMovimientos[[#This Row],[Tipo]],tblTiposMov[Tipo],0)),0))</f>
        <v/>
      </c>
      <c r="K5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3" s="37"/>
      <c r="O513" s="37"/>
      <c r="P513" s="37"/>
    </row>
    <row r="514" spans="2:16" x14ac:dyDescent="0.25">
      <c r="B5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4" s="46"/>
      <c r="D514" s="37"/>
      <c r="E514" s="37"/>
      <c r="F514" s="37"/>
      <c r="G514" s="40" t="str">
        <f>IF(tblMovimientos[[#This Row],[Producto]]="","",TRIM(LEFT(tblMovimientos[[#This Row],[Producto]],FIND(" · ",tblMovimientos[[#This Row],[Producto]]&amp;" · ")-1)))</f>
        <v/>
      </c>
      <c r="H514" s="40" t="str">
        <f>IF(tblMovimientos[[#This Row],[SKU]]="","",IFERROR(INDEX(tblProductos[Unidad],MATCH(tblMovimientos[[#This Row],[SKU]],tblProductos[SKU],0)),"?"))</f>
        <v/>
      </c>
      <c r="I514" s="39"/>
      <c r="J514" s="47" t="str">
        <f>IF(tblMovimientos[[#This Row],[Tipo]]="","",IFERROR(INDEX(tblTiposMov[FactorStock],MATCH(tblMovimientos[[#This Row],[Tipo]],tblTiposMov[Tipo],0)),0))</f>
        <v/>
      </c>
      <c r="K5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4" s="37"/>
      <c r="O514" s="37"/>
      <c r="P514" s="37"/>
    </row>
    <row r="515" spans="2:16" x14ac:dyDescent="0.25">
      <c r="B5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5" s="46"/>
      <c r="D515" s="37"/>
      <c r="E515" s="37"/>
      <c r="F515" s="37"/>
      <c r="G515" s="40" t="str">
        <f>IF(tblMovimientos[[#This Row],[Producto]]="","",TRIM(LEFT(tblMovimientos[[#This Row],[Producto]],FIND(" · ",tblMovimientos[[#This Row],[Producto]]&amp;" · ")-1)))</f>
        <v/>
      </c>
      <c r="H515" s="40" t="str">
        <f>IF(tblMovimientos[[#This Row],[SKU]]="","",IFERROR(INDEX(tblProductos[Unidad],MATCH(tblMovimientos[[#This Row],[SKU]],tblProductos[SKU],0)),"?"))</f>
        <v/>
      </c>
      <c r="I515" s="39"/>
      <c r="J515" s="47" t="str">
        <f>IF(tblMovimientos[[#This Row],[Tipo]]="","",IFERROR(INDEX(tblTiposMov[FactorStock],MATCH(tblMovimientos[[#This Row],[Tipo]],tblTiposMov[Tipo],0)),0))</f>
        <v/>
      </c>
      <c r="K5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5" s="37"/>
      <c r="O515" s="37"/>
      <c r="P515" s="37"/>
    </row>
    <row r="516" spans="2:16" x14ac:dyDescent="0.25">
      <c r="B5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6" s="46"/>
      <c r="D516" s="37"/>
      <c r="E516" s="37"/>
      <c r="F516" s="37"/>
      <c r="G516" s="40" t="str">
        <f>IF(tblMovimientos[[#This Row],[Producto]]="","",TRIM(LEFT(tblMovimientos[[#This Row],[Producto]],FIND(" · ",tblMovimientos[[#This Row],[Producto]]&amp;" · ")-1)))</f>
        <v/>
      </c>
      <c r="H516" s="40" t="str">
        <f>IF(tblMovimientos[[#This Row],[SKU]]="","",IFERROR(INDEX(tblProductos[Unidad],MATCH(tblMovimientos[[#This Row],[SKU]],tblProductos[SKU],0)),"?"))</f>
        <v/>
      </c>
      <c r="I516" s="39"/>
      <c r="J516" s="47" t="str">
        <f>IF(tblMovimientos[[#This Row],[Tipo]]="","",IFERROR(INDEX(tblTiposMov[FactorStock],MATCH(tblMovimientos[[#This Row],[Tipo]],tblTiposMov[Tipo],0)),0))</f>
        <v/>
      </c>
      <c r="K5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6" s="37"/>
      <c r="O516" s="37"/>
      <c r="P516" s="37"/>
    </row>
    <row r="517" spans="2:16" x14ac:dyDescent="0.25">
      <c r="B5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7" s="46"/>
      <c r="D517" s="37"/>
      <c r="E517" s="37"/>
      <c r="F517" s="37"/>
      <c r="G517" s="40" t="str">
        <f>IF(tblMovimientos[[#This Row],[Producto]]="","",TRIM(LEFT(tblMovimientos[[#This Row],[Producto]],FIND(" · ",tblMovimientos[[#This Row],[Producto]]&amp;" · ")-1)))</f>
        <v/>
      </c>
      <c r="H517" s="40" t="str">
        <f>IF(tblMovimientos[[#This Row],[SKU]]="","",IFERROR(INDEX(tblProductos[Unidad],MATCH(tblMovimientos[[#This Row],[SKU]],tblProductos[SKU],0)),"?"))</f>
        <v/>
      </c>
      <c r="I517" s="39"/>
      <c r="J517" s="47" t="str">
        <f>IF(tblMovimientos[[#This Row],[Tipo]]="","",IFERROR(INDEX(tblTiposMov[FactorStock],MATCH(tblMovimientos[[#This Row],[Tipo]],tblTiposMov[Tipo],0)),0))</f>
        <v/>
      </c>
      <c r="K5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7" s="37"/>
      <c r="O517" s="37"/>
      <c r="P517" s="37"/>
    </row>
    <row r="518" spans="2:16" x14ac:dyDescent="0.25">
      <c r="B5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8" s="46"/>
      <c r="D518" s="37"/>
      <c r="E518" s="37"/>
      <c r="F518" s="37"/>
      <c r="G518" s="40" t="str">
        <f>IF(tblMovimientos[[#This Row],[Producto]]="","",TRIM(LEFT(tblMovimientos[[#This Row],[Producto]],FIND(" · ",tblMovimientos[[#This Row],[Producto]]&amp;" · ")-1)))</f>
        <v/>
      </c>
      <c r="H518" s="40" t="str">
        <f>IF(tblMovimientos[[#This Row],[SKU]]="","",IFERROR(INDEX(tblProductos[Unidad],MATCH(tblMovimientos[[#This Row],[SKU]],tblProductos[SKU],0)),"?"))</f>
        <v/>
      </c>
      <c r="I518" s="39"/>
      <c r="J518" s="47" t="str">
        <f>IF(tblMovimientos[[#This Row],[Tipo]]="","",IFERROR(INDEX(tblTiposMov[FactorStock],MATCH(tblMovimientos[[#This Row],[Tipo]],tblTiposMov[Tipo],0)),0))</f>
        <v/>
      </c>
      <c r="K5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8" s="37"/>
      <c r="O518" s="37"/>
      <c r="P518" s="37"/>
    </row>
    <row r="519" spans="2:16" x14ac:dyDescent="0.25">
      <c r="B5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19" s="46"/>
      <c r="D519" s="37"/>
      <c r="E519" s="37"/>
      <c r="F519" s="37"/>
      <c r="G519" s="40" t="str">
        <f>IF(tblMovimientos[[#This Row],[Producto]]="","",TRIM(LEFT(tblMovimientos[[#This Row],[Producto]],FIND(" · ",tblMovimientos[[#This Row],[Producto]]&amp;" · ")-1)))</f>
        <v/>
      </c>
      <c r="H519" s="40" t="str">
        <f>IF(tblMovimientos[[#This Row],[SKU]]="","",IFERROR(INDEX(tblProductos[Unidad],MATCH(tblMovimientos[[#This Row],[SKU]],tblProductos[SKU],0)),"?"))</f>
        <v/>
      </c>
      <c r="I519" s="39"/>
      <c r="J519" s="47" t="str">
        <f>IF(tblMovimientos[[#This Row],[Tipo]]="","",IFERROR(INDEX(tblTiposMov[FactorStock],MATCH(tblMovimientos[[#This Row],[Tipo]],tblTiposMov[Tipo],0)),0))</f>
        <v/>
      </c>
      <c r="K5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19" s="37"/>
      <c r="O519" s="37"/>
      <c r="P519" s="37"/>
    </row>
    <row r="520" spans="2:16" x14ac:dyDescent="0.25">
      <c r="B5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0" s="46"/>
      <c r="D520" s="37"/>
      <c r="E520" s="37"/>
      <c r="F520" s="37"/>
      <c r="G520" s="40" t="str">
        <f>IF(tblMovimientos[[#This Row],[Producto]]="","",TRIM(LEFT(tblMovimientos[[#This Row],[Producto]],FIND(" · ",tblMovimientos[[#This Row],[Producto]]&amp;" · ")-1)))</f>
        <v/>
      </c>
      <c r="H520" s="40" t="str">
        <f>IF(tblMovimientos[[#This Row],[SKU]]="","",IFERROR(INDEX(tblProductos[Unidad],MATCH(tblMovimientos[[#This Row],[SKU]],tblProductos[SKU],0)),"?"))</f>
        <v/>
      </c>
      <c r="I520" s="39"/>
      <c r="J520" s="47" t="str">
        <f>IF(tblMovimientos[[#This Row],[Tipo]]="","",IFERROR(INDEX(tblTiposMov[FactorStock],MATCH(tblMovimientos[[#This Row],[Tipo]],tblTiposMov[Tipo],0)),0))</f>
        <v/>
      </c>
      <c r="K5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0" s="37"/>
      <c r="O520" s="37"/>
      <c r="P520" s="37"/>
    </row>
    <row r="521" spans="2:16" x14ac:dyDescent="0.25">
      <c r="B5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1" s="46"/>
      <c r="D521" s="37"/>
      <c r="E521" s="37"/>
      <c r="F521" s="37"/>
      <c r="G521" s="40" t="str">
        <f>IF(tblMovimientos[[#This Row],[Producto]]="","",TRIM(LEFT(tblMovimientos[[#This Row],[Producto]],FIND(" · ",tblMovimientos[[#This Row],[Producto]]&amp;" · ")-1)))</f>
        <v/>
      </c>
      <c r="H521" s="40" t="str">
        <f>IF(tblMovimientos[[#This Row],[SKU]]="","",IFERROR(INDEX(tblProductos[Unidad],MATCH(tblMovimientos[[#This Row],[SKU]],tblProductos[SKU],0)),"?"))</f>
        <v/>
      </c>
      <c r="I521" s="39"/>
      <c r="J521" s="47" t="str">
        <f>IF(tblMovimientos[[#This Row],[Tipo]]="","",IFERROR(INDEX(tblTiposMov[FactorStock],MATCH(tblMovimientos[[#This Row],[Tipo]],tblTiposMov[Tipo],0)),0))</f>
        <v/>
      </c>
      <c r="K5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1" s="37"/>
      <c r="O521" s="37"/>
      <c r="P521" s="37"/>
    </row>
    <row r="522" spans="2:16" x14ac:dyDescent="0.25">
      <c r="B5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2" s="46"/>
      <c r="D522" s="37"/>
      <c r="E522" s="37"/>
      <c r="F522" s="37"/>
      <c r="G522" s="40" t="str">
        <f>IF(tblMovimientos[[#This Row],[Producto]]="","",TRIM(LEFT(tblMovimientos[[#This Row],[Producto]],FIND(" · ",tblMovimientos[[#This Row],[Producto]]&amp;" · ")-1)))</f>
        <v/>
      </c>
      <c r="H522" s="40" t="str">
        <f>IF(tblMovimientos[[#This Row],[SKU]]="","",IFERROR(INDEX(tblProductos[Unidad],MATCH(tblMovimientos[[#This Row],[SKU]],tblProductos[SKU],0)),"?"))</f>
        <v/>
      </c>
      <c r="I522" s="39"/>
      <c r="J522" s="47" t="str">
        <f>IF(tblMovimientos[[#This Row],[Tipo]]="","",IFERROR(INDEX(tblTiposMov[FactorStock],MATCH(tblMovimientos[[#This Row],[Tipo]],tblTiposMov[Tipo],0)),0))</f>
        <v/>
      </c>
      <c r="K5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2" s="37"/>
      <c r="O522" s="37"/>
      <c r="P522" s="37"/>
    </row>
    <row r="523" spans="2:16" x14ac:dyDescent="0.25">
      <c r="B5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3" s="46"/>
      <c r="D523" s="37"/>
      <c r="E523" s="37"/>
      <c r="F523" s="37"/>
      <c r="G523" s="40" t="str">
        <f>IF(tblMovimientos[[#This Row],[Producto]]="","",TRIM(LEFT(tblMovimientos[[#This Row],[Producto]],FIND(" · ",tblMovimientos[[#This Row],[Producto]]&amp;" · ")-1)))</f>
        <v/>
      </c>
      <c r="H523" s="40" t="str">
        <f>IF(tblMovimientos[[#This Row],[SKU]]="","",IFERROR(INDEX(tblProductos[Unidad],MATCH(tblMovimientos[[#This Row],[SKU]],tblProductos[SKU],0)),"?"))</f>
        <v/>
      </c>
      <c r="I523" s="39"/>
      <c r="J523" s="47" t="str">
        <f>IF(tblMovimientos[[#This Row],[Tipo]]="","",IFERROR(INDEX(tblTiposMov[FactorStock],MATCH(tblMovimientos[[#This Row],[Tipo]],tblTiposMov[Tipo],0)),0))</f>
        <v/>
      </c>
      <c r="K5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3" s="37"/>
      <c r="O523" s="37"/>
      <c r="P523" s="37"/>
    </row>
    <row r="524" spans="2:16" x14ac:dyDescent="0.25">
      <c r="B5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4" s="46"/>
      <c r="D524" s="37"/>
      <c r="E524" s="37"/>
      <c r="F524" s="37"/>
      <c r="G524" s="40" t="str">
        <f>IF(tblMovimientos[[#This Row],[Producto]]="","",TRIM(LEFT(tblMovimientos[[#This Row],[Producto]],FIND(" · ",tblMovimientos[[#This Row],[Producto]]&amp;" · ")-1)))</f>
        <v/>
      </c>
      <c r="H524" s="40" t="str">
        <f>IF(tblMovimientos[[#This Row],[SKU]]="","",IFERROR(INDEX(tblProductos[Unidad],MATCH(tblMovimientos[[#This Row],[SKU]],tblProductos[SKU],0)),"?"))</f>
        <v/>
      </c>
      <c r="I524" s="39"/>
      <c r="J524" s="47" t="str">
        <f>IF(tblMovimientos[[#This Row],[Tipo]]="","",IFERROR(INDEX(tblTiposMov[FactorStock],MATCH(tblMovimientos[[#This Row],[Tipo]],tblTiposMov[Tipo],0)),0))</f>
        <v/>
      </c>
      <c r="K5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4" s="37"/>
      <c r="O524" s="37"/>
      <c r="P524" s="37"/>
    </row>
    <row r="525" spans="2:16" x14ac:dyDescent="0.25">
      <c r="B5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5" s="46"/>
      <c r="D525" s="37"/>
      <c r="E525" s="37"/>
      <c r="F525" s="37"/>
      <c r="G525" s="40" t="str">
        <f>IF(tblMovimientos[[#This Row],[Producto]]="","",TRIM(LEFT(tblMovimientos[[#This Row],[Producto]],FIND(" · ",tblMovimientos[[#This Row],[Producto]]&amp;" · ")-1)))</f>
        <v/>
      </c>
      <c r="H525" s="40" t="str">
        <f>IF(tblMovimientos[[#This Row],[SKU]]="","",IFERROR(INDEX(tblProductos[Unidad],MATCH(tblMovimientos[[#This Row],[SKU]],tblProductos[SKU],0)),"?"))</f>
        <v/>
      </c>
      <c r="I525" s="39"/>
      <c r="J525" s="47" t="str">
        <f>IF(tblMovimientos[[#This Row],[Tipo]]="","",IFERROR(INDEX(tblTiposMov[FactorStock],MATCH(tblMovimientos[[#This Row],[Tipo]],tblTiposMov[Tipo],0)),0))</f>
        <v/>
      </c>
      <c r="K5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5" s="37"/>
      <c r="O525" s="37"/>
      <c r="P525" s="37"/>
    </row>
    <row r="526" spans="2:16" x14ac:dyDescent="0.25">
      <c r="B5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6" s="46"/>
      <c r="D526" s="37"/>
      <c r="E526" s="37"/>
      <c r="F526" s="37"/>
      <c r="G526" s="40" t="str">
        <f>IF(tblMovimientos[[#This Row],[Producto]]="","",TRIM(LEFT(tblMovimientos[[#This Row],[Producto]],FIND(" · ",tblMovimientos[[#This Row],[Producto]]&amp;" · ")-1)))</f>
        <v/>
      </c>
      <c r="H526" s="40" t="str">
        <f>IF(tblMovimientos[[#This Row],[SKU]]="","",IFERROR(INDEX(tblProductos[Unidad],MATCH(tblMovimientos[[#This Row],[SKU]],tblProductos[SKU],0)),"?"))</f>
        <v/>
      </c>
      <c r="I526" s="39"/>
      <c r="J526" s="47" t="str">
        <f>IF(tblMovimientos[[#This Row],[Tipo]]="","",IFERROR(INDEX(tblTiposMov[FactorStock],MATCH(tblMovimientos[[#This Row],[Tipo]],tblTiposMov[Tipo],0)),0))</f>
        <v/>
      </c>
      <c r="K5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6" s="37"/>
      <c r="O526" s="37"/>
      <c r="P526" s="37"/>
    </row>
    <row r="527" spans="2:16" x14ac:dyDescent="0.25">
      <c r="B5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7" s="46"/>
      <c r="D527" s="37"/>
      <c r="E527" s="37"/>
      <c r="F527" s="37"/>
      <c r="G527" s="40" t="str">
        <f>IF(tblMovimientos[[#This Row],[Producto]]="","",TRIM(LEFT(tblMovimientos[[#This Row],[Producto]],FIND(" · ",tblMovimientos[[#This Row],[Producto]]&amp;" · ")-1)))</f>
        <v/>
      </c>
      <c r="H527" s="40" t="str">
        <f>IF(tblMovimientos[[#This Row],[SKU]]="","",IFERROR(INDEX(tblProductos[Unidad],MATCH(tblMovimientos[[#This Row],[SKU]],tblProductos[SKU],0)),"?"))</f>
        <v/>
      </c>
      <c r="I527" s="39"/>
      <c r="J527" s="47" t="str">
        <f>IF(tblMovimientos[[#This Row],[Tipo]]="","",IFERROR(INDEX(tblTiposMov[FactorStock],MATCH(tblMovimientos[[#This Row],[Tipo]],tblTiposMov[Tipo],0)),0))</f>
        <v/>
      </c>
      <c r="K5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7" s="37"/>
      <c r="O527" s="37"/>
      <c r="P527" s="37"/>
    </row>
    <row r="528" spans="2:16" x14ac:dyDescent="0.25">
      <c r="B5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8" s="46"/>
      <c r="D528" s="37"/>
      <c r="E528" s="37"/>
      <c r="F528" s="37"/>
      <c r="G528" s="40" t="str">
        <f>IF(tblMovimientos[[#This Row],[Producto]]="","",TRIM(LEFT(tblMovimientos[[#This Row],[Producto]],FIND(" · ",tblMovimientos[[#This Row],[Producto]]&amp;" · ")-1)))</f>
        <v/>
      </c>
      <c r="H528" s="40" t="str">
        <f>IF(tblMovimientos[[#This Row],[SKU]]="","",IFERROR(INDEX(tblProductos[Unidad],MATCH(tblMovimientos[[#This Row],[SKU]],tblProductos[SKU],0)),"?"))</f>
        <v/>
      </c>
      <c r="I528" s="39"/>
      <c r="J528" s="47" t="str">
        <f>IF(tblMovimientos[[#This Row],[Tipo]]="","",IFERROR(INDEX(tblTiposMov[FactorStock],MATCH(tblMovimientos[[#This Row],[Tipo]],tblTiposMov[Tipo],0)),0))</f>
        <v/>
      </c>
      <c r="K5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8" s="37"/>
      <c r="O528" s="37"/>
      <c r="P528" s="37"/>
    </row>
    <row r="529" spans="2:16" x14ac:dyDescent="0.25">
      <c r="B5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29" s="46"/>
      <c r="D529" s="37"/>
      <c r="E529" s="37"/>
      <c r="F529" s="37"/>
      <c r="G529" s="40" t="str">
        <f>IF(tblMovimientos[[#This Row],[Producto]]="","",TRIM(LEFT(tblMovimientos[[#This Row],[Producto]],FIND(" · ",tblMovimientos[[#This Row],[Producto]]&amp;" · ")-1)))</f>
        <v/>
      </c>
      <c r="H529" s="40" t="str">
        <f>IF(tblMovimientos[[#This Row],[SKU]]="","",IFERROR(INDEX(tblProductos[Unidad],MATCH(tblMovimientos[[#This Row],[SKU]],tblProductos[SKU],0)),"?"))</f>
        <v/>
      </c>
      <c r="I529" s="39"/>
      <c r="J529" s="47" t="str">
        <f>IF(tblMovimientos[[#This Row],[Tipo]]="","",IFERROR(INDEX(tblTiposMov[FactorStock],MATCH(tblMovimientos[[#This Row],[Tipo]],tblTiposMov[Tipo],0)),0))</f>
        <v/>
      </c>
      <c r="K5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29" s="37"/>
      <c r="O529" s="37"/>
      <c r="P529" s="37"/>
    </row>
    <row r="530" spans="2:16" x14ac:dyDescent="0.25">
      <c r="B5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0" s="46"/>
      <c r="D530" s="37"/>
      <c r="E530" s="37"/>
      <c r="F530" s="37"/>
      <c r="G530" s="40" t="str">
        <f>IF(tblMovimientos[[#This Row],[Producto]]="","",TRIM(LEFT(tblMovimientos[[#This Row],[Producto]],FIND(" · ",tblMovimientos[[#This Row],[Producto]]&amp;" · ")-1)))</f>
        <v/>
      </c>
      <c r="H530" s="40" t="str">
        <f>IF(tblMovimientos[[#This Row],[SKU]]="","",IFERROR(INDEX(tblProductos[Unidad],MATCH(tblMovimientos[[#This Row],[SKU]],tblProductos[SKU],0)),"?"))</f>
        <v/>
      </c>
      <c r="I530" s="39"/>
      <c r="J530" s="47" t="str">
        <f>IF(tblMovimientos[[#This Row],[Tipo]]="","",IFERROR(INDEX(tblTiposMov[FactorStock],MATCH(tblMovimientos[[#This Row],[Tipo]],tblTiposMov[Tipo],0)),0))</f>
        <v/>
      </c>
      <c r="K5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0" s="37"/>
      <c r="O530" s="37"/>
      <c r="P530" s="37"/>
    </row>
    <row r="531" spans="2:16" x14ac:dyDescent="0.25">
      <c r="B5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1" s="46"/>
      <c r="D531" s="37"/>
      <c r="E531" s="37"/>
      <c r="F531" s="37"/>
      <c r="G531" s="40" t="str">
        <f>IF(tblMovimientos[[#This Row],[Producto]]="","",TRIM(LEFT(tblMovimientos[[#This Row],[Producto]],FIND(" · ",tblMovimientos[[#This Row],[Producto]]&amp;" · ")-1)))</f>
        <v/>
      </c>
      <c r="H531" s="40" t="str">
        <f>IF(tblMovimientos[[#This Row],[SKU]]="","",IFERROR(INDEX(tblProductos[Unidad],MATCH(tblMovimientos[[#This Row],[SKU]],tblProductos[SKU],0)),"?"))</f>
        <v/>
      </c>
      <c r="I531" s="39"/>
      <c r="J531" s="47" t="str">
        <f>IF(tblMovimientos[[#This Row],[Tipo]]="","",IFERROR(INDEX(tblTiposMov[FactorStock],MATCH(tblMovimientos[[#This Row],[Tipo]],tblTiposMov[Tipo],0)),0))</f>
        <v/>
      </c>
      <c r="K5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1" s="37"/>
      <c r="O531" s="37"/>
      <c r="P531" s="37"/>
    </row>
    <row r="532" spans="2:16" x14ac:dyDescent="0.25">
      <c r="B5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2" s="46"/>
      <c r="D532" s="37"/>
      <c r="E532" s="37"/>
      <c r="F532" s="37"/>
      <c r="G532" s="40" t="str">
        <f>IF(tblMovimientos[[#This Row],[Producto]]="","",TRIM(LEFT(tblMovimientos[[#This Row],[Producto]],FIND(" · ",tblMovimientos[[#This Row],[Producto]]&amp;" · ")-1)))</f>
        <v/>
      </c>
      <c r="H532" s="40" t="str">
        <f>IF(tblMovimientos[[#This Row],[SKU]]="","",IFERROR(INDEX(tblProductos[Unidad],MATCH(tblMovimientos[[#This Row],[SKU]],tblProductos[SKU],0)),"?"))</f>
        <v/>
      </c>
      <c r="I532" s="39"/>
      <c r="J532" s="47" t="str">
        <f>IF(tblMovimientos[[#This Row],[Tipo]]="","",IFERROR(INDEX(tblTiposMov[FactorStock],MATCH(tblMovimientos[[#This Row],[Tipo]],tblTiposMov[Tipo],0)),0))</f>
        <v/>
      </c>
      <c r="K5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2" s="37"/>
      <c r="O532" s="37"/>
      <c r="P532" s="37"/>
    </row>
    <row r="533" spans="2:16" x14ac:dyDescent="0.25">
      <c r="B5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3" s="46"/>
      <c r="D533" s="37"/>
      <c r="E533" s="37"/>
      <c r="F533" s="37"/>
      <c r="G533" s="40" t="str">
        <f>IF(tblMovimientos[[#This Row],[Producto]]="","",TRIM(LEFT(tblMovimientos[[#This Row],[Producto]],FIND(" · ",tblMovimientos[[#This Row],[Producto]]&amp;" · ")-1)))</f>
        <v/>
      </c>
      <c r="H533" s="40" t="str">
        <f>IF(tblMovimientos[[#This Row],[SKU]]="","",IFERROR(INDEX(tblProductos[Unidad],MATCH(tblMovimientos[[#This Row],[SKU]],tblProductos[SKU],0)),"?"))</f>
        <v/>
      </c>
      <c r="I533" s="39"/>
      <c r="J533" s="47" t="str">
        <f>IF(tblMovimientos[[#This Row],[Tipo]]="","",IFERROR(INDEX(tblTiposMov[FactorStock],MATCH(tblMovimientos[[#This Row],[Tipo]],tblTiposMov[Tipo],0)),0))</f>
        <v/>
      </c>
      <c r="K5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3" s="37"/>
      <c r="O533" s="37"/>
      <c r="P533" s="37"/>
    </row>
    <row r="534" spans="2:16" x14ac:dyDescent="0.25">
      <c r="B5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4" s="46"/>
      <c r="D534" s="37"/>
      <c r="E534" s="37"/>
      <c r="F534" s="37"/>
      <c r="G534" s="40" t="str">
        <f>IF(tblMovimientos[[#This Row],[Producto]]="","",TRIM(LEFT(tblMovimientos[[#This Row],[Producto]],FIND(" · ",tblMovimientos[[#This Row],[Producto]]&amp;" · ")-1)))</f>
        <v/>
      </c>
      <c r="H534" s="40" t="str">
        <f>IF(tblMovimientos[[#This Row],[SKU]]="","",IFERROR(INDEX(tblProductos[Unidad],MATCH(tblMovimientos[[#This Row],[SKU]],tblProductos[SKU],0)),"?"))</f>
        <v/>
      </c>
      <c r="I534" s="39"/>
      <c r="J534" s="47" t="str">
        <f>IF(tblMovimientos[[#This Row],[Tipo]]="","",IFERROR(INDEX(tblTiposMov[FactorStock],MATCH(tblMovimientos[[#This Row],[Tipo]],tblTiposMov[Tipo],0)),0))</f>
        <v/>
      </c>
      <c r="K5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4" s="37"/>
      <c r="O534" s="37"/>
      <c r="P534" s="37"/>
    </row>
    <row r="535" spans="2:16" x14ac:dyDescent="0.25">
      <c r="B5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5" s="46"/>
      <c r="D535" s="37"/>
      <c r="E535" s="37"/>
      <c r="F535" s="37"/>
      <c r="G535" s="40" t="str">
        <f>IF(tblMovimientos[[#This Row],[Producto]]="","",TRIM(LEFT(tblMovimientos[[#This Row],[Producto]],FIND(" · ",tblMovimientos[[#This Row],[Producto]]&amp;" · ")-1)))</f>
        <v/>
      </c>
      <c r="H535" s="40" t="str">
        <f>IF(tblMovimientos[[#This Row],[SKU]]="","",IFERROR(INDEX(tblProductos[Unidad],MATCH(tblMovimientos[[#This Row],[SKU]],tblProductos[SKU],0)),"?"))</f>
        <v/>
      </c>
      <c r="I535" s="39"/>
      <c r="J535" s="47" t="str">
        <f>IF(tblMovimientos[[#This Row],[Tipo]]="","",IFERROR(INDEX(tblTiposMov[FactorStock],MATCH(tblMovimientos[[#This Row],[Tipo]],tblTiposMov[Tipo],0)),0))</f>
        <v/>
      </c>
      <c r="K5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5" s="37"/>
      <c r="O535" s="37"/>
      <c r="P535" s="37"/>
    </row>
    <row r="536" spans="2:16" x14ac:dyDescent="0.25">
      <c r="B5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6" s="46"/>
      <c r="D536" s="37"/>
      <c r="E536" s="37"/>
      <c r="F536" s="37"/>
      <c r="G536" s="40" t="str">
        <f>IF(tblMovimientos[[#This Row],[Producto]]="","",TRIM(LEFT(tblMovimientos[[#This Row],[Producto]],FIND(" · ",tblMovimientos[[#This Row],[Producto]]&amp;" · ")-1)))</f>
        <v/>
      </c>
      <c r="H536" s="40" t="str">
        <f>IF(tblMovimientos[[#This Row],[SKU]]="","",IFERROR(INDEX(tblProductos[Unidad],MATCH(tblMovimientos[[#This Row],[SKU]],tblProductos[SKU],0)),"?"))</f>
        <v/>
      </c>
      <c r="I536" s="39"/>
      <c r="J536" s="47" t="str">
        <f>IF(tblMovimientos[[#This Row],[Tipo]]="","",IFERROR(INDEX(tblTiposMov[FactorStock],MATCH(tblMovimientos[[#This Row],[Tipo]],tblTiposMov[Tipo],0)),0))</f>
        <v/>
      </c>
      <c r="K5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6" s="37"/>
      <c r="O536" s="37"/>
      <c r="P536" s="37"/>
    </row>
    <row r="537" spans="2:16" x14ac:dyDescent="0.25">
      <c r="B5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7" s="46"/>
      <c r="D537" s="37"/>
      <c r="E537" s="37"/>
      <c r="F537" s="37"/>
      <c r="G537" s="40" t="str">
        <f>IF(tblMovimientos[[#This Row],[Producto]]="","",TRIM(LEFT(tblMovimientos[[#This Row],[Producto]],FIND(" · ",tblMovimientos[[#This Row],[Producto]]&amp;" · ")-1)))</f>
        <v/>
      </c>
      <c r="H537" s="40" t="str">
        <f>IF(tblMovimientos[[#This Row],[SKU]]="","",IFERROR(INDEX(tblProductos[Unidad],MATCH(tblMovimientos[[#This Row],[SKU]],tblProductos[SKU],0)),"?"))</f>
        <v/>
      </c>
      <c r="I537" s="39"/>
      <c r="J537" s="47" t="str">
        <f>IF(tblMovimientos[[#This Row],[Tipo]]="","",IFERROR(INDEX(tblTiposMov[FactorStock],MATCH(tblMovimientos[[#This Row],[Tipo]],tblTiposMov[Tipo],0)),0))</f>
        <v/>
      </c>
      <c r="K5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7" s="37"/>
      <c r="O537" s="37"/>
      <c r="P537" s="37"/>
    </row>
    <row r="538" spans="2:16" x14ac:dyDescent="0.25">
      <c r="B5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8" s="46"/>
      <c r="D538" s="37"/>
      <c r="E538" s="37"/>
      <c r="F538" s="37"/>
      <c r="G538" s="40" t="str">
        <f>IF(tblMovimientos[[#This Row],[Producto]]="","",TRIM(LEFT(tblMovimientos[[#This Row],[Producto]],FIND(" · ",tblMovimientos[[#This Row],[Producto]]&amp;" · ")-1)))</f>
        <v/>
      </c>
      <c r="H538" s="40" t="str">
        <f>IF(tblMovimientos[[#This Row],[SKU]]="","",IFERROR(INDEX(tblProductos[Unidad],MATCH(tblMovimientos[[#This Row],[SKU]],tblProductos[SKU],0)),"?"))</f>
        <v/>
      </c>
      <c r="I538" s="39"/>
      <c r="J538" s="47" t="str">
        <f>IF(tblMovimientos[[#This Row],[Tipo]]="","",IFERROR(INDEX(tblTiposMov[FactorStock],MATCH(tblMovimientos[[#This Row],[Tipo]],tblTiposMov[Tipo],0)),0))</f>
        <v/>
      </c>
      <c r="K5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8" s="37"/>
      <c r="O538" s="37"/>
      <c r="P538" s="37"/>
    </row>
    <row r="539" spans="2:16" x14ac:dyDescent="0.25">
      <c r="B5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39" s="46"/>
      <c r="D539" s="37"/>
      <c r="E539" s="37"/>
      <c r="F539" s="37"/>
      <c r="G539" s="40" t="str">
        <f>IF(tblMovimientos[[#This Row],[Producto]]="","",TRIM(LEFT(tblMovimientos[[#This Row],[Producto]],FIND(" · ",tblMovimientos[[#This Row],[Producto]]&amp;" · ")-1)))</f>
        <v/>
      </c>
      <c r="H539" s="40" t="str">
        <f>IF(tblMovimientos[[#This Row],[SKU]]="","",IFERROR(INDEX(tblProductos[Unidad],MATCH(tblMovimientos[[#This Row],[SKU]],tblProductos[SKU],0)),"?"))</f>
        <v/>
      </c>
      <c r="I539" s="39"/>
      <c r="J539" s="47" t="str">
        <f>IF(tblMovimientos[[#This Row],[Tipo]]="","",IFERROR(INDEX(tblTiposMov[FactorStock],MATCH(tblMovimientos[[#This Row],[Tipo]],tblTiposMov[Tipo],0)),0))</f>
        <v/>
      </c>
      <c r="K5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39" s="37"/>
      <c r="O539" s="37"/>
      <c r="P539" s="37"/>
    </row>
    <row r="540" spans="2:16" x14ac:dyDescent="0.25">
      <c r="B5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0" s="46"/>
      <c r="D540" s="37"/>
      <c r="E540" s="37"/>
      <c r="F540" s="37"/>
      <c r="G540" s="40" t="str">
        <f>IF(tblMovimientos[[#This Row],[Producto]]="","",TRIM(LEFT(tblMovimientos[[#This Row],[Producto]],FIND(" · ",tblMovimientos[[#This Row],[Producto]]&amp;" · ")-1)))</f>
        <v/>
      </c>
      <c r="H540" s="40" t="str">
        <f>IF(tblMovimientos[[#This Row],[SKU]]="","",IFERROR(INDEX(tblProductos[Unidad],MATCH(tblMovimientos[[#This Row],[SKU]],tblProductos[SKU],0)),"?"))</f>
        <v/>
      </c>
      <c r="I540" s="39"/>
      <c r="J540" s="47" t="str">
        <f>IF(tblMovimientos[[#This Row],[Tipo]]="","",IFERROR(INDEX(tblTiposMov[FactorStock],MATCH(tblMovimientos[[#This Row],[Tipo]],tblTiposMov[Tipo],0)),0))</f>
        <v/>
      </c>
      <c r="K5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0" s="37"/>
      <c r="O540" s="37"/>
      <c r="P540" s="37"/>
    </row>
    <row r="541" spans="2:16" x14ac:dyDescent="0.25">
      <c r="B5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1" s="46"/>
      <c r="D541" s="37"/>
      <c r="E541" s="37"/>
      <c r="F541" s="37"/>
      <c r="G541" s="40" t="str">
        <f>IF(tblMovimientos[[#This Row],[Producto]]="","",TRIM(LEFT(tblMovimientos[[#This Row],[Producto]],FIND(" · ",tblMovimientos[[#This Row],[Producto]]&amp;" · ")-1)))</f>
        <v/>
      </c>
      <c r="H541" s="40" t="str">
        <f>IF(tblMovimientos[[#This Row],[SKU]]="","",IFERROR(INDEX(tblProductos[Unidad],MATCH(tblMovimientos[[#This Row],[SKU]],tblProductos[SKU],0)),"?"))</f>
        <v/>
      </c>
      <c r="I541" s="39"/>
      <c r="J541" s="47" t="str">
        <f>IF(tblMovimientos[[#This Row],[Tipo]]="","",IFERROR(INDEX(tblTiposMov[FactorStock],MATCH(tblMovimientos[[#This Row],[Tipo]],tblTiposMov[Tipo],0)),0))</f>
        <v/>
      </c>
      <c r="K5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1" s="37"/>
      <c r="O541" s="37"/>
      <c r="P541" s="37"/>
    </row>
    <row r="542" spans="2:16" x14ac:dyDescent="0.25">
      <c r="B5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2" s="46"/>
      <c r="D542" s="37"/>
      <c r="E542" s="37"/>
      <c r="F542" s="37"/>
      <c r="G542" s="40" t="str">
        <f>IF(tblMovimientos[[#This Row],[Producto]]="","",TRIM(LEFT(tblMovimientos[[#This Row],[Producto]],FIND(" · ",tblMovimientos[[#This Row],[Producto]]&amp;" · ")-1)))</f>
        <v/>
      </c>
      <c r="H542" s="40" t="str">
        <f>IF(tblMovimientos[[#This Row],[SKU]]="","",IFERROR(INDEX(tblProductos[Unidad],MATCH(tblMovimientos[[#This Row],[SKU]],tblProductos[SKU],0)),"?"))</f>
        <v/>
      </c>
      <c r="I542" s="39"/>
      <c r="J542" s="47" t="str">
        <f>IF(tblMovimientos[[#This Row],[Tipo]]="","",IFERROR(INDEX(tblTiposMov[FactorStock],MATCH(tblMovimientos[[#This Row],[Tipo]],tblTiposMov[Tipo],0)),0))</f>
        <v/>
      </c>
      <c r="K5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2" s="37"/>
      <c r="O542" s="37"/>
      <c r="P542" s="37"/>
    </row>
    <row r="543" spans="2:16" x14ac:dyDescent="0.25">
      <c r="B5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3" s="46"/>
      <c r="D543" s="37"/>
      <c r="E543" s="37"/>
      <c r="F543" s="37"/>
      <c r="G543" s="40" t="str">
        <f>IF(tblMovimientos[[#This Row],[Producto]]="","",TRIM(LEFT(tblMovimientos[[#This Row],[Producto]],FIND(" · ",tblMovimientos[[#This Row],[Producto]]&amp;" · ")-1)))</f>
        <v/>
      </c>
      <c r="H543" s="40" t="str">
        <f>IF(tblMovimientos[[#This Row],[SKU]]="","",IFERROR(INDEX(tblProductos[Unidad],MATCH(tblMovimientos[[#This Row],[SKU]],tblProductos[SKU],0)),"?"))</f>
        <v/>
      </c>
      <c r="I543" s="39"/>
      <c r="J543" s="47" t="str">
        <f>IF(tblMovimientos[[#This Row],[Tipo]]="","",IFERROR(INDEX(tblTiposMov[FactorStock],MATCH(tblMovimientos[[#This Row],[Tipo]],tblTiposMov[Tipo],0)),0))</f>
        <v/>
      </c>
      <c r="K5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3" s="37"/>
      <c r="O543" s="37"/>
      <c r="P543" s="37"/>
    </row>
    <row r="544" spans="2:16" x14ac:dyDescent="0.25">
      <c r="B5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4" s="46"/>
      <c r="D544" s="37"/>
      <c r="E544" s="37"/>
      <c r="F544" s="37"/>
      <c r="G544" s="40" t="str">
        <f>IF(tblMovimientos[[#This Row],[Producto]]="","",TRIM(LEFT(tblMovimientos[[#This Row],[Producto]],FIND(" · ",tblMovimientos[[#This Row],[Producto]]&amp;" · ")-1)))</f>
        <v/>
      </c>
      <c r="H544" s="40" t="str">
        <f>IF(tblMovimientos[[#This Row],[SKU]]="","",IFERROR(INDEX(tblProductos[Unidad],MATCH(tblMovimientos[[#This Row],[SKU]],tblProductos[SKU],0)),"?"))</f>
        <v/>
      </c>
      <c r="I544" s="39"/>
      <c r="J544" s="47" t="str">
        <f>IF(tblMovimientos[[#This Row],[Tipo]]="","",IFERROR(INDEX(tblTiposMov[FactorStock],MATCH(tblMovimientos[[#This Row],[Tipo]],tblTiposMov[Tipo],0)),0))</f>
        <v/>
      </c>
      <c r="K5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4" s="37"/>
      <c r="O544" s="37"/>
      <c r="P544" s="37"/>
    </row>
    <row r="545" spans="2:16" x14ac:dyDescent="0.25">
      <c r="B5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5" s="46"/>
      <c r="D545" s="37"/>
      <c r="E545" s="37"/>
      <c r="F545" s="37"/>
      <c r="G545" s="40" t="str">
        <f>IF(tblMovimientos[[#This Row],[Producto]]="","",TRIM(LEFT(tblMovimientos[[#This Row],[Producto]],FIND(" · ",tblMovimientos[[#This Row],[Producto]]&amp;" · ")-1)))</f>
        <v/>
      </c>
      <c r="H545" s="40" t="str">
        <f>IF(tblMovimientos[[#This Row],[SKU]]="","",IFERROR(INDEX(tblProductos[Unidad],MATCH(tblMovimientos[[#This Row],[SKU]],tblProductos[SKU],0)),"?"))</f>
        <v/>
      </c>
      <c r="I545" s="39"/>
      <c r="J545" s="47" t="str">
        <f>IF(tblMovimientos[[#This Row],[Tipo]]="","",IFERROR(INDEX(tblTiposMov[FactorStock],MATCH(tblMovimientos[[#This Row],[Tipo]],tblTiposMov[Tipo],0)),0))</f>
        <v/>
      </c>
      <c r="K5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5" s="37"/>
      <c r="O545" s="37"/>
      <c r="P545" s="37"/>
    </row>
    <row r="546" spans="2:16" x14ac:dyDescent="0.25">
      <c r="B5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6" s="46"/>
      <c r="D546" s="37"/>
      <c r="E546" s="37"/>
      <c r="F546" s="37"/>
      <c r="G546" s="40" t="str">
        <f>IF(tblMovimientos[[#This Row],[Producto]]="","",TRIM(LEFT(tblMovimientos[[#This Row],[Producto]],FIND(" · ",tblMovimientos[[#This Row],[Producto]]&amp;" · ")-1)))</f>
        <v/>
      </c>
      <c r="H546" s="40" t="str">
        <f>IF(tblMovimientos[[#This Row],[SKU]]="","",IFERROR(INDEX(tblProductos[Unidad],MATCH(tblMovimientos[[#This Row],[SKU]],tblProductos[SKU],0)),"?"))</f>
        <v/>
      </c>
      <c r="I546" s="39"/>
      <c r="J546" s="47" t="str">
        <f>IF(tblMovimientos[[#This Row],[Tipo]]="","",IFERROR(INDEX(tblTiposMov[FactorStock],MATCH(tblMovimientos[[#This Row],[Tipo]],tblTiposMov[Tipo],0)),0))</f>
        <v/>
      </c>
      <c r="K5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6" s="37"/>
      <c r="O546" s="37"/>
      <c r="P546" s="37"/>
    </row>
    <row r="547" spans="2:16" x14ac:dyDescent="0.25">
      <c r="B5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7" s="46"/>
      <c r="D547" s="37"/>
      <c r="E547" s="37"/>
      <c r="F547" s="37"/>
      <c r="G547" s="40" t="str">
        <f>IF(tblMovimientos[[#This Row],[Producto]]="","",TRIM(LEFT(tblMovimientos[[#This Row],[Producto]],FIND(" · ",tblMovimientos[[#This Row],[Producto]]&amp;" · ")-1)))</f>
        <v/>
      </c>
      <c r="H547" s="40" t="str">
        <f>IF(tblMovimientos[[#This Row],[SKU]]="","",IFERROR(INDEX(tblProductos[Unidad],MATCH(tblMovimientos[[#This Row],[SKU]],tblProductos[SKU],0)),"?"))</f>
        <v/>
      </c>
      <c r="I547" s="39"/>
      <c r="J547" s="47" t="str">
        <f>IF(tblMovimientos[[#This Row],[Tipo]]="","",IFERROR(INDEX(tblTiposMov[FactorStock],MATCH(tblMovimientos[[#This Row],[Tipo]],tblTiposMov[Tipo],0)),0))</f>
        <v/>
      </c>
      <c r="K5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7" s="37"/>
      <c r="O547" s="37"/>
      <c r="P547" s="37"/>
    </row>
    <row r="548" spans="2:16" x14ac:dyDescent="0.25">
      <c r="B5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8" s="46"/>
      <c r="D548" s="37"/>
      <c r="E548" s="37"/>
      <c r="F548" s="37"/>
      <c r="G548" s="40" t="str">
        <f>IF(tblMovimientos[[#This Row],[Producto]]="","",TRIM(LEFT(tblMovimientos[[#This Row],[Producto]],FIND(" · ",tblMovimientos[[#This Row],[Producto]]&amp;" · ")-1)))</f>
        <v/>
      </c>
      <c r="H548" s="40" t="str">
        <f>IF(tblMovimientos[[#This Row],[SKU]]="","",IFERROR(INDEX(tblProductos[Unidad],MATCH(tblMovimientos[[#This Row],[SKU]],tblProductos[SKU],0)),"?"))</f>
        <v/>
      </c>
      <c r="I548" s="39"/>
      <c r="J548" s="47" t="str">
        <f>IF(tblMovimientos[[#This Row],[Tipo]]="","",IFERROR(INDEX(tblTiposMov[FactorStock],MATCH(tblMovimientos[[#This Row],[Tipo]],tblTiposMov[Tipo],0)),0))</f>
        <v/>
      </c>
      <c r="K5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8" s="37"/>
      <c r="O548" s="37"/>
      <c r="P548" s="37"/>
    </row>
    <row r="549" spans="2:16" x14ac:dyDescent="0.25">
      <c r="B5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49" s="46"/>
      <c r="D549" s="37"/>
      <c r="E549" s="37"/>
      <c r="F549" s="37"/>
      <c r="G549" s="40" t="str">
        <f>IF(tblMovimientos[[#This Row],[Producto]]="","",TRIM(LEFT(tblMovimientos[[#This Row],[Producto]],FIND(" · ",tblMovimientos[[#This Row],[Producto]]&amp;" · ")-1)))</f>
        <v/>
      </c>
      <c r="H549" s="40" t="str">
        <f>IF(tblMovimientos[[#This Row],[SKU]]="","",IFERROR(INDEX(tblProductos[Unidad],MATCH(tblMovimientos[[#This Row],[SKU]],tblProductos[SKU],0)),"?"))</f>
        <v/>
      </c>
      <c r="I549" s="39"/>
      <c r="J549" s="47" t="str">
        <f>IF(tblMovimientos[[#This Row],[Tipo]]="","",IFERROR(INDEX(tblTiposMov[FactorStock],MATCH(tblMovimientos[[#This Row],[Tipo]],tblTiposMov[Tipo],0)),0))</f>
        <v/>
      </c>
      <c r="K5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49" s="37"/>
      <c r="O549" s="37"/>
      <c r="P549" s="37"/>
    </row>
    <row r="550" spans="2:16" x14ac:dyDescent="0.25">
      <c r="B5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0" s="46"/>
      <c r="D550" s="37"/>
      <c r="E550" s="37"/>
      <c r="F550" s="37"/>
      <c r="G550" s="40" t="str">
        <f>IF(tblMovimientos[[#This Row],[Producto]]="","",TRIM(LEFT(tblMovimientos[[#This Row],[Producto]],FIND(" · ",tblMovimientos[[#This Row],[Producto]]&amp;" · ")-1)))</f>
        <v/>
      </c>
      <c r="H550" s="40" t="str">
        <f>IF(tblMovimientos[[#This Row],[SKU]]="","",IFERROR(INDEX(tblProductos[Unidad],MATCH(tblMovimientos[[#This Row],[SKU]],tblProductos[SKU],0)),"?"))</f>
        <v/>
      </c>
      <c r="I550" s="39"/>
      <c r="J550" s="47" t="str">
        <f>IF(tblMovimientos[[#This Row],[Tipo]]="","",IFERROR(INDEX(tblTiposMov[FactorStock],MATCH(tblMovimientos[[#This Row],[Tipo]],tblTiposMov[Tipo],0)),0))</f>
        <v/>
      </c>
      <c r="K5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0" s="37"/>
      <c r="O550" s="37"/>
      <c r="P550" s="37"/>
    </row>
    <row r="551" spans="2:16" x14ac:dyDescent="0.25">
      <c r="B5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1" s="46"/>
      <c r="D551" s="37"/>
      <c r="E551" s="37"/>
      <c r="F551" s="37"/>
      <c r="G551" s="40" t="str">
        <f>IF(tblMovimientos[[#This Row],[Producto]]="","",TRIM(LEFT(tblMovimientos[[#This Row],[Producto]],FIND(" · ",tblMovimientos[[#This Row],[Producto]]&amp;" · ")-1)))</f>
        <v/>
      </c>
      <c r="H551" s="40" t="str">
        <f>IF(tblMovimientos[[#This Row],[SKU]]="","",IFERROR(INDEX(tblProductos[Unidad],MATCH(tblMovimientos[[#This Row],[SKU]],tblProductos[SKU],0)),"?"))</f>
        <v/>
      </c>
      <c r="I551" s="39"/>
      <c r="J551" s="47" t="str">
        <f>IF(tblMovimientos[[#This Row],[Tipo]]="","",IFERROR(INDEX(tblTiposMov[FactorStock],MATCH(tblMovimientos[[#This Row],[Tipo]],tblTiposMov[Tipo],0)),0))</f>
        <v/>
      </c>
      <c r="K5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1" s="37"/>
      <c r="O551" s="37"/>
      <c r="P551" s="37"/>
    </row>
    <row r="552" spans="2:16" x14ac:dyDescent="0.25">
      <c r="B5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2" s="46"/>
      <c r="D552" s="37"/>
      <c r="E552" s="37"/>
      <c r="F552" s="37"/>
      <c r="G552" s="40" t="str">
        <f>IF(tblMovimientos[[#This Row],[Producto]]="","",TRIM(LEFT(tblMovimientos[[#This Row],[Producto]],FIND(" · ",tblMovimientos[[#This Row],[Producto]]&amp;" · ")-1)))</f>
        <v/>
      </c>
      <c r="H552" s="40" t="str">
        <f>IF(tblMovimientos[[#This Row],[SKU]]="","",IFERROR(INDEX(tblProductos[Unidad],MATCH(tblMovimientos[[#This Row],[SKU]],tblProductos[SKU],0)),"?"))</f>
        <v/>
      </c>
      <c r="I552" s="39"/>
      <c r="J552" s="47" t="str">
        <f>IF(tblMovimientos[[#This Row],[Tipo]]="","",IFERROR(INDEX(tblTiposMov[FactorStock],MATCH(tblMovimientos[[#This Row],[Tipo]],tblTiposMov[Tipo],0)),0))</f>
        <v/>
      </c>
      <c r="K5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2" s="37"/>
      <c r="O552" s="37"/>
      <c r="P552" s="37"/>
    </row>
    <row r="553" spans="2:16" x14ac:dyDescent="0.25">
      <c r="B5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3" s="46"/>
      <c r="D553" s="37"/>
      <c r="E553" s="37"/>
      <c r="F553" s="37"/>
      <c r="G553" s="40" t="str">
        <f>IF(tblMovimientos[[#This Row],[Producto]]="","",TRIM(LEFT(tblMovimientos[[#This Row],[Producto]],FIND(" · ",tblMovimientos[[#This Row],[Producto]]&amp;" · ")-1)))</f>
        <v/>
      </c>
      <c r="H553" s="40" t="str">
        <f>IF(tblMovimientos[[#This Row],[SKU]]="","",IFERROR(INDEX(tblProductos[Unidad],MATCH(tblMovimientos[[#This Row],[SKU]],tblProductos[SKU],0)),"?"))</f>
        <v/>
      </c>
      <c r="I553" s="39"/>
      <c r="J553" s="47" t="str">
        <f>IF(tblMovimientos[[#This Row],[Tipo]]="","",IFERROR(INDEX(tblTiposMov[FactorStock],MATCH(tblMovimientos[[#This Row],[Tipo]],tblTiposMov[Tipo],0)),0))</f>
        <v/>
      </c>
      <c r="K5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3" s="37"/>
      <c r="O553" s="37"/>
      <c r="P553" s="37"/>
    </row>
    <row r="554" spans="2:16" x14ac:dyDescent="0.25">
      <c r="B5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4" s="46"/>
      <c r="D554" s="37"/>
      <c r="E554" s="37"/>
      <c r="F554" s="37"/>
      <c r="G554" s="40" t="str">
        <f>IF(tblMovimientos[[#This Row],[Producto]]="","",TRIM(LEFT(tblMovimientos[[#This Row],[Producto]],FIND(" · ",tblMovimientos[[#This Row],[Producto]]&amp;" · ")-1)))</f>
        <v/>
      </c>
      <c r="H554" s="40" t="str">
        <f>IF(tblMovimientos[[#This Row],[SKU]]="","",IFERROR(INDEX(tblProductos[Unidad],MATCH(tblMovimientos[[#This Row],[SKU]],tblProductos[SKU],0)),"?"))</f>
        <v/>
      </c>
      <c r="I554" s="39"/>
      <c r="J554" s="47" t="str">
        <f>IF(tblMovimientos[[#This Row],[Tipo]]="","",IFERROR(INDEX(tblTiposMov[FactorStock],MATCH(tblMovimientos[[#This Row],[Tipo]],tblTiposMov[Tipo],0)),0))</f>
        <v/>
      </c>
      <c r="K5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4" s="37"/>
      <c r="O554" s="37"/>
      <c r="P554" s="37"/>
    </row>
    <row r="555" spans="2:16" x14ac:dyDescent="0.25">
      <c r="B5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5" s="46"/>
      <c r="D555" s="37"/>
      <c r="E555" s="37"/>
      <c r="F555" s="37"/>
      <c r="G555" s="40" t="str">
        <f>IF(tblMovimientos[[#This Row],[Producto]]="","",TRIM(LEFT(tblMovimientos[[#This Row],[Producto]],FIND(" · ",tblMovimientos[[#This Row],[Producto]]&amp;" · ")-1)))</f>
        <v/>
      </c>
      <c r="H555" s="40" t="str">
        <f>IF(tblMovimientos[[#This Row],[SKU]]="","",IFERROR(INDEX(tblProductos[Unidad],MATCH(tblMovimientos[[#This Row],[SKU]],tblProductos[SKU],0)),"?"))</f>
        <v/>
      </c>
      <c r="I555" s="39"/>
      <c r="J555" s="47" t="str">
        <f>IF(tblMovimientos[[#This Row],[Tipo]]="","",IFERROR(INDEX(tblTiposMov[FactorStock],MATCH(tblMovimientos[[#This Row],[Tipo]],tblTiposMov[Tipo],0)),0))</f>
        <v/>
      </c>
      <c r="K5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5" s="37"/>
      <c r="O555" s="37"/>
      <c r="P555" s="37"/>
    </row>
    <row r="556" spans="2:16" x14ac:dyDescent="0.25">
      <c r="B5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6" s="46"/>
      <c r="D556" s="37"/>
      <c r="E556" s="37"/>
      <c r="F556" s="37"/>
      <c r="G556" s="40" t="str">
        <f>IF(tblMovimientos[[#This Row],[Producto]]="","",TRIM(LEFT(tblMovimientos[[#This Row],[Producto]],FIND(" · ",tblMovimientos[[#This Row],[Producto]]&amp;" · ")-1)))</f>
        <v/>
      </c>
      <c r="H556" s="40" t="str">
        <f>IF(tblMovimientos[[#This Row],[SKU]]="","",IFERROR(INDEX(tblProductos[Unidad],MATCH(tblMovimientos[[#This Row],[SKU]],tblProductos[SKU],0)),"?"))</f>
        <v/>
      </c>
      <c r="I556" s="39"/>
      <c r="J556" s="47" t="str">
        <f>IF(tblMovimientos[[#This Row],[Tipo]]="","",IFERROR(INDEX(tblTiposMov[FactorStock],MATCH(tblMovimientos[[#This Row],[Tipo]],tblTiposMov[Tipo],0)),0))</f>
        <v/>
      </c>
      <c r="K5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6" s="37"/>
      <c r="O556" s="37"/>
      <c r="P556" s="37"/>
    </row>
    <row r="557" spans="2:16" x14ac:dyDescent="0.25">
      <c r="B5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7" s="46"/>
      <c r="D557" s="37"/>
      <c r="E557" s="37"/>
      <c r="F557" s="37"/>
      <c r="G557" s="40" t="str">
        <f>IF(tblMovimientos[[#This Row],[Producto]]="","",TRIM(LEFT(tblMovimientos[[#This Row],[Producto]],FIND(" · ",tblMovimientos[[#This Row],[Producto]]&amp;" · ")-1)))</f>
        <v/>
      </c>
      <c r="H557" s="40" t="str">
        <f>IF(tblMovimientos[[#This Row],[SKU]]="","",IFERROR(INDEX(tblProductos[Unidad],MATCH(tblMovimientos[[#This Row],[SKU]],tblProductos[SKU],0)),"?"))</f>
        <v/>
      </c>
      <c r="I557" s="39"/>
      <c r="J557" s="47" t="str">
        <f>IF(tblMovimientos[[#This Row],[Tipo]]="","",IFERROR(INDEX(tblTiposMov[FactorStock],MATCH(tblMovimientos[[#This Row],[Tipo]],tblTiposMov[Tipo],0)),0))</f>
        <v/>
      </c>
      <c r="K5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7" s="37"/>
      <c r="O557" s="37"/>
      <c r="P557" s="37"/>
    </row>
    <row r="558" spans="2:16" x14ac:dyDescent="0.25">
      <c r="B5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8" s="46"/>
      <c r="D558" s="37"/>
      <c r="E558" s="37"/>
      <c r="F558" s="37"/>
      <c r="G558" s="40" t="str">
        <f>IF(tblMovimientos[[#This Row],[Producto]]="","",TRIM(LEFT(tblMovimientos[[#This Row],[Producto]],FIND(" · ",tblMovimientos[[#This Row],[Producto]]&amp;" · ")-1)))</f>
        <v/>
      </c>
      <c r="H558" s="40" t="str">
        <f>IF(tblMovimientos[[#This Row],[SKU]]="","",IFERROR(INDEX(tblProductos[Unidad],MATCH(tblMovimientos[[#This Row],[SKU]],tblProductos[SKU],0)),"?"))</f>
        <v/>
      </c>
      <c r="I558" s="39"/>
      <c r="J558" s="47" t="str">
        <f>IF(tblMovimientos[[#This Row],[Tipo]]="","",IFERROR(INDEX(tblTiposMov[FactorStock],MATCH(tblMovimientos[[#This Row],[Tipo]],tblTiposMov[Tipo],0)),0))</f>
        <v/>
      </c>
      <c r="K5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8" s="37"/>
      <c r="O558" s="37"/>
      <c r="P558" s="37"/>
    </row>
    <row r="559" spans="2:16" x14ac:dyDescent="0.25">
      <c r="B5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59" s="46"/>
      <c r="D559" s="37"/>
      <c r="E559" s="37"/>
      <c r="F559" s="37"/>
      <c r="G559" s="40" t="str">
        <f>IF(tblMovimientos[[#This Row],[Producto]]="","",TRIM(LEFT(tblMovimientos[[#This Row],[Producto]],FIND(" · ",tblMovimientos[[#This Row],[Producto]]&amp;" · ")-1)))</f>
        <v/>
      </c>
      <c r="H559" s="40" t="str">
        <f>IF(tblMovimientos[[#This Row],[SKU]]="","",IFERROR(INDEX(tblProductos[Unidad],MATCH(tblMovimientos[[#This Row],[SKU]],tblProductos[SKU],0)),"?"))</f>
        <v/>
      </c>
      <c r="I559" s="39"/>
      <c r="J559" s="47" t="str">
        <f>IF(tblMovimientos[[#This Row],[Tipo]]="","",IFERROR(INDEX(tblTiposMov[FactorStock],MATCH(tblMovimientos[[#This Row],[Tipo]],tblTiposMov[Tipo],0)),0))</f>
        <v/>
      </c>
      <c r="K5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59" s="37"/>
      <c r="O559" s="37"/>
      <c r="P559" s="37"/>
    </row>
    <row r="560" spans="2:16" x14ac:dyDescent="0.25">
      <c r="B5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0" s="46"/>
      <c r="D560" s="37"/>
      <c r="E560" s="37"/>
      <c r="F560" s="37"/>
      <c r="G560" s="40" t="str">
        <f>IF(tblMovimientos[[#This Row],[Producto]]="","",TRIM(LEFT(tblMovimientos[[#This Row],[Producto]],FIND(" · ",tblMovimientos[[#This Row],[Producto]]&amp;" · ")-1)))</f>
        <v/>
      </c>
      <c r="H560" s="40" t="str">
        <f>IF(tblMovimientos[[#This Row],[SKU]]="","",IFERROR(INDEX(tblProductos[Unidad],MATCH(tblMovimientos[[#This Row],[SKU]],tblProductos[SKU],0)),"?"))</f>
        <v/>
      </c>
      <c r="I560" s="39"/>
      <c r="J560" s="47" t="str">
        <f>IF(tblMovimientos[[#This Row],[Tipo]]="","",IFERROR(INDEX(tblTiposMov[FactorStock],MATCH(tblMovimientos[[#This Row],[Tipo]],tblTiposMov[Tipo],0)),0))</f>
        <v/>
      </c>
      <c r="K5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0" s="37"/>
      <c r="O560" s="37"/>
      <c r="P560" s="37"/>
    </row>
    <row r="561" spans="2:16" x14ac:dyDescent="0.25">
      <c r="B5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1" s="46"/>
      <c r="D561" s="37"/>
      <c r="E561" s="37"/>
      <c r="F561" s="37"/>
      <c r="G561" s="40" t="str">
        <f>IF(tblMovimientos[[#This Row],[Producto]]="","",TRIM(LEFT(tblMovimientos[[#This Row],[Producto]],FIND(" · ",tblMovimientos[[#This Row],[Producto]]&amp;" · ")-1)))</f>
        <v/>
      </c>
      <c r="H561" s="40" t="str">
        <f>IF(tblMovimientos[[#This Row],[SKU]]="","",IFERROR(INDEX(tblProductos[Unidad],MATCH(tblMovimientos[[#This Row],[SKU]],tblProductos[SKU],0)),"?"))</f>
        <v/>
      </c>
      <c r="I561" s="39"/>
      <c r="J561" s="47" t="str">
        <f>IF(tblMovimientos[[#This Row],[Tipo]]="","",IFERROR(INDEX(tblTiposMov[FactorStock],MATCH(tblMovimientos[[#This Row],[Tipo]],tblTiposMov[Tipo],0)),0))</f>
        <v/>
      </c>
      <c r="K5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1" s="37"/>
      <c r="O561" s="37"/>
      <c r="P561" s="37"/>
    </row>
    <row r="562" spans="2:16" x14ac:dyDescent="0.25">
      <c r="B5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2" s="46"/>
      <c r="D562" s="37"/>
      <c r="E562" s="37"/>
      <c r="F562" s="37"/>
      <c r="G562" s="40" t="str">
        <f>IF(tblMovimientos[[#This Row],[Producto]]="","",TRIM(LEFT(tblMovimientos[[#This Row],[Producto]],FIND(" · ",tblMovimientos[[#This Row],[Producto]]&amp;" · ")-1)))</f>
        <v/>
      </c>
      <c r="H562" s="40" t="str">
        <f>IF(tblMovimientos[[#This Row],[SKU]]="","",IFERROR(INDEX(tblProductos[Unidad],MATCH(tblMovimientos[[#This Row],[SKU]],tblProductos[SKU],0)),"?"))</f>
        <v/>
      </c>
      <c r="I562" s="39"/>
      <c r="J562" s="47" t="str">
        <f>IF(tblMovimientos[[#This Row],[Tipo]]="","",IFERROR(INDEX(tblTiposMov[FactorStock],MATCH(tblMovimientos[[#This Row],[Tipo]],tblTiposMov[Tipo],0)),0))</f>
        <v/>
      </c>
      <c r="K5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2" s="37"/>
      <c r="O562" s="37"/>
      <c r="P562" s="37"/>
    </row>
    <row r="563" spans="2:16" x14ac:dyDescent="0.25">
      <c r="B5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3" s="46"/>
      <c r="D563" s="37"/>
      <c r="E563" s="37"/>
      <c r="F563" s="37"/>
      <c r="G563" s="40" t="str">
        <f>IF(tblMovimientos[[#This Row],[Producto]]="","",TRIM(LEFT(tblMovimientos[[#This Row],[Producto]],FIND(" · ",tblMovimientos[[#This Row],[Producto]]&amp;" · ")-1)))</f>
        <v/>
      </c>
      <c r="H563" s="40" t="str">
        <f>IF(tblMovimientos[[#This Row],[SKU]]="","",IFERROR(INDEX(tblProductos[Unidad],MATCH(tblMovimientos[[#This Row],[SKU]],tblProductos[SKU],0)),"?"))</f>
        <v/>
      </c>
      <c r="I563" s="39"/>
      <c r="J563" s="47" t="str">
        <f>IF(tblMovimientos[[#This Row],[Tipo]]="","",IFERROR(INDEX(tblTiposMov[FactorStock],MATCH(tblMovimientos[[#This Row],[Tipo]],tblTiposMov[Tipo],0)),0))</f>
        <v/>
      </c>
      <c r="K5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3" s="37"/>
      <c r="O563" s="37"/>
      <c r="P563" s="37"/>
    </row>
    <row r="564" spans="2:16" x14ac:dyDescent="0.25">
      <c r="B5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4" s="46"/>
      <c r="D564" s="37"/>
      <c r="E564" s="37"/>
      <c r="F564" s="37"/>
      <c r="G564" s="40" t="str">
        <f>IF(tblMovimientos[[#This Row],[Producto]]="","",TRIM(LEFT(tblMovimientos[[#This Row],[Producto]],FIND(" · ",tblMovimientos[[#This Row],[Producto]]&amp;" · ")-1)))</f>
        <v/>
      </c>
      <c r="H564" s="40" t="str">
        <f>IF(tblMovimientos[[#This Row],[SKU]]="","",IFERROR(INDEX(tblProductos[Unidad],MATCH(tblMovimientos[[#This Row],[SKU]],tblProductos[SKU],0)),"?"))</f>
        <v/>
      </c>
      <c r="I564" s="39"/>
      <c r="J564" s="47" t="str">
        <f>IF(tblMovimientos[[#This Row],[Tipo]]="","",IFERROR(INDEX(tblTiposMov[FactorStock],MATCH(tblMovimientos[[#This Row],[Tipo]],tblTiposMov[Tipo],0)),0))</f>
        <v/>
      </c>
      <c r="K5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4" s="37"/>
      <c r="O564" s="37"/>
      <c r="P564" s="37"/>
    </row>
    <row r="565" spans="2:16" x14ac:dyDescent="0.25">
      <c r="B5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5" s="46"/>
      <c r="D565" s="37"/>
      <c r="E565" s="37"/>
      <c r="F565" s="37"/>
      <c r="G565" s="40" t="str">
        <f>IF(tblMovimientos[[#This Row],[Producto]]="","",TRIM(LEFT(tblMovimientos[[#This Row],[Producto]],FIND(" · ",tblMovimientos[[#This Row],[Producto]]&amp;" · ")-1)))</f>
        <v/>
      </c>
      <c r="H565" s="40" t="str">
        <f>IF(tblMovimientos[[#This Row],[SKU]]="","",IFERROR(INDEX(tblProductos[Unidad],MATCH(tblMovimientos[[#This Row],[SKU]],tblProductos[SKU],0)),"?"))</f>
        <v/>
      </c>
      <c r="I565" s="39"/>
      <c r="J565" s="47" t="str">
        <f>IF(tblMovimientos[[#This Row],[Tipo]]="","",IFERROR(INDEX(tblTiposMov[FactorStock],MATCH(tblMovimientos[[#This Row],[Tipo]],tblTiposMov[Tipo],0)),0))</f>
        <v/>
      </c>
      <c r="K5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5" s="37"/>
      <c r="O565" s="37"/>
      <c r="P565" s="37"/>
    </row>
    <row r="566" spans="2:16" x14ac:dyDescent="0.25">
      <c r="B5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6" s="46"/>
      <c r="D566" s="37"/>
      <c r="E566" s="37"/>
      <c r="F566" s="37"/>
      <c r="G566" s="40" t="str">
        <f>IF(tblMovimientos[[#This Row],[Producto]]="","",TRIM(LEFT(tblMovimientos[[#This Row],[Producto]],FIND(" · ",tblMovimientos[[#This Row],[Producto]]&amp;" · ")-1)))</f>
        <v/>
      </c>
      <c r="H566" s="40" t="str">
        <f>IF(tblMovimientos[[#This Row],[SKU]]="","",IFERROR(INDEX(tblProductos[Unidad],MATCH(tblMovimientos[[#This Row],[SKU]],tblProductos[SKU],0)),"?"))</f>
        <v/>
      </c>
      <c r="I566" s="39"/>
      <c r="J566" s="47" t="str">
        <f>IF(tblMovimientos[[#This Row],[Tipo]]="","",IFERROR(INDEX(tblTiposMov[FactorStock],MATCH(tblMovimientos[[#This Row],[Tipo]],tblTiposMov[Tipo],0)),0))</f>
        <v/>
      </c>
      <c r="K5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6" s="37"/>
      <c r="O566" s="37"/>
      <c r="P566" s="37"/>
    </row>
    <row r="567" spans="2:16" x14ac:dyDescent="0.25">
      <c r="B5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7" s="46"/>
      <c r="D567" s="37"/>
      <c r="E567" s="37"/>
      <c r="F567" s="37"/>
      <c r="G567" s="40" t="str">
        <f>IF(tblMovimientos[[#This Row],[Producto]]="","",TRIM(LEFT(tblMovimientos[[#This Row],[Producto]],FIND(" · ",tblMovimientos[[#This Row],[Producto]]&amp;" · ")-1)))</f>
        <v/>
      </c>
      <c r="H567" s="40" t="str">
        <f>IF(tblMovimientos[[#This Row],[SKU]]="","",IFERROR(INDEX(tblProductos[Unidad],MATCH(tblMovimientos[[#This Row],[SKU]],tblProductos[SKU],0)),"?"))</f>
        <v/>
      </c>
      <c r="I567" s="39"/>
      <c r="J567" s="47" t="str">
        <f>IF(tblMovimientos[[#This Row],[Tipo]]="","",IFERROR(INDEX(tblTiposMov[FactorStock],MATCH(tblMovimientos[[#This Row],[Tipo]],tblTiposMov[Tipo],0)),0))</f>
        <v/>
      </c>
      <c r="K5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7" s="37"/>
      <c r="O567" s="37"/>
      <c r="P567" s="37"/>
    </row>
    <row r="568" spans="2:16" x14ac:dyDescent="0.25">
      <c r="B5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8" s="46"/>
      <c r="D568" s="37"/>
      <c r="E568" s="37"/>
      <c r="F568" s="37"/>
      <c r="G568" s="40" t="str">
        <f>IF(tblMovimientos[[#This Row],[Producto]]="","",TRIM(LEFT(tblMovimientos[[#This Row],[Producto]],FIND(" · ",tblMovimientos[[#This Row],[Producto]]&amp;" · ")-1)))</f>
        <v/>
      </c>
      <c r="H568" s="40" t="str">
        <f>IF(tblMovimientos[[#This Row],[SKU]]="","",IFERROR(INDEX(tblProductos[Unidad],MATCH(tblMovimientos[[#This Row],[SKU]],tblProductos[SKU],0)),"?"))</f>
        <v/>
      </c>
      <c r="I568" s="39"/>
      <c r="J568" s="47" t="str">
        <f>IF(tblMovimientos[[#This Row],[Tipo]]="","",IFERROR(INDEX(tblTiposMov[FactorStock],MATCH(tblMovimientos[[#This Row],[Tipo]],tblTiposMov[Tipo],0)),0))</f>
        <v/>
      </c>
      <c r="K5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8" s="37"/>
      <c r="O568" s="37"/>
      <c r="P568" s="37"/>
    </row>
    <row r="569" spans="2:16" x14ac:dyDescent="0.25">
      <c r="B5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69" s="46"/>
      <c r="D569" s="37"/>
      <c r="E569" s="37"/>
      <c r="F569" s="37"/>
      <c r="G569" s="40" t="str">
        <f>IF(tblMovimientos[[#This Row],[Producto]]="","",TRIM(LEFT(tblMovimientos[[#This Row],[Producto]],FIND(" · ",tblMovimientos[[#This Row],[Producto]]&amp;" · ")-1)))</f>
        <v/>
      </c>
      <c r="H569" s="40" t="str">
        <f>IF(tblMovimientos[[#This Row],[SKU]]="","",IFERROR(INDEX(tblProductos[Unidad],MATCH(tblMovimientos[[#This Row],[SKU]],tblProductos[SKU],0)),"?"))</f>
        <v/>
      </c>
      <c r="I569" s="39"/>
      <c r="J569" s="47" t="str">
        <f>IF(tblMovimientos[[#This Row],[Tipo]]="","",IFERROR(INDEX(tblTiposMov[FactorStock],MATCH(tblMovimientos[[#This Row],[Tipo]],tblTiposMov[Tipo],0)),0))</f>
        <v/>
      </c>
      <c r="K5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69" s="37"/>
      <c r="O569" s="37"/>
      <c r="P569" s="37"/>
    </row>
    <row r="570" spans="2:16" x14ac:dyDescent="0.25">
      <c r="B5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0" s="46"/>
      <c r="D570" s="37"/>
      <c r="E570" s="37"/>
      <c r="F570" s="37"/>
      <c r="G570" s="40" t="str">
        <f>IF(tblMovimientos[[#This Row],[Producto]]="","",TRIM(LEFT(tblMovimientos[[#This Row],[Producto]],FIND(" · ",tblMovimientos[[#This Row],[Producto]]&amp;" · ")-1)))</f>
        <v/>
      </c>
      <c r="H570" s="40" t="str">
        <f>IF(tblMovimientos[[#This Row],[SKU]]="","",IFERROR(INDEX(tblProductos[Unidad],MATCH(tblMovimientos[[#This Row],[SKU]],tblProductos[SKU],0)),"?"))</f>
        <v/>
      </c>
      <c r="I570" s="39"/>
      <c r="J570" s="47" t="str">
        <f>IF(tblMovimientos[[#This Row],[Tipo]]="","",IFERROR(INDEX(tblTiposMov[FactorStock],MATCH(tblMovimientos[[#This Row],[Tipo]],tblTiposMov[Tipo],0)),0))</f>
        <v/>
      </c>
      <c r="K5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0" s="37"/>
      <c r="O570" s="37"/>
      <c r="P570" s="37"/>
    </row>
    <row r="571" spans="2:16" x14ac:dyDescent="0.25">
      <c r="B5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1" s="46"/>
      <c r="D571" s="37"/>
      <c r="E571" s="37"/>
      <c r="F571" s="37"/>
      <c r="G571" s="40" t="str">
        <f>IF(tblMovimientos[[#This Row],[Producto]]="","",TRIM(LEFT(tblMovimientos[[#This Row],[Producto]],FIND(" · ",tblMovimientos[[#This Row],[Producto]]&amp;" · ")-1)))</f>
        <v/>
      </c>
      <c r="H571" s="40" t="str">
        <f>IF(tblMovimientos[[#This Row],[SKU]]="","",IFERROR(INDEX(tblProductos[Unidad],MATCH(tblMovimientos[[#This Row],[SKU]],tblProductos[SKU],0)),"?"))</f>
        <v/>
      </c>
      <c r="I571" s="39"/>
      <c r="J571" s="47" t="str">
        <f>IF(tblMovimientos[[#This Row],[Tipo]]="","",IFERROR(INDEX(tblTiposMov[FactorStock],MATCH(tblMovimientos[[#This Row],[Tipo]],tblTiposMov[Tipo],0)),0))</f>
        <v/>
      </c>
      <c r="K5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1" s="37"/>
      <c r="O571" s="37"/>
      <c r="P571" s="37"/>
    </row>
    <row r="572" spans="2:16" x14ac:dyDescent="0.25">
      <c r="B5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2" s="46"/>
      <c r="D572" s="37"/>
      <c r="E572" s="37"/>
      <c r="F572" s="37"/>
      <c r="G572" s="40" t="str">
        <f>IF(tblMovimientos[[#This Row],[Producto]]="","",TRIM(LEFT(tblMovimientos[[#This Row],[Producto]],FIND(" · ",tblMovimientos[[#This Row],[Producto]]&amp;" · ")-1)))</f>
        <v/>
      </c>
      <c r="H572" s="40" t="str">
        <f>IF(tblMovimientos[[#This Row],[SKU]]="","",IFERROR(INDEX(tblProductos[Unidad],MATCH(tblMovimientos[[#This Row],[SKU]],tblProductos[SKU],0)),"?"))</f>
        <v/>
      </c>
      <c r="I572" s="39"/>
      <c r="J572" s="47" t="str">
        <f>IF(tblMovimientos[[#This Row],[Tipo]]="","",IFERROR(INDEX(tblTiposMov[FactorStock],MATCH(tblMovimientos[[#This Row],[Tipo]],tblTiposMov[Tipo],0)),0))</f>
        <v/>
      </c>
      <c r="K5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2" s="37"/>
      <c r="O572" s="37"/>
      <c r="P572" s="37"/>
    </row>
    <row r="573" spans="2:16" x14ac:dyDescent="0.25">
      <c r="B5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3" s="46"/>
      <c r="D573" s="37"/>
      <c r="E573" s="37"/>
      <c r="F573" s="37"/>
      <c r="G573" s="40" t="str">
        <f>IF(tblMovimientos[[#This Row],[Producto]]="","",TRIM(LEFT(tblMovimientos[[#This Row],[Producto]],FIND(" · ",tblMovimientos[[#This Row],[Producto]]&amp;" · ")-1)))</f>
        <v/>
      </c>
      <c r="H573" s="40" t="str">
        <f>IF(tblMovimientos[[#This Row],[SKU]]="","",IFERROR(INDEX(tblProductos[Unidad],MATCH(tblMovimientos[[#This Row],[SKU]],tblProductos[SKU],0)),"?"))</f>
        <v/>
      </c>
      <c r="I573" s="39"/>
      <c r="J573" s="47" t="str">
        <f>IF(tblMovimientos[[#This Row],[Tipo]]="","",IFERROR(INDEX(tblTiposMov[FactorStock],MATCH(tblMovimientos[[#This Row],[Tipo]],tblTiposMov[Tipo],0)),0))</f>
        <v/>
      </c>
      <c r="K5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3" s="37"/>
      <c r="O573" s="37"/>
      <c r="P573" s="37"/>
    </row>
    <row r="574" spans="2:16" x14ac:dyDescent="0.25">
      <c r="B5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4" s="46"/>
      <c r="D574" s="37"/>
      <c r="E574" s="37"/>
      <c r="F574" s="37"/>
      <c r="G574" s="40" t="str">
        <f>IF(tblMovimientos[[#This Row],[Producto]]="","",TRIM(LEFT(tblMovimientos[[#This Row],[Producto]],FIND(" · ",tblMovimientos[[#This Row],[Producto]]&amp;" · ")-1)))</f>
        <v/>
      </c>
      <c r="H574" s="40" t="str">
        <f>IF(tblMovimientos[[#This Row],[SKU]]="","",IFERROR(INDEX(tblProductos[Unidad],MATCH(tblMovimientos[[#This Row],[SKU]],tblProductos[SKU],0)),"?"))</f>
        <v/>
      </c>
      <c r="I574" s="39"/>
      <c r="J574" s="47" t="str">
        <f>IF(tblMovimientos[[#This Row],[Tipo]]="","",IFERROR(INDEX(tblTiposMov[FactorStock],MATCH(tblMovimientos[[#This Row],[Tipo]],tblTiposMov[Tipo],0)),0))</f>
        <v/>
      </c>
      <c r="K5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4" s="37"/>
      <c r="O574" s="37"/>
      <c r="P574" s="37"/>
    </row>
    <row r="575" spans="2:16" x14ac:dyDescent="0.25">
      <c r="B5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5" s="46"/>
      <c r="D575" s="37"/>
      <c r="E575" s="37"/>
      <c r="F575" s="37"/>
      <c r="G575" s="40" t="str">
        <f>IF(tblMovimientos[[#This Row],[Producto]]="","",TRIM(LEFT(tblMovimientos[[#This Row],[Producto]],FIND(" · ",tblMovimientos[[#This Row],[Producto]]&amp;" · ")-1)))</f>
        <v/>
      </c>
      <c r="H575" s="40" t="str">
        <f>IF(tblMovimientos[[#This Row],[SKU]]="","",IFERROR(INDEX(tblProductos[Unidad],MATCH(tblMovimientos[[#This Row],[SKU]],tblProductos[SKU],0)),"?"))</f>
        <v/>
      </c>
      <c r="I575" s="39"/>
      <c r="J575" s="47" t="str">
        <f>IF(tblMovimientos[[#This Row],[Tipo]]="","",IFERROR(INDEX(tblTiposMov[FactorStock],MATCH(tblMovimientos[[#This Row],[Tipo]],tblTiposMov[Tipo],0)),0))</f>
        <v/>
      </c>
      <c r="K5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5" s="37"/>
      <c r="O575" s="37"/>
      <c r="P575" s="37"/>
    </row>
    <row r="576" spans="2:16" x14ac:dyDescent="0.25">
      <c r="B5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6" s="46"/>
      <c r="D576" s="37"/>
      <c r="E576" s="37"/>
      <c r="F576" s="37"/>
      <c r="G576" s="40" t="str">
        <f>IF(tblMovimientos[[#This Row],[Producto]]="","",TRIM(LEFT(tblMovimientos[[#This Row],[Producto]],FIND(" · ",tblMovimientos[[#This Row],[Producto]]&amp;" · ")-1)))</f>
        <v/>
      </c>
      <c r="H576" s="40" t="str">
        <f>IF(tblMovimientos[[#This Row],[SKU]]="","",IFERROR(INDEX(tblProductos[Unidad],MATCH(tblMovimientos[[#This Row],[SKU]],tblProductos[SKU],0)),"?"))</f>
        <v/>
      </c>
      <c r="I576" s="39"/>
      <c r="J576" s="47" t="str">
        <f>IF(tblMovimientos[[#This Row],[Tipo]]="","",IFERROR(INDEX(tblTiposMov[FactorStock],MATCH(tblMovimientos[[#This Row],[Tipo]],tblTiposMov[Tipo],0)),0))</f>
        <v/>
      </c>
      <c r="K5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6" s="37"/>
      <c r="O576" s="37"/>
      <c r="P576" s="37"/>
    </row>
    <row r="577" spans="2:16" x14ac:dyDescent="0.25">
      <c r="B5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7" s="46"/>
      <c r="D577" s="37"/>
      <c r="E577" s="37"/>
      <c r="F577" s="37"/>
      <c r="G577" s="40" t="str">
        <f>IF(tblMovimientos[[#This Row],[Producto]]="","",TRIM(LEFT(tblMovimientos[[#This Row],[Producto]],FIND(" · ",tblMovimientos[[#This Row],[Producto]]&amp;" · ")-1)))</f>
        <v/>
      </c>
      <c r="H577" s="40" t="str">
        <f>IF(tblMovimientos[[#This Row],[SKU]]="","",IFERROR(INDEX(tblProductos[Unidad],MATCH(tblMovimientos[[#This Row],[SKU]],tblProductos[SKU],0)),"?"))</f>
        <v/>
      </c>
      <c r="I577" s="39"/>
      <c r="J577" s="47" t="str">
        <f>IF(tblMovimientos[[#This Row],[Tipo]]="","",IFERROR(INDEX(tblTiposMov[FactorStock],MATCH(tblMovimientos[[#This Row],[Tipo]],tblTiposMov[Tipo],0)),0))</f>
        <v/>
      </c>
      <c r="K5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7" s="37"/>
      <c r="O577" s="37"/>
      <c r="P577" s="37"/>
    </row>
    <row r="578" spans="2:16" x14ac:dyDescent="0.25">
      <c r="B5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8" s="46"/>
      <c r="D578" s="37"/>
      <c r="E578" s="37"/>
      <c r="F578" s="37"/>
      <c r="G578" s="40" t="str">
        <f>IF(tblMovimientos[[#This Row],[Producto]]="","",TRIM(LEFT(tblMovimientos[[#This Row],[Producto]],FIND(" · ",tblMovimientos[[#This Row],[Producto]]&amp;" · ")-1)))</f>
        <v/>
      </c>
      <c r="H578" s="40" t="str">
        <f>IF(tblMovimientos[[#This Row],[SKU]]="","",IFERROR(INDEX(tblProductos[Unidad],MATCH(tblMovimientos[[#This Row],[SKU]],tblProductos[SKU],0)),"?"))</f>
        <v/>
      </c>
      <c r="I578" s="39"/>
      <c r="J578" s="47" t="str">
        <f>IF(tblMovimientos[[#This Row],[Tipo]]="","",IFERROR(INDEX(tblTiposMov[FactorStock],MATCH(tblMovimientos[[#This Row],[Tipo]],tblTiposMov[Tipo],0)),0))</f>
        <v/>
      </c>
      <c r="K5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8" s="37"/>
      <c r="O578" s="37"/>
      <c r="P578" s="37"/>
    </row>
    <row r="579" spans="2:16" x14ac:dyDescent="0.25">
      <c r="B5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79" s="46"/>
      <c r="D579" s="37"/>
      <c r="E579" s="37"/>
      <c r="F579" s="37"/>
      <c r="G579" s="40" t="str">
        <f>IF(tblMovimientos[[#This Row],[Producto]]="","",TRIM(LEFT(tblMovimientos[[#This Row],[Producto]],FIND(" · ",tblMovimientos[[#This Row],[Producto]]&amp;" · ")-1)))</f>
        <v/>
      </c>
      <c r="H579" s="40" t="str">
        <f>IF(tblMovimientos[[#This Row],[SKU]]="","",IFERROR(INDEX(tblProductos[Unidad],MATCH(tblMovimientos[[#This Row],[SKU]],tblProductos[SKU],0)),"?"))</f>
        <v/>
      </c>
      <c r="I579" s="39"/>
      <c r="J579" s="47" t="str">
        <f>IF(tblMovimientos[[#This Row],[Tipo]]="","",IFERROR(INDEX(tblTiposMov[FactorStock],MATCH(tblMovimientos[[#This Row],[Tipo]],tblTiposMov[Tipo],0)),0))</f>
        <v/>
      </c>
      <c r="K5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79" s="37"/>
      <c r="O579" s="37"/>
      <c r="P579" s="37"/>
    </row>
    <row r="580" spans="2:16" x14ac:dyDescent="0.25">
      <c r="B5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0" s="46"/>
      <c r="D580" s="37"/>
      <c r="E580" s="37"/>
      <c r="F580" s="37"/>
      <c r="G580" s="40" t="str">
        <f>IF(tblMovimientos[[#This Row],[Producto]]="","",TRIM(LEFT(tblMovimientos[[#This Row],[Producto]],FIND(" · ",tblMovimientos[[#This Row],[Producto]]&amp;" · ")-1)))</f>
        <v/>
      </c>
      <c r="H580" s="40" t="str">
        <f>IF(tblMovimientos[[#This Row],[SKU]]="","",IFERROR(INDEX(tblProductos[Unidad],MATCH(tblMovimientos[[#This Row],[SKU]],tblProductos[SKU],0)),"?"))</f>
        <v/>
      </c>
      <c r="I580" s="39"/>
      <c r="J580" s="47" t="str">
        <f>IF(tblMovimientos[[#This Row],[Tipo]]="","",IFERROR(INDEX(tblTiposMov[FactorStock],MATCH(tblMovimientos[[#This Row],[Tipo]],tblTiposMov[Tipo],0)),0))</f>
        <v/>
      </c>
      <c r="K5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0" s="37"/>
      <c r="O580" s="37"/>
      <c r="P580" s="37"/>
    </row>
    <row r="581" spans="2:16" x14ac:dyDescent="0.25">
      <c r="B5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1" s="46"/>
      <c r="D581" s="37"/>
      <c r="E581" s="37"/>
      <c r="F581" s="37"/>
      <c r="G581" s="40" t="str">
        <f>IF(tblMovimientos[[#This Row],[Producto]]="","",TRIM(LEFT(tblMovimientos[[#This Row],[Producto]],FIND(" · ",tblMovimientos[[#This Row],[Producto]]&amp;" · ")-1)))</f>
        <v/>
      </c>
      <c r="H581" s="40" t="str">
        <f>IF(tblMovimientos[[#This Row],[SKU]]="","",IFERROR(INDEX(tblProductos[Unidad],MATCH(tblMovimientos[[#This Row],[SKU]],tblProductos[SKU],0)),"?"))</f>
        <v/>
      </c>
      <c r="I581" s="39"/>
      <c r="J581" s="47" t="str">
        <f>IF(tblMovimientos[[#This Row],[Tipo]]="","",IFERROR(INDEX(tblTiposMov[FactorStock],MATCH(tblMovimientos[[#This Row],[Tipo]],tblTiposMov[Tipo],0)),0))</f>
        <v/>
      </c>
      <c r="K5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1" s="37"/>
      <c r="O581" s="37"/>
      <c r="P581" s="37"/>
    </row>
    <row r="582" spans="2:16" x14ac:dyDescent="0.25">
      <c r="B5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2" s="46"/>
      <c r="D582" s="37"/>
      <c r="E582" s="37"/>
      <c r="F582" s="37"/>
      <c r="G582" s="40" t="str">
        <f>IF(tblMovimientos[[#This Row],[Producto]]="","",TRIM(LEFT(tblMovimientos[[#This Row],[Producto]],FIND(" · ",tblMovimientos[[#This Row],[Producto]]&amp;" · ")-1)))</f>
        <v/>
      </c>
      <c r="H582" s="40" t="str">
        <f>IF(tblMovimientos[[#This Row],[SKU]]="","",IFERROR(INDEX(tblProductos[Unidad],MATCH(tblMovimientos[[#This Row],[SKU]],tblProductos[SKU],0)),"?"))</f>
        <v/>
      </c>
      <c r="I582" s="39"/>
      <c r="J582" s="47" t="str">
        <f>IF(tblMovimientos[[#This Row],[Tipo]]="","",IFERROR(INDEX(tblTiposMov[FactorStock],MATCH(tblMovimientos[[#This Row],[Tipo]],tblTiposMov[Tipo],0)),0))</f>
        <v/>
      </c>
      <c r="K5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2" s="37"/>
      <c r="O582" s="37"/>
      <c r="P582" s="37"/>
    </row>
    <row r="583" spans="2:16" x14ac:dyDescent="0.25">
      <c r="B5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3" s="46"/>
      <c r="D583" s="37"/>
      <c r="E583" s="37"/>
      <c r="F583" s="37"/>
      <c r="G583" s="40" t="str">
        <f>IF(tblMovimientos[[#This Row],[Producto]]="","",TRIM(LEFT(tblMovimientos[[#This Row],[Producto]],FIND(" · ",tblMovimientos[[#This Row],[Producto]]&amp;" · ")-1)))</f>
        <v/>
      </c>
      <c r="H583" s="40" t="str">
        <f>IF(tblMovimientos[[#This Row],[SKU]]="","",IFERROR(INDEX(tblProductos[Unidad],MATCH(tblMovimientos[[#This Row],[SKU]],tblProductos[SKU],0)),"?"))</f>
        <v/>
      </c>
      <c r="I583" s="39"/>
      <c r="J583" s="47" t="str">
        <f>IF(tblMovimientos[[#This Row],[Tipo]]="","",IFERROR(INDEX(tblTiposMov[FactorStock],MATCH(tblMovimientos[[#This Row],[Tipo]],tblTiposMov[Tipo],0)),0))</f>
        <v/>
      </c>
      <c r="K5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3" s="37"/>
      <c r="O583" s="37"/>
      <c r="P583" s="37"/>
    </row>
    <row r="584" spans="2:16" x14ac:dyDescent="0.25">
      <c r="B5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4" s="46"/>
      <c r="D584" s="37"/>
      <c r="E584" s="37"/>
      <c r="F584" s="37"/>
      <c r="G584" s="40" t="str">
        <f>IF(tblMovimientos[[#This Row],[Producto]]="","",TRIM(LEFT(tblMovimientos[[#This Row],[Producto]],FIND(" · ",tblMovimientos[[#This Row],[Producto]]&amp;" · ")-1)))</f>
        <v/>
      </c>
      <c r="H584" s="40" t="str">
        <f>IF(tblMovimientos[[#This Row],[SKU]]="","",IFERROR(INDEX(tblProductos[Unidad],MATCH(tblMovimientos[[#This Row],[SKU]],tblProductos[SKU],0)),"?"))</f>
        <v/>
      </c>
      <c r="I584" s="39"/>
      <c r="J584" s="47" t="str">
        <f>IF(tblMovimientos[[#This Row],[Tipo]]="","",IFERROR(INDEX(tblTiposMov[FactorStock],MATCH(tblMovimientos[[#This Row],[Tipo]],tblTiposMov[Tipo],0)),0))</f>
        <v/>
      </c>
      <c r="K5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4" s="37"/>
      <c r="O584" s="37"/>
      <c r="P584" s="37"/>
    </row>
    <row r="585" spans="2:16" x14ac:dyDescent="0.25">
      <c r="B5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5" s="46"/>
      <c r="D585" s="37"/>
      <c r="E585" s="37"/>
      <c r="F585" s="37"/>
      <c r="G585" s="40" t="str">
        <f>IF(tblMovimientos[[#This Row],[Producto]]="","",TRIM(LEFT(tblMovimientos[[#This Row],[Producto]],FIND(" · ",tblMovimientos[[#This Row],[Producto]]&amp;" · ")-1)))</f>
        <v/>
      </c>
      <c r="H585" s="40" t="str">
        <f>IF(tblMovimientos[[#This Row],[SKU]]="","",IFERROR(INDEX(tblProductos[Unidad],MATCH(tblMovimientos[[#This Row],[SKU]],tblProductos[SKU],0)),"?"))</f>
        <v/>
      </c>
      <c r="I585" s="39"/>
      <c r="J585" s="47" t="str">
        <f>IF(tblMovimientos[[#This Row],[Tipo]]="","",IFERROR(INDEX(tblTiposMov[FactorStock],MATCH(tblMovimientos[[#This Row],[Tipo]],tblTiposMov[Tipo],0)),0))</f>
        <v/>
      </c>
      <c r="K5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5" s="37"/>
      <c r="O585" s="37"/>
      <c r="P585" s="37"/>
    </row>
    <row r="586" spans="2:16" x14ac:dyDescent="0.25">
      <c r="B5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6" s="46"/>
      <c r="D586" s="37"/>
      <c r="E586" s="37"/>
      <c r="F586" s="37"/>
      <c r="G586" s="40" t="str">
        <f>IF(tblMovimientos[[#This Row],[Producto]]="","",TRIM(LEFT(tblMovimientos[[#This Row],[Producto]],FIND(" · ",tblMovimientos[[#This Row],[Producto]]&amp;" · ")-1)))</f>
        <v/>
      </c>
      <c r="H586" s="40" t="str">
        <f>IF(tblMovimientos[[#This Row],[SKU]]="","",IFERROR(INDEX(tblProductos[Unidad],MATCH(tblMovimientos[[#This Row],[SKU]],tblProductos[SKU],0)),"?"))</f>
        <v/>
      </c>
      <c r="I586" s="39"/>
      <c r="J586" s="47" t="str">
        <f>IF(tblMovimientos[[#This Row],[Tipo]]="","",IFERROR(INDEX(tblTiposMov[FactorStock],MATCH(tblMovimientos[[#This Row],[Tipo]],tblTiposMov[Tipo],0)),0))</f>
        <v/>
      </c>
      <c r="K5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6" s="37"/>
      <c r="O586" s="37"/>
      <c r="P586" s="37"/>
    </row>
    <row r="587" spans="2:16" x14ac:dyDescent="0.25">
      <c r="B5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7" s="46"/>
      <c r="D587" s="37"/>
      <c r="E587" s="37"/>
      <c r="F587" s="37"/>
      <c r="G587" s="40" t="str">
        <f>IF(tblMovimientos[[#This Row],[Producto]]="","",TRIM(LEFT(tblMovimientos[[#This Row],[Producto]],FIND(" · ",tblMovimientos[[#This Row],[Producto]]&amp;" · ")-1)))</f>
        <v/>
      </c>
      <c r="H587" s="40" t="str">
        <f>IF(tblMovimientos[[#This Row],[SKU]]="","",IFERROR(INDEX(tblProductos[Unidad],MATCH(tblMovimientos[[#This Row],[SKU]],tblProductos[SKU],0)),"?"))</f>
        <v/>
      </c>
      <c r="I587" s="39"/>
      <c r="J587" s="47" t="str">
        <f>IF(tblMovimientos[[#This Row],[Tipo]]="","",IFERROR(INDEX(tblTiposMov[FactorStock],MATCH(tblMovimientos[[#This Row],[Tipo]],tblTiposMov[Tipo],0)),0))</f>
        <v/>
      </c>
      <c r="K5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7" s="37"/>
      <c r="O587" s="37"/>
      <c r="P587" s="37"/>
    </row>
    <row r="588" spans="2:16" x14ac:dyDescent="0.25">
      <c r="B5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8" s="46"/>
      <c r="D588" s="37"/>
      <c r="E588" s="37"/>
      <c r="F588" s="37"/>
      <c r="G588" s="40" t="str">
        <f>IF(tblMovimientos[[#This Row],[Producto]]="","",TRIM(LEFT(tblMovimientos[[#This Row],[Producto]],FIND(" · ",tblMovimientos[[#This Row],[Producto]]&amp;" · ")-1)))</f>
        <v/>
      </c>
      <c r="H588" s="40" t="str">
        <f>IF(tblMovimientos[[#This Row],[SKU]]="","",IFERROR(INDEX(tblProductos[Unidad],MATCH(tblMovimientos[[#This Row],[SKU]],tblProductos[SKU],0)),"?"))</f>
        <v/>
      </c>
      <c r="I588" s="39"/>
      <c r="J588" s="47" t="str">
        <f>IF(tblMovimientos[[#This Row],[Tipo]]="","",IFERROR(INDEX(tblTiposMov[FactorStock],MATCH(tblMovimientos[[#This Row],[Tipo]],tblTiposMov[Tipo],0)),0))</f>
        <v/>
      </c>
      <c r="K5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8" s="37"/>
      <c r="O588" s="37"/>
      <c r="P588" s="37"/>
    </row>
    <row r="589" spans="2:16" x14ac:dyDescent="0.25">
      <c r="B5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89" s="46"/>
      <c r="D589" s="37"/>
      <c r="E589" s="37"/>
      <c r="F589" s="37"/>
      <c r="G589" s="40" t="str">
        <f>IF(tblMovimientos[[#This Row],[Producto]]="","",TRIM(LEFT(tblMovimientos[[#This Row],[Producto]],FIND(" · ",tblMovimientos[[#This Row],[Producto]]&amp;" · ")-1)))</f>
        <v/>
      </c>
      <c r="H589" s="40" t="str">
        <f>IF(tblMovimientos[[#This Row],[SKU]]="","",IFERROR(INDEX(tblProductos[Unidad],MATCH(tblMovimientos[[#This Row],[SKU]],tblProductos[SKU],0)),"?"))</f>
        <v/>
      </c>
      <c r="I589" s="39"/>
      <c r="J589" s="47" t="str">
        <f>IF(tblMovimientos[[#This Row],[Tipo]]="","",IFERROR(INDEX(tblTiposMov[FactorStock],MATCH(tblMovimientos[[#This Row],[Tipo]],tblTiposMov[Tipo],0)),0))</f>
        <v/>
      </c>
      <c r="K5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89" s="37"/>
      <c r="O589" s="37"/>
      <c r="P589" s="37"/>
    </row>
    <row r="590" spans="2:16" x14ac:dyDescent="0.25">
      <c r="B5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0" s="46"/>
      <c r="D590" s="37"/>
      <c r="E590" s="37"/>
      <c r="F590" s="37"/>
      <c r="G590" s="40" t="str">
        <f>IF(tblMovimientos[[#This Row],[Producto]]="","",TRIM(LEFT(tblMovimientos[[#This Row],[Producto]],FIND(" · ",tblMovimientos[[#This Row],[Producto]]&amp;" · ")-1)))</f>
        <v/>
      </c>
      <c r="H590" s="40" t="str">
        <f>IF(tblMovimientos[[#This Row],[SKU]]="","",IFERROR(INDEX(tblProductos[Unidad],MATCH(tblMovimientos[[#This Row],[SKU]],tblProductos[SKU],0)),"?"))</f>
        <v/>
      </c>
      <c r="I590" s="39"/>
      <c r="J590" s="47" t="str">
        <f>IF(tblMovimientos[[#This Row],[Tipo]]="","",IFERROR(INDEX(tblTiposMov[FactorStock],MATCH(tblMovimientos[[#This Row],[Tipo]],tblTiposMov[Tipo],0)),0))</f>
        <v/>
      </c>
      <c r="K5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0" s="37"/>
      <c r="O590" s="37"/>
      <c r="P590" s="37"/>
    </row>
    <row r="591" spans="2:16" x14ac:dyDescent="0.25">
      <c r="B5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1" s="46"/>
      <c r="D591" s="37"/>
      <c r="E591" s="37"/>
      <c r="F591" s="37"/>
      <c r="G591" s="40" t="str">
        <f>IF(tblMovimientos[[#This Row],[Producto]]="","",TRIM(LEFT(tblMovimientos[[#This Row],[Producto]],FIND(" · ",tblMovimientos[[#This Row],[Producto]]&amp;" · ")-1)))</f>
        <v/>
      </c>
      <c r="H591" s="40" t="str">
        <f>IF(tblMovimientos[[#This Row],[SKU]]="","",IFERROR(INDEX(tblProductos[Unidad],MATCH(tblMovimientos[[#This Row],[SKU]],tblProductos[SKU],0)),"?"))</f>
        <v/>
      </c>
      <c r="I591" s="39"/>
      <c r="J591" s="47" t="str">
        <f>IF(tblMovimientos[[#This Row],[Tipo]]="","",IFERROR(INDEX(tblTiposMov[FactorStock],MATCH(tblMovimientos[[#This Row],[Tipo]],tblTiposMov[Tipo],0)),0))</f>
        <v/>
      </c>
      <c r="K5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1" s="37"/>
      <c r="O591" s="37"/>
      <c r="P591" s="37"/>
    </row>
    <row r="592" spans="2:16" x14ac:dyDescent="0.25">
      <c r="B5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2" s="46"/>
      <c r="D592" s="37"/>
      <c r="E592" s="37"/>
      <c r="F592" s="37"/>
      <c r="G592" s="40" t="str">
        <f>IF(tblMovimientos[[#This Row],[Producto]]="","",TRIM(LEFT(tblMovimientos[[#This Row],[Producto]],FIND(" · ",tblMovimientos[[#This Row],[Producto]]&amp;" · ")-1)))</f>
        <v/>
      </c>
      <c r="H592" s="40" t="str">
        <f>IF(tblMovimientos[[#This Row],[SKU]]="","",IFERROR(INDEX(tblProductos[Unidad],MATCH(tblMovimientos[[#This Row],[SKU]],tblProductos[SKU],0)),"?"))</f>
        <v/>
      </c>
      <c r="I592" s="39"/>
      <c r="J592" s="47" t="str">
        <f>IF(tblMovimientos[[#This Row],[Tipo]]="","",IFERROR(INDEX(tblTiposMov[FactorStock],MATCH(tblMovimientos[[#This Row],[Tipo]],tblTiposMov[Tipo],0)),0))</f>
        <v/>
      </c>
      <c r="K5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2" s="37"/>
      <c r="O592" s="37"/>
      <c r="P592" s="37"/>
    </row>
    <row r="593" spans="2:16" x14ac:dyDescent="0.25">
      <c r="B5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3" s="46"/>
      <c r="D593" s="37"/>
      <c r="E593" s="37"/>
      <c r="F593" s="37"/>
      <c r="G593" s="40" t="str">
        <f>IF(tblMovimientos[[#This Row],[Producto]]="","",TRIM(LEFT(tblMovimientos[[#This Row],[Producto]],FIND(" · ",tblMovimientos[[#This Row],[Producto]]&amp;" · ")-1)))</f>
        <v/>
      </c>
      <c r="H593" s="40" t="str">
        <f>IF(tblMovimientos[[#This Row],[SKU]]="","",IFERROR(INDEX(tblProductos[Unidad],MATCH(tblMovimientos[[#This Row],[SKU]],tblProductos[SKU],0)),"?"))</f>
        <v/>
      </c>
      <c r="I593" s="39"/>
      <c r="J593" s="47" t="str">
        <f>IF(tblMovimientos[[#This Row],[Tipo]]="","",IFERROR(INDEX(tblTiposMov[FactorStock],MATCH(tblMovimientos[[#This Row],[Tipo]],tblTiposMov[Tipo],0)),0))</f>
        <v/>
      </c>
      <c r="K5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3" s="37"/>
      <c r="O593" s="37"/>
      <c r="P593" s="37"/>
    </row>
    <row r="594" spans="2:16" x14ac:dyDescent="0.25">
      <c r="B5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4" s="46"/>
      <c r="D594" s="37"/>
      <c r="E594" s="37"/>
      <c r="F594" s="37"/>
      <c r="G594" s="40" t="str">
        <f>IF(tblMovimientos[[#This Row],[Producto]]="","",TRIM(LEFT(tblMovimientos[[#This Row],[Producto]],FIND(" · ",tblMovimientos[[#This Row],[Producto]]&amp;" · ")-1)))</f>
        <v/>
      </c>
      <c r="H594" s="40" t="str">
        <f>IF(tblMovimientos[[#This Row],[SKU]]="","",IFERROR(INDEX(tblProductos[Unidad],MATCH(tblMovimientos[[#This Row],[SKU]],tblProductos[SKU],0)),"?"))</f>
        <v/>
      </c>
      <c r="I594" s="39"/>
      <c r="J594" s="47" t="str">
        <f>IF(tblMovimientos[[#This Row],[Tipo]]="","",IFERROR(INDEX(tblTiposMov[FactorStock],MATCH(tblMovimientos[[#This Row],[Tipo]],tblTiposMov[Tipo],0)),0))</f>
        <v/>
      </c>
      <c r="K5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4" s="37"/>
      <c r="O594" s="37"/>
      <c r="P594" s="37"/>
    </row>
    <row r="595" spans="2:16" x14ac:dyDescent="0.25">
      <c r="B5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5" s="46"/>
      <c r="D595" s="37"/>
      <c r="E595" s="37"/>
      <c r="F595" s="37"/>
      <c r="G595" s="40" t="str">
        <f>IF(tblMovimientos[[#This Row],[Producto]]="","",TRIM(LEFT(tblMovimientos[[#This Row],[Producto]],FIND(" · ",tblMovimientos[[#This Row],[Producto]]&amp;" · ")-1)))</f>
        <v/>
      </c>
      <c r="H595" s="40" t="str">
        <f>IF(tblMovimientos[[#This Row],[SKU]]="","",IFERROR(INDEX(tblProductos[Unidad],MATCH(tblMovimientos[[#This Row],[SKU]],tblProductos[SKU],0)),"?"))</f>
        <v/>
      </c>
      <c r="I595" s="39"/>
      <c r="J595" s="47" t="str">
        <f>IF(tblMovimientos[[#This Row],[Tipo]]="","",IFERROR(INDEX(tblTiposMov[FactorStock],MATCH(tblMovimientos[[#This Row],[Tipo]],tblTiposMov[Tipo],0)),0))</f>
        <v/>
      </c>
      <c r="K5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5" s="37"/>
      <c r="O595" s="37"/>
      <c r="P595" s="37"/>
    </row>
    <row r="596" spans="2:16" x14ac:dyDescent="0.25">
      <c r="B5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6" s="46"/>
      <c r="D596" s="37"/>
      <c r="E596" s="37"/>
      <c r="F596" s="37"/>
      <c r="G596" s="40" t="str">
        <f>IF(tblMovimientos[[#This Row],[Producto]]="","",TRIM(LEFT(tblMovimientos[[#This Row],[Producto]],FIND(" · ",tblMovimientos[[#This Row],[Producto]]&amp;" · ")-1)))</f>
        <v/>
      </c>
      <c r="H596" s="40" t="str">
        <f>IF(tblMovimientos[[#This Row],[SKU]]="","",IFERROR(INDEX(tblProductos[Unidad],MATCH(tblMovimientos[[#This Row],[SKU]],tblProductos[SKU],0)),"?"))</f>
        <v/>
      </c>
      <c r="I596" s="39"/>
      <c r="J596" s="47" t="str">
        <f>IF(tblMovimientos[[#This Row],[Tipo]]="","",IFERROR(INDEX(tblTiposMov[FactorStock],MATCH(tblMovimientos[[#This Row],[Tipo]],tblTiposMov[Tipo],0)),0))</f>
        <v/>
      </c>
      <c r="K5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6" s="37"/>
      <c r="O596" s="37"/>
      <c r="P596" s="37"/>
    </row>
    <row r="597" spans="2:16" x14ac:dyDescent="0.25">
      <c r="B5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7" s="46"/>
      <c r="D597" s="37"/>
      <c r="E597" s="37"/>
      <c r="F597" s="37"/>
      <c r="G597" s="40" t="str">
        <f>IF(tblMovimientos[[#This Row],[Producto]]="","",TRIM(LEFT(tblMovimientos[[#This Row],[Producto]],FIND(" · ",tblMovimientos[[#This Row],[Producto]]&amp;" · ")-1)))</f>
        <v/>
      </c>
      <c r="H597" s="40" t="str">
        <f>IF(tblMovimientos[[#This Row],[SKU]]="","",IFERROR(INDEX(tblProductos[Unidad],MATCH(tblMovimientos[[#This Row],[SKU]],tblProductos[SKU],0)),"?"))</f>
        <v/>
      </c>
      <c r="I597" s="39"/>
      <c r="J597" s="47" t="str">
        <f>IF(tblMovimientos[[#This Row],[Tipo]]="","",IFERROR(INDEX(tblTiposMov[FactorStock],MATCH(tblMovimientos[[#This Row],[Tipo]],tblTiposMov[Tipo],0)),0))</f>
        <v/>
      </c>
      <c r="K5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7" s="37"/>
      <c r="O597" s="37"/>
      <c r="P597" s="37"/>
    </row>
    <row r="598" spans="2:16" x14ac:dyDescent="0.25">
      <c r="B5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8" s="46"/>
      <c r="D598" s="37"/>
      <c r="E598" s="37"/>
      <c r="F598" s="37"/>
      <c r="G598" s="40" t="str">
        <f>IF(tblMovimientos[[#This Row],[Producto]]="","",TRIM(LEFT(tblMovimientos[[#This Row],[Producto]],FIND(" · ",tblMovimientos[[#This Row],[Producto]]&amp;" · ")-1)))</f>
        <v/>
      </c>
      <c r="H598" s="40" t="str">
        <f>IF(tblMovimientos[[#This Row],[SKU]]="","",IFERROR(INDEX(tblProductos[Unidad],MATCH(tblMovimientos[[#This Row],[SKU]],tblProductos[SKU],0)),"?"))</f>
        <v/>
      </c>
      <c r="I598" s="39"/>
      <c r="J598" s="47" t="str">
        <f>IF(tblMovimientos[[#This Row],[Tipo]]="","",IFERROR(INDEX(tblTiposMov[FactorStock],MATCH(tblMovimientos[[#This Row],[Tipo]],tblTiposMov[Tipo],0)),0))</f>
        <v/>
      </c>
      <c r="K5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8" s="37"/>
      <c r="O598" s="37"/>
      <c r="P598" s="37"/>
    </row>
    <row r="599" spans="2:16" x14ac:dyDescent="0.25">
      <c r="B5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99" s="46"/>
      <c r="D599" s="37"/>
      <c r="E599" s="37"/>
      <c r="F599" s="37"/>
      <c r="G599" s="40" t="str">
        <f>IF(tblMovimientos[[#This Row],[Producto]]="","",TRIM(LEFT(tblMovimientos[[#This Row],[Producto]],FIND(" · ",tblMovimientos[[#This Row],[Producto]]&amp;" · ")-1)))</f>
        <v/>
      </c>
      <c r="H599" s="40" t="str">
        <f>IF(tblMovimientos[[#This Row],[SKU]]="","",IFERROR(INDEX(tblProductos[Unidad],MATCH(tblMovimientos[[#This Row],[SKU]],tblProductos[SKU],0)),"?"))</f>
        <v/>
      </c>
      <c r="I599" s="39"/>
      <c r="J599" s="47" t="str">
        <f>IF(tblMovimientos[[#This Row],[Tipo]]="","",IFERROR(INDEX(tblTiposMov[FactorStock],MATCH(tblMovimientos[[#This Row],[Tipo]],tblTiposMov[Tipo],0)),0))</f>
        <v/>
      </c>
      <c r="K5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99" s="37"/>
      <c r="O599" s="37"/>
      <c r="P599" s="37"/>
    </row>
    <row r="600" spans="2:16" x14ac:dyDescent="0.25">
      <c r="B6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0" s="46"/>
      <c r="D600" s="37"/>
      <c r="E600" s="37"/>
      <c r="F600" s="37"/>
      <c r="G600" s="40" t="str">
        <f>IF(tblMovimientos[[#This Row],[Producto]]="","",TRIM(LEFT(tblMovimientos[[#This Row],[Producto]],FIND(" · ",tblMovimientos[[#This Row],[Producto]]&amp;" · ")-1)))</f>
        <v/>
      </c>
      <c r="H600" s="40" t="str">
        <f>IF(tblMovimientos[[#This Row],[SKU]]="","",IFERROR(INDEX(tblProductos[Unidad],MATCH(tblMovimientos[[#This Row],[SKU]],tblProductos[SKU],0)),"?"))</f>
        <v/>
      </c>
      <c r="I600" s="39"/>
      <c r="J600" s="47" t="str">
        <f>IF(tblMovimientos[[#This Row],[Tipo]]="","",IFERROR(INDEX(tblTiposMov[FactorStock],MATCH(tblMovimientos[[#This Row],[Tipo]],tblTiposMov[Tipo],0)),0))</f>
        <v/>
      </c>
      <c r="K6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0" s="37"/>
      <c r="O600" s="37"/>
      <c r="P600" s="37"/>
    </row>
    <row r="601" spans="2:16" x14ac:dyDescent="0.25">
      <c r="B6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1" s="46"/>
      <c r="D601" s="37"/>
      <c r="E601" s="37"/>
      <c r="F601" s="37"/>
      <c r="G601" s="40" t="str">
        <f>IF(tblMovimientos[[#This Row],[Producto]]="","",TRIM(LEFT(tblMovimientos[[#This Row],[Producto]],FIND(" · ",tblMovimientos[[#This Row],[Producto]]&amp;" · ")-1)))</f>
        <v/>
      </c>
      <c r="H601" s="40" t="str">
        <f>IF(tblMovimientos[[#This Row],[SKU]]="","",IFERROR(INDEX(tblProductos[Unidad],MATCH(tblMovimientos[[#This Row],[SKU]],tblProductos[SKU],0)),"?"))</f>
        <v/>
      </c>
      <c r="I601" s="39"/>
      <c r="J601" s="47" t="str">
        <f>IF(tblMovimientos[[#This Row],[Tipo]]="","",IFERROR(INDEX(tblTiposMov[FactorStock],MATCH(tblMovimientos[[#This Row],[Tipo]],tblTiposMov[Tipo],0)),0))</f>
        <v/>
      </c>
      <c r="K6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1" s="37"/>
      <c r="O601" s="37"/>
      <c r="P601" s="37"/>
    </row>
    <row r="602" spans="2:16" x14ac:dyDescent="0.25">
      <c r="B6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2" s="46"/>
      <c r="D602" s="37"/>
      <c r="E602" s="37"/>
      <c r="F602" s="37"/>
      <c r="G602" s="40" t="str">
        <f>IF(tblMovimientos[[#This Row],[Producto]]="","",TRIM(LEFT(tblMovimientos[[#This Row],[Producto]],FIND(" · ",tblMovimientos[[#This Row],[Producto]]&amp;" · ")-1)))</f>
        <v/>
      </c>
      <c r="H602" s="40" t="str">
        <f>IF(tblMovimientos[[#This Row],[SKU]]="","",IFERROR(INDEX(tblProductos[Unidad],MATCH(tblMovimientos[[#This Row],[SKU]],tblProductos[SKU],0)),"?"))</f>
        <v/>
      </c>
      <c r="I602" s="39"/>
      <c r="J602" s="47" t="str">
        <f>IF(tblMovimientos[[#This Row],[Tipo]]="","",IFERROR(INDEX(tblTiposMov[FactorStock],MATCH(tblMovimientos[[#This Row],[Tipo]],tblTiposMov[Tipo],0)),0))</f>
        <v/>
      </c>
      <c r="K6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2" s="37"/>
      <c r="O602" s="37"/>
      <c r="P602" s="37"/>
    </row>
    <row r="603" spans="2:16" x14ac:dyDescent="0.25">
      <c r="B6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3" s="46"/>
      <c r="D603" s="37"/>
      <c r="E603" s="37"/>
      <c r="F603" s="37"/>
      <c r="G603" s="40" t="str">
        <f>IF(tblMovimientos[[#This Row],[Producto]]="","",TRIM(LEFT(tblMovimientos[[#This Row],[Producto]],FIND(" · ",tblMovimientos[[#This Row],[Producto]]&amp;" · ")-1)))</f>
        <v/>
      </c>
      <c r="H603" s="40" t="str">
        <f>IF(tblMovimientos[[#This Row],[SKU]]="","",IFERROR(INDEX(tblProductos[Unidad],MATCH(tblMovimientos[[#This Row],[SKU]],tblProductos[SKU],0)),"?"))</f>
        <v/>
      </c>
      <c r="I603" s="39"/>
      <c r="J603" s="47" t="str">
        <f>IF(tblMovimientos[[#This Row],[Tipo]]="","",IFERROR(INDEX(tblTiposMov[FactorStock],MATCH(tblMovimientos[[#This Row],[Tipo]],tblTiposMov[Tipo],0)),0))</f>
        <v/>
      </c>
      <c r="K6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3" s="37"/>
      <c r="O603" s="37"/>
      <c r="P603" s="37"/>
    </row>
    <row r="604" spans="2:16" x14ac:dyDescent="0.25">
      <c r="B6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4" s="46"/>
      <c r="D604" s="37"/>
      <c r="E604" s="37"/>
      <c r="F604" s="37"/>
      <c r="G604" s="40" t="str">
        <f>IF(tblMovimientos[[#This Row],[Producto]]="","",TRIM(LEFT(tblMovimientos[[#This Row],[Producto]],FIND(" · ",tblMovimientos[[#This Row],[Producto]]&amp;" · ")-1)))</f>
        <v/>
      </c>
      <c r="H604" s="40" t="str">
        <f>IF(tblMovimientos[[#This Row],[SKU]]="","",IFERROR(INDEX(tblProductos[Unidad],MATCH(tblMovimientos[[#This Row],[SKU]],tblProductos[SKU],0)),"?"))</f>
        <v/>
      </c>
      <c r="I604" s="39"/>
      <c r="J604" s="47" t="str">
        <f>IF(tblMovimientos[[#This Row],[Tipo]]="","",IFERROR(INDEX(tblTiposMov[FactorStock],MATCH(tblMovimientos[[#This Row],[Tipo]],tblTiposMov[Tipo],0)),0))</f>
        <v/>
      </c>
      <c r="K6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4" s="37"/>
      <c r="O604" s="37"/>
      <c r="P604" s="37"/>
    </row>
    <row r="605" spans="2:16" x14ac:dyDescent="0.25">
      <c r="B6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5" s="46"/>
      <c r="D605" s="37"/>
      <c r="E605" s="37"/>
      <c r="F605" s="37"/>
      <c r="G605" s="40" t="str">
        <f>IF(tblMovimientos[[#This Row],[Producto]]="","",TRIM(LEFT(tblMovimientos[[#This Row],[Producto]],FIND(" · ",tblMovimientos[[#This Row],[Producto]]&amp;" · ")-1)))</f>
        <v/>
      </c>
      <c r="H605" s="40" t="str">
        <f>IF(tblMovimientos[[#This Row],[SKU]]="","",IFERROR(INDEX(tblProductos[Unidad],MATCH(tblMovimientos[[#This Row],[SKU]],tblProductos[SKU],0)),"?"))</f>
        <v/>
      </c>
      <c r="I605" s="39"/>
      <c r="J605" s="47" t="str">
        <f>IF(tblMovimientos[[#This Row],[Tipo]]="","",IFERROR(INDEX(tblTiposMov[FactorStock],MATCH(tblMovimientos[[#This Row],[Tipo]],tblTiposMov[Tipo],0)),0))</f>
        <v/>
      </c>
      <c r="K6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5" s="37"/>
      <c r="O605" s="37"/>
      <c r="P605" s="37"/>
    </row>
    <row r="606" spans="2:16" x14ac:dyDescent="0.25">
      <c r="B6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6" s="46"/>
      <c r="D606" s="37"/>
      <c r="E606" s="37"/>
      <c r="F606" s="37"/>
      <c r="G606" s="40" t="str">
        <f>IF(tblMovimientos[[#This Row],[Producto]]="","",TRIM(LEFT(tblMovimientos[[#This Row],[Producto]],FIND(" · ",tblMovimientos[[#This Row],[Producto]]&amp;" · ")-1)))</f>
        <v/>
      </c>
      <c r="H606" s="40" t="str">
        <f>IF(tblMovimientos[[#This Row],[SKU]]="","",IFERROR(INDEX(tblProductos[Unidad],MATCH(tblMovimientos[[#This Row],[SKU]],tblProductos[SKU],0)),"?"))</f>
        <v/>
      </c>
      <c r="I606" s="39"/>
      <c r="J606" s="47" t="str">
        <f>IF(tblMovimientos[[#This Row],[Tipo]]="","",IFERROR(INDEX(tblTiposMov[FactorStock],MATCH(tblMovimientos[[#This Row],[Tipo]],tblTiposMov[Tipo],0)),0))</f>
        <v/>
      </c>
      <c r="K6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6" s="37"/>
      <c r="O606" s="37"/>
      <c r="P606" s="37"/>
    </row>
    <row r="607" spans="2:16" x14ac:dyDescent="0.25">
      <c r="B6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7" s="46"/>
      <c r="D607" s="37"/>
      <c r="E607" s="37"/>
      <c r="F607" s="37"/>
      <c r="G607" s="40" t="str">
        <f>IF(tblMovimientos[[#This Row],[Producto]]="","",TRIM(LEFT(tblMovimientos[[#This Row],[Producto]],FIND(" · ",tblMovimientos[[#This Row],[Producto]]&amp;" · ")-1)))</f>
        <v/>
      </c>
      <c r="H607" s="40" t="str">
        <f>IF(tblMovimientos[[#This Row],[SKU]]="","",IFERROR(INDEX(tblProductos[Unidad],MATCH(tblMovimientos[[#This Row],[SKU]],tblProductos[SKU],0)),"?"))</f>
        <v/>
      </c>
      <c r="I607" s="39"/>
      <c r="J607" s="47" t="str">
        <f>IF(tblMovimientos[[#This Row],[Tipo]]="","",IFERROR(INDEX(tblTiposMov[FactorStock],MATCH(tblMovimientos[[#This Row],[Tipo]],tblTiposMov[Tipo],0)),0))</f>
        <v/>
      </c>
      <c r="K6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7" s="37"/>
      <c r="O607" s="37"/>
      <c r="P607" s="37"/>
    </row>
    <row r="608" spans="2:16" x14ac:dyDescent="0.25">
      <c r="B6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8" s="46"/>
      <c r="D608" s="37"/>
      <c r="E608" s="37"/>
      <c r="F608" s="37"/>
      <c r="G608" s="40" t="str">
        <f>IF(tblMovimientos[[#This Row],[Producto]]="","",TRIM(LEFT(tblMovimientos[[#This Row],[Producto]],FIND(" · ",tblMovimientos[[#This Row],[Producto]]&amp;" · ")-1)))</f>
        <v/>
      </c>
      <c r="H608" s="40" t="str">
        <f>IF(tblMovimientos[[#This Row],[SKU]]="","",IFERROR(INDEX(tblProductos[Unidad],MATCH(tblMovimientos[[#This Row],[SKU]],tblProductos[SKU],0)),"?"))</f>
        <v/>
      </c>
      <c r="I608" s="39"/>
      <c r="J608" s="47" t="str">
        <f>IF(tblMovimientos[[#This Row],[Tipo]]="","",IFERROR(INDEX(tblTiposMov[FactorStock],MATCH(tblMovimientos[[#This Row],[Tipo]],tblTiposMov[Tipo],0)),0))</f>
        <v/>
      </c>
      <c r="K6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8" s="37"/>
      <c r="O608" s="37"/>
      <c r="P608" s="37"/>
    </row>
    <row r="609" spans="2:16" x14ac:dyDescent="0.25">
      <c r="B6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09" s="46"/>
      <c r="D609" s="37"/>
      <c r="E609" s="37"/>
      <c r="F609" s="37"/>
      <c r="G609" s="40" t="str">
        <f>IF(tblMovimientos[[#This Row],[Producto]]="","",TRIM(LEFT(tblMovimientos[[#This Row],[Producto]],FIND(" · ",tblMovimientos[[#This Row],[Producto]]&amp;" · ")-1)))</f>
        <v/>
      </c>
      <c r="H609" s="40" t="str">
        <f>IF(tblMovimientos[[#This Row],[SKU]]="","",IFERROR(INDEX(tblProductos[Unidad],MATCH(tblMovimientos[[#This Row],[SKU]],tblProductos[SKU],0)),"?"))</f>
        <v/>
      </c>
      <c r="I609" s="39"/>
      <c r="J609" s="47" t="str">
        <f>IF(tblMovimientos[[#This Row],[Tipo]]="","",IFERROR(INDEX(tblTiposMov[FactorStock],MATCH(tblMovimientos[[#This Row],[Tipo]],tblTiposMov[Tipo],0)),0))</f>
        <v/>
      </c>
      <c r="K6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09" s="37"/>
      <c r="O609" s="37"/>
      <c r="P609" s="37"/>
    </row>
    <row r="610" spans="2:16" x14ac:dyDescent="0.25">
      <c r="B6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0" s="46"/>
      <c r="D610" s="37"/>
      <c r="E610" s="37"/>
      <c r="F610" s="37"/>
      <c r="G610" s="40" t="str">
        <f>IF(tblMovimientos[[#This Row],[Producto]]="","",TRIM(LEFT(tblMovimientos[[#This Row],[Producto]],FIND(" · ",tblMovimientos[[#This Row],[Producto]]&amp;" · ")-1)))</f>
        <v/>
      </c>
      <c r="H610" s="40" t="str">
        <f>IF(tblMovimientos[[#This Row],[SKU]]="","",IFERROR(INDEX(tblProductos[Unidad],MATCH(tblMovimientos[[#This Row],[SKU]],tblProductos[SKU],0)),"?"))</f>
        <v/>
      </c>
      <c r="I610" s="39"/>
      <c r="J610" s="47" t="str">
        <f>IF(tblMovimientos[[#This Row],[Tipo]]="","",IFERROR(INDEX(tblTiposMov[FactorStock],MATCH(tblMovimientos[[#This Row],[Tipo]],tblTiposMov[Tipo],0)),0))</f>
        <v/>
      </c>
      <c r="K6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0" s="37"/>
      <c r="O610" s="37"/>
      <c r="P610" s="37"/>
    </row>
    <row r="611" spans="2:16" x14ac:dyDescent="0.25">
      <c r="B6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1" s="46"/>
      <c r="D611" s="37"/>
      <c r="E611" s="37"/>
      <c r="F611" s="37"/>
      <c r="G611" s="40" t="str">
        <f>IF(tblMovimientos[[#This Row],[Producto]]="","",TRIM(LEFT(tblMovimientos[[#This Row],[Producto]],FIND(" · ",tblMovimientos[[#This Row],[Producto]]&amp;" · ")-1)))</f>
        <v/>
      </c>
      <c r="H611" s="40" t="str">
        <f>IF(tblMovimientos[[#This Row],[SKU]]="","",IFERROR(INDEX(tblProductos[Unidad],MATCH(tblMovimientos[[#This Row],[SKU]],tblProductos[SKU],0)),"?"))</f>
        <v/>
      </c>
      <c r="I611" s="39"/>
      <c r="J611" s="47" t="str">
        <f>IF(tblMovimientos[[#This Row],[Tipo]]="","",IFERROR(INDEX(tblTiposMov[FactorStock],MATCH(tblMovimientos[[#This Row],[Tipo]],tblTiposMov[Tipo],0)),0))</f>
        <v/>
      </c>
      <c r="K6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1" s="37"/>
      <c r="O611" s="37"/>
      <c r="P611" s="37"/>
    </row>
    <row r="612" spans="2:16" x14ac:dyDescent="0.25">
      <c r="B6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2" s="46"/>
      <c r="D612" s="37"/>
      <c r="E612" s="37"/>
      <c r="F612" s="37"/>
      <c r="G612" s="40" t="str">
        <f>IF(tblMovimientos[[#This Row],[Producto]]="","",TRIM(LEFT(tblMovimientos[[#This Row],[Producto]],FIND(" · ",tblMovimientos[[#This Row],[Producto]]&amp;" · ")-1)))</f>
        <v/>
      </c>
      <c r="H612" s="40" t="str">
        <f>IF(tblMovimientos[[#This Row],[SKU]]="","",IFERROR(INDEX(tblProductos[Unidad],MATCH(tblMovimientos[[#This Row],[SKU]],tblProductos[SKU],0)),"?"))</f>
        <v/>
      </c>
      <c r="I612" s="39"/>
      <c r="J612" s="47" t="str">
        <f>IF(tblMovimientos[[#This Row],[Tipo]]="","",IFERROR(INDEX(tblTiposMov[FactorStock],MATCH(tblMovimientos[[#This Row],[Tipo]],tblTiposMov[Tipo],0)),0))</f>
        <v/>
      </c>
      <c r="K6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2" s="37"/>
      <c r="O612" s="37"/>
      <c r="P612" s="37"/>
    </row>
    <row r="613" spans="2:16" x14ac:dyDescent="0.25">
      <c r="B6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3" s="46"/>
      <c r="D613" s="37"/>
      <c r="E613" s="37"/>
      <c r="F613" s="37"/>
      <c r="G613" s="40" t="str">
        <f>IF(tblMovimientos[[#This Row],[Producto]]="","",TRIM(LEFT(tblMovimientos[[#This Row],[Producto]],FIND(" · ",tblMovimientos[[#This Row],[Producto]]&amp;" · ")-1)))</f>
        <v/>
      </c>
      <c r="H613" s="40" t="str">
        <f>IF(tblMovimientos[[#This Row],[SKU]]="","",IFERROR(INDEX(tblProductos[Unidad],MATCH(tblMovimientos[[#This Row],[SKU]],tblProductos[SKU],0)),"?"))</f>
        <v/>
      </c>
      <c r="I613" s="39"/>
      <c r="J613" s="47" t="str">
        <f>IF(tblMovimientos[[#This Row],[Tipo]]="","",IFERROR(INDEX(tblTiposMov[FactorStock],MATCH(tblMovimientos[[#This Row],[Tipo]],tblTiposMov[Tipo],0)),0))</f>
        <v/>
      </c>
      <c r="K6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3" s="37"/>
      <c r="O613" s="37"/>
      <c r="P613" s="37"/>
    </row>
    <row r="614" spans="2:16" x14ac:dyDescent="0.25">
      <c r="B6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4" s="46"/>
      <c r="D614" s="37"/>
      <c r="E614" s="37"/>
      <c r="F614" s="37"/>
      <c r="G614" s="40" t="str">
        <f>IF(tblMovimientos[[#This Row],[Producto]]="","",TRIM(LEFT(tblMovimientos[[#This Row],[Producto]],FIND(" · ",tblMovimientos[[#This Row],[Producto]]&amp;" · ")-1)))</f>
        <v/>
      </c>
      <c r="H614" s="40" t="str">
        <f>IF(tblMovimientos[[#This Row],[SKU]]="","",IFERROR(INDEX(tblProductos[Unidad],MATCH(tblMovimientos[[#This Row],[SKU]],tblProductos[SKU],0)),"?"))</f>
        <v/>
      </c>
      <c r="I614" s="39"/>
      <c r="J614" s="47" t="str">
        <f>IF(tblMovimientos[[#This Row],[Tipo]]="","",IFERROR(INDEX(tblTiposMov[FactorStock],MATCH(tblMovimientos[[#This Row],[Tipo]],tblTiposMov[Tipo],0)),0))</f>
        <v/>
      </c>
      <c r="K6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4" s="37"/>
      <c r="O614" s="37"/>
      <c r="P614" s="37"/>
    </row>
    <row r="615" spans="2:16" x14ac:dyDescent="0.25">
      <c r="B6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5" s="46"/>
      <c r="D615" s="37"/>
      <c r="E615" s="37"/>
      <c r="F615" s="37"/>
      <c r="G615" s="40" t="str">
        <f>IF(tblMovimientos[[#This Row],[Producto]]="","",TRIM(LEFT(tblMovimientos[[#This Row],[Producto]],FIND(" · ",tblMovimientos[[#This Row],[Producto]]&amp;" · ")-1)))</f>
        <v/>
      </c>
      <c r="H615" s="40" t="str">
        <f>IF(tblMovimientos[[#This Row],[SKU]]="","",IFERROR(INDEX(tblProductos[Unidad],MATCH(tblMovimientos[[#This Row],[SKU]],tblProductos[SKU],0)),"?"))</f>
        <v/>
      </c>
      <c r="I615" s="39"/>
      <c r="J615" s="47" t="str">
        <f>IF(tblMovimientos[[#This Row],[Tipo]]="","",IFERROR(INDEX(tblTiposMov[FactorStock],MATCH(tblMovimientos[[#This Row],[Tipo]],tblTiposMov[Tipo],0)),0))</f>
        <v/>
      </c>
      <c r="K6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5" s="37"/>
      <c r="O615" s="37"/>
      <c r="P615" s="37"/>
    </row>
    <row r="616" spans="2:16" x14ac:dyDescent="0.25">
      <c r="B6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6" s="46"/>
      <c r="D616" s="37"/>
      <c r="E616" s="37"/>
      <c r="F616" s="37"/>
      <c r="G616" s="40" t="str">
        <f>IF(tblMovimientos[[#This Row],[Producto]]="","",TRIM(LEFT(tblMovimientos[[#This Row],[Producto]],FIND(" · ",tblMovimientos[[#This Row],[Producto]]&amp;" · ")-1)))</f>
        <v/>
      </c>
      <c r="H616" s="40" t="str">
        <f>IF(tblMovimientos[[#This Row],[SKU]]="","",IFERROR(INDEX(tblProductos[Unidad],MATCH(tblMovimientos[[#This Row],[SKU]],tblProductos[SKU],0)),"?"))</f>
        <v/>
      </c>
      <c r="I616" s="39"/>
      <c r="J616" s="47" t="str">
        <f>IF(tblMovimientos[[#This Row],[Tipo]]="","",IFERROR(INDEX(tblTiposMov[FactorStock],MATCH(tblMovimientos[[#This Row],[Tipo]],tblTiposMov[Tipo],0)),0))</f>
        <v/>
      </c>
      <c r="K6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6" s="37"/>
      <c r="O616" s="37"/>
      <c r="P616" s="37"/>
    </row>
    <row r="617" spans="2:16" x14ac:dyDescent="0.25">
      <c r="B6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7" s="46"/>
      <c r="D617" s="37"/>
      <c r="E617" s="37"/>
      <c r="F617" s="37"/>
      <c r="G617" s="40" t="str">
        <f>IF(tblMovimientos[[#This Row],[Producto]]="","",TRIM(LEFT(tblMovimientos[[#This Row],[Producto]],FIND(" · ",tblMovimientos[[#This Row],[Producto]]&amp;" · ")-1)))</f>
        <v/>
      </c>
      <c r="H617" s="40" t="str">
        <f>IF(tblMovimientos[[#This Row],[SKU]]="","",IFERROR(INDEX(tblProductos[Unidad],MATCH(tblMovimientos[[#This Row],[SKU]],tblProductos[SKU],0)),"?"))</f>
        <v/>
      </c>
      <c r="I617" s="39"/>
      <c r="J617" s="47" t="str">
        <f>IF(tblMovimientos[[#This Row],[Tipo]]="","",IFERROR(INDEX(tblTiposMov[FactorStock],MATCH(tblMovimientos[[#This Row],[Tipo]],tblTiposMov[Tipo],0)),0))</f>
        <v/>
      </c>
      <c r="K6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7" s="37"/>
      <c r="O617" s="37"/>
      <c r="P617" s="37"/>
    </row>
    <row r="618" spans="2:16" x14ac:dyDescent="0.25">
      <c r="B6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8" s="46"/>
      <c r="D618" s="37"/>
      <c r="E618" s="37"/>
      <c r="F618" s="37"/>
      <c r="G618" s="40" t="str">
        <f>IF(tblMovimientos[[#This Row],[Producto]]="","",TRIM(LEFT(tblMovimientos[[#This Row],[Producto]],FIND(" · ",tblMovimientos[[#This Row],[Producto]]&amp;" · ")-1)))</f>
        <v/>
      </c>
      <c r="H618" s="40" t="str">
        <f>IF(tblMovimientos[[#This Row],[SKU]]="","",IFERROR(INDEX(tblProductos[Unidad],MATCH(tblMovimientos[[#This Row],[SKU]],tblProductos[SKU],0)),"?"))</f>
        <v/>
      </c>
      <c r="I618" s="39"/>
      <c r="J618" s="47" t="str">
        <f>IF(tblMovimientos[[#This Row],[Tipo]]="","",IFERROR(INDEX(tblTiposMov[FactorStock],MATCH(tblMovimientos[[#This Row],[Tipo]],tblTiposMov[Tipo],0)),0))</f>
        <v/>
      </c>
      <c r="K6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8" s="37"/>
      <c r="O618" s="37"/>
      <c r="P618" s="37"/>
    </row>
    <row r="619" spans="2:16" x14ac:dyDescent="0.25">
      <c r="B6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19" s="46"/>
      <c r="D619" s="37"/>
      <c r="E619" s="37"/>
      <c r="F619" s="37"/>
      <c r="G619" s="40" t="str">
        <f>IF(tblMovimientos[[#This Row],[Producto]]="","",TRIM(LEFT(tblMovimientos[[#This Row],[Producto]],FIND(" · ",tblMovimientos[[#This Row],[Producto]]&amp;" · ")-1)))</f>
        <v/>
      </c>
      <c r="H619" s="40" t="str">
        <f>IF(tblMovimientos[[#This Row],[SKU]]="","",IFERROR(INDEX(tblProductos[Unidad],MATCH(tblMovimientos[[#This Row],[SKU]],tblProductos[SKU],0)),"?"))</f>
        <v/>
      </c>
      <c r="I619" s="39"/>
      <c r="J619" s="47" t="str">
        <f>IF(tblMovimientos[[#This Row],[Tipo]]="","",IFERROR(INDEX(tblTiposMov[FactorStock],MATCH(tblMovimientos[[#This Row],[Tipo]],tblTiposMov[Tipo],0)),0))</f>
        <v/>
      </c>
      <c r="K6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19" s="37"/>
      <c r="O619" s="37"/>
      <c r="P619" s="37"/>
    </row>
    <row r="620" spans="2:16" x14ac:dyDescent="0.25">
      <c r="B6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0" s="46"/>
      <c r="D620" s="37"/>
      <c r="E620" s="37"/>
      <c r="F620" s="37"/>
      <c r="G620" s="40" t="str">
        <f>IF(tblMovimientos[[#This Row],[Producto]]="","",TRIM(LEFT(tblMovimientos[[#This Row],[Producto]],FIND(" · ",tblMovimientos[[#This Row],[Producto]]&amp;" · ")-1)))</f>
        <v/>
      </c>
      <c r="H620" s="40" t="str">
        <f>IF(tblMovimientos[[#This Row],[SKU]]="","",IFERROR(INDEX(tblProductos[Unidad],MATCH(tblMovimientos[[#This Row],[SKU]],tblProductos[SKU],0)),"?"))</f>
        <v/>
      </c>
      <c r="I620" s="39"/>
      <c r="J620" s="47" t="str">
        <f>IF(tblMovimientos[[#This Row],[Tipo]]="","",IFERROR(INDEX(tblTiposMov[FactorStock],MATCH(tblMovimientos[[#This Row],[Tipo]],tblTiposMov[Tipo],0)),0))</f>
        <v/>
      </c>
      <c r="K6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0" s="37"/>
      <c r="O620" s="37"/>
      <c r="P620" s="37"/>
    </row>
    <row r="621" spans="2:16" x14ac:dyDescent="0.25">
      <c r="B6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1" s="46"/>
      <c r="D621" s="37"/>
      <c r="E621" s="37"/>
      <c r="F621" s="37"/>
      <c r="G621" s="40" t="str">
        <f>IF(tblMovimientos[[#This Row],[Producto]]="","",TRIM(LEFT(tblMovimientos[[#This Row],[Producto]],FIND(" · ",tblMovimientos[[#This Row],[Producto]]&amp;" · ")-1)))</f>
        <v/>
      </c>
      <c r="H621" s="40" t="str">
        <f>IF(tblMovimientos[[#This Row],[SKU]]="","",IFERROR(INDEX(tblProductos[Unidad],MATCH(tblMovimientos[[#This Row],[SKU]],tblProductos[SKU],0)),"?"))</f>
        <v/>
      </c>
      <c r="I621" s="39"/>
      <c r="J621" s="47" t="str">
        <f>IF(tblMovimientos[[#This Row],[Tipo]]="","",IFERROR(INDEX(tblTiposMov[FactorStock],MATCH(tblMovimientos[[#This Row],[Tipo]],tblTiposMov[Tipo],0)),0))</f>
        <v/>
      </c>
      <c r="K6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1" s="37"/>
      <c r="O621" s="37"/>
      <c r="P621" s="37"/>
    </row>
    <row r="622" spans="2:16" x14ac:dyDescent="0.25">
      <c r="B6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2" s="46"/>
      <c r="D622" s="37"/>
      <c r="E622" s="37"/>
      <c r="F622" s="37"/>
      <c r="G622" s="40" t="str">
        <f>IF(tblMovimientos[[#This Row],[Producto]]="","",TRIM(LEFT(tblMovimientos[[#This Row],[Producto]],FIND(" · ",tblMovimientos[[#This Row],[Producto]]&amp;" · ")-1)))</f>
        <v/>
      </c>
      <c r="H622" s="40" t="str">
        <f>IF(tblMovimientos[[#This Row],[SKU]]="","",IFERROR(INDEX(tblProductos[Unidad],MATCH(tblMovimientos[[#This Row],[SKU]],tblProductos[SKU],0)),"?"))</f>
        <v/>
      </c>
      <c r="I622" s="39"/>
      <c r="J622" s="47" t="str">
        <f>IF(tblMovimientos[[#This Row],[Tipo]]="","",IFERROR(INDEX(tblTiposMov[FactorStock],MATCH(tblMovimientos[[#This Row],[Tipo]],tblTiposMov[Tipo],0)),0))</f>
        <v/>
      </c>
      <c r="K6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2" s="37"/>
      <c r="O622" s="37"/>
      <c r="P622" s="37"/>
    </row>
    <row r="623" spans="2:16" x14ac:dyDescent="0.25">
      <c r="B6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3" s="46"/>
      <c r="D623" s="37"/>
      <c r="E623" s="37"/>
      <c r="F623" s="37"/>
      <c r="G623" s="40" t="str">
        <f>IF(tblMovimientos[[#This Row],[Producto]]="","",TRIM(LEFT(tblMovimientos[[#This Row],[Producto]],FIND(" · ",tblMovimientos[[#This Row],[Producto]]&amp;" · ")-1)))</f>
        <v/>
      </c>
      <c r="H623" s="40" t="str">
        <f>IF(tblMovimientos[[#This Row],[SKU]]="","",IFERROR(INDEX(tblProductos[Unidad],MATCH(tblMovimientos[[#This Row],[SKU]],tblProductos[SKU],0)),"?"))</f>
        <v/>
      </c>
      <c r="I623" s="39"/>
      <c r="J623" s="47" t="str">
        <f>IF(tblMovimientos[[#This Row],[Tipo]]="","",IFERROR(INDEX(tblTiposMov[FactorStock],MATCH(tblMovimientos[[#This Row],[Tipo]],tblTiposMov[Tipo],0)),0))</f>
        <v/>
      </c>
      <c r="K6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3" s="37"/>
      <c r="O623" s="37"/>
      <c r="P623" s="37"/>
    </row>
    <row r="624" spans="2:16" x14ac:dyDescent="0.25">
      <c r="B6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4" s="46"/>
      <c r="D624" s="37"/>
      <c r="E624" s="37"/>
      <c r="F624" s="37"/>
      <c r="G624" s="40" t="str">
        <f>IF(tblMovimientos[[#This Row],[Producto]]="","",TRIM(LEFT(tblMovimientos[[#This Row],[Producto]],FIND(" · ",tblMovimientos[[#This Row],[Producto]]&amp;" · ")-1)))</f>
        <v/>
      </c>
      <c r="H624" s="40" t="str">
        <f>IF(tblMovimientos[[#This Row],[SKU]]="","",IFERROR(INDEX(tblProductos[Unidad],MATCH(tblMovimientos[[#This Row],[SKU]],tblProductos[SKU],0)),"?"))</f>
        <v/>
      </c>
      <c r="I624" s="39"/>
      <c r="J624" s="47" t="str">
        <f>IF(tblMovimientos[[#This Row],[Tipo]]="","",IFERROR(INDEX(tblTiposMov[FactorStock],MATCH(tblMovimientos[[#This Row],[Tipo]],tblTiposMov[Tipo],0)),0))</f>
        <v/>
      </c>
      <c r="K6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4" s="37"/>
      <c r="O624" s="37"/>
      <c r="P624" s="37"/>
    </row>
    <row r="625" spans="2:16" x14ac:dyDescent="0.25">
      <c r="B6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5" s="46"/>
      <c r="D625" s="37"/>
      <c r="E625" s="37"/>
      <c r="F625" s="37"/>
      <c r="G625" s="40" t="str">
        <f>IF(tblMovimientos[[#This Row],[Producto]]="","",TRIM(LEFT(tblMovimientos[[#This Row],[Producto]],FIND(" · ",tblMovimientos[[#This Row],[Producto]]&amp;" · ")-1)))</f>
        <v/>
      </c>
      <c r="H625" s="40" t="str">
        <f>IF(tblMovimientos[[#This Row],[SKU]]="","",IFERROR(INDEX(tblProductos[Unidad],MATCH(tblMovimientos[[#This Row],[SKU]],tblProductos[SKU],0)),"?"))</f>
        <v/>
      </c>
      <c r="I625" s="39"/>
      <c r="J625" s="47" t="str">
        <f>IF(tblMovimientos[[#This Row],[Tipo]]="","",IFERROR(INDEX(tblTiposMov[FactorStock],MATCH(tblMovimientos[[#This Row],[Tipo]],tblTiposMov[Tipo],0)),0))</f>
        <v/>
      </c>
      <c r="K6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5" s="37"/>
      <c r="O625" s="37"/>
      <c r="P625" s="37"/>
    </row>
    <row r="626" spans="2:16" x14ac:dyDescent="0.25">
      <c r="B6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6" s="46"/>
      <c r="D626" s="37"/>
      <c r="E626" s="37"/>
      <c r="F626" s="37"/>
      <c r="G626" s="40" t="str">
        <f>IF(tblMovimientos[[#This Row],[Producto]]="","",TRIM(LEFT(tblMovimientos[[#This Row],[Producto]],FIND(" · ",tblMovimientos[[#This Row],[Producto]]&amp;" · ")-1)))</f>
        <v/>
      </c>
      <c r="H626" s="40" t="str">
        <f>IF(tblMovimientos[[#This Row],[SKU]]="","",IFERROR(INDEX(tblProductos[Unidad],MATCH(tblMovimientos[[#This Row],[SKU]],tblProductos[SKU],0)),"?"))</f>
        <v/>
      </c>
      <c r="I626" s="39"/>
      <c r="J626" s="47" t="str">
        <f>IF(tblMovimientos[[#This Row],[Tipo]]="","",IFERROR(INDEX(tblTiposMov[FactorStock],MATCH(tblMovimientos[[#This Row],[Tipo]],tblTiposMov[Tipo],0)),0))</f>
        <v/>
      </c>
      <c r="K6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6" s="37"/>
      <c r="O626" s="37"/>
      <c r="P626" s="37"/>
    </row>
    <row r="627" spans="2:16" x14ac:dyDescent="0.25">
      <c r="B6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7" s="46"/>
      <c r="D627" s="37"/>
      <c r="E627" s="37"/>
      <c r="F627" s="37"/>
      <c r="G627" s="40" t="str">
        <f>IF(tblMovimientos[[#This Row],[Producto]]="","",TRIM(LEFT(tblMovimientos[[#This Row],[Producto]],FIND(" · ",tblMovimientos[[#This Row],[Producto]]&amp;" · ")-1)))</f>
        <v/>
      </c>
      <c r="H627" s="40" t="str">
        <f>IF(tblMovimientos[[#This Row],[SKU]]="","",IFERROR(INDEX(tblProductos[Unidad],MATCH(tblMovimientos[[#This Row],[SKU]],tblProductos[SKU],0)),"?"))</f>
        <v/>
      </c>
      <c r="I627" s="39"/>
      <c r="J627" s="47" t="str">
        <f>IF(tblMovimientos[[#This Row],[Tipo]]="","",IFERROR(INDEX(tblTiposMov[FactorStock],MATCH(tblMovimientos[[#This Row],[Tipo]],tblTiposMov[Tipo],0)),0))</f>
        <v/>
      </c>
      <c r="K6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7" s="37"/>
      <c r="O627" s="37"/>
      <c r="P627" s="37"/>
    </row>
    <row r="628" spans="2:16" x14ac:dyDescent="0.25">
      <c r="B6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8" s="46"/>
      <c r="D628" s="37"/>
      <c r="E628" s="37"/>
      <c r="F628" s="37"/>
      <c r="G628" s="40" t="str">
        <f>IF(tblMovimientos[[#This Row],[Producto]]="","",TRIM(LEFT(tblMovimientos[[#This Row],[Producto]],FIND(" · ",tblMovimientos[[#This Row],[Producto]]&amp;" · ")-1)))</f>
        <v/>
      </c>
      <c r="H628" s="40" t="str">
        <f>IF(tblMovimientos[[#This Row],[SKU]]="","",IFERROR(INDEX(tblProductos[Unidad],MATCH(tblMovimientos[[#This Row],[SKU]],tblProductos[SKU],0)),"?"))</f>
        <v/>
      </c>
      <c r="I628" s="39"/>
      <c r="J628" s="47" t="str">
        <f>IF(tblMovimientos[[#This Row],[Tipo]]="","",IFERROR(INDEX(tblTiposMov[FactorStock],MATCH(tblMovimientos[[#This Row],[Tipo]],tblTiposMov[Tipo],0)),0))</f>
        <v/>
      </c>
      <c r="K6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8" s="37"/>
      <c r="O628" s="37"/>
      <c r="P628" s="37"/>
    </row>
    <row r="629" spans="2:16" x14ac:dyDescent="0.25">
      <c r="B6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29" s="46"/>
      <c r="D629" s="37"/>
      <c r="E629" s="37"/>
      <c r="F629" s="37"/>
      <c r="G629" s="40" t="str">
        <f>IF(tblMovimientos[[#This Row],[Producto]]="","",TRIM(LEFT(tblMovimientos[[#This Row],[Producto]],FIND(" · ",tblMovimientos[[#This Row],[Producto]]&amp;" · ")-1)))</f>
        <v/>
      </c>
      <c r="H629" s="40" t="str">
        <f>IF(tblMovimientos[[#This Row],[SKU]]="","",IFERROR(INDEX(tblProductos[Unidad],MATCH(tblMovimientos[[#This Row],[SKU]],tblProductos[SKU],0)),"?"))</f>
        <v/>
      </c>
      <c r="I629" s="39"/>
      <c r="J629" s="47" t="str">
        <f>IF(tblMovimientos[[#This Row],[Tipo]]="","",IFERROR(INDEX(tblTiposMov[FactorStock],MATCH(tblMovimientos[[#This Row],[Tipo]],tblTiposMov[Tipo],0)),0))</f>
        <v/>
      </c>
      <c r="K6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29" s="37"/>
      <c r="O629" s="37"/>
      <c r="P629" s="37"/>
    </row>
    <row r="630" spans="2:16" x14ac:dyDescent="0.25">
      <c r="B6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0" s="46"/>
      <c r="D630" s="37"/>
      <c r="E630" s="37"/>
      <c r="F630" s="37"/>
      <c r="G630" s="40" t="str">
        <f>IF(tblMovimientos[[#This Row],[Producto]]="","",TRIM(LEFT(tblMovimientos[[#This Row],[Producto]],FIND(" · ",tblMovimientos[[#This Row],[Producto]]&amp;" · ")-1)))</f>
        <v/>
      </c>
      <c r="H630" s="40" t="str">
        <f>IF(tblMovimientos[[#This Row],[SKU]]="","",IFERROR(INDEX(tblProductos[Unidad],MATCH(tblMovimientos[[#This Row],[SKU]],tblProductos[SKU],0)),"?"))</f>
        <v/>
      </c>
      <c r="I630" s="39"/>
      <c r="J630" s="47" t="str">
        <f>IF(tblMovimientos[[#This Row],[Tipo]]="","",IFERROR(INDEX(tblTiposMov[FactorStock],MATCH(tblMovimientos[[#This Row],[Tipo]],tblTiposMov[Tipo],0)),0))</f>
        <v/>
      </c>
      <c r="K6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0" s="37"/>
      <c r="O630" s="37"/>
      <c r="P630" s="37"/>
    </row>
    <row r="631" spans="2:16" x14ac:dyDescent="0.25">
      <c r="B6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1" s="46"/>
      <c r="D631" s="37"/>
      <c r="E631" s="37"/>
      <c r="F631" s="37"/>
      <c r="G631" s="40" t="str">
        <f>IF(tblMovimientos[[#This Row],[Producto]]="","",TRIM(LEFT(tblMovimientos[[#This Row],[Producto]],FIND(" · ",tblMovimientos[[#This Row],[Producto]]&amp;" · ")-1)))</f>
        <v/>
      </c>
      <c r="H631" s="40" t="str">
        <f>IF(tblMovimientos[[#This Row],[SKU]]="","",IFERROR(INDEX(tblProductos[Unidad],MATCH(tblMovimientos[[#This Row],[SKU]],tblProductos[SKU],0)),"?"))</f>
        <v/>
      </c>
      <c r="I631" s="39"/>
      <c r="J631" s="47" t="str">
        <f>IF(tblMovimientos[[#This Row],[Tipo]]="","",IFERROR(INDEX(tblTiposMov[FactorStock],MATCH(tblMovimientos[[#This Row],[Tipo]],tblTiposMov[Tipo],0)),0))</f>
        <v/>
      </c>
      <c r="K6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1" s="37"/>
      <c r="O631" s="37"/>
      <c r="P631" s="37"/>
    </row>
    <row r="632" spans="2:16" x14ac:dyDescent="0.25">
      <c r="B6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2" s="46"/>
      <c r="D632" s="37"/>
      <c r="E632" s="37"/>
      <c r="F632" s="37"/>
      <c r="G632" s="40" t="str">
        <f>IF(tblMovimientos[[#This Row],[Producto]]="","",TRIM(LEFT(tblMovimientos[[#This Row],[Producto]],FIND(" · ",tblMovimientos[[#This Row],[Producto]]&amp;" · ")-1)))</f>
        <v/>
      </c>
      <c r="H632" s="40" t="str">
        <f>IF(tblMovimientos[[#This Row],[SKU]]="","",IFERROR(INDEX(tblProductos[Unidad],MATCH(tblMovimientos[[#This Row],[SKU]],tblProductos[SKU],0)),"?"))</f>
        <v/>
      </c>
      <c r="I632" s="39"/>
      <c r="J632" s="47" t="str">
        <f>IF(tblMovimientos[[#This Row],[Tipo]]="","",IFERROR(INDEX(tblTiposMov[FactorStock],MATCH(tblMovimientos[[#This Row],[Tipo]],tblTiposMov[Tipo],0)),0))</f>
        <v/>
      </c>
      <c r="K6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2" s="37"/>
      <c r="O632" s="37"/>
      <c r="P632" s="37"/>
    </row>
    <row r="633" spans="2:16" x14ac:dyDescent="0.25">
      <c r="B6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3" s="46"/>
      <c r="D633" s="37"/>
      <c r="E633" s="37"/>
      <c r="F633" s="37"/>
      <c r="G633" s="40" t="str">
        <f>IF(tblMovimientos[[#This Row],[Producto]]="","",TRIM(LEFT(tblMovimientos[[#This Row],[Producto]],FIND(" · ",tblMovimientos[[#This Row],[Producto]]&amp;" · ")-1)))</f>
        <v/>
      </c>
      <c r="H633" s="40" t="str">
        <f>IF(tblMovimientos[[#This Row],[SKU]]="","",IFERROR(INDEX(tblProductos[Unidad],MATCH(tblMovimientos[[#This Row],[SKU]],tblProductos[SKU],0)),"?"))</f>
        <v/>
      </c>
      <c r="I633" s="39"/>
      <c r="J633" s="47" t="str">
        <f>IF(tblMovimientos[[#This Row],[Tipo]]="","",IFERROR(INDEX(tblTiposMov[FactorStock],MATCH(tblMovimientos[[#This Row],[Tipo]],tblTiposMov[Tipo],0)),0))</f>
        <v/>
      </c>
      <c r="K6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3" s="37"/>
      <c r="O633" s="37"/>
      <c r="P633" s="37"/>
    </row>
    <row r="634" spans="2:16" x14ac:dyDescent="0.25">
      <c r="B6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4" s="46"/>
      <c r="D634" s="37"/>
      <c r="E634" s="37"/>
      <c r="F634" s="37"/>
      <c r="G634" s="40" t="str">
        <f>IF(tblMovimientos[[#This Row],[Producto]]="","",TRIM(LEFT(tblMovimientos[[#This Row],[Producto]],FIND(" · ",tblMovimientos[[#This Row],[Producto]]&amp;" · ")-1)))</f>
        <v/>
      </c>
      <c r="H634" s="40" t="str">
        <f>IF(tblMovimientos[[#This Row],[SKU]]="","",IFERROR(INDEX(tblProductos[Unidad],MATCH(tblMovimientos[[#This Row],[SKU]],tblProductos[SKU],0)),"?"))</f>
        <v/>
      </c>
      <c r="I634" s="39"/>
      <c r="J634" s="47" t="str">
        <f>IF(tblMovimientos[[#This Row],[Tipo]]="","",IFERROR(INDEX(tblTiposMov[FactorStock],MATCH(tblMovimientos[[#This Row],[Tipo]],tblTiposMov[Tipo],0)),0))</f>
        <v/>
      </c>
      <c r="K6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4" s="37"/>
      <c r="O634" s="37"/>
      <c r="P634" s="37"/>
    </row>
    <row r="635" spans="2:16" x14ac:dyDescent="0.25">
      <c r="B6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5" s="46"/>
      <c r="D635" s="37"/>
      <c r="E635" s="37"/>
      <c r="F635" s="37"/>
      <c r="G635" s="40" t="str">
        <f>IF(tblMovimientos[[#This Row],[Producto]]="","",TRIM(LEFT(tblMovimientos[[#This Row],[Producto]],FIND(" · ",tblMovimientos[[#This Row],[Producto]]&amp;" · ")-1)))</f>
        <v/>
      </c>
      <c r="H635" s="40" t="str">
        <f>IF(tblMovimientos[[#This Row],[SKU]]="","",IFERROR(INDEX(tblProductos[Unidad],MATCH(tblMovimientos[[#This Row],[SKU]],tblProductos[SKU],0)),"?"))</f>
        <v/>
      </c>
      <c r="I635" s="39"/>
      <c r="J635" s="47" t="str">
        <f>IF(tblMovimientos[[#This Row],[Tipo]]="","",IFERROR(INDEX(tblTiposMov[FactorStock],MATCH(tblMovimientos[[#This Row],[Tipo]],tblTiposMov[Tipo],0)),0))</f>
        <v/>
      </c>
      <c r="K6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5" s="37"/>
      <c r="O635" s="37"/>
      <c r="P635" s="37"/>
    </row>
    <row r="636" spans="2:16" x14ac:dyDescent="0.25">
      <c r="B6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6" s="46"/>
      <c r="D636" s="37"/>
      <c r="E636" s="37"/>
      <c r="F636" s="37"/>
      <c r="G636" s="40" t="str">
        <f>IF(tblMovimientos[[#This Row],[Producto]]="","",TRIM(LEFT(tblMovimientos[[#This Row],[Producto]],FIND(" · ",tblMovimientos[[#This Row],[Producto]]&amp;" · ")-1)))</f>
        <v/>
      </c>
      <c r="H636" s="40" t="str">
        <f>IF(tblMovimientos[[#This Row],[SKU]]="","",IFERROR(INDEX(tblProductos[Unidad],MATCH(tblMovimientos[[#This Row],[SKU]],tblProductos[SKU],0)),"?"))</f>
        <v/>
      </c>
      <c r="I636" s="39"/>
      <c r="J636" s="47" t="str">
        <f>IF(tblMovimientos[[#This Row],[Tipo]]="","",IFERROR(INDEX(tblTiposMov[FactorStock],MATCH(tblMovimientos[[#This Row],[Tipo]],tblTiposMov[Tipo],0)),0))</f>
        <v/>
      </c>
      <c r="K6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6" s="37"/>
      <c r="O636" s="37"/>
      <c r="P636" s="37"/>
    </row>
    <row r="637" spans="2:16" x14ac:dyDescent="0.25">
      <c r="B6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7" s="46"/>
      <c r="D637" s="37"/>
      <c r="E637" s="37"/>
      <c r="F637" s="37"/>
      <c r="G637" s="40" t="str">
        <f>IF(tblMovimientos[[#This Row],[Producto]]="","",TRIM(LEFT(tblMovimientos[[#This Row],[Producto]],FIND(" · ",tblMovimientos[[#This Row],[Producto]]&amp;" · ")-1)))</f>
        <v/>
      </c>
      <c r="H637" s="40" t="str">
        <f>IF(tblMovimientos[[#This Row],[SKU]]="","",IFERROR(INDEX(tblProductos[Unidad],MATCH(tblMovimientos[[#This Row],[SKU]],tblProductos[SKU],0)),"?"))</f>
        <v/>
      </c>
      <c r="I637" s="39"/>
      <c r="J637" s="47" t="str">
        <f>IF(tblMovimientos[[#This Row],[Tipo]]="","",IFERROR(INDEX(tblTiposMov[FactorStock],MATCH(tblMovimientos[[#This Row],[Tipo]],tblTiposMov[Tipo],0)),0))</f>
        <v/>
      </c>
      <c r="K6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7" s="37"/>
      <c r="O637" s="37"/>
      <c r="P637" s="37"/>
    </row>
    <row r="638" spans="2:16" x14ac:dyDescent="0.25">
      <c r="B6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8" s="46"/>
      <c r="D638" s="37"/>
      <c r="E638" s="37"/>
      <c r="F638" s="37"/>
      <c r="G638" s="40" t="str">
        <f>IF(tblMovimientos[[#This Row],[Producto]]="","",TRIM(LEFT(tblMovimientos[[#This Row],[Producto]],FIND(" · ",tblMovimientos[[#This Row],[Producto]]&amp;" · ")-1)))</f>
        <v/>
      </c>
      <c r="H638" s="40" t="str">
        <f>IF(tblMovimientos[[#This Row],[SKU]]="","",IFERROR(INDEX(tblProductos[Unidad],MATCH(tblMovimientos[[#This Row],[SKU]],tblProductos[SKU],0)),"?"))</f>
        <v/>
      </c>
      <c r="I638" s="39"/>
      <c r="J638" s="47" t="str">
        <f>IF(tblMovimientos[[#This Row],[Tipo]]="","",IFERROR(INDEX(tblTiposMov[FactorStock],MATCH(tblMovimientos[[#This Row],[Tipo]],tblTiposMov[Tipo],0)),0))</f>
        <v/>
      </c>
      <c r="K6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8" s="37"/>
      <c r="O638" s="37"/>
      <c r="P638" s="37"/>
    </row>
    <row r="639" spans="2:16" x14ac:dyDescent="0.25">
      <c r="B6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39" s="46"/>
      <c r="D639" s="37"/>
      <c r="E639" s="37"/>
      <c r="F639" s="37"/>
      <c r="G639" s="40" t="str">
        <f>IF(tblMovimientos[[#This Row],[Producto]]="","",TRIM(LEFT(tblMovimientos[[#This Row],[Producto]],FIND(" · ",tblMovimientos[[#This Row],[Producto]]&amp;" · ")-1)))</f>
        <v/>
      </c>
      <c r="H639" s="40" t="str">
        <f>IF(tblMovimientos[[#This Row],[SKU]]="","",IFERROR(INDEX(tblProductos[Unidad],MATCH(tblMovimientos[[#This Row],[SKU]],tblProductos[SKU],0)),"?"))</f>
        <v/>
      </c>
      <c r="I639" s="39"/>
      <c r="J639" s="47" t="str">
        <f>IF(tblMovimientos[[#This Row],[Tipo]]="","",IFERROR(INDEX(tblTiposMov[FactorStock],MATCH(tblMovimientos[[#This Row],[Tipo]],tblTiposMov[Tipo],0)),0))</f>
        <v/>
      </c>
      <c r="K6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39" s="37"/>
      <c r="O639" s="37"/>
      <c r="P639" s="37"/>
    </row>
    <row r="640" spans="2:16" x14ac:dyDescent="0.25">
      <c r="B6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0" s="46"/>
      <c r="D640" s="37"/>
      <c r="E640" s="37"/>
      <c r="F640" s="37"/>
      <c r="G640" s="40" t="str">
        <f>IF(tblMovimientos[[#This Row],[Producto]]="","",TRIM(LEFT(tblMovimientos[[#This Row],[Producto]],FIND(" · ",tblMovimientos[[#This Row],[Producto]]&amp;" · ")-1)))</f>
        <v/>
      </c>
      <c r="H640" s="40" t="str">
        <f>IF(tblMovimientos[[#This Row],[SKU]]="","",IFERROR(INDEX(tblProductos[Unidad],MATCH(tblMovimientos[[#This Row],[SKU]],tblProductos[SKU],0)),"?"))</f>
        <v/>
      </c>
      <c r="I640" s="39"/>
      <c r="J640" s="47" t="str">
        <f>IF(tblMovimientos[[#This Row],[Tipo]]="","",IFERROR(INDEX(tblTiposMov[FactorStock],MATCH(tblMovimientos[[#This Row],[Tipo]],tblTiposMov[Tipo],0)),0))</f>
        <v/>
      </c>
      <c r="K6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0" s="37"/>
      <c r="O640" s="37"/>
      <c r="P640" s="37"/>
    </row>
    <row r="641" spans="2:16" x14ac:dyDescent="0.25">
      <c r="B6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1" s="46"/>
      <c r="D641" s="37"/>
      <c r="E641" s="37"/>
      <c r="F641" s="37"/>
      <c r="G641" s="40" t="str">
        <f>IF(tblMovimientos[[#This Row],[Producto]]="","",TRIM(LEFT(tblMovimientos[[#This Row],[Producto]],FIND(" · ",tblMovimientos[[#This Row],[Producto]]&amp;" · ")-1)))</f>
        <v/>
      </c>
      <c r="H641" s="40" t="str">
        <f>IF(tblMovimientos[[#This Row],[SKU]]="","",IFERROR(INDEX(tblProductos[Unidad],MATCH(tblMovimientos[[#This Row],[SKU]],tblProductos[SKU],0)),"?"))</f>
        <v/>
      </c>
      <c r="I641" s="39"/>
      <c r="J641" s="47" t="str">
        <f>IF(tblMovimientos[[#This Row],[Tipo]]="","",IFERROR(INDEX(tblTiposMov[FactorStock],MATCH(tblMovimientos[[#This Row],[Tipo]],tblTiposMov[Tipo],0)),0))</f>
        <v/>
      </c>
      <c r="K6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1" s="37"/>
      <c r="O641" s="37"/>
      <c r="P641" s="37"/>
    </row>
    <row r="642" spans="2:16" x14ac:dyDescent="0.25">
      <c r="B6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2" s="46"/>
      <c r="D642" s="37"/>
      <c r="E642" s="37"/>
      <c r="F642" s="37"/>
      <c r="G642" s="40" t="str">
        <f>IF(tblMovimientos[[#This Row],[Producto]]="","",TRIM(LEFT(tblMovimientos[[#This Row],[Producto]],FIND(" · ",tblMovimientos[[#This Row],[Producto]]&amp;" · ")-1)))</f>
        <v/>
      </c>
      <c r="H642" s="40" t="str">
        <f>IF(tblMovimientos[[#This Row],[SKU]]="","",IFERROR(INDEX(tblProductos[Unidad],MATCH(tblMovimientos[[#This Row],[SKU]],tblProductos[SKU],0)),"?"))</f>
        <v/>
      </c>
      <c r="I642" s="39"/>
      <c r="J642" s="47" t="str">
        <f>IF(tblMovimientos[[#This Row],[Tipo]]="","",IFERROR(INDEX(tblTiposMov[FactorStock],MATCH(tblMovimientos[[#This Row],[Tipo]],tblTiposMov[Tipo],0)),0))</f>
        <v/>
      </c>
      <c r="K6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2" s="37"/>
      <c r="O642" s="37"/>
      <c r="P642" s="37"/>
    </row>
    <row r="643" spans="2:16" x14ac:dyDescent="0.25">
      <c r="B6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3" s="46"/>
      <c r="D643" s="37"/>
      <c r="E643" s="37"/>
      <c r="F643" s="37"/>
      <c r="G643" s="40" t="str">
        <f>IF(tblMovimientos[[#This Row],[Producto]]="","",TRIM(LEFT(tblMovimientos[[#This Row],[Producto]],FIND(" · ",tblMovimientos[[#This Row],[Producto]]&amp;" · ")-1)))</f>
        <v/>
      </c>
      <c r="H643" s="40" t="str">
        <f>IF(tblMovimientos[[#This Row],[SKU]]="","",IFERROR(INDEX(tblProductos[Unidad],MATCH(tblMovimientos[[#This Row],[SKU]],tblProductos[SKU],0)),"?"))</f>
        <v/>
      </c>
      <c r="I643" s="39"/>
      <c r="J643" s="47" t="str">
        <f>IF(tblMovimientos[[#This Row],[Tipo]]="","",IFERROR(INDEX(tblTiposMov[FactorStock],MATCH(tblMovimientos[[#This Row],[Tipo]],tblTiposMov[Tipo],0)),0))</f>
        <v/>
      </c>
      <c r="K6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3" s="37"/>
      <c r="O643" s="37"/>
      <c r="P643" s="37"/>
    </row>
    <row r="644" spans="2:16" x14ac:dyDescent="0.25">
      <c r="B6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4" s="46"/>
      <c r="D644" s="37"/>
      <c r="E644" s="37"/>
      <c r="F644" s="37"/>
      <c r="G644" s="40" t="str">
        <f>IF(tblMovimientos[[#This Row],[Producto]]="","",TRIM(LEFT(tblMovimientos[[#This Row],[Producto]],FIND(" · ",tblMovimientos[[#This Row],[Producto]]&amp;" · ")-1)))</f>
        <v/>
      </c>
      <c r="H644" s="40" t="str">
        <f>IF(tblMovimientos[[#This Row],[SKU]]="","",IFERROR(INDEX(tblProductos[Unidad],MATCH(tblMovimientos[[#This Row],[SKU]],tblProductos[SKU],0)),"?"))</f>
        <v/>
      </c>
      <c r="I644" s="39"/>
      <c r="J644" s="47" t="str">
        <f>IF(tblMovimientos[[#This Row],[Tipo]]="","",IFERROR(INDEX(tblTiposMov[FactorStock],MATCH(tblMovimientos[[#This Row],[Tipo]],tblTiposMov[Tipo],0)),0))</f>
        <v/>
      </c>
      <c r="K6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4" s="37"/>
      <c r="O644" s="37"/>
      <c r="P644" s="37"/>
    </row>
    <row r="645" spans="2:16" x14ac:dyDescent="0.25">
      <c r="B6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5" s="46"/>
      <c r="D645" s="37"/>
      <c r="E645" s="37"/>
      <c r="F645" s="37"/>
      <c r="G645" s="40" t="str">
        <f>IF(tblMovimientos[[#This Row],[Producto]]="","",TRIM(LEFT(tblMovimientos[[#This Row],[Producto]],FIND(" · ",tblMovimientos[[#This Row],[Producto]]&amp;" · ")-1)))</f>
        <v/>
      </c>
      <c r="H645" s="40" t="str">
        <f>IF(tblMovimientos[[#This Row],[SKU]]="","",IFERROR(INDEX(tblProductos[Unidad],MATCH(tblMovimientos[[#This Row],[SKU]],tblProductos[SKU],0)),"?"))</f>
        <v/>
      </c>
      <c r="I645" s="39"/>
      <c r="J645" s="47" t="str">
        <f>IF(tblMovimientos[[#This Row],[Tipo]]="","",IFERROR(INDEX(tblTiposMov[FactorStock],MATCH(tblMovimientos[[#This Row],[Tipo]],tblTiposMov[Tipo],0)),0))</f>
        <v/>
      </c>
      <c r="K6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5" s="37"/>
      <c r="O645" s="37"/>
      <c r="P645" s="37"/>
    </row>
    <row r="646" spans="2:16" x14ac:dyDescent="0.25">
      <c r="B6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6" s="46"/>
      <c r="D646" s="37"/>
      <c r="E646" s="37"/>
      <c r="F646" s="37"/>
      <c r="G646" s="40" t="str">
        <f>IF(tblMovimientos[[#This Row],[Producto]]="","",TRIM(LEFT(tblMovimientos[[#This Row],[Producto]],FIND(" · ",tblMovimientos[[#This Row],[Producto]]&amp;" · ")-1)))</f>
        <v/>
      </c>
      <c r="H646" s="40" t="str">
        <f>IF(tblMovimientos[[#This Row],[SKU]]="","",IFERROR(INDEX(tblProductos[Unidad],MATCH(tblMovimientos[[#This Row],[SKU]],tblProductos[SKU],0)),"?"))</f>
        <v/>
      </c>
      <c r="I646" s="39"/>
      <c r="J646" s="47" t="str">
        <f>IF(tblMovimientos[[#This Row],[Tipo]]="","",IFERROR(INDEX(tblTiposMov[FactorStock],MATCH(tblMovimientos[[#This Row],[Tipo]],tblTiposMov[Tipo],0)),0))</f>
        <v/>
      </c>
      <c r="K6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6" s="37"/>
      <c r="O646" s="37"/>
      <c r="P646" s="37"/>
    </row>
    <row r="647" spans="2:16" x14ac:dyDescent="0.25">
      <c r="B6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7" s="46"/>
      <c r="D647" s="37"/>
      <c r="E647" s="37"/>
      <c r="F647" s="37"/>
      <c r="G647" s="40" t="str">
        <f>IF(tblMovimientos[[#This Row],[Producto]]="","",TRIM(LEFT(tblMovimientos[[#This Row],[Producto]],FIND(" · ",tblMovimientos[[#This Row],[Producto]]&amp;" · ")-1)))</f>
        <v/>
      </c>
      <c r="H647" s="40" t="str">
        <f>IF(tblMovimientos[[#This Row],[SKU]]="","",IFERROR(INDEX(tblProductos[Unidad],MATCH(tblMovimientos[[#This Row],[SKU]],tblProductos[SKU],0)),"?"))</f>
        <v/>
      </c>
      <c r="I647" s="39"/>
      <c r="J647" s="47" t="str">
        <f>IF(tblMovimientos[[#This Row],[Tipo]]="","",IFERROR(INDEX(tblTiposMov[FactorStock],MATCH(tblMovimientos[[#This Row],[Tipo]],tblTiposMov[Tipo],0)),0))</f>
        <v/>
      </c>
      <c r="K6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7" s="37"/>
      <c r="O647" s="37"/>
      <c r="P647" s="37"/>
    </row>
    <row r="648" spans="2:16" x14ac:dyDescent="0.25">
      <c r="B6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8" s="46"/>
      <c r="D648" s="37"/>
      <c r="E648" s="37"/>
      <c r="F648" s="37"/>
      <c r="G648" s="40" t="str">
        <f>IF(tblMovimientos[[#This Row],[Producto]]="","",TRIM(LEFT(tblMovimientos[[#This Row],[Producto]],FIND(" · ",tblMovimientos[[#This Row],[Producto]]&amp;" · ")-1)))</f>
        <v/>
      </c>
      <c r="H648" s="40" t="str">
        <f>IF(tblMovimientos[[#This Row],[SKU]]="","",IFERROR(INDEX(tblProductos[Unidad],MATCH(tblMovimientos[[#This Row],[SKU]],tblProductos[SKU],0)),"?"))</f>
        <v/>
      </c>
      <c r="I648" s="39"/>
      <c r="J648" s="47" t="str">
        <f>IF(tblMovimientos[[#This Row],[Tipo]]="","",IFERROR(INDEX(tblTiposMov[FactorStock],MATCH(tblMovimientos[[#This Row],[Tipo]],tblTiposMov[Tipo],0)),0))</f>
        <v/>
      </c>
      <c r="K6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8" s="37"/>
      <c r="O648" s="37"/>
      <c r="P648" s="37"/>
    </row>
    <row r="649" spans="2:16" x14ac:dyDescent="0.25">
      <c r="B6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49" s="46"/>
      <c r="D649" s="37"/>
      <c r="E649" s="37"/>
      <c r="F649" s="37"/>
      <c r="G649" s="40" t="str">
        <f>IF(tblMovimientos[[#This Row],[Producto]]="","",TRIM(LEFT(tblMovimientos[[#This Row],[Producto]],FIND(" · ",tblMovimientos[[#This Row],[Producto]]&amp;" · ")-1)))</f>
        <v/>
      </c>
      <c r="H649" s="40" t="str">
        <f>IF(tblMovimientos[[#This Row],[SKU]]="","",IFERROR(INDEX(tblProductos[Unidad],MATCH(tblMovimientos[[#This Row],[SKU]],tblProductos[SKU],0)),"?"))</f>
        <v/>
      </c>
      <c r="I649" s="39"/>
      <c r="J649" s="47" t="str">
        <f>IF(tblMovimientos[[#This Row],[Tipo]]="","",IFERROR(INDEX(tblTiposMov[FactorStock],MATCH(tblMovimientos[[#This Row],[Tipo]],tblTiposMov[Tipo],0)),0))</f>
        <v/>
      </c>
      <c r="K6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49" s="37"/>
      <c r="O649" s="37"/>
      <c r="P649" s="37"/>
    </row>
    <row r="650" spans="2:16" x14ac:dyDescent="0.25">
      <c r="B6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0" s="46"/>
      <c r="D650" s="37"/>
      <c r="E650" s="37"/>
      <c r="F650" s="37"/>
      <c r="G650" s="40" t="str">
        <f>IF(tblMovimientos[[#This Row],[Producto]]="","",TRIM(LEFT(tblMovimientos[[#This Row],[Producto]],FIND(" · ",tblMovimientos[[#This Row],[Producto]]&amp;" · ")-1)))</f>
        <v/>
      </c>
      <c r="H650" s="40" t="str">
        <f>IF(tblMovimientos[[#This Row],[SKU]]="","",IFERROR(INDEX(tblProductos[Unidad],MATCH(tblMovimientos[[#This Row],[SKU]],tblProductos[SKU],0)),"?"))</f>
        <v/>
      </c>
      <c r="I650" s="39"/>
      <c r="J650" s="47" t="str">
        <f>IF(tblMovimientos[[#This Row],[Tipo]]="","",IFERROR(INDEX(tblTiposMov[FactorStock],MATCH(tblMovimientos[[#This Row],[Tipo]],tblTiposMov[Tipo],0)),0))</f>
        <v/>
      </c>
      <c r="K6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0" s="37"/>
      <c r="O650" s="37"/>
      <c r="P650" s="37"/>
    </row>
    <row r="651" spans="2:16" x14ac:dyDescent="0.25">
      <c r="B6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1" s="46"/>
      <c r="D651" s="37"/>
      <c r="E651" s="37"/>
      <c r="F651" s="37"/>
      <c r="G651" s="40" t="str">
        <f>IF(tblMovimientos[[#This Row],[Producto]]="","",TRIM(LEFT(tblMovimientos[[#This Row],[Producto]],FIND(" · ",tblMovimientos[[#This Row],[Producto]]&amp;" · ")-1)))</f>
        <v/>
      </c>
      <c r="H651" s="40" t="str">
        <f>IF(tblMovimientos[[#This Row],[SKU]]="","",IFERROR(INDEX(tblProductos[Unidad],MATCH(tblMovimientos[[#This Row],[SKU]],tblProductos[SKU],0)),"?"))</f>
        <v/>
      </c>
      <c r="I651" s="39"/>
      <c r="J651" s="47" t="str">
        <f>IF(tblMovimientos[[#This Row],[Tipo]]="","",IFERROR(INDEX(tblTiposMov[FactorStock],MATCH(tblMovimientos[[#This Row],[Tipo]],tblTiposMov[Tipo],0)),0))</f>
        <v/>
      </c>
      <c r="K6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1" s="37"/>
      <c r="O651" s="37"/>
      <c r="P651" s="37"/>
    </row>
    <row r="652" spans="2:16" x14ac:dyDescent="0.25">
      <c r="B6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2" s="46"/>
      <c r="D652" s="37"/>
      <c r="E652" s="37"/>
      <c r="F652" s="37"/>
      <c r="G652" s="40" t="str">
        <f>IF(tblMovimientos[[#This Row],[Producto]]="","",TRIM(LEFT(tblMovimientos[[#This Row],[Producto]],FIND(" · ",tblMovimientos[[#This Row],[Producto]]&amp;" · ")-1)))</f>
        <v/>
      </c>
      <c r="H652" s="40" t="str">
        <f>IF(tblMovimientos[[#This Row],[SKU]]="","",IFERROR(INDEX(tblProductos[Unidad],MATCH(tblMovimientos[[#This Row],[SKU]],tblProductos[SKU],0)),"?"))</f>
        <v/>
      </c>
      <c r="I652" s="39"/>
      <c r="J652" s="47" t="str">
        <f>IF(tblMovimientos[[#This Row],[Tipo]]="","",IFERROR(INDEX(tblTiposMov[FactorStock],MATCH(tblMovimientos[[#This Row],[Tipo]],tblTiposMov[Tipo],0)),0))</f>
        <v/>
      </c>
      <c r="K6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2" s="37"/>
      <c r="O652" s="37"/>
      <c r="P652" s="37"/>
    </row>
    <row r="653" spans="2:16" x14ac:dyDescent="0.25">
      <c r="B6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3" s="46"/>
      <c r="D653" s="37"/>
      <c r="E653" s="37"/>
      <c r="F653" s="37"/>
      <c r="G653" s="40" t="str">
        <f>IF(tblMovimientos[[#This Row],[Producto]]="","",TRIM(LEFT(tblMovimientos[[#This Row],[Producto]],FIND(" · ",tblMovimientos[[#This Row],[Producto]]&amp;" · ")-1)))</f>
        <v/>
      </c>
      <c r="H653" s="40" t="str">
        <f>IF(tblMovimientos[[#This Row],[SKU]]="","",IFERROR(INDEX(tblProductos[Unidad],MATCH(tblMovimientos[[#This Row],[SKU]],tblProductos[SKU],0)),"?"))</f>
        <v/>
      </c>
      <c r="I653" s="39"/>
      <c r="J653" s="47" t="str">
        <f>IF(tblMovimientos[[#This Row],[Tipo]]="","",IFERROR(INDEX(tblTiposMov[FactorStock],MATCH(tblMovimientos[[#This Row],[Tipo]],tblTiposMov[Tipo],0)),0))</f>
        <v/>
      </c>
      <c r="K6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3" s="37"/>
      <c r="O653" s="37"/>
      <c r="P653" s="37"/>
    </row>
    <row r="654" spans="2:16" x14ac:dyDescent="0.25">
      <c r="B6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4" s="46"/>
      <c r="D654" s="37"/>
      <c r="E654" s="37"/>
      <c r="F654" s="37"/>
      <c r="G654" s="40" t="str">
        <f>IF(tblMovimientos[[#This Row],[Producto]]="","",TRIM(LEFT(tblMovimientos[[#This Row],[Producto]],FIND(" · ",tblMovimientos[[#This Row],[Producto]]&amp;" · ")-1)))</f>
        <v/>
      </c>
      <c r="H654" s="40" t="str">
        <f>IF(tblMovimientos[[#This Row],[SKU]]="","",IFERROR(INDEX(tblProductos[Unidad],MATCH(tblMovimientos[[#This Row],[SKU]],tblProductos[SKU],0)),"?"))</f>
        <v/>
      </c>
      <c r="I654" s="39"/>
      <c r="J654" s="47" t="str">
        <f>IF(tblMovimientos[[#This Row],[Tipo]]="","",IFERROR(INDEX(tblTiposMov[FactorStock],MATCH(tblMovimientos[[#This Row],[Tipo]],tblTiposMov[Tipo],0)),0))</f>
        <v/>
      </c>
      <c r="K6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4" s="37"/>
      <c r="O654" s="37"/>
      <c r="P654" s="37"/>
    </row>
    <row r="655" spans="2:16" x14ac:dyDescent="0.25">
      <c r="B6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5" s="46"/>
      <c r="D655" s="37"/>
      <c r="E655" s="37"/>
      <c r="F655" s="37"/>
      <c r="G655" s="40" t="str">
        <f>IF(tblMovimientos[[#This Row],[Producto]]="","",TRIM(LEFT(tblMovimientos[[#This Row],[Producto]],FIND(" · ",tblMovimientos[[#This Row],[Producto]]&amp;" · ")-1)))</f>
        <v/>
      </c>
      <c r="H655" s="40" t="str">
        <f>IF(tblMovimientos[[#This Row],[SKU]]="","",IFERROR(INDEX(tblProductos[Unidad],MATCH(tblMovimientos[[#This Row],[SKU]],tblProductos[SKU],0)),"?"))</f>
        <v/>
      </c>
      <c r="I655" s="39"/>
      <c r="J655" s="47" t="str">
        <f>IF(tblMovimientos[[#This Row],[Tipo]]="","",IFERROR(INDEX(tblTiposMov[FactorStock],MATCH(tblMovimientos[[#This Row],[Tipo]],tblTiposMov[Tipo],0)),0))</f>
        <v/>
      </c>
      <c r="K6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5" s="37"/>
      <c r="O655" s="37"/>
      <c r="P655" s="37"/>
    </row>
    <row r="656" spans="2:16" x14ac:dyDescent="0.25">
      <c r="B6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6" s="46"/>
      <c r="D656" s="37"/>
      <c r="E656" s="37"/>
      <c r="F656" s="37"/>
      <c r="G656" s="40" t="str">
        <f>IF(tblMovimientos[[#This Row],[Producto]]="","",TRIM(LEFT(tblMovimientos[[#This Row],[Producto]],FIND(" · ",tblMovimientos[[#This Row],[Producto]]&amp;" · ")-1)))</f>
        <v/>
      </c>
      <c r="H656" s="40" t="str">
        <f>IF(tblMovimientos[[#This Row],[SKU]]="","",IFERROR(INDEX(tblProductos[Unidad],MATCH(tblMovimientos[[#This Row],[SKU]],tblProductos[SKU],0)),"?"))</f>
        <v/>
      </c>
      <c r="I656" s="39"/>
      <c r="J656" s="47" t="str">
        <f>IF(tblMovimientos[[#This Row],[Tipo]]="","",IFERROR(INDEX(tblTiposMov[FactorStock],MATCH(tblMovimientos[[#This Row],[Tipo]],tblTiposMov[Tipo],0)),0))</f>
        <v/>
      </c>
      <c r="K6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6" s="37"/>
      <c r="O656" s="37"/>
      <c r="P656" s="37"/>
    </row>
    <row r="657" spans="2:16" x14ac:dyDescent="0.25">
      <c r="B6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7" s="46"/>
      <c r="D657" s="37"/>
      <c r="E657" s="37"/>
      <c r="F657" s="37"/>
      <c r="G657" s="40" t="str">
        <f>IF(tblMovimientos[[#This Row],[Producto]]="","",TRIM(LEFT(tblMovimientos[[#This Row],[Producto]],FIND(" · ",tblMovimientos[[#This Row],[Producto]]&amp;" · ")-1)))</f>
        <v/>
      </c>
      <c r="H657" s="40" t="str">
        <f>IF(tblMovimientos[[#This Row],[SKU]]="","",IFERROR(INDEX(tblProductos[Unidad],MATCH(tblMovimientos[[#This Row],[SKU]],tblProductos[SKU],0)),"?"))</f>
        <v/>
      </c>
      <c r="I657" s="39"/>
      <c r="J657" s="47" t="str">
        <f>IF(tblMovimientos[[#This Row],[Tipo]]="","",IFERROR(INDEX(tblTiposMov[FactorStock],MATCH(tblMovimientos[[#This Row],[Tipo]],tblTiposMov[Tipo],0)),0))</f>
        <v/>
      </c>
      <c r="K6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7" s="37"/>
      <c r="O657" s="37"/>
      <c r="P657" s="37"/>
    </row>
    <row r="658" spans="2:16" x14ac:dyDescent="0.25">
      <c r="B6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8" s="46"/>
      <c r="D658" s="37"/>
      <c r="E658" s="37"/>
      <c r="F658" s="37"/>
      <c r="G658" s="40" t="str">
        <f>IF(tblMovimientos[[#This Row],[Producto]]="","",TRIM(LEFT(tblMovimientos[[#This Row],[Producto]],FIND(" · ",tblMovimientos[[#This Row],[Producto]]&amp;" · ")-1)))</f>
        <v/>
      </c>
      <c r="H658" s="40" t="str">
        <f>IF(tblMovimientos[[#This Row],[SKU]]="","",IFERROR(INDEX(tblProductos[Unidad],MATCH(tblMovimientos[[#This Row],[SKU]],tblProductos[SKU],0)),"?"))</f>
        <v/>
      </c>
      <c r="I658" s="39"/>
      <c r="J658" s="47" t="str">
        <f>IF(tblMovimientos[[#This Row],[Tipo]]="","",IFERROR(INDEX(tblTiposMov[FactorStock],MATCH(tblMovimientos[[#This Row],[Tipo]],tblTiposMov[Tipo],0)),0))</f>
        <v/>
      </c>
      <c r="K6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8" s="37"/>
      <c r="O658" s="37"/>
      <c r="P658" s="37"/>
    </row>
    <row r="659" spans="2:16" x14ac:dyDescent="0.25">
      <c r="B6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59" s="46"/>
      <c r="D659" s="37"/>
      <c r="E659" s="37"/>
      <c r="F659" s="37"/>
      <c r="G659" s="40" t="str">
        <f>IF(tblMovimientos[[#This Row],[Producto]]="","",TRIM(LEFT(tblMovimientos[[#This Row],[Producto]],FIND(" · ",tblMovimientos[[#This Row],[Producto]]&amp;" · ")-1)))</f>
        <v/>
      </c>
      <c r="H659" s="40" t="str">
        <f>IF(tblMovimientos[[#This Row],[SKU]]="","",IFERROR(INDEX(tblProductos[Unidad],MATCH(tblMovimientos[[#This Row],[SKU]],tblProductos[SKU],0)),"?"))</f>
        <v/>
      </c>
      <c r="I659" s="39"/>
      <c r="J659" s="47" t="str">
        <f>IF(tblMovimientos[[#This Row],[Tipo]]="","",IFERROR(INDEX(tblTiposMov[FactorStock],MATCH(tblMovimientos[[#This Row],[Tipo]],tblTiposMov[Tipo],0)),0))</f>
        <v/>
      </c>
      <c r="K6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59" s="37"/>
      <c r="O659" s="37"/>
      <c r="P659" s="37"/>
    </row>
    <row r="660" spans="2:16" x14ac:dyDescent="0.25">
      <c r="B6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0" s="46"/>
      <c r="D660" s="37"/>
      <c r="E660" s="37"/>
      <c r="F660" s="37"/>
      <c r="G660" s="40" t="str">
        <f>IF(tblMovimientos[[#This Row],[Producto]]="","",TRIM(LEFT(tblMovimientos[[#This Row],[Producto]],FIND(" · ",tblMovimientos[[#This Row],[Producto]]&amp;" · ")-1)))</f>
        <v/>
      </c>
      <c r="H660" s="40" t="str">
        <f>IF(tblMovimientos[[#This Row],[SKU]]="","",IFERROR(INDEX(tblProductos[Unidad],MATCH(tblMovimientos[[#This Row],[SKU]],tblProductos[SKU],0)),"?"))</f>
        <v/>
      </c>
      <c r="I660" s="39"/>
      <c r="J660" s="47" t="str">
        <f>IF(tblMovimientos[[#This Row],[Tipo]]="","",IFERROR(INDEX(tblTiposMov[FactorStock],MATCH(tblMovimientos[[#This Row],[Tipo]],tblTiposMov[Tipo],0)),0))</f>
        <v/>
      </c>
      <c r="K6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0" s="37"/>
      <c r="O660" s="37"/>
      <c r="P660" s="37"/>
    </row>
    <row r="661" spans="2:16" x14ac:dyDescent="0.25">
      <c r="B6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1" s="46"/>
      <c r="D661" s="37"/>
      <c r="E661" s="37"/>
      <c r="F661" s="37"/>
      <c r="G661" s="40" t="str">
        <f>IF(tblMovimientos[[#This Row],[Producto]]="","",TRIM(LEFT(tblMovimientos[[#This Row],[Producto]],FIND(" · ",tblMovimientos[[#This Row],[Producto]]&amp;" · ")-1)))</f>
        <v/>
      </c>
      <c r="H661" s="40" t="str">
        <f>IF(tblMovimientos[[#This Row],[SKU]]="","",IFERROR(INDEX(tblProductos[Unidad],MATCH(tblMovimientos[[#This Row],[SKU]],tblProductos[SKU],0)),"?"))</f>
        <v/>
      </c>
      <c r="I661" s="39"/>
      <c r="J661" s="47" t="str">
        <f>IF(tblMovimientos[[#This Row],[Tipo]]="","",IFERROR(INDEX(tblTiposMov[FactorStock],MATCH(tblMovimientos[[#This Row],[Tipo]],tblTiposMov[Tipo],0)),0))</f>
        <v/>
      </c>
      <c r="K6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1" s="37"/>
      <c r="O661" s="37"/>
      <c r="P661" s="37"/>
    </row>
    <row r="662" spans="2:16" x14ac:dyDescent="0.25">
      <c r="B6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2" s="46"/>
      <c r="D662" s="37"/>
      <c r="E662" s="37"/>
      <c r="F662" s="37"/>
      <c r="G662" s="40" t="str">
        <f>IF(tblMovimientos[[#This Row],[Producto]]="","",TRIM(LEFT(tblMovimientos[[#This Row],[Producto]],FIND(" · ",tblMovimientos[[#This Row],[Producto]]&amp;" · ")-1)))</f>
        <v/>
      </c>
      <c r="H662" s="40" t="str">
        <f>IF(tblMovimientos[[#This Row],[SKU]]="","",IFERROR(INDEX(tblProductos[Unidad],MATCH(tblMovimientos[[#This Row],[SKU]],tblProductos[SKU],0)),"?"))</f>
        <v/>
      </c>
      <c r="I662" s="39"/>
      <c r="J662" s="47" t="str">
        <f>IF(tblMovimientos[[#This Row],[Tipo]]="","",IFERROR(INDEX(tblTiposMov[FactorStock],MATCH(tblMovimientos[[#This Row],[Tipo]],tblTiposMov[Tipo],0)),0))</f>
        <v/>
      </c>
      <c r="K6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2" s="37"/>
      <c r="O662" s="37"/>
      <c r="P662" s="37"/>
    </row>
    <row r="663" spans="2:16" x14ac:dyDescent="0.25">
      <c r="B6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3" s="46"/>
      <c r="D663" s="37"/>
      <c r="E663" s="37"/>
      <c r="F663" s="37"/>
      <c r="G663" s="40" t="str">
        <f>IF(tblMovimientos[[#This Row],[Producto]]="","",TRIM(LEFT(tblMovimientos[[#This Row],[Producto]],FIND(" · ",tblMovimientos[[#This Row],[Producto]]&amp;" · ")-1)))</f>
        <v/>
      </c>
      <c r="H663" s="40" t="str">
        <f>IF(tblMovimientos[[#This Row],[SKU]]="","",IFERROR(INDEX(tblProductos[Unidad],MATCH(tblMovimientos[[#This Row],[SKU]],tblProductos[SKU],0)),"?"))</f>
        <v/>
      </c>
      <c r="I663" s="39"/>
      <c r="J663" s="47" t="str">
        <f>IF(tblMovimientos[[#This Row],[Tipo]]="","",IFERROR(INDEX(tblTiposMov[FactorStock],MATCH(tblMovimientos[[#This Row],[Tipo]],tblTiposMov[Tipo],0)),0))</f>
        <v/>
      </c>
      <c r="K6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3" s="37"/>
      <c r="O663" s="37"/>
      <c r="P663" s="37"/>
    </row>
    <row r="664" spans="2:16" x14ac:dyDescent="0.25">
      <c r="B6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4" s="46"/>
      <c r="D664" s="37"/>
      <c r="E664" s="37"/>
      <c r="F664" s="37"/>
      <c r="G664" s="40" t="str">
        <f>IF(tblMovimientos[[#This Row],[Producto]]="","",TRIM(LEFT(tblMovimientos[[#This Row],[Producto]],FIND(" · ",tblMovimientos[[#This Row],[Producto]]&amp;" · ")-1)))</f>
        <v/>
      </c>
      <c r="H664" s="40" t="str">
        <f>IF(tblMovimientos[[#This Row],[SKU]]="","",IFERROR(INDEX(tblProductos[Unidad],MATCH(tblMovimientos[[#This Row],[SKU]],tblProductos[SKU],0)),"?"))</f>
        <v/>
      </c>
      <c r="I664" s="39"/>
      <c r="J664" s="47" t="str">
        <f>IF(tblMovimientos[[#This Row],[Tipo]]="","",IFERROR(INDEX(tblTiposMov[FactorStock],MATCH(tblMovimientos[[#This Row],[Tipo]],tblTiposMov[Tipo],0)),0))</f>
        <v/>
      </c>
      <c r="K6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4" s="37"/>
      <c r="O664" s="37"/>
      <c r="P664" s="37"/>
    </row>
    <row r="665" spans="2:16" x14ac:dyDescent="0.25">
      <c r="B6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5" s="46"/>
      <c r="D665" s="37"/>
      <c r="E665" s="37"/>
      <c r="F665" s="37"/>
      <c r="G665" s="40" t="str">
        <f>IF(tblMovimientos[[#This Row],[Producto]]="","",TRIM(LEFT(tblMovimientos[[#This Row],[Producto]],FIND(" · ",tblMovimientos[[#This Row],[Producto]]&amp;" · ")-1)))</f>
        <v/>
      </c>
      <c r="H665" s="40" t="str">
        <f>IF(tblMovimientos[[#This Row],[SKU]]="","",IFERROR(INDEX(tblProductos[Unidad],MATCH(tblMovimientos[[#This Row],[SKU]],tblProductos[SKU],0)),"?"))</f>
        <v/>
      </c>
      <c r="I665" s="39"/>
      <c r="J665" s="47" t="str">
        <f>IF(tblMovimientos[[#This Row],[Tipo]]="","",IFERROR(INDEX(tblTiposMov[FactorStock],MATCH(tblMovimientos[[#This Row],[Tipo]],tblTiposMov[Tipo],0)),0))</f>
        <v/>
      </c>
      <c r="K6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5" s="37"/>
      <c r="O665" s="37"/>
      <c r="P665" s="37"/>
    </row>
    <row r="666" spans="2:16" x14ac:dyDescent="0.25">
      <c r="B6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6" s="46"/>
      <c r="D666" s="37"/>
      <c r="E666" s="37"/>
      <c r="F666" s="37"/>
      <c r="G666" s="40" t="str">
        <f>IF(tblMovimientos[[#This Row],[Producto]]="","",TRIM(LEFT(tblMovimientos[[#This Row],[Producto]],FIND(" · ",tblMovimientos[[#This Row],[Producto]]&amp;" · ")-1)))</f>
        <v/>
      </c>
      <c r="H666" s="40" t="str">
        <f>IF(tblMovimientos[[#This Row],[SKU]]="","",IFERROR(INDEX(tblProductos[Unidad],MATCH(tblMovimientos[[#This Row],[SKU]],tblProductos[SKU],0)),"?"))</f>
        <v/>
      </c>
      <c r="I666" s="39"/>
      <c r="J666" s="47" t="str">
        <f>IF(tblMovimientos[[#This Row],[Tipo]]="","",IFERROR(INDEX(tblTiposMov[FactorStock],MATCH(tblMovimientos[[#This Row],[Tipo]],tblTiposMov[Tipo],0)),0))</f>
        <v/>
      </c>
      <c r="K6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6" s="37"/>
      <c r="O666" s="37"/>
      <c r="P666" s="37"/>
    </row>
    <row r="667" spans="2:16" x14ac:dyDescent="0.25">
      <c r="B6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7" s="46"/>
      <c r="D667" s="37"/>
      <c r="E667" s="37"/>
      <c r="F667" s="37"/>
      <c r="G667" s="40" t="str">
        <f>IF(tblMovimientos[[#This Row],[Producto]]="","",TRIM(LEFT(tblMovimientos[[#This Row],[Producto]],FIND(" · ",tblMovimientos[[#This Row],[Producto]]&amp;" · ")-1)))</f>
        <v/>
      </c>
      <c r="H667" s="40" t="str">
        <f>IF(tblMovimientos[[#This Row],[SKU]]="","",IFERROR(INDEX(tblProductos[Unidad],MATCH(tblMovimientos[[#This Row],[SKU]],tblProductos[SKU],0)),"?"))</f>
        <v/>
      </c>
      <c r="I667" s="39"/>
      <c r="J667" s="47" t="str">
        <f>IF(tblMovimientos[[#This Row],[Tipo]]="","",IFERROR(INDEX(tblTiposMov[FactorStock],MATCH(tblMovimientos[[#This Row],[Tipo]],tblTiposMov[Tipo],0)),0))</f>
        <v/>
      </c>
      <c r="K6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7" s="37"/>
      <c r="O667" s="37"/>
      <c r="P667" s="37"/>
    </row>
    <row r="668" spans="2:16" x14ac:dyDescent="0.25">
      <c r="B6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8" s="46"/>
      <c r="D668" s="37"/>
      <c r="E668" s="37"/>
      <c r="F668" s="37"/>
      <c r="G668" s="40" t="str">
        <f>IF(tblMovimientos[[#This Row],[Producto]]="","",TRIM(LEFT(tblMovimientos[[#This Row],[Producto]],FIND(" · ",tblMovimientos[[#This Row],[Producto]]&amp;" · ")-1)))</f>
        <v/>
      </c>
      <c r="H668" s="40" t="str">
        <f>IF(tblMovimientos[[#This Row],[SKU]]="","",IFERROR(INDEX(tblProductos[Unidad],MATCH(tblMovimientos[[#This Row],[SKU]],tblProductos[SKU],0)),"?"))</f>
        <v/>
      </c>
      <c r="I668" s="39"/>
      <c r="J668" s="47" t="str">
        <f>IF(tblMovimientos[[#This Row],[Tipo]]="","",IFERROR(INDEX(tblTiposMov[FactorStock],MATCH(tblMovimientos[[#This Row],[Tipo]],tblTiposMov[Tipo],0)),0))</f>
        <v/>
      </c>
      <c r="K6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8" s="37"/>
      <c r="O668" s="37"/>
      <c r="P668" s="37"/>
    </row>
    <row r="669" spans="2:16" x14ac:dyDescent="0.25">
      <c r="B6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69" s="46"/>
      <c r="D669" s="37"/>
      <c r="E669" s="37"/>
      <c r="F669" s="37"/>
      <c r="G669" s="40" t="str">
        <f>IF(tblMovimientos[[#This Row],[Producto]]="","",TRIM(LEFT(tblMovimientos[[#This Row],[Producto]],FIND(" · ",tblMovimientos[[#This Row],[Producto]]&amp;" · ")-1)))</f>
        <v/>
      </c>
      <c r="H669" s="40" t="str">
        <f>IF(tblMovimientos[[#This Row],[SKU]]="","",IFERROR(INDEX(tblProductos[Unidad],MATCH(tblMovimientos[[#This Row],[SKU]],tblProductos[SKU],0)),"?"))</f>
        <v/>
      </c>
      <c r="I669" s="39"/>
      <c r="J669" s="47" t="str">
        <f>IF(tblMovimientos[[#This Row],[Tipo]]="","",IFERROR(INDEX(tblTiposMov[FactorStock],MATCH(tblMovimientos[[#This Row],[Tipo]],tblTiposMov[Tipo],0)),0))</f>
        <v/>
      </c>
      <c r="K6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69" s="37"/>
      <c r="O669" s="37"/>
      <c r="P669" s="37"/>
    </row>
    <row r="670" spans="2:16" x14ac:dyDescent="0.25">
      <c r="B6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0" s="46"/>
      <c r="D670" s="37"/>
      <c r="E670" s="37"/>
      <c r="F670" s="37"/>
      <c r="G670" s="40" t="str">
        <f>IF(tblMovimientos[[#This Row],[Producto]]="","",TRIM(LEFT(tblMovimientos[[#This Row],[Producto]],FIND(" · ",tblMovimientos[[#This Row],[Producto]]&amp;" · ")-1)))</f>
        <v/>
      </c>
      <c r="H670" s="40" t="str">
        <f>IF(tblMovimientos[[#This Row],[SKU]]="","",IFERROR(INDEX(tblProductos[Unidad],MATCH(tblMovimientos[[#This Row],[SKU]],tblProductos[SKU],0)),"?"))</f>
        <v/>
      </c>
      <c r="I670" s="39"/>
      <c r="J670" s="47" t="str">
        <f>IF(tblMovimientos[[#This Row],[Tipo]]="","",IFERROR(INDEX(tblTiposMov[FactorStock],MATCH(tblMovimientos[[#This Row],[Tipo]],tblTiposMov[Tipo],0)),0))</f>
        <v/>
      </c>
      <c r="K6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0" s="37"/>
      <c r="O670" s="37"/>
      <c r="P670" s="37"/>
    </row>
    <row r="671" spans="2:16" x14ac:dyDescent="0.25">
      <c r="B6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1" s="46"/>
      <c r="D671" s="37"/>
      <c r="E671" s="37"/>
      <c r="F671" s="37"/>
      <c r="G671" s="40" t="str">
        <f>IF(tblMovimientos[[#This Row],[Producto]]="","",TRIM(LEFT(tblMovimientos[[#This Row],[Producto]],FIND(" · ",tblMovimientos[[#This Row],[Producto]]&amp;" · ")-1)))</f>
        <v/>
      </c>
      <c r="H671" s="40" t="str">
        <f>IF(tblMovimientos[[#This Row],[SKU]]="","",IFERROR(INDEX(tblProductos[Unidad],MATCH(tblMovimientos[[#This Row],[SKU]],tblProductos[SKU],0)),"?"))</f>
        <v/>
      </c>
      <c r="I671" s="39"/>
      <c r="J671" s="47" t="str">
        <f>IF(tblMovimientos[[#This Row],[Tipo]]="","",IFERROR(INDEX(tblTiposMov[FactorStock],MATCH(tblMovimientos[[#This Row],[Tipo]],tblTiposMov[Tipo],0)),0))</f>
        <v/>
      </c>
      <c r="K6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1" s="37"/>
      <c r="O671" s="37"/>
      <c r="P671" s="37"/>
    </row>
    <row r="672" spans="2:16" x14ac:dyDescent="0.25">
      <c r="B6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2" s="46"/>
      <c r="D672" s="37"/>
      <c r="E672" s="37"/>
      <c r="F672" s="37"/>
      <c r="G672" s="40" t="str">
        <f>IF(tblMovimientos[[#This Row],[Producto]]="","",TRIM(LEFT(tblMovimientos[[#This Row],[Producto]],FIND(" · ",tblMovimientos[[#This Row],[Producto]]&amp;" · ")-1)))</f>
        <v/>
      </c>
      <c r="H672" s="40" t="str">
        <f>IF(tblMovimientos[[#This Row],[SKU]]="","",IFERROR(INDEX(tblProductos[Unidad],MATCH(tblMovimientos[[#This Row],[SKU]],tblProductos[SKU],0)),"?"))</f>
        <v/>
      </c>
      <c r="I672" s="39"/>
      <c r="J672" s="47" t="str">
        <f>IF(tblMovimientos[[#This Row],[Tipo]]="","",IFERROR(INDEX(tblTiposMov[FactorStock],MATCH(tblMovimientos[[#This Row],[Tipo]],tblTiposMov[Tipo],0)),0))</f>
        <v/>
      </c>
      <c r="K6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2" s="37"/>
      <c r="O672" s="37"/>
      <c r="P672" s="37"/>
    </row>
    <row r="673" spans="2:16" x14ac:dyDescent="0.25">
      <c r="B6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3" s="46"/>
      <c r="D673" s="37"/>
      <c r="E673" s="37"/>
      <c r="F673" s="37"/>
      <c r="G673" s="40" t="str">
        <f>IF(tblMovimientos[[#This Row],[Producto]]="","",TRIM(LEFT(tblMovimientos[[#This Row],[Producto]],FIND(" · ",tblMovimientos[[#This Row],[Producto]]&amp;" · ")-1)))</f>
        <v/>
      </c>
      <c r="H673" s="40" t="str">
        <f>IF(tblMovimientos[[#This Row],[SKU]]="","",IFERROR(INDEX(tblProductos[Unidad],MATCH(tblMovimientos[[#This Row],[SKU]],tblProductos[SKU],0)),"?"))</f>
        <v/>
      </c>
      <c r="I673" s="39"/>
      <c r="J673" s="47" t="str">
        <f>IF(tblMovimientos[[#This Row],[Tipo]]="","",IFERROR(INDEX(tblTiposMov[FactorStock],MATCH(tblMovimientos[[#This Row],[Tipo]],tblTiposMov[Tipo],0)),0))</f>
        <v/>
      </c>
      <c r="K6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3" s="37"/>
      <c r="O673" s="37"/>
      <c r="P673" s="37"/>
    </row>
    <row r="674" spans="2:16" x14ac:dyDescent="0.25">
      <c r="B6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4" s="46"/>
      <c r="D674" s="37"/>
      <c r="E674" s="37"/>
      <c r="F674" s="37"/>
      <c r="G674" s="40" t="str">
        <f>IF(tblMovimientos[[#This Row],[Producto]]="","",TRIM(LEFT(tblMovimientos[[#This Row],[Producto]],FIND(" · ",tblMovimientos[[#This Row],[Producto]]&amp;" · ")-1)))</f>
        <v/>
      </c>
      <c r="H674" s="40" t="str">
        <f>IF(tblMovimientos[[#This Row],[SKU]]="","",IFERROR(INDEX(tblProductos[Unidad],MATCH(tblMovimientos[[#This Row],[SKU]],tblProductos[SKU],0)),"?"))</f>
        <v/>
      </c>
      <c r="I674" s="39"/>
      <c r="J674" s="47" t="str">
        <f>IF(tblMovimientos[[#This Row],[Tipo]]="","",IFERROR(INDEX(tblTiposMov[FactorStock],MATCH(tblMovimientos[[#This Row],[Tipo]],tblTiposMov[Tipo],0)),0))</f>
        <v/>
      </c>
      <c r="K6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4" s="37"/>
      <c r="O674" s="37"/>
      <c r="P674" s="37"/>
    </row>
    <row r="675" spans="2:16" x14ac:dyDescent="0.25">
      <c r="B6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5" s="46"/>
      <c r="D675" s="37"/>
      <c r="E675" s="37"/>
      <c r="F675" s="37"/>
      <c r="G675" s="40" t="str">
        <f>IF(tblMovimientos[[#This Row],[Producto]]="","",TRIM(LEFT(tblMovimientos[[#This Row],[Producto]],FIND(" · ",tblMovimientos[[#This Row],[Producto]]&amp;" · ")-1)))</f>
        <v/>
      </c>
      <c r="H675" s="40" t="str">
        <f>IF(tblMovimientos[[#This Row],[SKU]]="","",IFERROR(INDEX(tblProductos[Unidad],MATCH(tblMovimientos[[#This Row],[SKU]],tblProductos[SKU],0)),"?"))</f>
        <v/>
      </c>
      <c r="I675" s="39"/>
      <c r="J675" s="47" t="str">
        <f>IF(tblMovimientos[[#This Row],[Tipo]]="","",IFERROR(INDEX(tblTiposMov[FactorStock],MATCH(tblMovimientos[[#This Row],[Tipo]],tblTiposMov[Tipo],0)),0))</f>
        <v/>
      </c>
      <c r="K6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5" s="37"/>
      <c r="O675" s="37"/>
      <c r="P675" s="37"/>
    </row>
    <row r="676" spans="2:16" x14ac:dyDescent="0.25">
      <c r="B6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6" s="46"/>
      <c r="D676" s="37"/>
      <c r="E676" s="37"/>
      <c r="F676" s="37"/>
      <c r="G676" s="40" t="str">
        <f>IF(tblMovimientos[[#This Row],[Producto]]="","",TRIM(LEFT(tblMovimientos[[#This Row],[Producto]],FIND(" · ",tblMovimientos[[#This Row],[Producto]]&amp;" · ")-1)))</f>
        <v/>
      </c>
      <c r="H676" s="40" t="str">
        <f>IF(tblMovimientos[[#This Row],[SKU]]="","",IFERROR(INDEX(tblProductos[Unidad],MATCH(tblMovimientos[[#This Row],[SKU]],tblProductos[SKU],0)),"?"))</f>
        <v/>
      </c>
      <c r="I676" s="39"/>
      <c r="J676" s="47" t="str">
        <f>IF(tblMovimientos[[#This Row],[Tipo]]="","",IFERROR(INDEX(tblTiposMov[FactorStock],MATCH(tblMovimientos[[#This Row],[Tipo]],tblTiposMov[Tipo],0)),0))</f>
        <v/>
      </c>
      <c r="K6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6" s="37"/>
      <c r="O676" s="37"/>
      <c r="P676" s="37"/>
    </row>
    <row r="677" spans="2:16" x14ac:dyDescent="0.25">
      <c r="B6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7" s="46"/>
      <c r="D677" s="37"/>
      <c r="E677" s="37"/>
      <c r="F677" s="37"/>
      <c r="G677" s="40" t="str">
        <f>IF(tblMovimientos[[#This Row],[Producto]]="","",TRIM(LEFT(tblMovimientos[[#This Row],[Producto]],FIND(" · ",tblMovimientos[[#This Row],[Producto]]&amp;" · ")-1)))</f>
        <v/>
      </c>
      <c r="H677" s="40" t="str">
        <f>IF(tblMovimientos[[#This Row],[SKU]]="","",IFERROR(INDEX(tblProductos[Unidad],MATCH(tblMovimientos[[#This Row],[SKU]],tblProductos[SKU],0)),"?"))</f>
        <v/>
      </c>
      <c r="I677" s="39"/>
      <c r="J677" s="47" t="str">
        <f>IF(tblMovimientos[[#This Row],[Tipo]]="","",IFERROR(INDEX(tblTiposMov[FactorStock],MATCH(tblMovimientos[[#This Row],[Tipo]],tblTiposMov[Tipo],0)),0))</f>
        <v/>
      </c>
      <c r="K6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7" s="37"/>
      <c r="O677" s="37"/>
      <c r="P677" s="37"/>
    </row>
    <row r="678" spans="2:16" x14ac:dyDescent="0.25">
      <c r="B6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8" s="46"/>
      <c r="D678" s="37"/>
      <c r="E678" s="37"/>
      <c r="F678" s="37"/>
      <c r="G678" s="40" t="str">
        <f>IF(tblMovimientos[[#This Row],[Producto]]="","",TRIM(LEFT(tblMovimientos[[#This Row],[Producto]],FIND(" · ",tblMovimientos[[#This Row],[Producto]]&amp;" · ")-1)))</f>
        <v/>
      </c>
      <c r="H678" s="40" t="str">
        <f>IF(tblMovimientos[[#This Row],[SKU]]="","",IFERROR(INDEX(tblProductos[Unidad],MATCH(tblMovimientos[[#This Row],[SKU]],tblProductos[SKU],0)),"?"))</f>
        <v/>
      </c>
      <c r="I678" s="39"/>
      <c r="J678" s="47" t="str">
        <f>IF(tblMovimientos[[#This Row],[Tipo]]="","",IFERROR(INDEX(tblTiposMov[FactorStock],MATCH(tblMovimientos[[#This Row],[Tipo]],tblTiposMov[Tipo],0)),0))</f>
        <v/>
      </c>
      <c r="K6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8" s="37"/>
      <c r="O678" s="37"/>
      <c r="P678" s="37"/>
    </row>
    <row r="679" spans="2:16" x14ac:dyDescent="0.25">
      <c r="B6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79" s="46"/>
      <c r="D679" s="37"/>
      <c r="E679" s="37"/>
      <c r="F679" s="37"/>
      <c r="G679" s="40" t="str">
        <f>IF(tblMovimientos[[#This Row],[Producto]]="","",TRIM(LEFT(tblMovimientos[[#This Row],[Producto]],FIND(" · ",tblMovimientos[[#This Row],[Producto]]&amp;" · ")-1)))</f>
        <v/>
      </c>
      <c r="H679" s="40" t="str">
        <f>IF(tblMovimientos[[#This Row],[SKU]]="","",IFERROR(INDEX(tblProductos[Unidad],MATCH(tblMovimientos[[#This Row],[SKU]],tblProductos[SKU],0)),"?"))</f>
        <v/>
      </c>
      <c r="I679" s="39"/>
      <c r="J679" s="47" t="str">
        <f>IF(tblMovimientos[[#This Row],[Tipo]]="","",IFERROR(INDEX(tblTiposMov[FactorStock],MATCH(tblMovimientos[[#This Row],[Tipo]],tblTiposMov[Tipo],0)),0))</f>
        <v/>
      </c>
      <c r="K6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79" s="37"/>
      <c r="O679" s="37"/>
      <c r="P679" s="37"/>
    </row>
    <row r="680" spans="2:16" x14ac:dyDescent="0.25">
      <c r="B6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0" s="46"/>
      <c r="D680" s="37"/>
      <c r="E680" s="37"/>
      <c r="F680" s="37"/>
      <c r="G680" s="40" t="str">
        <f>IF(tblMovimientos[[#This Row],[Producto]]="","",TRIM(LEFT(tblMovimientos[[#This Row],[Producto]],FIND(" · ",tblMovimientos[[#This Row],[Producto]]&amp;" · ")-1)))</f>
        <v/>
      </c>
      <c r="H680" s="40" t="str">
        <f>IF(tblMovimientos[[#This Row],[SKU]]="","",IFERROR(INDEX(tblProductos[Unidad],MATCH(tblMovimientos[[#This Row],[SKU]],tblProductos[SKU],0)),"?"))</f>
        <v/>
      </c>
      <c r="I680" s="39"/>
      <c r="J680" s="47" t="str">
        <f>IF(tblMovimientos[[#This Row],[Tipo]]="","",IFERROR(INDEX(tblTiposMov[FactorStock],MATCH(tblMovimientos[[#This Row],[Tipo]],tblTiposMov[Tipo],0)),0))</f>
        <v/>
      </c>
      <c r="K6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0" s="37"/>
      <c r="O680" s="37"/>
      <c r="P680" s="37"/>
    </row>
    <row r="681" spans="2:16" x14ac:dyDescent="0.25">
      <c r="B6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1" s="46"/>
      <c r="D681" s="37"/>
      <c r="E681" s="37"/>
      <c r="F681" s="37"/>
      <c r="G681" s="40" t="str">
        <f>IF(tblMovimientos[[#This Row],[Producto]]="","",TRIM(LEFT(tblMovimientos[[#This Row],[Producto]],FIND(" · ",tblMovimientos[[#This Row],[Producto]]&amp;" · ")-1)))</f>
        <v/>
      </c>
      <c r="H681" s="40" t="str">
        <f>IF(tblMovimientos[[#This Row],[SKU]]="","",IFERROR(INDEX(tblProductos[Unidad],MATCH(tblMovimientos[[#This Row],[SKU]],tblProductos[SKU],0)),"?"))</f>
        <v/>
      </c>
      <c r="I681" s="39"/>
      <c r="J681" s="47" t="str">
        <f>IF(tblMovimientos[[#This Row],[Tipo]]="","",IFERROR(INDEX(tblTiposMov[FactorStock],MATCH(tblMovimientos[[#This Row],[Tipo]],tblTiposMov[Tipo],0)),0))</f>
        <v/>
      </c>
      <c r="K6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1" s="37"/>
      <c r="O681" s="37"/>
      <c r="P681" s="37"/>
    </row>
    <row r="682" spans="2:16" x14ac:dyDescent="0.25">
      <c r="B6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2" s="46"/>
      <c r="D682" s="37"/>
      <c r="E682" s="37"/>
      <c r="F682" s="37"/>
      <c r="G682" s="40" t="str">
        <f>IF(tblMovimientos[[#This Row],[Producto]]="","",TRIM(LEFT(tblMovimientos[[#This Row],[Producto]],FIND(" · ",tblMovimientos[[#This Row],[Producto]]&amp;" · ")-1)))</f>
        <v/>
      </c>
      <c r="H682" s="40" t="str">
        <f>IF(tblMovimientos[[#This Row],[SKU]]="","",IFERROR(INDEX(tblProductos[Unidad],MATCH(tblMovimientos[[#This Row],[SKU]],tblProductos[SKU],0)),"?"))</f>
        <v/>
      </c>
      <c r="I682" s="39"/>
      <c r="J682" s="47" t="str">
        <f>IF(tblMovimientos[[#This Row],[Tipo]]="","",IFERROR(INDEX(tblTiposMov[FactorStock],MATCH(tblMovimientos[[#This Row],[Tipo]],tblTiposMov[Tipo],0)),0))</f>
        <v/>
      </c>
      <c r="K6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2" s="37"/>
      <c r="O682" s="37"/>
      <c r="P682" s="37"/>
    </row>
    <row r="683" spans="2:16" x14ac:dyDescent="0.25">
      <c r="B6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3" s="46"/>
      <c r="D683" s="37"/>
      <c r="E683" s="37"/>
      <c r="F683" s="37"/>
      <c r="G683" s="40" t="str">
        <f>IF(tblMovimientos[[#This Row],[Producto]]="","",TRIM(LEFT(tblMovimientos[[#This Row],[Producto]],FIND(" · ",tblMovimientos[[#This Row],[Producto]]&amp;" · ")-1)))</f>
        <v/>
      </c>
      <c r="H683" s="40" t="str">
        <f>IF(tblMovimientos[[#This Row],[SKU]]="","",IFERROR(INDEX(tblProductos[Unidad],MATCH(tblMovimientos[[#This Row],[SKU]],tblProductos[SKU],0)),"?"))</f>
        <v/>
      </c>
      <c r="I683" s="39"/>
      <c r="J683" s="47" t="str">
        <f>IF(tblMovimientos[[#This Row],[Tipo]]="","",IFERROR(INDEX(tblTiposMov[FactorStock],MATCH(tblMovimientos[[#This Row],[Tipo]],tblTiposMov[Tipo],0)),0))</f>
        <v/>
      </c>
      <c r="K6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3" s="37"/>
      <c r="O683" s="37"/>
      <c r="P683" s="37"/>
    </row>
    <row r="684" spans="2:16" x14ac:dyDescent="0.25">
      <c r="B6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4" s="46"/>
      <c r="D684" s="37"/>
      <c r="E684" s="37"/>
      <c r="F684" s="37"/>
      <c r="G684" s="40" t="str">
        <f>IF(tblMovimientos[[#This Row],[Producto]]="","",TRIM(LEFT(tblMovimientos[[#This Row],[Producto]],FIND(" · ",tblMovimientos[[#This Row],[Producto]]&amp;" · ")-1)))</f>
        <v/>
      </c>
      <c r="H684" s="40" t="str">
        <f>IF(tblMovimientos[[#This Row],[SKU]]="","",IFERROR(INDEX(tblProductos[Unidad],MATCH(tblMovimientos[[#This Row],[SKU]],tblProductos[SKU],0)),"?"))</f>
        <v/>
      </c>
      <c r="I684" s="39"/>
      <c r="J684" s="47" t="str">
        <f>IF(tblMovimientos[[#This Row],[Tipo]]="","",IFERROR(INDEX(tblTiposMov[FactorStock],MATCH(tblMovimientos[[#This Row],[Tipo]],tblTiposMov[Tipo],0)),0))</f>
        <v/>
      </c>
      <c r="K6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4" s="37"/>
      <c r="O684" s="37"/>
      <c r="P684" s="37"/>
    </row>
    <row r="685" spans="2:16" x14ac:dyDescent="0.25">
      <c r="B6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5" s="46"/>
      <c r="D685" s="37"/>
      <c r="E685" s="37"/>
      <c r="F685" s="37"/>
      <c r="G685" s="40" t="str">
        <f>IF(tblMovimientos[[#This Row],[Producto]]="","",TRIM(LEFT(tblMovimientos[[#This Row],[Producto]],FIND(" · ",tblMovimientos[[#This Row],[Producto]]&amp;" · ")-1)))</f>
        <v/>
      </c>
      <c r="H685" s="40" t="str">
        <f>IF(tblMovimientos[[#This Row],[SKU]]="","",IFERROR(INDEX(tblProductos[Unidad],MATCH(tblMovimientos[[#This Row],[SKU]],tblProductos[SKU],0)),"?"))</f>
        <v/>
      </c>
      <c r="I685" s="39"/>
      <c r="J685" s="47" t="str">
        <f>IF(tblMovimientos[[#This Row],[Tipo]]="","",IFERROR(INDEX(tblTiposMov[FactorStock],MATCH(tblMovimientos[[#This Row],[Tipo]],tblTiposMov[Tipo],0)),0))</f>
        <v/>
      </c>
      <c r="K6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5" s="37"/>
      <c r="O685" s="37"/>
      <c r="P685" s="37"/>
    </row>
    <row r="686" spans="2:16" x14ac:dyDescent="0.25">
      <c r="B6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6" s="46"/>
      <c r="D686" s="37"/>
      <c r="E686" s="37"/>
      <c r="F686" s="37"/>
      <c r="G686" s="40" t="str">
        <f>IF(tblMovimientos[[#This Row],[Producto]]="","",TRIM(LEFT(tblMovimientos[[#This Row],[Producto]],FIND(" · ",tblMovimientos[[#This Row],[Producto]]&amp;" · ")-1)))</f>
        <v/>
      </c>
      <c r="H686" s="40" t="str">
        <f>IF(tblMovimientos[[#This Row],[SKU]]="","",IFERROR(INDEX(tblProductos[Unidad],MATCH(tblMovimientos[[#This Row],[SKU]],tblProductos[SKU],0)),"?"))</f>
        <v/>
      </c>
      <c r="I686" s="39"/>
      <c r="J686" s="47" t="str">
        <f>IF(tblMovimientos[[#This Row],[Tipo]]="","",IFERROR(INDEX(tblTiposMov[FactorStock],MATCH(tblMovimientos[[#This Row],[Tipo]],tblTiposMov[Tipo],0)),0))</f>
        <v/>
      </c>
      <c r="K6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6" s="37"/>
      <c r="O686" s="37"/>
      <c r="P686" s="37"/>
    </row>
    <row r="687" spans="2:16" x14ac:dyDescent="0.25">
      <c r="B6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7" s="46"/>
      <c r="D687" s="37"/>
      <c r="E687" s="37"/>
      <c r="F687" s="37"/>
      <c r="G687" s="40" t="str">
        <f>IF(tblMovimientos[[#This Row],[Producto]]="","",TRIM(LEFT(tblMovimientos[[#This Row],[Producto]],FIND(" · ",tblMovimientos[[#This Row],[Producto]]&amp;" · ")-1)))</f>
        <v/>
      </c>
      <c r="H687" s="40" t="str">
        <f>IF(tblMovimientos[[#This Row],[SKU]]="","",IFERROR(INDEX(tblProductos[Unidad],MATCH(tblMovimientos[[#This Row],[SKU]],tblProductos[SKU],0)),"?"))</f>
        <v/>
      </c>
      <c r="I687" s="39"/>
      <c r="J687" s="47" t="str">
        <f>IF(tblMovimientos[[#This Row],[Tipo]]="","",IFERROR(INDEX(tblTiposMov[FactorStock],MATCH(tblMovimientos[[#This Row],[Tipo]],tblTiposMov[Tipo],0)),0))</f>
        <v/>
      </c>
      <c r="K6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7" s="37"/>
      <c r="O687" s="37"/>
      <c r="P687" s="37"/>
    </row>
    <row r="688" spans="2:16" x14ac:dyDescent="0.25">
      <c r="B6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8" s="46"/>
      <c r="D688" s="37"/>
      <c r="E688" s="37"/>
      <c r="F688" s="37"/>
      <c r="G688" s="40" t="str">
        <f>IF(tblMovimientos[[#This Row],[Producto]]="","",TRIM(LEFT(tblMovimientos[[#This Row],[Producto]],FIND(" · ",tblMovimientos[[#This Row],[Producto]]&amp;" · ")-1)))</f>
        <v/>
      </c>
      <c r="H688" s="40" t="str">
        <f>IF(tblMovimientos[[#This Row],[SKU]]="","",IFERROR(INDEX(tblProductos[Unidad],MATCH(tblMovimientos[[#This Row],[SKU]],tblProductos[SKU],0)),"?"))</f>
        <v/>
      </c>
      <c r="I688" s="39"/>
      <c r="J688" s="47" t="str">
        <f>IF(tblMovimientos[[#This Row],[Tipo]]="","",IFERROR(INDEX(tblTiposMov[FactorStock],MATCH(tblMovimientos[[#This Row],[Tipo]],tblTiposMov[Tipo],0)),0))</f>
        <v/>
      </c>
      <c r="K6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8" s="37"/>
      <c r="O688" s="37"/>
      <c r="P688" s="37"/>
    </row>
    <row r="689" spans="2:16" x14ac:dyDescent="0.25">
      <c r="B6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89" s="46"/>
      <c r="D689" s="37"/>
      <c r="E689" s="37"/>
      <c r="F689" s="37"/>
      <c r="G689" s="40" t="str">
        <f>IF(tblMovimientos[[#This Row],[Producto]]="","",TRIM(LEFT(tblMovimientos[[#This Row],[Producto]],FIND(" · ",tblMovimientos[[#This Row],[Producto]]&amp;" · ")-1)))</f>
        <v/>
      </c>
      <c r="H689" s="40" t="str">
        <f>IF(tblMovimientos[[#This Row],[SKU]]="","",IFERROR(INDEX(tblProductos[Unidad],MATCH(tblMovimientos[[#This Row],[SKU]],tblProductos[SKU],0)),"?"))</f>
        <v/>
      </c>
      <c r="I689" s="39"/>
      <c r="J689" s="47" t="str">
        <f>IF(tblMovimientos[[#This Row],[Tipo]]="","",IFERROR(INDEX(tblTiposMov[FactorStock],MATCH(tblMovimientos[[#This Row],[Tipo]],tblTiposMov[Tipo],0)),0))</f>
        <v/>
      </c>
      <c r="K6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89" s="37"/>
      <c r="O689" s="37"/>
      <c r="P689" s="37"/>
    </row>
    <row r="690" spans="2:16" x14ac:dyDescent="0.25">
      <c r="B6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0" s="46"/>
      <c r="D690" s="37"/>
      <c r="E690" s="37"/>
      <c r="F690" s="37"/>
      <c r="G690" s="40" t="str">
        <f>IF(tblMovimientos[[#This Row],[Producto]]="","",TRIM(LEFT(tblMovimientos[[#This Row],[Producto]],FIND(" · ",tblMovimientos[[#This Row],[Producto]]&amp;" · ")-1)))</f>
        <v/>
      </c>
      <c r="H690" s="40" t="str">
        <f>IF(tblMovimientos[[#This Row],[SKU]]="","",IFERROR(INDEX(tblProductos[Unidad],MATCH(tblMovimientos[[#This Row],[SKU]],tblProductos[SKU],0)),"?"))</f>
        <v/>
      </c>
      <c r="I690" s="39"/>
      <c r="J690" s="47" t="str">
        <f>IF(tblMovimientos[[#This Row],[Tipo]]="","",IFERROR(INDEX(tblTiposMov[FactorStock],MATCH(tblMovimientos[[#This Row],[Tipo]],tblTiposMov[Tipo],0)),0))</f>
        <v/>
      </c>
      <c r="K6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0" s="37"/>
      <c r="O690" s="37"/>
      <c r="P690" s="37"/>
    </row>
    <row r="691" spans="2:16" x14ac:dyDescent="0.25">
      <c r="B6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1" s="46"/>
      <c r="D691" s="37"/>
      <c r="E691" s="37"/>
      <c r="F691" s="37"/>
      <c r="G691" s="40" t="str">
        <f>IF(tblMovimientos[[#This Row],[Producto]]="","",TRIM(LEFT(tblMovimientos[[#This Row],[Producto]],FIND(" · ",tblMovimientos[[#This Row],[Producto]]&amp;" · ")-1)))</f>
        <v/>
      </c>
      <c r="H691" s="40" t="str">
        <f>IF(tblMovimientos[[#This Row],[SKU]]="","",IFERROR(INDEX(tblProductos[Unidad],MATCH(tblMovimientos[[#This Row],[SKU]],tblProductos[SKU],0)),"?"))</f>
        <v/>
      </c>
      <c r="I691" s="39"/>
      <c r="J691" s="47" t="str">
        <f>IF(tblMovimientos[[#This Row],[Tipo]]="","",IFERROR(INDEX(tblTiposMov[FactorStock],MATCH(tblMovimientos[[#This Row],[Tipo]],tblTiposMov[Tipo],0)),0))</f>
        <v/>
      </c>
      <c r="K6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1" s="37"/>
      <c r="O691" s="37"/>
      <c r="P691" s="37"/>
    </row>
    <row r="692" spans="2:16" x14ac:dyDescent="0.25">
      <c r="B6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2" s="46"/>
      <c r="D692" s="37"/>
      <c r="E692" s="37"/>
      <c r="F692" s="37"/>
      <c r="G692" s="40" t="str">
        <f>IF(tblMovimientos[[#This Row],[Producto]]="","",TRIM(LEFT(tblMovimientos[[#This Row],[Producto]],FIND(" · ",tblMovimientos[[#This Row],[Producto]]&amp;" · ")-1)))</f>
        <v/>
      </c>
      <c r="H692" s="40" t="str">
        <f>IF(tblMovimientos[[#This Row],[SKU]]="","",IFERROR(INDEX(tblProductos[Unidad],MATCH(tblMovimientos[[#This Row],[SKU]],tblProductos[SKU],0)),"?"))</f>
        <v/>
      </c>
      <c r="I692" s="39"/>
      <c r="J692" s="47" t="str">
        <f>IF(tblMovimientos[[#This Row],[Tipo]]="","",IFERROR(INDEX(tblTiposMov[FactorStock],MATCH(tblMovimientos[[#This Row],[Tipo]],tblTiposMov[Tipo],0)),0))</f>
        <v/>
      </c>
      <c r="K6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2" s="37"/>
      <c r="O692" s="37"/>
      <c r="P692" s="37"/>
    </row>
    <row r="693" spans="2:16" x14ac:dyDescent="0.25">
      <c r="B6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3" s="46"/>
      <c r="D693" s="37"/>
      <c r="E693" s="37"/>
      <c r="F693" s="37"/>
      <c r="G693" s="40" t="str">
        <f>IF(tblMovimientos[[#This Row],[Producto]]="","",TRIM(LEFT(tblMovimientos[[#This Row],[Producto]],FIND(" · ",tblMovimientos[[#This Row],[Producto]]&amp;" · ")-1)))</f>
        <v/>
      </c>
      <c r="H693" s="40" t="str">
        <f>IF(tblMovimientos[[#This Row],[SKU]]="","",IFERROR(INDEX(tblProductos[Unidad],MATCH(tblMovimientos[[#This Row],[SKU]],tblProductos[SKU],0)),"?"))</f>
        <v/>
      </c>
      <c r="I693" s="39"/>
      <c r="J693" s="47" t="str">
        <f>IF(tblMovimientos[[#This Row],[Tipo]]="","",IFERROR(INDEX(tblTiposMov[FactorStock],MATCH(tblMovimientos[[#This Row],[Tipo]],tblTiposMov[Tipo],0)),0))</f>
        <v/>
      </c>
      <c r="K6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3" s="37"/>
      <c r="O693" s="37"/>
      <c r="P693" s="37"/>
    </row>
    <row r="694" spans="2:16" x14ac:dyDescent="0.25">
      <c r="B6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4" s="46"/>
      <c r="D694" s="37"/>
      <c r="E694" s="37"/>
      <c r="F694" s="37"/>
      <c r="G694" s="40" t="str">
        <f>IF(tblMovimientos[[#This Row],[Producto]]="","",TRIM(LEFT(tblMovimientos[[#This Row],[Producto]],FIND(" · ",tblMovimientos[[#This Row],[Producto]]&amp;" · ")-1)))</f>
        <v/>
      </c>
      <c r="H694" s="40" t="str">
        <f>IF(tblMovimientos[[#This Row],[SKU]]="","",IFERROR(INDEX(tblProductos[Unidad],MATCH(tblMovimientos[[#This Row],[SKU]],tblProductos[SKU],0)),"?"))</f>
        <v/>
      </c>
      <c r="I694" s="39"/>
      <c r="J694" s="47" t="str">
        <f>IF(tblMovimientos[[#This Row],[Tipo]]="","",IFERROR(INDEX(tblTiposMov[FactorStock],MATCH(tblMovimientos[[#This Row],[Tipo]],tblTiposMov[Tipo],0)),0))</f>
        <v/>
      </c>
      <c r="K6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4" s="37"/>
      <c r="O694" s="37"/>
      <c r="P694" s="37"/>
    </row>
    <row r="695" spans="2:16" x14ac:dyDescent="0.25">
      <c r="B6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5" s="46"/>
      <c r="D695" s="37"/>
      <c r="E695" s="37"/>
      <c r="F695" s="37"/>
      <c r="G695" s="40" t="str">
        <f>IF(tblMovimientos[[#This Row],[Producto]]="","",TRIM(LEFT(tblMovimientos[[#This Row],[Producto]],FIND(" · ",tblMovimientos[[#This Row],[Producto]]&amp;" · ")-1)))</f>
        <v/>
      </c>
      <c r="H695" s="40" t="str">
        <f>IF(tblMovimientos[[#This Row],[SKU]]="","",IFERROR(INDEX(tblProductos[Unidad],MATCH(tblMovimientos[[#This Row],[SKU]],tblProductos[SKU],0)),"?"))</f>
        <v/>
      </c>
      <c r="I695" s="39"/>
      <c r="J695" s="47" t="str">
        <f>IF(tblMovimientos[[#This Row],[Tipo]]="","",IFERROR(INDEX(tblTiposMov[FactorStock],MATCH(tblMovimientos[[#This Row],[Tipo]],tblTiposMov[Tipo],0)),0))</f>
        <v/>
      </c>
      <c r="K6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5" s="37"/>
      <c r="O695" s="37"/>
      <c r="P695" s="37"/>
    </row>
    <row r="696" spans="2:16" x14ac:dyDescent="0.25">
      <c r="B6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6" s="46"/>
      <c r="D696" s="37"/>
      <c r="E696" s="37"/>
      <c r="F696" s="37"/>
      <c r="G696" s="40" t="str">
        <f>IF(tblMovimientos[[#This Row],[Producto]]="","",TRIM(LEFT(tblMovimientos[[#This Row],[Producto]],FIND(" · ",tblMovimientos[[#This Row],[Producto]]&amp;" · ")-1)))</f>
        <v/>
      </c>
      <c r="H696" s="40" t="str">
        <f>IF(tblMovimientos[[#This Row],[SKU]]="","",IFERROR(INDEX(tblProductos[Unidad],MATCH(tblMovimientos[[#This Row],[SKU]],tblProductos[SKU],0)),"?"))</f>
        <v/>
      </c>
      <c r="I696" s="39"/>
      <c r="J696" s="47" t="str">
        <f>IF(tblMovimientos[[#This Row],[Tipo]]="","",IFERROR(INDEX(tblTiposMov[FactorStock],MATCH(tblMovimientos[[#This Row],[Tipo]],tblTiposMov[Tipo],0)),0))</f>
        <v/>
      </c>
      <c r="K6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6" s="37"/>
      <c r="O696" s="37"/>
      <c r="P696" s="37"/>
    </row>
    <row r="697" spans="2:16" x14ac:dyDescent="0.25">
      <c r="B6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7" s="46"/>
      <c r="D697" s="37"/>
      <c r="E697" s="37"/>
      <c r="F697" s="37"/>
      <c r="G697" s="40" t="str">
        <f>IF(tblMovimientos[[#This Row],[Producto]]="","",TRIM(LEFT(tblMovimientos[[#This Row],[Producto]],FIND(" · ",tblMovimientos[[#This Row],[Producto]]&amp;" · ")-1)))</f>
        <v/>
      </c>
      <c r="H697" s="40" t="str">
        <f>IF(tblMovimientos[[#This Row],[SKU]]="","",IFERROR(INDEX(tblProductos[Unidad],MATCH(tblMovimientos[[#This Row],[SKU]],tblProductos[SKU],0)),"?"))</f>
        <v/>
      </c>
      <c r="I697" s="39"/>
      <c r="J697" s="47" t="str">
        <f>IF(tblMovimientos[[#This Row],[Tipo]]="","",IFERROR(INDEX(tblTiposMov[FactorStock],MATCH(tblMovimientos[[#This Row],[Tipo]],tblTiposMov[Tipo],0)),0))</f>
        <v/>
      </c>
      <c r="K6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7" s="37"/>
      <c r="O697" s="37"/>
      <c r="P697" s="37"/>
    </row>
    <row r="698" spans="2:16" x14ac:dyDescent="0.25">
      <c r="B6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8" s="46"/>
      <c r="D698" s="37"/>
      <c r="E698" s="37"/>
      <c r="F698" s="37"/>
      <c r="G698" s="40" t="str">
        <f>IF(tblMovimientos[[#This Row],[Producto]]="","",TRIM(LEFT(tblMovimientos[[#This Row],[Producto]],FIND(" · ",tblMovimientos[[#This Row],[Producto]]&amp;" · ")-1)))</f>
        <v/>
      </c>
      <c r="H698" s="40" t="str">
        <f>IF(tblMovimientos[[#This Row],[SKU]]="","",IFERROR(INDEX(tblProductos[Unidad],MATCH(tblMovimientos[[#This Row],[SKU]],tblProductos[SKU],0)),"?"))</f>
        <v/>
      </c>
      <c r="I698" s="39"/>
      <c r="J698" s="47" t="str">
        <f>IF(tblMovimientos[[#This Row],[Tipo]]="","",IFERROR(INDEX(tblTiposMov[FactorStock],MATCH(tblMovimientos[[#This Row],[Tipo]],tblTiposMov[Tipo],0)),0))</f>
        <v/>
      </c>
      <c r="K6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8" s="37"/>
      <c r="O698" s="37"/>
      <c r="P698" s="37"/>
    </row>
    <row r="699" spans="2:16" x14ac:dyDescent="0.25">
      <c r="B6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699" s="46"/>
      <c r="D699" s="37"/>
      <c r="E699" s="37"/>
      <c r="F699" s="37"/>
      <c r="G699" s="40" t="str">
        <f>IF(tblMovimientos[[#This Row],[Producto]]="","",TRIM(LEFT(tblMovimientos[[#This Row],[Producto]],FIND(" · ",tblMovimientos[[#This Row],[Producto]]&amp;" · ")-1)))</f>
        <v/>
      </c>
      <c r="H699" s="40" t="str">
        <f>IF(tblMovimientos[[#This Row],[SKU]]="","",IFERROR(INDEX(tblProductos[Unidad],MATCH(tblMovimientos[[#This Row],[SKU]],tblProductos[SKU],0)),"?"))</f>
        <v/>
      </c>
      <c r="I699" s="39"/>
      <c r="J699" s="47" t="str">
        <f>IF(tblMovimientos[[#This Row],[Tipo]]="","",IFERROR(INDEX(tblTiposMov[FactorStock],MATCH(tblMovimientos[[#This Row],[Tipo]],tblTiposMov[Tipo],0)),0))</f>
        <v/>
      </c>
      <c r="K6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6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699" s="37"/>
      <c r="O699" s="37"/>
      <c r="P699" s="37"/>
    </row>
    <row r="700" spans="2:16" x14ac:dyDescent="0.25">
      <c r="B7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0" s="46"/>
      <c r="D700" s="37"/>
      <c r="E700" s="37"/>
      <c r="F700" s="37"/>
      <c r="G700" s="40" t="str">
        <f>IF(tblMovimientos[[#This Row],[Producto]]="","",TRIM(LEFT(tblMovimientos[[#This Row],[Producto]],FIND(" · ",tblMovimientos[[#This Row],[Producto]]&amp;" · ")-1)))</f>
        <v/>
      </c>
      <c r="H700" s="40" t="str">
        <f>IF(tblMovimientos[[#This Row],[SKU]]="","",IFERROR(INDEX(tblProductos[Unidad],MATCH(tblMovimientos[[#This Row],[SKU]],tblProductos[SKU],0)),"?"))</f>
        <v/>
      </c>
      <c r="I700" s="39"/>
      <c r="J700" s="47" t="str">
        <f>IF(tblMovimientos[[#This Row],[Tipo]]="","",IFERROR(INDEX(tblTiposMov[FactorStock],MATCH(tblMovimientos[[#This Row],[Tipo]],tblTiposMov[Tipo],0)),0))</f>
        <v/>
      </c>
      <c r="K7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0" s="37"/>
      <c r="O700" s="37"/>
      <c r="P700" s="37"/>
    </row>
    <row r="701" spans="2:16" x14ac:dyDescent="0.25">
      <c r="B7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1" s="46"/>
      <c r="D701" s="37"/>
      <c r="E701" s="37"/>
      <c r="F701" s="37"/>
      <c r="G701" s="40" t="str">
        <f>IF(tblMovimientos[[#This Row],[Producto]]="","",TRIM(LEFT(tblMovimientos[[#This Row],[Producto]],FIND(" · ",tblMovimientos[[#This Row],[Producto]]&amp;" · ")-1)))</f>
        <v/>
      </c>
      <c r="H701" s="40" t="str">
        <f>IF(tblMovimientos[[#This Row],[SKU]]="","",IFERROR(INDEX(tblProductos[Unidad],MATCH(tblMovimientos[[#This Row],[SKU]],tblProductos[SKU],0)),"?"))</f>
        <v/>
      </c>
      <c r="I701" s="39"/>
      <c r="J701" s="47" t="str">
        <f>IF(tblMovimientos[[#This Row],[Tipo]]="","",IFERROR(INDEX(tblTiposMov[FactorStock],MATCH(tblMovimientos[[#This Row],[Tipo]],tblTiposMov[Tipo],0)),0))</f>
        <v/>
      </c>
      <c r="K7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1" s="37"/>
      <c r="O701" s="37"/>
      <c r="P701" s="37"/>
    </row>
    <row r="702" spans="2:16" x14ac:dyDescent="0.25">
      <c r="B7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2" s="46"/>
      <c r="D702" s="37"/>
      <c r="E702" s="37"/>
      <c r="F702" s="37"/>
      <c r="G702" s="40" t="str">
        <f>IF(tblMovimientos[[#This Row],[Producto]]="","",TRIM(LEFT(tblMovimientos[[#This Row],[Producto]],FIND(" · ",tblMovimientos[[#This Row],[Producto]]&amp;" · ")-1)))</f>
        <v/>
      </c>
      <c r="H702" s="40" t="str">
        <f>IF(tblMovimientos[[#This Row],[SKU]]="","",IFERROR(INDEX(tblProductos[Unidad],MATCH(tblMovimientos[[#This Row],[SKU]],tblProductos[SKU],0)),"?"))</f>
        <v/>
      </c>
      <c r="I702" s="39"/>
      <c r="J702" s="47" t="str">
        <f>IF(tblMovimientos[[#This Row],[Tipo]]="","",IFERROR(INDEX(tblTiposMov[FactorStock],MATCH(tblMovimientos[[#This Row],[Tipo]],tblTiposMov[Tipo],0)),0))</f>
        <v/>
      </c>
      <c r="K7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2" s="37"/>
      <c r="O702" s="37"/>
      <c r="P702" s="37"/>
    </row>
    <row r="703" spans="2:16" x14ac:dyDescent="0.25">
      <c r="B7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3" s="46"/>
      <c r="D703" s="37"/>
      <c r="E703" s="37"/>
      <c r="F703" s="37"/>
      <c r="G703" s="40" t="str">
        <f>IF(tblMovimientos[[#This Row],[Producto]]="","",TRIM(LEFT(tblMovimientos[[#This Row],[Producto]],FIND(" · ",tblMovimientos[[#This Row],[Producto]]&amp;" · ")-1)))</f>
        <v/>
      </c>
      <c r="H703" s="40" t="str">
        <f>IF(tblMovimientos[[#This Row],[SKU]]="","",IFERROR(INDEX(tblProductos[Unidad],MATCH(tblMovimientos[[#This Row],[SKU]],tblProductos[SKU],0)),"?"))</f>
        <v/>
      </c>
      <c r="I703" s="39"/>
      <c r="J703" s="47" t="str">
        <f>IF(tblMovimientos[[#This Row],[Tipo]]="","",IFERROR(INDEX(tblTiposMov[FactorStock],MATCH(tblMovimientos[[#This Row],[Tipo]],tblTiposMov[Tipo],0)),0))</f>
        <v/>
      </c>
      <c r="K7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3" s="37"/>
      <c r="O703" s="37"/>
      <c r="P703" s="37"/>
    </row>
    <row r="704" spans="2:16" x14ac:dyDescent="0.25">
      <c r="B7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4" s="46"/>
      <c r="D704" s="37"/>
      <c r="E704" s="37"/>
      <c r="F704" s="37"/>
      <c r="G704" s="40" t="str">
        <f>IF(tblMovimientos[[#This Row],[Producto]]="","",TRIM(LEFT(tblMovimientos[[#This Row],[Producto]],FIND(" · ",tblMovimientos[[#This Row],[Producto]]&amp;" · ")-1)))</f>
        <v/>
      </c>
      <c r="H704" s="40" t="str">
        <f>IF(tblMovimientos[[#This Row],[SKU]]="","",IFERROR(INDEX(tblProductos[Unidad],MATCH(tblMovimientos[[#This Row],[SKU]],tblProductos[SKU],0)),"?"))</f>
        <v/>
      </c>
      <c r="I704" s="39"/>
      <c r="J704" s="47" t="str">
        <f>IF(tblMovimientos[[#This Row],[Tipo]]="","",IFERROR(INDEX(tblTiposMov[FactorStock],MATCH(tblMovimientos[[#This Row],[Tipo]],tblTiposMov[Tipo],0)),0))</f>
        <v/>
      </c>
      <c r="K7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4" s="37"/>
      <c r="O704" s="37"/>
      <c r="P704" s="37"/>
    </row>
    <row r="705" spans="2:16" x14ac:dyDescent="0.25">
      <c r="B7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5" s="46"/>
      <c r="D705" s="37"/>
      <c r="E705" s="37"/>
      <c r="F705" s="37"/>
      <c r="G705" s="40" t="str">
        <f>IF(tblMovimientos[[#This Row],[Producto]]="","",TRIM(LEFT(tblMovimientos[[#This Row],[Producto]],FIND(" · ",tblMovimientos[[#This Row],[Producto]]&amp;" · ")-1)))</f>
        <v/>
      </c>
      <c r="H705" s="40" t="str">
        <f>IF(tblMovimientos[[#This Row],[SKU]]="","",IFERROR(INDEX(tblProductos[Unidad],MATCH(tblMovimientos[[#This Row],[SKU]],tblProductos[SKU],0)),"?"))</f>
        <v/>
      </c>
      <c r="I705" s="39"/>
      <c r="J705" s="47" t="str">
        <f>IF(tblMovimientos[[#This Row],[Tipo]]="","",IFERROR(INDEX(tblTiposMov[FactorStock],MATCH(tblMovimientos[[#This Row],[Tipo]],tblTiposMov[Tipo],0)),0))</f>
        <v/>
      </c>
      <c r="K7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5" s="37"/>
      <c r="O705" s="37"/>
      <c r="P705" s="37"/>
    </row>
    <row r="706" spans="2:16" x14ac:dyDescent="0.25">
      <c r="B7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6" s="46"/>
      <c r="D706" s="37"/>
      <c r="E706" s="37"/>
      <c r="F706" s="37"/>
      <c r="G706" s="40" t="str">
        <f>IF(tblMovimientos[[#This Row],[Producto]]="","",TRIM(LEFT(tblMovimientos[[#This Row],[Producto]],FIND(" · ",tblMovimientos[[#This Row],[Producto]]&amp;" · ")-1)))</f>
        <v/>
      </c>
      <c r="H706" s="40" t="str">
        <f>IF(tblMovimientos[[#This Row],[SKU]]="","",IFERROR(INDEX(tblProductos[Unidad],MATCH(tblMovimientos[[#This Row],[SKU]],tblProductos[SKU],0)),"?"))</f>
        <v/>
      </c>
      <c r="I706" s="39"/>
      <c r="J706" s="47" t="str">
        <f>IF(tblMovimientos[[#This Row],[Tipo]]="","",IFERROR(INDEX(tblTiposMov[FactorStock],MATCH(tblMovimientos[[#This Row],[Tipo]],tblTiposMov[Tipo],0)),0))</f>
        <v/>
      </c>
      <c r="K7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6" s="37"/>
      <c r="O706" s="37"/>
      <c r="P706" s="37"/>
    </row>
    <row r="707" spans="2:16" x14ac:dyDescent="0.25">
      <c r="B7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7" s="46"/>
      <c r="D707" s="37"/>
      <c r="E707" s="37"/>
      <c r="F707" s="37"/>
      <c r="G707" s="40" t="str">
        <f>IF(tblMovimientos[[#This Row],[Producto]]="","",TRIM(LEFT(tblMovimientos[[#This Row],[Producto]],FIND(" · ",tblMovimientos[[#This Row],[Producto]]&amp;" · ")-1)))</f>
        <v/>
      </c>
      <c r="H707" s="40" t="str">
        <f>IF(tblMovimientos[[#This Row],[SKU]]="","",IFERROR(INDEX(tblProductos[Unidad],MATCH(tblMovimientos[[#This Row],[SKU]],tblProductos[SKU],0)),"?"))</f>
        <v/>
      </c>
      <c r="I707" s="39"/>
      <c r="J707" s="47" t="str">
        <f>IF(tblMovimientos[[#This Row],[Tipo]]="","",IFERROR(INDEX(tblTiposMov[FactorStock],MATCH(tblMovimientos[[#This Row],[Tipo]],tblTiposMov[Tipo],0)),0))</f>
        <v/>
      </c>
      <c r="K7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7" s="37"/>
      <c r="O707" s="37"/>
      <c r="P707" s="37"/>
    </row>
    <row r="708" spans="2:16" x14ac:dyDescent="0.25">
      <c r="B7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8" s="46"/>
      <c r="D708" s="37"/>
      <c r="E708" s="37"/>
      <c r="F708" s="37"/>
      <c r="G708" s="40" t="str">
        <f>IF(tblMovimientos[[#This Row],[Producto]]="","",TRIM(LEFT(tblMovimientos[[#This Row],[Producto]],FIND(" · ",tblMovimientos[[#This Row],[Producto]]&amp;" · ")-1)))</f>
        <v/>
      </c>
      <c r="H708" s="40" t="str">
        <f>IF(tblMovimientos[[#This Row],[SKU]]="","",IFERROR(INDEX(tblProductos[Unidad],MATCH(tblMovimientos[[#This Row],[SKU]],tblProductos[SKU],0)),"?"))</f>
        <v/>
      </c>
      <c r="I708" s="39"/>
      <c r="J708" s="47" t="str">
        <f>IF(tblMovimientos[[#This Row],[Tipo]]="","",IFERROR(INDEX(tblTiposMov[FactorStock],MATCH(tblMovimientos[[#This Row],[Tipo]],tblTiposMov[Tipo],0)),0))</f>
        <v/>
      </c>
      <c r="K7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8" s="37"/>
      <c r="O708" s="37"/>
      <c r="P708" s="37"/>
    </row>
    <row r="709" spans="2:16" x14ac:dyDescent="0.25">
      <c r="B7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09" s="46"/>
      <c r="D709" s="37"/>
      <c r="E709" s="37"/>
      <c r="F709" s="37"/>
      <c r="G709" s="40" t="str">
        <f>IF(tblMovimientos[[#This Row],[Producto]]="","",TRIM(LEFT(tblMovimientos[[#This Row],[Producto]],FIND(" · ",tblMovimientos[[#This Row],[Producto]]&amp;" · ")-1)))</f>
        <v/>
      </c>
      <c r="H709" s="40" t="str">
        <f>IF(tblMovimientos[[#This Row],[SKU]]="","",IFERROR(INDEX(tblProductos[Unidad],MATCH(tblMovimientos[[#This Row],[SKU]],tblProductos[SKU],0)),"?"))</f>
        <v/>
      </c>
      <c r="I709" s="39"/>
      <c r="J709" s="47" t="str">
        <f>IF(tblMovimientos[[#This Row],[Tipo]]="","",IFERROR(INDEX(tblTiposMov[FactorStock],MATCH(tblMovimientos[[#This Row],[Tipo]],tblTiposMov[Tipo],0)),0))</f>
        <v/>
      </c>
      <c r="K7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09" s="37"/>
      <c r="O709" s="37"/>
      <c r="P709" s="37"/>
    </row>
    <row r="710" spans="2:16" x14ac:dyDescent="0.25">
      <c r="B7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0" s="46"/>
      <c r="D710" s="37"/>
      <c r="E710" s="37"/>
      <c r="F710" s="37"/>
      <c r="G710" s="40" t="str">
        <f>IF(tblMovimientos[[#This Row],[Producto]]="","",TRIM(LEFT(tblMovimientos[[#This Row],[Producto]],FIND(" · ",tblMovimientos[[#This Row],[Producto]]&amp;" · ")-1)))</f>
        <v/>
      </c>
      <c r="H710" s="40" t="str">
        <f>IF(tblMovimientos[[#This Row],[SKU]]="","",IFERROR(INDEX(tblProductos[Unidad],MATCH(tblMovimientos[[#This Row],[SKU]],tblProductos[SKU],0)),"?"))</f>
        <v/>
      </c>
      <c r="I710" s="39"/>
      <c r="J710" s="47" t="str">
        <f>IF(tblMovimientos[[#This Row],[Tipo]]="","",IFERROR(INDEX(tblTiposMov[FactorStock],MATCH(tblMovimientos[[#This Row],[Tipo]],tblTiposMov[Tipo],0)),0))</f>
        <v/>
      </c>
      <c r="K7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0" s="37"/>
      <c r="O710" s="37"/>
      <c r="P710" s="37"/>
    </row>
    <row r="711" spans="2:16" x14ac:dyDescent="0.25">
      <c r="B7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1" s="46"/>
      <c r="D711" s="37"/>
      <c r="E711" s="37"/>
      <c r="F711" s="37"/>
      <c r="G711" s="40" t="str">
        <f>IF(tblMovimientos[[#This Row],[Producto]]="","",TRIM(LEFT(tblMovimientos[[#This Row],[Producto]],FIND(" · ",tblMovimientos[[#This Row],[Producto]]&amp;" · ")-1)))</f>
        <v/>
      </c>
      <c r="H711" s="40" t="str">
        <f>IF(tblMovimientos[[#This Row],[SKU]]="","",IFERROR(INDEX(tblProductos[Unidad],MATCH(tblMovimientos[[#This Row],[SKU]],tblProductos[SKU],0)),"?"))</f>
        <v/>
      </c>
      <c r="I711" s="39"/>
      <c r="J711" s="47" t="str">
        <f>IF(tblMovimientos[[#This Row],[Tipo]]="","",IFERROR(INDEX(tblTiposMov[FactorStock],MATCH(tblMovimientos[[#This Row],[Tipo]],tblTiposMov[Tipo],0)),0))</f>
        <v/>
      </c>
      <c r="K7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1" s="37"/>
      <c r="O711" s="37"/>
      <c r="P711" s="37"/>
    </row>
    <row r="712" spans="2:16" x14ac:dyDescent="0.25">
      <c r="B7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2" s="46"/>
      <c r="D712" s="37"/>
      <c r="E712" s="37"/>
      <c r="F712" s="37"/>
      <c r="G712" s="40" t="str">
        <f>IF(tblMovimientos[[#This Row],[Producto]]="","",TRIM(LEFT(tblMovimientos[[#This Row],[Producto]],FIND(" · ",tblMovimientos[[#This Row],[Producto]]&amp;" · ")-1)))</f>
        <v/>
      </c>
      <c r="H712" s="40" t="str">
        <f>IF(tblMovimientos[[#This Row],[SKU]]="","",IFERROR(INDEX(tblProductos[Unidad],MATCH(tblMovimientos[[#This Row],[SKU]],tblProductos[SKU],0)),"?"))</f>
        <v/>
      </c>
      <c r="I712" s="39"/>
      <c r="J712" s="47" t="str">
        <f>IF(tblMovimientos[[#This Row],[Tipo]]="","",IFERROR(INDEX(tblTiposMov[FactorStock],MATCH(tblMovimientos[[#This Row],[Tipo]],tblTiposMov[Tipo],0)),0))</f>
        <v/>
      </c>
      <c r="K7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2" s="37"/>
      <c r="O712" s="37"/>
      <c r="P712" s="37"/>
    </row>
    <row r="713" spans="2:16" x14ac:dyDescent="0.25">
      <c r="B7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3" s="46"/>
      <c r="D713" s="37"/>
      <c r="E713" s="37"/>
      <c r="F713" s="37"/>
      <c r="G713" s="40" t="str">
        <f>IF(tblMovimientos[[#This Row],[Producto]]="","",TRIM(LEFT(tblMovimientos[[#This Row],[Producto]],FIND(" · ",tblMovimientos[[#This Row],[Producto]]&amp;" · ")-1)))</f>
        <v/>
      </c>
      <c r="H713" s="40" t="str">
        <f>IF(tblMovimientos[[#This Row],[SKU]]="","",IFERROR(INDEX(tblProductos[Unidad],MATCH(tblMovimientos[[#This Row],[SKU]],tblProductos[SKU],0)),"?"))</f>
        <v/>
      </c>
      <c r="I713" s="39"/>
      <c r="J713" s="47" t="str">
        <f>IF(tblMovimientos[[#This Row],[Tipo]]="","",IFERROR(INDEX(tblTiposMov[FactorStock],MATCH(tblMovimientos[[#This Row],[Tipo]],tblTiposMov[Tipo],0)),0))</f>
        <v/>
      </c>
      <c r="K7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3" s="37"/>
      <c r="O713" s="37"/>
      <c r="P713" s="37"/>
    </row>
    <row r="714" spans="2:16" x14ac:dyDescent="0.25">
      <c r="B7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4" s="46"/>
      <c r="D714" s="37"/>
      <c r="E714" s="37"/>
      <c r="F714" s="37"/>
      <c r="G714" s="40" t="str">
        <f>IF(tblMovimientos[[#This Row],[Producto]]="","",TRIM(LEFT(tblMovimientos[[#This Row],[Producto]],FIND(" · ",tblMovimientos[[#This Row],[Producto]]&amp;" · ")-1)))</f>
        <v/>
      </c>
      <c r="H714" s="40" t="str">
        <f>IF(tblMovimientos[[#This Row],[SKU]]="","",IFERROR(INDEX(tblProductos[Unidad],MATCH(tblMovimientos[[#This Row],[SKU]],tblProductos[SKU],0)),"?"))</f>
        <v/>
      </c>
      <c r="I714" s="39"/>
      <c r="J714" s="47" t="str">
        <f>IF(tblMovimientos[[#This Row],[Tipo]]="","",IFERROR(INDEX(tblTiposMov[FactorStock],MATCH(tblMovimientos[[#This Row],[Tipo]],tblTiposMov[Tipo],0)),0))</f>
        <v/>
      </c>
      <c r="K7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4" s="37"/>
      <c r="O714" s="37"/>
      <c r="P714" s="37"/>
    </row>
    <row r="715" spans="2:16" x14ac:dyDescent="0.25">
      <c r="B7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5" s="46"/>
      <c r="D715" s="37"/>
      <c r="E715" s="37"/>
      <c r="F715" s="37"/>
      <c r="G715" s="40" t="str">
        <f>IF(tblMovimientos[[#This Row],[Producto]]="","",TRIM(LEFT(tblMovimientos[[#This Row],[Producto]],FIND(" · ",tblMovimientos[[#This Row],[Producto]]&amp;" · ")-1)))</f>
        <v/>
      </c>
      <c r="H715" s="40" t="str">
        <f>IF(tblMovimientos[[#This Row],[SKU]]="","",IFERROR(INDEX(tblProductos[Unidad],MATCH(tblMovimientos[[#This Row],[SKU]],tblProductos[SKU],0)),"?"))</f>
        <v/>
      </c>
      <c r="I715" s="39"/>
      <c r="J715" s="47" t="str">
        <f>IF(tblMovimientos[[#This Row],[Tipo]]="","",IFERROR(INDEX(tblTiposMov[FactorStock],MATCH(tblMovimientos[[#This Row],[Tipo]],tblTiposMov[Tipo],0)),0))</f>
        <v/>
      </c>
      <c r="K7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5" s="37"/>
      <c r="O715" s="37"/>
      <c r="P715" s="37"/>
    </row>
    <row r="716" spans="2:16" x14ac:dyDescent="0.25">
      <c r="B7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6" s="46"/>
      <c r="D716" s="37"/>
      <c r="E716" s="37"/>
      <c r="F716" s="37"/>
      <c r="G716" s="40" t="str">
        <f>IF(tblMovimientos[[#This Row],[Producto]]="","",TRIM(LEFT(tblMovimientos[[#This Row],[Producto]],FIND(" · ",tblMovimientos[[#This Row],[Producto]]&amp;" · ")-1)))</f>
        <v/>
      </c>
      <c r="H716" s="40" t="str">
        <f>IF(tblMovimientos[[#This Row],[SKU]]="","",IFERROR(INDEX(tblProductos[Unidad],MATCH(tblMovimientos[[#This Row],[SKU]],tblProductos[SKU],0)),"?"))</f>
        <v/>
      </c>
      <c r="I716" s="39"/>
      <c r="J716" s="47" t="str">
        <f>IF(tblMovimientos[[#This Row],[Tipo]]="","",IFERROR(INDEX(tblTiposMov[FactorStock],MATCH(tblMovimientos[[#This Row],[Tipo]],tblTiposMov[Tipo],0)),0))</f>
        <v/>
      </c>
      <c r="K7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6" s="37"/>
      <c r="O716" s="37"/>
      <c r="P716" s="37"/>
    </row>
    <row r="717" spans="2:16" x14ac:dyDescent="0.25">
      <c r="B7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7" s="46"/>
      <c r="D717" s="37"/>
      <c r="E717" s="37"/>
      <c r="F717" s="37"/>
      <c r="G717" s="40" t="str">
        <f>IF(tblMovimientos[[#This Row],[Producto]]="","",TRIM(LEFT(tblMovimientos[[#This Row],[Producto]],FIND(" · ",tblMovimientos[[#This Row],[Producto]]&amp;" · ")-1)))</f>
        <v/>
      </c>
      <c r="H717" s="40" t="str">
        <f>IF(tblMovimientos[[#This Row],[SKU]]="","",IFERROR(INDEX(tblProductos[Unidad],MATCH(tblMovimientos[[#This Row],[SKU]],tblProductos[SKU],0)),"?"))</f>
        <v/>
      </c>
      <c r="I717" s="39"/>
      <c r="J717" s="47" t="str">
        <f>IF(tblMovimientos[[#This Row],[Tipo]]="","",IFERROR(INDEX(tblTiposMov[FactorStock],MATCH(tblMovimientos[[#This Row],[Tipo]],tblTiposMov[Tipo],0)),0))</f>
        <v/>
      </c>
      <c r="K7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7" s="37"/>
      <c r="O717" s="37"/>
      <c r="P717" s="37"/>
    </row>
    <row r="718" spans="2:16" x14ac:dyDescent="0.25">
      <c r="B7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8" s="46"/>
      <c r="D718" s="37"/>
      <c r="E718" s="37"/>
      <c r="F718" s="37"/>
      <c r="G718" s="40" t="str">
        <f>IF(tblMovimientos[[#This Row],[Producto]]="","",TRIM(LEFT(tblMovimientos[[#This Row],[Producto]],FIND(" · ",tblMovimientos[[#This Row],[Producto]]&amp;" · ")-1)))</f>
        <v/>
      </c>
      <c r="H718" s="40" t="str">
        <f>IF(tblMovimientos[[#This Row],[SKU]]="","",IFERROR(INDEX(tblProductos[Unidad],MATCH(tblMovimientos[[#This Row],[SKU]],tblProductos[SKU],0)),"?"))</f>
        <v/>
      </c>
      <c r="I718" s="39"/>
      <c r="J718" s="47" t="str">
        <f>IF(tblMovimientos[[#This Row],[Tipo]]="","",IFERROR(INDEX(tblTiposMov[FactorStock],MATCH(tblMovimientos[[#This Row],[Tipo]],tblTiposMov[Tipo],0)),0))</f>
        <v/>
      </c>
      <c r="K7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8" s="37"/>
      <c r="O718" s="37"/>
      <c r="P718" s="37"/>
    </row>
    <row r="719" spans="2:16" x14ac:dyDescent="0.25">
      <c r="B7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19" s="46"/>
      <c r="D719" s="37"/>
      <c r="E719" s="37"/>
      <c r="F719" s="37"/>
      <c r="G719" s="40" t="str">
        <f>IF(tblMovimientos[[#This Row],[Producto]]="","",TRIM(LEFT(tblMovimientos[[#This Row],[Producto]],FIND(" · ",tblMovimientos[[#This Row],[Producto]]&amp;" · ")-1)))</f>
        <v/>
      </c>
      <c r="H719" s="40" t="str">
        <f>IF(tblMovimientos[[#This Row],[SKU]]="","",IFERROR(INDEX(tblProductos[Unidad],MATCH(tblMovimientos[[#This Row],[SKU]],tblProductos[SKU],0)),"?"))</f>
        <v/>
      </c>
      <c r="I719" s="39"/>
      <c r="J719" s="47" t="str">
        <f>IF(tblMovimientos[[#This Row],[Tipo]]="","",IFERROR(INDEX(tblTiposMov[FactorStock],MATCH(tblMovimientos[[#This Row],[Tipo]],tblTiposMov[Tipo],0)),0))</f>
        <v/>
      </c>
      <c r="K7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19" s="37"/>
      <c r="O719" s="37"/>
      <c r="P719" s="37"/>
    </row>
    <row r="720" spans="2:16" x14ac:dyDescent="0.25">
      <c r="B7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0" s="46"/>
      <c r="D720" s="37"/>
      <c r="E720" s="37"/>
      <c r="F720" s="37"/>
      <c r="G720" s="40" t="str">
        <f>IF(tblMovimientos[[#This Row],[Producto]]="","",TRIM(LEFT(tblMovimientos[[#This Row],[Producto]],FIND(" · ",tblMovimientos[[#This Row],[Producto]]&amp;" · ")-1)))</f>
        <v/>
      </c>
      <c r="H720" s="40" t="str">
        <f>IF(tblMovimientos[[#This Row],[SKU]]="","",IFERROR(INDEX(tblProductos[Unidad],MATCH(tblMovimientos[[#This Row],[SKU]],tblProductos[SKU],0)),"?"))</f>
        <v/>
      </c>
      <c r="I720" s="39"/>
      <c r="J720" s="47" t="str">
        <f>IF(tblMovimientos[[#This Row],[Tipo]]="","",IFERROR(INDEX(tblTiposMov[FactorStock],MATCH(tblMovimientos[[#This Row],[Tipo]],tblTiposMov[Tipo],0)),0))</f>
        <v/>
      </c>
      <c r="K7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0" s="37"/>
      <c r="O720" s="37"/>
      <c r="P720" s="37"/>
    </row>
    <row r="721" spans="2:16" x14ac:dyDescent="0.25">
      <c r="B7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1" s="46"/>
      <c r="D721" s="37"/>
      <c r="E721" s="37"/>
      <c r="F721" s="37"/>
      <c r="G721" s="40" t="str">
        <f>IF(tblMovimientos[[#This Row],[Producto]]="","",TRIM(LEFT(tblMovimientos[[#This Row],[Producto]],FIND(" · ",tblMovimientos[[#This Row],[Producto]]&amp;" · ")-1)))</f>
        <v/>
      </c>
      <c r="H721" s="40" t="str">
        <f>IF(tblMovimientos[[#This Row],[SKU]]="","",IFERROR(INDEX(tblProductos[Unidad],MATCH(tblMovimientos[[#This Row],[SKU]],tblProductos[SKU],0)),"?"))</f>
        <v/>
      </c>
      <c r="I721" s="39"/>
      <c r="J721" s="47" t="str">
        <f>IF(tblMovimientos[[#This Row],[Tipo]]="","",IFERROR(INDEX(tblTiposMov[FactorStock],MATCH(tblMovimientos[[#This Row],[Tipo]],tblTiposMov[Tipo],0)),0))</f>
        <v/>
      </c>
      <c r="K7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1" s="37"/>
      <c r="O721" s="37"/>
      <c r="P721" s="37"/>
    </row>
    <row r="722" spans="2:16" x14ac:dyDescent="0.25">
      <c r="B7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2" s="46"/>
      <c r="D722" s="37"/>
      <c r="E722" s="37"/>
      <c r="F722" s="37"/>
      <c r="G722" s="40" t="str">
        <f>IF(tblMovimientos[[#This Row],[Producto]]="","",TRIM(LEFT(tblMovimientos[[#This Row],[Producto]],FIND(" · ",tblMovimientos[[#This Row],[Producto]]&amp;" · ")-1)))</f>
        <v/>
      </c>
      <c r="H722" s="40" t="str">
        <f>IF(tblMovimientos[[#This Row],[SKU]]="","",IFERROR(INDEX(tblProductos[Unidad],MATCH(tblMovimientos[[#This Row],[SKU]],tblProductos[SKU],0)),"?"))</f>
        <v/>
      </c>
      <c r="I722" s="39"/>
      <c r="J722" s="47" t="str">
        <f>IF(tblMovimientos[[#This Row],[Tipo]]="","",IFERROR(INDEX(tblTiposMov[FactorStock],MATCH(tblMovimientos[[#This Row],[Tipo]],tblTiposMov[Tipo],0)),0))</f>
        <v/>
      </c>
      <c r="K7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2" s="37"/>
      <c r="O722" s="37"/>
      <c r="P722" s="37"/>
    </row>
    <row r="723" spans="2:16" x14ac:dyDescent="0.25">
      <c r="B7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3" s="46"/>
      <c r="D723" s="37"/>
      <c r="E723" s="37"/>
      <c r="F723" s="37"/>
      <c r="G723" s="40" t="str">
        <f>IF(tblMovimientos[[#This Row],[Producto]]="","",TRIM(LEFT(tblMovimientos[[#This Row],[Producto]],FIND(" · ",tblMovimientos[[#This Row],[Producto]]&amp;" · ")-1)))</f>
        <v/>
      </c>
      <c r="H723" s="40" t="str">
        <f>IF(tblMovimientos[[#This Row],[SKU]]="","",IFERROR(INDEX(tblProductos[Unidad],MATCH(tblMovimientos[[#This Row],[SKU]],tblProductos[SKU],0)),"?"))</f>
        <v/>
      </c>
      <c r="I723" s="39"/>
      <c r="J723" s="47" t="str">
        <f>IF(tblMovimientos[[#This Row],[Tipo]]="","",IFERROR(INDEX(tblTiposMov[FactorStock],MATCH(tblMovimientos[[#This Row],[Tipo]],tblTiposMov[Tipo],0)),0))</f>
        <v/>
      </c>
      <c r="K7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3" s="37"/>
      <c r="O723" s="37"/>
      <c r="P723" s="37"/>
    </row>
    <row r="724" spans="2:16" x14ac:dyDescent="0.25">
      <c r="B7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4" s="46"/>
      <c r="D724" s="37"/>
      <c r="E724" s="37"/>
      <c r="F724" s="37"/>
      <c r="G724" s="40" t="str">
        <f>IF(tblMovimientos[[#This Row],[Producto]]="","",TRIM(LEFT(tblMovimientos[[#This Row],[Producto]],FIND(" · ",tblMovimientos[[#This Row],[Producto]]&amp;" · ")-1)))</f>
        <v/>
      </c>
      <c r="H724" s="40" t="str">
        <f>IF(tblMovimientos[[#This Row],[SKU]]="","",IFERROR(INDEX(tblProductos[Unidad],MATCH(tblMovimientos[[#This Row],[SKU]],tblProductos[SKU],0)),"?"))</f>
        <v/>
      </c>
      <c r="I724" s="39"/>
      <c r="J724" s="47" t="str">
        <f>IF(tblMovimientos[[#This Row],[Tipo]]="","",IFERROR(INDEX(tblTiposMov[FactorStock],MATCH(tblMovimientos[[#This Row],[Tipo]],tblTiposMov[Tipo],0)),0))</f>
        <v/>
      </c>
      <c r="K7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4" s="37"/>
      <c r="O724" s="37"/>
      <c r="P724" s="37"/>
    </row>
    <row r="725" spans="2:16" x14ac:dyDescent="0.25">
      <c r="B7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5" s="46"/>
      <c r="D725" s="37"/>
      <c r="E725" s="37"/>
      <c r="F725" s="37"/>
      <c r="G725" s="40" t="str">
        <f>IF(tblMovimientos[[#This Row],[Producto]]="","",TRIM(LEFT(tblMovimientos[[#This Row],[Producto]],FIND(" · ",tblMovimientos[[#This Row],[Producto]]&amp;" · ")-1)))</f>
        <v/>
      </c>
      <c r="H725" s="40" t="str">
        <f>IF(tblMovimientos[[#This Row],[SKU]]="","",IFERROR(INDEX(tblProductos[Unidad],MATCH(tblMovimientos[[#This Row],[SKU]],tblProductos[SKU],0)),"?"))</f>
        <v/>
      </c>
      <c r="I725" s="39"/>
      <c r="J725" s="47" t="str">
        <f>IF(tblMovimientos[[#This Row],[Tipo]]="","",IFERROR(INDEX(tblTiposMov[FactorStock],MATCH(tblMovimientos[[#This Row],[Tipo]],tblTiposMov[Tipo],0)),0))</f>
        <v/>
      </c>
      <c r="K7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5" s="37"/>
      <c r="O725" s="37"/>
      <c r="P725" s="37"/>
    </row>
    <row r="726" spans="2:16" x14ac:dyDescent="0.25">
      <c r="B7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6" s="46"/>
      <c r="D726" s="37"/>
      <c r="E726" s="37"/>
      <c r="F726" s="37"/>
      <c r="G726" s="40" t="str">
        <f>IF(tblMovimientos[[#This Row],[Producto]]="","",TRIM(LEFT(tblMovimientos[[#This Row],[Producto]],FIND(" · ",tblMovimientos[[#This Row],[Producto]]&amp;" · ")-1)))</f>
        <v/>
      </c>
      <c r="H726" s="40" t="str">
        <f>IF(tblMovimientos[[#This Row],[SKU]]="","",IFERROR(INDEX(tblProductos[Unidad],MATCH(tblMovimientos[[#This Row],[SKU]],tblProductos[SKU],0)),"?"))</f>
        <v/>
      </c>
      <c r="I726" s="39"/>
      <c r="J726" s="47" t="str">
        <f>IF(tblMovimientos[[#This Row],[Tipo]]="","",IFERROR(INDEX(tblTiposMov[FactorStock],MATCH(tblMovimientos[[#This Row],[Tipo]],tblTiposMov[Tipo],0)),0))</f>
        <v/>
      </c>
      <c r="K7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6" s="37"/>
      <c r="O726" s="37"/>
      <c r="P726" s="37"/>
    </row>
    <row r="727" spans="2:16" x14ac:dyDescent="0.25">
      <c r="B7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7" s="46"/>
      <c r="D727" s="37"/>
      <c r="E727" s="37"/>
      <c r="F727" s="37"/>
      <c r="G727" s="40" t="str">
        <f>IF(tblMovimientos[[#This Row],[Producto]]="","",TRIM(LEFT(tblMovimientos[[#This Row],[Producto]],FIND(" · ",tblMovimientos[[#This Row],[Producto]]&amp;" · ")-1)))</f>
        <v/>
      </c>
      <c r="H727" s="40" t="str">
        <f>IF(tblMovimientos[[#This Row],[SKU]]="","",IFERROR(INDEX(tblProductos[Unidad],MATCH(tblMovimientos[[#This Row],[SKU]],tblProductos[SKU],0)),"?"))</f>
        <v/>
      </c>
      <c r="I727" s="39"/>
      <c r="J727" s="47" t="str">
        <f>IF(tblMovimientos[[#This Row],[Tipo]]="","",IFERROR(INDEX(tblTiposMov[FactorStock],MATCH(tblMovimientos[[#This Row],[Tipo]],tblTiposMov[Tipo],0)),0))</f>
        <v/>
      </c>
      <c r="K7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7" s="37"/>
      <c r="O727" s="37"/>
      <c r="P727" s="37"/>
    </row>
    <row r="728" spans="2:16" x14ac:dyDescent="0.25">
      <c r="B7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8" s="46"/>
      <c r="D728" s="37"/>
      <c r="E728" s="37"/>
      <c r="F728" s="37"/>
      <c r="G728" s="40" t="str">
        <f>IF(tblMovimientos[[#This Row],[Producto]]="","",TRIM(LEFT(tblMovimientos[[#This Row],[Producto]],FIND(" · ",tblMovimientos[[#This Row],[Producto]]&amp;" · ")-1)))</f>
        <v/>
      </c>
      <c r="H728" s="40" t="str">
        <f>IF(tblMovimientos[[#This Row],[SKU]]="","",IFERROR(INDEX(tblProductos[Unidad],MATCH(tblMovimientos[[#This Row],[SKU]],tblProductos[SKU],0)),"?"))</f>
        <v/>
      </c>
      <c r="I728" s="39"/>
      <c r="J728" s="47" t="str">
        <f>IF(tblMovimientos[[#This Row],[Tipo]]="","",IFERROR(INDEX(tblTiposMov[FactorStock],MATCH(tblMovimientos[[#This Row],[Tipo]],tblTiposMov[Tipo],0)),0))</f>
        <v/>
      </c>
      <c r="K7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8" s="37"/>
      <c r="O728" s="37"/>
      <c r="P728" s="37"/>
    </row>
    <row r="729" spans="2:16" x14ac:dyDescent="0.25">
      <c r="B7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29" s="46"/>
      <c r="D729" s="37"/>
      <c r="E729" s="37"/>
      <c r="F729" s="37"/>
      <c r="G729" s="40" t="str">
        <f>IF(tblMovimientos[[#This Row],[Producto]]="","",TRIM(LEFT(tblMovimientos[[#This Row],[Producto]],FIND(" · ",tblMovimientos[[#This Row],[Producto]]&amp;" · ")-1)))</f>
        <v/>
      </c>
      <c r="H729" s="40" t="str">
        <f>IF(tblMovimientos[[#This Row],[SKU]]="","",IFERROR(INDEX(tblProductos[Unidad],MATCH(tblMovimientos[[#This Row],[SKU]],tblProductos[SKU],0)),"?"))</f>
        <v/>
      </c>
      <c r="I729" s="39"/>
      <c r="J729" s="47" t="str">
        <f>IF(tblMovimientos[[#This Row],[Tipo]]="","",IFERROR(INDEX(tblTiposMov[FactorStock],MATCH(tblMovimientos[[#This Row],[Tipo]],tblTiposMov[Tipo],0)),0))</f>
        <v/>
      </c>
      <c r="K7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29" s="37"/>
      <c r="O729" s="37"/>
      <c r="P729" s="37"/>
    </row>
    <row r="730" spans="2:16" x14ac:dyDescent="0.25">
      <c r="B7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0" s="46"/>
      <c r="D730" s="37"/>
      <c r="E730" s="37"/>
      <c r="F730" s="37"/>
      <c r="G730" s="40" t="str">
        <f>IF(tblMovimientos[[#This Row],[Producto]]="","",TRIM(LEFT(tblMovimientos[[#This Row],[Producto]],FIND(" · ",tblMovimientos[[#This Row],[Producto]]&amp;" · ")-1)))</f>
        <v/>
      </c>
      <c r="H730" s="40" t="str">
        <f>IF(tblMovimientos[[#This Row],[SKU]]="","",IFERROR(INDEX(tblProductos[Unidad],MATCH(tblMovimientos[[#This Row],[SKU]],tblProductos[SKU],0)),"?"))</f>
        <v/>
      </c>
      <c r="I730" s="39"/>
      <c r="J730" s="47" t="str">
        <f>IF(tblMovimientos[[#This Row],[Tipo]]="","",IFERROR(INDEX(tblTiposMov[FactorStock],MATCH(tblMovimientos[[#This Row],[Tipo]],tblTiposMov[Tipo],0)),0))</f>
        <v/>
      </c>
      <c r="K7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0" s="37"/>
      <c r="O730" s="37"/>
      <c r="P730" s="37"/>
    </row>
    <row r="731" spans="2:16" x14ac:dyDescent="0.25">
      <c r="B7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1" s="46"/>
      <c r="D731" s="37"/>
      <c r="E731" s="37"/>
      <c r="F731" s="37"/>
      <c r="G731" s="40" t="str">
        <f>IF(tblMovimientos[[#This Row],[Producto]]="","",TRIM(LEFT(tblMovimientos[[#This Row],[Producto]],FIND(" · ",tblMovimientos[[#This Row],[Producto]]&amp;" · ")-1)))</f>
        <v/>
      </c>
      <c r="H731" s="40" t="str">
        <f>IF(tblMovimientos[[#This Row],[SKU]]="","",IFERROR(INDEX(tblProductos[Unidad],MATCH(tblMovimientos[[#This Row],[SKU]],tblProductos[SKU],0)),"?"))</f>
        <v/>
      </c>
      <c r="I731" s="39"/>
      <c r="J731" s="47" t="str">
        <f>IF(tblMovimientos[[#This Row],[Tipo]]="","",IFERROR(INDEX(tblTiposMov[FactorStock],MATCH(tblMovimientos[[#This Row],[Tipo]],tblTiposMov[Tipo],0)),0))</f>
        <v/>
      </c>
      <c r="K7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1" s="37"/>
      <c r="O731" s="37"/>
      <c r="P731" s="37"/>
    </row>
    <row r="732" spans="2:16" x14ac:dyDescent="0.25">
      <c r="B7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2" s="46"/>
      <c r="D732" s="37"/>
      <c r="E732" s="37"/>
      <c r="F732" s="37"/>
      <c r="G732" s="40" t="str">
        <f>IF(tblMovimientos[[#This Row],[Producto]]="","",TRIM(LEFT(tblMovimientos[[#This Row],[Producto]],FIND(" · ",tblMovimientos[[#This Row],[Producto]]&amp;" · ")-1)))</f>
        <v/>
      </c>
      <c r="H732" s="40" t="str">
        <f>IF(tblMovimientos[[#This Row],[SKU]]="","",IFERROR(INDEX(tblProductos[Unidad],MATCH(tblMovimientos[[#This Row],[SKU]],tblProductos[SKU],0)),"?"))</f>
        <v/>
      </c>
      <c r="I732" s="39"/>
      <c r="J732" s="47" t="str">
        <f>IF(tblMovimientos[[#This Row],[Tipo]]="","",IFERROR(INDEX(tblTiposMov[FactorStock],MATCH(tblMovimientos[[#This Row],[Tipo]],tblTiposMov[Tipo],0)),0))</f>
        <v/>
      </c>
      <c r="K7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2" s="37"/>
      <c r="O732" s="37"/>
      <c r="P732" s="37"/>
    </row>
    <row r="733" spans="2:16" x14ac:dyDescent="0.25">
      <c r="B7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3" s="46"/>
      <c r="D733" s="37"/>
      <c r="E733" s="37"/>
      <c r="F733" s="37"/>
      <c r="G733" s="40" t="str">
        <f>IF(tblMovimientos[[#This Row],[Producto]]="","",TRIM(LEFT(tblMovimientos[[#This Row],[Producto]],FIND(" · ",tblMovimientos[[#This Row],[Producto]]&amp;" · ")-1)))</f>
        <v/>
      </c>
      <c r="H733" s="40" t="str">
        <f>IF(tblMovimientos[[#This Row],[SKU]]="","",IFERROR(INDEX(tblProductos[Unidad],MATCH(tblMovimientos[[#This Row],[SKU]],tblProductos[SKU],0)),"?"))</f>
        <v/>
      </c>
      <c r="I733" s="39"/>
      <c r="J733" s="47" t="str">
        <f>IF(tblMovimientos[[#This Row],[Tipo]]="","",IFERROR(INDEX(tblTiposMov[FactorStock],MATCH(tblMovimientos[[#This Row],[Tipo]],tblTiposMov[Tipo],0)),0))</f>
        <v/>
      </c>
      <c r="K7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3" s="37"/>
      <c r="O733" s="37"/>
      <c r="P733" s="37"/>
    </row>
    <row r="734" spans="2:16" x14ac:dyDescent="0.25">
      <c r="B7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4" s="46"/>
      <c r="D734" s="37"/>
      <c r="E734" s="37"/>
      <c r="F734" s="37"/>
      <c r="G734" s="40" t="str">
        <f>IF(tblMovimientos[[#This Row],[Producto]]="","",TRIM(LEFT(tblMovimientos[[#This Row],[Producto]],FIND(" · ",tblMovimientos[[#This Row],[Producto]]&amp;" · ")-1)))</f>
        <v/>
      </c>
      <c r="H734" s="40" t="str">
        <f>IF(tblMovimientos[[#This Row],[SKU]]="","",IFERROR(INDEX(tblProductos[Unidad],MATCH(tblMovimientos[[#This Row],[SKU]],tblProductos[SKU],0)),"?"))</f>
        <v/>
      </c>
      <c r="I734" s="39"/>
      <c r="J734" s="47" t="str">
        <f>IF(tblMovimientos[[#This Row],[Tipo]]="","",IFERROR(INDEX(tblTiposMov[FactorStock],MATCH(tblMovimientos[[#This Row],[Tipo]],tblTiposMov[Tipo],0)),0))</f>
        <v/>
      </c>
      <c r="K7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4" s="37"/>
      <c r="O734" s="37"/>
      <c r="P734" s="37"/>
    </row>
    <row r="735" spans="2:16" x14ac:dyDescent="0.25">
      <c r="B7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5" s="46"/>
      <c r="D735" s="37"/>
      <c r="E735" s="37"/>
      <c r="F735" s="37"/>
      <c r="G735" s="40" t="str">
        <f>IF(tblMovimientos[[#This Row],[Producto]]="","",TRIM(LEFT(tblMovimientos[[#This Row],[Producto]],FIND(" · ",tblMovimientos[[#This Row],[Producto]]&amp;" · ")-1)))</f>
        <v/>
      </c>
      <c r="H735" s="40" t="str">
        <f>IF(tblMovimientos[[#This Row],[SKU]]="","",IFERROR(INDEX(tblProductos[Unidad],MATCH(tblMovimientos[[#This Row],[SKU]],tblProductos[SKU],0)),"?"))</f>
        <v/>
      </c>
      <c r="I735" s="39"/>
      <c r="J735" s="47" t="str">
        <f>IF(tblMovimientos[[#This Row],[Tipo]]="","",IFERROR(INDEX(tblTiposMov[FactorStock],MATCH(tblMovimientos[[#This Row],[Tipo]],tblTiposMov[Tipo],0)),0))</f>
        <v/>
      </c>
      <c r="K7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5" s="37"/>
      <c r="O735" s="37"/>
      <c r="P735" s="37"/>
    </row>
    <row r="736" spans="2:16" x14ac:dyDescent="0.25">
      <c r="B7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6" s="46"/>
      <c r="D736" s="37"/>
      <c r="E736" s="37"/>
      <c r="F736" s="37"/>
      <c r="G736" s="40" t="str">
        <f>IF(tblMovimientos[[#This Row],[Producto]]="","",TRIM(LEFT(tblMovimientos[[#This Row],[Producto]],FIND(" · ",tblMovimientos[[#This Row],[Producto]]&amp;" · ")-1)))</f>
        <v/>
      </c>
      <c r="H736" s="40" t="str">
        <f>IF(tblMovimientos[[#This Row],[SKU]]="","",IFERROR(INDEX(tblProductos[Unidad],MATCH(tblMovimientos[[#This Row],[SKU]],tblProductos[SKU],0)),"?"))</f>
        <v/>
      </c>
      <c r="I736" s="39"/>
      <c r="J736" s="47" t="str">
        <f>IF(tblMovimientos[[#This Row],[Tipo]]="","",IFERROR(INDEX(tblTiposMov[FactorStock],MATCH(tblMovimientos[[#This Row],[Tipo]],tblTiposMov[Tipo],0)),0))</f>
        <v/>
      </c>
      <c r="K7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6" s="37"/>
      <c r="O736" s="37"/>
      <c r="P736" s="37"/>
    </row>
    <row r="737" spans="2:16" x14ac:dyDescent="0.25">
      <c r="B7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7" s="46"/>
      <c r="D737" s="37"/>
      <c r="E737" s="37"/>
      <c r="F737" s="37"/>
      <c r="G737" s="40" t="str">
        <f>IF(tblMovimientos[[#This Row],[Producto]]="","",TRIM(LEFT(tblMovimientos[[#This Row],[Producto]],FIND(" · ",tblMovimientos[[#This Row],[Producto]]&amp;" · ")-1)))</f>
        <v/>
      </c>
      <c r="H737" s="40" t="str">
        <f>IF(tblMovimientos[[#This Row],[SKU]]="","",IFERROR(INDEX(tblProductos[Unidad],MATCH(tblMovimientos[[#This Row],[SKU]],tblProductos[SKU],0)),"?"))</f>
        <v/>
      </c>
      <c r="I737" s="39"/>
      <c r="J737" s="47" t="str">
        <f>IF(tblMovimientos[[#This Row],[Tipo]]="","",IFERROR(INDEX(tblTiposMov[FactorStock],MATCH(tblMovimientos[[#This Row],[Tipo]],tblTiposMov[Tipo],0)),0))</f>
        <v/>
      </c>
      <c r="K7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7" s="37"/>
      <c r="O737" s="37"/>
      <c r="P737" s="37"/>
    </row>
    <row r="738" spans="2:16" x14ac:dyDescent="0.25">
      <c r="B7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8" s="46"/>
      <c r="D738" s="37"/>
      <c r="E738" s="37"/>
      <c r="F738" s="37"/>
      <c r="G738" s="40" t="str">
        <f>IF(tblMovimientos[[#This Row],[Producto]]="","",TRIM(LEFT(tblMovimientos[[#This Row],[Producto]],FIND(" · ",tblMovimientos[[#This Row],[Producto]]&amp;" · ")-1)))</f>
        <v/>
      </c>
      <c r="H738" s="40" t="str">
        <f>IF(tblMovimientos[[#This Row],[SKU]]="","",IFERROR(INDEX(tblProductos[Unidad],MATCH(tblMovimientos[[#This Row],[SKU]],tblProductos[SKU],0)),"?"))</f>
        <v/>
      </c>
      <c r="I738" s="39"/>
      <c r="J738" s="47" t="str">
        <f>IF(tblMovimientos[[#This Row],[Tipo]]="","",IFERROR(INDEX(tblTiposMov[FactorStock],MATCH(tblMovimientos[[#This Row],[Tipo]],tblTiposMov[Tipo],0)),0))</f>
        <v/>
      </c>
      <c r="K7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8" s="37"/>
      <c r="O738" s="37"/>
      <c r="P738" s="37"/>
    </row>
    <row r="739" spans="2:16" x14ac:dyDescent="0.25">
      <c r="B7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39" s="46"/>
      <c r="D739" s="37"/>
      <c r="E739" s="37"/>
      <c r="F739" s="37"/>
      <c r="G739" s="40" t="str">
        <f>IF(tblMovimientos[[#This Row],[Producto]]="","",TRIM(LEFT(tblMovimientos[[#This Row],[Producto]],FIND(" · ",tblMovimientos[[#This Row],[Producto]]&amp;" · ")-1)))</f>
        <v/>
      </c>
      <c r="H739" s="40" t="str">
        <f>IF(tblMovimientos[[#This Row],[SKU]]="","",IFERROR(INDEX(tblProductos[Unidad],MATCH(tblMovimientos[[#This Row],[SKU]],tblProductos[SKU],0)),"?"))</f>
        <v/>
      </c>
      <c r="I739" s="39"/>
      <c r="J739" s="47" t="str">
        <f>IF(tblMovimientos[[#This Row],[Tipo]]="","",IFERROR(INDEX(tblTiposMov[FactorStock],MATCH(tblMovimientos[[#This Row],[Tipo]],tblTiposMov[Tipo],0)),0))</f>
        <v/>
      </c>
      <c r="K7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39" s="37"/>
      <c r="O739" s="37"/>
      <c r="P739" s="37"/>
    </row>
    <row r="740" spans="2:16" x14ac:dyDescent="0.25">
      <c r="B7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0" s="46"/>
      <c r="D740" s="37"/>
      <c r="E740" s="37"/>
      <c r="F740" s="37"/>
      <c r="G740" s="40" t="str">
        <f>IF(tblMovimientos[[#This Row],[Producto]]="","",TRIM(LEFT(tblMovimientos[[#This Row],[Producto]],FIND(" · ",tblMovimientos[[#This Row],[Producto]]&amp;" · ")-1)))</f>
        <v/>
      </c>
      <c r="H740" s="40" t="str">
        <f>IF(tblMovimientos[[#This Row],[SKU]]="","",IFERROR(INDEX(tblProductos[Unidad],MATCH(tblMovimientos[[#This Row],[SKU]],tblProductos[SKU],0)),"?"))</f>
        <v/>
      </c>
      <c r="I740" s="39"/>
      <c r="J740" s="47" t="str">
        <f>IF(tblMovimientos[[#This Row],[Tipo]]="","",IFERROR(INDEX(tblTiposMov[FactorStock],MATCH(tblMovimientos[[#This Row],[Tipo]],tblTiposMov[Tipo],0)),0))</f>
        <v/>
      </c>
      <c r="K7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0" s="37"/>
      <c r="O740" s="37"/>
      <c r="P740" s="37"/>
    </row>
    <row r="741" spans="2:16" x14ac:dyDescent="0.25">
      <c r="B7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1" s="46"/>
      <c r="D741" s="37"/>
      <c r="E741" s="37"/>
      <c r="F741" s="37"/>
      <c r="G741" s="40" t="str">
        <f>IF(tblMovimientos[[#This Row],[Producto]]="","",TRIM(LEFT(tblMovimientos[[#This Row],[Producto]],FIND(" · ",tblMovimientos[[#This Row],[Producto]]&amp;" · ")-1)))</f>
        <v/>
      </c>
      <c r="H741" s="40" t="str">
        <f>IF(tblMovimientos[[#This Row],[SKU]]="","",IFERROR(INDEX(tblProductos[Unidad],MATCH(tblMovimientos[[#This Row],[SKU]],tblProductos[SKU],0)),"?"))</f>
        <v/>
      </c>
      <c r="I741" s="39"/>
      <c r="J741" s="47" t="str">
        <f>IF(tblMovimientos[[#This Row],[Tipo]]="","",IFERROR(INDEX(tblTiposMov[FactorStock],MATCH(tblMovimientos[[#This Row],[Tipo]],tblTiposMov[Tipo],0)),0))</f>
        <v/>
      </c>
      <c r="K7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1" s="37"/>
      <c r="O741" s="37"/>
      <c r="P741" s="37"/>
    </row>
    <row r="742" spans="2:16" x14ac:dyDescent="0.25">
      <c r="B7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2" s="46"/>
      <c r="D742" s="37"/>
      <c r="E742" s="37"/>
      <c r="F742" s="37"/>
      <c r="G742" s="40" t="str">
        <f>IF(tblMovimientos[[#This Row],[Producto]]="","",TRIM(LEFT(tblMovimientos[[#This Row],[Producto]],FIND(" · ",tblMovimientos[[#This Row],[Producto]]&amp;" · ")-1)))</f>
        <v/>
      </c>
      <c r="H742" s="40" t="str">
        <f>IF(tblMovimientos[[#This Row],[SKU]]="","",IFERROR(INDEX(tblProductos[Unidad],MATCH(tblMovimientos[[#This Row],[SKU]],tblProductos[SKU],0)),"?"))</f>
        <v/>
      </c>
      <c r="I742" s="39"/>
      <c r="J742" s="47" t="str">
        <f>IF(tblMovimientos[[#This Row],[Tipo]]="","",IFERROR(INDEX(tblTiposMov[FactorStock],MATCH(tblMovimientos[[#This Row],[Tipo]],tblTiposMov[Tipo],0)),0))</f>
        <v/>
      </c>
      <c r="K7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2" s="37"/>
      <c r="O742" s="37"/>
      <c r="P742" s="37"/>
    </row>
    <row r="743" spans="2:16" x14ac:dyDescent="0.25">
      <c r="B7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3" s="46"/>
      <c r="D743" s="37"/>
      <c r="E743" s="37"/>
      <c r="F743" s="37"/>
      <c r="G743" s="40" t="str">
        <f>IF(tblMovimientos[[#This Row],[Producto]]="","",TRIM(LEFT(tblMovimientos[[#This Row],[Producto]],FIND(" · ",tblMovimientos[[#This Row],[Producto]]&amp;" · ")-1)))</f>
        <v/>
      </c>
      <c r="H743" s="40" t="str">
        <f>IF(tblMovimientos[[#This Row],[SKU]]="","",IFERROR(INDEX(tblProductos[Unidad],MATCH(tblMovimientos[[#This Row],[SKU]],tblProductos[SKU],0)),"?"))</f>
        <v/>
      </c>
      <c r="I743" s="39"/>
      <c r="J743" s="47" t="str">
        <f>IF(tblMovimientos[[#This Row],[Tipo]]="","",IFERROR(INDEX(tblTiposMov[FactorStock],MATCH(tblMovimientos[[#This Row],[Tipo]],tblTiposMov[Tipo],0)),0))</f>
        <v/>
      </c>
      <c r="K7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3" s="37"/>
      <c r="O743" s="37"/>
      <c r="P743" s="37"/>
    </row>
    <row r="744" spans="2:16" x14ac:dyDescent="0.25">
      <c r="B7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4" s="46"/>
      <c r="D744" s="37"/>
      <c r="E744" s="37"/>
      <c r="F744" s="37"/>
      <c r="G744" s="40" t="str">
        <f>IF(tblMovimientos[[#This Row],[Producto]]="","",TRIM(LEFT(tblMovimientos[[#This Row],[Producto]],FIND(" · ",tblMovimientos[[#This Row],[Producto]]&amp;" · ")-1)))</f>
        <v/>
      </c>
      <c r="H744" s="40" t="str">
        <f>IF(tblMovimientos[[#This Row],[SKU]]="","",IFERROR(INDEX(tblProductos[Unidad],MATCH(tblMovimientos[[#This Row],[SKU]],tblProductos[SKU],0)),"?"))</f>
        <v/>
      </c>
      <c r="I744" s="39"/>
      <c r="J744" s="47" t="str">
        <f>IF(tblMovimientos[[#This Row],[Tipo]]="","",IFERROR(INDEX(tblTiposMov[FactorStock],MATCH(tblMovimientos[[#This Row],[Tipo]],tblTiposMov[Tipo],0)),0))</f>
        <v/>
      </c>
      <c r="K7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4" s="37"/>
      <c r="O744" s="37"/>
      <c r="P744" s="37"/>
    </row>
    <row r="745" spans="2:16" x14ac:dyDescent="0.25">
      <c r="B7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5" s="46"/>
      <c r="D745" s="37"/>
      <c r="E745" s="37"/>
      <c r="F745" s="37"/>
      <c r="G745" s="40" t="str">
        <f>IF(tblMovimientos[[#This Row],[Producto]]="","",TRIM(LEFT(tblMovimientos[[#This Row],[Producto]],FIND(" · ",tblMovimientos[[#This Row],[Producto]]&amp;" · ")-1)))</f>
        <v/>
      </c>
      <c r="H745" s="40" t="str">
        <f>IF(tblMovimientos[[#This Row],[SKU]]="","",IFERROR(INDEX(tblProductos[Unidad],MATCH(tblMovimientos[[#This Row],[SKU]],tblProductos[SKU],0)),"?"))</f>
        <v/>
      </c>
      <c r="I745" s="39"/>
      <c r="J745" s="47" t="str">
        <f>IF(tblMovimientos[[#This Row],[Tipo]]="","",IFERROR(INDEX(tblTiposMov[FactorStock],MATCH(tblMovimientos[[#This Row],[Tipo]],tblTiposMov[Tipo],0)),0))</f>
        <v/>
      </c>
      <c r="K7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5" s="37"/>
      <c r="O745" s="37"/>
      <c r="P745" s="37"/>
    </row>
    <row r="746" spans="2:16" x14ac:dyDescent="0.25">
      <c r="B7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6" s="46"/>
      <c r="D746" s="37"/>
      <c r="E746" s="37"/>
      <c r="F746" s="37"/>
      <c r="G746" s="40" t="str">
        <f>IF(tblMovimientos[[#This Row],[Producto]]="","",TRIM(LEFT(tblMovimientos[[#This Row],[Producto]],FIND(" · ",tblMovimientos[[#This Row],[Producto]]&amp;" · ")-1)))</f>
        <v/>
      </c>
      <c r="H746" s="40" t="str">
        <f>IF(tblMovimientos[[#This Row],[SKU]]="","",IFERROR(INDEX(tblProductos[Unidad],MATCH(tblMovimientos[[#This Row],[SKU]],tblProductos[SKU],0)),"?"))</f>
        <v/>
      </c>
      <c r="I746" s="39"/>
      <c r="J746" s="47" t="str">
        <f>IF(tblMovimientos[[#This Row],[Tipo]]="","",IFERROR(INDEX(tblTiposMov[FactorStock],MATCH(tblMovimientos[[#This Row],[Tipo]],tblTiposMov[Tipo],0)),0))</f>
        <v/>
      </c>
      <c r="K7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6" s="37"/>
      <c r="O746" s="37"/>
      <c r="P746" s="37"/>
    </row>
    <row r="747" spans="2:16" x14ac:dyDescent="0.25">
      <c r="B7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7" s="46"/>
      <c r="D747" s="37"/>
      <c r="E747" s="37"/>
      <c r="F747" s="37"/>
      <c r="G747" s="40" t="str">
        <f>IF(tblMovimientos[[#This Row],[Producto]]="","",TRIM(LEFT(tblMovimientos[[#This Row],[Producto]],FIND(" · ",tblMovimientos[[#This Row],[Producto]]&amp;" · ")-1)))</f>
        <v/>
      </c>
      <c r="H747" s="40" t="str">
        <f>IF(tblMovimientos[[#This Row],[SKU]]="","",IFERROR(INDEX(tblProductos[Unidad],MATCH(tblMovimientos[[#This Row],[SKU]],tblProductos[SKU],0)),"?"))</f>
        <v/>
      </c>
      <c r="I747" s="39"/>
      <c r="J747" s="47" t="str">
        <f>IF(tblMovimientos[[#This Row],[Tipo]]="","",IFERROR(INDEX(tblTiposMov[FactorStock],MATCH(tblMovimientos[[#This Row],[Tipo]],tblTiposMov[Tipo],0)),0))</f>
        <v/>
      </c>
      <c r="K7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7" s="37"/>
      <c r="O747" s="37"/>
      <c r="P747" s="37"/>
    </row>
    <row r="748" spans="2:16" x14ac:dyDescent="0.25">
      <c r="B7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8" s="46"/>
      <c r="D748" s="37"/>
      <c r="E748" s="37"/>
      <c r="F748" s="37"/>
      <c r="G748" s="40" t="str">
        <f>IF(tblMovimientos[[#This Row],[Producto]]="","",TRIM(LEFT(tblMovimientos[[#This Row],[Producto]],FIND(" · ",tblMovimientos[[#This Row],[Producto]]&amp;" · ")-1)))</f>
        <v/>
      </c>
      <c r="H748" s="40" t="str">
        <f>IF(tblMovimientos[[#This Row],[SKU]]="","",IFERROR(INDEX(tblProductos[Unidad],MATCH(tblMovimientos[[#This Row],[SKU]],tblProductos[SKU],0)),"?"))</f>
        <v/>
      </c>
      <c r="I748" s="39"/>
      <c r="J748" s="47" t="str">
        <f>IF(tblMovimientos[[#This Row],[Tipo]]="","",IFERROR(INDEX(tblTiposMov[FactorStock],MATCH(tblMovimientos[[#This Row],[Tipo]],tblTiposMov[Tipo],0)),0))</f>
        <v/>
      </c>
      <c r="K7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8" s="37"/>
      <c r="O748" s="37"/>
      <c r="P748" s="37"/>
    </row>
    <row r="749" spans="2:16" x14ac:dyDescent="0.25">
      <c r="B7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49" s="46"/>
      <c r="D749" s="37"/>
      <c r="E749" s="37"/>
      <c r="F749" s="37"/>
      <c r="G749" s="40" t="str">
        <f>IF(tblMovimientos[[#This Row],[Producto]]="","",TRIM(LEFT(tblMovimientos[[#This Row],[Producto]],FIND(" · ",tblMovimientos[[#This Row],[Producto]]&amp;" · ")-1)))</f>
        <v/>
      </c>
      <c r="H749" s="40" t="str">
        <f>IF(tblMovimientos[[#This Row],[SKU]]="","",IFERROR(INDEX(tblProductos[Unidad],MATCH(tblMovimientos[[#This Row],[SKU]],tblProductos[SKU],0)),"?"))</f>
        <v/>
      </c>
      <c r="I749" s="39"/>
      <c r="J749" s="47" t="str">
        <f>IF(tblMovimientos[[#This Row],[Tipo]]="","",IFERROR(INDEX(tblTiposMov[FactorStock],MATCH(tblMovimientos[[#This Row],[Tipo]],tblTiposMov[Tipo],0)),0))</f>
        <v/>
      </c>
      <c r="K7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49" s="37"/>
      <c r="O749" s="37"/>
      <c r="P749" s="37"/>
    </row>
    <row r="750" spans="2:16" x14ac:dyDescent="0.25">
      <c r="B7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0" s="46"/>
      <c r="D750" s="37"/>
      <c r="E750" s="37"/>
      <c r="F750" s="37"/>
      <c r="G750" s="40" t="str">
        <f>IF(tblMovimientos[[#This Row],[Producto]]="","",TRIM(LEFT(tblMovimientos[[#This Row],[Producto]],FIND(" · ",tblMovimientos[[#This Row],[Producto]]&amp;" · ")-1)))</f>
        <v/>
      </c>
      <c r="H750" s="40" t="str">
        <f>IF(tblMovimientos[[#This Row],[SKU]]="","",IFERROR(INDEX(tblProductos[Unidad],MATCH(tblMovimientos[[#This Row],[SKU]],tblProductos[SKU],0)),"?"))</f>
        <v/>
      </c>
      <c r="I750" s="39"/>
      <c r="J750" s="47" t="str">
        <f>IF(tblMovimientos[[#This Row],[Tipo]]="","",IFERROR(INDEX(tblTiposMov[FactorStock],MATCH(tblMovimientos[[#This Row],[Tipo]],tblTiposMov[Tipo],0)),0))</f>
        <v/>
      </c>
      <c r="K7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0" s="37"/>
      <c r="O750" s="37"/>
      <c r="P750" s="37"/>
    </row>
    <row r="751" spans="2:16" x14ac:dyDescent="0.25">
      <c r="B7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1" s="46"/>
      <c r="D751" s="37"/>
      <c r="E751" s="37"/>
      <c r="F751" s="37"/>
      <c r="G751" s="40" t="str">
        <f>IF(tblMovimientos[[#This Row],[Producto]]="","",TRIM(LEFT(tblMovimientos[[#This Row],[Producto]],FIND(" · ",tblMovimientos[[#This Row],[Producto]]&amp;" · ")-1)))</f>
        <v/>
      </c>
      <c r="H751" s="40" t="str">
        <f>IF(tblMovimientos[[#This Row],[SKU]]="","",IFERROR(INDEX(tblProductos[Unidad],MATCH(tblMovimientos[[#This Row],[SKU]],tblProductos[SKU],0)),"?"))</f>
        <v/>
      </c>
      <c r="I751" s="39"/>
      <c r="J751" s="47" t="str">
        <f>IF(tblMovimientos[[#This Row],[Tipo]]="","",IFERROR(INDEX(tblTiposMov[FactorStock],MATCH(tblMovimientos[[#This Row],[Tipo]],tblTiposMov[Tipo],0)),0))</f>
        <v/>
      </c>
      <c r="K7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1" s="37"/>
      <c r="O751" s="37"/>
      <c r="P751" s="37"/>
    </row>
    <row r="752" spans="2:16" x14ac:dyDescent="0.25">
      <c r="B7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2" s="46"/>
      <c r="D752" s="37"/>
      <c r="E752" s="37"/>
      <c r="F752" s="37"/>
      <c r="G752" s="40" t="str">
        <f>IF(tblMovimientos[[#This Row],[Producto]]="","",TRIM(LEFT(tblMovimientos[[#This Row],[Producto]],FIND(" · ",tblMovimientos[[#This Row],[Producto]]&amp;" · ")-1)))</f>
        <v/>
      </c>
      <c r="H752" s="40" t="str">
        <f>IF(tblMovimientos[[#This Row],[SKU]]="","",IFERROR(INDEX(tblProductos[Unidad],MATCH(tblMovimientos[[#This Row],[SKU]],tblProductos[SKU],0)),"?"))</f>
        <v/>
      </c>
      <c r="I752" s="39"/>
      <c r="J752" s="47" t="str">
        <f>IF(tblMovimientos[[#This Row],[Tipo]]="","",IFERROR(INDEX(tblTiposMov[FactorStock],MATCH(tblMovimientos[[#This Row],[Tipo]],tblTiposMov[Tipo],0)),0))</f>
        <v/>
      </c>
      <c r="K7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2" s="37"/>
      <c r="O752" s="37"/>
      <c r="P752" s="37"/>
    </row>
    <row r="753" spans="2:16" x14ac:dyDescent="0.25">
      <c r="B7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3" s="46"/>
      <c r="D753" s="37"/>
      <c r="E753" s="37"/>
      <c r="F753" s="37"/>
      <c r="G753" s="40" t="str">
        <f>IF(tblMovimientos[[#This Row],[Producto]]="","",TRIM(LEFT(tblMovimientos[[#This Row],[Producto]],FIND(" · ",tblMovimientos[[#This Row],[Producto]]&amp;" · ")-1)))</f>
        <v/>
      </c>
      <c r="H753" s="40" t="str">
        <f>IF(tblMovimientos[[#This Row],[SKU]]="","",IFERROR(INDEX(tblProductos[Unidad],MATCH(tblMovimientos[[#This Row],[SKU]],tblProductos[SKU],0)),"?"))</f>
        <v/>
      </c>
      <c r="I753" s="39"/>
      <c r="J753" s="47" t="str">
        <f>IF(tblMovimientos[[#This Row],[Tipo]]="","",IFERROR(INDEX(tblTiposMov[FactorStock],MATCH(tblMovimientos[[#This Row],[Tipo]],tblTiposMov[Tipo],0)),0))</f>
        <v/>
      </c>
      <c r="K7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3" s="37"/>
      <c r="O753" s="37"/>
      <c r="P753" s="37"/>
    </row>
    <row r="754" spans="2:16" x14ac:dyDescent="0.25">
      <c r="B7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4" s="46"/>
      <c r="D754" s="37"/>
      <c r="E754" s="37"/>
      <c r="F754" s="37"/>
      <c r="G754" s="40" t="str">
        <f>IF(tblMovimientos[[#This Row],[Producto]]="","",TRIM(LEFT(tblMovimientos[[#This Row],[Producto]],FIND(" · ",tblMovimientos[[#This Row],[Producto]]&amp;" · ")-1)))</f>
        <v/>
      </c>
      <c r="H754" s="40" t="str">
        <f>IF(tblMovimientos[[#This Row],[SKU]]="","",IFERROR(INDEX(tblProductos[Unidad],MATCH(tblMovimientos[[#This Row],[SKU]],tblProductos[SKU],0)),"?"))</f>
        <v/>
      </c>
      <c r="I754" s="39"/>
      <c r="J754" s="47" t="str">
        <f>IF(tblMovimientos[[#This Row],[Tipo]]="","",IFERROR(INDEX(tblTiposMov[FactorStock],MATCH(tblMovimientos[[#This Row],[Tipo]],tblTiposMov[Tipo],0)),0))</f>
        <v/>
      </c>
      <c r="K7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4" s="37"/>
      <c r="O754" s="37"/>
      <c r="P754" s="37"/>
    </row>
    <row r="755" spans="2:16" x14ac:dyDescent="0.25">
      <c r="B7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5" s="46"/>
      <c r="D755" s="37"/>
      <c r="E755" s="37"/>
      <c r="F755" s="37"/>
      <c r="G755" s="40" t="str">
        <f>IF(tblMovimientos[[#This Row],[Producto]]="","",TRIM(LEFT(tblMovimientos[[#This Row],[Producto]],FIND(" · ",tblMovimientos[[#This Row],[Producto]]&amp;" · ")-1)))</f>
        <v/>
      </c>
      <c r="H755" s="40" t="str">
        <f>IF(tblMovimientos[[#This Row],[SKU]]="","",IFERROR(INDEX(tblProductos[Unidad],MATCH(tblMovimientos[[#This Row],[SKU]],tblProductos[SKU],0)),"?"))</f>
        <v/>
      </c>
      <c r="I755" s="39"/>
      <c r="J755" s="47" t="str">
        <f>IF(tblMovimientos[[#This Row],[Tipo]]="","",IFERROR(INDEX(tblTiposMov[FactorStock],MATCH(tblMovimientos[[#This Row],[Tipo]],tblTiposMov[Tipo],0)),0))</f>
        <v/>
      </c>
      <c r="K7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5" s="37"/>
      <c r="O755" s="37"/>
      <c r="P755" s="37"/>
    </row>
    <row r="756" spans="2:16" x14ac:dyDescent="0.25">
      <c r="B7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6" s="46"/>
      <c r="D756" s="37"/>
      <c r="E756" s="37"/>
      <c r="F756" s="37"/>
      <c r="G756" s="40" t="str">
        <f>IF(tblMovimientos[[#This Row],[Producto]]="","",TRIM(LEFT(tblMovimientos[[#This Row],[Producto]],FIND(" · ",tblMovimientos[[#This Row],[Producto]]&amp;" · ")-1)))</f>
        <v/>
      </c>
      <c r="H756" s="40" t="str">
        <f>IF(tblMovimientos[[#This Row],[SKU]]="","",IFERROR(INDEX(tblProductos[Unidad],MATCH(tblMovimientos[[#This Row],[SKU]],tblProductos[SKU],0)),"?"))</f>
        <v/>
      </c>
      <c r="I756" s="39"/>
      <c r="J756" s="47" t="str">
        <f>IF(tblMovimientos[[#This Row],[Tipo]]="","",IFERROR(INDEX(tblTiposMov[FactorStock],MATCH(tblMovimientos[[#This Row],[Tipo]],tblTiposMov[Tipo],0)),0))</f>
        <v/>
      </c>
      <c r="K7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6" s="37"/>
      <c r="O756" s="37"/>
      <c r="P756" s="37"/>
    </row>
    <row r="757" spans="2:16" x14ac:dyDescent="0.25">
      <c r="B7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7" s="46"/>
      <c r="D757" s="37"/>
      <c r="E757" s="37"/>
      <c r="F757" s="37"/>
      <c r="G757" s="40" t="str">
        <f>IF(tblMovimientos[[#This Row],[Producto]]="","",TRIM(LEFT(tblMovimientos[[#This Row],[Producto]],FIND(" · ",tblMovimientos[[#This Row],[Producto]]&amp;" · ")-1)))</f>
        <v/>
      </c>
      <c r="H757" s="40" t="str">
        <f>IF(tblMovimientos[[#This Row],[SKU]]="","",IFERROR(INDEX(tblProductos[Unidad],MATCH(tblMovimientos[[#This Row],[SKU]],tblProductos[SKU],0)),"?"))</f>
        <v/>
      </c>
      <c r="I757" s="39"/>
      <c r="J757" s="47" t="str">
        <f>IF(tblMovimientos[[#This Row],[Tipo]]="","",IFERROR(INDEX(tblTiposMov[FactorStock],MATCH(tblMovimientos[[#This Row],[Tipo]],tblTiposMov[Tipo],0)),0))</f>
        <v/>
      </c>
      <c r="K7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7" s="37"/>
      <c r="O757" s="37"/>
      <c r="P757" s="37"/>
    </row>
    <row r="758" spans="2:16" x14ac:dyDescent="0.25">
      <c r="B7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8" s="46"/>
      <c r="D758" s="37"/>
      <c r="E758" s="37"/>
      <c r="F758" s="37"/>
      <c r="G758" s="40" t="str">
        <f>IF(tblMovimientos[[#This Row],[Producto]]="","",TRIM(LEFT(tblMovimientos[[#This Row],[Producto]],FIND(" · ",tblMovimientos[[#This Row],[Producto]]&amp;" · ")-1)))</f>
        <v/>
      </c>
      <c r="H758" s="40" t="str">
        <f>IF(tblMovimientos[[#This Row],[SKU]]="","",IFERROR(INDEX(tblProductos[Unidad],MATCH(tblMovimientos[[#This Row],[SKU]],tblProductos[SKU],0)),"?"))</f>
        <v/>
      </c>
      <c r="I758" s="39"/>
      <c r="J758" s="47" t="str">
        <f>IF(tblMovimientos[[#This Row],[Tipo]]="","",IFERROR(INDEX(tblTiposMov[FactorStock],MATCH(tblMovimientos[[#This Row],[Tipo]],tblTiposMov[Tipo],0)),0))</f>
        <v/>
      </c>
      <c r="K7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8" s="37"/>
      <c r="O758" s="37"/>
      <c r="P758" s="37"/>
    </row>
    <row r="759" spans="2:16" x14ac:dyDescent="0.25">
      <c r="B7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59" s="46"/>
      <c r="D759" s="37"/>
      <c r="E759" s="37"/>
      <c r="F759" s="37"/>
      <c r="G759" s="40" t="str">
        <f>IF(tblMovimientos[[#This Row],[Producto]]="","",TRIM(LEFT(tblMovimientos[[#This Row],[Producto]],FIND(" · ",tblMovimientos[[#This Row],[Producto]]&amp;" · ")-1)))</f>
        <v/>
      </c>
      <c r="H759" s="40" t="str">
        <f>IF(tblMovimientos[[#This Row],[SKU]]="","",IFERROR(INDEX(tblProductos[Unidad],MATCH(tblMovimientos[[#This Row],[SKU]],tblProductos[SKU],0)),"?"))</f>
        <v/>
      </c>
      <c r="I759" s="39"/>
      <c r="J759" s="47" t="str">
        <f>IF(tblMovimientos[[#This Row],[Tipo]]="","",IFERROR(INDEX(tblTiposMov[FactorStock],MATCH(tblMovimientos[[#This Row],[Tipo]],tblTiposMov[Tipo],0)),0))</f>
        <v/>
      </c>
      <c r="K7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59" s="37"/>
      <c r="O759" s="37"/>
      <c r="P759" s="37"/>
    </row>
    <row r="760" spans="2:16" x14ac:dyDescent="0.25">
      <c r="B7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0" s="46"/>
      <c r="D760" s="37"/>
      <c r="E760" s="37"/>
      <c r="F760" s="37"/>
      <c r="G760" s="40" t="str">
        <f>IF(tblMovimientos[[#This Row],[Producto]]="","",TRIM(LEFT(tblMovimientos[[#This Row],[Producto]],FIND(" · ",tblMovimientos[[#This Row],[Producto]]&amp;" · ")-1)))</f>
        <v/>
      </c>
      <c r="H760" s="40" t="str">
        <f>IF(tblMovimientos[[#This Row],[SKU]]="","",IFERROR(INDEX(tblProductos[Unidad],MATCH(tblMovimientos[[#This Row],[SKU]],tblProductos[SKU],0)),"?"))</f>
        <v/>
      </c>
      <c r="I760" s="39"/>
      <c r="J760" s="47" t="str">
        <f>IF(tblMovimientos[[#This Row],[Tipo]]="","",IFERROR(INDEX(tblTiposMov[FactorStock],MATCH(tblMovimientos[[#This Row],[Tipo]],tblTiposMov[Tipo],0)),0))</f>
        <v/>
      </c>
      <c r="K7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0" s="37"/>
      <c r="O760" s="37"/>
      <c r="P760" s="37"/>
    </row>
    <row r="761" spans="2:16" x14ac:dyDescent="0.25">
      <c r="B7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1" s="46"/>
      <c r="D761" s="37"/>
      <c r="E761" s="37"/>
      <c r="F761" s="37"/>
      <c r="G761" s="40" t="str">
        <f>IF(tblMovimientos[[#This Row],[Producto]]="","",TRIM(LEFT(tblMovimientos[[#This Row],[Producto]],FIND(" · ",tblMovimientos[[#This Row],[Producto]]&amp;" · ")-1)))</f>
        <v/>
      </c>
      <c r="H761" s="40" t="str">
        <f>IF(tblMovimientos[[#This Row],[SKU]]="","",IFERROR(INDEX(tblProductos[Unidad],MATCH(tblMovimientos[[#This Row],[SKU]],tblProductos[SKU],0)),"?"))</f>
        <v/>
      </c>
      <c r="I761" s="39"/>
      <c r="J761" s="47" t="str">
        <f>IF(tblMovimientos[[#This Row],[Tipo]]="","",IFERROR(INDEX(tblTiposMov[FactorStock],MATCH(tblMovimientos[[#This Row],[Tipo]],tblTiposMov[Tipo],0)),0))</f>
        <v/>
      </c>
      <c r="K7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1" s="37"/>
      <c r="O761" s="37"/>
      <c r="P761" s="37"/>
    </row>
    <row r="762" spans="2:16" x14ac:dyDescent="0.25">
      <c r="B7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2" s="46"/>
      <c r="D762" s="37"/>
      <c r="E762" s="37"/>
      <c r="F762" s="37"/>
      <c r="G762" s="40" t="str">
        <f>IF(tblMovimientos[[#This Row],[Producto]]="","",TRIM(LEFT(tblMovimientos[[#This Row],[Producto]],FIND(" · ",tblMovimientos[[#This Row],[Producto]]&amp;" · ")-1)))</f>
        <v/>
      </c>
      <c r="H762" s="40" t="str">
        <f>IF(tblMovimientos[[#This Row],[SKU]]="","",IFERROR(INDEX(tblProductos[Unidad],MATCH(tblMovimientos[[#This Row],[SKU]],tblProductos[SKU],0)),"?"))</f>
        <v/>
      </c>
      <c r="I762" s="39"/>
      <c r="J762" s="47" t="str">
        <f>IF(tblMovimientos[[#This Row],[Tipo]]="","",IFERROR(INDEX(tblTiposMov[FactorStock],MATCH(tblMovimientos[[#This Row],[Tipo]],tblTiposMov[Tipo],0)),0))</f>
        <v/>
      </c>
      <c r="K7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2" s="37"/>
      <c r="O762" s="37"/>
      <c r="P762" s="37"/>
    </row>
    <row r="763" spans="2:16" x14ac:dyDescent="0.25">
      <c r="B7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3" s="46"/>
      <c r="D763" s="37"/>
      <c r="E763" s="37"/>
      <c r="F763" s="37"/>
      <c r="G763" s="40" t="str">
        <f>IF(tblMovimientos[[#This Row],[Producto]]="","",TRIM(LEFT(tblMovimientos[[#This Row],[Producto]],FIND(" · ",tblMovimientos[[#This Row],[Producto]]&amp;" · ")-1)))</f>
        <v/>
      </c>
      <c r="H763" s="40" t="str">
        <f>IF(tblMovimientos[[#This Row],[SKU]]="","",IFERROR(INDEX(tblProductos[Unidad],MATCH(tblMovimientos[[#This Row],[SKU]],tblProductos[SKU],0)),"?"))</f>
        <v/>
      </c>
      <c r="I763" s="39"/>
      <c r="J763" s="47" t="str">
        <f>IF(tblMovimientos[[#This Row],[Tipo]]="","",IFERROR(INDEX(tblTiposMov[FactorStock],MATCH(tblMovimientos[[#This Row],[Tipo]],tblTiposMov[Tipo],0)),0))</f>
        <v/>
      </c>
      <c r="K7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3" s="37"/>
      <c r="O763" s="37"/>
      <c r="P763" s="37"/>
    </row>
    <row r="764" spans="2:16" x14ac:dyDescent="0.25">
      <c r="B7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4" s="46"/>
      <c r="D764" s="37"/>
      <c r="E764" s="37"/>
      <c r="F764" s="37"/>
      <c r="G764" s="40" t="str">
        <f>IF(tblMovimientos[[#This Row],[Producto]]="","",TRIM(LEFT(tblMovimientos[[#This Row],[Producto]],FIND(" · ",tblMovimientos[[#This Row],[Producto]]&amp;" · ")-1)))</f>
        <v/>
      </c>
      <c r="H764" s="40" t="str">
        <f>IF(tblMovimientos[[#This Row],[SKU]]="","",IFERROR(INDEX(tblProductos[Unidad],MATCH(tblMovimientos[[#This Row],[SKU]],tblProductos[SKU],0)),"?"))</f>
        <v/>
      </c>
      <c r="I764" s="39"/>
      <c r="J764" s="47" t="str">
        <f>IF(tblMovimientos[[#This Row],[Tipo]]="","",IFERROR(INDEX(tblTiposMov[FactorStock],MATCH(tblMovimientos[[#This Row],[Tipo]],tblTiposMov[Tipo],0)),0))</f>
        <v/>
      </c>
      <c r="K7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4" s="37"/>
      <c r="O764" s="37"/>
      <c r="P764" s="37"/>
    </row>
    <row r="765" spans="2:16" x14ac:dyDescent="0.25">
      <c r="B7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5" s="46"/>
      <c r="D765" s="37"/>
      <c r="E765" s="37"/>
      <c r="F765" s="37"/>
      <c r="G765" s="40" t="str">
        <f>IF(tblMovimientos[[#This Row],[Producto]]="","",TRIM(LEFT(tblMovimientos[[#This Row],[Producto]],FIND(" · ",tblMovimientos[[#This Row],[Producto]]&amp;" · ")-1)))</f>
        <v/>
      </c>
      <c r="H765" s="40" t="str">
        <f>IF(tblMovimientos[[#This Row],[SKU]]="","",IFERROR(INDEX(tblProductos[Unidad],MATCH(tblMovimientos[[#This Row],[SKU]],tblProductos[SKU],0)),"?"))</f>
        <v/>
      </c>
      <c r="I765" s="39"/>
      <c r="J765" s="47" t="str">
        <f>IF(tblMovimientos[[#This Row],[Tipo]]="","",IFERROR(INDEX(tblTiposMov[FactorStock],MATCH(tblMovimientos[[#This Row],[Tipo]],tblTiposMov[Tipo],0)),0))</f>
        <v/>
      </c>
      <c r="K7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5" s="37"/>
      <c r="O765" s="37"/>
      <c r="P765" s="37"/>
    </row>
    <row r="766" spans="2:16" x14ac:dyDescent="0.25">
      <c r="B7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6" s="46"/>
      <c r="D766" s="37"/>
      <c r="E766" s="37"/>
      <c r="F766" s="37"/>
      <c r="G766" s="40" t="str">
        <f>IF(tblMovimientos[[#This Row],[Producto]]="","",TRIM(LEFT(tblMovimientos[[#This Row],[Producto]],FIND(" · ",tblMovimientos[[#This Row],[Producto]]&amp;" · ")-1)))</f>
        <v/>
      </c>
      <c r="H766" s="40" t="str">
        <f>IF(tblMovimientos[[#This Row],[SKU]]="","",IFERROR(INDEX(tblProductos[Unidad],MATCH(tblMovimientos[[#This Row],[SKU]],tblProductos[SKU],0)),"?"))</f>
        <v/>
      </c>
      <c r="I766" s="39"/>
      <c r="J766" s="47" t="str">
        <f>IF(tblMovimientos[[#This Row],[Tipo]]="","",IFERROR(INDEX(tblTiposMov[FactorStock],MATCH(tblMovimientos[[#This Row],[Tipo]],tblTiposMov[Tipo],0)),0))</f>
        <v/>
      </c>
      <c r="K7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6" s="37"/>
      <c r="O766" s="37"/>
      <c r="P766" s="37"/>
    </row>
    <row r="767" spans="2:16" x14ac:dyDescent="0.25">
      <c r="B7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7" s="46"/>
      <c r="D767" s="37"/>
      <c r="E767" s="37"/>
      <c r="F767" s="37"/>
      <c r="G767" s="40" t="str">
        <f>IF(tblMovimientos[[#This Row],[Producto]]="","",TRIM(LEFT(tblMovimientos[[#This Row],[Producto]],FIND(" · ",tblMovimientos[[#This Row],[Producto]]&amp;" · ")-1)))</f>
        <v/>
      </c>
      <c r="H767" s="40" t="str">
        <f>IF(tblMovimientos[[#This Row],[SKU]]="","",IFERROR(INDEX(tblProductos[Unidad],MATCH(tblMovimientos[[#This Row],[SKU]],tblProductos[SKU],0)),"?"))</f>
        <v/>
      </c>
      <c r="I767" s="39"/>
      <c r="J767" s="47" t="str">
        <f>IF(tblMovimientos[[#This Row],[Tipo]]="","",IFERROR(INDEX(tblTiposMov[FactorStock],MATCH(tblMovimientos[[#This Row],[Tipo]],tblTiposMov[Tipo],0)),0))</f>
        <v/>
      </c>
      <c r="K7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7" s="37"/>
      <c r="O767" s="37"/>
      <c r="P767" s="37"/>
    </row>
    <row r="768" spans="2:16" x14ac:dyDescent="0.25">
      <c r="B7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8" s="46"/>
      <c r="D768" s="37"/>
      <c r="E768" s="37"/>
      <c r="F768" s="37"/>
      <c r="G768" s="40" t="str">
        <f>IF(tblMovimientos[[#This Row],[Producto]]="","",TRIM(LEFT(tblMovimientos[[#This Row],[Producto]],FIND(" · ",tblMovimientos[[#This Row],[Producto]]&amp;" · ")-1)))</f>
        <v/>
      </c>
      <c r="H768" s="40" t="str">
        <f>IF(tblMovimientos[[#This Row],[SKU]]="","",IFERROR(INDEX(tblProductos[Unidad],MATCH(tblMovimientos[[#This Row],[SKU]],tblProductos[SKU],0)),"?"))</f>
        <v/>
      </c>
      <c r="I768" s="39"/>
      <c r="J768" s="47" t="str">
        <f>IF(tblMovimientos[[#This Row],[Tipo]]="","",IFERROR(INDEX(tblTiposMov[FactorStock],MATCH(tblMovimientos[[#This Row],[Tipo]],tblTiposMov[Tipo],0)),0))</f>
        <v/>
      </c>
      <c r="K7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8" s="37"/>
      <c r="O768" s="37"/>
      <c r="P768" s="37"/>
    </row>
    <row r="769" spans="2:16" x14ac:dyDescent="0.25">
      <c r="B7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69" s="46"/>
      <c r="D769" s="37"/>
      <c r="E769" s="37"/>
      <c r="F769" s="37"/>
      <c r="G769" s="40" t="str">
        <f>IF(tblMovimientos[[#This Row],[Producto]]="","",TRIM(LEFT(tblMovimientos[[#This Row],[Producto]],FIND(" · ",tblMovimientos[[#This Row],[Producto]]&amp;" · ")-1)))</f>
        <v/>
      </c>
      <c r="H769" s="40" t="str">
        <f>IF(tblMovimientos[[#This Row],[SKU]]="","",IFERROR(INDEX(tblProductos[Unidad],MATCH(tblMovimientos[[#This Row],[SKU]],tblProductos[SKU],0)),"?"))</f>
        <v/>
      </c>
      <c r="I769" s="39"/>
      <c r="J769" s="47" t="str">
        <f>IF(tblMovimientos[[#This Row],[Tipo]]="","",IFERROR(INDEX(tblTiposMov[FactorStock],MATCH(tblMovimientos[[#This Row],[Tipo]],tblTiposMov[Tipo],0)),0))</f>
        <v/>
      </c>
      <c r="K7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69" s="37"/>
      <c r="O769" s="37"/>
      <c r="P769" s="37"/>
    </row>
    <row r="770" spans="2:16" x14ac:dyDescent="0.25">
      <c r="B7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0" s="46"/>
      <c r="D770" s="37"/>
      <c r="E770" s="37"/>
      <c r="F770" s="37"/>
      <c r="G770" s="40" t="str">
        <f>IF(tblMovimientos[[#This Row],[Producto]]="","",TRIM(LEFT(tblMovimientos[[#This Row],[Producto]],FIND(" · ",tblMovimientos[[#This Row],[Producto]]&amp;" · ")-1)))</f>
        <v/>
      </c>
      <c r="H770" s="40" t="str">
        <f>IF(tblMovimientos[[#This Row],[SKU]]="","",IFERROR(INDEX(tblProductos[Unidad],MATCH(tblMovimientos[[#This Row],[SKU]],tblProductos[SKU],0)),"?"))</f>
        <v/>
      </c>
      <c r="I770" s="39"/>
      <c r="J770" s="47" t="str">
        <f>IF(tblMovimientos[[#This Row],[Tipo]]="","",IFERROR(INDEX(tblTiposMov[FactorStock],MATCH(tblMovimientos[[#This Row],[Tipo]],tblTiposMov[Tipo],0)),0))</f>
        <v/>
      </c>
      <c r="K7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0" s="37"/>
      <c r="O770" s="37"/>
      <c r="P770" s="37"/>
    </row>
    <row r="771" spans="2:16" x14ac:dyDescent="0.25">
      <c r="B7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1" s="46"/>
      <c r="D771" s="37"/>
      <c r="E771" s="37"/>
      <c r="F771" s="37"/>
      <c r="G771" s="40" t="str">
        <f>IF(tblMovimientos[[#This Row],[Producto]]="","",TRIM(LEFT(tblMovimientos[[#This Row],[Producto]],FIND(" · ",tblMovimientos[[#This Row],[Producto]]&amp;" · ")-1)))</f>
        <v/>
      </c>
      <c r="H771" s="40" t="str">
        <f>IF(tblMovimientos[[#This Row],[SKU]]="","",IFERROR(INDEX(tblProductos[Unidad],MATCH(tblMovimientos[[#This Row],[SKU]],tblProductos[SKU],0)),"?"))</f>
        <v/>
      </c>
      <c r="I771" s="39"/>
      <c r="J771" s="47" t="str">
        <f>IF(tblMovimientos[[#This Row],[Tipo]]="","",IFERROR(INDEX(tblTiposMov[FactorStock],MATCH(tblMovimientos[[#This Row],[Tipo]],tblTiposMov[Tipo],0)),0))</f>
        <v/>
      </c>
      <c r="K7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1" s="37"/>
      <c r="O771" s="37"/>
      <c r="P771" s="37"/>
    </row>
    <row r="772" spans="2:16" x14ac:dyDescent="0.25">
      <c r="B7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2" s="46"/>
      <c r="D772" s="37"/>
      <c r="E772" s="37"/>
      <c r="F772" s="37"/>
      <c r="G772" s="40" t="str">
        <f>IF(tblMovimientos[[#This Row],[Producto]]="","",TRIM(LEFT(tblMovimientos[[#This Row],[Producto]],FIND(" · ",tblMovimientos[[#This Row],[Producto]]&amp;" · ")-1)))</f>
        <v/>
      </c>
      <c r="H772" s="40" t="str">
        <f>IF(tblMovimientos[[#This Row],[SKU]]="","",IFERROR(INDEX(tblProductos[Unidad],MATCH(tblMovimientos[[#This Row],[SKU]],tblProductos[SKU],0)),"?"))</f>
        <v/>
      </c>
      <c r="I772" s="39"/>
      <c r="J772" s="47" t="str">
        <f>IF(tblMovimientos[[#This Row],[Tipo]]="","",IFERROR(INDEX(tblTiposMov[FactorStock],MATCH(tblMovimientos[[#This Row],[Tipo]],tblTiposMov[Tipo],0)),0))</f>
        <v/>
      </c>
      <c r="K7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2" s="37"/>
      <c r="O772" s="37"/>
      <c r="P772" s="37"/>
    </row>
    <row r="773" spans="2:16" x14ac:dyDescent="0.25">
      <c r="B7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3" s="46"/>
      <c r="D773" s="37"/>
      <c r="E773" s="37"/>
      <c r="F773" s="37"/>
      <c r="G773" s="40" t="str">
        <f>IF(tblMovimientos[[#This Row],[Producto]]="","",TRIM(LEFT(tblMovimientos[[#This Row],[Producto]],FIND(" · ",tblMovimientos[[#This Row],[Producto]]&amp;" · ")-1)))</f>
        <v/>
      </c>
      <c r="H773" s="40" t="str">
        <f>IF(tblMovimientos[[#This Row],[SKU]]="","",IFERROR(INDEX(tblProductos[Unidad],MATCH(tblMovimientos[[#This Row],[SKU]],tblProductos[SKU],0)),"?"))</f>
        <v/>
      </c>
      <c r="I773" s="39"/>
      <c r="J773" s="47" t="str">
        <f>IF(tblMovimientos[[#This Row],[Tipo]]="","",IFERROR(INDEX(tblTiposMov[FactorStock],MATCH(tblMovimientos[[#This Row],[Tipo]],tblTiposMov[Tipo],0)),0))</f>
        <v/>
      </c>
      <c r="K7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3" s="37"/>
      <c r="O773" s="37"/>
      <c r="P773" s="37"/>
    </row>
    <row r="774" spans="2:16" x14ac:dyDescent="0.25">
      <c r="B7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4" s="46"/>
      <c r="D774" s="37"/>
      <c r="E774" s="37"/>
      <c r="F774" s="37"/>
      <c r="G774" s="40" t="str">
        <f>IF(tblMovimientos[[#This Row],[Producto]]="","",TRIM(LEFT(tblMovimientos[[#This Row],[Producto]],FIND(" · ",tblMovimientos[[#This Row],[Producto]]&amp;" · ")-1)))</f>
        <v/>
      </c>
      <c r="H774" s="40" t="str">
        <f>IF(tblMovimientos[[#This Row],[SKU]]="","",IFERROR(INDEX(tblProductos[Unidad],MATCH(tblMovimientos[[#This Row],[SKU]],tblProductos[SKU],0)),"?"))</f>
        <v/>
      </c>
      <c r="I774" s="39"/>
      <c r="J774" s="47" t="str">
        <f>IF(tblMovimientos[[#This Row],[Tipo]]="","",IFERROR(INDEX(tblTiposMov[FactorStock],MATCH(tblMovimientos[[#This Row],[Tipo]],tblTiposMov[Tipo],0)),0))</f>
        <v/>
      </c>
      <c r="K7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4" s="37"/>
      <c r="O774" s="37"/>
      <c r="P774" s="37"/>
    </row>
    <row r="775" spans="2:16" x14ac:dyDescent="0.25">
      <c r="B7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5" s="46"/>
      <c r="D775" s="37"/>
      <c r="E775" s="37"/>
      <c r="F775" s="37"/>
      <c r="G775" s="40" t="str">
        <f>IF(tblMovimientos[[#This Row],[Producto]]="","",TRIM(LEFT(tblMovimientos[[#This Row],[Producto]],FIND(" · ",tblMovimientos[[#This Row],[Producto]]&amp;" · ")-1)))</f>
        <v/>
      </c>
      <c r="H775" s="40" t="str">
        <f>IF(tblMovimientos[[#This Row],[SKU]]="","",IFERROR(INDEX(tblProductos[Unidad],MATCH(tblMovimientos[[#This Row],[SKU]],tblProductos[SKU],0)),"?"))</f>
        <v/>
      </c>
      <c r="I775" s="39"/>
      <c r="J775" s="47" t="str">
        <f>IF(tblMovimientos[[#This Row],[Tipo]]="","",IFERROR(INDEX(tblTiposMov[FactorStock],MATCH(tblMovimientos[[#This Row],[Tipo]],tblTiposMov[Tipo],0)),0))</f>
        <v/>
      </c>
      <c r="K7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5" s="37"/>
      <c r="O775" s="37"/>
      <c r="P775" s="37"/>
    </row>
    <row r="776" spans="2:16" x14ac:dyDescent="0.25">
      <c r="B7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6" s="46"/>
      <c r="D776" s="37"/>
      <c r="E776" s="37"/>
      <c r="F776" s="37"/>
      <c r="G776" s="40" t="str">
        <f>IF(tblMovimientos[[#This Row],[Producto]]="","",TRIM(LEFT(tblMovimientos[[#This Row],[Producto]],FIND(" · ",tblMovimientos[[#This Row],[Producto]]&amp;" · ")-1)))</f>
        <v/>
      </c>
      <c r="H776" s="40" t="str">
        <f>IF(tblMovimientos[[#This Row],[SKU]]="","",IFERROR(INDEX(tblProductos[Unidad],MATCH(tblMovimientos[[#This Row],[SKU]],tblProductos[SKU],0)),"?"))</f>
        <v/>
      </c>
      <c r="I776" s="39"/>
      <c r="J776" s="47" t="str">
        <f>IF(tblMovimientos[[#This Row],[Tipo]]="","",IFERROR(INDEX(tblTiposMov[FactorStock],MATCH(tblMovimientos[[#This Row],[Tipo]],tblTiposMov[Tipo],0)),0))</f>
        <v/>
      </c>
      <c r="K7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6" s="37"/>
      <c r="O776" s="37"/>
      <c r="P776" s="37"/>
    </row>
    <row r="777" spans="2:16" x14ac:dyDescent="0.25">
      <c r="B7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7" s="46"/>
      <c r="D777" s="37"/>
      <c r="E777" s="37"/>
      <c r="F777" s="37"/>
      <c r="G777" s="40" t="str">
        <f>IF(tblMovimientos[[#This Row],[Producto]]="","",TRIM(LEFT(tblMovimientos[[#This Row],[Producto]],FIND(" · ",tblMovimientos[[#This Row],[Producto]]&amp;" · ")-1)))</f>
        <v/>
      </c>
      <c r="H777" s="40" t="str">
        <f>IF(tblMovimientos[[#This Row],[SKU]]="","",IFERROR(INDEX(tblProductos[Unidad],MATCH(tblMovimientos[[#This Row],[SKU]],tblProductos[SKU],0)),"?"))</f>
        <v/>
      </c>
      <c r="I777" s="39"/>
      <c r="J777" s="47" t="str">
        <f>IF(tblMovimientos[[#This Row],[Tipo]]="","",IFERROR(INDEX(tblTiposMov[FactorStock],MATCH(tblMovimientos[[#This Row],[Tipo]],tblTiposMov[Tipo],0)),0))</f>
        <v/>
      </c>
      <c r="K7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7" s="37"/>
      <c r="O777" s="37"/>
      <c r="P777" s="37"/>
    </row>
    <row r="778" spans="2:16" x14ac:dyDescent="0.25">
      <c r="B7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8" s="46"/>
      <c r="D778" s="37"/>
      <c r="E778" s="37"/>
      <c r="F778" s="37"/>
      <c r="G778" s="40" t="str">
        <f>IF(tblMovimientos[[#This Row],[Producto]]="","",TRIM(LEFT(tblMovimientos[[#This Row],[Producto]],FIND(" · ",tblMovimientos[[#This Row],[Producto]]&amp;" · ")-1)))</f>
        <v/>
      </c>
      <c r="H778" s="40" t="str">
        <f>IF(tblMovimientos[[#This Row],[SKU]]="","",IFERROR(INDEX(tblProductos[Unidad],MATCH(tblMovimientos[[#This Row],[SKU]],tblProductos[SKU],0)),"?"))</f>
        <v/>
      </c>
      <c r="I778" s="39"/>
      <c r="J778" s="47" t="str">
        <f>IF(tblMovimientos[[#This Row],[Tipo]]="","",IFERROR(INDEX(tblTiposMov[FactorStock],MATCH(tblMovimientos[[#This Row],[Tipo]],tblTiposMov[Tipo],0)),0))</f>
        <v/>
      </c>
      <c r="K7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8" s="37"/>
      <c r="O778" s="37"/>
      <c r="P778" s="37"/>
    </row>
    <row r="779" spans="2:16" x14ac:dyDescent="0.25">
      <c r="B7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79" s="46"/>
      <c r="D779" s="37"/>
      <c r="E779" s="37"/>
      <c r="F779" s="37"/>
      <c r="G779" s="40" t="str">
        <f>IF(tblMovimientos[[#This Row],[Producto]]="","",TRIM(LEFT(tblMovimientos[[#This Row],[Producto]],FIND(" · ",tblMovimientos[[#This Row],[Producto]]&amp;" · ")-1)))</f>
        <v/>
      </c>
      <c r="H779" s="40" t="str">
        <f>IF(tblMovimientos[[#This Row],[SKU]]="","",IFERROR(INDEX(tblProductos[Unidad],MATCH(tblMovimientos[[#This Row],[SKU]],tblProductos[SKU],0)),"?"))</f>
        <v/>
      </c>
      <c r="I779" s="39"/>
      <c r="J779" s="47" t="str">
        <f>IF(tblMovimientos[[#This Row],[Tipo]]="","",IFERROR(INDEX(tblTiposMov[FactorStock],MATCH(tblMovimientos[[#This Row],[Tipo]],tblTiposMov[Tipo],0)),0))</f>
        <v/>
      </c>
      <c r="K7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79" s="37"/>
      <c r="O779" s="37"/>
      <c r="P779" s="37"/>
    </row>
    <row r="780" spans="2:16" x14ac:dyDescent="0.25">
      <c r="B7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0" s="46"/>
      <c r="D780" s="37"/>
      <c r="E780" s="37"/>
      <c r="F780" s="37"/>
      <c r="G780" s="40" t="str">
        <f>IF(tblMovimientos[[#This Row],[Producto]]="","",TRIM(LEFT(tblMovimientos[[#This Row],[Producto]],FIND(" · ",tblMovimientos[[#This Row],[Producto]]&amp;" · ")-1)))</f>
        <v/>
      </c>
      <c r="H780" s="40" t="str">
        <f>IF(tblMovimientos[[#This Row],[SKU]]="","",IFERROR(INDEX(tblProductos[Unidad],MATCH(tblMovimientos[[#This Row],[SKU]],tblProductos[SKU],0)),"?"))</f>
        <v/>
      </c>
      <c r="I780" s="39"/>
      <c r="J780" s="47" t="str">
        <f>IF(tblMovimientos[[#This Row],[Tipo]]="","",IFERROR(INDEX(tblTiposMov[FactorStock],MATCH(tblMovimientos[[#This Row],[Tipo]],tblTiposMov[Tipo],0)),0))</f>
        <v/>
      </c>
      <c r="K7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0" s="37"/>
      <c r="O780" s="37"/>
      <c r="P780" s="37"/>
    </row>
    <row r="781" spans="2:16" x14ac:dyDescent="0.25">
      <c r="B7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1" s="46"/>
      <c r="D781" s="37"/>
      <c r="E781" s="37"/>
      <c r="F781" s="37"/>
      <c r="G781" s="40" t="str">
        <f>IF(tblMovimientos[[#This Row],[Producto]]="","",TRIM(LEFT(tblMovimientos[[#This Row],[Producto]],FIND(" · ",tblMovimientos[[#This Row],[Producto]]&amp;" · ")-1)))</f>
        <v/>
      </c>
      <c r="H781" s="40" t="str">
        <f>IF(tblMovimientos[[#This Row],[SKU]]="","",IFERROR(INDEX(tblProductos[Unidad],MATCH(tblMovimientos[[#This Row],[SKU]],tblProductos[SKU],0)),"?"))</f>
        <v/>
      </c>
      <c r="I781" s="39"/>
      <c r="J781" s="47" t="str">
        <f>IF(tblMovimientos[[#This Row],[Tipo]]="","",IFERROR(INDEX(tblTiposMov[FactorStock],MATCH(tblMovimientos[[#This Row],[Tipo]],tblTiposMov[Tipo],0)),0))</f>
        <v/>
      </c>
      <c r="K7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1" s="37"/>
      <c r="O781" s="37"/>
      <c r="P781" s="37"/>
    </row>
    <row r="782" spans="2:16" x14ac:dyDescent="0.25">
      <c r="B7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2" s="46"/>
      <c r="D782" s="37"/>
      <c r="E782" s="37"/>
      <c r="F782" s="37"/>
      <c r="G782" s="40" t="str">
        <f>IF(tblMovimientos[[#This Row],[Producto]]="","",TRIM(LEFT(tblMovimientos[[#This Row],[Producto]],FIND(" · ",tblMovimientos[[#This Row],[Producto]]&amp;" · ")-1)))</f>
        <v/>
      </c>
      <c r="H782" s="40" t="str">
        <f>IF(tblMovimientos[[#This Row],[SKU]]="","",IFERROR(INDEX(tblProductos[Unidad],MATCH(tblMovimientos[[#This Row],[SKU]],tblProductos[SKU],0)),"?"))</f>
        <v/>
      </c>
      <c r="I782" s="39"/>
      <c r="J782" s="47" t="str">
        <f>IF(tblMovimientos[[#This Row],[Tipo]]="","",IFERROR(INDEX(tblTiposMov[FactorStock],MATCH(tblMovimientos[[#This Row],[Tipo]],tblTiposMov[Tipo],0)),0))</f>
        <v/>
      </c>
      <c r="K7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2" s="37"/>
      <c r="O782" s="37"/>
      <c r="P782" s="37"/>
    </row>
    <row r="783" spans="2:16" x14ac:dyDescent="0.25">
      <c r="B7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3" s="46"/>
      <c r="D783" s="37"/>
      <c r="E783" s="37"/>
      <c r="F783" s="37"/>
      <c r="G783" s="40" t="str">
        <f>IF(tblMovimientos[[#This Row],[Producto]]="","",TRIM(LEFT(tblMovimientos[[#This Row],[Producto]],FIND(" · ",tblMovimientos[[#This Row],[Producto]]&amp;" · ")-1)))</f>
        <v/>
      </c>
      <c r="H783" s="40" t="str">
        <f>IF(tblMovimientos[[#This Row],[SKU]]="","",IFERROR(INDEX(tblProductos[Unidad],MATCH(tblMovimientos[[#This Row],[SKU]],tblProductos[SKU],0)),"?"))</f>
        <v/>
      </c>
      <c r="I783" s="39"/>
      <c r="J783" s="47" t="str">
        <f>IF(tblMovimientos[[#This Row],[Tipo]]="","",IFERROR(INDEX(tblTiposMov[FactorStock],MATCH(tblMovimientos[[#This Row],[Tipo]],tblTiposMov[Tipo],0)),0))</f>
        <v/>
      </c>
      <c r="K7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3" s="37"/>
      <c r="O783" s="37"/>
      <c r="P783" s="37"/>
    </row>
    <row r="784" spans="2:16" x14ac:dyDescent="0.25">
      <c r="B7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4" s="46"/>
      <c r="D784" s="37"/>
      <c r="E784" s="37"/>
      <c r="F784" s="37"/>
      <c r="G784" s="40" t="str">
        <f>IF(tblMovimientos[[#This Row],[Producto]]="","",TRIM(LEFT(tblMovimientos[[#This Row],[Producto]],FIND(" · ",tblMovimientos[[#This Row],[Producto]]&amp;" · ")-1)))</f>
        <v/>
      </c>
      <c r="H784" s="40" t="str">
        <f>IF(tblMovimientos[[#This Row],[SKU]]="","",IFERROR(INDEX(tblProductos[Unidad],MATCH(tblMovimientos[[#This Row],[SKU]],tblProductos[SKU],0)),"?"))</f>
        <v/>
      </c>
      <c r="I784" s="39"/>
      <c r="J784" s="47" t="str">
        <f>IF(tblMovimientos[[#This Row],[Tipo]]="","",IFERROR(INDEX(tblTiposMov[FactorStock],MATCH(tblMovimientos[[#This Row],[Tipo]],tblTiposMov[Tipo],0)),0))</f>
        <v/>
      </c>
      <c r="K7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4" s="37"/>
      <c r="O784" s="37"/>
      <c r="P784" s="37"/>
    </row>
    <row r="785" spans="2:16" x14ac:dyDescent="0.25">
      <c r="B7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5" s="46"/>
      <c r="D785" s="37"/>
      <c r="E785" s="37"/>
      <c r="F785" s="37"/>
      <c r="G785" s="40" t="str">
        <f>IF(tblMovimientos[[#This Row],[Producto]]="","",TRIM(LEFT(tblMovimientos[[#This Row],[Producto]],FIND(" · ",tblMovimientos[[#This Row],[Producto]]&amp;" · ")-1)))</f>
        <v/>
      </c>
      <c r="H785" s="40" t="str">
        <f>IF(tblMovimientos[[#This Row],[SKU]]="","",IFERROR(INDEX(tblProductos[Unidad],MATCH(tblMovimientos[[#This Row],[SKU]],tblProductos[SKU],0)),"?"))</f>
        <v/>
      </c>
      <c r="I785" s="39"/>
      <c r="J785" s="47" t="str">
        <f>IF(tblMovimientos[[#This Row],[Tipo]]="","",IFERROR(INDEX(tblTiposMov[FactorStock],MATCH(tblMovimientos[[#This Row],[Tipo]],tblTiposMov[Tipo],0)),0))</f>
        <v/>
      </c>
      <c r="K7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5" s="37"/>
      <c r="O785" s="37"/>
      <c r="P785" s="37"/>
    </row>
    <row r="786" spans="2:16" x14ac:dyDescent="0.25">
      <c r="B7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6" s="46"/>
      <c r="D786" s="37"/>
      <c r="E786" s="37"/>
      <c r="F786" s="37"/>
      <c r="G786" s="40" t="str">
        <f>IF(tblMovimientos[[#This Row],[Producto]]="","",TRIM(LEFT(tblMovimientos[[#This Row],[Producto]],FIND(" · ",tblMovimientos[[#This Row],[Producto]]&amp;" · ")-1)))</f>
        <v/>
      </c>
      <c r="H786" s="40" t="str">
        <f>IF(tblMovimientos[[#This Row],[SKU]]="","",IFERROR(INDEX(tblProductos[Unidad],MATCH(tblMovimientos[[#This Row],[SKU]],tblProductos[SKU],0)),"?"))</f>
        <v/>
      </c>
      <c r="I786" s="39"/>
      <c r="J786" s="47" t="str">
        <f>IF(tblMovimientos[[#This Row],[Tipo]]="","",IFERROR(INDEX(tblTiposMov[FactorStock],MATCH(tblMovimientos[[#This Row],[Tipo]],tblTiposMov[Tipo],0)),0))</f>
        <v/>
      </c>
      <c r="K7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6" s="37"/>
      <c r="O786" s="37"/>
      <c r="P786" s="37"/>
    </row>
    <row r="787" spans="2:16" x14ac:dyDescent="0.25">
      <c r="B7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7" s="46"/>
      <c r="D787" s="37"/>
      <c r="E787" s="37"/>
      <c r="F787" s="37"/>
      <c r="G787" s="40" t="str">
        <f>IF(tblMovimientos[[#This Row],[Producto]]="","",TRIM(LEFT(tblMovimientos[[#This Row],[Producto]],FIND(" · ",tblMovimientos[[#This Row],[Producto]]&amp;" · ")-1)))</f>
        <v/>
      </c>
      <c r="H787" s="40" t="str">
        <f>IF(tblMovimientos[[#This Row],[SKU]]="","",IFERROR(INDEX(tblProductos[Unidad],MATCH(tblMovimientos[[#This Row],[SKU]],tblProductos[SKU],0)),"?"))</f>
        <v/>
      </c>
      <c r="I787" s="39"/>
      <c r="J787" s="47" t="str">
        <f>IF(tblMovimientos[[#This Row],[Tipo]]="","",IFERROR(INDEX(tblTiposMov[FactorStock],MATCH(tblMovimientos[[#This Row],[Tipo]],tblTiposMov[Tipo],0)),0))</f>
        <v/>
      </c>
      <c r="K7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7" s="37"/>
      <c r="O787" s="37"/>
      <c r="P787" s="37"/>
    </row>
    <row r="788" spans="2:16" x14ac:dyDescent="0.25">
      <c r="B7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8" s="46"/>
      <c r="D788" s="37"/>
      <c r="E788" s="37"/>
      <c r="F788" s="37"/>
      <c r="G788" s="40" t="str">
        <f>IF(tblMovimientos[[#This Row],[Producto]]="","",TRIM(LEFT(tblMovimientos[[#This Row],[Producto]],FIND(" · ",tblMovimientos[[#This Row],[Producto]]&amp;" · ")-1)))</f>
        <v/>
      </c>
      <c r="H788" s="40" t="str">
        <f>IF(tblMovimientos[[#This Row],[SKU]]="","",IFERROR(INDEX(tblProductos[Unidad],MATCH(tblMovimientos[[#This Row],[SKU]],tblProductos[SKU],0)),"?"))</f>
        <v/>
      </c>
      <c r="I788" s="39"/>
      <c r="J788" s="47" t="str">
        <f>IF(tblMovimientos[[#This Row],[Tipo]]="","",IFERROR(INDEX(tblTiposMov[FactorStock],MATCH(tblMovimientos[[#This Row],[Tipo]],tblTiposMov[Tipo],0)),0))</f>
        <v/>
      </c>
      <c r="K7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8" s="37"/>
      <c r="O788" s="37"/>
      <c r="P788" s="37"/>
    </row>
    <row r="789" spans="2:16" x14ac:dyDescent="0.25">
      <c r="B7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89" s="46"/>
      <c r="D789" s="37"/>
      <c r="E789" s="37"/>
      <c r="F789" s="37"/>
      <c r="G789" s="40" t="str">
        <f>IF(tblMovimientos[[#This Row],[Producto]]="","",TRIM(LEFT(tblMovimientos[[#This Row],[Producto]],FIND(" · ",tblMovimientos[[#This Row],[Producto]]&amp;" · ")-1)))</f>
        <v/>
      </c>
      <c r="H789" s="40" t="str">
        <f>IF(tblMovimientos[[#This Row],[SKU]]="","",IFERROR(INDEX(tblProductos[Unidad],MATCH(tblMovimientos[[#This Row],[SKU]],tblProductos[SKU],0)),"?"))</f>
        <v/>
      </c>
      <c r="I789" s="39"/>
      <c r="J789" s="47" t="str">
        <f>IF(tblMovimientos[[#This Row],[Tipo]]="","",IFERROR(INDEX(tblTiposMov[FactorStock],MATCH(tblMovimientos[[#This Row],[Tipo]],tblTiposMov[Tipo],0)),0))</f>
        <v/>
      </c>
      <c r="K7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89" s="37"/>
      <c r="O789" s="37"/>
      <c r="P789" s="37"/>
    </row>
    <row r="790" spans="2:16" x14ac:dyDescent="0.25">
      <c r="B7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0" s="46"/>
      <c r="D790" s="37"/>
      <c r="E790" s="37"/>
      <c r="F790" s="37"/>
      <c r="G790" s="40" t="str">
        <f>IF(tblMovimientos[[#This Row],[Producto]]="","",TRIM(LEFT(tblMovimientos[[#This Row],[Producto]],FIND(" · ",tblMovimientos[[#This Row],[Producto]]&amp;" · ")-1)))</f>
        <v/>
      </c>
      <c r="H790" s="40" t="str">
        <f>IF(tblMovimientos[[#This Row],[SKU]]="","",IFERROR(INDEX(tblProductos[Unidad],MATCH(tblMovimientos[[#This Row],[SKU]],tblProductos[SKU],0)),"?"))</f>
        <v/>
      </c>
      <c r="I790" s="39"/>
      <c r="J790" s="47" t="str">
        <f>IF(tblMovimientos[[#This Row],[Tipo]]="","",IFERROR(INDEX(tblTiposMov[FactorStock],MATCH(tblMovimientos[[#This Row],[Tipo]],tblTiposMov[Tipo],0)),0))</f>
        <v/>
      </c>
      <c r="K7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0" s="37"/>
      <c r="O790" s="37"/>
      <c r="P790" s="37"/>
    </row>
    <row r="791" spans="2:16" x14ac:dyDescent="0.25">
      <c r="B7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1" s="46"/>
      <c r="D791" s="37"/>
      <c r="E791" s="37"/>
      <c r="F791" s="37"/>
      <c r="G791" s="40" t="str">
        <f>IF(tblMovimientos[[#This Row],[Producto]]="","",TRIM(LEFT(tblMovimientos[[#This Row],[Producto]],FIND(" · ",tblMovimientos[[#This Row],[Producto]]&amp;" · ")-1)))</f>
        <v/>
      </c>
      <c r="H791" s="40" t="str">
        <f>IF(tblMovimientos[[#This Row],[SKU]]="","",IFERROR(INDEX(tblProductos[Unidad],MATCH(tblMovimientos[[#This Row],[SKU]],tblProductos[SKU],0)),"?"))</f>
        <v/>
      </c>
      <c r="I791" s="39"/>
      <c r="J791" s="47" t="str">
        <f>IF(tblMovimientos[[#This Row],[Tipo]]="","",IFERROR(INDEX(tblTiposMov[FactorStock],MATCH(tblMovimientos[[#This Row],[Tipo]],tblTiposMov[Tipo],0)),0))</f>
        <v/>
      </c>
      <c r="K7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1" s="37"/>
      <c r="O791" s="37"/>
      <c r="P791" s="37"/>
    </row>
    <row r="792" spans="2:16" x14ac:dyDescent="0.25">
      <c r="B7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2" s="46"/>
      <c r="D792" s="37"/>
      <c r="E792" s="37"/>
      <c r="F792" s="37"/>
      <c r="G792" s="40" t="str">
        <f>IF(tblMovimientos[[#This Row],[Producto]]="","",TRIM(LEFT(tblMovimientos[[#This Row],[Producto]],FIND(" · ",tblMovimientos[[#This Row],[Producto]]&amp;" · ")-1)))</f>
        <v/>
      </c>
      <c r="H792" s="40" t="str">
        <f>IF(tblMovimientos[[#This Row],[SKU]]="","",IFERROR(INDEX(tblProductos[Unidad],MATCH(tblMovimientos[[#This Row],[SKU]],tblProductos[SKU],0)),"?"))</f>
        <v/>
      </c>
      <c r="I792" s="39"/>
      <c r="J792" s="47" t="str">
        <f>IF(tblMovimientos[[#This Row],[Tipo]]="","",IFERROR(INDEX(tblTiposMov[FactorStock],MATCH(tblMovimientos[[#This Row],[Tipo]],tblTiposMov[Tipo],0)),0))</f>
        <v/>
      </c>
      <c r="K7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2" s="37"/>
      <c r="O792" s="37"/>
      <c r="P792" s="37"/>
    </row>
    <row r="793" spans="2:16" x14ac:dyDescent="0.25">
      <c r="B7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3" s="46"/>
      <c r="D793" s="37"/>
      <c r="E793" s="37"/>
      <c r="F793" s="37"/>
      <c r="G793" s="40" t="str">
        <f>IF(tblMovimientos[[#This Row],[Producto]]="","",TRIM(LEFT(tblMovimientos[[#This Row],[Producto]],FIND(" · ",tblMovimientos[[#This Row],[Producto]]&amp;" · ")-1)))</f>
        <v/>
      </c>
      <c r="H793" s="40" t="str">
        <f>IF(tblMovimientos[[#This Row],[SKU]]="","",IFERROR(INDEX(tblProductos[Unidad],MATCH(tblMovimientos[[#This Row],[SKU]],tblProductos[SKU],0)),"?"))</f>
        <v/>
      </c>
      <c r="I793" s="39"/>
      <c r="J793" s="47" t="str">
        <f>IF(tblMovimientos[[#This Row],[Tipo]]="","",IFERROR(INDEX(tblTiposMov[FactorStock],MATCH(tblMovimientos[[#This Row],[Tipo]],tblTiposMov[Tipo],0)),0))</f>
        <v/>
      </c>
      <c r="K7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3" s="37"/>
      <c r="O793" s="37"/>
      <c r="P793" s="37"/>
    </row>
    <row r="794" spans="2:16" x14ac:dyDescent="0.25">
      <c r="B7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4" s="46"/>
      <c r="D794" s="37"/>
      <c r="E794" s="37"/>
      <c r="F794" s="37"/>
      <c r="G794" s="40" t="str">
        <f>IF(tblMovimientos[[#This Row],[Producto]]="","",TRIM(LEFT(tblMovimientos[[#This Row],[Producto]],FIND(" · ",tblMovimientos[[#This Row],[Producto]]&amp;" · ")-1)))</f>
        <v/>
      </c>
      <c r="H794" s="40" t="str">
        <f>IF(tblMovimientos[[#This Row],[SKU]]="","",IFERROR(INDEX(tblProductos[Unidad],MATCH(tblMovimientos[[#This Row],[SKU]],tblProductos[SKU],0)),"?"))</f>
        <v/>
      </c>
      <c r="I794" s="39"/>
      <c r="J794" s="47" t="str">
        <f>IF(tblMovimientos[[#This Row],[Tipo]]="","",IFERROR(INDEX(tblTiposMov[FactorStock],MATCH(tblMovimientos[[#This Row],[Tipo]],tblTiposMov[Tipo],0)),0))</f>
        <v/>
      </c>
      <c r="K7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4" s="37"/>
      <c r="O794" s="37"/>
      <c r="P794" s="37"/>
    </row>
    <row r="795" spans="2:16" x14ac:dyDescent="0.25">
      <c r="B7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5" s="46"/>
      <c r="D795" s="37"/>
      <c r="E795" s="37"/>
      <c r="F795" s="37"/>
      <c r="G795" s="40" t="str">
        <f>IF(tblMovimientos[[#This Row],[Producto]]="","",TRIM(LEFT(tblMovimientos[[#This Row],[Producto]],FIND(" · ",tblMovimientos[[#This Row],[Producto]]&amp;" · ")-1)))</f>
        <v/>
      </c>
      <c r="H795" s="40" t="str">
        <f>IF(tblMovimientos[[#This Row],[SKU]]="","",IFERROR(INDEX(tblProductos[Unidad],MATCH(tblMovimientos[[#This Row],[SKU]],tblProductos[SKU],0)),"?"))</f>
        <v/>
      </c>
      <c r="I795" s="39"/>
      <c r="J795" s="47" t="str">
        <f>IF(tblMovimientos[[#This Row],[Tipo]]="","",IFERROR(INDEX(tblTiposMov[FactorStock],MATCH(tblMovimientos[[#This Row],[Tipo]],tblTiposMov[Tipo],0)),0))</f>
        <v/>
      </c>
      <c r="K7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5" s="37"/>
      <c r="O795" s="37"/>
      <c r="P795" s="37"/>
    </row>
    <row r="796" spans="2:16" x14ac:dyDescent="0.25">
      <c r="B7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6" s="46"/>
      <c r="D796" s="37"/>
      <c r="E796" s="37"/>
      <c r="F796" s="37"/>
      <c r="G796" s="40" t="str">
        <f>IF(tblMovimientos[[#This Row],[Producto]]="","",TRIM(LEFT(tblMovimientos[[#This Row],[Producto]],FIND(" · ",tblMovimientos[[#This Row],[Producto]]&amp;" · ")-1)))</f>
        <v/>
      </c>
      <c r="H796" s="40" t="str">
        <f>IF(tblMovimientos[[#This Row],[SKU]]="","",IFERROR(INDEX(tblProductos[Unidad],MATCH(tblMovimientos[[#This Row],[SKU]],tblProductos[SKU],0)),"?"))</f>
        <v/>
      </c>
      <c r="I796" s="39"/>
      <c r="J796" s="47" t="str">
        <f>IF(tblMovimientos[[#This Row],[Tipo]]="","",IFERROR(INDEX(tblTiposMov[FactorStock],MATCH(tblMovimientos[[#This Row],[Tipo]],tblTiposMov[Tipo],0)),0))</f>
        <v/>
      </c>
      <c r="K7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6" s="37"/>
      <c r="O796" s="37"/>
      <c r="P796" s="37"/>
    </row>
    <row r="797" spans="2:16" x14ac:dyDescent="0.25">
      <c r="B7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7" s="46"/>
      <c r="D797" s="37"/>
      <c r="E797" s="37"/>
      <c r="F797" s="37"/>
      <c r="G797" s="40" t="str">
        <f>IF(tblMovimientos[[#This Row],[Producto]]="","",TRIM(LEFT(tblMovimientos[[#This Row],[Producto]],FIND(" · ",tblMovimientos[[#This Row],[Producto]]&amp;" · ")-1)))</f>
        <v/>
      </c>
      <c r="H797" s="40" t="str">
        <f>IF(tblMovimientos[[#This Row],[SKU]]="","",IFERROR(INDEX(tblProductos[Unidad],MATCH(tblMovimientos[[#This Row],[SKU]],tblProductos[SKU],0)),"?"))</f>
        <v/>
      </c>
      <c r="I797" s="39"/>
      <c r="J797" s="47" t="str">
        <f>IF(tblMovimientos[[#This Row],[Tipo]]="","",IFERROR(INDEX(tblTiposMov[FactorStock],MATCH(tblMovimientos[[#This Row],[Tipo]],tblTiposMov[Tipo],0)),0))</f>
        <v/>
      </c>
      <c r="K7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7" s="37"/>
      <c r="O797" s="37"/>
      <c r="P797" s="37"/>
    </row>
    <row r="798" spans="2:16" x14ac:dyDescent="0.25">
      <c r="B7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8" s="46"/>
      <c r="D798" s="37"/>
      <c r="E798" s="37"/>
      <c r="F798" s="37"/>
      <c r="G798" s="40" t="str">
        <f>IF(tblMovimientos[[#This Row],[Producto]]="","",TRIM(LEFT(tblMovimientos[[#This Row],[Producto]],FIND(" · ",tblMovimientos[[#This Row],[Producto]]&amp;" · ")-1)))</f>
        <v/>
      </c>
      <c r="H798" s="40" t="str">
        <f>IF(tblMovimientos[[#This Row],[SKU]]="","",IFERROR(INDEX(tblProductos[Unidad],MATCH(tblMovimientos[[#This Row],[SKU]],tblProductos[SKU],0)),"?"))</f>
        <v/>
      </c>
      <c r="I798" s="39"/>
      <c r="J798" s="47" t="str">
        <f>IF(tblMovimientos[[#This Row],[Tipo]]="","",IFERROR(INDEX(tblTiposMov[FactorStock],MATCH(tblMovimientos[[#This Row],[Tipo]],tblTiposMov[Tipo],0)),0))</f>
        <v/>
      </c>
      <c r="K7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8" s="37"/>
      <c r="O798" s="37"/>
      <c r="P798" s="37"/>
    </row>
    <row r="799" spans="2:16" x14ac:dyDescent="0.25">
      <c r="B7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799" s="46"/>
      <c r="D799" s="37"/>
      <c r="E799" s="37"/>
      <c r="F799" s="37"/>
      <c r="G799" s="40" t="str">
        <f>IF(tblMovimientos[[#This Row],[Producto]]="","",TRIM(LEFT(tblMovimientos[[#This Row],[Producto]],FIND(" · ",tblMovimientos[[#This Row],[Producto]]&amp;" · ")-1)))</f>
        <v/>
      </c>
      <c r="H799" s="40" t="str">
        <f>IF(tblMovimientos[[#This Row],[SKU]]="","",IFERROR(INDEX(tblProductos[Unidad],MATCH(tblMovimientos[[#This Row],[SKU]],tblProductos[SKU],0)),"?"))</f>
        <v/>
      </c>
      <c r="I799" s="39"/>
      <c r="J799" s="47" t="str">
        <f>IF(tblMovimientos[[#This Row],[Tipo]]="","",IFERROR(INDEX(tblTiposMov[FactorStock],MATCH(tblMovimientos[[#This Row],[Tipo]],tblTiposMov[Tipo],0)),0))</f>
        <v/>
      </c>
      <c r="K7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7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799" s="37"/>
      <c r="O799" s="37"/>
      <c r="P799" s="37"/>
    </row>
    <row r="800" spans="2:16" x14ac:dyDescent="0.25">
      <c r="B8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0" s="46"/>
      <c r="D800" s="37"/>
      <c r="E800" s="37"/>
      <c r="F800" s="37"/>
      <c r="G800" s="40" t="str">
        <f>IF(tblMovimientos[[#This Row],[Producto]]="","",TRIM(LEFT(tblMovimientos[[#This Row],[Producto]],FIND(" · ",tblMovimientos[[#This Row],[Producto]]&amp;" · ")-1)))</f>
        <v/>
      </c>
      <c r="H800" s="40" t="str">
        <f>IF(tblMovimientos[[#This Row],[SKU]]="","",IFERROR(INDEX(tblProductos[Unidad],MATCH(tblMovimientos[[#This Row],[SKU]],tblProductos[SKU],0)),"?"))</f>
        <v/>
      </c>
      <c r="I800" s="39"/>
      <c r="J800" s="47" t="str">
        <f>IF(tblMovimientos[[#This Row],[Tipo]]="","",IFERROR(INDEX(tblTiposMov[FactorStock],MATCH(tblMovimientos[[#This Row],[Tipo]],tblTiposMov[Tipo],0)),0))</f>
        <v/>
      </c>
      <c r="K8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0" s="37"/>
      <c r="O800" s="37"/>
      <c r="P800" s="37"/>
    </row>
    <row r="801" spans="2:16" x14ac:dyDescent="0.25">
      <c r="B8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1" s="46"/>
      <c r="D801" s="37"/>
      <c r="E801" s="37"/>
      <c r="F801" s="37"/>
      <c r="G801" s="40" t="str">
        <f>IF(tblMovimientos[[#This Row],[Producto]]="","",TRIM(LEFT(tblMovimientos[[#This Row],[Producto]],FIND(" · ",tblMovimientos[[#This Row],[Producto]]&amp;" · ")-1)))</f>
        <v/>
      </c>
      <c r="H801" s="40" t="str">
        <f>IF(tblMovimientos[[#This Row],[SKU]]="","",IFERROR(INDEX(tblProductos[Unidad],MATCH(tblMovimientos[[#This Row],[SKU]],tblProductos[SKU],0)),"?"))</f>
        <v/>
      </c>
      <c r="I801" s="39"/>
      <c r="J801" s="47" t="str">
        <f>IF(tblMovimientos[[#This Row],[Tipo]]="","",IFERROR(INDEX(tblTiposMov[FactorStock],MATCH(tblMovimientos[[#This Row],[Tipo]],tblTiposMov[Tipo],0)),0))</f>
        <v/>
      </c>
      <c r="K8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1" s="37"/>
      <c r="O801" s="37"/>
      <c r="P801" s="37"/>
    </row>
    <row r="802" spans="2:16" x14ac:dyDescent="0.25">
      <c r="B8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2" s="46"/>
      <c r="D802" s="37"/>
      <c r="E802" s="37"/>
      <c r="F802" s="37"/>
      <c r="G802" s="40" t="str">
        <f>IF(tblMovimientos[[#This Row],[Producto]]="","",TRIM(LEFT(tblMovimientos[[#This Row],[Producto]],FIND(" · ",tblMovimientos[[#This Row],[Producto]]&amp;" · ")-1)))</f>
        <v/>
      </c>
      <c r="H802" s="40" t="str">
        <f>IF(tblMovimientos[[#This Row],[SKU]]="","",IFERROR(INDEX(tblProductos[Unidad],MATCH(tblMovimientos[[#This Row],[SKU]],tblProductos[SKU],0)),"?"))</f>
        <v/>
      </c>
      <c r="I802" s="39"/>
      <c r="J802" s="47" t="str">
        <f>IF(tblMovimientos[[#This Row],[Tipo]]="","",IFERROR(INDEX(tblTiposMov[FactorStock],MATCH(tblMovimientos[[#This Row],[Tipo]],tblTiposMov[Tipo],0)),0))</f>
        <v/>
      </c>
      <c r="K8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2" s="37"/>
      <c r="O802" s="37"/>
      <c r="P802" s="37"/>
    </row>
    <row r="803" spans="2:16" x14ac:dyDescent="0.25">
      <c r="B8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3" s="46"/>
      <c r="D803" s="37"/>
      <c r="E803" s="37"/>
      <c r="F803" s="37"/>
      <c r="G803" s="40" t="str">
        <f>IF(tblMovimientos[[#This Row],[Producto]]="","",TRIM(LEFT(tblMovimientos[[#This Row],[Producto]],FIND(" · ",tblMovimientos[[#This Row],[Producto]]&amp;" · ")-1)))</f>
        <v/>
      </c>
      <c r="H803" s="40" t="str">
        <f>IF(tblMovimientos[[#This Row],[SKU]]="","",IFERROR(INDEX(tblProductos[Unidad],MATCH(tblMovimientos[[#This Row],[SKU]],tblProductos[SKU],0)),"?"))</f>
        <v/>
      </c>
      <c r="I803" s="39"/>
      <c r="J803" s="47" t="str">
        <f>IF(tblMovimientos[[#This Row],[Tipo]]="","",IFERROR(INDEX(tblTiposMov[FactorStock],MATCH(tblMovimientos[[#This Row],[Tipo]],tblTiposMov[Tipo],0)),0))</f>
        <v/>
      </c>
      <c r="K8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3" s="37"/>
      <c r="O803" s="37"/>
      <c r="P803" s="37"/>
    </row>
    <row r="804" spans="2:16" x14ac:dyDescent="0.25">
      <c r="B8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4" s="46"/>
      <c r="D804" s="37"/>
      <c r="E804" s="37"/>
      <c r="F804" s="37"/>
      <c r="G804" s="40" t="str">
        <f>IF(tblMovimientos[[#This Row],[Producto]]="","",TRIM(LEFT(tblMovimientos[[#This Row],[Producto]],FIND(" · ",tblMovimientos[[#This Row],[Producto]]&amp;" · ")-1)))</f>
        <v/>
      </c>
      <c r="H804" s="40" t="str">
        <f>IF(tblMovimientos[[#This Row],[SKU]]="","",IFERROR(INDEX(tblProductos[Unidad],MATCH(tblMovimientos[[#This Row],[SKU]],tblProductos[SKU],0)),"?"))</f>
        <v/>
      </c>
      <c r="I804" s="39"/>
      <c r="J804" s="47" t="str">
        <f>IF(tblMovimientos[[#This Row],[Tipo]]="","",IFERROR(INDEX(tblTiposMov[FactorStock],MATCH(tblMovimientos[[#This Row],[Tipo]],tblTiposMov[Tipo],0)),0))</f>
        <v/>
      </c>
      <c r="K8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4" s="37"/>
      <c r="O804" s="37"/>
      <c r="P804" s="37"/>
    </row>
    <row r="805" spans="2:16" x14ac:dyDescent="0.25">
      <c r="B8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5" s="46"/>
      <c r="D805" s="37"/>
      <c r="E805" s="37"/>
      <c r="F805" s="37"/>
      <c r="G805" s="40" t="str">
        <f>IF(tblMovimientos[[#This Row],[Producto]]="","",TRIM(LEFT(tblMovimientos[[#This Row],[Producto]],FIND(" · ",tblMovimientos[[#This Row],[Producto]]&amp;" · ")-1)))</f>
        <v/>
      </c>
      <c r="H805" s="40" t="str">
        <f>IF(tblMovimientos[[#This Row],[SKU]]="","",IFERROR(INDEX(tblProductos[Unidad],MATCH(tblMovimientos[[#This Row],[SKU]],tblProductos[SKU],0)),"?"))</f>
        <v/>
      </c>
      <c r="I805" s="39"/>
      <c r="J805" s="47" t="str">
        <f>IF(tblMovimientos[[#This Row],[Tipo]]="","",IFERROR(INDEX(tblTiposMov[FactorStock],MATCH(tblMovimientos[[#This Row],[Tipo]],tblTiposMov[Tipo],0)),0))</f>
        <v/>
      </c>
      <c r="K8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5" s="37"/>
      <c r="O805" s="37"/>
      <c r="P805" s="37"/>
    </row>
    <row r="806" spans="2:16" x14ac:dyDescent="0.25">
      <c r="B8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6" s="46"/>
      <c r="D806" s="37"/>
      <c r="E806" s="37"/>
      <c r="F806" s="37"/>
      <c r="G806" s="40" t="str">
        <f>IF(tblMovimientos[[#This Row],[Producto]]="","",TRIM(LEFT(tblMovimientos[[#This Row],[Producto]],FIND(" · ",tblMovimientos[[#This Row],[Producto]]&amp;" · ")-1)))</f>
        <v/>
      </c>
      <c r="H806" s="40" t="str">
        <f>IF(tblMovimientos[[#This Row],[SKU]]="","",IFERROR(INDEX(tblProductos[Unidad],MATCH(tblMovimientos[[#This Row],[SKU]],tblProductos[SKU],0)),"?"))</f>
        <v/>
      </c>
      <c r="I806" s="39"/>
      <c r="J806" s="47" t="str">
        <f>IF(tblMovimientos[[#This Row],[Tipo]]="","",IFERROR(INDEX(tblTiposMov[FactorStock],MATCH(tblMovimientos[[#This Row],[Tipo]],tblTiposMov[Tipo],0)),0))</f>
        <v/>
      </c>
      <c r="K8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6" s="37"/>
      <c r="O806" s="37"/>
      <c r="P806" s="37"/>
    </row>
    <row r="807" spans="2:16" x14ac:dyDescent="0.25">
      <c r="B8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7" s="46"/>
      <c r="D807" s="37"/>
      <c r="E807" s="37"/>
      <c r="F807" s="37"/>
      <c r="G807" s="40" t="str">
        <f>IF(tblMovimientos[[#This Row],[Producto]]="","",TRIM(LEFT(tblMovimientos[[#This Row],[Producto]],FIND(" · ",tblMovimientos[[#This Row],[Producto]]&amp;" · ")-1)))</f>
        <v/>
      </c>
      <c r="H807" s="40" t="str">
        <f>IF(tblMovimientos[[#This Row],[SKU]]="","",IFERROR(INDEX(tblProductos[Unidad],MATCH(tblMovimientos[[#This Row],[SKU]],tblProductos[SKU],0)),"?"))</f>
        <v/>
      </c>
      <c r="I807" s="39"/>
      <c r="J807" s="47" t="str">
        <f>IF(tblMovimientos[[#This Row],[Tipo]]="","",IFERROR(INDEX(tblTiposMov[FactorStock],MATCH(tblMovimientos[[#This Row],[Tipo]],tblTiposMov[Tipo],0)),0))</f>
        <v/>
      </c>
      <c r="K8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7" s="37"/>
      <c r="O807" s="37"/>
      <c r="P807" s="37"/>
    </row>
    <row r="808" spans="2:16" x14ac:dyDescent="0.25">
      <c r="B8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8" s="46"/>
      <c r="D808" s="37"/>
      <c r="E808" s="37"/>
      <c r="F808" s="37"/>
      <c r="G808" s="40" t="str">
        <f>IF(tblMovimientos[[#This Row],[Producto]]="","",TRIM(LEFT(tblMovimientos[[#This Row],[Producto]],FIND(" · ",tblMovimientos[[#This Row],[Producto]]&amp;" · ")-1)))</f>
        <v/>
      </c>
      <c r="H808" s="40" t="str">
        <f>IF(tblMovimientos[[#This Row],[SKU]]="","",IFERROR(INDEX(tblProductos[Unidad],MATCH(tblMovimientos[[#This Row],[SKU]],tblProductos[SKU],0)),"?"))</f>
        <v/>
      </c>
      <c r="I808" s="39"/>
      <c r="J808" s="47" t="str">
        <f>IF(tblMovimientos[[#This Row],[Tipo]]="","",IFERROR(INDEX(tblTiposMov[FactorStock],MATCH(tblMovimientos[[#This Row],[Tipo]],tblTiposMov[Tipo],0)),0))</f>
        <v/>
      </c>
      <c r="K8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8" s="37"/>
      <c r="O808" s="37"/>
      <c r="P808" s="37"/>
    </row>
    <row r="809" spans="2:16" x14ac:dyDescent="0.25">
      <c r="B8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09" s="46"/>
      <c r="D809" s="37"/>
      <c r="E809" s="37"/>
      <c r="F809" s="37"/>
      <c r="G809" s="40" t="str">
        <f>IF(tblMovimientos[[#This Row],[Producto]]="","",TRIM(LEFT(tblMovimientos[[#This Row],[Producto]],FIND(" · ",tblMovimientos[[#This Row],[Producto]]&amp;" · ")-1)))</f>
        <v/>
      </c>
      <c r="H809" s="40" t="str">
        <f>IF(tblMovimientos[[#This Row],[SKU]]="","",IFERROR(INDEX(tblProductos[Unidad],MATCH(tblMovimientos[[#This Row],[SKU]],tblProductos[SKU],0)),"?"))</f>
        <v/>
      </c>
      <c r="I809" s="39"/>
      <c r="J809" s="47" t="str">
        <f>IF(tblMovimientos[[#This Row],[Tipo]]="","",IFERROR(INDEX(tblTiposMov[FactorStock],MATCH(tblMovimientos[[#This Row],[Tipo]],tblTiposMov[Tipo],0)),0))</f>
        <v/>
      </c>
      <c r="K8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09" s="37"/>
      <c r="O809" s="37"/>
      <c r="P809" s="37"/>
    </row>
    <row r="810" spans="2:16" x14ac:dyDescent="0.25">
      <c r="B8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0" s="46"/>
      <c r="D810" s="37"/>
      <c r="E810" s="37"/>
      <c r="F810" s="37"/>
      <c r="G810" s="40" t="str">
        <f>IF(tblMovimientos[[#This Row],[Producto]]="","",TRIM(LEFT(tblMovimientos[[#This Row],[Producto]],FIND(" · ",tblMovimientos[[#This Row],[Producto]]&amp;" · ")-1)))</f>
        <v/>
      </c>
      <c r="H810" s="40" t="str">
        <f>IF(tblMovimientos[[#This Row],[SKU]]="","",IFERROR(INDEX(tblProductos[Unidad],MATCH(tblMovimientos[[#This Row],[SKU]],tblProductos[SKU],0)),"?"))</f>
        <v/>
      </c>
      <c r="I810" s="39"/>
      <c r="J810" s="47" t="str">
        <f>IF(tblMovimientos[[#This Row],[Tipo]]="","",IFERROR(INDEX(tblTiposMov[FactorStock],MATCH(tblMovimientos[[#This Row],[Tipo]],tblTiposMov[Tipo],0)),0))</f>
        <v/>
      </c>
      <c r="K8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0" s="37"/>
      <c r="O810" s="37"/>
      <c r="P810" s="37"/>
    </row>
    <row r="811" spans="2:16" x14ac:dyDescent="0.25">
      <c r="B8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1" s="46"/>
      <c r="D811" s="37"/>
      <c r="E811" s="37"/>
      <c r="F811" s="37"/>
      <c r="G811" s="40" t="str">
        <f>IF(tblMovimientos[[#This Row],[Producto]]="","",TRIM(LEFT(tblMovimientos[[#This Row],[Producto]],FIND(" · ",tblMovimientos[[#This Row],[Producto]]&amp;" · ")-1)))</f>
        <v/>
      </c>
      <c r="H811" s="40" t="str">
        <f>IF(tblMovimientos[[#This Row],[SKU]]="","",IFERROR(INDEX(tblProductos[Unidad],MATCH(tblMovimientos[[#This Row],[SKU]],tblProductos[SKU],0)),"?"))</f>
        <v/>
      </c>
      <c r="I811" s="39"/>
      <c r="J811" s="47" t="str">
        <f>IF(tblMovimientos[[#This Row],[Tipo]]="","",IFERROR(INDEX(tblTiposMov[FactorStock],MATCH(tblMovimientos[[#This Row],[Tipo]],tblTiposMov[Tipo],0)),0))</f>
        <v/>
      </c>
      <c r="K8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1" s="37"/>
      <c r="O811" s="37"/>
      <c r="P811" s="37"/>
    </row>
    <row r="812" spans="2:16" x14ac:dyDescent="0.25">
      <c r="B8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2" s="46"/>
      <c r="D812" s="37"/>
      <c r="E812" s="37"/>
      <c r="F812" s="37"/>
      <c r="G812" s="40" t="str">
        <f>IF(tblMovimientos[[#This Row],[Producto]]="","",TRIM(LEFT(tblMovimientos[[#This Row],[Producto]],FIND(" · ",tblMovimientos[[#This Row],[Producto]]&amp;" · ")-1)))</f>
        <v/>
      </c>
      <c r="H812" s="40" t="str">
        <f>IF(tblMovimientos[[#This Row],[SKU]]="","",IFERROR(INDEX(tblProductos[Unidad],MATCH(tblMovimientos[[#This Row],[SKU]],tblProductos[SKU],0)),"?"))</f>
        <v/>
      </c>
      <c r="I812" s="39"/>
      <c r="J812" s="47" t="str">
        <f>IF(tblMovimientos[[#This Row],[Tipo]]="","",IFERROR(INDEX(tblTiposMov[FactorStock],MATCH(tblMovimientos[[#This Row],[Tipo]],tblTiposMov[Tipo],0)),0))</f>
        <v/>
      </c>
      <c r="K8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2" s="37"/>
      <c r="O812" s="37"/>
      <c r="P812" s="37"/>
    </row>
    <row r="813" spans="2:16" x14ac:dyDescent="0.25">
      <c r="B8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3" s="46"/>
      <c r="D813" s="37"/>
      <c r="E813" s="37"/>
      <c r="F813" s="37"/>
      <c r="G813" s="40" t="str">
        <f>IF(tblMovimientos[[#This Row],[Producto]]="","",TRIM(LEFT(tblMovimientos[[#This Row],[Producto]],FIND(" · ",tblMovimientos[[#This Row],[Producto]]&amp;" · ")-1)))</f>
        <v/>
      </c>
      <c r="H813" s="40" t="str">
        <f>IF(tblMovimientos[[#This Row],[SKU]]="","",IFERROR(INDEX(tblProductos[Unidad],MATCH(tblMovimientos[[#This Row],[SKU]],tblProductos[SKU],0)),"?"))</f>
        <v/>
      </c>
      <c r="I813" s="39"/>
      <c r="J813" s="47" t="str">
        <f>IF(tblMovimientos[[#This Row],[Tipo]]="","",IFERROR(INDEX(tblTiposMov[FactorStock],MATCH(tblMovimientos[[#This Row],[Tipo]],tblTiposMov[Tipo],0)),0))</f>
        <v/>
      </c>
      <c r="K8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3" s="37"/>
      <c r="O813" s="37"/>
      <c r="P813" s="37"/>
    </row>
    <row r="814" spans="2:16" x14ac:dyDescent="0.25">
      <c r="B8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4" s="46"/>
      <c r="D814" s="37"/>
      <c r="E814" s="37"/>
      <c r="F814" s="37"/>
      <c r="G814" s="40" t="str">
        <f>IF(tblMovimientos[[#This Row],[Producto]]="","",TRIM(LEFT(tblMovimientos[[#This Row],[Producto]],FIND(" · ",tblMovimientos[[#This Row],[Producto]]&amp;" · ")-1)))</f>
        <v/>
      </c>
      <c r="H814" s="40" t="str">
        <f>IF(tblMovimientos[[#This Row],[SKU]]="","",IFERROR(INDEX(tblProductos[Unidad],MATCH(tblMovimientos[[#This Row],[SKU]],tblProductos[SKU],0)),"?"))</f>
        <v/>
      </c>
      <c r="I814" s="39"/>
      <c r="J814" s="47" t="str">
        <f>IF(tblMovimientos[[#This Row],[Tipo]]="","",IFERROR(INDEX(tblTiposMov[FactorStock],MATCH(tblMovimientos[[#This Row],[Tipo]],tblTiposMov[Tipo],0)),0))</f>
        <v/>
      </c>
      <c r="K8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4" s="37"/>
      <c r="O814" s="37"/>
      <c r="P814" s="37"/>
    </row>
    <row r="815" spans="2:16" x14ac:dyDescent="0.25">
      <c r="B8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5" s="46"/>
      <c r="D815" s="37"/>
      <c r="E815" s="37"/>
      <c r="F815" s="37"/>
      <c r="G815" s="40" t="str">
        <f>IF(tblMovimientos[[#This Row],[Producto]]="","",TRIM(LEFT(tblMovimientos[[#This Row],[Producto]],FIND(" · ",tblMovimientos[[#This Row],[Producto]]&amp;" · ")-1)))</f>
        <v/>
      </c>
      <c r="H815" s="40" t="str">
        <f>IF(tblMovimientos[[#This Row],[SKU]]="","",IFERROR(INDEX(tblProductos[Unidad],MATCH(tblMovimientos[[#This Row],[SKU]],tblProductos[SKU],0)),"?"))</f>
        <v/>
      </c>
      <c r="I815" s="39"/>
      <c r="J815" s="47" t="str">
        <f>IF(tblMovimientos[[#This Row],[Tipo]]="","",IFERROR(INDEX(tblTiposMov[FactorStock],MATCH(tblMovimientos[[#This Row],[Tipo]],tblTiposMov[Tipo],0)),0))</f>
        <v/>
      </c>
      <c r="K8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5" s="37"/>
      <c r="O815" s="37"/>
      <c r="P815" s="37"/>
    </row>
    <row r="816" spans="2:16" x14ac:dyDescent="0.25">
      <c r="B8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6" s="46"/>
      <c r="D816" s="37"/>
      <c r="E816" s="37"/>
      <c r="F816" s="37"/>
      <c r="G816" s="40" t="str">
        <f>IF(tblMovimientos[[#This Row],[Producto]]="","",TRIM(LEFT(tblMovimientos[[#This Row],[Producto]],FIND(" · ",tblMovimientos[[#This Row],[Producto]]&amp;" · ")-1)))</f>
        <v/>
      </c>
      <c r="H816" s="40" t="str">
        <f>IF(tblMovimientos[[#This Row],[SKU]]="","",IFERROR(INDEX(tblProductos[Unidad],MATCH(tblMovimientos[[#This Row],[SKU]],tblProductos[SKU],0)),"?"))</f>
        <v/>
      </c>
      <c r="I816" s="39"/>
      <c r="J816" s="47" t="str">
        <f>IF(tblMovimientos[[#This Row],[Tipo]]="","",IFERROR(INDEX(tblTiposMov[FactorStock],MATCH(tblMovimientos[[#This Row],[Tipo]],tblTiposMov[Tipo],0)),0))</f>
        <v/>
      </c>
      <c r="K8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6" s="37"/>
      <c r="O816" s="37"/>
      <c r="P816" s="37"/>
    </row>
    <row r="817" spans="2:16" x14ac:dyDescent="0.25">
      <c r="B8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7" s="46"/>
      <c r="D817" s="37"/>
      <c r="E817" s="37"/>
      <c r="F817" s="37"/>
      <c r="G817" s="40" t="str">
        <f>IF(tblMovimientos[[#This Row],[Producto]]="","",TRIM(LEFT(tblMovimientos[[#This Row],[Producto]],FIND(" · ",tblMovimientos[[#This Row],[Producto]]&amp;" · ")-1)))</f>
        <v/>
      </c>
      <c r="H817" s="40" t="str">
        <f>IF(tblMovimientos[[#This Row],[SKU]]="","",IFERROR(INDEX(tblProductos[Unidad],MATCH(tblMovimientos[[#This Row],[SKU]],tblProductos[SKU],0)),"?"))</f>
        <v/>
      </c>
      <c r="I817" s="39"/>
      <c r="J817" s="47" t="str">
        <f>IF(tblMovimientos[[#This Row],[Tipo]]="","",IFERROR(INDEX(tblTiposMov[FactorStock],MATCH(tblMovimientos[[#This Row],[Tipo]],tblTiposMov[Tipo],0)),0))</f>
        <v/>
      </c>
      <c r="K8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7" s="37"/>
      <c r="O817" s="37"/>
      <c r="P817" s="37"/>
    </row>
    <row r="818" spans="2:16" x14ac:dyDescent="0.25">
      <c r="B8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8" s="46"/>
      <c r="D818" s="37"/>
      <c r="E818" s="37"/>
      <c r="F818" s="37"/>
      <c r="G818" s="40" t="str">
        <f>IF(tblMovimientos[[#This Row],[Producto]]="","",TRIM(LEFT(tblMovimientos[[#This Row],[Producto]],FIND(" · ",tblMovimientos[[#This Row],[Producto]]&amp;" · ")-1)))</f>
        <v/>
      </c>
      <c r="H818" s="40" t="str">
        <f>IF(tblMovimientos[[#This Row],[SKU]]="","",IFERROR(INDEX(tblProductos[Unidad],MATCH(tblMovimientos[[#This Row],[SKU]],tblProductos[SKU],0)),"?"))</f>
        <v/>
      </c>
      <c r="I818" s="39"/>
      <c r="J818" s="47" t="str">
        <f>IF(tblMovimientos[[#This Row],[Tipo]]="","",IFERROR(INDEX(tblTiposMov[FactorStock],MATCH(tblMovimientos[[#This Row],[Tipo]],tblTiposMov[Tipo],0)),0))</f>
        <v/>
      </c>
      <c r="K8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8" s="37"/>
      <c r="O818" s="37"/>
      <c r="P818" s="37"/>
    </row>
    <row r="819" spans="2:16" x14ac:dyDescent="0.25">
      <c r="B8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19" s="46"/>
      <c r="D819" s="37"/>
      <c r="E819" s="37"/>
      <c r="F819" s="37"/>
      <c r="G819" s="40" t="str">
        <f>IF(tblMovimientos[[#This Row],[Producto]]="","",TRIM(LEFT(tblMovimientos[[#This Row],[Producto]],FIND(" · ",tblMovimientos[[#This Row],[Producto]]&amp;" · ")-1)))</f>
        <v/>
      </c>
      <c r="H819" s="40" t="str">
        <f>IF(tblMovimientos[[#This Row],[SKU]]="","",IFERROR(INDEX(tblProductos[Unidad],MATCH(tblMovimientos[[#This Row],[SKU]],tblProductos[SKU],0)),"?"))</f>
        <v/>
      </c>
      <c r="I819" s="39"/>
      <c r="J819" s="47" t="str">
        <f>IF(tblMovimientos[[#This Row],[Tipo]]="","",IFERROR(INDEX(tblTiposMov[FactorStock],MATCH(tblMovimientos[[#This Row],[Tipo]],tblTiposMov[Tipo],0)),0))</f>
        <v/>
      </c>
      <c r="K8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19" s="37"/>
      <c r="O819" s="37"/>
      <c r="P819" s="37"/>
    </row>
    <row r="820" spans="2:16" x14ac:dyDescent="0.25">
      <c r="B8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0" s="46"/>
      <c r="D820" s="37"/>
      <c r="E820" s="37"/>
      <c r="F820" s="37"/>
      <c r="G820" s="40" t="str">
        <f>IF(tblMovimientos[[#This Row],[Producto]]="","",TRIM(LEFT(tblMovimientos[[#This Row],[Producto]],FIND(" · ",tblMovimientos[[#This Row],[Producto]]&amp;" · ")-1)))</f>
        <v/>
      </c>
      <c r="H820" s="40" t="str">
        <f>IF(tblMovimientos[[#This Row],[SKU]]="","",IFERROR(INDEX(tblProductos[Unidad],MATCH(tblMovimientos[[#This Row],[SKU]],tblProductos[SKU],0)),"?"))</f>
        <v/>
      </c>
      <c r="I820" s="39"/>
      <c r="J820" s="47" t="str">
        <f>IF(tblMovimientos[[#This Row],[Tipo]]="","",IFERROR(INDEX(tblTiposMov[FactorStock],MATCH(tblMovimientos[[#This Row],[Tipo]],tblTiposMov[Tipo],0)),0))</f>
        <v/>
      </c>
      <c r="K8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0" s="37"/>
      <c r="O820" s="37"/>
      <c r="P820" s="37"/>
    </row>
    <row r="821" spans="2:16" x14ac:dyDescent="0.25">
      <c r="B8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1" s="46"/>
      <c r="D821" s="37"/>
      <c r="E821" s="37"/>
      <c r="F821" s="37"/>
      <c r="G821" s="40" t="str">
        <f>IF(tblMovimientos[[#This Row],[Producto]]="","",TRIM(LEFT(tblMovimientos[[#This Row],[Producto]],FIND(" · ",tblMovimientos[[#This Row],[Producto]]&amp;" · ")-1)))</f>
        <v/>
      </c>
      <c r="H821" s="40" t="str">
        <f>IF(tblMovimientos[[#This Row],[SKU]]="","",IFERROR(INDEX(tblProductos[Unidad],MATCH(tblMovimientos[[#This Row],[SKU]],tblProductos[SKU],0)),"?"))</f>
        <v/>
      </c>
      <c r="I821" s="39"/>
      <c r="J821" s="47" t="str">
        <f>IF(tblMovimientos[[#This Row],[Tipo]]="","",IFERROR(INDEX(tblTiposMov[FactorStock],MATCH(tblMovimientos[[#This Row],[Tipo]],tblTiposMov[Tipo],0)),0))</f>
        <v/>
      </c>
      <c r="K8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1" s="37"/>
      <c r="O821" s="37"/>
      <c r="P821" s="37"/>
    </row>
    <row r="822" spans="2:16" x14ac:dyDescent="0.25">
      <c r="B8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2" s="46"/>
      <c r="D822" s="37"/>
      <c r="E822" s="37"/>
      <c r="F822" s="37"/>
      <c r="G822" s="40" t="str">
        <f>IF(tblMovimientos[[#This Row],[Producto]]="","",TRIM(LEFT(tblMovimientos[[#This Row],[Producto]],FIND(" · ",tblMovimientos[[#This Row],[Producto]]&amp;" · ")-1)))</f>
        <v/>
      </c>
      <c r="H822" s="40" t="str">
        <f>IF(tblMovimientos[[#This Row],[SKU]]="","",IFERROR(INDEX(tblProductos[Unidad],MATCH(tblMovimientos[[#This Row],[SKU]],tblProductos[SKU],0)),"?"))</f>
        <v/>
      </c>
      <c r="I822" s="39"/>
      <c r="J822" s="47" t="str">
        <f>IF(tblMovimientos[[#This Row],[Tipo]]="","",IFERROR(INDEX(tblTiposMov[FactorStock],MATCH(tblMovimientos[[#This Row],[Tipo]],tblTiposMov[Tipo],0)),0))</f>
        <v/>
      </c>
      <c r="K8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2" s="37"/>
      <c r="O822" s="37"/>
      <c r="P822" s="37"/>
    </row>
    <row r="823" spans="2:16" x14ac:dyDescent="0.25">
      <c r="B8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3" s="46"/>
      <c r="D823" s="37"/>
      <c r="E823" s="37"/>
      <c r="F823" s="37"/>
      <c r="G823" s="40" t="str">
        <f>IF(tblMovimientos[[#This Row],[Producto]]="","",TRIM(LEFT(tblMovimientos[[#This Row],[Producto]],FIND(" · ",tblMovimientos[[#This Row],[Producto]]&amp;" · ")-1)))</f>
        <v/>
      </c>
      <c r="H823" s="40" t="str">
        <f>IF(tblMovimientos[[#This Row],[SKU]]="","",IFERROR(INDEX(tblProductos[Unidad],MATCH(tblMovimientos[[#This Row],[SKU]],tblProductos[SKU],0)),"?"))</f>
        <v/>
      </c>
      <c r="I823" s="39"/>
      <c r="J823" s="47" t="str">
        <f>IF(tblMovimientos[[#This Row],[Tipo]]="","",IFERROR(INDEX(tblTiposMov[FactorStock],MATCH(tblMovimientos[[#This Row],[Tipo]],tblTiposMov[Tipo],0)),0))</f>
        <v/>
      </c>
      <c r="K8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3" s="37"/>
      <c r="O823" s="37"/>
      <c r="P823" s="37"/>
    </row>
    <row r="824" spans="2:16" x14ac:dyDescent="0.25">
      <c r="B8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4" s="46"/>
      <c r="D824" s="37"/>
      <c r="E824" s="37"/>
      <c r="F824" s="37"/>
      <c r="G824" s="40" t="str">
        <f>IF(tblMovimientos[[#This Row],[Producto]]="","",TRIM(LEFT(tblMovimientos[[#This Row],[Producto]],FIND(" · ",tblMovimientos[[#This Row],[Producto]]&amp;" · ")-1)))</f>
        <v/>
      </c>
      <c r="H824" s="40" t="str">
        <f>IF(tblMovimientos[[#This Row],[SKU]]="","",IFERROR(INDEX(tblProductos[Unidad],MATCH(tblMovimientos[[#This Row],[SKU]],tblProductos[SKU],0)),"?"))</f>
        <v/>
      </c>
      <c r="I824" s="39"/>
      <c r="J824" s="47" t="str">
        <f>IF(tblMovimientos[[#This Row],[Tipo]]="","",IFERROR(INDEX(tblTiposMov[FactorStock],MATCH(tblMovimientos[[#This Row],[Tipo]],tblTiposMov[Tipo],0)),0))</f>
        <v/>
      </c>
      <c r="K8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4" s="37"/>
      <c r="O824" s="37"/>
      <c r="P824" s="37"/>
    </row>
    <row r="825" spans="2:16" x14ac:dyDescent="0.25">
      <c r="B8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5" s="46"/>
      <c r="D825" s="37"/>
      <c r="E825" s="37"/>
      <c r="F825" s="37"/>
      <c r="G825" s="40" t="str">
        <f>IF(tblMovimientos[[#This Row],[Producto]]="","",TRIM(LEFT(tblMovimientos[[#This Row],[Producto]],FIND(" · ",tblMovimientos[[#This Row],[Producto]]&amp;" · ")-1)))</f>
        <v/>
      </c>
      <c r="H825" s="40" t="str">
        <f>IF(tblMovimientos[[#This Row],[SKU]]="","",IFERROR(INDEX(tblProductos[Unidad],MATCH(tblMovimientos[[#This Row],[SKU]],tblProductos[SKU],0)),"?"))</f>
        <v/>
      </c>
      <c r="I825" s="39"/>
      <c r="J825" s="47" t="str">
        <f>IF(tblMovimientos[[#This Row],[Tipo]]="","",IFERROR(INDEX(tblTiposMov[FactorStock],MATCH(tblMovimientos[[#This Row],[Tipo]],tblTiposMov[Tipo],0)),0))</f>
        <v/>
      </c>
      <c r="K8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5" s="37"/>
      <c r="O825" s="37"/>
      <c r="P825" s="37"/>
    </row>
    <row r="826" spans="2:16" x14ac:dyDescent="0.25">
      <c r="B8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6" s="46"/>
      <c r="D826" s="37"/>
      <c r="E826" s="37"/>
      <c r="F826" s="37"/>
      <c r="G826" s="40" t="str">
        <f>IF(tblMovimientos[[#This Row],[Producto]]="","",TRIM(LEFT(tblMovimientos[[#This Row],[Producto]],FIND(" · ",tblMovimientos[[#This Row],[Producto]]&amp;" · ")-1)))</f>
        <v/>
      </c>
      <c r="H826" s="40" t="str">
        <f>IF(tblMovimientos[[#This Row],[SKU]]="","",IFERROR(INDEX(tblProductos[Unidad],MATCH(tblMovimientos[[#This Row],[SKU]],tblProductos[SKU],0)),"?"))</f>
        <v/>
      </c>
      <c r="I826" s="39"/>
      <c r="J826" s="47" t="str">
        <f>IF(tblMovimientos[[#This Row],[Tipo]]="","",IFERROR(INDEX(tblTiposMov[FactorStock],MATCH(tblMovimientos[[#This Row],[Tipo]],tblTiposMov[Tipo],0)),0))</f>
        <v/>
      </c>
      <c r="K8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6" s="37"/>
      <c r="O826" s="37"/>
      <c r="P826" s="37"/>
    </row>
    <row r="827" spans="2:16" x14ac:dyDescent="0.25">
      <c r="B8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7" s="46"/>
      <c r="D827" s="37"/>
      <c r="E827" s="37"/>
      <c r="F827" s="37"/>
      <c r="G827" s="40" t="str">
        <f>IF(tblMovimientos[[#This Row],[Producto]]="","",TRIM(LEFT(tblMovimientos[[#This Row],[Producto]],FIND(" · ",tblMovimientos[[#This Row],[Producto]]&amp;" · ")-1)))</f>
        <v/>
      </c>
      <c r="H827" s="40" t="str">
        <f>IF(tblMovimientos[[#This Row],[SKU]]="","",IFERROR(INDEX(tblProductos[Unidad],MATCH(tblMovimientos[[#This Row],[SKU]],tblProductos[SKU],0)),"?"))</f>
        <v/>
      </c>
      <c r="I827" s="39"/>
      <c r="J827" s="47" t="str">
        <f>IF(tblMovimientos[[#This Row],[Tipo]]="","",IFERROR(INDEX(tblTiposMov[FactorStock],MATCH(tblMovimientos[[#This Row],[Tipo]],tblTiposMov[Tipo],0)),0))</f>
        <v/>
      </c>
      <c r="K8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7" s="37"/>
      <c r="O827" s="37"/>
      <c r="P827" s="37"/>
    </row>
    <row r="828" spans="2:16" x14ac:dyDescent="0.25">
      <c r="B8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8" s="46"/>
      <c r="D828" s="37"/>
      <c r="E828" s="37"/>
      <c r="F828" s="37"/>
      <c r="G828" s="40" t="str">
        <f>IF(tblMovimientos[[#This Row],[Producto]]="","",TRIM(LEFT(tblMovimientos[[#This Row],[Producto]],FIND(" · ",tblMovimientos[[#This Row],[Producto]]&amp;" · ")-1)))</f>
        <v/>
      </c>
      <c r="H828" s="40" t="str">
        <f>IF(tblMovimientos[[#This Row],[SKU]]="","",IFERROR(INDEX(tblProductos[Unidad],MATCH(tblMovimientos[[#This Row],[SKU]],tblProductos[SKU],0)),"?"))</f>
        <v/>
      </c>
      <c r="I828" s="39"/>
      <c r="J828" s="47" t="str">
        <f>IF(tblMovimientos[[#This Row],[Tipo]]="","",IFERROR(INDEX(tblTiposMov[FactorStock],MATCH(tblMovimientos[[#This Row],[Tipo]],tblTiposMov[Tipo],0)),0))</f>
        <v/>
      </c>
      <c r="K8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8" s="37"/>
      <c r="O828" s="37"/>
      <c r="P828" s="37"/>
    </row>
    <row r="829" spans="2:16" x14ac:dyDescent="0.25">
      <c r="B8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29" s="46"/>
      <c r="D829" s="37"/>
      <c r="E829" s="37"/>
      <c r="F829" s="37"/>
      <c r="G829" s="40" t="str">
        <f>IF(tblMovimientos[[#This Row],[Producto]]="","",TRIM(LEFT(tblMovimientos[[#This Row],[Producto]],FIND(" · ",tblMovimientos[[#This Row],[Producto]]&amp;" · ")-1)))</f>
        <v/>
      </c>
      <c r="H829" s="40" t="str">
        <f>IF(tblMovimientos[[#This Row],[SKU]]="","",IFERROR(INDEX(tblProductos[Unidad],MATCH(tblMovimientos[[#This Row],[SKU]],tblProductos[SKU],0)),"?"))</f>
        <v/>
      </c>
      <c r="I829" s="39"/>
      <c r="J829" s="47" t="str">
        <f>IF(tblMovimientos[[#This Row],[Tipo]]="","",IFERROR(INDEX(tblTiposMov[FactorStock],MATCH(tblMovimientos[[#This Row],[Tipo]],tblTiposMov[Tipo],0)),0))</f>
        <v/>
      </c>
      <c r="K8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29" s="37"/>
      <c r="O829" s="37"/>
      <c r="P829" s="37"/>
    </row>
    <row r="830" spans="2:16" x14ac:dyDescent="0.25">
      <c r="B8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0" s="46"/>
      <c r="D830" s="37"/>
      <c r="E830" s="37"/>
      <c r="F830" s="37"/>
      <c r="G830" s="40" t="str">
        <f>IF(tblMovimientos[[#This Row],[Producto]]="","",TRIM(LEFT(tblMovimientos[[#This Row],[Producto]],FIND(" · ",tblMovimientos[[#This Row],[Producto]]&amp;" · ")-1)))</f>
        <v/>
      </c>
      <c r="H830" s="40" t="str">
        <f>IF(tblMovimientos[[#This Row],[SKU]]="","",IFERROR(INDEX(tblProductos[Unidad],MATCH(tblMovimientos[[#This Row],[SKU]],tblProductos[SKU],0)),"?"))</f>
        <v/>
      </c>
      <c r="I830" s="39"/>
      <c r="J830" s="47" t="str">
        <f>IF(tblMovimientos[[#This Row],[Tipo]]="","",IFERROR(INDEX(tblTiposMov[FactorStock],MATCH(tblMovimientos[[#This Row],[Tipo]],tblTiposMov[Tipo],0)),0))</f>
        <v/>
      </c>
      <c r="K8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0" s="37"/>
      <c r="O830" s="37"/>
      <c r="P830" s="37"/>
    </row>
    <row r="831" spans="2:16" x14ac:dyDescent="0.25">
      <c r="B8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1" s="46"/>
      <c r="D831" s="37"/>
      <c r="E831" s="37"/>
      <c r="F831" s="37"/>
      <c r="G831" s="40" t="str">
        <f>IF(tblMovimientos[[#This Row],[Producto]]="","",TRIM(LEFT(tblMovimientos[[#This Row],[Producto]],FIND(" · ",tblMovimientos[[#This Row],[Producto]]&amp;" · ")-1)))</f>
        <v/>
      </c>
      <c r="H831" s="40" t="str">
        <f>IF(tblMovimientos[[#This Row],[SKU]]="","",IFERROR(INDEX(tblProductos[Unidad],MATCH(tblMovimientos[[#This Row],[SKU]],tblProductos[SKU],0)),"?"))</f>
        <v/>
      </c>
      <c r="I831" s="39"/>
      <c r="J831" s="47" t="str">
        <f>IF(tblMovimientos[[#This Row],[Tipo]]="","",IFERROR(INDEX(tblTiposMov[FactorStock],MATCH(tblMovimientos[[#This Row],[Tipo]],tblTiposMov[Tipo],0)),0))</f>
        <v/>
      </c>
      <c r="K8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1" s="37"/>
      <c r="O831" s="37"/>
      <c r="P831" s="37"/>
    </row>
    <row r="832" spans="2:16" x14ac:dyDescent="0.25">
      <c r="B8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2" s="46"/>
      <c r="D832" s="37"/>
      <c r="E832" s="37"/>
      <c r="F832" s="37"/>
      <c r="G832" s="40" t="str">
        <f>IF(tblMovimientos[[#This Row],[Producto]]="","",TRIM(LEFT(tblMovimientos[[#This Row],[Producto]],FIND(" · ",tblMovimientos[[#This Row],[Producto]]&amp;" · ")-1)))</f>
        <v/>
      </c>
      <c r="H832" s="40" t="str">
        <f>IF(tblMovimientos[[#This Row],[SKU]]="","",IFERROR(INDEX(tblProductos[Unidad],MATCH(tblMovimientos[[#This Row],[SKU]],tblProductos[SKU],0)),"?"))</f>
        <v/>
      </c>
      <c r="I832" s="39"/>
      <c r="J832" s="47" t="str">
        <f>IF(tblMovimientos[[#This Row],[Tipo]]="","",IFERROR(INDEX(tblTiposMov[FactorStock],MATCH(tblMovimientos[[#This Row],[Tipo]],tblTiposMov[Tipo],0)),0))</f>
        <v/>
      </c>
      <c r="K8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2" s="37"/>
      <c r="O832" s="37"/>
      <c r="P832" s="37"/>
    </row>
    <row r="833" spans="2:16" x14ac:dyDescent="0.25">
      <c r="B8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3" s="46"/>
      <c r="D833" s="37"/>
      <c r="E833" s="37"/>
      <c r="F833" s="37"/>
      <c r="G833" s="40" t="str">
        <f>IF(tblMovimientos[[#This Row],[Producto]]="","",TRIM(LEFT(tblMovimientos[[#This Row],[Producto]],FIND(" · ",tblMovimientos[[#This Row],[Producto]]&amp;" · ")-1)))</f>
        <v/>
      </c>
      <c r="H833" s="40" t="str">
        <f>IF(tblMovimientos[[#This Row],[SKU]]="","",IFERROR(INDEX(tblProductos[Unidad],MATCH(tblMovimientos[[#This Row],[SKU]],tblProductos[SKU],0)),"?"))</f>
        <v/>
      </c>
      <c r="I833" s="39"/>
      <c r="J833" s="47" t="str">
        <f>IF(tblMovimientos[[#This Row],[Tipo]]="","",IFERROR(INDEX(tblTiposMov[FactorStock],MATCH(tblMovimientos[[#This Row],[Tipo]],tblTiposMov[Tipo],0)),0))</f>
        <v/>
      </c>
      <c r="K8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3" s="37"/>
      <c r="O833" s="37"/>
      <c r="P833" s="37"/>
    </row>
    <row r="834" spans="2:16" x14ac:dyDescent="0.25">
      <c r="B8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4" s="46"/>
      <c r="D834" s="37"/>
      <c r="E834" s="37"/>
      <c r="F834" s="37"/>
      <c r="G834" s="40" t="str">
        <f>IF(tblMovimientos[[#This Row],[Producto]]="","",TRIM(LEFT(tblMovimientos[[#This Row],[Producto]],FIND(" · ",tblMovimientos[[#This Row],[Producto]]&amp;" · ")-1)))</f>
        <v/>
      </c>
      <c r="H834" s="40" t="str">
        <f>IF(tblMovimientos[[#This Row],[SKU]]="","",IFERROR(INDEX(tblProductos[Unidad],MATCH(tblMovimientos[[#This Row],[SKU]],tblProductos[SKU],0)),"?"))</f>
        <v/>
      </c>
      <c r="I834" s="39"/>
      <c r="J834" s="47" t="str">
        <f>IF(tblMovimientos[[#This Row],[Tipo]]="","",IFERROR(INDEX(tblTiposMov[FactorStock],MATCH(tblMovimientos[[#This Row],[Tipo]],tblTiposMov[Tipo],0)),0))</f>
        <v/>
      </c>
      <c r="K8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4" s="37"/>
      <c r="O834" s="37"/>
      <c r="P834" s="37"/>
    </row>
    <row r="835" spans="2:16" x14ac:dyDescent="0.25">
      <c r="B8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5" s="46"/>
      <c r="D835" s="37"/>
      <c r="E835" s="37"/>
      <c r="F835" s="37"/>
      <c r="G835" s="40" t="str">
        <f>IF(tblMovimientos[[#This Row],[Producto]]="","",TRIM(LEFT(tblMovimientos[[#This Row],[Producto]],FIND(" · ",tblMovimientos[[#This Row],[Producto]]&amp;" · ")-1)))</f>
        <v/>
      </c>
      <c r="H835" s="40" t="str">
        <f>IF(tblMovimientos[[#This Row],[SKU]]="","",IFERROR(INDEX(tblProductos[Unidad],MATCH(tblMovimientos[[#This Row],[SKU]],tblProductos[SKU],0)),"?"))</f>
        <v/>
      </c>
      <c r="I835" s="39"/>
      <c r="J835" s="47" t="str">
        <f>IF(tblMovimientos[[#This Row],[Tipo]]="","",IFERROR(INDEX(tblTiposMov[FactorStock],MATCH(tblMovimientos[[#This Row],[Tipo]],tblTiposMov[Tipo],0)),0))</f>
        <v/>
      </c>
      <c r="K8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5" s="37"/>
      <c r="O835" s="37"/>
      <c r="P835" s="37"/>
    </row>
    <row r="836" spans="2:16" x14ac:dyDescent="0.25">
      <c r="B8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6" s="46"/>
      <c r="D836" s="37"/>
      <c r="E836" s="37"/>
      <c r="F836" s="37"/>
      <c r="G836" s="40" t="str">
        <f>IF(tblMovimientos[[#This Row],[Producto]]="","",TRIM(LEFT(tblMovimientos[[#This Row],[Producto]],FIND(" · ",tblMovimientos[[#This Row],[Producto]]&amp;" · ")-1)))</f>
        <v/>
      </c>
      <c r="H836" s="40" t="str">
        <f>IF(tblMovimientos[[#This Row],[SKU]]="","",IFERROR(INDEX(tblProductos[Unidad],MATCH(tblMovimientos[[#This Row],[SKU]],tblProductos[SKU],0)),"?"))</f>
        <v/>
      </c>
      <c r="I836" s="39"/>
      <c r="J836" s="47" t="str">
        <f>IF(tblMovimientos[[#This Row],[Tipo]]="","",IFERROR(INDEX(tblTiposMov[FactorStock],MATCH(tblMovimientos[[#This Row],[Tipo]],tblTiposMov[Tipo],0)),0))</f>
        <v/>
      </c>
      <c r="K8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6" s="37"/>
      <c r="O836" s="37"/>
      <c r="P836" s="37"/>
    </row>
    <row r="837" spans="2:16" x14ac:dyDescent="0.25">
      <c r="B8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7" s="46"/>
      <c r="D837" s="37"/>
      <c r="E837" s="37"/>
      <c r="F837" s="37"/>
      <c r="G837" s="40" t="str">
        <f>IF(tblMovimientos[[#This Row],[Producto]]="","",TRIM(LEFT(tblMovimientos[[#This Row],[Producto]],FIND(" · ",tblMovimientos[[#This Row],[Producto]]&amp;" · ")-1)))</f>
        <v/>
      </c>
      <c r="H837" s="40" t="str">
        <f>IF(tblMovimientos[[#This Row],[SKU]]="","",IFERROR(INDEX(tblProductos[Unidad],MATCH(tblMovimientos[[#This Row],[SKU]],tblProductos[SKU],0)),"?"))</f>
        <v/>
      </c>
      <c r="I837" s="39"/>
      <c r="J837" s="47" t="str">
        <f>IF(tblMovimientos[[#This Row],[Tipo]]="","",IFERROR(INDEX(tblTiposMov[FactorStock],MATCH(tblMovimientos[[#This Row],[Tipo]],tblTiposMov[Tipo],0)),0))</f>
        <v/>
      </c>
      <c r="K8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7" s="37"/>
      <c r="O837" s="37"/>
      <c r="P837" s="37"/>
    </row>
    <row r="838" spans="2:16" x14ac:dyDescent="0.25">
      <c r="B8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8" s="46"/>
      <c r="D838" s="37"/>
      <c r="E838" s="37"/>
      <c r="F838" s="37"/>
      <c r="G838" s="40" t="str">
        <f>IF(tblMovimientos[[#This Row],[Producto]]="","",TRIM(LEFT(tblMovimientos[[#This Row],[Producto]],FIND(" · ",tblMovimientos[[#This Row],[Producto]]&amp;" · ")-1)))</f>
        <v/>
      </c>
      <c r="H838" s="40" t="str">
        <f>IF(tblMovimientos[[#This Row],[SKU]]="","",IFERROR(INDEX(tblProductos[Unidad],MATCH(tblMovimientos[[#This Row],[SKU]],tblProductos[SKU],0)),"?"))</f>
        <v/>
      </c>
      <c r="I838" s="39"/>
      <c r="J838" s="47" t="str">
        <f>IF(tblMovimientos[[#This Row],[Tipo]]="","",IFERROR(INDEX(tblTiposMov[FactorStock],MATCH(tblMovimientos[[#This Row],[Tipo]],tblTiposMov[Tipo],0)),0))</f>
        <v/>
      </c>
      <c r="K8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8" s="37"/>
      <c r="O838" s="37"/>
      <c r="P838" s="37"/>
    </row>
    <row r="839" spans="2:16" x14ac:dyDescent="0.25">
      <c r="B8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39" s="46"/>
      <c r="D839" s="37"/>
      <c r="E839" s="37"/>
      <c r="F839" s="37"/>
      <c r="G839" s="40" t="str">
        <f>IF(tblMovimientos[[#This Row],[Producto]]="","",TRIM(LEFT(tblMovimientos[[#This Row],[Producto]],FIND(" · ",tblMovimientos[[#This Row],[Producto]]&amp;" · ")-1)))</f>
        <v/>
      </c>
      <c r="H839" s="40" t="str">
        <f>IF(tblMovimientos[[#This Row],[SKU]]="","",IFERROR(INDEX(tblProductos[Unidad],MATCH(tblMovimientos[[#This Row],[SKU]],tblProductos[SKU],0)),"?"))</f>
        <v/>
      </c>
      <c r="I839" s="39"/>
      <c r="J839" s="47" t="str">
        <f>IF(tblMovimientos[[#This Row],[Tipo]]="","",IFERROR(INDEX(tblTiposMov[FactorStock],MATCH(tblMovimientos[[#This Row],[Tipo]],tblTiposMov[Tipo],0)),0))</f>
        <v/>
      </c>
      <c r="K8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39" s="37"/>
      <c r="O839" s="37"/>
      <c r="P839" s="37"/>
    </row>
    <row r="840" spans="2:16" x14ac:dyDescent="0.25">
      <c r="B8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0" s="46"/>
      <c r="D840" s="37"/>
      <c r="E840" s="37"/>
      <c r="F840" s="37"/>
      <c r="G840" s="40" t="str">
        <f>IF(tblMovimientos[[#This Row],[Producto]]="","",TRIM(LEFT(tblMovimientos[[#This Row],[Producto]],FIND(" · ",tblMovimientos[[#This Row],[Producto]]&amp;" · ")-1)))</f>
        <v/>
      </c>
      <c r="H840" s="40" t="str">
        <f>IF(tblMovimientos[[#This Row],[SKU]]="","",IFERROR(INDEX(tblProductos[Unidad],MATCH(tblMovimientos[[#This Row],[SKU]],tblProductos[SKU],0)),"?"))</f>
        <v/>
      </c>
      <c r="I840" s="39"/>
      <c r="J840" s="47" t="str">
        <f>IF(tblMovimientos[[#This Row],[Tipo]]="","",IFERROR(INDEX(tblTiposMov[FactorStock],MATCH(tblMovimientos[[#This Row],[Tipo]],tblTiposMov[Tipo],0)),0))</f>
        <v/>
      </c>
      <c r="K8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0" s="37"/>
      <c r="O840" s="37"/>
      <c r="P840" s="37"/>
    </row>
    <row r="841" spans="2:16" x14ac:dyDescent="0.25">
      <c r="B8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1" s="46"/>
      <c r="D841" s="37"/>
      <c r="E841" s="37"/>
      <c r="F841" s="37"/>
      <c r="G841" s="40" t="str">
        <f>IF(tblMovimientos[[#This Row],[Producto]]="","",TRIM(LEFT(tblMovimientos[[#This Row],[Producto]],FIND(" · ",tblMovimientos[[#This Row],[Producto]]&amp;" · ")-1)))</f>
        <v/>
      </c>
      <c r="H841" s="40" t="str">
        <f>IF(tblMovimientos[[#This Row],[SKU]]="","",IFERROR(INDEX(tblProductos[Unidad],MATCH(tblMovimientos[[#This Row],[SKU]],tblProductos[SKU],0)),"?"))</f>
        <v/>
      </c>
      <c r="I841" s="39"/>
      <c r="J841" s="47" t="str">
        <f>IF(tblMovimientos[[#This Row],[Tipo]]="","",IFERROR(INDEX(tblTiposMov[FactorStock],MATCH(tblMovimientos[[#This Row],[Tipo]],tblTiposMov[Tipo],0)),0))</f>
        <v/>
      </c>
      <c r="K8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1" s="37"/>
      <c r="O841" s="37"/>
      <c r="P841" s="37"/>
    </row>
    <row r="842" spans="2:16" x14ac:dyDescent="0.25">
      <c r="B8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2" s="46"/>
      <c r="D842" s="37"/>
      <c r="E842" s="37"/>
      <c r="F842" s="37"/>
      <c r="G842" s="40" t="str">
        <f>IF(tblMovimientos[[#This Row],[Producto]]="","",TRIM(LEFT(tblMovimientos[[#This Row],[Producto]],FIND(" · ",tblMovimientos[[#This Row],[Producto]]&amp;" · ")-1)))</f>
        <v/>
      </c>
      <c r="H842" s="40" t="str">
        <f>IF(tblMovimientos[[#This Row],[SKU]]="","",IFERROR(INDEX(tblProductos[Unidad],MATCH(tblMovimientos[[#This Row],[SKU]],tblProductos[SKU],0)),"?"))</f>
        <v/>
      </c>
      <c r="I842" s="39"/>
      <c r="J842" s="47" t="str">
        <f>IF(tblMovimientos[[#This Row],[Tipo]]="","",IFERROR(INDEX(tblTiposMov[FactorStock],MATCH(tblMovimientos[[#This Row],[Tipo]],tblTiposMov[Tipo],0)),0))</f>
        <v/>
      </c>
      <c r="K8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2" s="37"/>
      <c r="O842" s="37"/>
      <c r="P842" s="37"/>
    </row>
    <row r="843" spans="2:16" x14ac:dyDescent="0.25">
      <c r="B8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3" s="46"/>
      <c r="D843" s="37"/>
      <c r="E843" s="37"/>
      <c r="F843" s="37"/>
      <c r="G843" s="40" t="str">
        <f>IF(tblMovimientos[[#This Row],[Producto]]="","",TRIM(LEFT(tblMovimientos[[#This Row],[Producto]],FIND(" · ",tblMovimientos[[#This Row],[Producto]]&amp;" · ")-1)))</f>
        <v/>
      </c>
      <c r="H843" s="40" t="str">
        <f>IF(tblMovimientos[[#This Row],[SKU]]="","",IFERROR(INDEX(tblProductos[Unidad],MATCH(tblMovimientos[[#This Row],[SKU]],tblProductos[SKU],0)),"?"))</f>
        <v/>
      </c>
      <c r="I843" s="39"/>
      <c r="J843" s="47" t="str">
        <f>IF(tblMovimientos[[#This Row],[Tipo]]="","",IFERROR(INDEX(tblTiposMov[FactorStock],MATCH(tblMovimientos[[#This Row],[Tipo]],tblTiposMov[Tipo],0)),0))</f>
        <v/>
      </c>
      <c r="K8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3" s="37"/>
      <c r="O843" s="37"/>
      <c r="P843" s="37"/>
    </row>
    <row r="844" spans="2:16" x14ac:dyDescent="0.25">
      <c r="B8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4" s="46"/>
      <c r="D844" s="37"/>
      <c r="E844" s="37"/>
      <c r="F844" s="37"/>
      <c r="G844" s="40" t="str">
        <f>IF(tblMovimientos[[#This Row],[Producto]]="","",TRIM(LEFT(tblMovimientos[[#This Row],[Producto]],FIND(" · ",tblMovimientos[[#This Row],[Producto]]&amp;" · ")-1)))</f>
        <v/>
      </c>
      <c r="H844" s="40" t="str">
        <f>IF(tblMovimientos[[#This Row],[SKU]]="","",IFERROR(INDEX(tblProductos[Unidad],MATCH(tblMovimientos[[#This Row],[SKU]],tblProductos[SKU],0)),"?"))</f>
        <v/>
      </c>
      <c r="I844" s="39"/>
      <c r="J844" s="47" t="str">
        <f>IF(tblMovimientos[[#This Row],[Tipo]]="","",IFERROR(INDEX(tblTiposMov[FactorStock],MATCH(tblMovimientos[[#This Row],[Tipo]],tblTiposMov[Tipo],0)),0))</f>
        <v/>
      </c>
      <c r="K8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4" s="37"/>
      <c r="O844" s="37"/>
      <c r="P844" s="37"/>
    </row>
    <row r="845" spans="2:16" x14ac:dyDescent="0.25">
      <c r="B8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5" s="46"/>
      <c r="D845" s="37"/>
      <c r="E845" s="37"/>
      <c r="F845" s="37"/>
      <c r="G845" s="40" t="str">
        <f>IF(tblMovimientos[[#This Row],[Producto]]="","",TRIM(LEFT(tblMovimientos[[#This Row],[Producto]],FIND(" · ",tblMovimientos[[#This Row],[Producto]]&amp;" · ")-1)))</f>
        <v/>
      </c>
      <c r="H845" s="40" t="str">
        <f>IF(tblMovimientos[[#This Row],[SKU]]="","",IFERROR(INDEX(tblProductos[Unidad],MATCH(tblMovimientos[[#This Row],[SKU]],tblProductos[SKU],0)),"?"))</f>
        <v/>
      </c>
      <c r="I845" s="39"/>
      <c r="J845" s="47" t="str">
        <f>IF(tblMovimientos[[#This Row],[Tipo]]="","",IFERROR(INDEX(tblTiposMov[FactorStock],MATCH(tblMovimientos[[#This Row],[Tipo]],tblTiposMov[Tipo],0)),0))</f>
        <v/>
      </c>
      <c r="K8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5" s="37"/>
      <c r="O845" s="37"/>
      <c r="P845" s="37"/>
    </row>
    <row r="846" spans="2:16" x14ac:dyDescent="0.25">
      <c r="B8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6" s="46"/>
      <c r="D846" s="37"/>
      <c r="E846" s="37"/>
      <c r="F846" s="37"/>
      <c r="G846" s="40" t="str">
        <f>IF(tblMovimientos[[#This Row],[Producto]]="","",TRIM(LEFT(tblMovimientos[[#This Row],[Producto]],FIND(" · ",tblMovimientos[[#This Row],[Producto]]&amp;" · ")-1)))</f>
        <v/>
      </c>
      <c r="H846" s="40" t="str">
        <f>IF(tblMovimientos[[#This Row],[SKU]]="","",IFERROR(INDEX(tblProductos[Unidad],MATCH(tblMovimientos[[#This Row],[SKU]],tblProductos[SKU],0)),"?"))</f>
        <v/>
      </c>
      <c r="I846" s="39"/>
      <c r="J846" s="47" t="str">
        <f>IF(tblMovimientos[[#This Row],[Tipo]]="","",IFERROR(INDEX(tblTiposMov[FactorStock],MATCH(tblMovimientos[[#This Row],[Tipo]],tblTiposMov[Tipo],0)),0))</f>
        <v/>
      </c>
      <c r="K8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6" s="37"/>
      <c r="O846" s="37"/>
      <c r="P846" s="37"/>
    </row>
    <row r="847" spans="2:16" x14ac:dyDescent="0.25">
      <c r="B8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7" s="46"/>
      <c r="D847" s="37"/>
      <c r="E847" s="37"/>
      <c r="F847" s="37"/>
      <c r="G847" s="40" t="str">
        <f>IF(tblMovimientos[[#This Row],[Producto]]="","",TRIM(LEFT(tblMovimientos[[#This Row],[Producto]],FIND(" · ",tblMovimientos[[#This Row],[Producto]]&amp;" · ")-1)))</f>
        <v/>
      </c>
      <c r="H847" s="40" t="str">
        <f>IF(tblMovimientos[[#This Row],[SKU]]="","",IFERROR(INDEX(tblProductos[Unidad],MATCH(tblMovimientos[[#This Row],[SKU]],tblProductos[SKU],0)),"?"))</f>
        <v/>
      </c>
      <c r="I847" s="39"/>
      <c r="J847" s="47" t="str">
        <f>IF(tblMovimientos[[#This Row],[Tipo]]="","",IFERROR(INDEX(tblTiposMov[FactorStock],MATCH(tblMovimientos[[#This Row],[Tipo]],tblTiposMov[Tipo],0)),0))</f>
        <v/>
      </c>
      <c r="K8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7" s="37"/>
      <c r="O847" s="37"/>
      <c r="P847" s="37"/>
    </row>
    <row r="848" spans="2:16" x14ac:dyDescent="0.25">
      <c r="B8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8" s="46"/>
      <c r="D848" s="37"/>
      <c r="E848" s="37"/>
      <c r="F848" s="37"/>
      <c r="G848" s="40" t="str">
        <f>IF(tblMovimientos[[#This Row],[Producto]]="","",TRIM(LEFT(tblMovimientos[[#This Row],[Producto]],FIND(" · ",tblMovimientos[[#This Row],[Producto]]&amp;" · ")-1)))</f>
        <v/>
      </c>
      <c r="H848" s="40" t="str">
        <f>IF(tblMovimientos[[#This Row],[SKU]]="","",IFERROR(INDEX(tblProductos[Unidad],MATCH(tblMovimientos[[#This Row],[SKU]],tblProductos[SKU],0)),"?"))</f>
        <v/>
      </c>
      <c r="I848" s="39"/>
      <c r="J848" s="47" t="str">
        <f>IF(tblMovimientos[[#This Row],[Tipo]]="","",IFERROR(INDEX(tblTiposMov[FactorStock],MATCH(tblMovimientos[[#This Row],[Tipo]],tblTiposMov[Tipo],0)),0))</f>
        <v/>
      </c>
      <c r="K8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8" s="37"/>
      <c r="O848" s="37"/>
      <c r="P848" s="37"/>
    </row>
    <row r="849" spans="2:16" x14ac:dyDescent="0.25">
      <c r="B8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49" s="46"/>
      <c r="D849" s="37"/>
      <c r="E849" s="37"/>
      <c r="F849" s="37"/>
      <c r="G849" s="40" t="str">
        <f>IF(tblMovimientos[[#This Row],[Producto]]="","",TRIM(LEFT(tblMovimientos[[#This Row],[Producto]],FIND(" · ",tblMovimientos[[#This Row],[Producto]]&amp;" · ")-1)))</f>
        <v/>
      </c>
      <c r="H849" s="40" t="str">
        <f>IF(tblMovimientos[[#This Row],[SKU]]="","",IFERROR(INDEX(tblProductos[Unidad],MATCH(tblMovimientos[[#This Row],[SKU]],tblProductos[SKU],0)),"?"))</f>
        <v/>
      </c>
      <c r="I849" s="39"/>
      <c r="J849" s="47" t="str">
        <f>IF(tblMovimientos[[#This Row],[Tipo]]="","",IFERROR(INDEX(tblTiposMov[FactorStock],MATCH(tblMovimientos[[#This Row],[Tipo]],tblTiposMov[Tipo],0)),0))</f>
        <v/>
      </c>
      <c r="K8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49" s="37"/>
      <c r="O849" s="37"/>
      <c r="P849" s="37"/>
    </row>
    <row r="850" spans="2:16" x14ac:dyDescent="0.25">
      <c r="B8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0" s="46"/>
      <c r="D850" s="37"/>
      <c r="E850" s="37"/>
      <c r="F850" s="37"/>
      <c r="G850" s="40" t="str">
        <f>IF(tblMovimientos[[#This Row],[Producto]]="","",TRIM(LEFT(tblMovimientos[[#This Row],[Producto]],FIND(" · ",tblMovimientos[[#This Row],[Producto]]&amp;" · ")-1)))</f>
        <v/>
      </c>
      <c r="H850" s="40" t="str">
        <f>IF(tblMovimientos[[#This Row],[SKU]]="","",IFERROR(INDEX(tblProductos[Unidad],MATCH(tblMovimientos[[#This Row],[SKU]],tblProductos[SKU],0)),"?"))</f>
        <v/>
      </c>
      <c r="I850" s="39"/>
      <c r="J850" s="47" t="str">
        <f>IF(tblMovimientos[[#This Row],[Tipo]]="","",IFERROR(INDEX(tblTiposMov[FactorStock],MATCH(tblMovimientos[[#This Row],[Tipo]],tblTiposMov[Tipo],0)),0))</f>
        <v/>
      </c>
      <c r="K8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0" s="37"/>
      <c r="O850" s="37"/>
      <c r="P850" s="37"/>
    </row>
    <row r="851" spans="2:16" x14ac:dyDescent="0.25">
      <c r="B8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1" s="46"/>
      <c r="D851" s="37"/>
      <c r="E851" s="37"/>
      <c r="F851" s="37"/>
      <c r="G851" s="40" t="str">
        <f>IF(tblMovimientos[[#This Row],[Producto]]="","",TRIM(LEFT(tblMovimientos[[#This Row],[Producto]],FIND(" · ",tblMovimientos[[#This Row],[Producto]]&amp;" · ")-1)))</f>
        <v/>
      </c>
      <c r="H851" s="40" t="str">
        <f>IF(tblMovimientos[[#This Row],[SKU]]="","",IFERROR(INDEX(tblProductos[Unidad],MATCH(tblMovimientos[[#This Row],[SKU]],tblProductos[SKU],0)),"?"))</f>
        <v/>
      </c>
      <c r="I851" s="39"/>
      <c r="J851" s="47" t="str">
        <f>IF(tblMovimientos[[#This Row],[Tipo]]="","",IFERROR(INDEX(tblTiposMov[FactorStock],MATCH(tblMovimientos[[#This Row],[Tipo]],tblTiposMov[Tipo],0)),0))</f>
        <v/>
      </c>
      <c r="K8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1" s="37"/>
      <c r="O851" s="37"/>
      <c r="P851" s="37"/>
    </row>
    <row r="852" spans="2:16" x14ac:dyDescent="0.25">
      <c r="B8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2" s="46"/>
      <c r="D852" s="37"/>
      <c r="E852" s="37"/>
      <c r="F852" s="37"/>
      <c r="G852" s="40" t="str">
        <f>IF(tblMovimientos[[#This Row],[Producto]]="","",TRIM(LEFT(tblMovimientos[[#This Row],[Producto]],FIND(" · ",tblMovimientos[[#This Row],[Producto]]&amp;" · ")-1)))</f>
        <v/>
      </c>
      <c r="H852" s="40" t="str">
        <f>IF(tblMovimientos[[#This Row],[SKU]]="","",IFERROR(INDEX(tblProductos[Unidad],MATCH(tblMovimientos[[#This Row],[SKU]],tblProductos[SKU],0)),"?"))</f>
        <v/>
      </c>
      <c r="I852" s="39"/>
      <c r="J852" s="47" t="str">
        <f>IF(tblMovimientos[[#This Row],[Tipo]]="","",IFERROR(INDEX(tblTiposMov[FactorStock],MATCH(tblMovimientos[[#This Row],[Tipo]],tblTiposMov[Tipo],0)),0))</f>
        <v/>
      </c>
      <c r="K8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2" s="37"/>
      <c r="O852" s="37"/>
      <c r="P852" s="37"/>
    </row>
    <row r="853" spans="2:16" x14ac:dyDescent="0.25">
      <c r="B8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3" s="46"/>
      <c r="D853" s="37"/>
      <c r="E853" s="37"/>
      <c r="F853" s="37"/>
      <c r="G853" s="40" t="str">
        <f>IF(tblMovimientos[[#This Row],[Producto]]="","",TRIM(LEFT(tblMovimientos[[#This Row],[Producto]],FIND(" · ",tblMovimientos[[#This Row],[Producto]]&amp;" · ")-1)))</f>
        <v/>
      </c>
      <c r="H853" s="40" t="str">
        <f>IF(tblMovimientos[[#This Row],[SKU]]="","",IFERROR(INDEX(tblProductos[Unidad],MATCH(tblMovimientos[[#This Row],[SKU]],tblProductos[SKU],0)),"?"))</f>
        <v/>
      </c>
      <c r="I853" s="39"/>
      <c r="J853" s="47" t="str">
        <f>IF(tblMovimientos[[#This Row],[Tipo]]="","",IFERROR(INDEX(tblTiposMov[FactorStock],MATCH(tblMovimientos[[#This Row],[Tipo]],tblTiposMov[Tipo],0)),0))</f>
        <v/>
      </c>
      <c r="K8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3" s="37"/>
      <c r="O853" s="37"/>
      <c r="P853" s="37"/>
    </row>
    <row r="854" spans="2:16" x14ac:dyDescent="0.25">
      <c r="B8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4" s="46"/>
      <c r="D854" s="37"/>
      <c r="E854" s="37"/>
      <c r="F854" s="37"/>
      <c r="G854" s="40" t="str">
        <f>IF(tblMovimientos[[#This Row],[Producto]]="","",TRIM(LEFT(tblMovimientos[[#This Row],[Producto]],FIND(" · ",tblMovimientos[[#This Row],[Producto]]&amp;" · ")-1)))</f>
        <v/>
      </c>
      <c r="H854" s="40" t="str">
        <f>IF(tblMovimientos[[#This Row],[SKU]]="","",IFERROR(INDEX(tblProductos[Unidad],MATCH(tblMovimientos[[#This Row],[SKU]],tblProductos[SKU],0)),"?"))</f>
        <v/>
      </c>
      <c r="I854" s="39"/>
      <c r="J854" s="47" t="str">
        <f>IF(tblMovimientos[[#This Row],[Tipo]]="","",IFERROR(INDEX(tblTiposMov[FactorStock],MATCH(tblMovimientos[[#This Row],[Tipo]],tblTiposMov[Tipo],0)),0))</f>
        <v/>
      </c>
      <c r="K8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4" s="37"/>
      <c r="O854" s="37"/>
      <c r="P854" s="37"/>
    </row>
    <row r="855" spans="2:16" x14ac:dyDescent="0.25">
      <c r="B8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5" s="46"/>
      <c r="D855" s="37"/>
      <c r="E855" s="37"/>
      <c r="F855" s="37"/>
      <c r="G855" s="40" t="str">
        <f>IF(tblMovimientos[[#This Row],[Producto]]="","",TRIM(LEFT(tblMovimientos[[#This Row],[Producto]],FIND(" · ",tblMovimientos[[#This Row],[Producto]]&amp;" · ")-1)))</f>
        <v/>
      </c>
      <c r="H855" s="40" t="str">
        <f>IF(tblMovimientos[[#This Row],[SKU]]="","",IFERROR(INDEX(tblProductos[Unidad],MATCH(tblMovimientos[[#This Row],[SKU]],tblProductos[SKU],0)),"?"))</f>
        <v/>
      </c>
      <c r="I855" s="39"/>
      <c r="J855" s="47" t="str">
        <f>IF(tblMovimientos[[#This Row],[Tipo]]="","",IFERROR(INDEX(tblTiposMov[FactorStock],MATCH(tblMovimientos[[#This Row],[Tipo]],tblTiposMov[Tipo],0)),0))</f>
        <v/>
      </c>
      <c r="K8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5" s="37"/>
      <c r="O855" s="37"/>
      <c r="P855" s="37"/>
    </row>
    <row r="856" spans="2:16" x14ac:dyDescent="0.25">
      <c r="B8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6" s="46"/>
      <c r="D856" s="37"/>
      <c r="E856" s="37"/>
      <c r="F856" s="37"/>
      <c r="G856" s="40" t="str">
        <f>IF(tblMovimientos[[#This Row],[Producto]]="","",TRIM(LEFT(tblMovimientos[[#This Row],[Producto]],FIND(" · ",tblMovimientos[[#This Row],[Producto]]&amp;" · ")-1)))</f>
        <v/>
      </c>
      <c r="H856" s="40" t="str">
        <f>IF(tblMovimientos[[#This Row],[SKU]]="","",IFERROR(INDEX(tblProductos[Unidad],MATCH(tblMovimientos[[#This Row],[SKU]],tblProductos[SKU],0)),"?"))</f>
        <v/>
      </c>
      <c r="I856" s="39"/>
      <c r="J856" s="47" t="str">
        <f>IF(tblMovimientos[[#This Row],[Tipo]]="","",IFERROR(INDEX(tblTiposMov[FactorStock],MATCH(tblMovimientos[[#This Row],[Tipo]],tblTiposMov[Tipo],0)),0))</f>
        <v/>
      </c>
      <c r="K8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6" s="37"/>
      <c r="O856" s="37"/>
      <c r="P856" s="37"/>
    </row>
    <row r="857" spans="2:16" x14ac:dyDescent="0.25">
      <c r="B8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7" s="46"/>
      <c r="D857" s="37"/>
      <c r="E857" s="37"/>
      <c r="F857" s="37"/>
      <c r="G857" s="40" t="str">
        <f>IF(tblMovimientos[[#This Row],[Producto]]="","",TRIM(LEFT(tblMovimientos[[#This Row],[Producto]],FIND(" · ",tblMovimientos[[#This Row],[Producto]]&amp;" · ")-1)))</f>
        <v/>
      </c>
      <c r="H857" s="40" t="str">
        <f>IF(tblMovimientos[[#This Row],[SKU]]="","",IFERROR(INDEX(tblProductos[Unidad],MATCH(tblMovimientos[[#This Row],[SKU]],tblProductos[SKU],0)),"?"))</f>
        <v/>
      </c>
      <c r="I857" s="39"/>
      <c r="J857" s="47" t="str">
        <f>IF(tblMovimientos[[#This Row],[Tipo]]="","",IFERROR(INDEX(tblTiposMov[FactorStock],MATCH(tblMovimientos[[#This Row],[Tipo]],tblTiposMov[Tipo],0)),0))</f>
        <v/>
      </c>
      <c r="K8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7" s="37"/>
      <c r="O857" s="37"/>
      <c r="P857" s="37"/>
    </row>
    <row r="858" spans="2:16" x14ac:dyDescent="0.25">
      <c r="B8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8" s="46"/>
      <c r="D858" s="37"/>
      <c r="E858" s="37"/>
      <c r="F858" s="37"/>
      <c r="G858" s="40" t="str">
        <f>IF(tblMovimientos[[#This Row],[Producto]]="","",TRIM(LEFT(tblMovimientos[[#This Row],[Producto]],FIND(" · ",tblMovimientos[[#This Row],[Producto]]&amp;" · ")-1)))</f>
        <v/>
      </c>
      <c r="H858" s="40" t="str">
        <f>IF(tblMovimientos[[#This Row],[SKU]]="","",IFERROR(INDEX(tblProductos[Unidad],MATCH(tblMovimientos[[#This Row],[SKU]],tblProductos[SKU],0)),"?"))</f>
        <v/>
      </c>
      <c r="I858" s="39"/>
      <c r="J858" s="47" t="str">
        <f>IF(tblMovimientos[[#This Row],[Tipo]]="","",IFERROR(INDEX(tblTiposMov[FactorStock],MATCH(tblMovimientos[[#This Row],[Tipo]],tblTiposMov[Tipo],0)),0))</f>
        <v/>
      </c>
      <c r="K8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8" s="37"/>
      <c r="O858" s="37"/>
      <c r="P858" s="37"/>
    </row>
    <row r="859" spans="2:16" x14ac:dyDescent="0.25">
      <c r="B8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59" s="46"/>
      <c r="D859" s="37"/>
      <c r="E859" s="37"/>
      <c r="F859" s="37"/>
      <c r="G859" s="40" t="str">
        <f>IF(tblMovimientos[[#This Row],[Producto]]="","",TRIM(LEFT(tblMovimientos[[#This Row],[Producto]],FIND(" · ",tblMovimientos[[#This Row],[Producto]]&amp;" · ")-1)))</f>
        <v/>
      </c>
      <c r="H859" s="40" t="str">
        <f>IF(tblMovimientos[[#This Row],[SKU]]="","",IFERROR(INDEX(tblProductos[Unidad],MATCH(tblMovimientos[[#This Row],[SKU]],tblProductos[SKU],0)),"?"))</f>
        <v/>
      </c>
      <c r="I859" s="39"/>
      <c r="J859" s="47" t="str">
        <f>IF(tblMovimientos[[#This Row],[Tipo]]="","",IFERROR(INDEX(tblTiposMov[FactorStock],MATCH(tblMovimientos[[#This Row],[Tipo]],tblTiposMov[Tipo],0)),0))</f>
        <v/>
      </c>
      <c r="K8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59" s="37"/>
      <c r="O859" s="37"/>
      <c r="P859" s="37"/>
    </row>
    <row r="860" spans="2:16" x14ac:dyDescent="0.25">
      <c r="B8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0" s="46"/>
      <c r="D860" s="37"/>
      <c r="E860" s="37"/>
      <c r="F860" s="37"/>
      <c r="G860" s="40" t="str">
        <f>IF(tblMovimientos[[#This Row],[Producto]]="","",TRIM(LEFT(tblMovimientos[[#This Row],[Producto]],FIND(" · ",tblMovimientos[[#This Row],[Producto]]&amp;" · ")-1)))</f>
        <v/>
      </c>
      <c r="H860" s="40" t="str">
        <f>IF(tblMovimientos[[#This Row],[SKU]]="","",IFERROR(INDEX(tblProductos[Unidad],MATCH(tblMovimientos[[#This Row],[SKU]],tblProductos[SKU],0)),"?"))</f>
        <v/>
      </c>
      <c r="I860" s="39"/>
      <c r="J860" s="47" t="str">
        <f>IF(tblMovimientos[[#This Row],[Tipo]]="","",IFERROR(INDEX(tblTiposMov[FactorStock],MATCH(tblMovimientos[[#This Row],[Tipo]],tblTiposMov[Tipo],0)),0))</f>
        <v/>
      </c>
      <c r="K8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0" s="37"/>
      <c r="O860" s="37"/>
      <c r="P860" s="37"/>
    </row>
    <row r="861" spans="2:16" x14ac:dyDescent="0.25">
      <c r="B8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1" s="46"/>
      <c r="D861" s="37"/>
      <c r="E861" s="37"/>
      <c r="F861" s="37"/>
      <c r="G861" s="40" t="str">
        <f>IF(tblMovimientos[[#This Row],[Producto]]="","",TRIM(LEFT(tblMovimientos[[#This Row],[Producto]],FIND(" · ",tblMovimientos[[#This Row],[Producto]]&amp;" · ")-1)))</f>
        <v/>
      </c>
      <c r="H861" s="40" t="str">
        <f>IF(tblMovimientos[[#This Row],[SKU]]="","",IFERROR(INDEX(tblProductos[Unidad],MATCH(tblMovimientos[[#This Row],[SKU]],tblProductos[SKU],0)),"?"))</f>
        <v/>
      </c>
      <c r="I861" s="39"/>
      <c r="J861" s="47" t="str">
        <f>IF(tblMovimientos[[#This Row],[Tipo]]="","",IFERROR(INDEX(tblTiposMov[FactorStock],MATCH(tblMovimientos[[#This Row],[Tipo]],tblTiposMov[Tipo],0)),0))</f>
        <v/>
      </c>
      <c r="K8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1" s="37"/>
      <c r="O861" s="37"/>
      <c r="P861" s="37"/>
    </row>
    <row r="862" spans="2:16" x14ac:dyDescent="0.25">
      <c r="B8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2" s="46"/>
      <c r="D862" s="37"/>
      <c r="E862" s="37"/>
      <c r="F862" s="37"/>
      <c r="G862" s="40" t="str">
        <f>IF(tblMovimientos[[#This Row],[Producto]]="","",TRIM(LEFT(tblMovimientos[[#This Row],[Producto]],FIND(" · ",tblMovimientos[[#This Row],[Producto]]&amp;" · ")-1)))</f>
        <v/>
      </c>
      <c r="H862" s="40" t="str">
        <f>IF(tblMovimientos[[#This Row],[SKU]]="","",IFERROR(INDEX(tblProductos[Unidad],MATCH(tblMovimientos[[#This Row],[SKU]],tblProductos[SKU],0)),"?"))</f>
        <v/>
      </c>
      <c r="I862" s="39"/>
      <c r="J862" s="47" t="str">
        <f>IF(tblMovimientos[[#This Row],[Tipo]]="","",IFERROR(INDEX(tblTiposMov[FactorStock],MATCH(tblMovimientos[[#This Row],[Tipo]],tblTiposMov[Tipo],0)),0))</f>
        <v/>
      </c>
      <c r="K8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2" s="37"/>
      <c r="O862" s="37"/>
      <c r="P862" s="37"/>
    </row>
    <row r="863" spans="2:16" x14ac:dyDescent="0.25">
      <c r="B8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3" s="46"/>
      <c r="D863" s="37"/>
      <c r="E863" s="37"/>
      <c r="F863" s="37"/>
      <c r="G863" s="40" t="str">
        <f>IF(tblMovimientos[[#This Row],[Producto]]="","",TRIM(LEFT(tblMovimientos[[#This Row],[Producto]],FIND(" · ",tblMovimientos[[#This Row],[Producto]]&amp;" · ")-1)))</f>
        <v/>
      </c>
      <c r="H863" s="40" t="str">
        <f>IF(tblMovimientos[[#This Row],[SKU]]="","",IFERROR(INDEX(tblProductos[Unidad],MATCH(tblMovimientos[[#This Row],[SKU]],tblProductos[SKU],0)),"?"))</f>
        <v/>
      </c>
      <c r="I863" s="39"/>
      <c r="J863" s="47" t="str">
        <f>IF(tblMovimientos[[#This Row],[Tipo]]="","",IFERROR(INDEX(tblTiposMov[FactorStock],MATCH(tblMovimientos[[#This Row],[Tipo]],tblTiposMov[Tipo],0)),0))</f>
        <v/>
      </c>
      <c r="K8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3" s="37"/>
      <c r="O863" s="37"/>
      <c r="P863" s="37"/>
    </row>
    <row r="864" spans="2:16" x14ac:dyDescent="0.25">
      <c r="B8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4" s="46"/>
      <c r="D864" s="37"/>
      <c r="E864" s="37"/>
      <c r="F864" s="37"/>
      <c r="G864" s="40" t="str">
        <f>IF(tblMovimientos[[#This Row],[Producto]]="","",TRIM(LEFT(tblMovimientos[[#This Row],[Producto]],FIND(" · ",tblMovimientos[[#This Row],[Producto]]&amp;" · ")-1)))</f>
        <v/>
      </c>
      <c r="H864" s="40" t="str">
        <f>IF(tblMovimientos[[#This Row],[SKU]]="","",IFERROR(INDEX(tblProductos[Unidad],MATCH(tblMovimientos[[#This Row],[SKU]],tblProductos[SKU],0)),"?"))</f>
        <v/>
      </c>
      <c r="I864" s="39"/>
      <c r="J864" s="47" t="str">
        <f>IF(tblMovimientos[[#This Row],[Tipo]]="","",IFERROR(INDEX(tblTiposMov[FactorStock],MATCH(tblMovimientos[[#This Row],[Tipo]],tblTiposMov[Tipo],0)),0))</f>
        <v/>
      </c>
      <c r="K8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4" s="37"/>
      <c r="O864" s="37"/>
      <c r="P864" s="37"/>
    </row>
    <row r="865" spans="2:16" x14ac:dyDescent="0.25">
      <c r="B8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5" s="46"/>
      <c r="D865" s="37"/>
      <c r="E865" s="37"/>
      <c r="F865" s="37"/>
      <c r="G865" s="40" t="str">
        <f>IF(tblMovimientos[[#This Row],[Producto]]="","",TRIM(LEFT(tblMovimientos[[#This Row],[Producto]],FIND(" · ",tblMovimientos[[#This Row],[Producto]]&amp;" · ")-1)))</f>
        <v/>
      </c>
      <c r="H865" s="40" t="str">
        <f>IF(tblMovimientos[[#This Row],[SKU]]="","",IFERROR(INDEX(tblProductos[Unidad],MATCH(tblMovimientos[[#This Row],[SKU]],tblProductos[SKU],0)),"?"))</f>
        <v/>
      </c>
      <c r="I865" s="39"/>
      <c r="J865" s="47" t="str">
        <f>IF(tblMovimientos[[#This Row],[Tipo]]="","",IFERROR(INDEX(tblTiposMov[FactorStock],MATCH(tblMovimientos[[#This Row],[Tipo]],tblTiposMov[Tipo],0)),0))</f>
        <v/>
      </c>
      <c r="K8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5" s="37"/>
      <c r="O865" s="37"/>
      <c r="P865" s="37"/>
    </row>
    <row r="866" spans="2:16" x14ac:dyDescent="0.25">
      <c r="B8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6" s="46"/>
      <c r="D866" s="37"/>
      <c r="E866" s="37"/>
      <c r="F866" s="37"/>
      <c r="G866" s="40" t="str">
        <f>IF(tblMovimientos[[#This Row],[Producto]]="","",TRIM(LEFT(tblMovimientos[[#This Row],[Producto]],FIND(" · ",tblMovimientos[[#This Row],[Producto]]&amp;" · ")-1)))</f>
        <v/>
      </c>
      <c r="H866" s="40" t="str">
        <f>IF(tblMovimientos[[#This Row],[SKU]]="","",IFERROR(INDEX(tblProductos[Unidad],MATCH(tblMovimientos[[#This Row],[SKU]],tblProductos[SKU],0)),"?"))</f>
        <v/>
      </c>
      <c r="I866" s="39"/>
      <c r="J866" s="47" t="str">
        <f>IF(tblMovimientos[[#This Row],[Tipo]]="","",IFERROR(INDEX(tblTiposMov[FactorStock],MATCH(tblMovimientos[[#This Row],[Tipo]],tblTiposMov[Tipo],0)),0))</f>
        <v/>
      </c>
      <c r="K8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6" s="37"/>
      <c r="O866" s="37"/>
      <c r="P866" s="37"/>
    </row>
    <row r="867" spans="2:16" x14ac:dyDescent="0.25">
      <c r="B8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7" s="46"/>
      <c r="D867" s="37"/>
      <c r="E867" s="37"/>
      <c r="F867" s="37"/>
      <c r="G867" s="40" t="str">
        <f>IF(tblMovimientos[[#This Row],[Producto]]="","",TRIM(LEFT(tblMovimientos[[#This Row],[Producto]],FIND(" · ",tblMovimientos[[#This Row],[Producto]]&amp;" · ")-1)))</f>
        <v/>
      </c>
      <c r="H867" s="40" t="str">
        <f>IF(tblMovimientos[[#This Row],[SKU]]="","",IFERROR(INDEX(tblProductos[Unidad],MATCH(tblMovimientos[[#This Row],[SKU]],tblProductos[SKU],0)),"?"))</f>
        <v/>
      </c>
      <c r="I867" s="39"/>
      <c r="J867" s="47" t="str">
        <f>IF(tblMovimientos[[#This Row],[Tipo]]="","",IFERROR(INDEX(tblTiposMov[FactorStock],MATCH(tblMovimientos[[#This Row],[Tipo]],tblTiposMov[Tipo],0)),0))</f>
        <v/>
      </c>
      <c r="K8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7" s="37"/>
      <c r="O867" s="37"/>
      <c r="P867" s="37"/>
    </row>
    <row r="868" spans="2:16" x14ac:dyDescent="0.25">
      <c r="B8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8" s="46"/>
      <c r="D868" s="37"/>
      <c r="E868" s="37"/>
      <c r="F868" s="37"/>
      <c r="G868" s="40" t="str">
        <f>IF(tblMovimientos[[#This Row],[Producto]]="","",TRIM(LEFT(tblMovimientos[[#This Row],[Producto]],FIND(" · ",tblMovimientos[[#This Row],[Producto]]&amp;" · ")-1)))</f>
        <v/>
      </c>
      <c r="H868" s="40" t="str">
        <f>IF(tblMovimientos[[#This Row],[SKU]]="","",IFERROR(INDEX(tblProductos[Unidad],MATCH(tblMovimientos[[#This Row],[SKU]],tblProductos[SKU],0)),"?"))</f>
        <v/>
      </c>
      <c r="I868" s="39"/>
      <c r="J868" s="47" t="str">
        <f>IF(tblMovimientos[[#This Row],[Tipo]]="","",IFERROR(INDEX(tblTiposMov[FactorStock],MATCH(tblMovimientos[[#This Row],[Tipo]],tblTiposMov[Tipo],0)),0))</f>
        <v/>
      </c>
      <c r="K8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8" s="37"/>
      <c r="O868" s="37"/>
      <c r="P868" s="37"/>
    </row>
    <row r="869" spans="2:16" x14ac:dyDescent="0.25">
      <c r="B8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69" s="46"/>
      <c r="D869" s="37"/>
      <c r="E869" s="37"/>
      <c r="F869" s="37"/>
      <c r="G869" s="40" t="str">
        <f>IF(tblMovimientos[[#This Row],[Producto]]="","",TRIM(LEFT(tblMovimientos[[#This Row],[Producto]],FIND(" · ",tblMovimientos[[#This Row],[Producto]]&amp;" · ")-1)))</f>
        <v/>
      </c>
      <c r="H869" s="40" t="str">
        <f>IF(tblMovimientos[[#This Row],[SKU]]="","",IFERROR(INDEX(tblProductos[Unidad],MATCH(tblMovimientos[[#This Row],[SKU]],tblProductos[SKU],0)),"?"))</f>
        <v/>
      </c>
      <c r="I869" s="39"/>
      <c r="J869" s="47" t="str">
        <f>IF(tblMovimientos[[#This Row],[Tipo]]="","",IFERROR(INDEX(tblTiposMov[FactorStock],MATCH(tblMovimientos[[#This Row],[Tipo]],tblTiposMov[Tipo],0)),0))</f>
        <v/>
      </c>
      <c r="K8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69" s="37"/>
      <c r="O869" s="37"/>
      <c r="P869" s="37"/>
    </row>
    <row r="870" spans="2:16" x14ac:dyDescent="0.25">
      <c r="B8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0" s="46"/>
      <c r="D870" s="37"/>
      <c r="E870" s="37"/>
      <c r="F870" s="37"/>
      <c r="G870" s="40" t="str">
        <f>IF(tblMovimientos[[#This Row],[Producto]]="","",TRIM(LEFT(tblMovimientos[[#This Row],[Producto]],FIND(" · ",tblMovimientos[[#This Row],[Producto]]&amp;" · ")-1)))</f>
        <v/>
      </c>
      <c r="H870" s="40" t="str">
        <f>IF(tblMovimientos[[#This Row],[SKU]]="","",IFERROR(INDEX(tblProductos[Unidad],MATCH(tblMovimientos[[#This Row],[SKU]],tblProductos[SKU],0)),"?"))</f>
        <v/>
      </c>
      <c r="I870" s="39"/>
      <c r="J870" s="47" t="str">
        <f>IF(tblMovimientos[[#This Row],[Tipo]]="","",IFERROR(INDEX(tblTiposMov[FactorStock],MATCH(tblMovimientos[[#This Row],[Tipo]],tblTiposMov[Tipo],0)),0))</f>
        <v/>
      </c>
      <c r="K8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0" s="37"/>
      <c r="O870" s="37"/>
      <c r="P870" s="37"/>
    </row>
    <row r="871" spans="2:16" x14ac:dyDescent="0.25">
      <c r="B8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1" s="46"/>
      <c r="D871" s="37"/>
      <c r="E871" s="37"/>
      <c r="F871" s="37"/>
      <c r="G871" s="40" t="str">
        <f>IF(tblMovimientos[[#This Row],[Producto]]="","",TRIM(LEFT(tblMovimientos[[#This Row],[Producto]],FIND(" · ",tblMovimientos[[#This Row],[Producto]]&amp;" · ")-1)))</f>
        <v/>
      </c>
      <c r="H871" s="40" t="str">
        <f>IF(tblMovimientos[[#This Row],[SKU]]="","",IFERROR(INDEX(tblProductos[Unidad],MATCH(tblMovimientos[[#This Row],[SKU]],tblProductos[SKU],0)),"?"))</f>
        <v/>
      </c>
      <c r="I871" s="39"/>
      <c r="J871" s="47" t="str">
        <f>IF(tblMovimientos[[#This Row],[Tipo]]="","",IFERROR(INDEX(tblTiposMov[FactorStock],MATCH(tblMovimientos[[#This Row],[Tipo]],tblTiposMov[Tipo],0)),0))</f>
        <v/>
      </c>
      <c r="K8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1" s="37"/>
      <c r="O871" s="37"/>
      <c r="P871" s="37"/>
    </row>
    <row r="872" spans="2:16" x14ac:dyDescent="0.25">
      <c r="B8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2" s="46"/>
      <c r="D872" s="37"/>
      <c r="E872" s="37"/>
      <c r="F872" s="37"/>
      <c r="G872" s="40" t="str">
        <f>IF(tblMovimientos[[#This Row],[Producto]]="","",TRIM(LEFT(tblMovimientos[[#This Row],[Producto]],FIND(" · ",tblMovimientos[[#This Row],[Producto]]&amp;" · ")-1)))</f>
        <v/>
      </c>
      <c r="H872" s="40" t="str">
        <f>IF(tblMovimientos[[#This Row],[SKU]]="","",IFERROR(INDEX(tblProductos[Unidad],MATCH(tblMovimientos[[#This Row],[SKU]],tblProductos[SKU],0)),"?"))</f>
        <v/>
      </c>
      <c r="I872" s="39"/>
      <c r="J872" s="47" t="str">
        <f>IF(tblMovimientos[[#This Row],[Tipo]]="","",IFERROR(INDEX(tblTiposMov[FactorStock],MATCH(tblMovimientos[[#This Row],[Tipo]],tblTiposMov[Tipo],0)),0))</f>
        <v/>
      </c>
      <c r="K8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2" s="37"/>
      <c r="O872" s="37"/>
      <c r="P872" s="37"/>
    </row>
    <row r="873" spans="2:16" x14ac:dyDescent="0.25">
      <c r="B8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3" s="46"/>
      <c r="D873" s="37"/>
      <c r="E873" s="37"/>
      <c r="F873" s="37"/>
      <c r="G873" s="40" t="str">
        <f>IF(tblMovimientos[[#This Row],[Producto]]="","",TRIM(LEFT(tblMovimientos[[#This Row],[Producto]],FIND(" · ",tblMovimientos[[#This Row],[Producto]]&amp;" · ")-1)))</f>
        <v/>
      </c>
      <c r="H873" s="40" t="str">
        <f>IF(tblMovimientos[[#This Row],[SKU]]="","",IFERROR(INDEX(tblProductos[Unidad],MATCH(tblMovimientos[[#This Row],[SKU]],tblProductos[SKU],0)),"?"))</f>
        <v/>
      </c>
      <c r="I873" s="39"/>
      <c r="J873" s="47" t="str">
        <f>IF(tblMovimientos[[#This Row],[Tipo]]="","",IFERROR(INDEX(tblTiposMov[FactorStock],MATCH(tblMovimientos[[#This Row],[Tipo]],tblTiposMov[Tipo],0)),0))</f>
        <v/>
      </c>
      <c r="K8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3" s="37"/>
      <c r="O873" s="37"/>
      <c r="P873" s="37"/>
    </row>
    <row r="874" spans="2:16" x14ac:dyDescent="0.25">
      <c r="B8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4" s="46"/>
      <c r="D874" s="37"/>
      <c r="E874" s="37"/>
      <c r="F874" s="37"/>
      <c r="G874" s="40" t="str">
        <f>IF(tblMovimientos[[#This Row],[Producto]]="","",TRIM(LEFT(tblMovimientos[[#This Row],[Producto]],FIND(" · ",tblMovimientos[[#This Row],[Producto]]&amp;" · ")-1)))</f>
        <v/>
      </c>
      <c r="H874" s="40" t="str">
        <f>IF(tblMovimientos[[#This Row],[SKU]]="","",IFERROR(INDEX(tblProductos[Unidad],MATCH(tblMovimientos[[#This Row],[SKU]],tblProductos[SKU],0)),"?"))</f>
        <v/>
      </c>
      <c r="I874" s="39"/>
      <c r="J874" s="47" t="str">
        <f>IF(tblMovimientos[[#This Row],[Tipo]]="","",IFERROR(INDEX(tblTiposMov[FactorStock],MATCH(tblMovimientos[[#This Row],[Tipo]],tblTiposMov[Tipo],0)),0))</f>
        <v/>
      </c>
      <c r="K8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4" s="37"/>
      <c r="O874" s="37"/>
      <c r="P874" s="37"/>
    </row>
    <row r="875" spans="2:16" x14ac:dyDescent="0.25">
      <c r="B8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5" s="46"/>
      <c r="D875" s="37"/>
      <c r="E875" s="37"/>
      <c r="F875" s="37"/>
      <c r="G875" s="40" t="str">
        <f>IF(tblMovimientos[[#This Row],[Producto]]="","",TRIM(LEFT(tblMovimientos[[#This Row],[Producto]],FIND(" · ",tblMovimientos[[#This Row],[Producto]]&amp;" · ")-1)))</f>
        <v/>
      </c>
      <c r="H875" s="40" t="str">
        <f>IF(tblMovimientos[[#This Row],[SKU]]="","",IFERROR(INDEX(tblProductos[Unidad],MATCH(tblMovimientos[[#This Row],[SKU]],tblProductos[SKU],0)),"?"))</f>
        <v/>
      </c>
      <c r="I875" s="39"/>
      <c r="J875" s="47" t="str">
        <f>IF(tblMovimientos[[#This Row],[Tipo]]="","",IFERROR(INDEX(tblTiposMov[FactorStock],MATCH(tblMovimientos[[#This Row],[Tipo]],tblTiposMov[Tipo],0)),0))</f>
        <v/>
      </c>
      <c r="K8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5" s="37"/>
      <c r="O875" s="37"/>
      <c r="P875" s="37"/>
    </row>
    <row r="876" spans="2:16" x14ac:dyDescent="0.25">
      <c r="B8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6" s="46"/>
      <c r="D876" s="37"/>
      <c r="E876" s="37"/>
      <c r="F876" s="37"/>
      <c r="G876" s="40" t="str">
        <f>IF(tblMovimientos[[#This Row],[Producto]]="","",TRIM(LEFT(tblMovimientos[[#This Row],[Producto]],FIND(" · ",tblMovimientos[[#This Row],[Producto]]&amp;" · ")-1)))</f>
        <v/>
      </c>
      <c r="H876" s="40" t="str">
        <f>IF(tblMovimientos[[#This Row],[SKU]]="","",IFERROR(INDEX(tblProductos[Unidad],MATCH(tblMovimientos[[#This Row],[SKU]],tblProductos[SKU],0)),"?"))</f>
        <v/>
      </c>
      <c r="I876" s="39"/>
      <c r="J876" s="47" t="str">
        <f>IF(tblMovimientos[[#This Row],[Tipo]]="","",IFERROR(INDEX(tblTiposMov[FactorStock],MATCH(tblMovimientos[[#This Row],[Tipo]],tblTiposMov[Tipo],0)),0))</f>
        <v/>
      </c>
      <c r="K8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6" s="37"/>
      <c r="O876" s="37"/>
      <c r="P876" s="37"/>
    </row>
    <row r="877" spans="2:16" x14ac:dyDescent="0.25">
      <c r="B8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7" s="46"/>
      <c r="D877" s="37"/>
      <c r="E877" s="37"/>
      <c r="F877" s="37"/>
      <c r="G877" s="40" t="str">
        <f>IF(tblMovimientos[[#This Row],[Producto]]="","",TRIM(LEFT(tblMovimientos[[#This Row],[Producto]],FIND(" · ",tblMovimientos[[#This Row],[Producto]]&amp;" · ")-1)))</f>
        <v/>
      </c>
      <c r="H877" s="40" t="str">
        <f>IF(tblMovimientos[[#This Row],[SKU]]="","",IFERROR(INDEX(tblProductos[Unidad],MATCH(tblMovimientos[[#This Row],[SKU]],tblProductos[SKU],0)),"?"))</f>
        <v/>
      </c>
      <c r="I877" s="39"/>
      <c r="J877" s="47" t="str">
        <f>IF(tblMovimientos[[#This Row],[Tipo]]="","",IFERROR(INDEX(tblTiposMov[FactorStock],MATCH(tblMovimientos[[#This Row],[Tipo]],tblTiposMov[Tipo],0)),0))</f>
        <v/>
      </c>
      <c r="K8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7" s="37"/>
      <c r="O877" s="37"/>
      <c r="P877" s="37"/>
    </row>
    <row r="878" spans="2:16" x14ac:dyDescent="0.25">
      <c r="B8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8" s="46"/>
      <c r="D878" s="37"/>
      <c r="E878" s="37"/>
      <c r="F878" s="37"/>
      <c r="G878" s="40" t="str">
        <f>IF(tblMovimientos[[#This Row],[Producto]]="","",TRIM(LEFT(tblMovimientos[[#This Row],[Producto]],FIND(" · ",tblMovimientos[[#This Row],[Producto]]&amp;" · ")-1)))</f>
        <v/>
      </c>
      <c r="H878" s="40" t="str">
        <f>IF(tblMovimientos[[#This Row],[SKU]]="","",IFERROR(INDEX(tblProductos[Unidad],MATCH(tblMovimientos[[#This Row],[SKU]],tblProductos[SKU],0)),"?"))</f>
        <v/>
      </c>
      <c r="I878" s="39"/>
      <c r="J878" s="47" t="str">
        <f>IF(tblMovimientos[[#This Row],[Tipo]]="","",IFERROR(INDEX(tblTiposMov[FactorStock],MATCH(tblMovimientos[[#This Row],[Tipo]],tblTiposMov[Tipo],0)),0))</f>
        <v/>
      </c>
      <c r="K8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8" s="37"/>
      <c r="O878" s="37"/>
      <c r="P878" s="37"/>
    </row>
    <row r="879" spans="2:16" x14ac:dyDescent="0.25">
      <c r="B8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79" s="46"/>
      <c r="D879" s="37"/>
      <c r="E879" s="37"/>
      <c r="F879" s="37"/>
      <c r="G879" s="40" t="str">
        <f>IF(tblMovimientos[[#This Row],[Producto]]="","",TRIM(LEFT(tblMovimientos[[#This Row],[Producto]],FIND(" · ",tblMovimientos[[#This Row],[Producto]]&amp;" · ")-1)))</f>
        <v/>
      </c>
      <c r="H879" s="40" t="str">
        <f>IF(tblMovimientos[[#This Row],[SKU]]="","",IFERROR(INDEX(tblProductos[Unidad],MATCH(tblMovimientos[[#This Row],[SKU]],tblProductos[SKU],0)),"?"))</f>
        <v/>
      </c>
      <c r="I879" s="39"/>
      <c r="J879" s="47" t="str">
        <f>IF(tblMovimientos[[#This Row],[Tipo]]="","",IFERROR(INDEX(tblTiposMov[FactorStock],MATCH(tblMovimientos[[#This Row],[Tipo]],tblTiposMov[Tipo],0)),0))</f>
        <v/>
      </c>
      <c r="K8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79" s="37"/>
      <c r="O879" s="37"/>
      <c r="P879" s="37"/>
    </row>
    <row r="880" spans="2:16" x14ac:dyDescent="0.25">
      <c r="B8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0" s="46"/>
      <c r="D880" s="37"/>
      <c r="E880" s="37"/>
      <c r="F880" s="37"/>
      <c r="G880" s="40" t="str">
        <f>IF(tblMovimientos[[#This Row],[Producto]]="","",TRIM(LEFT(tblMovimientos[[#This Row],[Producto]],FIND(" · ",tblMovimientos[[#This Row],[Producto]]&amp;" · ")-1)))</f>
        <v/>
      </c>
      <c r="H880" s="40" t="str">
        <f>IF(tblMovimientos[[#This Row],[SKU]]="","",IFERROR(INDEX(tblProductos[Unidad],MATCH(tblMovimientos[[#This Row],[SKU]],tblProductos[SKU],0)),"?"))</f>
        <v/>
      </c>
      <c r="I880" s="39"/>
      <c r="J880" s="47" t="str">
        <f>IF(tblMovimientos[[#This Row],[Tipo]]="","",IFERROR(INDEX(tblTiposMov[FactorStock],MATCH(tblMovimientos[[#This Row],[Tipo]],tblTiposMov[Tipo],0)),0))</f>
        <v/>
      </c>
      <c r="K8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0" s="37"/>
      <c r="O880" s="37"/>
      <c r="P880" s="37"/>
    </row>
    <row r="881" spans="2:16" x14ac:dyDescent="0.25">
      <c r="B8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1" s="46"/>
      <c r="D881" s="37"/>
      <c r="E881" s="37"/>
      <c r="F881" s="37"/>
      <c r="G881" s="40" t="str">
        <f>IF(tblMovimientos[[#This Row],[Producto]]="","",TRIM(LEFT(tblMovimientos[[#This Row],[Producto]],FIND(" · ",tblMovimientos[[#This Row],[Producto]]&amp;" · ")-1)))</f>
        <v/>
      </c>
      <c r="H881" s="40" t="str">
        <f>IF(tblMovimientos[[#This Row],[SKU]]="","",IFERROR(INDEX(tblProductos[Unidad],MATCH(tblMovimientos[[#This Row],[SKU]],tblProductos[SKU],0)),"?"))</f>
        <v/>
      </c>
      <c r="I881" s="39"/>
      <c r="J881" s="47" t="str">
        <f>IF(tblMovimientos[[#This Row],[Tipo]]="","",IFERROR(INDEX(tblTiposMov[FactorStock],MATCH(tblMovimientos[[#This Row],[Tipo]],tblTiposMov[Tipo],0)),0))</f>
        <v/>
      </c>
      <c r="K8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1" s="37"/>
      <c r="O881" s="37"/>
      <c r="P881" s="37"/>
    </row>
    <row r="882" spans="2:16" x14ac:dyDescent="0.25">
      <c r="B8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2" s="46"/>
      <c r="D882" s="37"/>
      <c r="E882" s="37"/>
      <c r="F882" s="37"/>
      <c r="G882" s="40" t="str">
        <f>IF(tblMovimientos[[#This Row],[Producto]]="","",TRIM(LEFT(tblMovimientos[[#This Row],[Producto]],FIND(" · ",tblMovimientos[[#This Row],[Producto]]&amp;" · ")-1)))</f>
        <v/>
      </c>
      <c r="H882" s="40" t="str">
        <f>IF(tblMovimientos[[#This Row],[SKU]]="","",IFERROR(INDEX(tblProductos[Unidad],MATCH(tblMovimientos[[#This Row],[SKU]],tblProductos[SKU],0)),"?"))</f>
        <v/>
      </c>
      <c r="I882" s="39"/>
      <c r="J882" s="47" t="str">
        <f>IF(tblMovimientos[[#This Row],[Tipo]]="","",IFERROR(INDEX(tblTiposMov[FactorStock],MATCH(tblMovimientos[[#This Row],[Tipo]],tblTiposMov[Tipo],0)),0))</f>
        <v/>
      </c>
      <c r="K8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2" s="37"/>
      <c r="O882" s="37"/>
      <c r="P882" s="37"/>
    </row>
    <row r="883" spans="2:16" x14ac:dyDescent="0.25">
      <c r="B8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3" s="46"/>
      <c r="D883" s="37"/>
      <c r="E883" s="37"/>
      <c r="F883" s="37"/>
      <c r="G883" s="40" t="str">
        <f>IF(tblMovimientos[[#This Row],[Producto]]="","",TRIM(LEFT(tblMovimientos[[#This Row],[Producto]],FIND(" · ",tblMovimientos[[#This Row],[Producto]]&amp;" · ")-1)))</f>
        <v/>
      </c>
      <c r="H883" s="40" t="str">
        <f>IF(tblMovimientos[[#This Row],[SKU]]="","",IFERROR(INDEX(tblProductos[Unidad],MATCH(tblMovimientos[[#This Row],[SKU]],tblProductos[SKU],0)),"?"))</f>
        <v/>
      </c>
      <c r="I883" s="39"/>
      <c r="J883" s="47" t="str">
        <f>IF(tblMovimientos[[#This Row],[Tipo]]="","",IFERROR(INDEX(tblTiposMov[FactorStock],MATCH(tblMovimientos[[#This Row],[Tipo]],tblTiposMov[Tipo],0)),0))</f>
        <v/>
      </c>
      <c r="K8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3" s="37"/>
      <c r="O883" s="37"/>
      <c r="P883" s="37"/>
    </row>
    <row r="884" spans="2:16" x14ac:dyDescent="0.25">
      <c r="B8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4" s="46"/>
      <c r="D884" s="37"/>
      <c r="E884" s="37"/>
      <c r="F884" s="37"/>
      <c r="G884" s="40" t="str">
        <f>IF(tblMovimientos[[#This Row],[Producto]]="","",TRIM(LEFT(tblMovimientos[[#This Row],[Producto]],FIND(" · ",tblMovimientos[[#This Row],[Producto]]&amp;" · ")-1)))</f>
        <v/>
      </c>
      <c r="H884" s="40" t="str">
        <f>IF(tblMovimientos[[#This Row],[SKU]]="","",IFERROR(INDEX(tblProductos[Unidad],MATCH(tblMovimientos[[#This Row],[SKU]],tblProductos[SKU],0)),"?"))</f>
        <v/>
      </c>
      <c r="I884" s="39"/>
      <c r="J884" s="47" t="str">
        <f>IF(tblMovimientos[[#This Row],[Tipo]]="","",IFERROR(INDEX(tblTiposMov[FactorStock],MATCH(tblMovimientos[[#This Row],[Tipo]],tblTiposMov[Tipo],0)),0))</f>
        <v/>
      </c>
      <c r="K8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4" s="37"/>
      <c r="O884" s="37"/>
      <c r="P884" s="37"/>
    </row>
    <row r="885" spans="2:16" x14ac:dyDescent="0.25">
      <c r="B8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5" s="46"/>
      <c r="D885" s="37"/>
      <c r="E885" s="37"/>
      <c r="F885" s="37"/>
      <c r="G885" s="40" t="str">
        <f>IF(tblMovimientos[[#This Row],[Producto]]="","",TRIM(LEFT(tblMovimientos[[#This Row],[Producto]],FIND(" · ",tblMovimientos[[#This Row],[Producto]]&amp;" · ")-1)))</f>
        <v/>
      </c>
      <c r="H885" s="40" t="str">
        <f>IF(tblMovimientos[[#This Row],[SKU]]="","",IFERROR(INDEX(tblProductos[Unidad],MATCH(tblMovimientos[[#This Row],[SKU]],tblProductos[SKU],0)),"?"))</f>
        <v/>
      </c>
      <c r="I885" s="39"/>
      <c r="J885" s="47" t="str">
        <f>IF(tblMovimientos[[#This Row],[Tipo]]="","",IFERROR(INDEX(tblTiposMov[FactorStock],MATCH(tblMovimientos[[#This Row],[Tipo]],tblTiposMov[Tipo],0)),0))</f>
        <v/>
      </c>
      <c r="K8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5" s="37"/>
      <c r="O885" s="37"/>
      <c r="P885" s="37"/>
    </row>
    <row r="886" spans="2:16" x14ac:dyDescent="0.25">
      <c r="B8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6" s="46"/>
      <c r="D886" s="37"/>
      <c r="E886" s="37"/>
      <c r="F886" s="37"/>
      <c r="G886" s="40" t="str">
        <f>IF(tblMovimientos[[#This Row],[Producto]]="","",TRIM(LEFT(tblMovimientos[[#This Row],[Producto]],FIND(" · ",tblMovimientos[[#This Row],[Producto]]&amp;" · ")-1)))</f>
        <v/>
      </c>
      <c r="H886" s="40" t="str">
        <f>IF(tblMovimientos[[#This Row],[SKU]]="","",IFERROR(INDEX(tblProductos[Unidad],MATCH(tblMovimientos[[#This Row],[SKU]],tblProductos[SKU],0)),"?"))</f>
        <v/>
      </c>
      <c r="I886" s="39"/>
      <c r="J886" s="47" t="str">
        <f>IF(tblMovimientos[[#This Row],[Tipo]]="","",IFERROR(INDEX(tblTiposMov[FactorStock],MATCH(tblMovimientos[[#This Row],[Tipo]],tblTiposMov[Tipo],0)),0))</f>
        <v/>
      </c>
      <c r="K8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6" s="37"/>
      <c r="O886" s="37"/>
      <c r="P886" s="37"/>
    </row>
    <row r="887" spans="2:16" x14ac:dyDescent="0.25">
      <c r="B8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7" s="46"/>
      <c r="D887" s="37"/>
      <c r="E887" s="37"/>
      <c r="F887" s="37"/>
      <c r="G887" s="40" t="str">
        <f>IF(tblMovimientos[[#This Row],[Producto]]="","",TRIM(LEFT(tblMovimientos[[#This Row],[Producto]],FIND(" · ",tblMovimientos[[#This Row],[Producto]]&amp;" · ")-1)))</f>
        <v/>
      </c>
      <c r="H887" s="40" t="str">
        <f>IF(tblMovimientos[[#This Row],[SKU]]="","",IFERROR(INDEX(tblProductos[Unidad],MATCH(tblMovimientos[[#This Row],[SKU]],tblProductos[SKU],0)),"?"))</f>
        <v/>
      </c>
      <c r="I887" s="39"/>
      <c r="J887" s="47" t="str">
        <f>IF(tblMovimientos[[#This Row],[Tipo]]="","",IFERROR(INDEX(tblTiposMov[FactorStock],MATCH(tblMovimientos[[#This Row],[Tipo]],tblTiposMov[Tipo],0)),0))</f>
        <v/>
      </c>
      <c r="K8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7" s="37"/>
      <c r="O887" s="37"/>
      <c r="P887" s="37"/>
    </row>
    <row r="888" spans="2:16" x14ac:dyDescent="0.25">
      <c r="B8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8" s="46"/>
      <c r="D888" s="37"/>
      <c r="E888" s="37"/>
      <c r="F888" s="37"/>
      <c r="G888" s="40" t="str">
        <f>IF(tblMovimientos[[#This Row],[Producto]]="","",TRIM(LEFT(tblMovimientos[[#This Row],[Producto]],FIND(" · ",tblMovimientos[[#This Row],[Producto]]&amp;" · ")-1)))</f>
        <v/>
      </c>
      <c r="H888" s="40" t="str">
        <f>IF(tblMovimientos[[#This Row],[SKU]]="","",IFERROR(INDEX(tblProductos[Unidad],MATCH(tblMovimientos[[#This Row],[SKU]],tblProductos[SKU],0)),"?"))</f>
        <v/>
      </c>
      <c r="I888" s="39"/>
      <c r="J888" s="47" t="str">
        <f>IF(tblMovimientos[[#This Row],[Tipo]]="","",IFERROR(INDEX(tblTiposMov[FactorStock],MATCH(tblMovimientos[[#This Row],[Tipo]],tblTiposMov[Tipo],0)),0))</f>
        <v/>
      </c>
      <c r="K8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8" s="37"/>
      <c r="O888" s="37"/>
      <c r="P888" s="37"/>
    </row>
    <row r="889" spans="2:16" x14ac:dyDescent="0.25">
      <c r="B8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89" s="46"/>
      <c r="D889" s="37"/>
      <c r="E889" s="37"/>
      <c r="F889" s="37"/>
      <c r="G889" s="40" t="str">
        <f>IF(tblMovimientos[[#This Row],[Producto]]="","",TRIM(LEFT(tblMovimientos[[#This Row],[Producto]],FIND(" · ",tblMovimientos[[#This Row],[Producto]]&amp;" · ")-1)))</f>
        <v/>
      </c>
      <c r="H889" s="40" t="str">
        <f>IF(tblMovimientos[[#This Row],[SKU]]="","",IFERROR(INDEX(tblProductos[Unidad],MATCH(tblMovimientos[[#This Row],[SKU]],tblProductos[SKU],0)),"?"))</f>
        <v/>
      </c>
      <c r="I889" s="39"/>
      <c r="J889" s="47" t="str">
        <f>IF(tblMovimientos[[#This Row],[Tipo]]="","",IFERROR(INDEX(tblTiposMov[FactorStock],MATCH(tblMovimientos[[#This Row],[Tipo]],tblTiposMov[Tipo],0)),0))</f>
        <v/>
      </c>
      <c r="K8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89" s="37"/>
      <c r="O889" s="37"/>
      <c r="P889" s="37"/>
    </row>
    <row r="890" spans="2:16" x14ac:dyDescent="0.25">
      <c r="B8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0" s="46"/>
      <c r="D890" s="37"/>
      <c r="E890" s="37"/>
      <c r="F890" s="37"/>
      <c r="G890" s="40" t="str">
        <f>IF(tblMovimientos[[#This Row],[Producto]]="","",TRIM(LEFT(tblMovimientos[[#This Row],[Producto]],FIND(" · ",tblMovimientos[[#This Row],[Producto]]&amp;" · ")-1)))</f>
        <v/>
      </c>
      <c r="H890" s="40" t="str">
        <f>IF(tblMovimientos[[#This Row],[SKU]]="","",IFERROR(INDEX(tblProductos[Unidad],MATCH(tblMovimientos[[#This Row],[SKU]],tblProductos[SKU],0)),"?"))</f>
        <v/>
      </c>
      <c r="I890" s="39"/>
      <c r="J890" s="47" t="str">
        <f>IF(tblMovimientos[[#This Row],[Tipo]]="","",IFERROR(INDEX(tblTiposMov[FactorStock],MATCH(tblMovimientos[[#This Row],[Tipo]],tblTiposMov[Tipo],0)),0))</f>
        <v/>
      </c>
      <c r="K8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0" s="37"/>
      <c r="O890" s="37"/>
      <c r="P890" s="37"/>
    </row>
    <row r="891" spans="2:16" x14ac:dyDescent="0.25">
      <c r="B8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1" s="46"/>
      <c r="D891" s="37"/>
      <c r="E891" s="37"/>
      <c r="F891" s="37"/>
      <c r="G891" s="40" t="str">
        <f>IF(tblMovimientos[[#This Row],[Producto]]="","",TRIM(LEFT(tblMovimientos[[#This Row],[Producto]],FIND(" · ",tblMovimientos[[#This Row],[Producto]]&amp;" · ")-1)))</f>
        <v/>
      </c>
      <c r="H891" s="40" t="str">
        <f>IF(tblMovimientos[[#This Row],[SKU]]="","",IFERROR(INDEX(tblProductos[Unidad],MATCH(tblMovimientos[[#This Row],[SKU]],tblProductos[SKU],0)),"?"))</f>
        <v/>
      </c>
      <c r="I891" s="39"/>
      <c r="J891" s="47" t="str">
        <f>IF(tblMovimientos[[#This Row],[Tipo]]="","",IFERROR(INDEX(tblTiposMov[FactorStock],MATCH(tblMovimientos[[#This Row],[Tipo]],tblTiposMov[Tipo],0)),0))</f>
        <v/>
      </c>
      <c r="K8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1" s="37"/>
      <c r="O891" s="37"/>
      <c r="P891" s="37"/>
    </row>
    <row r="892" spans="2:16" x14ac:dyDescent="0.25">
      <c r="B8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2" s="46"/>
      <c r="D892" s="37"/>
      <c r="E892" s="37"/>
      <c r="F892" s="37"/>
      <c r="G892" s="40" t="str">
        <f>IF(tblMovimientos[[#This Row],[Producto]]="","",TRIM(LEFT(tblMovimientos[[#This Row],[Producto]],FIND(" · ",tblMovimientos[[#This Row],[Producto]]&amp;" · ")-1)))</f>
        <v/>
      </c>
      <c r="H892" s="40" t="str">
        <f>IF(tblMovimientos[[#This Row],[SKU]]="","",IFERROR(INDEX(tblProductos[Unidad],MATCH(tblMovimientos[[#This Row],[SKU]],tblProductos[SKU],0)),"?"))</f>
        <v/>
      </c>
      <c r="I892" s="39"/>
      <c r="J892" s="47" t="str">
        <f>IF(tblMovimientos[[#This Row],[Tipo]]="","",IFERROR(INDEX(tblTiposMov[FactorStock],MATCH(tblMovimientos[[#This Row],[Tipo]],tblTiposMov[Tipo],0)),0))</f>
        <v/>
      </c>
      <c r="K8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2" s="37"/>
      <c r="O892" s="37"/>
      <c r="P892" s="37"/>
    </row>
    <row r="893" spans="2:16" x14ac:dyDescent="0.25">
      <c r="B8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3" s="46"/>
      <c r="D893" s="37"/>
      <c r="E893" s="37"/>
      <c r="F893" s="37"/>
      <c r="G893" s="40" t="str">
        <f>IF(tblMovimientos[[#This Row],[Producto]]="","",TRIM(LEFT(tblMovimientos[[#This Row],[Producto]],FIND(" · ",tblMovimientos[[#This Row],[Producto]]&amp;" · ")-1)))</f>
        <v/>
      </c>
      <c r="H893" s="40" t="str">
        <f>IF(tblMovimientos[[#This Row],[SKU]]="","",IFERROR(INDEX(tblProductos[Unidad],MATCH(tblMovimientos[[#This Row],[SKU]],tblProductos[SKU],0)),"?"))</f>
        <v/>
      </c>
      <c r="I893" s="39"/>
      <c r="J893" s="47" t="str">
        <f>IF(tblMovimientos[[#This Row],[Tipo]]="","",IFERROR(INDEX(tblTiposMov[FactorStock],MATCH(tblMovimientos[[#This Row],[Tipo]],tblTiposMov[Tipo],0)),0))</f>
        <v/>
      </c>
      <c r="K8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3" s="37"/>
      <c r="O893" s="37"/>
      <c r="P893" s="37"/>
    </row>
    <row r="894" spans="2:16" x14ac:dyDescent="0.25">
      <c r="B8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4" s="46"/>
      <c r="D894" s="37"/>
      <c r="E894" s="37"/>
      <c r="F894" s="37"/>
      <c r="G894" s="40" t="str">
        <f>IF(tblMovimientos[[#This Row],[Producto]]="","",TRIM(LEFT(tblMovimientos[[#This Row],[Producto]],FIND(" · ",tblMovimientos[[#This Row],[Producto]]&amp;" · ")-1)))</f>
        <v/>
      </c>
      <c r="H894" s="40" t="str">
        <f>IF(tblMovimientos[[#This Row],[SKU]]="","",IFERROR(INDEX(tblProductos[Unidad],MATCH(tblMovimientos[[#This Row],[SKU]],tblProductos[SKU],0)),"?"))</f>
        <v/>
      </c>
      <c r="I894" s="39"/>
      <c r="J894" s="47" t="str">
        <f>IF(tblMovimientos[[#This Row],[Tipo]]="","",IFERROR(INDEX(tblTiposMov[FactorStock],MATCH(tblMovimientos[[#This Row],[Tipo]],tblTiposMov[Tipo],0)),0))</f>
        <v/>
      </c>
      <c r="K8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4" s="37"/>
      <c r="O894" s="37"/>
      <c r="P894" s="37"/>
    </row>
    <row r="895" spans="2:16" x14ac:dyDescent="0.25">
      <c r="B8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5" s="46"/>
      <c r="D895" s="37"/>
      <c r="E895" s="37"/>
      <c r="F895" s="37"/>
      <c r="G895" s="40" t="str">
        <f>IF(tblMovimientos[[#This Row],[Producto]]="","",TRIM(LEFT(tblMovimientos[[#This Row],[Producto]],FIND(" · ",tblMovimientos[[#This Row],[Producto]]&amp;" · ")-1)))</f>
        <v/>
      </c>
      <c r="H895" s="40" t="str">
        <f>IF(tblMovimientos[[#This Row],[SKU]]="","",IFERROR(INDEX(tblProductos[Unidad],MATCH(tblMovimientos[[#This Row],[SKU]],tblProductos[SKU],0)),"?"))</f>
        <v/>
      </c>
      <c r="I895" s="39"/>
      <c r="J895" s="47" t="str">
        <f>IF(tblMovimientos[[#This Row],[Tipo]]="","",IFERROR(INDEX(tblTiposMov[FactorStock],MATCH(tblMovimientos[[#This Row],[Tipo]],tblTiposMov[Tipo],0)),0))</f>
        <v/>
      </c>
      <c r="K8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5" s="37"/>
      <c r="O895" s="37"/>
      <c r="P895" s="37"/>
    </row>
    <row r="896" spans="2:16" x14ac:dyDescent="0.25">
      <c r="B8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6" s="46"/>
      <c r="D896" s="37"/>
      <c r="E896" s="37"/>
      <c r="F896" s="37"/>
      <c r="G896" s="40" t="str">
        <f>IF(tblMovimientos[[#This Row],[Producto]]="","",TRIM(LEFT(tblMovimientos[[#This Row],[Producto]],FIND(" · ",tblMovimientos[[#This Row],[Producto]]&amp;" · ")-1)))</f>
        <v/>
      </c>
      <c r="H896" s="40" t="str">
        <f>IF(tblMovimientos[[#This Row],[SKU]]="","",IFERROR(INDEX(tblProductos[Unidad],MATCH(tblMovimientos[[#This Row],[SKU]],tblProductos[SKU],0)),"?"))</f>
        <v/>
      </c>
      <c r="I896" s="39"/>
      <c r="J896" s="47" t="str">
        <f>IF(tblMovimientos[[#This Row],[Tipo]]="","",IFERROR(INDEX(tblTiposMov[FactorStock],MATCH(tblMovimientos[[#This Row],[Tipo]],tblTiposMov[Tipo],0)),0))</f>
        <v/>
      </c>
      <c r="K8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6" s="37"/>
      <c r="O896" s="37"/>
      <c r="P896" s="37"/>
    </row>
    <row r="897" spans="2:16" x14ac:dyDescent="0.25">
      <c r="B8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7" s="46"/>
      <c r="D897" s="37"/>
      <c r="E897" s="37"/>
      <c r="F897" s="37"/>
      <c r="G897" s="40" t="str">
        <f>IF(tblMovimientos[[#This Row],[Producto]]="","",TRIM(LEFT(tblMovimientos[[#This Row],[Producto]],FIND(" · ",tblMovimientos[[#This Row],[Producto]]&amp;" · ")-1)))</f>
        <v/>
      </c>
      <c r="H897" s="40" t="str">
        <f>IF(tblMovimientos[[#This Row],[SKU]]="","",IFERROR(INDEX(tblProductos[Unidad],MATCH(tblMovimientos[[#This Row],[SKU]],tblProductos[SKU],0)),"?"))</f>
        <v/>
      </c>
      <c r="I897" s="39"/>
      <c r="J897" s="47" t="str">
        <f>IF(tblMovimientos[[#This Row],[Tipo]]="","",IFERROR(INDEX(tblTiposMov[FactorStock],MATCH(tblMovimientos[[#This Row],[Tipo]],tblTiposMov[Tipo],0)),0))</f>
        <v/>
      </c>
      <c r="K8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7" s="37"/>
      <c r="O897" s="37"/>
      <c r="P897" s="37"/>
    </row>
    <row r="898" spans="2:16" x14ac:dyDescent="0.25">
      <c r="B8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8" s="46"/>
      <c r="D898" s="37"/>
      <c r="E898" s="37"/>
      <c r="F898" s="37"/>
      <c r="G898" s="40" t="str">
        <f>IF(tblMovimientos[[#This Row],[Producto]]="","",TRIM(LEFT(tblMovimientos[[#This Row],[Producto]],FIND(" · ",tblMovimientos[[#This Row],[Producto]]&amp;" · ")-1)))</f>
        <v/>
      </c>
      <c r="H898" s="40" t="str">
        <f>IF(tblMovimientos[[#This Row],[SKU]]="","",IFERROR(INDEX(tblProductos[Unidad],MATCH(tblMovimientos[[#This Row],[SKU]],tblProductos[SKU],0)),"?"))</f>
        <v/>
      </c>
      <c r="I898" s="39"/>
      <c r="J898" s="47" t="str">
        <f>IF(tblMovimientos[[#This Row],[Tipo]]="","",IFERROR(INDEX(tblTiposMov[FactorStock],MATCH(tblMovimientos[[#This Row],[Tipo]],tblTiposMov[Tipo],0)),0))</f>
        <v/>
      </c>
      <c r="K8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8" s="37"/>
      <c r="O898" s="37"/>
      <c r="P898" s="37"/>
    </row>
    <row r="899" spans="2:16" x14ac:dyDescent="0.25">
      <c r="B8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899" s="46"/>
      <c r="D899" s="37"/>
      <c r="E899" s="37"/>
      <c r="F899" s="37"/>
      <c r="G899" s="40" t="str">
        <f>IF(tblMovimientos[[#This Row],[Producto]]="","",TRIM(LEFT(tblMovimientos[[#This Row],[Producto]],FIND(" · ",tblMovimientos[[#This Row],[Producto]]&amp;" · ")-1)))</f>
        <v/>
      </c>
      <c r="H899" s="40" t="str">
        <f>IF(tblMovimientos[[#This Row],[SKU]]="","",IFERROR(INDEX(tblProductos[Unidad],MATCH(tblMovimientos[[#This Row],[SKU]],tblProductos[SKU],0)),"?"))</f>
        <v/>
      </c>
      <c r="I899" s="39"/>
      <c r="J899" s="47" t="str">
        <f>IF(tblMovimientos[[#This Row],[Tipo]]="","",IFERROR(INDEX(tblTiposMov[FactorStock],MATCH(tblMovimientos[[#This Row],[Tipo]],tblTiposMov[Tipo],0)),0))</f>
        <v/>
      </c>
      <c r="K8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8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899" s="37"/>
      <c r="O899" s="37"/>
      <c r="P899" s="37"/>
    </row>
    <row r="900" spans="2:16" x14ac:dyDescent="0.25">
      <c r="B9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0" s="46"/>
      <c r="D900" s="37"/>
      <c r="E900" s="37"/>
      <c r="F900" s="37"/>
      <c r="G900" s="40" t="str">
        <f>IF(tblMovimientos[[#This Row],[Producto]]="","",TRIM(LEFT(tblMovimientos[[#This Row],[Producto]],FIND(" · ",tblMovimientos[[#This Row],[Producto]]&amp;" · ")-1)))</f>
        <v/>
      </c>
      <c r="H900" s="40" t="str">
        <f>IF(tblMovimientos[[#This Row],[SKU]]="","",IFERROR(INDEX(tblProductos[Unidad],MATCH(tblMovimientos[[#This Row],[SKU]],tblProductos[SKU],0)),"?"))</f>
        <v/>
      </c>
      <c r="I900" s="39"/>
      <c r="J900" s="47" t="str">
        <f>IF(tblMovimientos[[#This Row],[Tipo]]="","",IFERROR(INDEX(tblTiposMov[FactorStock],MATCH(tblMovimientos[[#This Row],[Tipo]],tblTiposMov[Tipo],0)),0))</f>
        <v/>
      </c>
      <c r="K9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0" s="37"/>
      <c r="O900" s="37"/>
      <c r="P900" s="37"/>
    </row>
    <row r="901" spans="2:16" x14ac:dyDescent="0.25">
      <c r="B9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1" s="46"/>
      <c r="D901" s="37"/>
      <c r="E901" s="37"/>
      <c r="F901" s="37"/>
      <c r="G901" s="40" t="str">
        <f>IF(tblMovimientos[[#This Row],[Producto]]="","",TRIM(LEFT(tblMovimientos[[#This Row],[Producto]],FIND(" · ",tblMovimientos[[#This Row],[Producto]]&amp;" · ")-1)))</f>
        <v/>
      </c>
      <c r="H901" s="40" t="str">
        <f>IF(tblMovimientos[[#This Row],[SKU]]="","",IFERROR(INDEX(tblProductos[Unidad],MATCH(tblMovimientos[[#This Row],[SKU]],tblProductos[SKU],0)),"?"))</f>
        <v/>
      </c>
      <c r="I901" s="39"/>
      <c r="J901" s="47" t="str">
        <f>IF(tblMovimientos[[#This Row],[Tipo]]="","",IFERROR(INDEX(tblTiposMov[FactorStock],MATCH(tblMovimientos[[#This Row],[Tipo]],tblTiposMov[Tipo],0)),0))</f>
        <v/>
      </c>
      <c r="K9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1" s="37"/>
      <c r="O901" s="37"/>
      <c r="P901" s="37"/>
    </row>
    <row r="902" spans="2:16" x14ac:dyDescent="0.25">
      <c r="B9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2" s="46"/>
      <c r="D902" s="37"/>
      <c r="E902" s="37"/>
      <c r="F902" s="37"/>
      <c r="G902" s="40" t="str">
        <f>IF(tblMovimientos[[#This Row],[Producto]]="","",TRIM(LEFT(tblMovimientos[[#This Row],[Producto]],FIND(" · ",tblMovimientos[[#This Row],[Producto]]&amp;" · ")-1)))</f>
        <v/>
      </c>
      <c r="H902" s="40" t="str">
        <f>IF(tblMovimientos[[#This Row],[SKU]]="","",IFERROR(INDEX(tblProductos[Unidad],MATCH(tblMovimientos[[#This Row],[SKU]],tblProductos[SKU],0)),"?"))</f>
        <v/>
      </c>
      <c r="I902" s="39"/>
      <c r="J902" s="47" t="str">
        <f>IF(tblMovimientos[[#This Row],[Tipo]]="","",IFERROR(INDEX(tblTiposMov[FactorStock],MATCH(tblMovimientos[[#This Row],[Tipo]],tblTiposMov[Tipo],0)),0))</f>
        <v/>
      </c>
      <c r="K9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2" s="37"/>
      <c r="O902" s="37"/>
      <c r="P902" s="37"/>
    </row>
    <row r="903" spans="2:16" x14ac:dyDescent="0.25">
      <c r="B9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3" s="46"/>
      <c r="D903" s="37"/>
      <c r="E903" s="37"/>
      <c r="F903" s="37"/>
      <c r="G903" s="40" t="str">
        <f>IF(tblMovimientos[[#This Row],[Producto]]="","",TRIM(LEFT(tblMovimientos[[#This Row],[Producto]],FIND(" · ",tblMovimientos[[#This Row],[Producto]]&amp;" · ")-1)))</f>
        <v/>
      </c>
      <c r="H903" s="40" t="str">
        <f>IF(tblMovimientos[[#This Row],[SKU]]="","",IFERROR(INDEX(tblProductos[Unidad],MATCH(tblMovimientos[[#This Row],[SKU]],tblProductos[SKU],0)),"?"))</f>
        <v/>
      </c>
      <c r="I903" s="39"/>
      <c r="J903" s="47" t="str">
        <f>IF(tblMovimientos[[#This Row],[Tipo]]="","",IFERROR(INDEX(tblTiposMov[FactorStock],MATCH(tblMovimientos[[#This Row],[Tipo]],tblTiposMov[Tipo],0)),0))</f>
        <v/>
      </c>
      <c r="K9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3" s="37"/>
      <c r="O903" s="37"/>
      <c r="P903" s="37"/>
    </row>
    <row r="904" spans="2:16" x14ac:dyDescent="0.25">
      <c r="B9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4" s="46"/>
      <c r="D904" s="37"/>
      <c r="E904" s="37"/>
      <c r="F904" s="37"/>
      <c r="G904" s="40" t="str">
        <f>IF(tblMovimientos[[#This Row],[Producto]]="","",TRIM(LEFT(tblMovimientos[[#This Row],[Producto]],FIND(" · ",tblMovimientos[[#This Row],[Producto]]&amp;" · ")-1)))</f>
        <v/>
      </c>
      <c r="H904" s="40" t="str">
        <f>IF(tblMovimientos[[#This Row],[SKU]]="","",IFERROR(INDEX(tblProductos[Unidad],MATCH(tblMovimientos[[#This Row],[SKU]],tblProductos[SKU],0)),"?"))</f>
        <v/>
      </c>
      <c r="I904" s="39"/>
      <c r="J904" s="47" t="str">
        <f>IF(tblMovimientos[[#This Row],[Tipo]]="","",IFERROR(INDEX(tblTiposMov[FactorStock],MATCH(tblMovimientos[[#This Row],[Tipo]],tblTiposMov[Tipo],0)),0))</f>
        <v/>
      </c>
      <c r="K9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4" s="37"/>
      <c r="O904" s="37"/>
      <c r="P904" s="37"/>
    </row>
    <row r="905" spans="2:16" x14ac:dyDescent="0.25">
      <c r="B9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5" s="46"/>
      <c r="D905" s="37"/>
      <c r="E905" s="37"/>
      <c r="F905" s="37"/>
      <c r="G905" s="40" t="str">
        <f>IF(tblMovimientos[[#This Row],[Producto]]="","",TRIM(LEFT(tblMovimientos[[#This Row],[Producto]],FIND(" · ",tblMovimientos[[#This Row],[Producto]]&amp;" · ")-1)))</f>
        <v/>
      </c>
      <c r="H905" s="40" t="str">
        <f>IF(tblMovimientos[[#This Row],[SKU]]="","",IFERROR(INDEX(tblProductos[Unidad],MATCH(tblMovimientos[[#This Row],[SKU]],tblProductos[SKU],0)),"?"))</f>
        <v/>
      </c>
      <c r="I905" s="39"/>
      <c r="J905" s="47" t="str">
        <f>IF(tblMovimientos[[#This Row],[Tipo]]="","",IFERROR(INDEX(tblTiposMov[FactorStock],MATCH(tblMovimientos[[#This Row],[Tipo]],tblTiposMov[Tipo],0)),0))</f>
        <v/>
      </c>
      <c r="K9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5" s="37"/>
      <c r="O905" s="37"/>
      <c r="P905" s="37"/>
    </row>
    <row r="906" spans="2:16" x14ac:dyDescent="0.25">
      <c r="B9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6" s="46"/>
      <c r="D906" s="37"/>
      <c r="E906" s="37"/>
      <c r="F906" s="37"/>
      <c r="G906" s="40" t="str">
        <f>IF(tblMovimientos[[#This Row],[Producto]]="","",TRIM(LEFT(tblMovimientos[[#This Row],[Producto]],FIND(" · ",tblMovimientos[[#This Row],[Producto]]&amp;" · ")-1)))</f>
        <v/>
      </c>
      <c r="H906" s="40" t="str">
        <f>IF(tblMovimientos[[#This Row],[SKU]]="","",IFERROR(INDEX(tblProductos[Unidad],MATCH(tblMovimientos[[#This Row],[SKU]],tblProductos[SKU],0)),"?"))</f>
        <v/>
      </c>
      <c r="I906" s="39"/>
      <c r="J906" s="47" t="str">
        <f>IF(tblMovimientos[[#This Row],[Tipo]]="","",IFERROR(INDEX(tblTiposMov[FactorStock],MATCH(tblMovimientos[[#This Row],[Tipo]],tblTiposMov[Tipo],0)),0))</f>
        <v/>
      </c>
      <c r="K9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6" s="37"/>
      <c r="O906" s="37"/>
      <c r="P906" s="37"/>
    </row>
    <row r="907" spans="2:16" x14ac:dyDescent="0.25">
      <c r="B9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7" s="46"/>
      <c r="D907" s="37"/>
      <c r="E907" s="37"/>
      <c r="F907" s="37"/>
      <c r="G907" s="40" t="str">
        <f>IF(tblMovimientos[[#This Row],[Producto]]="","",TRIM(LEFT(tblMovimientos[[#This Row],[Producto]],FIND(" · ",tblMovimientos[[#This Row],[Producto]]&amp;" · ")-1)))</f>
        <v/>
      </c>
      <c r="H907" s="40" t="str">
        <f>IF(tblMovimientos[[#This Row],[SKU]]="","",IFERROR(INDEX(tblProductos[Unidad],MATCH(tblMovimientos[[#This Row],[SKU]],tblProductos[SKU],0)),"?"))</f>
        <v/>
      </c>
      <c r="I907" s="39"/>
      <c r="J907" s="47" t="str">
        <f>IF(tblMovimientos[[#This Row],[Tipo]]="","",IFERROR(INDEX(tblTiposMov[FactorStock],MATCH(tblMovimientos[[#This Row],[Tipo]],tblTiposMov[Tipo],0)),0))</f>
        <v/>
      </c>
      <c r="K9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7" s="37"/>
      <c r="O907" s="37"/>
      <c r="P907" s="37"/>
    </row>
    <row r="908" spans="2:16" x14ac:dyDescent="0.25">
      <c r="B9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8" s="46"/>
      <c r="D908" s="37"/>
      <c r="E908" s="37"/>
      <c r="F908" s="37"/>
      <c r="G908" s="40" t="str">
        <f>IF(tblMovimientos[[#This Row],[Producto]]="","",TRIM(LEFT(tblMovimientos[[#This Row],[Producto]],FIND(" · ",tblMovimientos[[#This Row],[Producto]]&amp;" · ")-1)))</f>
        <v/>
      </c>
      <c r="H908" s="40" t="str">
        <f>IF(tblMovimientos[[#This Row],[SKU]]="","",IFERROR(INDEX(tblProductos[Unidad],MATCH(tblMovimientos[[#This Row],[SKU]],tblProductos[SKU],0)),"?"))</f>
        <v/>
      </c>
      <c r="I908" s="39"/>
      <c r="J908" s="47" t="str">
        <f>IF(tblMovimientos[[#This Row],[Tipo]]="","",IFERROR(INDEX(tblTiposMov[FactorStock],MATCH(tblMovimientos[[#This Row],[Tipo]],tblTiposMov[Tipo],0)),0))</f>
        <v/>
      </c>
      <c r="K9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8" s="37"/>
      <c r="O908" s="37"/>
      <c r="P908" s="37"/>
    </row>
    <row r="909" spans="2:16" x14ac:dyDescent="0.25">
      <c r="B9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09" s="46"/>
      <c r="D909" s="37"/>
      <c r="E909" s="37"/>
      <c r="F909" s="37"/>
      <c r="G909" s="40" t="str">
        <f>IF(tblMovimientos[[#This Row],[Producto]]="","",TRIM(LEFT(tblMovimientos[[#This Row],[Producto]],FIND(" · ",tblMovimientos[[#This Row],[Producto]]&amp;" · ")-1)))</f>
        <v/>
      </c>
      <c r="H909" s="40" t="str">
        <f>IF(tblMovimientos[[#This Row],[SKU]]="","",IFERROR(INDEX(tblProductos[Unidad],MATCH(tblMovimientos[[#This Row],[SKU]],tblProductos[SKU],0)),"?"))</f>
        <v/>
      </c>
      <c r="I909" s="39"/>
      <c r="J909" s="47" t="str">
        <f>IF(tblMovimientos[[#This Row],[Tipo]]="","",IFERROR(INDEX(tblTiposMov[FactorStock],MATCH(tblMovimientos[[#This Row],[Tipo]],tblTiposMov[Tipo],0)),0))</f>
        <v/>
      </c>
      <c r="K9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09" s="37"/>
      <c r="O909" s="37"/>
      <c r="P909" s="37"/>
    </row>
    <row r="910" spans="2:16" x14ac:dyDescent="0.25">
      <c r="B9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0" s="46"/>
      <c r="D910" s="37"/>
      <c r="E910" s="37"/>
      <c r="F910" s="37"/>
      <c r="G910" s="40" t="str">
        <f>IF(tblMovimientos[[#This Row],[Producto]]="","",TRIM(LEFT(tblMovimientos[[#This Row],[Producto]],FIND(" · ",tblMovimientos[[#This Row],[Producto]]&amp;" · ")-1)))</f>
        <v/>
      </c>
      <c r="H910" s="40" t="str">
        <f>IF(tblMovimientos[[#This Row],[SKU]]="","",IFERROR(INDEX(tblProductos[Unidad],MATCH(tblMovimientos[[#This Row],[SKU]],tblProductos[SKU],0)),"?"))</f>
        <v/>
      </c>
      <c r="I910" s="39"/>
      <c r="J910" s="47" t="str">
        <f>IF(tblMovimientos[[#This Row],[Tipo]]="","",IFERROR(INDEX(tblTiposMov[FactorStock],MATCH(tblMovimientos[[#This Row],[Tipo]],tblTiposMov[Tipo],0)),0))</f>
        <v/>
      </c>
      <c r="K9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0" s="37"/>
      <c r="O910" s="37"/>
      <c r="P910" s="37"/>
    </row>
    <row r="911" spans="2:16" x14ac:dyDescent="0.25">
      <c r="B9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1" s="46"/>
      <c r="D911" s="37"/>
      <c r="E911" s="37"/>
      <c r="F911" s="37"/>
      <c r="G911" s="40" t="str">
        <f>IF(tblMovimientos[[#This Row],[Producto]]="","",TRIM(LEFT(tblMovimientos[[#This Row],[Producto]],FIND(" · ",tblMovimientos[[#This Row],[Producto]]&amp;" · ")-1)))</f>
        <v/>
      </c>
      <c r="H911" s="40" t="str">
        <f>IF(tblMovimientos[[#This Row],[SKU]]="","",IFERROR(INDEX(tblProductos[Unidad],MATCH(tblMovimientos[[#This Row],[SKU]],tblProductos[SKU],0)),"?"))</f>
        <v/>
      </c>
      <c r="I911" s="39"/>
      <c r="J911" s="47" t="str">
        <f>IF(tblMovimientos[[#This Row],[Tipo]]="","",IFERROR(INDEX(tblTiposMov[FactorStock],MATCH(tblMovimientos[[#This Row],[Tipo]],tblTiposMov[Tipo],0)),0))</f>
        <v/>
      </c>
      <c r="K9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1" s="37"/>
      <c r="O911" s="37"/>
      <c r="P911" s="37"/>
    </row>
    <row r="912" spans="2:16" x14ac:dyDescent="0.25">
      <c r="B9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2" s="46"/>
      <c r="D912" s="37"/>
      <c r="E912" s="37"/>
      <c r="F912" s="37"/>
      <c r="G912" s="40" t="str">
        <f>IF(tblMovimientos[[#This Row],[Producto]]="","",TRIM(LEFT(tblMovimientos[[#This Row],[Producto]],FIND(" · ",tblMovimientos[[#This Row],[Producto]]&amp;" · ")-1)))</f>
        <v/>
      </c>
      <c r="H912" s="40" t="str">
        <f>IF(tblMovimientos[[#This Row],[SKU]]="","",IFERROR(INDEX(tblProductos[Unidad],MATCH(tblMovimientos[[#This Row],[SKU]],tblProductos[SKU],0)),"?"))</f>
        <v/>
      </c>
      <c r="I912" s="39"/>
      <c r="J912" s="47" t="str">
        <f>IF(tblMovimientos[[#This Row],[Tipo]]="","",IFERROR(INDEX(tblTiposMov[FactorStock],MATCH(tblMovimientos[[#This Row],[Tipo]],tblTiposMov[Tipo],0)),0))</f>
        <v/>
      </c>
      <c r="K9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2" s="37"/>
      <c r="O912" s="37"/>
      <c r="P912" s="37"/>
    </row>
    <row r="913" spans="2:16" x14ac:dyDescent="0.25">
      <c r="B9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3" s="46"/>
      <c r="D913" s="37"/>
      <c r="E913" s="37"/>
      <c r="F913" s="37"/>
      <c r="G913" s="40" t="str">
        <f>IF(tblMovimientos[[#This Row],[Producto]]="","",TRIM(LEFT(tblMovimientos[[#This Row],[Producto]],FIND(" · ",tblMovimientos[[#This Row],[Producto]]&amp;" · ")-1)))</f>
        <v/>
      </c>
      <c r="H913" s="40" t="str">
        <f>IF(tblMovimientos[[#This Row],[SKU]]="","",IFERROR(INDEX(tblProductos[Unidad],MATCH(tblMovimientos[[#This Row],[SKU]],tblProductos[SKU],0)),"?"))</f>
        <v/>
      </c>
      <c r="I913" s="39"/>
      <c r="J913" s="47" t="str">
        <f>IF(tblMovimientos[[#This Row],[Tipo]]="","",IFERROR(INDEX(tblTiposMov[FactorStock],MATCH(tblMovimientos[[#This Row],[Tipo]],tblTiposMov[Tipo],0)),0))</f>
        <v/>
      </c>
      <c r="K9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3" s="37"/>
      <c r="O913" s="37"/>
      <c r="P913" s="37"/>
    </row>
    <row r="914" spans="2:16" x14ac:dyDescent="0.25">
      <c r="B9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4" s="46"/>
      <c r="D914" s="37"/>
      <c r="E914" s="37"/>
      <c r="F914" s="37"/>
      <c r="G914" s="40" t="str">
        <f>IF(tblMovimientos[[#This Row],[Producto]]="","",TRIM(LEFT(tblMovimientos[[#This Row],[Producto]],FIND(" · ",tblMovimientos[[#This Row],[Producto]]&amp;" · ")-1)))</f>
        <v/>
      </c>
      <c r="H914" s="40" t="str">
        <f>IF(tblMovimientos[[#This Row],[SKU]]="","",IFERROR(INDEX(tblProductos[Unidad],MATCH(tblMovimientos[[#This Row],[SKU]],tblProductos[SKU],0)),"?"))</f>
        <v/>
      </c>
      <c r="I914" s="39"/>
      <c r="J914" s="47" t="str">
        <f>IF(tblMovimientos[[#This Row],[Tipo]]="","",IFERROR(INDEX(tblTiposMov[FactorStock],MATCH(tblMovimientos[[#This Row],[Tipo]],tblTiposMov[Tipo],0)),0))</f>
        <v/>
      </c>
      <c r="K9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4" s="37"/>
      <c r="O914" s="37"/>
      <c r="P914" s="37"/>
    </row>
    <row r="915" spans="2:16" x14ac:dyDescent="0.25">
      <c r="B9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5" s="46"/>
      <c r="D915" s="37"/>
      <c r="E915" s="37"/>
      <c r="F915" s="37"/>
      <c r="G915" s="40" t="str">
        <f>IF(tblMovimientos[[#This Row],[Producto]]="","",TRIM(LEFT(tblMovimientos[[#This Row],[Producto]],FIND(" · ",tblMovimientos[[#This Row],[Producto]]&amp;" · ")-1)))</f>
        <v/>
      </c>
      <c r="H915" s="40" t="str">
        <f>IF(tblMovimientos[[#This Row],[SKU]]="","",IFERROR(INDEX(tblProductos[Unidad],MATCH(tblMovimientos[[#This Row],[SKU]],tblProductos[SKU],0)),"?"))</f>
        <v/>
      </c>
      <c r="I915" s="39"/>
      <c r="J915" s="47" t="str">
        <f>IF(tblMovimientos[[#This Row],[Tipo]]="","",IFERROR(INDEX(tblTiposMov[FactorStock],MATCH(tblMovimientos[[#This Row],[Tipo]],tblTiposMov[Tipo],0)),0))</f>
        <v/>
      </c>
      <c r="K9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5" s="37"/>
      <c r="O915" s="37"/>
      <c r="P915" s="37"/>
    </row>
    <row r="916" spans="2:16" x14ac:dyDescent="0.25">
      <c r="B9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6" s="46"/>
      <c r="D916" s="37"/>
      <c r="E916" s="37"/>
      <c r="F916" s="37"/>
      <c r="G916" s="40" t="str">
        <f>IF(tblMovimientos[[#This Row],[Producto]]="","",TRIM(LEFT(tblMovimientos[[#This Row],[Producto]],FIND(" · ",tblMovimientos[[#This Row],[Producto]]&amp;" · ")-1)))</f>
        <v/>
      </c>
      <c r="H916" s="40" t="str">
        <f>IF(tblMovimientos[[#This Row],[SKU]]="","",IFERROR(INDEX(tblProductos[Unidad],MATCH(tblMovimientos[[#This Row],[SKU]],tblProductos[SKU],0)),"?"))</f>
        <v/>
      </c>
      <c r="I916" s="39"/>
      <c r="J916" s="47" t="str">
        <f>IF(tblMovimientos[[#This Row],[Tipo]]="","",IFERROR(INDEX(tblTiposMov[FactorStock],MATCH(tblMovimientos[[#This Row],[Tipo]],tblTiposMov[Tipo],0)),0))</f>
        <v/>
      </c>
      <c r="K9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6" s="37"/>
      <c r="O916" s="37"/>
      <c r="P916" s="37"/>
    </row>
    <row r="917" spans="2:16" x14ac:dyDescent="0.25">
      <c r="B9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7" s="46"/>
      <c r="D917" s="37"/>
      <c r="E917" s="37"/>
      <c r="F917" s="37"/>
      <c r="G917" s="40" t="str">
        <f>IF(tblMovimientos[[#This Row],[Producto]]="","",TRIM(LEFT(tblMovimientos[[#This Row],[Producto]],FIND(" · ",tblMovimientos[[#This Row],[Producto]]&amp;" · ")-1)))</f>
        <v/>
      </c>
      <c r="H917" s="40" t="str">
        <f>IF(tblMovimientos[[#This Row],[SKU]]="","",IFERROR(INDEX(tblProductos[Unidad],MATCH(tblMovimientos[[#This Row],[SKU]],tblProductos[SKU],0)),"?"))</f>
        <v/>
      </c>
      <c r="I917" s="39"/>
      <c r="J917" s="47" t="str">
        <f>IF(tblMovimientos[[#This Row],[Tipo]]="","",IFERROR(INDEX(tblTiposMov[FactorStock],MATCH(tblMovimientos[[#This Row],[Tipo]],tblTiposMov[Tipo],0)),0))</f>
        <v/>
      </c>
      <c r="K9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7" s="37"/>
      <c r="O917" s="37"/>
      <c r="P917" s="37"/>
    </row>
    <row r="918" spans="2:16" x14ac:dyDescent="0.25">
      <c r="B9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8" s="46"/>
      <c r="D918" s="37"/>
      <c r="E918" s="37"/>
      <c r="F918" s="37"/>
      <c r="G918" s="40" t="str">
        <f>IF(tblMovimientos[[#This Row],[Producto]]="","",TRIM(LEFT(tblMovimientos[[#This Row],[Producto]],FIND(" · ",tblMovimientos[[#This Row],[Producto]]&amp;" · ")-1)))</f>
        <v/>
      </c>
      <c r="H918" s="40" t="str">
        <f>IF(tblMovimientos[[#This Row],[SKU]]="","",IFERROR(INDEX(tblProductos[Unidad],MATCH(tblMovimientos[[#This Row],[SKU]],tblProductos[SKU],0)),"?"))</f>
        <v/>
      </c>
      <c r="I918" s="39"/>
      <c r="J918" s="47" t="str">
        <f>IF(tblMovimientos[[#This Row],[Tipo]]="","",IFERROR(INDEX(tblTiposMov[FactorStock],MATCH(tblMovimientos[[#This Row],[Tipo]],tblTiposMov[Tipo],0)),0))</f>
        <v/>
      </c>
      <c r="K9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8" s="37"/>
      <c r="O918" s="37"/>
      <c r="P918" s="37"/>
    </row>
    <row r="919" spans="2:16" x14ac:dyDescent="0.25">
      <c r="B9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19" s="46"/>
      <c r="D919" s="37"/>
      <c r="E919" s="37"/>
      <c r="F919" s="37"/>
      <c r="G919" s="40" t="str">
        <f>IF(tblMovimientos[[#This Row],[Producto]]="","",TRIM(LEFT(tblMovimientos[[#This Row],[Producto]],FIND(" · ",tblMovimientos[[#This Row],[Producto]]&amp;" · ")-1)))</f>
        <v/>
      </c>
      <c r="H919" s="40" t="str">
        <f>IF(tblMovimientos[[#This Row],[SKU]]="","",IFERROR(INDEX(tblProductos[Unidad],MATCH(tblMovimientos[[#This Row],[SKU]],tblProductos[SKU],0)),"?"))</f>
        <v/>
      </c>
      <c r="I919" s="39"/>
      <c r="J919" s="47" t="str">
        <f>IF(tblMovimientos[[#This Row],[Tipo]]="","",IFERROR(INDEX(tblTiposMov[FactorStock],MATCH(tblMovimientos[[#This Row],[Tipo]],tblTiposMov[Tipo],0)),0))</f>
        <v/>
      </c>
      <c r="K9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19" s="37"/>
      <c r="O919" s="37"/>
      <c r="P919" s="37"/>
    </row>
    <row r="920" spans="2:16" x14ac:dyDescent="0.25">
      <c r="B9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0" s="46"/>
      <c r="D920" s="37"/>
      <c r="E920" s="37"/>
      <c r="F920" s="37"/>
      <c r="G920" s="40" t="str">
        <f>IF(tblMovimientos[[#This Row],[Producto]]="","",TRIM(LEFT(tblMovimientos[[#This Row],[Producto]],FIND(" · ",tblMovimientos[[#This Row],[Producto]]&amp;" · ")-1)))</f>
        <v/>
      </c>
      <c r="H920" s="40" t="str">
        <f>IF(tblMovimientos[[#This Row],[SKU]]="","",IFERROR(INDEX(tblProductos[Unidad],MATCH(tblMovimientos[[#This Row],[SKU]],tblProductos[SKU],0)),"?"))</f>
        <v/>
      </c>
      <c r="I920" s="39"/>
      <c r="J920" s="47" t="str">
        <f>IF(tblMovimientos[[#This Row],[Tipo]]="","",IFERROR(INDEX(tblTiposMov[FactorStock],MATCH(tblMovimientos[[#This Row],[Tipo]],tblTiposMov[Tipo],0)),0))</f>
        <v/>
      </c>
      <c r="K9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0" s="37"/>
      <c r="O920" s="37"/>
      <c r="P920" s="37"/>
    </row>
    <row r="921" spans="2:16" x14ac:dyDescent="0.25">
      <c r="B9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1" s="46"/>
      <c r="D921" s="37"/>
      <c r="E921" s="37"/>
      <c r="F921" s="37"/>
      <c r="G921" s="40" t="str">
        <f>IF(tblMovimientos[[#This Row],[Producto]]="","",TRIM(LEFT(tblMovimientos[[#This Row],[Producto]],FIND(" · ",tblMovimientos[[#This Row],[Producto]]&amp;" · ")-1)))</f>
        <v/>
      </c>
      <c r="H921" s="40" t="str">
        <f>IF(tblMovimientos[[#This Row],[SKU]]="","",IFERROR(INDEX(tblProductos[Unidad],MATCH(tblMovimientos[[#This Row],[SKU]],tblProductos[SKU],0)),"?"))</f>
        <v/>
      </c>
      <c r="I921" s="39"/>
      <c r="J921" s="47" t="str">
        <f>IF(tblMovimientos[[#This Row],[Tipo]]="","",IFERROR(INDEX(tblTiposMov[FactorStock],MATCH(tblMovimientos[[#This Row],[Tipo]],tblTiposMov[Tipo],0)),0))</f>
        <v/>
      </c>
      <c r="K9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1" s="37"/>
      <c r="O921" s="37"/>
      <c r="P921" s="37"/>
    </row>
    <row r="922" spans="2:16" x14ac:dyDescent="0.25">
      <c r="B9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2" s="46"/>
      <c r="D922" s="37"/>
      <c r="E922" s="37"/>
      <c r="F922" s="37"/>
      <c r="G922" s="40" t="str">
        <f>IF(tblMovimientos[[#This Row],[Producto]]="","",TRIM(LEFT(tblMovimientos[[#This Row],[Producto]],FIND(" · ",tblMovimientos[[#This Row],[Producto]]&amp;" · ")-1)))</f>
        <v/>
      </c>
      <c r="H922" s="40" t="str">
        <f>IF(tblMovimientos[[#This Row],[SKU]]="","",IFERROR(INDEX(tblProductos[Unidad],MATCH(tblMovimientos[[#This Row],[SKU]],tblProductos[SKU],0)),"?"))</f>
        <v/>
      </c>
      <c r="I922" s="39"/>
      <c r="J922" s="47" t="str">
        <f>IF(tblMovimientos[[#This Row],[Tipo]]="","",IFERROR(INDEX(tblTiposMov[FactorStock],MATCH(tblMovimientos[[#This Row],[Tipo]],tblTiposMov[Tipo],0)),0))</f>
        <v/>
      </c>
      <c r="K9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2" s="37"/>
      <c r="O922" s="37"/>
      <c r="P922" s="37"/>
    </row>
    <row r="923" spans="2:16" x14ac:dyDescent="0.25">
      <c r="B9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3" s="46"/>
      <c r="D923" s="37"/>
      <c r="E923" s="37"/>
      <c r="F923" s="37"/>
      <c r="G923" s="40" t="str">
        <f>IF(tblMovimientos[[#This Row],[Producto]]="","",TRIM(LEFT(tblMovimientos[[#This Row],[Producto]],FIND(" · ",tblMovimientos[[#This Row],[Producto]]&amp;" · ")-1)))</f>
        <v/>
      </c>
      <c r="H923" s="40" t="str">
        <f>IF(tblMovimientos[[#This Row],[SKU]]="","",IFERROR(INDEX(tblProductos[Unidad],MATCH(tblMovimientos[[#This Row],[SKU]],tblProductos[SKU],0)),"?"))</f>
        <v/>
      </c>
      <c r="I923" s="39"/>
      <c r="J923" s="47" t="str">
        <f>IF(tblMovimientos[[#This Row],[Tipo]]="","",IFERROR(INDEX(tblTiposMov[FactorStock],MATCH(tblMovimientos[[#This Row],[Tipo]],tblTiposMov[Tipo],0)),0))</f>
        <v/>
      </c>
      <c r="K9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3" s="37"/>
      <c r="O923" s="37"/>
      <c r="P923" s="37"/>
    </row>
    <row r="924" spans="2:16" x14ac:dyDescent="0.25">
      <c r="B9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4" s="46"/>
      <c r="D924" s="37"/>
      <c r="E924" s="37"/>
      <c r="F924" s="37"/>
      <c r="G924" s="40" t="str">
        <f>IF(tblMovimientos[[#This Row],[Producto]]="","",TRIM(LEFT(tblMovimientos[[#This Row],[Producto]],FIND(" · ",tblMovimientos[[#This Row],[Producto]]&amp;" · ")-1)))</f>
        <v/>
      </c>
      <c r="H924" s="40" t="str">
        <f>IF(tblMovimientos[[#This Row],[SKU]]="","",IFERROR(INDEX(tblProductos[Unidad],MATCH(tblMovimientos[[#This Row],[SKU]],tblProductos[SKU],0)),"?"))</f>
        <v/>
      </c>
      <c r="I924" s="39"/>
      <c r="J924" s="47" t="str">
        <f>IF(tblMovimientos[[#This Row],[Tipo]]="","",IFERROR(INDEX(tblTiposMov[FactorStock],MATCH(tblMovimientos[[#This Row],[Tipo]],tblTiposMov[Tipo],0)),0))</f>
        <v/>
      </c>
      <c r="K9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4" s="37"/>
      <c r="O924" s="37"/>
      <c r="P924" s="37"/>
    </row>
    <row r="925" spans="2:16" x14ac:dyDescent="0.25">
      <c r="B9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5" s="46"/>
      <c r="D925" s="37"/>
      <c r="E925" s="37"/>
      <c r="F925" s="37"/>
      <c r="G925" s="40" t="str">
        <f>IF(tblMovimientos[[#This Row],[Producto]]="","",TRIM(LEFT(tblMovimientos[[#This Row],[Producto]],FIND(" · ",tblMovimientos[[#This Row],[Producto]]&amp;" · ")-1)))</f>
        <v/>
      </c>
      <c r="H925" s="40" t="str">
        <f>IF(tblMovimientos[[#This Row],[SKU]]="","",IFERROR(INDEX(tblProductos[Unidad],MATCH(tblMovimientos[[#This Row],[SKU]],tblProductos[SKU],0)),"?"))</f>
        <v/>
      </c>
      <c r="I925" s="39"/>
      <c r="J925" s="47" t="str">
        <f>IF(tblMovimientos[[#This Row],[Tipo]]="","",IFERROR(INDEX(tblTiposMov[FactorStock],MATCH(tblMovimientos[[#This Row],[Tipo]],tblTiposMov[Tipo],0)),0))</f>
        <v/>
      </c>
      <c r="K9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5" s="37"/>
      <c r="O925" s="37"/>
      <c r="P925" s="37"/>
    </row>
    <row r="926" spans="2:16" x14ac:dyDescent="0.25">
      <c r="B9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6" s="46"/>
      <c r="D926" s="37"/>
      <c r="E926" s="37"/>
      <c r="F926" s="37"/>
      <c r="G926" s="40" t="str">
        <f>IF(tblMovimientos[[#This Row],[Producto]]="","",TRIM(LEFT(tblMovimientos[[#This Row],[Producto]],FIND(" · ",tblMovimientos[[#This Row],[Producto]]&amp;" · ")-1)))</f>
        <v/>
      </c>
      <c r="H926" s="40" t="str">
        <f>IF(tblMovimientos[[#This Row],[SKU]]="","",IFERROR(INDEX(tblProductos[Unidad],MATCH(tblMovimientos[[#This Row],[SKU]],tblProductos[SKU],0)),"?"))</f>
        <v/>
      </c>
      <c r="I926" s="39"/>
      <c r="J926" s="47" t="str">
        <f>IF(tblMovimientos[[#This Row],[Tipo]]="","",IFERROR(INDEX(tblTiposMov[FactorStock],MATCH(tblMovimientos[[#This Row],[Tipo]],tblTiposMov[Tipo],0)),0))</f>
        <v/>
      </c>
      <c r="K9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6" s="37"/>
      <c r="O926" s="37"/>
      <c r="P926" s="37"/>
    </row>
    <row r="927" spans="2:16" x14ac:dyDescent="0.25">
      <c r="B9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7" s="46"/>
      <c r="D927" s="37"/>
      <c r="E927" s="37"/>
      <c r="F927" s="37"/>
      <c r="G927" s="40" t="str">
        <f>IF(tblMovimientos[[#This Row],[Producto]]="","",TRIM(LEFT(tblMovimientos[[#This Row],[Producto]],FIND(" · ",tblMovimientos[[#This Row],[Producto]]&amp;" · ")-1)))</f>
        <v/>
      </c>
      <c r="H927" s="40" t="str">
        <f>IF(tblMovimientos[[#This Row],[SKU]]="","",IFERROR(INDEX(tblProductos[Unidad],MATCH(tblMovimientos[[#This Row],[SKU]],tblProductos[SKU],0)),"?"))</f>
        <v/>
      </c>
      <c r="I927" s="39"/>
      <c r="J927" s="47" t="str">
        <f>IF(tblMovimientos[[#This Row],[Tipo]]="","",IFERROR(INDEX(tblTiposMov[FactorStock],MATCH(tblMovimientos[[#This Row],[Tipo]],tblTiposMov[Tipo],0)),0))</f>
        <v/>
      </c>
      <c r="K9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7" s="37"/>
      <c r="O927" s="37"/>
      <c r="P927" s="37"/>
    </row>
    <row r="928" spans="2:16" x14ac:dyDescent="0.25">
      <c r="B9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8" s="46"/>
      <c r="D928" s="37"/>
      <c r="E928" s="37"/>
      <c r="F928" s="37"/>
      <c r="G928" s="40" t="str">
        <f>IF(tblMovimientos[[#This Row],[Producto]]="","",TRIM(LEFT(tblMovimientos[[#This Row],[Producto]],FIND(" · ",tblMovimientos[[#This Row],[Producto]]&amp;" · ")-1)))</f>
        <v/>
      </c>
      <c r="H928" s="40" t="str">
        <f>IF(tblMovimientos[[#This Row],[SKU]]="","",IFERROR(INDEX(tblProductos[Unidad],MATCH(tblMovimientos[[#This Row],[SKU]],tblProductos[SKU],0)),"?"))</f>
        <v/>
      </c>
      <c r="I928" s="39"/>
      <c r="J928" s="47" t="str">
        <f>IF(tblMovimientos[[#This Row],[Tipo]]="","",IFERROR(INDEX(tblTiposMov[FactorStock],MATCH(tblMovimientos[[#This Row],[Tipo]],tblTiposMov[Tipo],0)),0))</f>
        <v/>
      </c>
      <c r="K9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8" s="37"/>
      <c r="O928" s="37"/>
      <c r="P928" s="37"/>
    </row>
    <row r="929" spans="2:16" x14ac:dyDescent="0.25">
      <c r="B9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29" s="46"/>
      <c r="D929" s="37"/>
      <c r="E929" s="37"/>
      <c r="F929" s="37"/>
      <c r="G929" s="40" t="str">
        <f>IF(tblMovimientos[[#This Row],[Producto]]="","",TRIM(LEFT(tblMovimientos[[#This Row],[Producto]],FIND(" · ",tblMovimientos[[#This Row],[Producto]]&amp;" · ")-1)))</f>
        <v/>
      </c>
      <c r="H929" s="40" t="str">
        <f>IF(tblMovimientos[[#This Row],[SKU]]="","",IFERROR(INDEX(tblProductos[Unidad],MATCH(tblMovimientos[[#This Row],[SKU]],tblProductos[SKU],0)),"?"))</f>
        <v/>
      </c>
      <c r="I929" s="39"/>
      <c r="J929" s="47" t="str">
        <f>IF(tblMovimientos[[#This Row],[Tipo]]="","",IFERROR(INDEX(tblTiposMov[FactorStock],MATCH(tblMovimientos[[#This Row],[Tipo]],tblTiposMov[Tipo],0)),0))</f>
        <v/>
      </c>
      <c r="K9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29" s="37"/>
      <c r="O929" s="37"/>
      <c r="P929" s="37"/>
    </row>
    <row r="930" spans="2:16" x14ac:dyDescent="0.25">
      <c r="B9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0" s="46"/>
      <c r="D930" s="37"/>
      <c r="E930" s="37"/>
      <c r="F930" s="37"/>
      <c r="G930" s="40" t="str">
        <f>IF(tblMovimientos[[#This Row],[Producto]]="","",TRIM(LEFT(tblMovimientos[[#This Row],[Producto]],FIND(" · ",tblMovimientos[[#This Row],[Producto]]&amp;" · ")-1)))</f>
        <v/>
      </c>
      <c r="H930" s="40" t="str">
        <f>IF(tblMovimientos[[#This Row],[SKU]]="","",IFERROR(INDEX(tblProductos[Unidad],MATCH(tblMovimientos[[#This Row],[SKU]],tblProductos[SKU],0)),"?"))</f>
        <v/>
      </c>
      <c r="I930" s="39"/>
      <c r="J930" s="47" t="str">
        <f>IF(tblMovimientos[[#This Row],[Tipo]]="","",IFERROR(INDEX(tblTiposMov[FactorStock],MATCH(tblMovimientos[[#This Row],[Tipo]],tblTiposMov[Tipo],0)),0))</f>
        <v/>
      </c>
      <c r="K9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0" s="37"/>
      <c r="O930" s="37"/>
      <c r="P930" s="37"/>
    </row>
    <row r="931" spans="2:16" x14ac:dyDescent="0.25">
      <c r="B9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1" s="46"/>
      <c r="D931" s="37"/>
      <c r="E931" s="37"/>
      <c r="F931" s="37"/>
      <c r="G931" s="40" t="str">
        <f>IF(tblMovimientos[[#This Row],[Producto]]="","",TRIM(LEFT(tblMovimientos[[#This Row],[Producto]],FIND(" · ",tblMovimientos[[#This Row],[Producto]]&amp;" · ")-1)))</f>
        <v/>
      </c>
      <c r="H931" s="40" t="str">
        <f>IF(tblMovimientos[[#This Row],[SKU]]="","",IFERROR(INDEX(tblProductos[Unidad],MATCH(tblMovimientos[[#This Row],[SKU]],tblProductos[SKU],0)),"?"))</f>
        <v/>
      </c>
      <c r="I931" s="39"/>
      <c r="J931" s="47" t="str">
        <f>IF(tblMovimientos[[#This Row],[Tipo]]="","",IFERROR(INDEX(tblTiposMov[FactorStock],MATCH(tblMovimientos[[#This Row],[Tipo]],tblTiposMov[Tipo],0)),0))</f>
        <v/>
      </c>
      <c r="K9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1" s="37"/>
      <c r="O931" s="37"/>
      <c r="P931" s="37"/>
    </row>
    <row r="932" spans="2:16" x14ac:dyDescent="0.25">
      <c r="B9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2" s="46"/>
      <c r="D932" s="37"/>
      <c r="E932" s="37"/>
      <c r="F932" s="37"/>
      <c r="G932" s="40" t="str">
        <f>IF(tblMovimientos[[#This Row],[Producto]]="","",TRIM(LEFT(tblMovimientos[[#This Row],[Producto]],FIND(" · ",tblMovimientos[[#This Row],[Producto]]&amp;" · ")-1)))</f>
        <v/>
      </c>
      <c r="H932" s="40" t="str">
        <f>IF(tblMovimientos[[#This Row],[SKU]]="","",IFERROR(INDEX(tblProductos[Unidad],MATCH(tblMovimientos[[#This Row],[SKU]],tblProductos[SKU],0)),"?"))</f>
        <v/>
      </c>
      <c r="I932" s="39"/>
      <c r="J932" s="47" t="str">
        <f>IF(tblMovimientos[[#This Row],[Tipo]]="","",IFERROR(INDEX(tblTiposMov[FactorStock],MATCH(tblMovimientos[[#This Row],[Tipo]],tblTiposMov[Tipo],0)),0))</f>
        <v/>
      </c>
      <c r="K9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2" s="37"/>
      <c r="O932" s="37"/>
      <c r="P932" s="37"/>
    </row>
    <row r="933" spans="2:16" x14ac:dyDescent="0.25">
      <c r="B9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3" s="46"/>
      <c r="D933" s="37"/>
      <c r="E933" s="37"/>
      <c r="F933" s="37"/>
      <c r="G933" s="40" t="str">
        <f>IF(tblMovimientos[[#This Row],[Producto]]="","",TRIM(LEFT(tblMovimientos[[#This Row],[Producto]],FIND(" · ",tblMovimientos[[#This Row],[Producto]]&amp;" · ")-1)))</f>
        <v/>
      </c>
      <c r="H933" s="40" t="str">
        <f>IF(tblMovimientos[[#This Row],[SKU]]="","",IFERROR(INDEX(tblProductos[Unidad],MATCH(tblMovimientos[[#This Row],[SKU]],tblProductos[SKU],0)),"?"))</f>
        <v/>
      </c>
      <c r="I933" s="39"/>
      <c r="J933" s="47" t="str">
        <f>IF(tblMovimientos[[#This Row],[Tipo]]="","",IFERROR(INDEX(tblTiposMov[FactorStock],MATCH(tblMovimientos[[#This Row],[Tipo]],tblTiposMov[Tipo],0)),0))</f>
        <v/>
      </c>
      <c r="K9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3" s="37"/>
      <c r="O933" s="37"/>
      <c r="P933" s="37"/>
    </row>
    <row r="934" spans="2:16" x14ac:dyDescent="0.25">
      <c r="B9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4" s="46"/>
      <c r="D934" s="37"/>
      <c r="E934" s="37"/>
      <c r="F934" s="37"/>
      <c r="G934" s="40" t="str">
        <f>IF(tblMovimientos[[#This Row],[Producto]]="","",TRIM(LEFT(tblMovimientos[[#This Row],[Producto]],FIND(" · ",tblMovimientos[[#This Row],[Producto]]&amp;" · ")-1)))</f>
        <v/>
      </c>
      <c r="H934" s="40" t="str">
        <f>IF(tblMovimientos[[#This Row],[SKU]]="","",IFERROR(INDEX(tblProductos[Unidad],MATCH(tblMovimientos[[#This Row],[SKU]],tblProductos[SKU],0)),"?"))</f>
        <v/>
      </c>
      <c r="I934" s="39"/>
      <c r="J934" s="47" t="str">
        <f>IF(tblMovimientos[[#This Row],[Tipo]]="","",IFERROR(INDEX(tblTiposMov[FactorStock],MATCH(tblMovimientos[[#This Row],[Tipo]],tblTiposMov[Tipo],0)),0))</f>
        <v/>
      </c>
      <c r="K9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4" s="37"/>
      <c r="O934" s="37"/>
      <c r="P934" s="37"/>
    </row>
    <row r="935" spans="2:16" x14ac:dyDescent="0.25">
      <c r="B9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5" s="46"/>
      <c r="D935" s="37"/>
      <c r="E935" s="37"/>
      <c r="F935" s="37"/>
      <c r="G935" s="40" t="str">
        <f>IF(tblMovimientos[[#This Row],[Producto]]="","",TRIM(LEFT(tblMovimientos[[#This Row],[Producto]],FIND(" · ",tblMovimientos[[#This Row],[Producto]]&amp;" · ")-1)))</f>
        <v/>
      </c>
      <c r="H935" s="40" t="str">
        <f>IF(tblMovimientos[[#This Row],[SKU]]="","",IFERROR(INDEX(tblProductos[Unidad],MATCH(tblMovimientos[[#This Row],[SKU]],tblProductos[SKU],0)),"?"))</f>
        <v/>
      </c>
      <c r="I935" s="39"/>
      <c r="J935" s="47" t="str">
        <f>IF(tblMovimientos[[#This Row],[Tipo]]="","",IFERROR(INDEX(tblTiposMov[FactorStock],MATCH(tblMovimientos[[#This Row],[Tipo]],tblTiposMov[Tipo],0)),0))</f>
        <v/>
      </c>
      <c r="K9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5" s="37"/>
      <c r="O935" s="37"/>
      <c r="P935" s="37"/>
    </row>
    <row r="936" spans="2:16" x14ac:dyDescent="0.25">
      <c r="B9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6" s="46"/>
      <c r="D936" s="37"/>
      <c r="E936" s="37"/>
      <c r="F936" s="37"/>
      <c r="G936" s="40" t="str">
        <f>IF(tblMovimientos[[#This Row],[Producto]]="","",TRIM(LEFT(tblMovimientos[[#This Row],[Producto]],FIND(" · ",tblMovimientos[[#This Row],[Producto]]&amp;" · ")-1)))</f>
        <v/>
      </c>
      <c r="H936" s="40" t="str">
        <f>IF(tblMovimientos[[#This Row],[SKU]]="","",IFERROR(INDEX(tblProductos[Unidad],MATCH(tblMovimientos[[#This Row],[SKU]],tblProductos[SKU],0)),"?"))</f>
        <v/>
      </c>
      <c r="I936" s="39"/>
      <c r="J936" s="47" t="str">
        <f>IF(tblMovimientos[[#This Row],[Tipo]]="","",IFERROR(INDEX(tblTiposMov[FactorStock],MATCH(tblMovimientos[[#This Row],[Tipo]],tblTiposMov[Tipo],0)),0))</f>
        <v/>
      </c>
      <c r="K9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6" s="37"/>
      <c r="O936" s="37"/>
      <c r="P936" s="37"/>
    </row>
    <row r="937" spans="2:16" x14ac:dyDescent="0.25">
      <c r="B9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7" s="46"/>
      <c r="D937" s="37"/>
      <c r="E937" s="37"/>
      <c r="F937" s="37"/>
      <c r="G937" s="40" t="str">
        <f>IF(tblMovimientos[[#This Row],[Producto]]="","",TRIM(LEFT(tblMovimientos[[#This Row],[Producto]],FIND(" · ",tblMovimientos[[#This Row],[Producto]]&amp;" · ")-1)))</f>
        <v/>
      </c>
      <c r="H937" s="40" t="str">
        <f>IF(tblMovimientos[[#This Row],[SKU]]="","",IFERROR(INDEX(tblProductos[Unidad],MATCH(tblMovimientos[[#This Row],[SKU]],tblProductos[SKU],0)),"?"))</f>
        <v/>
      </c>
      <c r="I937" s="39"/>
      <c r="J937" s="47" t="str">
        <f>IF(tblMovimientos[[#This Row],[Tipo]]="","",IFERROR(INDEX(tblTiposMov[FactorStock],MATCH(tblMovimientos[[#This Row],[Tipo]],tblTiposMov[Tipo],0)),0))</f>
        <v/>
      </c>
      <c r="K9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7" s="37"/>
      <c r="O937" s="37"/>
      <c r="P937" s="37"/>
    </row>
    <row r="938" spans="2:16" x14ac:dyDescent="0.25">
      <c r="B9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8" s="46"/>
      <c r="D938" s="37"/>
      <c r="E938" s="37"/>
      <c r="F938" s="37"/>
      <c r="G938" s="40" t="str">
        <f>IF(tblMovimientos[[#This Row],[Producto]]="","",TRIM(LEFT(tblMovimientos[[#This Row],[Producto]],FIND(" · ",tblMovimientos[[#This Row],[Producto]]&amp;" · ")-1)))</f>
        <v/>
      </c>
      <c r="H938" s="40" t="str">
        <f>IF(tblMovimientos[[#This Row],[SKU]]="","",IFERROR(INDEX(tblProductos[Unidad],MATCH(tblMovimientos[[#This Row],[SKU]],tblProductos[SKU],0)),"?"))</f>
        <v/>
      </c>
      <c r="I938" s="39"/>
      <c r="J938" s="47" t="str">
        <f>IF(tblMovimientos[[#This Row],[Tipo]]="","",IFERROR(INDEX(tblTiposMov[FactorStock],MATCH(tblMovimientos[[#This Row],[Tipo]],tblTiposMov[Tipo],0)),0))</f>
        <v/>
      </c>
      <c r="K9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8" s="37"/>
      <c r="O938" s="37"/>
      <c r="P938" s="37"/>
    </row>
    <row r="939" spans="2:16" x14ac:dyDescent="0.25">
      <c r="B9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39" s="46"/>
      <c r="D939" s="37"/>
      <c r="E939" s="37"/>
      <c r="F939" s="37"/>
      <c r="G939" s="40" t="str">
        <f>IF(tblMovimientos[[#This Row],[Producto]]="","",TRIM(LEFT(tblMovimientos[[#This Row],[Producto]],FIND(" · ",tblMovimientos[[#This Row],[Producto]]&amp;" · ")-1)))</f>
        <v/>
      </c>
      <c r="H939" s="40" t="str">
        <f>IF(tblMovimientos[[#This Row],[SKU]]="","",IFERROR(INDEX(tblProductos[Unidad],MATCH(tblMovimientos[[#This Row],[SKU]],tblProductos[SKU],0)),"?"))</f>
        <v/>
      </c>
      <c r="I939" s="39"/>
      <c r="J939" s="47" t="str">
        <f>IF(tblMovimientos[[#This Row],[Tipo]]="","",IFERROR(INDEX(tblTiposMov[FactorStock],MATCH(tblMovimientos[[#This Row],[Tipo]],tblTiposMov[Tipo],0)),0))</f>
        <v/>
      </c>
      <c r="K9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39" s="37"/>
      <c r="O939" s="37"/>
      <c r="P939" s="37"/>
    </row>
    <row r="940" spans="2:16" x14ac:dyDescent="0.25">
      <c r="B9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0" s="46"/>
      <c r="D940" s="37"/>
      <c r="E940" s="37"/>
      <c r="F940" s="37"/>
      <c r="G940" s="40" t="str">
        <f>IF(tblMovimientos[[#This Row],[Producto]]="","",TRIM(LEFT(tblMovimientos[[#This Row],[Producto]],FIND(" · ",tblMovimientos[[#This Row],[Producto]]&amp;" · ")-1)))</f>
        <v/>
      </c>
      <c r="H940" s="40" t="str">
        <f>IF(tblMovimientos[[#This Row],[SKU]]="","",IFERROR(INDEX(tblProductos[Unidad],MATCH(tblMovimientos[[#This Row],[SKU]],tblProductos[SKU],0)),"?"))</f>
        <v/>
      </c>
      <c r="I940" s="39"/>
      <c r="J940" s="47" t="str">
        <f>IF(tblMovimientos[[#This Row],[Tipo]]="","",IFERROR(INDEX(tblTiposMov[FactorStock],MATCH(tblMovimientos[[#This Row],[Tipo]],tblTiposMov[Tipo],0)),0))</f>
        <v/>
      </c>
      <c r="K9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0" s="37"/>
      <c r="O940" s="37"/>
      <c r="P940" s="37"/>
    </row>
    <row r="941" spans="2:16" x14ac:dyDescent="0.25">
      <c r="B9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1" s="46"/>
      <c r="D941" s="37"/>
      <c r="E941" s="37"/>
      <c r="F941" s="37"/>
      <c r="G941" s="40" t="str">
        <f>IF(tblMovimientos[[#This Row],[Producto]]="","",TRIM(LEFT(tblMovimientos[[#This Row],[Producto]],FIND(" · ",tblMovimientos[[#This Row],[Producto]]&amp;" · ")-1)))</f>
        <v/>
      </c>
      <c r="H941" s="40" t="str">
        <f>IF(tblMovimientos[[#This Row],[SKU]]="","",IFERROR(INDEX(tblProductos[Unidad],MATCH(tblMovimientos[[#This Row],[SKU]],tblProductos[SKU],0)),"?"))</f>
        <v/>
      </c>
      <c r="I941" s="39"/>
      <c r="J941" s="47" t="str">
        <f>IF(tblMovimientos[[#This Row],[Tipo]]="","",IFERROR(INDEX(tblTiposMov[FactorStock],MATCH(tblMovimientos[[#This Row],[Tipo]],tblTiposMov[Tipo],0)),0))</f>
        <v/>
      </c>
      <c r="K9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1" s="37"/>
      <c r="O941" s="37"/>
      <c r="P941" s="37"/>
    </row>
    <row r="942" spans="2:16" x14ac:dyDescent="0.25">
      <c r="B9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2" s="46"/>
      <c r="D942" s="37"/>
      <c r="E942" s="37"/>
      <c r="F942" s="37"/>
      <c r="G942" s="40" t="str">
        <f>IF(tblMovimientos[[#This Row],[Producto]]="","",TRIM(LEFT(tblMovimientos[[#This Row],[Producto]],FIND(" · ",tblMovimientos[[#This Row],[Producto]]&amp;" · ")-1)))</f>
        <v/>
      </c>
      <c r="H942" s="40" t="str">
        <f>IF(tblMovimientos[[#This Row],[SKU]]="","",IFERROR(INDEX(tblProductos[Unidad],MATCH(tblMovimientos[[#This Row],[SKU]],tblProductos[SKU],0)),"?"))</f>
        <v/>
      </c>
      <c r="I942" s="39"/>
      <c r="J942" s="47" t="str">
        <f>IF(tblMovimientos[[#This Row],[Tipo]]="","",IFERROR(INDEX(tblTiposMov[FactorStock],MATCH(tblMovimientos[[#This Row],[Tipo]],tblTiposMov[Tipo],0)),0))</f>
        <v/>
      </c>
      <c r="K9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2" s="37"/>
      <c r="O942" s="37"/>
      <c r="P942" s="37"/>
    </row>
    <row r="943" spans="2:16" x14ac:dyDescent="0.25">
      <c r="B9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3" s="46"/>
      <c r="D943" s="37"/>
      <c r="E943" s="37"/>
      <c r="F943" s="37"/>
      <c r="G943" s="40" t="str">
        <f>IF(tblMovimientos[[#This Row],[Producto]]="","",TRIM(LEFT(tblMovimientos[[#This Row],[Producto]],FIND(" · ",tblMovimientos[[#This Row],[Producto]]&amp;" · ")-1)))</f>
        <v/>
      </c>
      <c r="H943" s="40" t="str">
        <f>IF(tblMovimientos[[#This Row],[SKU]]="","",IFERROR(INDEX(tblProductos[Unidad],MATCH(tblMovimientos[[#This Row],[SKU]],tblProductos[SKU],0)),"?"))</f>
        <v/>
      </c>
      <c r="I943" s="39"/>
      <c r="J943" s="47" t="str">
        <f>IF(tblMovimientos[[#This Row],[Tipo]]="","",IFERROR(INDEX(tblTiposMov[FactorStock],MATCH(tblMovimientos[[#This Row],[Tipo]],tblTiposMov[Tipo],0)),0))</f>
        <v/>
      </c>
      <c r="K9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3" s="37"/>
      <c r="O943" s="37"/>
      <c r="P943" s="37"/>
    </row>
    <row r="944" spans="2:16" x14ac:dyDescent="0.25">
      <c r="B9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4" s="46"/>
      <c r="D944" s="37"/>
      <c r="E944" s="37"/>
      <c r="F944" s="37"/>
      <c r="G944" s="40" t="str">
        <f>IF(tblMovimientos[[#This Row],[Producto]]="","",TRIM(LEFT(tblMovimientos[[#This Row],[Producto]],FIND(" · ",tblMovimientos[[#This Row],[Producto]]&amp;" · ")-1)))</f>
        <v/>
      </c>
      <c r="H944" s="40" t="str">
        <f>IF(tblMovimientos[[#This Row],[SKU]]="","",IFERROR(INDEX(tblProductos[Unidad],MATCH(tblMovimientos[[#This Row],[SKU]],tblProductos[SKU],0)),"?"))</f>
        <v/>
      </c>
      <c r="I944" s="39"/>
      <c r="J944" s="47" t="str">
        <f>IF(tblMovimientos[[#This Row],[Tipo]]="","",IFERROR(INDEX(tblTiposMov[FactorStock],MATCH(tblMovimientos[[#This Row],[Tipo]],tblTiposMov[Tipo],0)),0))</f>
        <v/>
      </c>
      <c r="K9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4" s="37"/>
      <c r="O944" s="37"/>
      <c r="P944" s="37"/>
    </row>
    <row r="945" spans="2:16" x14ac:dyDescent="0.25">
      <c r="B9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5" s="46"/>
      <c r="D945" s="37"/>
      <c r="E945" s="37"/>
      <c r="F945" s="37"/>
      <c r="G945" s="40" t="str">
        <f>IF(tblMovimientos[[#This Row],[Producto]]="","",TRIM(LEFT(tblMovimientos[[#This Row],[Producto]],FIND(" · ",tblMovimientos[[#This Row],[Producto]]&amp;" · ")-1)))</f>
        <v/>
      </c>
      <c r="H945" s="40" t="str">
        <f>IF(tblMovimientos[[#This Row],[SKU]]="","",IFERROR(INDEX(tblProductos[Unidad],MATCH(tblMovimientos[[#This Row],[SKU]],tblProductos[SKU],0)),"?"))</f>
        <v/>
      </c>
      <c r="I945" s="39"/>
      <c r="J945" s="47" t="str">
        <f>IF(tblMovimientos[[#This Row],[Tipo]]="","",IFERROR(INDEX(tblTiposMov[FactorStock],MATCH(tblMovimientos[[#This Row],[Tipo]],tblTiposMov[Tipo],0)),0))</f>
        <v/>
      </c>
      <c r="K9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5" s="37"/>
      <c r="O945" s="37"/>
      <c r="P945" s="37"/>
    </row>
    <row r="946" spans="2:16" x14ac:dyDescent="0.25">
      <c r="B9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6" s="46"/>
      <c r="D946" s="37"/>
      <c r="E946" s="37"/>
      <c r="F946" s="37"/>
      <c r="G946" s="40" t="str">
        <f>IF(tblMovimientos[[#This Row],[Producto]]="","",TRIM(LEFT(tblMovimientos[[#This Row],[Producto]],FIND(" · ",tblMovimientos[[#This Row],[Producto]]&amp;" · ")-1)))</f>
        <v/>
      </c>
      <c r="H946" s="40" t="str">
        <f>IF(tblMovimientos[[#This Row],[SKU]]="","",IFERROR(INDEX(tblProductos[Unidad],MATCH(tblMovimientos[[#This Row],[SKU]],tblProductos[SKU],0)),"?"))</f>
        <v/>
      </c>
      <c r="I946" s="39"/>
      <c r="J946" s="47" t="str">
        <f>IF(tblMovimientos[[#This Row],[Tipo]]="","",IFERROR(INDEX(tblTiposMov[FactorStock],MATCH(tblMovimientos[[#This Row],[Tipo]],tblTiposMov[Tipo],0)),0))</f>
        <v/>
      </c>
      <c r="K9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6" s="37"/>
      <c r="O946" s="37"/>
      <c r="P946" s="37"/>
    </row>
    <row r="947" spans="2:16" x14ac:dyDescent="0.25">
      <c r="B9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7" s="46"/>
      <c r="D947" s="37"/>
      <c r="E947" s="37"/>
      <c r="F947" s="37"/>
      <c r="G947" s="40" t="str">
        <f>IF(tblMovimientos[[#This Row],[Producto]]="","",TRIM(LEFT(tblMovimientos[[#This Row],[Producto]],FIND(" · ",tblMovimientos[[#This Row],[Producto]]&amp;" · ")-1)))</f>
        <v/>
      </c>
      <c r="H947" s="40" t="str">
        <f>IF(tblMovimientos[[#This Row],[SKU]]="","",IFERROR(INDEX(tblProductos[Unidad],MATCH(tblMovimientos[[#This Row],[SKU]],tblProductos[SKU],0)),"?"))</f>
        <v/>
      </c>
      <c r="I947" s="39"/>
      <c r="J947" s="47" t="str">
        <f>IF(tblMovimientos[[#This Row],[Tipo]]="","",IFERROR(INDEX(tblTiposMov[FactorStock],MATCH(tblMovimientos[[#This Row],[Tipo]],tblTiposMov[Tipo],0)),0))</f>
        <v/>
      </c>
      <c r="K9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7" s="37"/>
      <c r="O947" s="37"/>
      <c r="P947" s="37"/>
    </row>
    <row r="948" spans="2:16" x14ac:dyDescent="0.25">
      <c r="B9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8" s="46"/>
      <c r="D948" s="37"/>
      <c r="E948" s="37"/>
      <c r="F948" s="37"/>
      <c r="G948" s="40" t="str">
        <f>IF(tblMovimientos[[#This Row],[Producto]]="","",TRIM(LEFT(tblMovimientos[[#This Row],[Producto]],FIND(" · ",tblMovimientos[[#This Row],[Producto]]&amp;" · ")-1)))</f>
        <v/>
      </c>
      <c r="H948" s="40" t="str">
        <f>IF(tblMovimientos[[#This Row],[SKU]]="","",IFERROR(INDEX(tblProductos[Unidad],MATCH(tblMovimientos[[#This Row],[SKU]],tblProductos[SKU],0)),"?"))</f>
        <v/>
      </c>
      <c r="I948" s="39"/>
      <c r="J948" s="47" t="str">
        <f>IF(tblMovimientos[[#This Row],[Tipo]]="","",IFERROR(INDEX(tblTiposMov[FactorStock],MATCH(tblMovimientos[[#This Row],[Tipo]],tblTiposMov[Tipo],0)),0))</f>
        <v/>
      </c>
      <c r="K9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8" s="37"/>
      <c r="O948" s="37"/>
      <c r="P948" s="37"/>
    </row>
    <row r="949" spans="2:16" x14ac:dyDescent="0.25">
      <c r="B9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49" s="46"/>
      <c r="D949" s="37"/>
      <c r="E949" s="37"/>
      <c r="F949" s="37"/>
      <c r="G949" s="40" t="str">
        <f>IF(tblMovimientos[[#This Row],[Producto]]="","",TRIM(LEFT(tblMovimientos[[#This Row],[Producto]],FIND(" · ",tblMovimientos[[#This Row],[Producto]]&amp;" · ")-1)))</f>
        <v/>
      </c>
      <c r="H949" s="40" t="str">
        <f>IF(tblMovimientos[[#This Row],[SKU]]="","",IFERROR(INDEX(tblProductos[Unidad],MATCH(tblMovimientos[[#This Row],[SKU]],tblProductos[SKU],0)),"?"))</f>
        <v/>
      </c>
      <c r="I949" s="39"/>
      <c r="J949" s="47" t="str">
        <f>IF(tblMovimientos[[#This Row],[Tipo]]="","",IFERROR(INDEX(tblTiposMov[FactorStock],MATCH(tblMovimientos[[#This Row],[Tipo]],tblTiposMov[Tipo],0)),0))</f>
        <v/>
      </c>
      <c r="K9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49" s="37"/>
      <c r="O949" s="37"/>
      <c r="P949" s="37"/>
    </row>
    <row r="950" spans="2:16" x14ac:dyDescent="0.25">
      <c r="B9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0" s="46"/>
      <c r="D950" s="37"/>
      <c r="E950" s="37"/>
      <c r="F950" s="37"/>
      <c r="G950" s="40" t="str">
        <f>IF(tblMovimientos[[#This Row],[Producto]]="","",TRIM(LEFT(tblMovimientos[[#This Row],[Producto]],FIND(" · ",tblMovimientos[[#This Row],[Producto]]&amp;" · ")-1)))</f>
        <v/>
      </c>
      <c r="H950" s="40" t="str">
        <f>IF(tblMovimientos[[#This Row],[SKU]]="","",IFERROR(INDEX(tblProductos[Unidad],MATCH(tblMovimientos[[#This Row],[SKU]],tblProductos[SKU],0)),"?"))</f>
        <v/>
      </c>
      <c r="I950" s="39"/>
      <c r="J950" s="47" t="str">
        <f>IF(tblMovimientos[[#This Row],[Tipo]]="","",IFERROR(INDEX(tblTiposMov[FactorStock],MATCH(tblMovimientos[[#This Row],[Tipo]],tblTiposMov[Tipo],0)),0))</f>
        <v/>
      </c>
      <c r="K9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0" s="37"/>
      <c r="O950" s="37"/>
      <c r="P950" s="37"/>
    </row>
    <row r="951" spans="2:16" x14ac:dyDescent="0.25">
      <c r="B9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1" s="46"/>
      <c r="D951" s="37"/>
      <c r="E951" s="37"/>
      <c r="F951" s="37"/>
      <c r="G951" s="40" t="str">
        <f>IF(tblMovimientos[[#This Row],[Producto]]="","",TRIM(LEFT(tblMovimientos[[#This Row],[Producto]],FIND(" · ",tblMovimientos[[#This Row],[Producto]]&amp;" · ")-1)))</f>
        <v/>
      </c>
      <c r="H951" s="40" t="str">
        <f>IF(tblMovimientos[[#This Row],[SKU]]="","",IFERROR(INDEX(tblProductos[Unidad],MATCH(tblMovimientos[[#This Row],[SKU]],tblProductos[SKU],0)),"?"))</f>
        <v/>
      </c>
      <c r="I951" s="39"/>
      <c r="J951" s="47" t="str">
        <f>IF(tblMovimientos[[#This Row],[Tipo]]="","",IFERROR(INDEX(tblTiposMov[FactorStock],MATCH(tblMovimientos[[#This Row],[Tipo]],tblTiposMov[Tipo],0)),0))</f>
        <v/>
      </c>
      <c r="K9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1" s="37"/>
      <c r="O951" s="37"/>
      <c r="P951" s="37"/>
    </row>
    <row r="952" spans="2:16" x14ac:dyDescent="0.25">
      <c r="B9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2" s="46"/>
      <c r="D952" s="37"/>
      <c r="E952" s="37"/>
      <c r="F952" s="37"/>
      <c r="G952" s="40" t="str">
        <f>IF(tblMovimientos[[#This Row],[Producto]]="","",TRIM(LEFT(tblMovimientos[[#This Row],[Producto]],FIND(" · ",tblMovimientos[[#This Row],[Producto]]&amp;" · ")-1)))</f>
        <v/>
      </c>
      <c r="H952" s="40" t="str">
        <f>IF(tblMovimientos[[#This Row],[SKU]]="","",IFERROR(INDEX(tblProductos[Unidad],MATCH(tblMovimientos[[#This Row],[SKU]],tblProductos[SKU],0)),"?"))</f>
        <v/>
      </c>
      <c r="I952" s="39"/>
      <c r="J952" s="47" t="str">
        <f>IF(tblMovimientos[[#This Row],[Tipo]]="","",IFERROR(INDEX(tblTiposMov[FactorStock],MATCH(tblMovimientos[[#This Row],[Tipo]],tblTiposMov[Tipo],0)),0))</f>
        <v/>
      </c>
      <c r="K9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2" s="37"/>
      <c r="O952" s="37"/>
      <c r="P952" s="37"/>
    </row>
    <row r="953" spans="2:16" x14ac:dyDescent="0.25">
      <c r="B9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3" s="46"/>
      <c r="D953" s="37"/>
      <c r="E953" s="37"/>
      <c r="F953" s="37"/>
      <c r="G953" s="40" t="str">
        <f>IF(tblMovimientos[[#This Row],[Producto]]="","",TRIM(LEFT(tblMovimientos[[#This Row],[Producto]],FIND(" · ",tblMovimientos[[#This Row],[Producto]]&amp;" · ")-1)))</f>
        <v/>
      </c>
      <c r="H953" s="40" t="str">
        <f>IF(tblMovimientos[[#This Row],[SKU]]="","",IFERROR(INDEX(tblProductos[Unidad],MATCH(tblMovimientos[[#This Row],[SKU]],tblProductos[SKU],0)),"?"))</f>
        <v/>
      </c>
      <c r="I953" s="39"/>
      <c r="J953" s="47" t="str">
        <f>IF(tblMovimientos[[#This Row],[Tipo]]="","",IFERROR(INDEX(tblTiposMov[FactorStock],MATCH(tblMovimientos[[#This Row],[Tipo]],tblTiposMov[Tipo],0)),0))</f>
        <v/>
      </c>
      <c r="K9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3" s="37"/>
      <c r="O953" s="37"/>
      <c r="P953" s="37"/>
    </row>
    <row r="954" spans="2:16" x14ac:dyDescent="0.25">
      <c r="B9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4" s="46"/>
      <c r="D954" s="37"/>
      <c r="E954" s="37"/>
      <c r="F954" s="37"/>
      <c r="G954" s="40" t="str">
        <f>IF(tblMovimientos[[#This Row],[Producto]]="","",TRIM(LEFT(tblMovimientos[[#This Row],[Producto]],FIND(" · ",tblMovimientos[[#This Row],[Producto]]&amp;" · ")-1)))</f>
        <v/>
      </c>
      <c r="H954" s="40" t="str">
        <f>IF(tblMovimientos[[#This Row],[SKU]]="","",IFERROR(INDEX(tblProductos[Unidad],MATCH(tblMovimientos[[#This Row],[SKU]],tblProductos[SKU],0)),"?"))</f>
        <v/>
      </c>
      <c r="I954" s="39"/>
      <c r="J954" s="47" t="str">
        <f>IF(tblMovimientos[[#This Row],[Tipo]]="","",IFERROR(INDEX(tblTiposMov[FactorStock],MATCH(tblMovimientos[[#This Row],[Tipo]],tblTiposMov[Tipo],0)),0))</f>
        <v/>
      </c>
      <c r="K9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4" s="37"/>
      <c r="O954" s="37"/>
      <c r="P954" s="37"/>
    </row>
    <row r="955" spans="2:16" x14ac:dyDescent="0.25">
      <c r="B9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5" s="46"/>
      <c r="D955" s="37"/>
      <c r="E955" s="37"/>
      <c r="F955" s="37"/>
      <c r="G955" s="40" t="str">
        <f>IF(tblMovimientos[[#This Row],[Producto]]="","",TRIM(LEFT(tblMovimientos[[#This Row],[Producto]],FIND(" · ",tblMovimientos[[#This Row],[Producto]]&amp;" · ")-1)))</f>
        <v/>
      </c>
      <c r="H955" s="40" t="str">
        <f>IF(tblMovimientos[[#This Row],[SKU]]="","",IFERROR(INDEX(tblProductos[Unidad],MATCH(tblMovimientos[[#This Row],[SKU]],tblProductos[SKU],0)),"?"))</f>
        <v/>
      </c>
      <c r="I955" s="39"/>
      <c r="J955" s="47" t="str">
        <f>IF(tblMovimientos[[#This Row],[Tipo]]="","",IFERROR(INDEX(tblTiposMov[FactorStock],MATCH(tblMovimientos[[#This Row],[Tipo]],tblTiposMov[Tipo],0)),0))</f>
        <v/>
      </c>
      <c r="K9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5" s="37"/>
      <c r="O955" s="37"/>
      <c r="P955" s="37"/>
    </row>
    <row r="956" spans="2:16" x14ac:dyDescent="0.25">
      <c r="B9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6" s="46"/>
      <c r="D956" s="37"/>
      <c r="E956" s="37"/>
      <c r="F956" s="37"/>
      <c r="G956" s="40" t="str">
        <f>IF(tblMovimientos[[#This Row],[Producto]]="","",TRIM(LEFT(tblMovimientos[[#This Row],[Producto]],FIND(" · ",tblMovimientos[[#This Row],[Producto]]&amp;" · ")-1)))</f>
        <v/>
      </c>
      <c r="H956" s="40" t="str">
        <f>IF(tblMovimientos[[#This Row],[SKU]]="","",IFERROR(INDEX(tblProductos[Unidad],MATCH(tblMovimientos[[#This Row],[SKU]],tblProductos[SKU],0)),"?"))</f>
        <v/>
      </c>
      <c r="I956" s="39"/>
      <c r="J956" s="47" t="str">
        <f>IF(tblMovimientos[[#This Row],[Tipo]]="","",IFERROR(INDEX(tblTiposMov[FactorStock],MATCH(tblMovimientos[[#This Row],[Tipo]],tblTiposMov[Tipo],0)),0))</f>
        <v/>
      </c>
      <c r="K9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6" s="37"/>
      <c r="O956" s="37"/>
      <c r="P956" s="37"/>
    </row>
    <row r="957" spans="2:16" x14ac:dyDescent="0.25">
      <c r="B9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7" s="46"/>
      <c r="D957" s="37"/>
      <c r="E957" s="37"/>
      <c r="F957" s="37"/>
      <c r="G957" s="40" t="str">
        <f>IF(tblMovimientos[[#This Row],[Producto]]="","",TRIM(LEFT(tblMovimientos[[#This Row],[Producto]],FIND(" · ",tblMovimientos[[#This Row],[Producto]]&amp;" · ")-1)))</f>
        <v/>
      </c>
      <c r="H957" s="40" t="str">
        <f>IF(tblMovimientos[[#This Row],[SKU]]="","",IFERROR(INDEX(tblProductos[Unidad],MATCH(tblMovimientos[[#This Row],[SKU]],tblProductos[SKU],0)),"?"))</f>
        <v/>
      </c>
      <c r="I957" s="39"/>
      <c r="J957" s="47" t="str">
        <f>IF(tblMovimientos[[#This Row],[Tipo]]="","",IFERROR(INDEX(tblTiposMov[FactorStock],MATCH(tblMovimientos[[#This Row],[Tipo]],tblTiposMov[Tipo],0)),0))</f>
        <v/>
      </c>
      <c r="K9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7" s="37"/>
      <c r="O957" s="37"/>
      <c r="P957" s="37"/>
    </row>
    <row r="958" spans="2:16" x14ac:dyDescent="0.25">
      <c r="B9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8" s="46"/>
      <c r="D958" s="37"/>
      <c r="E958" s="37"/>
      <c r="F958" s="37"/>
      <c r="G958" s="40" t="str">
        <f>IF(tblMovimientos[[#This Row],[Producto]]="","",TRIM(LEFT(tblMovimientos[[#This Row],[Producto]],FIND(" · ",tblMovimientos[[#This Row],[Producto]]&amp;" · ")-1)))</f>
        <v/>
      </c>
      <c r="H958" s="40" t="str">
        <f>IF(tblMovimientos[[#This Row],[SKU]]="","",IFERROR(INDEX(tblProductos[Unidad],MATCH(tblMovimientos[[#This Row],[SKU]],tblProductos[SKU],0)),"?"))</f>
        <v/>
      </c>
      <c r="I958" s="39"/>
      <c r="J958" s="47" t="str">
        <f>IF(tblMovimientos[[#This Row],[Tipo]]="","",IFERROR(INDEX(tblTiposMov[FactorStock],MATCH(tblMovimientos[[#This Row],[Tipo]],tblTiposMov[Tipo],0)),0))</f>
        <v/>
      </c>
      <c r="K9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8" s="37"/>
      <c r="O958" s="37"/>
      <c r="P958" s="37"/>
    </row>
    <row r="959" spans="2:16" x14ac:dyDescent="0.25">
      <c r="B9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59" s="46"/>
      <c r="D959" s="37"/>
      <c r="E959" s="37"/>
      <c r="F959" s="37"/>
      <c r="G959" s="40" t="str">
        <f>IF(tblMovimientos[[#This Row],[Producto]]="","",TRIM(LEFT(tblMovimientos[[#This Row],[Producto]],FIND(" · ",tblMovimientos[[#This Row],[Producto]]&amp;" · ")-1)))</f>
        <v/>
      </c>
      <c r="H959" s="40" t="str">
        <f>IF(tblMovimientos[[#This Row],[SKU]]="","",IFERROR(INDEX(tblProductos[Unidad],MATCH(tblMovimientos[[#This Row],[SKU]],tblProductos[SKU],0)),"?"))</f>
        <v/>
      </c>
      <c r="I959" s="39"/>
      <c r="J959" s="47" t="str">
        <f>IF(tblMovimientos[[#This Row],[Tipo]]="","",IFERROR(INDEX(tblTiposMov[FactorStock],MATCH(tblMovimientos[[#This Row],[Tipo]],tblTiposMov[Tipo],0)),0))</f>
        <v/>
      </c>
      <c r="K9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59" s="37"/>
      <c r="O959" s="37"/>
      <c r="P959" s="37"/>
    </row>
    <row r="960" spans="2:16" x14ac:dyDescent="0.25">
      <c r="B9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0" s="46"/>
      <c r="D960" s="37"/>
      <c r="E960" s="37"/>
      <c r="F960" s="37"/>
      <c r="G960" s="40" t="str">
        <f>IF(tblMovimientos[[#This Row],[Producto]]="","",TRIM(LEFT(tblMovimientos[[#This Row],[Producto]],FIND(" · ",tblMovimientos[[#This Row],[Producto]]&amp;" · ")-1)))</f>
        <v/>
      </c>
      <c r="H960" s="40" t="str">
        <f>IF(tblMovimientos[[#This Row],[SKU]]="","",IFERROR(INDEX(tblProductos[Unidad],MATCH(tblMovimientos[[#This Row],[SKU]],tblProductos[SKU],0)),"?"))</f>
        <v/>
      </c>
      <c r="I960" s="39"/>
      <c r="J960" s="47" t="str">
        <f>IF(tblMovimientos[[#This Row],[Tipo]]="","",IFERROR(INDEX(tblTiposMov[FactorStock],MATCH(tblMovimientos[[#This Row],[Tipo]],tblTiposMov[Tipo],0)),0))</f>
        <v/>
      </c>
      <c r="K9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0" s="37"/>
      <c r="O960" s="37"/>
      <c r="P960" s="37"/>
    </row>
    <row r="961" spans="2:16" x14ac:dyDescent="0.25">
      <c r="B9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1" s="46"/>
      <c r="D961" s="37"/>
      <c r="E961" s="37"/>
      <c r="F961" s="37"/>
      <c r="G961" s="40" t="str">
        <f>IF(tblMovimientos[[#This Row],[Producto]]="","",TRIM(LEFT(tblMovimientos[[#This Row],[Producto]],FIND(" · ",tblMovimientos[[#This Row],[Producto]]&amp;" · ")-1)))</f>
        <v/>
      </c>
      <c r="H961" s="40" t="str">
        <f>IF(tblMovimientos[[#This Row],[SKU]]="","",IFERROR(INDEX(tblProductos[Unidad],MATCH(tblMovimientos[[#This Row],[SKU]],tblProductos[SKU],0)),"?"))</f>
        <v/>
      </c>
      <c r="I961" s="39"/>
      <c r="J961" s="47" t="str">
        <f>IF(tblMovimientos[[#This Row],[Tipo]]="","",IFERROR(INDEX(tblTiposMov[FactorStock],MATCH(tblMovimientos[[#This Row],[Tipo]],tblTiposMov[Tipo],0)),0))</f>
        <v/>
      </c>
      <c r="K9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1" s="37"/>
      <c r="O961" s="37"/>
      <c r="P961" s="37"/>
    </row>
    <row r="962" spans="2:16" x14ac:dyDescent="0.25">
      <c r="B9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2" s="46"/>
      <c r="D962" s="37"/>
      <c r="E962" s="37"/>
      <c r="F962" s="37"/>
      <c r="G962" s="40" t="str">
        <f>IF(tblMovimientos[[#This Row],[Producto]]="","",TRIM(LEFT(tblMovimientos[[#This Row],[Producto]],FIND(" · ",tblMovimientos[[#This Row],[Producto]]&amp;" · ")-1)))</f>
        <v/>
      </c>
      <c r="H962" s="40" t="str">
        <f>IF(tblMovimientos[[#This Row],[SKU]]="","",IFERROR(INDEX(tblProductos[Unidad],MATCH(tblMovimientos[[#This Row],[SKU]],tblProductos[SKU],0)),"?"))</f>
        <v/>
      </c>
      <c r="I962" s="39"/>
      <c r="J962" s="47" t="str">
        <f>IF(tblMovimientos[[#This Row],[Tipo]]="","",IFERROR(INDEX(tblTiposMov[FactorStock],MATCH(tblMovimientos[[#This Row],[Tipo]],tblTiposMov[Tipo],0)),0))</f>
        <v/>
      </c>
      <c r="K9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2" s="37"/>
      <c r="O962" s="37"/>
      <c r="P962" s="37"/>
    </row>
    <row r="963" spans="2:16" x14ac:dyDescent="0.25">
      <c r="B9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3" s="46"/>
      <c r="D963" s="37"/>
      <c r="E963" s="37"/>
      <c r="F963" s="37"/>
      <c r="G963" s="40" t="str">
        <f>IF(tblMovimientos[[#This Row],[Producto]]="","",TRIM(LEFT(tblMovimientos[[#This Row],[Producto]],FIND(" · ",tblMovimientos[[#This Row],[Producto]]&amp;" · ")-1)))</f>
        <v/>
      </c>
      <c r="H963" s="40" t="str">
        <f>IF(tblMovimientos[[#This Row],[SKU]]="","",IFERROR(INDEX(tblProductos[Unidad],MATCH(tblMovimientos[[#This Row],[SKU]],tblProductos[SKU],0)),"?"))</f>
        <v/>
      </c>
      <c r="I963" s="39"/>
      <c r="J963" s="47" t="str">
        <f>IF(tblMovimientos[[#This Row],[Tipo]]="","",IFERROR(INDEX(tblTiposMov[FactorStock],MATCH(tblMovimientos[[#This Row],[Tipo]],tblTiposMov[Tipo],0)),0))</f>
        <v/>
      </c>
      <c r="K9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3" s="37"/>
      <c r="O963" s="37"/>
      <c r="P963" s="37"/>
    </row>
    <row r="964" spans="2:16" x14ac:dyDescent="0.25">
      <c r="B9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4" s="46"/>
      <c r="D964" s="37"/>
      <c r="E964" s="37"/>
      <c r="F964" s="37"/>
      <c r="G964" s="40" t="str">
        <f>IF(tblMovimientos[[#This Row],[Producto]]="","",TRIM(LEFT(tblMovimientos[[#This Row],[Producto]],FIND(" · ",tblMovimientos[[#This Row],[Producto]]&amp;" · ")-1)))</f>
        <v/>
      </c>
      <c r="H964" s="40" t="str">
        <f>IF(tblMovimientos[[#This Row],[SKU]]="","",IFERROR(INDEX(tblProductos[Unidad],MATCH(tblMovimientos[[#This Row],[SKU]],tblProductos[SKU],0)),"?"))</f>
        <v/>
      </c>
      <c r="I964" s="39"/>
      <c r="J964" s="47" t="str">
        <f>IF(tblMovimientos[[#This Row],[Tipo]]="","",IFERROR(INDEX(tblTiposMov[FactorStock],MATCH(tblMovimientos[[#This Row],[Tipo]],tblTiposMov[Tipo],0)),0))</f>
        <v/>
      </c>
      <c r="K9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4" s="37"/>
      <c r="O964" s="37"/>
      <c r="P964" s="37"/>
    </row>
    <row r="965" spans="2:16" x14ac:dyDescent="0.25">
      <c r="B9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5" s="46"/>
      <c r="D965" s="37"/>
      <c r="E965" s="37"/>
      <c r="F965" s="37"/>
      <c r="G965" s="40" t="str">
        <f>IF(tblMovimientos[[#This Row],[Producto]]="","",TRIM(LEFT(tblMovimientos[[#This Row],[Producto]],FIND(" · ",tblMovimientos[[#This Row],[Producto]]&amp;" · ")-1)))</f>
        <v/>
      </c>
      <c r="H965" s="40" t="str">
        <f>IF(tblMovimientos[[#This Row],[SKU]]="","",IFERROR(INDEX(tblProductos[Unidad],MATCH(tblMovimientos[[#This Row],[SKU]],tblProductos[SKU],0)),"?"))</f>
        <v/>
      </c>
      <c r="I965" s="39"/>
      <c r="J965" s="47" t="str">
        <f>IF(tblMovimientos[[#This Row],[Tipo]]="","",IFERROR(INDEX(tblTiposMov[FactorStock],MATCH(tblMovimientos[[#This Row],[Tipo]],tblTiposMov[Tipo],0)),0))</f>
        <v/>
      </c>
      <c r="K9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5" s="37"/>
      <c r="O965" s="37"/>
      <c r="P965" s="37"/>
    </row>
    <row r="966" spans="2:16" x14ac:dyDescent="0.25">
      <c r="B9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6" s="46"/>
      <c r="D966" s="37"/>
      <c r="E966" s="37"/>
      <c r="F966" s="37"/>
      <c r="G966" s="40" t="str">
        <f>IF(tblMovimientos[[#This Row],[Producto]]="","",TRIM(LEFT(tblMovimientos[[#This Row],[Producto]],FIND(" · ",tblMovimientos[[#This Row],[Producto]]&amp;" · ")-1)))</f>
        <v/>
      </c>
      <c r="H966" s="40" t="str">
        <f>IF(tblMovimientos[[#This Row],[SKU]]="","",IFERROR(INDEX(tblProductos[Unidad],MATCH(tblMovimientos[[#This Row],[SKU]],tblProductos[SKU],0)),"?"))</f>
        <v/>
      </c>
      <c r="I966" s="39"/>
      <c r="J966" s="47" t="str">
        <f>IF(tblMovimientos[[#This Row],[Tipo]]="","",IFERROR(INDEX(tblTiposMov[FactorStock],MATCH(tblMovimientos[[#This Row],[Tipo]],tblTiposMov[Tipo],0)),0))</f>
        <v/>
      </c>
      <c r="K9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6" s="37"/>
      <c r="O966" s="37"/>
      <c r="P966" s="37"/>
    </row>
    <row r="967" spans="2:16" x14ac:dyDescent="0.25">
      <c r="B9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7" s="46"/>
      <c r="D967" s="37"/>
      <c r="E967" s="37"/>
      <c r="F967" s="37"/>
      <c r="G967" s="40" t="str">
        <f>IF(tblMovimientos[[#This Row],[Producto]]="","",TRIM(LEFT(tblMovimientos[[#This Row],[Producto]],FIND(" · ",tblMovimientos[[#This Row],[Producto]]&amp;" · ")-1)))</f>
        <v/>
      </c>
      <c r="H967" s="40" t="str">
        <f>IF(tblMovimientos[[#This Row],[SKU]]="","",IFERROR(INDEX(tblProductos[Unidad],MATCH(tblMovimientos[[#This Row],[SKU]],tblProductos[SKU],0)),"?"))</f>
        <v/>
      </c>
      <c r="I967" s="39"/>
      <c r="J967" s="47" t="str">
        <f>IF(tblMovimientos[[#This Row],[Tipo]]="","",IFERROR(INDEX(tblTiposMov[FactorStock],MATCH(tblMovimientos[[#This Row],[Tipo]],tblTiposMov[Tipo],0)),0))</f>
        <v/>
      </c>
      <c r="K9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7" s="37"/>
      <c r="O967" s="37"/>
      <c r="P967" s="37"/>
    </row>
    <row r="968" spans="2:16" x14ac:dyDescent="0.25">
      <c r="B9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8" s="46"/>
      <c r="D968" s="37"/>
      <c r="E968" s="37"/>
      <c r="F968" s="37"/>
      <c r="G968" s="40" t="str">
        <f>IF(tblMovimientos[[#This Row],[Producto]]="","",TRIM(LEFT(tblMovimientos[[#This Row],[Producto]],FIND(" · ",tblMovimientos[[#This Row],[Producto]]&amp;" · ")-1)))</f>
        <v/>
      </c>
      <c r="H968" s="40" t="str">
        <f>IF(tblMovimientos[[#This Row],[SKU]]="","",IFERROR(INDEX(tblProductos[Unidad],MATCH(tblMovimientos[[#This Row],[SKU]],tblProductos[SKU],0)),"?"))</f>
        <v/>
      </c>
      <c r="I968" s="39"/>
      <c r="J968" s="47" t="str">
        <f>IF(tblMovimientos[[#This Row],[Tipo]]="","",IFERROR(INDEX(tblTiposMov[FactorStock],MATCH(tblMovimientos[[#This Row],[Tipo]],tblTiposMov[Tipo],0)),0))</f>
        <v/>
      </c>
      <c r="K9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8" s="37"/>
      <c r="O968" s="37"/>
      <c r="P968" s="37"/>
    </row>
    <row r="969" spans="2:16" x14ac:dyDescent="0.25">
      <c r="B9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69" s="46"/>
      <c r="D969" s="37"/>
      <c r="E969" s="37"/>
      <c r="F969" s="37"/>
      <c r="G969" s="40" t="str">
        <f>IF(tblMovimientos[[#This Row],[Producto]]="","",TRIM(LEFT(tblMovimientos[[#This Row],[Producto]],FIND(" · ",tblMovimientos[[#This Row],[Producto]]&amp;" · ")-1)))</f>
        <v/>
      </c>
      <c r="H969" s="40" t="str">
        <f>IF(tblMovimientos[[#This Row],[SKU]]="","",IFERROR(INDEX(tblProductos[Unidad],MATCH(tblMovimientos[[#This Row],[SKU]],tblProductos[SKU],0)),"?"))</f>
        <v/>
      </c>
      <c r="I969" s="39"/>
      <c r="J969" s="47" t="str">
        <f>IF(tblMovimientos[[#This Row],[Tipo]]="","",IFERROR(INDEX(tblTiposMov[FactorStock],MATCH(tblMovimientos[[#This Row],[Tipo]],tblTiposMov[Tipo],0)),0))</f>
        <v/>
      </c>
      <c r="K9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69" s="37"/>
      <c r="O969" s="37"/>
      <c r="P969" s="37"/>
    </row>
    <row r="970" spans="2:16" x14ac:dyDescent="0.25">
      <c r="B9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0" s="46"/>
      <c r="D970" s="37"/>
      <c r="E970" s="37"/>
      <c r="F970" s="37"/>
      <c r="G970" s="40" t="str">
        <f>IF(tblMovimientos[[#This Row],[Producto]]="","",TRIM(LEFT(tblMovimientos[[#This Row],[Producto]],FIND(" · ",tblMovimientos[[#This Row],[Producto]]&amp;" · ")-1)))</f>
        <v/>
      </c>
      <c r="H970" s="40" t="str">
        <f>IF(tblMovimientos[[#This Row],[SKU]]="","",IFERROR(INDEX(tblProductos[Unidad],MATCH(tblMovimientos[[#This Row],[SKU]],tblProductos[SKU],0)),"?"))</f>
        <v/>
      </c>
      <c r="I970" s="39"/>
      <c r="J970" s="47" t="str">
        <f>IF(tblMovimientos[[#This Row],[Tipo]]="","",IFERROR(INDEX(tblTiposMov[FactorStock],MATCH(tblMovimientos[[#This Row],[Tipo]],tblTiposMov[Tipo],0)),0))</f>
        <v/>
      </c>
      <c r="K9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0" s="37"/>
      <c r="O970" s="37"/>
      <c r="P970" s="37"/>
    </row>
    <row r="971" spans="2:16" x14ac:dyDescent="0.25">
      <c r="B9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1" s="46"/>
      <c r="D971" s="37"/>
      <c r="E971" s="37"/>
      <c r="F971" s="37"/>
      <c r="G971" s="40" t="str">
        <f>IF(tblMovimientos[[#This Row],[Producto]]="","",TRIM(LEFT(tblMovimientos[[#This Row],[Producto]],FIND(" · ",tblMovimientos[[#This Row],[Producto]]&amp;" · ")-1)))</f>
        <v/>
      </c>
      <c r="H971" s="40" t="str">
        <f>IF(tblMovimientos[[#This Row],[SKU]]="","",IFERROR(INDEX(tblProductos[Unidad],MATCH(tblMovimientos[[#This Row],[SKU]],tblProductos[SKU],0)),"?"))</f>
        <v/>
      </c>
      <c r="I971" s="39"/>
      <c r="J971" s="47" t="str">
        <f>IF(tblMovimientos[[#This Row],[Tipo]]="","",IFERROR(INDEX(tblTiposMov[FactorStock],MATCH(tblMovimientos[[#This Row],[Tipo]],tblTiposMov[Tipo],0)),0))</f>
        <v/>
      </c>
      <c r="K9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1" s="37"/>
      <c r="O971" s="37"/>
      <c r="P971" s="37"/>
    </row>
    <row r="972" spans="2:16" x14ac:dyDescent="0.25">
      <c r="B9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2" s="46"/>
      <c r="D972" s="37"/>
      <c r="E972" s="37"/>
      <c r="F972" s="37"/>
      <c r="G972" s="40" t="str">
        <f>IF(tblMovimientos[[#This Row],[Producto]]="","",TRIM(LEFT(tblMovimientos[[#This Row],[Producto]],FIND(" · ",tblMovimientos[[#This Row],[Producto]]&amp;" · ")-1)))</f>
        <v/>
      </c>
      <c r="H972" s="40" t="str">
        <f>IF(tblMovimientos[[#This Row],[SKU]]="","",IFERROR(INDEX(tblProductos[Unidad],MATCH(tblMovimientos[[#This Row],[SKU]],tblProductos[SKU],0)),"?"))</f>
        <v/>
      </c>
      <c r="I972" s="39"/>
      <c r="J972" s="47" t="str">
        <f>IF(tblMovimientos[[#This Row],[Tipo]]="","",IFERROR(INDEX(tblTiposMov[FactorStock],MATCH(tblMovimientos[[#This Row],[Tipo]],tblTiposMov[Tipo],0)),0))</f>
        <v/>
      </c>
      <c r="K9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2" s="37"/>
      <c r="O972" s="37"/>
      <c r="P972" s="37"/>
    </row>
    <row r="973" spans="2:16" x14ac:dyDescent="0.25">
      <c r="B9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3" s="46"/>
      <c r="D973" s="37"/>
      <c r="E973" s="37"/>
      <c r="F973" s="37"/>
      <c r="G973" s="40" t="str">
        <f>IF(tblMovimientos[[#This Row],[Producto]]="","",TRIM(LEFT(tblMovimientos[[#This Row],[Producto]],FIND(" · ",tblMovimientos[[#This Row],[Producto]]&amp;" · ")-1)))</f>
        <v/>
      </c>
      <c r="H973" s="40" t="str">
        <f>IF(tblMovimientos[[#This Row],[SKU]]="","",IFERROR(INDEX(tblProductos[Unidad],MATCH(tblMovimientos[[#This Row],[SKU]],tblProductos[SKU],0)),"?"))</f>
        <v/>
      </c>
      <c r="I973" s="39"/>
      <c r="J973" s="47" t="str">
        <f>IF(tblMovimientos[[#This Row],[Tipo]]="","",IFERROR(INDEX(tblTiposMov[FactorStock],MATCH(tblMovimientos[[#This Row],[Tipo]],tblTiposMov[Tipo],0)),0))</f>
        <v/>
      </c>
      <c r="K9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3" s="37"/>
      <c r="O973" s="37"/>
      <c r="P973" s="37"/>
    </row>
    <row r="974" spans="2:16" x14ac:dyDescent="0.25">
      <c r="B9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4" s="46"/>
      <c r="D974" s="37"/>
      <c r="E974" s="37"/>
      <c r="F974" s="37"/>
      <c r="G974" s="40" t="str">
        <f>IF(tblMovimientos[[#This Row],[Producto]]="","",TRIM(LEFT(tblMovimientos[[#This Row],[Producto]],FIND(" · ",tblMovimientos[[#This Row],[Producto]]&amp;" · ")-1)))</f>
        <v/>
      </c>
      <c r="H974" s="40" t="str">
        <f>IF(tblMovimientos[[#This Row],[SKU]]="","",IFERROR(INDEX(tblProductos[Unidad],MATCH(tblMovimientos[[#This Row],[SKU]],tblProductos[SKU],0)),"?"))</f>
        <v/>
      </c>
      <c r="I974" s="39"/>
      <c r="J974" s="47" t="str">
        <f>IF(tblMovimientos[[#This Row],[Tipo]]="","",IFERROR(INDEX(tblTiposMov[FactorStock],MATCH(tblMovimientos[[#This Row],[Tipo]],tblTiposMov[Tipo],0)),0))</f>
        <v/>
      </c>
      <c r="K9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4" s="37"/>
      <c r="O974" s="37"/>
      <c r="P974" s="37"/>
    </row>
    <row r="975" spans="2:16" x14ac:dyDescent="0.25">
      <c r="B9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5" s="46"/>
      <c r="D975" s="37"/>
      <c r="E975" s="37"/>
      <c r="F975" s="37"/>
      <c r="G975" s="40" t="str">
        <f>IF(tblMovimientos[[#This Row],[Producto]]="","",TRIM(LEFT(tblMovimientos[[#This Row],[Producto]],FIND(" · ",tblMovimientos[[#This Row],[Producto]]&amp;" · ")-1)))</f>
        <v/>
      </c>
      <c r="H975" s="40" t="str">
        <f>IF(tblMovimientos[[#This Row],[SKU]]="","",IFERROR(INDEX(tblProductos[Unidad],MATCH(tblMovimientos[[#This Row],[SKU]],tblProductos[SKU],0)),"?"))</f>
        <v/>
      </c>
      <c r="I975" s="39"/>
      <c r="J975" s="47" t="str">
        <f>IF(tblMovimientos[[#This Row],[Tipo]]="","",IFERROR(INDEX(tblTiposMov[FactorStock],MATCH(tblMovimientos[[#This Row],[Tipo]],tblTiposMov[Tipo],0)),0))</f>
        <v/>
      </c>
      <c r="K9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5" s="37"/>
      <c r="O975" s="37"/>
      <c r="P975" s="37"/>
    </row>
    <row r="976" spans="2:16" x14ac:dyDescent="0.25">
      <c r="B9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6" s="46"/>
      <c r="D976" s="37"/>
      <c r="E976" s="37"/>
      <c r="F976" s="37"/>
      <c r="G976" s="40" t="str">
        <f>IF(tblMovimientos[[#This Row],[Producto]]="","",TRIM(LEFT(tblMovimientos[[#This Row],[Producto]],FIND(" · ",tblMovimientos[[#This Row],[Producto]]&amp;" · ")-1)))</f>
        <v/>
      </c>
      <c r="H976" s="40" t="str">
        <f>IF(tblMovimientos[[#This Row],[SKU]]="","",IFERROR(INDEX(tblProductos[Unidad],MATCH(tblMovimientos[[#This Row],[SKU]],tblProductos[SKU],0)),"?"))</f>
        <v/>
      </c>
      <c r="I976" s="39"/>
      <c r="J976" s="47" t="str">
        <f>IF(tblMovimientos[[#This Row],[Tipo]]="","",IFERROR(INDEX(tblTiposMov[FactorStock],MATCH(tblMovimientos[[#This Row],[Tipo]],tblTiposMov[Tipo],0)),0))</f>
        <v/>
      </c>
      <c r="K9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6" s="37"/>
      <c r="O976" s="37"/>
      <c r="P976" s="37"/>
    </row>
    <row r="977" spans="2:16" x14ac:dyDescent="0.25">
      <c r="B9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7" s="46"/>
      <c r="D977" s="37"/>
      <c r="E977" s="37"/>
      <c r="F977" s="37"/>
      <c r="G977" s="40" t="str">
        <f>IF(tblMovimientos[[#This Row],[Producto]]="","",TRIM(LEFT(tblMovimientos[[#This Row],[Producto]],FIND(" · ",tblMovimientos[[#This Row],[Producto]]&amp;" · ")-1)))</f>
        <v/>
      </c>
      <c r="H977" s="40" t="str">
        <f>IF(tblMovimientos[[#This Row],[SKU]]="","",IFERROR(INDEX(tblProductos[Unidad],MATCH(tblMovimientos[[#This Row],[SKU]],tblProductos[SKU],0)),"?"))</f>
        <v/>
      </c>
      <c r="I977" s="39"/>
      <c r="J977" s="47" t="str">
        <f>IF(tblMovimientos[[#This Row],[Tipo]]="","",IFERROR(INDEX(tblTiposMov[FactorStock],MATCH(tblMovimientos[[#This Row],[Tipo]],tblTiposMov[Tipo],0)),0))</f>
        <v/>
      </c>
      <c r="K9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7" s="37"/>
      <c r="O977" s="37"/>
      <c r="P977" s="37"/>
    </row>
    <row r="978" spans="2:16" x14ac:dyDescent="0.25">
      <c r="B9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8" s="46"/>
      <c r="D978" s="37"/>
      <c r="E978" s="37"/>
      <c r="F978" s="37"/>
      <c r="G978" s="40" t="str">
        <f>IF(tblMovimientos[[#This Row],[Producto]]="","",TRIM(LEFT(tblMovimientos[[#This Row],[Producto]],FIND(" · ",tblMovimientos[[#This Row],[Producto]]&amp;" · ")-1)))</f>
        <v/>
      </c>
      <c r="H978" s="40" t="str">
        <f>IF(tblMovimientos[[#This Row],[SKU]]="","",IFERROR(INDEX(tblProductos[Unidad],MATCH(tblMovimientos[[#This Row],[SKU]],tblProductos[SKU],0)),"?"))</f>
        <v/>
      </c>
      <c r="I978" s="39"/>
      <c r="J978" s="47" t="str">
        <f>IF(tblMovimientos[[#This Row],[Tipo]]="","",IFERROR(INDEX(tblTiposMov[FactorStock],MATCH(tblMovimientos[[#This Row],[Tipo]],tblTiposMov[Tipo],0)),0))</f>
        <v/>
      </c>
      <c r="K9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8" s="37"/>
      <c r="O978" s="37"/>
      <c r="P978" s="37"/>
    </row>
    <row r="979" spans="2:16" x14ac:dyDescent="0.25">
      <c r="B9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79" s="46"/>
      <c r="D979" s="37"/>
      <c r="E979" s="37"/>
      <c r="F979" s="37"/>
      <c r="G979" s="40" t="str">
        <f>IF(tblMovimientos[[#This Row],[Producto]]="","",TRIM(LEFT(tblMovimientos[[#This Row],[Producto]],FIND(" · ",tblMovimientos[[#This Row],[Producto]]&amp;" · ")-1)))</f>
        <v/>
      </c>
      <c r="H979" s="40" t="str">
        <f>IF(tblMovimientos[[#This Row],[SKU]]="","",IFERROR(INDEX(tblProductos[Unidad],MATCH(tblMovimientos[[#This Row],[SKU]],tblProductos[SKU],0)),"?"))</f>
        <v/>
      </c>
      <c r="I979" s="39"/>
      <c r="J979" s="47" t="str">
        <f>IF(tblMovimientos[[#This Row],[Tipo]]="","",IFERROR(INDEX(tblTiposMov[FactorStock],MATCH(tblMovimientos[[#This Row],[Tipo]],tblTiposMov[Tipo],0)),0))</f>
        <v/>
      </c>
      <c r="K9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79" s="37"/>
      <c r="O979" s="37"/>
      <c r="P979" s="37"/>
    </row>
    <row r="980" spans="2:16" x14ac:dyDescent="0.25">
      <c r="B9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0" s="46"/>
      <c r="D980" s="37"/>
      <c r="E980" s="37"/>
      <c r="F980" s="37"/>
      <c r="G980" s="40" t="str">
        <f>IF(tblMovimientos[[#This Row],[Producto]]="","",TRIM(LEFT(tblMovimientos[[#This Row],[Producto]],FIND(" · ",tblMovimientos[[#This Row],[Producto]]&amp;" · ")-1)))</f>
        <v/>
      </c>
      <c r="H980" s="40" t="str">
        <f>IF(tblMovimientos[[#This Row],[SKU]]="","",IFERROR(INDEX(tblProductos[Unidad],MATCH(tblMovimientos[[#This Row],[SKU]],tblProductos[SKU],0)),"?"))</f>
        <v/>
      </c>
      <c r="I980" s="39"/>
      <c r="J980" s="47" t="str">
        <f>IF(tblMovimientos[[#This Row],[Tipo]]="","",IFERROR(INDEX(tblTiposMov[FactorStock],MATCH(tblMovimientos[[#This Row],[Tipo]],tblTiposMov[Tipo],0)),0))</f>
        <v/>
      </c>
      <c r="K9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0" s="37"/>
      <c r="O980" s="37"/>
      <c r="P980" s="37"/>
    </row>
    <row r="981" spans="2:16" x14ac:dyDescent="0.25">
      <c r="B9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1" s="46"/>
      <c r="D981" s="37"/>
      <c r="E981" s="37"/>
      <c r="F981" s="37"/>
      <c r="G981" s="40" t="str">
        <f>IF(tblMovimientos[[#This Row],[Producto]]="","",TRIM(LEFT(tblMovimientos[[#This Row],[Producto]],FIND(" · ",tblMovimientos[[#This Row],[Producto]]&amp;" · ")-1)))</f>
        <v/>
      </c>
      <c r="H981" s="40" t="str">
        <f>IF(tblMovimientos[[#This Row],[SKU]]="","",IFERROR(INDEX(tblProductos[Unidad],MATCH(tblMovimientos[[#This Row],[SKU]],tblProductos[SKU],0)),"?"))</f>
        <v/>
      </c>
      <c r="I981" s="39"/>
      <c r="J981" s="47" t="str">
        <f>IF(tblMovimientos[[#This Row],[Tipo]]="","",IFERROR(INDEX(tblTiposMov[FactorStock],MATCH(tblMovimientos[[#This Row],[Tipo]],tblTiposMov[Tipo],0)),0))</f>
        <v/>
      </c>
      <c r="K9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1" s="37"/>
      <c r="O981" s="37"/>
      <c r="P981" s="37"/>
    </row>
    <row r="982" spans="2:16" x14ac:dyDescent="0.25">
      <c r="B9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2" s="46"/>
      <c r="D982" s="37"/>
      <c r="E982" s="37"/>
      <c r="F982" s="37"/>
      <c r="G982" s="40" t="str">
        <f>IF(tblMovimientos[[#This Row],[Producto]]="","",TRIM(LEFT(tblMovimientos[[#This Row],[Producto]],FIND(" · ",tblMovimientos[[#This Row],[Producto]]&amp;" · ")-1)))</f>
        <v/>
      </c>
      <c r="H982" s="40" t="str">
        <f>IF(tblMovimientos[[#This Row],[SKU]]="","",IFERROR(INDEX(tblProductos[Unidad],MATCH(tblMovimientos[[#This Row],[SKU]],tblProductos[SKU],0)),"?"))</f>
        <v/>
      </c>
      <c r="I982" s="39"/>
      <c r="J982" s="47" t="str">
        <f>IF(tblMovimientos[[#This Row],[Tipo]]="","",IFERROR(INDEX(tblTiposMov[FactorStock],MATCH(tblMovimientos[[#This Row],[Tipo]],tblTiposMov[Tipo],0)),0))</f>
        <v/>
      </c>
      <c r="K9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2" s="37"/>
      <c r="O982" s="37"/>
      <c r="P982" s="37"/>
    </row>
    <row r="983" spans="2:16" x14ac:dyDescent="0.25">
      <c r="B9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3" s="46"/>
      <c r="D983" s="37"/>
      <c r="E983" s="37"/>
      <c r="F983" s="37"/>
      <c r="G983" s="40" t="str">
        <f>IF(tblMovimientos[[#This Row],[Producto]]="","",TRIM(LEFT(tblMovimientos[[#This Row],[Producto]],FIND(" · ",tblMovimientos[[#This Row],[Producto]]&amp;" · ")-1)))</f>
        <v/>
      </c>
      <c r="H983" s="40" t="str">
        <f>IF(tblMovimientos[[#This Row],[SKU]]="","",IFERROR(INDEX(tblProductos[Unidad],MATCH(tblMovimientos[[#This Row],[SKU]],tblProductos[SKU],0)),"?"))</f>
        <v/>
      </c>
      <c r="I983" s="39"/>
      <c r="J983" s="47" t="str">
        <f>IF(tblMovimientos[[#This Row],[Tipo]]="","",IFERROR(INDEX(tblTiposMov[FactorStock],MATCH(tblMovimientos[[#This Row],[Tipo]],tblTiposMov[Tipo],0)),0))</f>
        <v/>
      </c>
      <c r="K9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3" s="37"/>
      <c r="O983" s="37"/>
      <c r="P983" s="37"/>
    </row>
    <row r="984" spans="2:16" x14ac:dyDescent="0.25">
      <c r="B9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4" s="46"/>
      <c r="D984" s="37"/>
      <c r="E984" s="37"/>
      <c r="F984" s="37"/>
      <c r="G984" s="40" t="str">
        <f>IF(tblMovimientos[[#This Row],[Producto]]="","",TRIM(LEFT(tblMovimientos[[#This Row],[Producto]],FIND(" · ",tblMovimientos[[#This Row],[Producto]]&amp;" · ")-1)))</f>
        <v/>
      </c>
      <c r="H984" s="40" t="str">
        <f>IF(tblMovimientos[[#This Row],[SKU]]="","",IFERROR(INDEX(tblProductos[Unidad],MATCH(tblMovimientos[[#This Row],[SKU]],tblProductos[SKU],0)),"?"))</f>
        <v/>
      </c>
      <c r="I984" s="39"/>
      <c r="J984" s="47" t="str">
        <f>IF(tblMovimientos[[#This Row],[Tipo]]="","",IFERROR(INDEX(tblTiposMov[FactorStock],MATCH(tblMovimientos[[#This Row],[Tipo]],tblTiposMov[Tipo],0)),0))</f>
        <v/>
      </c>
      <c r="K9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4" s="37"/>
      <c r="O984" s="37"/>
      <c r="P984" s="37"/>
    </row>
    <row r="985" spans="2:16" x14ac:dyDescent="0.25">
      <c r="B9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5" s="46"/>
      <c r="D985" s="37"/>
      <c r="E985" s="37"/>
      <c r="F985" s="37"/>
      <c r="G985" s="40" t="str">
        <f>IF(tblMovimientos[[#This Row],[Producto]]="","",TRIM(LEFT(tblMovimientos[[#This Row],[Producto]],FIND(" · ",tblMovimientos[[#This Row],[Producto]]&amp;" · ")-1)))</f>
        <v/>
      </c>
      <c r="H985" s="40" t="str">
        <f>IF(tblMovimientos[[#This Row],[SKU]]="","",IFERROR(INDEX(tblProductos[Unidad],MATCH(tblMovimientos[[#This Row],[SKU]],tblProductos[SKU],0)),"?"))</f>
        <v/>
      </c>
      <c r="I985" s="39"/>
      <c r="J985" s="47" t="str">
        <f>IF(tblMovimientos[[#This Row],[Tipo]]="","",IFERROR(INDEX(tblTiposMov[FactorStock],MATCH(tblMovimientos[[#This Row],[Tipo]],tblTiposMov[Tipo],0)),0))</f>
        <v/>
      </c>
      <c r="K9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5" s="37"/>
      <c r="O985" s="37"/>
      <c r="P985" s="37"/>
    </row>
    <row r="986" spans="2:16" x14ac:dyDescent="0.25">
      <c r="B9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6" s="46"/>
      <c r="D986" s="37"/>
      <c r="E986" s="37"/>
      <c r="F986" s="37"/>
      <c r="G986" s="40" t="str">
        <f>IF(tblMovimientos[[#This Row],[Producto]]="","",TRIM(LEFT(tblMovimientos[[#This Row],[Producto]],FIND(" · ",tblMovimientos[[#This Row],[Producto]]&amp;" · ")-1)))</f>
        <v/>
      </c>
      <c r="H986" s="40" t="str">
        <f>IF(tblMovimientos[[#This Row],[SKU]]="","",IFERROR(INDEX(tblProductos[Unidad],MATCH(tblMovimientos[[#This Row],[SKU]],tblProductos[SKU],0)),"?"))</f>
        <v/>
      </c>
      <c r="I986" s="39"/>
      <c r="J986" s="47" t="str">
        <f>IF(tblMovimientos[[#This Row],[Tipo]]="","",IFERROR(INDEX(tblTiposMov[FactorStock],MATCH(tblMovimientos[[#This Row],[Tipo]],tblTiposMov[Tipo],0)),0))</f>
        <v/>
      </c>
      <c r="K9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6" s="37"/>
      <c r="O986" s="37"/>
      <c r="P986" s="37"/>
    </row>
    <row r="987" spans="2:16" x14ac:dyDescent="0.25">
      <c r="B9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7" s="46"/>
      <c r="D987" s="37"/>
      <c r="E987" s="37"/>
      <c r="F987" s="37"/>
      <c r="G987" s="40" t="str">
        <f>IF(tblMovimientos[[#This Row],[Producto]]="","",TRIM(LEFT(tblMovimientos[[#This Row],[Producto]],FIND(" · ",tblMovimientos[[#This Row],[Producto]]&amp;" · ")-1)))</f>
        <v/>
      </c>
      <c r="H987" s="40" t="str">
        <f>IF(tblMovimientos[[#This Row],[SKU]]="","",IFERROR(INDEX(tblProductos[Unidad],MATCH(tblMovimientos[[#This Row],[SKU]],tblProductos[SKU],0)),"?"))</f>
        <v/>
      </c>
      <c r="I987" s="39"/>
      <c r="J987" s="47" t="str">
        <f>IF(tblMovimientos[[#This Row],[Tipo]]="","",IFERROR(INDEX(tblTiposMov[FactorStock],MATCH(tblMovimientos[[#This Row],[Tipo]],tblTiposMov[Tipo],0)),0))</f>
        <v/>
      </c>
      <c r="K9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7" s="37"/>
      <c r="O987" s="37"/>
      <c r="P987" s="37"/>
    </row>
    <row r="988" spans="2:16" x14ac:dyDescent="0.25">
      <c r="B9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8" s="46"/>
      <c r="D988" s="37"/>
      <c r="E988" s="37"/>
      <c r="F988" s="37"/>
      <c r="G988" s="40" t="str">
        <f>IF(tblMovimientos[[#This Row],[Producto]]="","",TRIM(LEFT(tblMovimientos[[#This Row],[Producto]],FIND(" · ",tblMovimientos[[#This Row],[Producto]]&amp;" · ")-1)))</f>
        <v/>
      </c>
      <c r="H988" s="40" t="str">
        <f>IF(tblMovimientos[[#This Row],[SKU]]="","",IFERROR(INDEX(tblProductos[Unidad],MATCH(tblMovimientos[[#This Row],[SKU]],tblProductos[SKU],0)),"?"))</f>
        <v/>
      </c>
      <c r="I988" s="39"/>
      <c r="J988" s="47" t="str">
        <f>IF(tblMovimientos[[#This Row],[Tipo]]="","",IFERROR(INDEX(tblTiposMov[FactorStock],MATCH(tblMovimientos[[#This Row],[Tipo]],tblTiposMov[Tipo],0)),0))</f>
        <v/>
      </c>
      <c r="K9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8" s="37"/>
      <c r="O988" s="37"/>
      <c r="P988" s="37"/>
    </row>
    <row r="989" spans="2:16" x14ac:dyDescent="0.25">
      <c r="B9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89" s="46"/>
      <c r="D989" s="37"/>
      <c r="E989" s="37"/>
      <c r="F989" s="37"/>
      <c r="G989" s="40" t="str">
        <f>IF(tblMovimientos[[#This Row],[Producto]]="","",TRIM(LEFT(tblMovimientos[[#This Row],[Producto]],FIND(" · ",tblMovimientos[[#This Row],[Producto]]&amp;" · ")-1)))</f>
        <v/>
      </c>
      <c r="H989" s="40" t="str">
        <f>IF(tblMovimientos[[#This Row],[SKU]]="","",IFERROR(INDEX(tblProductos[Unidad],MATCH(tblMovimientos[[#This Row],[SKU]],tblProductos[SKU],0)),"?"))</f>
        <v/>
      </c>
      <c r="I989" s="39"/>
      <c r="J989" s="47" t="str">
        <f>IF(tblMovimientos[[#This Row],[Tipo]]="","",IFERROR(INDEX(tblTiposMov[FactorStock],MATCH(tblMovimientos[[#This Row],[Tipo]],tblTiposMov[Tipo],0)),0))</f>
        <v/>
      </c>
      <c r="K9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89" s="37"/>
      <c r="O989" s="37"/>
      <c r="P989" s="37"/>
    </row>
    <row r="990" spans="2:16" x14ac:dyDescent="0.25">
      <c r="B9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0" s="46"/>
      <c r="D990" s="37"/>
      <c r="E990" s="37"/>
      <c r="F990" s="37"/>
      <c r="G990" s="40" t="str">
        <f>IF(tblMovimientos[[#This Row],[Producto]]="","",TRIM(LEFT(tblMovimientos[[#This Row],[Producto]],FIND(" · ",tblMovimientos[[#This Row],[Producto]]&amp;" · ")-1)))</f>
        <v/>
      </c>
      <c r="H990" s="40" t="str">
        <f>IF(tblMovimientos[[#This Row],[SKU]]="","",IFERROR(INDEX(tblProductos[Unidad],MATCH(tblMovimientos[[#This Row],[SKU]],tblProductos[SKU],0)),"?"))</f>
        <v/>
      </c>
      <c r="I990" s="39"/>
      <c r="J990" s="47" t="str">
        <f>IF(tblMovimientos[[#This Row],[Tipo]]="","",IFERROR(INDEX(tblTiposMov[FactorStock],MATCH(tblMovimientos[[#This Row],[Tipo]],tblTiposMov[Tipo],0)),0))</f>
        <v/>
      </c>
      <c r="K9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0" s="37"/>
      <c r="O990" s="37"/>
      <c r="P990" s="37"/>
    </row>
    <row r="991" spans="2:16" x14ac:dyDescent="0.25">
      <c r="B9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1" s="46"/>
      <c r="D991" s="37"/>
      <c r="E991" s="37"/>
      <c r="F991" s="37"/>
      <c r="G991" s="40" t="str">
        <f>IF(tblMovimientos[[#This Row],[Producto]]="","",TRIM(LEFT(tblMovimientos[[#This Row],[Producto]],FIND(" · ",tblMovimientos[[#This Row],[Producto]]&amp;" · ")-1)))</f>
        <v/>
      </c>
      <c r="H991" s="40" t="str">
        <f>IF(tblMovimientos[[#This Row],[SKU]]="","",IFERROR(INDEX(tblProductos[Unidad],MATCH(tblMovimientos[[#This Row],[SKU]],tblProductos[SKU],0)),"?"))</f>
        <v/>
      </c>
      <c r="I991" s="39"/>
      <c r="J991" s="47" t="str">
        <f>IF(tblMovimientos[[#This Row],[Tipo]]="","",IFERROR(INDEX(tblTiposMov[FactorStock],MATCH(tblMovimientos[[#This Row],[Tipo]],tblTiposMov[Tipo],0)),0))</f>
        <v/>
      </c>
      <c r="K9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1" s="37"/>
      <c r="O991" s="37"/>
      <c r="P991" s="37"/>
    </row>
    <row r="992" spans="2:16" x14ac:dyDescent="0.25">
      <c r="B9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2" s="46"/>
      <c r="D992" s="37"/>
      <c r="E992" s="37"/>
      <c r="F992" s="37"/>
      <c r="G992" s="40" t="str">
        <f>IF(tblMovimientos[[#This Row],[Producto]]="","",TRIM(LEFT(tblMovimientos[[#This Row],[Producto]],FIND(" · ",tblMovimientos[[#This Row],[Producto]]&amp;" · ")-1)))</f>
        <v/>
      </c>
      <c r="H992" s="40" t="str">
        <f>IF(tblMovimientos[[#This Row],[SKU]]="","",IFERROR(INDEX(tblProductos[Unidad],MATCH(tblMovimientos[[#This Row],[SKU]],tblProductos[SKU],0)),"?"))</f>
        <v/>
      </c>
      <c r="I992" s="39"/>
      <c r="J992" s="47" t="str">
        <f>IF(tblMovimientos[[#This Row],[Tipo]]="","",IFERROR(INDEX(tblTiposMov[FactorStock],MATCH(tblMovimientos[[#This Row],[Tipo]],tblTiposMov[Tipo],0)),0))</f>
        <v/>
      </c>
      <c r="K9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2" s="37"/>
      <c r="O992" s="37"/>
      <c r="P992" s="37"/>
    </row>
    <row r="993" spans="2:16" x14ac:dyDescent="0.25">
      <c r="B9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3" s="46"/>
      <c r="D993" s="37"/>
      <c r="E993" s="37"/>
      <c r="F993" s="37"/>
      <c r="G993" s="40" t="str">
        <f>IF(tblMovimientos[[#This Row],[Producto]]="","",TRIM(LEFT(tblMovimientos[[#This Row],[Producto]],FIND(" · ",tblMovimientos[[#This Row],[Producto]]&amp;" · ")-1)))</f>
        <v/>
      </c>
      <c r="H993" s="40" t="str">
        <f>IF(tblMovimientos[[#This Row],[SKU]]="","",IFERROR(INDEX(tblProductos[Unidad],MATCH(tblMovimientos[[#This Row],[SKU]],tblProductos[SKU],0)),"?"))</f>
        <v/>
      </c>
      <c r="I993" s="39"/>
      <c r="J993" s="47" t="str">
        <f>IF(tblMovimientos[[#This Row],[Tipo]]="","",IFERROR(INDEX(tblTiposMov[FactorStock],MATCH(tblMovimientos[[#This Row],[Tipo]],tblTiposMov[Tipo],0)),0))</f>
        <v/>
      </c>
      <c r="K9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3" s="37"/>
      <c r="O993" s="37"/>
      <c r="P993" s="37"/>
    </row>
    <row r="994" spans="2:16" x14ac:dyDescent="0.25">
      <c r="B9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4" s="46"/>
      <c r="D994" s="37"/>
      <c r="E994" s="37"/>
      <c r="F994" s="37"/>
      <c r="G994" s="40" t="str">
        <f>IF(tblMovimientos[[#This Row],[Producto]]="","",TRIM(LEFT(tblMovimientos[[#This Row],[Producto]],FIND(" · ",tblMovimientos[[#This Row],[Producto]]&amp;" · ")-1)))</f>
        <v/>
      </c>
      <c r="H994" s="40" t="str">
        <f>IF(tblMovimientos[[#This Row],[SKU]]="","",IFERROR(INDEX(tblProductos[Unidad],MATCH(tblMovimientos[[#This Row],[SKU]],tblProductos[SKU],0)),"?"))</f>
        <v/>
      </c>
      <c r="I994" s="39"/>
      <c r="J994" s="47" t="str">
        <f>IF(tblMovimientos[[#This Row],[Tipo]]="","",IFERROR(INDEX(tblTiposMov[FactorStock],MATCH(tblMovimientos[[#This Row],[Tipo]],tblTiposMov[Tipo],0)),0))</f>
        <v/>
      </c>
      <c r="K9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4" s="37"/>
      <c r="O994" s="37"/>
      <c r="P994" s="37"/>
    </row>
    <row r="995" spans="2:16" x14ac:dyDescent="0.25">
      <c r="B9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5" s="46"/>
      <c r="D995" s="37"/>
      <c r="E995" s="37"/>
      <c r="F995" s="37"/>
      <c r="G995" s="40" t="str">
        <f>IF(tblMovimientos[[#This Row],[Producto]]="","",TRIM(LEFT(tblMovimientos[[#This Row],[Producto]],FIND(" · ",tblMovimientos[[#This Row],[Producto]]&amp;" · ")-1)))</f>
        <v/>
      </c>
      <c r="H995" s="40" t="str">
        <f>IF(tblMovimientos[[#This Row],[SKU]]="","",IFERROR(INDEX(tblProductos[Unidad],MATCH(tblMovimientos[[#This Row],[SKU]],tblProductos[SKU],0)),"?"))</f>
        <v/>
      </c>
      <c r="I995" s="39"/>
      <c r="J995" s="47" t="str">
        <f>IF(tblMovimientos[[#This Row],[Tipo]]="","",IFERROR(INDEX(tblTiposMov[FactorStock],MATCH(tblMovimientos[[#This Row],[Tipo]],tblTiposMov[Tipo],0)),0))</f>
        <v/>
      </c>
      <c r="K9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5" s="37"/>
      <c r="O995" s="37"/>
      <c r="P995" s="37"/>
    </row>
    <row r="996" spans="2:16" x14ac:dyDescent="0.25">
      <c r="B9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6" s="46"/>
      <c r="D996" s="37"/>
      <c r="E996" s="37"/>
      <c r="F996" s="37"/>
      <c r="G996" s="40" t="str">
        <f>IF(tblMovimientos[[#This Row],[Producto]]="","",TRIM(LEFT(tblMovimientos[[#This Row],[Producto]],FIND(" · ",tblMovimientos[[#This Row],[Producto]]&amp;" · ")-1)))</f>
        <v/>
      </c>
      <c r="H996" s="40" t="str">
        <f>IF(tblMovimientos[[#This Row],[SKU]]="","",IFERROR(INDEX(tblProductos[Unidad],MATCH(tblMovimientos[[#This Row],[SKU]],tblProductos[SKU],0)),"?"))</f>
        <v/>
      </c>
      <c r="I996" s="39"/>
      <c r="J996" s="47" t="str">
        <f>IF(tblMovimientos[[#This Row],[Tipo]]="","",IFERROR(INDEX(tblTiposMov[FactorStock],MATCH(tblMovimientos[[#This Row],[Tipo]],tblTiposMov[Tipo],0)),0))</f>
        <v/>
      </c>
      <c r="K9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6" s="37"/>
      <c r="O996" s="37"/>
      <c r="P996" s="37"/>
    </row>
    <row r="997" spans="2:16" x14ac:dyDescent="0.25">
      <c r="B9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7" s="46"/>
      <c r="D997" s="37"/>
      <c r="E997" s="37"/>
      <c r="F997" s="37"/>
      <c r="G997" s="40" t="str">
        <f>IF(tblMovimientos[[#This Row],[Producto]]="","",TRIM(LEFT(tblMovimientos[[#This Row],[Producto]],FIND(" · ",tblMovimientos[[#This Row],[Producto]]&amp;" · ")-1)))</f>
        <v/>
      </c>
      <c r="H997" s="40" t="str">
        <f>IF(tblMovimientos[[#This Row],[SKU]]="","",IFERROR(INDEX(tblProductos[Unidad],MATCH(tblMovimientos[[#This Row],[SKU]],tblProductos[SKU],0)),"?"))</f>
        <v/>
      </c>
      <c r="I997" s="39"/>
      <c r="J997" s="47" t="str">
        <f>IF(tblMovimientos[[#This Row],[Tipo]]="","",IFERROR(INDEX(tblTiposMov[FactorStock],MATCH(tblMovimientos[[#This Row],[Tipo]],tblTiposMov[Tipo],0)),0))</f>
        <v/>
      </c>
      <c r="K9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7" s="37"/>
      <c r="O997" s="37"/>
      <c r="P997" s="37"/>
    </row>
    <row r="998" spans="2:16" x14ac:dyDescent="0.25">
      <c r="B9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8" s="46"/>
      <c r="D998" s="37"/>
      <c r="E998" s="37"/>
      <c r="F998" s="37"/>
      <c r="G998" s="40" t="str">
        <f>IF(tblMovimientos[[#This Row],[Producto]]="","",TRIM(LEFT(tblMovimientos[[#This Row],[Producto]],FIND(" · ",tblMovimientos[[#This Row],[Producto]]&amp;" · ")-1)))</f>
        <v/>
      </c>
      <c r="H998" s="40" t="str">
        <f>IF(tblMovimientos[[#This Row],[SKU]]="","",IFERROR(INDEX(tblProductos[Unidad],MATCH(tblMovimientos[[#This Row],[SKU]],tblProductos[SKU],0)),"?"))</f>
        <v/>
      </c>
      <c r="I998" s="39"/>
      <c r="J998" s="47" t="str">
        <f>IF(tblMovimientos[[#This Row],[Tipo]]="","",IFERROR(INDEX(tblTiposMov[FactorStock],MATCH(tblMovimientos[[#This Row],[Tipo]],tblTiposMov[Tipo],0)),0))</f>
        <v/>
      </c>
      <c r="K9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8" s="37"/>
      <c r="O998" s="37"/>
      <c r="P998" s="37"/>
    </row>
    <row r="999" spans="2:16" x14ac:dyDescent="0.25">
      <c r="B9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999" s="46"/>
      <c r="D999" s="37"/>
      <c r="E999" s="37"/>
      <c r="F999" s="37"/>
      <c r="G999" s="40" t="str">
        <f>IF(tblMovimientos[[#This Row],[Producto]]="","",TRIM(LEFT(tblMovimientos[[#This Row],[Producto]],FIND(" · ",tblMovimientos[[#This Row],[Producto]]&amp;" · ")-1)))</f>
        <v/>
      </c>
      <c r="H999" s="40" t="str">
        <f>IF(tblMovimientos[[#This Row],[SKU]]="","",IFERROR(INDEX(tblProductos[Unidad],MATCH(tblMovimientos[[#This Row],[SKU]],tblProductos[SKU],0)),"?"))</f>
        <v/>
      </c>
      <c r="I999" s="39"/>
      <c r="J999" s="47" t="str">
        <f>IF(tblMovimientos[[#This Row],[Tipo]]="","",IFERROR(INDEX(tblTiposMov[FactorStock],MATCH(tblMovimientos[[#This Row],[Tipo]],tblTiposMov[Tipo],0)),0))</f>
        <v/>
      </c>
      <c r="K9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9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999" s="37"/>
      <c r="O999" s="37"/>
      <c r="P999" s="37"/>
    </row>
    <row r="1000" spans="2:16" x14ac:dyDescent="0.25">
      <c r="B10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0" s="46"/>
      <c r="D1000" s="37"/>
      <c r="E1000" s="37"/>
      <c r="F1000" s="37"/>
      <c r="G1000" s="40" t="str">
        <f>IF(tblMovimientos[[#This Row],[Producto]]="","",TRIM(LEFT(tblMovimientos[[#This Row],[Producto]],FIND(" · ",tblMovimientos[[#This Row],[Producto]]&amp;" · ")-1)))</f>
        <v/>
      </c>
      <c r="H1000" s="40" t="str">
        <f>IF(tblMovimientos[[#This Row],[SKU]]="","",IFERROR(INDEX(tblProductos[Unidad],MATCH(tblMovimientos[[#This Row],[SKU]],tblProductos[SKU],0)),"?"))</f>
        <v/>
      </c>
      <c r="I1000" s="39"/>
      <c r="J1000" s="47" t="str">
        <f>IF(tblMovimientos[[#This Row],[Tipo]]="","",IFERROR(INDEX(tblTiposMov[FactorStock],MATCH(tblMovimientos[[#This Row],[Tipo]],tblTiposMov[Tipo],0)),0))</f>
        <v/>
      </c>
      <c r="K10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0" s="37"/>
      <c r="O1000" s="37"/>
      <c r="P1000" s="37"/>
    </row>
    <row r="1001" spans="2:16" x14ac:dyDescent="0.25">
      <c r="B10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1" s="46"/>
      <c r="D1001" s="37"/>
      <c r="E1001" s="37"/>
      <c r="F1001" s="37"/>
      <c r="G1001" s="40" t="str">
        <f>IF(tblMovimientos[[#This Row],[Producto]]="","",TRIM(LEFT(tblMovimientos[[#This Row],[Producto]],FIND(" · ",tblMovimientos[[#This Row],[Producto]]&amp;" · ")-1)))</f>
        <v/>
      </c>
      <c r="H1001" s="40" t="str">
        <f>IF(tblMovimientos[[#This Row],[SKU]]="","",IFERROR(INDEX(tblProductos[Unidad],MATCH(tblMovimientos[[#This Row],[SKU]],tblProductos[SKU],0)),"?"))</f>
        <v/>
      </c>
      <c r="I1001" s="39"/>
      <c r="J1001" s="47" t="str">
        <f>IF(tblMovimientos[[#This Row],[Tipo]]="","",IFERROR(INDEX(tblTiposMov[FactorStock],MATCH(tblMovimientos[[#This Row],[Tipo]],tblTiposMov[Tipo],0)),0))</f>
        <v/>
      </c>
      <c r="K10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1" s="37"/>
      <c r="O1001" s="37"/>
      <c r="P1001" s="37"/>
    </row>
    <row r="1002" spans="2:16" x14ac:dyDescent="0.25">
      <c r="B10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2" s="46"/>
      <c r="D1002" s="37"/>
      <c r="E1002" s="37"/>
      <c r="F1002" s="37"/>
      <c r="G1002" s="40" t="str">
        <f>IF(tblMovimientos[[#This Row],[Producto]]="","",TRIM(LEFT(tblMovimientos[[#This Row],[Producto]],FIND(" · ",tblMovimientos[[#This Row],[Producto]]&amp;" · ")-1)))</f>
        <v/>
      </c>
      <c r="H1002" s="40" t="str">
        <f>IF(tblMovimientos[[#This Row],[SKU]]="","",IFERROR(INDEX(tblProductos[Unidad],MATCH(tblMovimientos[[#This Row],[SKU]],tblProductos[SKU],0)),"?"))</f>
        <v/>
      </c>
      <c r="I1002" s="39"/>
      <c r="J1002" s="47" t="str">
        <f>IF(tblMovimientos[[#This Row],[Tipo]]="","",IFERROR(INDEX(tblTiposMov[FactorStock],MATCH(tblMovimientos[[#This Row],[Tipo]],tblTiposMov[Tipo],0)),0))</f>
        <v/>
      </c>
      <c r="K10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2" s="37"/>
      <c r="O1002" s="37"/>
      <c r="P1002" s="37"/>
    </row>
    <row r="1003" spans="2:16" x14ac:dyDescent="0.25">
      <c r="B10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3" s="46"/>
      <c r="D1003" s="37"/>
      <c r="E1003" s="37"/>
      <c r="F1003" s="37"/>
      <c r="G1003" s="40" t="str">
        <f>IF(tblMovimientos[[#This Row],[Producto]]="","",TRIM(LEFT(tblMovimientos[[#This Row],[Producto]],FIND(" · ",tblMovimientos[[#This Row],[Producto]]&amp;" · ")-1)))</f>
        <v/>
      </c>
      <c r="H1003" s="40" t="str">
        <f>IF(tblMovimientos[[#This Row],[SKU]]="","",IFERROR(INDEX(tblProductos[Unidad],MATCH(tblMovimientos[[#This Row],[SKU]],tblProductos[SKU],0)),"?"))</f>
        <v/>
      </c>
      <c r="I1003" s="39"/>
      <c r="J1003" s="47" t="str">
        <f>IF(tblMovimientos[[#This Row],[Tipo]]="","",IFERROR(INDEX(tblTiposMov[FactorStock],MATCH(tblMovimientos[[#This Row],[Tipo]],tblTiposMov[Tipo],0)),0))</f>
        <v/>
      </c>
      <c r="K10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3" s="37"/>
      <c r="O1003" s="37"/>
      <c r="P1003" s="37"/>
    </row>
    <row r="1004" spans="2:16" x14ac:dyDescent="0.25">
      <c r="B10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4" s="46"/>
      <c r="D1004" s="37"/>
      <c r="E1004" s="37"/>
      <c r="F1004" s="37"/>
      <c r="G1004" s="40" t="str">
        <f>IF(tblMovimientos[[#This Row],[Producto]]="","",TRIM(LEFT(tblMovimientos[[#This Row],[Producto]],FIND(" · ",tblMovimientos[[#This Row],[Producto]]&amp;" · ")-1)))</f>
        <v/>
      </c>
      <c r="H1004" s="40" t="str">
        <f>IF(tblMovimientos[[#This Row],[SKU]]="","",IFERROR(INDEX(tblProductos[Unidad],MATCH(tblMovimientos[[#This Row],[SKU]],tblProductos[SKU],0)),"?"))</f>
        <v/>
      </c>
      <c r="I1004" s="39"/>
      <c r="J1004" s="47" t="str">
        <f>IF(tblMovimientos[[#This Row],[Tipo]]="","",IFERROR(INDEX(tblTiposMov[FactorStock],MATCH(tblMovimientos[[#This Row],[Tipo]],tblTiposMov[Tipo],0)),0))</f>
        <v/>
      </c>
      <c r="K10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4" s="37"/>
      <c r="O1004" s="37"/>
      <c r="P1004" s="37"/>
    </row>
    <row r="1005" spans="2:16" x14ac:dyDescent="0.25">
      <c r="B10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5" s="46"/>
      <c r="D1005" s="37"/>
      <c r="E1005" s="37"/>
      <c r="F1005" s="37"/>
      <c r="G1005" s="40" t="str">
        <f>IF(tblMovimientos[[#This Row],[Producto]]="","",TRIM(LEFT(tblMovimientos[[#This Row],[Producto]],FIND(" · ",tblMovimientos[[#This Row],[Producto]]&amp;" · ")-1)))</f>
        <v/>
      </c>
      <c r="H1005" s="40" t="str">
        <f>IF(tblMovimientos[[#This Row],[SKU]]="","",IFERROR(INDEX(tblProductos[Unidad],MATCH(tblMovimientos[[#This Row],[SKU]],tblProductos[SKU],0)),"?"))</f>
        <v/>
      </c>
      <c r="I1005" s="39"/>
      <c r="J1005" s="47" t="str">
        <f>IF(tblMovimientos[[#This Row],[Tipo]]="","",IFERROR(INDEX(tblTiposMov[FactorStock],MATCH(tblMovimientos[[#This Row],[Tipo]],tblTiposMov[Tipo],0)),0))</f>
        <v/>
      </c>
      <c r="K10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5" s="37"/>
      <c r="O1005" s="37"/>
      <c r="P1005" s="37"/>
    </row>
    <row r="1006" spans="2:16" x14ac:dyDescent="0.25">
      <c r="B10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6" s="46"/>
      <c r="D1006" s="37"/>
      <c r="E1006" s="37"/>
      <c r="F1006" s="37"/>
      <c r="G1006" s="40" t="str">
        <f>IF(tblMovimientos[[#This Row],[Producto]]="","",TRIM(LEFT(tblMovimientos[[#This Row],[Producto]],FIND(" · ",tblMovimientos[[#This Row],[Producto]]&amp;" · ")-1)))</f>
        <v/>
      </c>
      <c r="H1006" s="40" t="str">
        <f>IF(tblMovimientos[[#This Row],[SKU]]="","",IFERROR(INDEX(tblProductos[Unidad],MATCH(tblMovimientos[[#This Row],[SKU]],tblProductos[SKU],0)),"?"))</f>
        <v/>
      </c>
      <c r="I1006" s="39"/>
      <c r="J1006" s="47" t="str">
        <f>IF(tblMovimientos[[#This Row],[Tipo]]="","",IFERROR(INDEX(tblTiposMov[FactorStock],MATCH(tblMovimientos[[#This Row],[Tipo]],tblTiposMov[Tipo],0)),0))</f>
        <v/>
      </c>
      <c r="K10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6" s="37"/>
      <c r="O1006" s="37"/>
      <c r="P1006" s="37"/>
    </row>
    <row r="1007" spans="2:16" x14ac:dyDescent="0.25">
      <c r="B10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7" s="46"/>
      <c r="D1007" s="37"/>
      <c r="E1007" s="37"/>
      <c r="F1007" s="37"/>
      <c r="G1007" s="40" t="str">
        <f>IF(tblMovimientos[[#This Row],[Producto]]="","",TRIM(LEFT(tblMovimientos[[#This Row],[Producto]],FIND(" · ",tblMovimientos[[#This Row],[Producto]]&amp;" · ")-1)))</f>
        <v/>
      </c>
      <c r="H1007" s="40" t="str">
        <f>IF(tblMovimientos[[#This Row],[SKU]]="","",IFERROR(INDEX(tblProductos[Unidad],MATCH(tblMovimientos[[#This Row],[SKU]],tblProductos[SKU],0)),"?"))</f>
        <v/>
      </c>
      <c r="I1007" s="39"/>
      <c r="J1007" s="47" t="str">
        <f>IF(tblMovimientos[[#This Row],[Tipo]]="","",IFERROR(INDEX(tblTiposMov[FactorStock],MATCH(tblMovimientos[[#This Row],[Tipo]],tblTiposMov[Tipo],0)),0))</f>
        <v/>
      </c>
      <c r="K10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7" s="37"/>
      <c r="O1007" s="37"/>
      <c r="P1007" s="37"/>
    </row>
    <row r="1008" spans="2:16" x14ac:dyDescent="0.25">
      <c r="B10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8" s="46"/>
      <c r="D1008" s="37"/>
      <c r="E1008" s="37"/>
      <c r="F1008" s="37"/>
      <c r="G1008" s="40" t="str">
        <f>IF(tblMovimientos[[#This Row],[Producto]]="","",TRIM(LEFT(tblMovimientos[[#This Row],[Producto]],FIND(" · ",tblMovimientos[[#This Row],[Producto]]&amp;" · ")-1)))</f>
        <v/>
      </c>
      <c r="H1008" s="40" t="str">
        <f>IF(tblMovimientos[[#This Row],[SKU]]="","",IFERROR(INDEX(tblProductos[Unidad],MATCH(tblMovimientos[[#This Row],[SKU]],tblProductos[SKU],0)),"?"))</f>
        <v/>
      </c>
      <c r="I1008" s="39"/>
      <c r="J1008" s="47" t="str">
        <f>IF(tblMovimientos[[#This Row],[Tipo]]="","",IFERROR(INDEX(tblTiposMov[FactorStock],MATCH(tblMovimientos[[#This Row],[Tipo]],tblTiposMov[Tipo],0)),0))</f>
        <v/>
      </c>
      <c r="K10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8" s="37"/>
      <c r="O1008" s="37"/>
      <c r="P1008" s="37"/>
    </row>
    <row r="1009" spans="2:16" x14ac:dyDescent="0.25">
      <c r="B10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09" s="46"/>
      <c r="D1009" s="37"/>
      <c r="E1009" s="37"/>
      <c r="F1009" s="37"/>
      <c r="G1009" s="40" t="str">
        <f>IF(tblMovimientos[[#This Row],[Producto]]="","",TRIM(LEFT(tblMovimientos[[#This Row],[Producto]],FIND(" · ",tblMovimientos[[#This Row],[Producto]]&amp;" · ")-1)))</f>
        <v/>
      </c>
      <c r="H1009" s="40" t="str">
        <f>IF(tblMovimientos[[#This Row],[SKU]]="","",IFERROR(INDEX(tblProductos[Unidad],MATCH(tblMovimientos[[#This Row],[SKU]],tblProductos[SKU],0)),"?"))</f>
        <v/>
      </c>
      <c r="I1009" s="39"/>
      <c r="J1009" s="47" t="str">
        <f>IF(tblMovimientos[[#This Row],[Tipo]]="","",IFERROR(INDEX(tblTiposMov[FactorStock],MATCH(tblMovimientos[[#This Row],[Tipo]],tblTiposMov[Tipo],0)),0))</f>
        <v/>
      </c>
      <c r="K10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09" s="37"/>
      <c r="O1009" s="37"/>
      <c r="P1009" s="37"/>
    </row>
    <row r="1010" spans="2:16" x14ac:dyDescent="0.25">
      <c r="B10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0" s="46"/>
      <c r="D1010" s="37"/>
      <c r="E1010" s="37"/>
      <c r="F1010" s="37"/>
      <c r="G1010" s="40" t="str">
        <f>IF(tblMovimientos[[#This Row],[Producto]]="","",TRIM(LEFT(tblMovimientos[[#This Row],[Producto]],FIND(" · ",tblMovimientos[[#This Row],[Producto]]&amp;" · ")-1)))</f>
        <v/>
      </c>
      <c r="H1010" s="40" t="str">
        <f>IF(tblMovimientos[[#This Row],[SKU]]="","",IFERROR(INDEX(tblProductos[Unidad],MATCH(tblMovimientos[[#This Row],[SKU]],tblProductos[SKU],0)),"?"))</f>
        <v/>
      </c>
      <c r="I1010" s="39"/>
      <c r="J1010" s="47" t="str">
        <f>IF(tblMovimientos[[#This Row],[Tipo]]="","",IFERROR(INDEX(tblTiposMov[FactorStock],MATCH(tblMovimientos[[#This Row],[Tipo]],tblTiposMov[Tipo],0)),0))</f>
        <v/>
      </c>
      <c r="K10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0" s="37"/>
      <c r="O1010" s="37"/>
      <c r="P1010" s="37"/>
    </row>
    <row r="1011" spans="2:16" x14ac:dyDescent="0.25">
      <c r="B10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1" s="46"/>
      <c r="D1011" s="37"/>
      <c r="E1011" s="37"/>
      <c r="F1011" s="37"/>
      <c r="G1011" s="40" t="str">
        <f>IF(tblMovimientos[[#This Row],[Producto]]="","",TRIM(LEFT(tblMovimientos[[#This Row],[Producto]],FIND(" · ",tblMovimientos[[#This Row],[Producto]]&amp;" · ")-1)))</f>
        <v/>
      </c>
      <c r="H1011" s="40" t="str">
        <f>IF(tblMovimientos[[#This Row],[SKU]]="","",IFERROR(INDEX(tblProductos[Unidad],MATCH(tblMovimientos[[#This Row],[SKU]],tblProductos[SKU],0)),"?"))</f>
        <v/>
      </c>
      <c r="I1011" s="39"/>
      <c r="J1011" s="47" t="str">
        <f>IF(tblMovimientos[[#This Row],[Tipo]]="","",IFERROR(INDEX(tblTiposMov[FactorStock],MATCH(tblMovimientos[[#This Row],[Tipo]],tblTiposMov[Tipo],0)),0))</f>
        <v/>
      </c>
      <c r="K10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1" s="37"/>
      <c r="O1011" s="37"/>
      <c r="P1011" s="37"/>
    </row>
    <row r="1012" spans="2:16" x14ac:dyDescent="0.25">
      <c r="B10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2" s="46"/>
      <c r="D1012" s="37"/>
      <c r="E1012" s="37"/>
      <c r="F1012" s="37"/>
      <c r="G1012" s="40" t="str">
        <f>IF(tblMovimientos[[#This Row],[Producto]]="","",TRIM(LEFT(tblMovimientos[[#This Row],[Producto]],FIND(" · ",tblMovimientos[[#This Row],[Producto]]&amp;" · ")-1)))</f>
        <v/>
      </c>
      <c r="H1012" s="40" t="str">
        <f>IF(tblMovimientos[[#This Row],[SKU]]="","",IFERROR(INDEX(tblProductos[Unidad],MATCH(tblMovimientos[[#This Row],[SKU]],tblProductos[SKU],0)),"?"))</f>
        <v/>
      </c>
      <c r="I1012" s="39"/>
      <c r="J1012" s="47" t="str">
        <f>IF(tblMovimientos[[#This Row],[Tipo]]="","",IFERROR(INDEX(tblTiposMov[FactorStock],MATCH(tblMovimientos[[#This Row],[Tipo]],tblTiposMov[Tipo],0)),0))</f>
        <v/>
      </c>
      <c r="K10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2" s="37"/>
      <c r="O1012" s="37"/>
      <c r="P1012" s="37"/>
    </row>
    <row r="1013" spans="2:16" x14ac:dyDescent="0.25">
      <c r="B10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3" s="46"/>
      <c r="D1013" s="37"/>
      <c r="E1013" s="37"/>
      <c r="F1013" s="37"/>
      <c r="G1013" s="40" t="str">
        <f>IF(tblMovimientos[[#This Row],[Producto]]="","",TRIM(LEFT(tblMovimientos[[#This Row],[Producto]],FIND(" · ",tblMovimientos[[#This Row],[Producto]]&amp;" · ")-1)))</f>
        <v/>
      </c>
      <c r="H1013" s="40" t="str">
        <f>IF(tblMovimientos[[#This Row],[SKU]]="","",IFERROR(INDEX(tblProductos[Unidad],MATCH(tblMovimientos[[#This Row],[SKU]],tblProductos[SKU],0)),"?"))</f>
        <v/>
      </c>
      <c r="I1013" s="39"/>
      <c r="J1013" s="47" t="str">
        <f>IF(tblMovimientos[[#This Row],[Tipo]]="","",IFERROR(INDEX(tblTiposMov[FactorStock],MATCH(tblMovimientos[[#This Row],[Tipo]],tblTiposMov[Tipo],0)),0))</f>
        <v/>
      </c>
      <c r="K10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3" s="37"/>
      <c r="O1013" s="37"/>
      <c r="P1013" s="37"/>
    </row>
    <row r="1014" spans="2:16" x14ac:dyDescent="0.25">
      <c r="B10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4" s="46"/>
      <c r="D1014" s="37"/>
      <c r="E1014" s="37"/>
      <c r="F1014" s="37"/>
      <c r="G1014" s="40" t="str">
        <f>IF(tblMovimientos[[#This Row],[Producto]]="","",TRIM(LEFT(tblMovimientos[[#This Row],[Producto]],FIND(" · ",tblMovimientos[[#This Row],[Producto]]&amp;" · ")-1)))</f>
        <v/>
      </c>
      <c r="H1014" s="40" t="str">
        <f>IF(tblMovimientos[[#This Row],[SKU]]="","",IFERROR(INDEX(tblProductos[Unidad],MATCH(tblMovimientos[[#This Row],[SKU]],tblProductos[SKU],0)),"?"))</f>
        <v/>
      </c>
      <c r="I1014" s="39"/>
      <c r="J1014" s="47" t="str">
        <f>IF(tblMovimientos[[#This Row],[Tipo]]="","",IFERROR(INDEX(tblTiposMov[FactorStock],MATCH(tblMovimientos[[#This Row],[Tipo]],tblTiposMov[Tipo],0)),0))</f>
        <v/>
      </c>
      <c r="K10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4" s="37"/>
      <c r="O1014" s="37"/>
      <c r="P1014" s="37"/>
    </row>
    <row r="1015" spans="2:16" x14ac:dyDescent="0.25">
      <c r="B10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5" s="46"/>
      <c r="D1015" s="37"/>
      <c r="E1015" s="37"/>
      <c r="F1015" s="37"/>
      <c r="G1015" s="40" t="str">
        <f>IF(tblMovimientos[[#This Row],[Producto]]="","",TRIM(LEFT(tblMovimientos[[#This Row],[Producto]],FIND(" · ",tblMovimientos[[#This Row],[Producto]]&amp;" · ")-1)))</f>
        <v/>
      </c>
      <c r="H1015" s="40" t="str">
        <f>IF(tblMovimientos[[#This Row],[SKU]]="","",IFERROR(INDEX(tblProductos[Unidad],MATCH(tblMovimientos[[#This Row],[SKU]],tblProductos[SKU],0)),"?"))</f>
        <v/>
      </c>
      <c r="I1015" s="39"/>
      <c r="J1015" s="47" t="str">
        <f>IF(tblMovimientos[[#This Row],[Tipo]]="","",IFERROR(INDEX(tblTiposMov[FactorStock],MATCH(tblMovimientos[[#This Row],[Tipo]],tblTiposMov[Tipo],0)),0))</f>
        <v/>
      </c>
      <c r="K10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5" s="37"/>
      <c r="O1015" s="37"/>
      <c r="P1015" s="37"/>
    </row>
    <row r="1016" spans="2:16" x14ac:dyDescent="0.25">
      <c r="B10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6" s="46"/>
      <c r="D1016" s="37"/>
      <c r="E1016" s="37"/>
      <c r="F1016" s="37"/>
      <c r="G1016" s="40" t="str">
        <f>IF(tblMovimientos[[#This Row],[Producto]]="","",TRIM(LEFT(tblMovimientos[[#This Row],[Producto]],FIND(" · ",tblMovimientos[[#This Row],[Producto]]&amp;" · ")-1)))</f>
        <v/>
      </c>
      <c r="H1016" s="40" t="str">
        <f>IF(tblMovimientos[[#This Row],[SKU]]="","",IFERROR(INDEX(tblProductos[Unidad],MATCH(tblMovimientos[[#This Row],[SKU]],tblProductos[SKU],0)),"?"))</f>
        <v/>
      </c>
      <c r="I1016" s="39"/>
      <c r="J1016" s="47" t="str">
        <f>IF(tblMovimientos[[#This Row],[Tipo]]="","",IFERROR(INDEX(tblTiposMov[FactorStock],MATCH(tblMovimientos[[#This Row],[Tipo]],tblTiposMov[Tipo],0)),0))</f>
        <v/>
      </c>
      <c r="K10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6" s="37"/>
      <c r="O1016" s="37"/>
      <c r="P1016" s="37"/>
    </row>
    <row r="1017" spans="2:16" x14ac:dyDescent="0.25">
      <c r="B10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7" s="46"/>
      <c r="D1017" s="37"/>
      <c r="E1017" s="37"/>
      <c r="F1017" s="37"/>
      <c r="G1017" s="40" t="str">
        <f>IF(tblMovimientos[[#This Row],[Producto]]="","",TRIM(LEFT(tblMovimientos[[#This Row],[Producto]],FIND(" · ",tblMovimientos[[#This Row],[Producto]]&amp;" · ")-1)))</f>
        <v/>
      </c>
      <c r="H1017" s="40" t="str">
        <f>IF(tblMovimientos[[#This Row],[SKU]]="","",IFERROR(INDEX(tblProductos[Unidad],MATCH(tblMovimientos[[#This Row],[SKU]],tblProductos[SKU],0)),"?"))</f>
        <v/>
      </c>
      <c r="I1017" s="39"/>
      <c r="J1017" s="47" t="str">
        <f>IF(tblMovimientos[[#This Row],[Tipo]]="","",IFERROR(INDEX(tblTiposMov[FactorStock],MATCH(tblMovimientos[[#This Row],[Tipo]],tblTiposMov[Tipo],0)),0))</f>
        <v/>
      </c>
      <c r="K10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7" s="37"/>
      <c r="O1017" s="37"/>
      <c r="P1017" s="37"/>
    </row>
    <row r="1018" spans="2:16" x14ac:dyDescent="0.25">
      <c r="B10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8" s="46"/>
      <c r="D1018" s="37"/>
      <c r="E1018" s="37"/>
      <c r="F1018" s="37"/>
      <c r="G1018" s="40" t="str">
        <f>IF(tblMovimientos[[#This Row],[Producto]]="","",TRIM(LEFT(tblMovimientos[[#This Row],[Producto]],FIND(" · ",tblMovimientos[[#This Row],[Producto]]&amp;" · ")-1)))</f>
        <v/>
      </c>
      <c r="H1018" s="40" t="str">
        <f>IF(tblMovimientos[[#This Row],[SKU]]="","",IFERROR(INDEX(tblProductos[Unidad],MATCH(tblMovimientos[[#This Row],[SKU]],tblProductos[SKU],0)),"?"))</f>
        <v/>
      </c>
      <c r="I1018" s="39"/>
      <c r="J1018" s="47" t="str">
        <f>IF(tblMovimientos[[#This Row],[Tipo]]="","",IFERROR(INDEX(tblTiposMov[FactorStock],MATCH(tblMovimientos[[#This Row],[Tipo]],tblTiposMov[Tipo],0)),0))</f>
        <v/>
      </c>
      <c r="K10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8" s="37"/>
      <c r="O1018" s="37"/>
      <c r="P1018" s="37"/>
    </row>
    <row r="1019" spans="2:16" x14ac:dyDescent="0.25">
      <c r="B10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19" s="46"/>
      <c r="D1019" s="37"/>
      <c r="E1019" s="37"/>
      <c r="F1019" s="37"/>
      <c r="G1019" s="40" t="str">
        <f>IF(tblMovimientos[[#This Row],[Producto]]="","",TRIM(LEFT(tblMovimientos[[#This Row],[Producto]],FIND(" · ",tblMovimientos[[#This Row],[Producto]]&amp;" · ")-1)))</f>
        <v/>
      </c>
      <c r="H1019" s="40" t="str">
        <f>IF(tblMovimientos[[#This Row],[SKU]]="","",IFERROR(INDEX(tblProductos[Unidad],MATCH(tblMovimientos[[#This Row],[SKU]],tblProductos[SKU],0)),"?"))</f>
        <v/>
      </c>
      <c r="I1019" s="39"/>
      <c r="J1019" s="47" t="str">
        <f>IF(tblMovimientos[[#This Row],[Tipo]]="","",IFERROR(INDEX(tblTiposMov[FactorStock],MATCH(tblMovimientos[[#This Row],[Tipo]],tblTiposMov[Tipo],0)),0))</f>
        <v/>
      </c>
      <c r="K10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19" s="37"/>
      <c r="O1019" s="37"/>
      <c r="P1019" s="37"/>
    </row>
    <row r="1020" spans="2:16" x14ac:dyDescent="0.25">
      <c r="B10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0" s="46"/>
      <c r="D1020" s="37"/>
      <c r="E1020" s="37"/>
      <c r="F1020" s="37"/>
      <c r="G1020" s="40" t="str">
        <f>IF(tblMovimientos[[#This Row],[Producto]]="","",TRIM(LEFT(tblMovimientos[[#This Row],[Producto]],FIND(" · ",tblMovimientos[[#This Row],[Producto]]&amp;" · ")-1)))</f>
        <v/>
      </c>
      <c r="H1020" s="40" t="str">
        <f>IF(tblMovimientos[[#This Row],[SKU]]="","",IFERROR(INDEX(tblProductos[Unidad],MATCH(tblMovimientos[[#This Row],[SKU]],tblProductos[SKU],0)),"?"))</f>
        <v/>
      </c>
      <c r="I1020" s="39"/>
      <c r="J1020" s="47" t="str">
        <f>IF(tblMovimientos[[#This Row],[Tipo]]="","",IFERROR(INDEX(tblTiposMov[FactorStock],MATCH(tblMovimientos[[#This Row],[Tipo]],tblTiposMov[Tipo],0)),0))</f>
        <v/>
      </c>
      <c r="K10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0" s="37"/>
      <c r="O1020" s="37"/>
      <c r="P1020" s="37"/>
    </row>
    <row r="1021" spans="2:16" x14ac:dyDescent="0.25">
      <c r="B10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1" s="46"/>
      <c r="D1021" s="37"/>
      <c r="E1021" s="37"/>
      <c r="F1021" s="37"/>
      <c r="G1021" s="40" t="str">
        <f>IF(tblMovimientos[[#This Row],[Producto]]="","",TRIM(LEFT(tblMovimientos[[#This Row],[Producto]],FIND(" · ",tblMovimientos[[#This Row],[Producto]]&amp;" · ")-1)))</f>
        <v/>
      </c>
      <c r="H1021" s="40" t="str">
        <f>IF(tblMovimientos[[#This Row],[SKU]]="","",IFERROR(INDEX(tblProductos[Unidad],MATCH(tblMovimientos[[#This Row],[SKU]],tblProductos[SKU],0)),"?"))</f>
        <v/>
      </c>
      <c r="I1021" s="39"/>
      <c r="J1021" s="47" t="str">
        <f>IF(tblMovimientos[[#This Row],[Tipo]]="","",IFERROR(INDEX(tblTiposMov[FactorStock],MATCH(tblMovimientos[[#This Row],[Tipo]],tblTiposMov[Tipo],0)),0))</f>
        <v/>
      </c>
      <c r="K10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1" s="37"/>
      <c r="O1021" s="37"/>
      <c r="P1021" s="37"/>
    </row>
    <row r="1022" spans="2:16" x14ac:dyDescent="0.25">
      <c r="B10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2" s="46"/>
      <c r="D1022" s="37"/>
      <c r="E1022" s="37"/>
      <c r="F1022" s="37"/>
      <c r="G1022" s="40" t="str">
        <f>IF(tblMovimientos[[#This Row],[Producto]]="","",TRIM(LEFT(tblMovimientos[[#This Row],[Producto]],FIND(" · ",tblMovimientos[[#This Row],[Producto]]&amp;" · ")-1)))</f>
        <v/>
      </c>
      <c r="H1022" s="40" t="str">
        <f>IF(tblMovimientos[[#This Row],[SKU]]="","",IFERROR(INDEX(tblProductos[Unidad],MATCH(tblMovimientos[[#This Row],[SKU]],tblProductos[SKU],0)),"?"))</f>
        <v/>
      </c>
      <c r="I1022" s="39"/>
      <c r="J1022" s="47" t="str">
        <f>IF(tblMovimientos[[#This Row],[Tipo]]="","",IFERROR(INDEX(tblTiposMov[FactorStock],MATCH(tblMovimientos[[#This Row],[Tipo]],tblTiposMov[Tipo],0)),0))</f>
        <v/>
      </c>
      <c r="K10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2" s="37"/>
      <c r="O1022" s="37"/>
      <c r="P1022" s="37"/>
    </row>
    <row r="1023" spans="2:16" x14ac:dyDescent="0.25">
      <c r="B10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3" s="46"/>
      <c r="D1023" s="37"/>
      <c r="E1023" s="37"/>
      <c r="F1023" s="37"/>
      <c r="G1023" s="40" t="str">
        <f>IF(tblMovimientos[[#This Row],[Producto]]="","",TRIM(LEFT(tblMovimientos[[#This Row],[Producto]],FIND(" · ",tblMovimientos[[#This Row],[Producto]]&amp;" · ")-1)))</f>
        <v/>
      </c>
      <c r="H1023" s="40" t="str">
        <f>IF(tblMovimientos[[#This Row],[SKU]]="","",IFERROR(INDEX(tblProductos[Unidad],MATCH(tblMovimientos[[#This Row],[SKU]],tblProductos[SKU],0)),"?"))</f>
        <v/>
      </c>
      <c r="I1023" s="39"/>
      <c r="J1023" s="47" t="str">
        <f>IF(tblMovimientos[[#This Row],[Tipo]]="","",IFERROR(INDEX(tblTiposMov[FactorStock],MATCH(tblMovimientos[[#This Row],[Tipo]],tblTiposMov[Tipo],0)),0))</f>
        <v/>
      </c>
      <c r="K10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3" s="37"/>
      <c r="O1023" s="37"/>
      <c r="P1023" s="37"/>
    </row>
    <row r="1024" spans="2:16" x14ac:dyDescent="0.25">
      <c r="B10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4" s="46"/>
      <c r="D1024" s="37"/>
      <c r="E1024" s="37"/>
      <c r="F1024" s="37"/>
      <c r="G1024" s="40" t="str">
        <f>IF(tblMovimientos[[#This Row],[Producto]]="","",TRIM(LEFT(tblMovimientos[[#This Row],[Producto]],FIND(" · ",tblMovimientos[[#This Row],[Producto]]&amp;" · ")-1)))</f>
        <v/>
      </c>
      <c r="H1024" s="40" t="str">
        <f>IF(tblMovimientos[[#This Row],[SKU]]="","",IFERROR(INDEX(tblProductos[Unidad],MATCH(tblMovimientos[[#This Row],[SKU]],tblProductos[SKU],0)),"?"))</f>
        <v/>
      </c>
      <c r="I1024" s="39"/>
      <c r="J1024" s="47" t="str">
        <f>IF(tblMovimientos[[#This Row],[Tipo]]="","",IFERROR(INDEX(tblTiposMov[FactorStock],MATCH(tblMovimientos[[#This Row],[Tipo]],tblTiposMov[Tipo],0)),0))</f>
        <v/>
      </c>
      <c r="K10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4" s="37"/>
      <c r="O1024" s="37"/>
      <c r="P1024" s="37"/>
    </row>
    <row r="1025" spans="2:16" x14ac:dyDescent="0.25">
      <c r="B10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5" s="46"/>
      <c r="D1025" s="37"/>
      <c r="E1025" s="37"/>
      <c r="F1025" s="37"/>
      <c r="G1025" s="40" t="str">
        <f>IF(tblMovimientos[[#This Row],[Producto]]="","",TRIM(LEFT(tblMovimientos[[#This Row],[Producto]],FIND(" · ",tblMovimientos[[#This Row],[Producto]]&amp;" · ")-1)))</f>
        <v/>
      </c>
      <c r="H1025" s="40" t="str">
        <f>IF(tblMovimientos[[#This Row],[SKU]]="","",IFERROR(INDEX(tblProductos[Unidad],MATCH(tblMovimientos[[#This Row],[SKU]],tblProductos[SKU],0)),"?"))</f>
        <v/>
      </c>
      <c r="I1025" s="39"/>
      <c r="J1025" s="47" t="str">
        <f>IF(tblMovimientos[[#This Row],[Tipo]]="","",IFERROR(INDEX(tblTiposMov[FactorStock],MATCH(tblMovimientos[[#This Row],[Tipo]],tblTiposMov[Tipo],0)),0))</f>
        <v/>
      </c>
      <c r="K10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5" s="37"/>
      <c r="O1025" s="37"/>
      <c r="P1025" s="37"/>
    </row>
    <row r="1026" spans="2:16" x14ac:dyDescent="0.25">
      <c r="B10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6" s="46"/>
      <c r="D1026" s="37"/>
      <c r="E1026" s="37"/>
      <c r="F1026" s="37"/>
      <c r="G1026" s="40" t="str">
        <f>IF(tblMovimientos[[#This Row],[Producto]]="","",TRIM(LEFT(tblMovimientos[[#This Row],[Producto]],FIND(" · ",tblMovimientos[[#This Row],[Producto]]&amp;" · ")-1)))</f>
        <v/>
      </c>
      <c r="H1026" s="40" t="str">
        <f>IF(tblMovimientos[[#This Row],[SKU]]="","",IFERROR(INDEX(tblProductos[Unidad],MATCH(tblMovimientos[[#This Row],[SKU]],tblProductos[SKU],0)),"?"))</f>
        <v/>
      </c>
      <c r="I1026" s="39"/>
      <c r="J1026" s="47" t="str">
        <f>IF(tblMovimientos[[#This Row],[Tipo]]="","",IFERROR(INDEX(tblTiposMov[FactorStock],MATCH(tblMovimientos[[#This Row],[Tipo]],tblTiposMov[Tipo],0)),0))</f>
        <v/>
      </c>
      <c r="K10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6" s="37"/>
      <c r="O1026" s="37"/>
      <c r="P1026" s="37"/>
    </row>
    <row r="1027" spans="2:16" x14ac:dyDescent="0.25">
      <c r="B10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7" s="46"/>
      <c r="D1027" s="37"/>
      <c r="E1027" s="37"/>
      <c r="F1027" s="37"/>
      <c r="G1027" s="40" t="str">
        <f>IF(tblMovimientos[[#This Row],[Producto]]="","",TRIM(LEFT(tblMovimientos[[#This Row],[Producto]],FIND(" · ",tblMovimientos[[#This Row],[Producto]]&amp;" · ")-1)))</f>
        <v/>
      </c>
      <c r="H1027" s="40" t="str">
        <f>IF(tblMovimientos[[#This Row],[SKU]]="","",IFERROR(INDEX(tblProductos[Unidad],MATCH(tblMovimientos[[#This Row],[SKU]],tblProductos[SKU],0)),"?"))</f>
        <v/>
      </c>
      <c r="I1027" s="39"/>
      <c r="J1027" s="47" t="str">
        <f>IF(tblMovimientos[[#This Row],[Tipo]]="","",IFERROR(INDEX(tblTiposMov[FactorStock],MATCH(tblMovimientos[[#This Row],[Tipo]],tblTiposMov[Tipo],0)),0))</f>
        <v/>
      </c>
      <c r="K10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7" s="37"/>
      <c r="O1027" s="37"/>
      <c r="P1027" s="37"/>
    </row>
    <row r="1028" spans="2:16" x14ac:dyDescent="0.25">
      <c r="B10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8" s="46"/>
      <c r="D1028" s="37"/>
      <c r="E1028" s="37"/>
      <c r="F1028" s="37"/>
      <c r="G1028" s="40" t="str">
        <f>IF(tblMovimientos[[#This Row],[Producto]]="","",TRIM(LEFT(tblMovimientos[[#This Row],[Producto]],FIND(" · ",tblMovimientos[[#This Row],[Producto]]&amp;" · ")-1)))</f>
        <v/>
      </c>
      <c r="H1028" s="40" t="str">
        <f>IF(tblMovimientos[[#This Row],[SKU]]="","",IFERROR(INDEX(tblProductos[Unidad],MATCH(tblMovimientos[[#This Row],[SKU]],tblProductos[SKU],0)),"?"))</f>
        <v/>
      </c>
      <c r="I1028" s="39"/>
      <c r="J1028" s="47" t="str">
        <f>IF(tblMovimientos[[#This Row],[Tipo]]="","",IFERROR(INDEX(tblTiposMov[FactorStock],MATCH(tblMovimientos[[#This Row],[Tipo]],tblTiposMov[Tipo],0)),0))</f>
        <v/>
      </c>
      <c r="K10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8" s="37"/>
      <c r="O1028" s="37"/>
      <c r="P1028" s="37"/>
    </row>
    <row r="1029" spans="2:16" x14ac:dyDescent="0.25">
      <c r="B10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29" s="46"/>
      <c r="D1029" s="37"/>
      <c r="E1029" s="37"/>
      <c r="F1029" s="37"/>
      <c r="G1029" s="40" t="str">
        <f>IF(tblMovimientos[[#This Row],[Producto]]="","",TRIM(LEFT(tblMovimientos[[#This Row],[Producto]],FIND(" · ",tblMovimientos[[#This Row],[Producto]]&amp;" · ")-1)))</f>
        <v/>
      </c>
      <c r="H1029" s="40" t="str">
        <f>IF(tblMovimientos[[#This Row],[SKU]]="","",IFERROR(INDEX(tblProductos[Unidad],MATCH(tblMovimientos[[#This Row],[SKU]],tblProductos[SKU],0)),"?"))</f>
        <v/>
      </c>
      <c r="I1029" s="39"/>
      <c r="J1029" s="47" t="str">
        <f>IF(tblMovimientos[[#This Row],[Tipo]]="","",IFERROR(INDEX(tblTiposMov[FactorStock],MATCH(tblMovimientos[[#This Row],[Tipo]],tblTiposMov[Tipo],0)),0))</f>
        <v/>
      </c>
      <c r="K10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29" s="37"/>
      <c r="O1029" s="37"/>
      <c r="P1029" s="37"/>
    </row>
    <row r="1030" spans="2:16" x14ac:dyDescent="0.25">
      <c r="B10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0" s="46"/>
      <c r="D1030" s="37"/>
      <c r="E1030" s="37"/>
      <c r="F1030" s="37"/>
      <c r="G1030" s="40" t="str">
        <f>IF(tblMovimientos[[#This Row],[Producto]]="","",TRIM(LEFT(tblMovimientos[[#This Row],[Producto]],FIND(" · ",tblMovimientos[[#This Row],[Producto]]&amp;" · ")-1)))</f>
        <v/>
      </c>
      <c r="H1030" s="40" t="str">
        <f>IF(tblMovimientos[[#This Row],[SKU]]="","",IFERROR(INDEX(tblProductos[Unidad],MATCH(tblMovimientos[[#This Row],[SKU]],tblProductos[SKU],0)),"?"))</f>
        <v/>
      </c>
      <c r="I1030" s="39"/>
      <c r="J1030" s="47" t="str">
        <f>IF(tblMovimientos[[#This Row],[Tipo]]="","",IFERROR(INDEX(tblTiposMov[FactorStock],MATCH(tblMovimientos[[#This Row],[Tipo]],tblTiposMov[Tipo],0)),0))</f>
        <v/>
      </c>
      <c r="K10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0" s="37"/>
      <c r="O1030" s="37"/>
      <c r="P1030" s="37"/>
    </row>
    <row r="1031" spans="2:16" x14ac:dyDescent="0.25">
      <c r="B10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1" s="46"/>
      <c r="D1031" s="37"/>
      <c r="E1031" s="37"/>
      <c r="F1031" s="37"/>
      <c r="G1031" s="40" t="str">
        <f>IF(tblMovimientos[[#This Row],[Producto]]="","",TRIM(LEFT(tblMovimientos[[#This Row],[Producto]],FIND(" · ",tblMovimientos[[#This Row],[Producto]]&amp;" · ")-1)))</f>
        <v/>
      </c>
      <c r="H1031" s="40" t="str">
        <f>IF(tblMovimientos[[#This Row],[SKU]]="","",IFERROR(INDEX(tblProductos[Unidad],MATCH(tblMovimientos[[#This Row],[SKU]],tblProductos[SKU],0)),"?"))</f>
        <v/>
      </c>
      <c r="I1031" s="39"/>
      <c r="J1031" s="47" t="str">
        <f>IF(tblMovimientos[[#This Row],[Tipo]]="","",IFERROR(INDEX(tblTiposMov[FactorStock],MATCH(tblMovimientos[[#This Row],[Tipo]],tblTiposMov[Tipo],0)),0))</f>
        <v/>
      </c>
      <c r="K10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1" s="37"/>
      <c r="O1031" s="37"/>
      <c r="P1031" s="37"/>
    </row>
    <row r="1032" spans="2:16" x14ac:dyDescent="0.25">
      <c r="B10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2" s="46"/>
      <c r="D1032" s="37"/>
      <c r="E1032" s="37"/>
      <c r="F1032" s="37"/>
      <c r="G1032" s="40" t="str">
        <f>IF(tblMovimientos[[#This Row],[Producto]]="","",TRIM(LEFT(tblMovimientos[[#This Row],[Producto]],FIND(" · ",tblMovimientos[[#This Row],[Producto]]&amp;" · ")-1)))</f>
        <v/>
      </c>
      <c r="H1032" s="40" t="str">
        <f>IF(tblMovimientos[[#This Row],[SKU]]="","",IFERROR(INDEX(tblProductos[Unidad],MATCH(tblMovimientos[[#This Row],[SKU]],tblProductos[SKU],0)),"?"))</f>
        <v/>
      </c>
      <c r="I1032" s="39"/>
      <c r="J1032" s="47" t="str">
        <f>IF(tblMovimientos[[#This Row],[Tipo]]="","",IFERROR(INDEX(tblTiposMov[FactorStock],MATCH(tblMovimientos[[#This Row],[Tipo]],tblTiposMov[Tipo],0)),0))</f>
        <v/>
      </c>
      <c r="K10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2" s="37"/>
      <c r="O1032" s="37"/>
      <c r="P1032" s="37"/>
    </row>
    <row r="1033" spans="2:16" x14ac:dyDescent="0.25">
      <c r="B10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3" s="46"/>
      <c r="D1033" s="37"/>
      <c r="E1033" s="37"/>
      <c r="F1033" s="37"/>
      <c r="G1033" s="40" t="str">
        <f>IF(tblMovimientos[[#This Row],[Producto]]="","",TRIM(LEFT(tblMovimientos[[#This Row],[Producto]],FIND(" · ",tblMovimientos[[#This Row],[Producto]]&amp;" · ")-1)))</f>
        <v/>
      </c>
      <c r="H1033" s="40" t="str">
        <f>IF(tblMovimientos[[#This Row],[SKU]]="","",IFERROR(INDEX(tblProductos[Unidad],MATCH(tblMovimientos[[#This Row],[SKU]],tblProductos[SKU],0)),"?"))</f>
        <v/>
      </c>
      <c r="I1033" s="39"/>
      <c r="J1033" s="47" t="str">
        <f>IF(tblMovimientos[[#This Row],[Tipo]]="","",IFERROR(INDEX(tblTiposMov[FactorStock],MATCH(tblMovimientos[[#This Row],[Tipo]],tblTiposMov[Tipo],0)),0))</f>
        <v/>
      </c>
      <c r="K10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3" s="37"/>
      <c r="O1033" s="37"/>
      <c r="P1033" s="37"/>
    </row>
    <row r="1034" spans="2:16" x14ac:dyDescent="0.25">
      <c r="B10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4" s="46"/>
      <c r="D1034" s="37"/>
      <c r="E1034" s="37"/>
      <c r="F1034" s="37"/>
      <c r="G1034" s="40" t="str">
        <f>IF(tblMovimientos[[#This Row],[Producto]]="","",TRIM(LEFT(tblMovimientos[[#This Row],[Producto]],FIND(" · ",tblMovimientos[[#This Row],[Producto]]&amp;" · ")-1)))</f>
        <v/>
      </c>
      <c r="H1034" s="40" t="str">
        <f>IF(tblMovimientos[[#This Row],[SKU]]="","",IFERROR(INDEX(tblProductos[Unidad],MATCH(tblMovimientos[[#This Row],[SKU]],tblProductos[SKU],0)),"?"))</f>
        <v/>
      </c>
      <c r="I1034" s="39"/>
      <c r="J1034" s="47" t="str">
        <f>IF(tblMovimientos[[#This Row],[Tipo]]="","",IFERROR(INDEX(tblTiposMov[FactorStock],MATCH(tblMovimientos[[#This Row],[Tipo]],tblTiposMov[Tipo],0)),0))</f>
        <v/>
      </c>
      <c r="K10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4" s="37"/>
      <c r="O1034" s="37"/>
      <c r="P1034" s="37"/>
    </row>
    <row r="1035" spans="2:16" x14ac:dyDescent="0.25">
      <c r="B10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5" s="46"/>
      <c r="D1035" s="37"/>
      <c r="E1035" s="37"/>
      <c r="F1035" s="37"/>
      <c r="G1035" s="40" t="str">
        <f>IF(tblMovimientos[[#This Row],[Producto]]="","",TRIM(LEFT(tblMovimientos[[#This Row],[Producto]],FIND(" · ",tblMovimientos[[#This Row],[Producto]]&amp;" · ")-1)))</f>
        <v/>
      </c>
      <c r="H1035" s="40" t="str">
        <f>IF(tblMovimientos[[#This Row],[SKU]]="","",IFERROR(INDEX(tblProductos[Unidad],MATCH(tblMovimientos[[#This Row],[SKU]],tblProductos[SKU],0)),"?"))</f>
        <v/>
      </c>
      <c r="I1035" s="39"/>
      <c r="J1035" s="47" t="str">
        <f>IF(tblMovimientos[[#This Row],[Tipo]]="","",IFERROR(INDEX(tblTiposMov[FactorStock],MATCH(tblMovimientos[[#This Row],[Tipo]],tblTiposMov[Tipo],0)),0))</f>
        <v/>
      </c>
      <c r="K10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5" s="37"/>
      <c r="O1035" s="37"/>
      <c r="P1035" s="37"/>
    </row>
    <row r="1036" spans="2:16" x14ac:dyDescent="0.25">
      <c r="B10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6" s="46"/>
      <c r="D1036" s="37"/>
      <c r="E1036" s="37"/>
      <c r="F1036" s="37"/>
      <c r="G1036" s="40" t="str">
        <f>IF(tblMovimientos[[#This Row],[Producto]]="","",TRIM(LEFT(tblMovimientos[[#This Row],[Producto]],FIND(" · ",tblMovimientos[[#This Row],[Producto]]&amp;" · ")-1)))</f>
        <v/>
      </c>
      <c r="H1036" s="40" t="str">
        <f>IF(tblMovimientos[[#This Row],[SKU]]="","",IFERROR(INDEX(tblProductos[Unidad],MATCH(tblMovimientos[[#This Row],[SKU]],tblProductos[SKU],0)),"?"))</f>
        <v/>
      </c>
      <c r="I1036" s="39"/>
      <c r="J1036" s="47" t="str">
        <f>IF(tblMovimientos[[#This Row],[Tipo]]="","",IFERROR(INDEX(tblTiposMov[FactorStock],MATCH(tblMovimientos[[#This Row],[Tipo]],tblTiposMov[Tipo],0)),0))</f>
        <v/>
      </c>
      <c r="K10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6" s="37"/>
      <c r="O1036" s="37"/>
      <c r="P1036" s="37"/>
    </row>
    <row r="1037" spans="2:16" x14ac:dyDescent="0.25">
      <c r="B10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7" s="46"/>
      <c r="D1037" s="37"/>
      <c r="E1037" s="37"/>
      <c r="F1037" s="37"/>
      <c r="G1037" s="40" t="str">
        <f>IF(tblMovimientos[[#This Row],[Producto]]="","",TRIM(LEFT(tblMovimientos[[#This Row],[Producto]],FIND(" · ",tblMovimientos[[#This Row],[Producto]]&amp;" · ")-1)))</f>
        <v/>
      </c>
      <c r="H1037" s="40" t="str">
        <f>IF(tblMovimientos[[#This Row],[SKU]]="","",IFERROR(INDEX(tblProductos[Unidad],MATCH(tblMovimientos[[#This Row],[SKU]],tblProductos[SKU],0)),"?"))</f>
        <v/>
      </c>
      <c r="I1037" s="39"/>
      <c r="J1037" s="47" t="str">
        <f>IF(tblMovimientos[[#This Row],[Tipo]]="","",IFERROR(INDEX(tblTiposMov[FactorStock],MATCH(tblMovimientos[[#This Row],[Tipo]],tblTiposMov[Tipo],0)),0))</f>
        <v/>
      </c>
      <c r="K10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7" s="37"/>
      <c r="O1037" s="37"/>
      <c r="P1037" s="37"/>
    </row>
    <row r="1038" spans="2:16" x14ac:dyDescent="0.25">
      <c r="B10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8" s="46"/>
      <c r="D1038" s="37"/>
      <c r="E1038" s="37"/>
      <c r="F1038" s="37"/>
      <c r="G1038" s="40" t="str">
        <f>IF(tblMovimientos[[#This Row],[Producto]]="","",TRIM(LEFT(tblMovimientos[[#This Row],[Producto]],FIND(" · ",tblMovimientos[[#This Row],[Producto]]&amp;" · ")-1)))</f>
        <v/>
      </c>
      <c r="H1038" s="40" t="str">
        <f>IF(tblMovimientos[[#This Row],[SKU]]="","",IFERROR(INDEX(tblProductos[Unidad],MATCH(tblMovimientos[[#This Row],[SKU]],tblProductos[SKU],0)),"?"))</f>
        <v/>
      </c>
      <c r="I1038" s="39"/>
      <c r="J1038" s="47" t="str">
        <f>IF(tblMovimientos[[#This Row],[Tipo]]="","",IFERROR(INDEX(tblTiposMov[FactorStock],MATCH(tblMovimientos[[#This Row],[Tipo]],tblTiposMov[Tipo],0)),0))</f>
        <v/>
      </c>
      <c r="K10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8" s="37"/>
      <c r="O1038" s="37"/>
      <c r="P1038" s="37"/>
    </row>
    <row r="1039" spans="2:16" x14ac:dyDescent="0.25">
      <c r="B10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39" s="46"/>
      <c r="D1039" s="37"/>
      <c r="E1039" s="37"/>
      <c r="F1039" s="37"/>
      <c r="G1039" s="40" t="str">
        <f>IF(tblMovimientos[[#This Row],[Producto]]="","",TRIM(LEFT(tblMovimientos[[#This Row],[Producto]],FIND(" · ",tblMovimientos[[#This Row],[Producto]]&amp;" · ")-1)))</f>
        <v/>
      </c>
      <c r="H1039" s="40" t="str">
        <f>IF(tblMovimientos[[#This Row],[SKU]]="","",IFERROR(INDEX(tblProductos[Unidad],MATCH(tblMovimientos[[#This Row],[SKU]],tblProductos[SKU],0)),"?"))</f>
        <v/>
      </c>
      <c r="I1039" s="39"/>
      <c r="J1039" s="47" t="str">
        <f>IF(tblMovimientos[[#This Row],[Tipo]]="","",IFERROR(INDEX(tblTiposMov[FactorStock],MATCH(tblMovimientos[[#This Row],[Tipo]],tblTiposMov[Tipo],0)),0))</f>
        <v/>
      </c>
      <c r="K10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39" s="37"/>
      <c r="O1039" s="37"/>
      <c r="P1039" s="37"/>
    </row>
    <row r="1040" spans="2:16" x14ac:dyDescent="0.25">
      <c r="B10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0" s="46"/>
      <c r="D1040" s="37"/>
      <c r="E1040" s="37"/>
      <c r="F1040" s="37"/>
      <c r="G1040" s="40" t="str">
        <f>IF(tblMovimientos[[#This Row],[Producto]]="","",TRIM(LEFT(tblMovimientos[[#This Row],[Producto]],FIND(" · ",tblMovimientos[[#This Row],[Producto]]&amp;" · ")-1)))</f>
        <v/>
      </c>
      <c r="H1040" s="40" t="str">
        <f>IF(tblMovimientos[[#This Row],[SKU]]="","",IFERROR(INDEX(tblProductos[Unidad],MATCH(tblMovimientos[[#This Row],[SKU]],tblProductos[SKU],0)),"?"))</f>
        <v/>
      </c>
      <c r="I1040" s="39"/>
      <c r="J1040" s="47" t="str">
        <f>IF(tblMovimientos[[#This Row],[Tipo]]="","",IFERROR(INDEX(tblTiposMov[FactorStock],MATCH(tblMovimientos[[#This Row],[Tipo]],tblTiposMov[Tipo],0)),0))</f>
        <v/>
      </c>
      <c r="K10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0" s="37"/>
      <c r="O1040" s="37"/>
      <c r="P1040" s="37"/>
    </row>
    <row r="1041" spans="2:16" x14ac:dyDescent="0.25">
      <c r="B10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1" s="46"/>
      <c r="D1041" s="37"/>
      <c r="E1041" s="37"/>
      <c r="F1041" s="37"/>
      <c r="G1041" s="40" t="str">
        <f>IF(tblMovimientos[[#This Row],[Producto]]="","",TRIM(LEFT(tblMovimientos[[#This Row],[Producto]],FIND(" · ",tblMovimientos[[#This Row],[Producto]]&amp;" · ")-1)))</f>
        <v/>
      </c>
      <c r="H1041" s="40" t="str">
        <f>IF(tblMovimientos[[#This Row],[SKU]]="","",IFERROR(INDEX(tblProductos[Unidad],MATCH(tblMovimientos[[#This Row],[SKU]],tblProductos[SKU],0)),"?"))</f>
        <v/>
      </c>
      <c r="I1041" s="39"/>
      <c r="J1041" s="47" t="str">
        <f>IF(tblMovimientos[[#This Row],[Tipo]]="","",IFERROR(INDEX(tblTiposMov[FactorStock],MATCH(tblMovimientos[[#This Row],[Tipo]],tblTiposMov[Tipo],0)),0))</f>
        <v/>
      </c>
      <c r="K10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1" s="37"/>
      <c r="O1041" s="37"/>
      <c r="P1041" s="37"/>
    </row>
    <row r="1042" spans="2:16" x14ac:dyDescent="0.25">
      <c r="B10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2" s="46"/>
      <c r="D1042" s="37"/>
      <c r="E1042" s="37"/>
      <c r="F1042" s="37"/>
      <c r="G1042" s="40" t="str">
        <f>IF(tblMovimientos[[#This Row],[Producto]]="","",TRIM(LEFT(tblMovimientos[[#This Row],[Producto]],FIND(" · ",tblMovimientos[[#This Row],[Producto]]&amp;" · ")-1)))</f>
        <v/>
      </c>
      <c r="H1042" s="40" t="str">
        <f>IF(tblMovimientos[[#This Row],[SKU]]="","",IFERROR(INDEX(tblProductos[Unidad],MATCH(tblMovimientos[[#This Row],[SKU]],tblProductos[SKU],0)),"?"))</f>
        <v/>
      </c>
      <c r="I1042" s="39"/>
      <c r="J1042" s="47" t="str">
        <f>IF(tblMovimientos[[#This Row],[Tipo]]="","",IFERROR(INDEX(tblTiposMov[FactorStock],MATCH(tblMovimientos[[#This Row],[Tipo]],tblTiposMov[Tipo],0)),0))</f>
        <v/>
      </c>
      <c r="K10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2" s="37"/>
      <c r="O1042" s="37"/>
      <c r="P1042" s="37"/>
    </row>
    <row r="1043" spans="2:16" x14ac:dyDescent="0.25">
      <c r="B10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3" s="46"/>
      <c r="D1043" s="37"/>
      <c r="E1043" s="37"/>
      <c r="F1043" s="37"/>
      <c r="G1043" s="40" t="str">
        <f>IF(tblMovimientos[[#This Row],[Producto]]="","",TRIM(LEFT(tblMovimientos[[#This Row],[Producto]],FIND(" · ",tblMovimientos[[#This Row],[Producto]]&amp;" · ")-1)))</f>
        <v/>
      </c>
      <c r="H1043" s="40" t="str">
        <f>IF(tblMovimientos[[#This Row],[SKU]]="","",IFERROR(INDEX(tblProductos[Unidad],MATCH(tblMovimientos[[#This Row],[SKU]],tblProductos[SKU],0)),"?"))</f>
        <v/>
      </c>
      <c r="I1043" s="39"/>
      <c r="J1043" s="47" t="str">
        <f>IF(tblMovimientos[[#This Row],[Tipo]]="","",IFERROR(INDEX(tblTiposMov[FactorStock],MATCH(tblMovimientos[[#This Row],[Tipo]],tblTiposMov[Tipo],0)),0))</f>
        <v/>
      </c>
      <c r="K10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3" s="37"/>
      <c r="O1043" s="37"/>
      <c r="P1043" s="37"/>
    </row>
    <row r="1044" spans="2:16" x14ac:dyDescent="0.25">
      <c r="B10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4" s="46"/>
      <c r="D1044" s="37"/>
      <c r="E1044" s="37"/>
      <c r="F1044" s="37"/>
      <c r="G1044" s="40" t="str">
        <f>IF(tblMovimientos[[#This Row],[Producto]]="","",TRIM(LEFT(tblMovimientos[[#This Row],[Producto]],FIND(" · ",tblMovimientos[[#This Row],[Producto]]&amp;" · ")-1)))</f>
        <v/>
      </c>
      <c r="H1044" s="40" t="str">
        <f>IF(tblMovimientos[[#This Row],[SKU]]="","",IFERROR(INDEX(tblProductos[Unidad],MATCH(tblMovimientos[[#This Row],[SKU]],tblProductos[SKU],0)),"?"))</f>
        <v/>
      </c>
      <c r="I1044" s="39"/>
      <c r="J1044" s="47" t="str">
        <f>IF(tblMovimientos[[#This Row],[Tipo]]="","",IFERROR(INDEX(tblTiposMov[FactorStock],MATCH(tblMovimientos[[#This Row],[Tipo]],tblTiposMov[Tipo],0)),0))</f>
        <v/>
      </c>
      <c r="K10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4" s="37"/>
      <c r="O1044" s="37"/>
      <c r="P1044" s="37"/>
    </row>
    <row r="1045" spans="2:16" x14ac:dyDescent="0.25">
      <c r="B10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5" s="46"/>
      <c r="D1045" s="37"/>
      <c r="E1045" s="37"/>
      <c r="F1045" s="37"/>
      <c r="G1045" s="40" t="str">
        <f>IF(tblMovimientos[[#This Row],[Producto]]="","",TRIM(LEFT(tblMovimientos[[#This Row],[Producto]],FIND(" · ",tblMovimientos[[#This Row],[Producto]]&amp;" · ")-1)))</f>
        <v/>
      </c>
      <c r="H1045" s="40" t="str">
        <f>IF(tblMovimientos[[#This Row],[SKU]]="","",IFERROR(INDEX(tblProductos[Unidad],MATCH(tblMovimientos[[#This Row],[SKU]],tblProductos[SKU],0)),"?"))</f>
        <v/>
      </c>
      <c r="I1045" s="39"/>
      <c r="J1045" s="47" t="str">
        <f>IF(tblMovimientos[[#This Row],[Tipo]]="","",IFERROR(INDEX(tblTiposMov[FactorStock],MATCH(tblMovimientos[[#This Row],[Tipo]],tblTiposMov[Tipo],0)),0))</f>
        <v/>
      </c>
      <c r="K10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5" s="37"/>
      <c r="O1045" s="37"/>
      <c r="P1045" s="37"/>
    </row>
    <row r="1046" spans="2:16" x14ac:dyDescent="0.25">
      <c r="B10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6" s="46"/>
      <c r="D1046" s="37"/>
      <c r="E1046" s="37"/>
      <c r="F1046" s="37"/>
      <c r="G1046" s="40" t="str">
        <f>IF(tblMovimientos[[#This Row],[Producto]]="","",TRIM(LEFT(tblMovimientos[[#This Row],[Producto]],FIND(" · ",tblMovimientos[[#This Row],[Producto]]&amp;" · ")-1)))</f>
        <v/>
      </c>
      <c r="H1046" s="40" t="str">
        <f>IF(tblMovimientos[[#This Row],[SKU]]="","",IFERROR(INDEX(tblProductos[Unidad],MATCH(tblMovimientos[[#This Row],[SKU]],tblProductos[SKU],0)),"?"))</f>
        <v/>
      </c>
      <c r="I1046" s="39"/>
      <c r="J1046" s="47" t="str">
        <f>IF(tblMovimientos[[#This Row],[Tipo]]="","",IFERROR(INDEX(tblTiposMov[FactorStock],MATCH(tblMovimientos[[#This Row],[Tipo]],tblTiposMov[Tipo],0)),0))</f>
        <v/>
      </c>
      <c r="K10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6" s="37"/>
      <c r="O1046" s="37"/>
      <c r="P1046" s="37"/>
    </row>
    <row r="1047" spans="2:16" x14ac:dyDescent="0.25">
      <c r="B10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7" s="46"/>
      <c r="D1047" s="37"/>
      <c r="E1047" s="37"/>
      <c r="F1047" s="37"/>
      <c r="G1047" s="40" t="str">
        <f>IF(tblMovimientos[[#This Row],[Producto]]="","",TRIM(LEFT(tblMovimientos[[#This Row],[Producto]],FIND(" · ",tblMovimientos[[#This Row],[Producto]]&amp;" · ")-1)))</f>
        <v/>
      </c>
      <c r="H1047" s="40" t="str">
        <f>IF(tblMovimientos[[#This Row],[SKU]]="","",IFERROR(INDEX(tblProductos[Unidad],MATCH(tblMovimientos[[#This Row],[SKU]],tblProductos[SKU],0)),"?"))</f>
        <v/>
      </c>
      <c r="I1047" s="39"/>
      <c r="J1047" s="47" t="str">
        <f>IF(tblMovimientos[[#This Row],[Tipo]]="","",IFERROR(INDEX(tblTiposMov[FactorStock],MATCH(tblMovimientos[[#This Row],[Tipo]],tblTiposMov[Tipo],0)),0))</f>
        <v/>
      </c>
      <c r="K10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7" s="37"/>
      <c r="O1047" s="37"/>
      <c r="P1047" s="37"/>
    </row>
    <row r="1048" spans="2:16" x14ac:dyDescent="0.25">
      <c r="B10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8" s="46"/>
      <c r="D1048" s="37"/>
      <c r="E1048" s="37"/>
      <c r="F1048" s="37"/>
      <c r="G1048" s="40" t="str">
        <f>IF(tblMovimientos[[#This Row],[Producto]]="","",TRIM(LEFT(tblMovimientos[[#This Row],[Producto]],FIND(" · ",tblMovimientos[[#This Row],[Producto]]&amp;" · ")-1)))</f>
        <v/>
      </c>
      <c r="H1048" s="40" t="str">
        <f>IF(tblMovimientos[[#This Row],[SKU]]="","",IFERROR(INDEX(tblProductos[Unidad],MATCH(tblMovimientos[[#This Row],[SKU]],tblProductos[SKU],0)),"?"))</f>
        <v/>
      </c>
      <c r="I1048" s="39"/>
      <c r="J1048" s="47" t="str">
        <f>IF(tblMovimientos[[#This Row],[Tipo]]="","",IFERROR(INDEX(tblTiposMov[FactorStock],MATCH(tblMovimientos[[#This Row],[Tipo]],tblTiposMov[Tipo],0)),0))</f>
        <v/>
      </c>
      <c r="K10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8" s="37"/>
      <c r="O1048" s="37"/>
      <c r="P1048" s="37"/>
    </row>
    <row r="1049" spans="2:16" x14ac:dyDescent="0.25">
      <c r="B10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49" s="46"/>
      <c r="D1049" s="37"/>
      <c r="E1049" s="37"/>
      <c r="F1049" s="37"/>
      <c r="G1049" s="40" t="str">
        <f>IF(tblMovimientos[[#This Row],[Producto]]="","",TRIM(LEFT(tblMovimientos[[#This Row],[Producto]],FIND(" · ",tblMovimientos[[#This Row],[Producto]]&amp;" · ")-1)))</f>
        <v/>
      </c>
      <c r="H1049" s="40" t="str">
        <f>IF(tblMovimientos[[#This Row],[SKU]]="","",IFERROR(INDEX(tblProductos[Unidad],MATCH(tblMovimientos[[#This Row],[SKU]],tblProductos[SKU],0)),"?"))</f>
        <v/>
      </c>
      <c r="I1049" s="39"/>
      <c r="J1049" s="47" t="str">
        <f>IF(tblMovimientos[[#This Row],[Tipo]]="","",IFERROR(INDEX(tblTiposMov[FactorStock],MATCH(tblMovimientos[[#This Row],[Tipo]],tblTiposMov[Tipo],0)),0))</f>
        <v/>
      </c>
      <c r="K10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49" s="37"/>
      <c r="O1049" s="37"/>
      <c r="P1049" s="37"/>
    </row>
    <row r="1050" spans="2:16" x14ac:dyDescent="0.25">
      <c r="B10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0" s="46"/>
      <c r="D1050" s="37"/>
      <c r="E1050" s="37"/>
      <c r="F1050" s="37"/>
      <c r="G1050" s="40" t="str">
        <f>IF(tblMovimientos[[#This Row],[Producto]]="","",TRIM(LEFT(tblMovimientos[[#This Row],[Producto]],FIND(" · ",tblMovimientos[[#This Row],[Producto]]&amp;" · ")-1)))</f>
        <v/>
      </c>
      <c r="H1050" s="40" t="str">
        <f>IF(tblMovimientos[[#This Row],[SKU]]="","",IFERROR(INDEX(tblProductos[Unidad],MATCH(tblMovimientos[[#This Row],[SKU]],tblProductos[SKU],0)),"?"))</f>
        <v/>
      </c>
      <c r="I1050" s="39"/>
      <c r="J1050" s="47" t="str">
        <f>IF(tblMovimientos[[#This Row],[Tipo]]="","",IFERROR(INDEX(tblTiposMov[FactorStock],MATCH(tblMovimientos[[#This Row],[Tipo]],tblTiposMov[Tipo],0)),0))</f>
        <v/>
      </c>
      <c r="K10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0" s="37"/>
      <c r="O1050" s="37"/>
      <c r="P1050" s="37"/>
    </row>
    <row r="1051" spans="2:16" x14ac:dyDescent="0.25">
      <c r="B10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1" s="46"/>
      <c r="D1051" s="37"/>
      <c r="E1051" s="37"/>
      <c r="F1051" s="37"/>
      <c r="G1051" s="40" t="str">
        <f>IF(tblMovimientos[[#This Row],[Producto]]="","",TRIM(LEFT(tblMovimientos[[#This Row],[Producto]],FIND(" · ",tblMovimientos[[#This Row],[Producto]]&amp;" · ")-1)))</f>
        <v/>
      </c>
      <c r="H1051" s="40" t="str">
        <f>IF(tblMovimientos[[#This Row],[SKU]]="","",IFERROR(INDEX(tblProductos[Unidad],MATCH(tblMovimientos[[#This Row],[SKU]],tblProductos[SKU],0)),"?"))</f>
        <v/>
      </c>
      <c r="I1051" s="39"/>
      <c r="J1051" s="47" t="str">
        <f>IF(tblMovimientos[[#This Row],[Tipo]]="","",IFERROR(INDEX(tblTiposMov[FactorStock],MATCH(tblMovimientos[[#This Row],[Tipo]],tblTiposMov[Tipo],0)),0))</f>
        <v/>
      </c>
      <c r="K10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1" s="37"/>
      <c r="O1051" s="37"/>
      <c r="P1051" s="37"/>
    </row>
    <row r="1052" spans="2:16" x14ac:dyDescent="0.25">
      <c r="B10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2" s="46"/>
      <c r="D1052" s="37"/>
      <c r="E1052" s="37"/>
      <c r="F1052" s="37"/>
      <c r="G1052" s="40" t="str">
        <f>IF(tblMovimientos[[#This Row],[Producto]]="","",TRIM(LEFT(tblMovimientos[[#This Row],[Producto]],FIND(" · ",tblMovimientos[[#This Row],[Producto]]&amp;" · ")-1)))</f>
        <v/>
      </c>
      <c r="H1052" s="40" t="str">
        <f>IF(tblMovimientos[[#This Row],[SKU]]="","",IFERROR(INDEX(tblProductos[Unidad],MATCH(tblMovimientos[[#This Row],[SKU]],tblProductos[SKU],0)),"?"))</f>
        <v/>
      </c>
      <c r="I1052" s="39"/>
      <c r="J1052" s="47" t="str">
        <f>IF(tblMovimientos[[#This Row],[Tipo]]="","",IFERROR(INDEX(tblTiposMov[FactorStock],MATCH(tblMovimientos[[#This Row],[Tipo]],tblTiposMov[Tipo],0)),0))</f>
        <v/>
      </c>
      <c r="K10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2" s="37"/>
      <c r="O1052" s="37"/>
      <c r="P1052" s="37"/>
    </row>
    <row r="1053" spans="2:16" x14ac:dyDescent="0.25">
      <c r="B10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3" s="46"/>
      <c r="D1053" s="37"/>
      <c r="E1053" s="37"/>
      <c r="F1053" s="37"/>
      <c r="G1053" s="40" t="str">
        <f>IF(tblMovimientos[[#This Row],[Producto]]="","",TRIM(LEFT(tblMovimientos[[#This Row],[Producto]],FIND(" · ",tblMovimientos[[#This Row],[Producto]]&amp;" · ")-1)))</f>
        <v/>
      </c>
      <c r="H1053" s="40" t="str">
        <f>IF(tblMovimientos[[#This Row],[SKU]]="","",IFERROR(INDEX(tblProductos[Unidad],MATCH(tblMovimientos[[#This Row],[SKU]],tblProductos[SKU],0)),"?"))</f>
        <v/>
      </c>
      <c r="I1053" s="39"/>
      <c r="J1053" s="47" t="str">
        <f>IF(tblMovimientos[[#This Row],[Tipo]]="","",IFERROR(INDEX(tblTiposMov[FactorStock],MATCH(tblMovimientos[[#This Row],[Tipo]],tblTiposMov[Tipo],0)),0))</f>
        <v/>
      </c>
      <c r="K10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3" s="37"/>
      <c r="O1053" s="37"/>
      <c r="P1053" s="37"/>
    </row>
    <row r="1054" spans="2:16" x14ac:dyDescent="0.25">
      <c r="B10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4" s="46"/>
      <c r="D1054" s="37"/>
      <c r="E1054" s="37"/>
      <c r="F1054" s="37"/>
      <c r="G1054" s="40" t="str">
        <f>IF(tblMovimientos[[#This Row],[Producto]]="","",TRIM(LEFT(tblMovimientos[[#This Row],[Producto]],FIND(" · ",tblMovimientos[[#This Row],[Producto]]&amp;" · ")-1)))</f>
        <v/>
      </c>
      <c r="H1054" s="40" t="str">
        <f>IF(tblMovimientos[[#This Row],[SKU]]="","",IFERROR(INDEX(tblProductos[Unidad],MATCH(tblMovimientos[[#This Row],[SKU]],tblProductos[SKU],0)),"?"))</f>
        <v/>
      </c>
      <c r="I1054" s="39"/>
      <c r="J1054" s="47" t="str">
        <f>IF(tblMovimientos[[#This Row],[Tipo]]="","",IFERROR(INDEX(tblTiposMov[FactorStock],MATCH(tblMovimientos[[#This Row],[Tipo]],tblTiposMov[Tipo],0)),0))</f>
        <v/>
      </c>
      <c r="K10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4" s="37"/>
      <c r="O1054" s="37"/>
      <c r="P1054" s="37"/>
    </row>
    <row r="1055" spans="2:16" x14ac:dyDescent="0.25">
      <c r="B10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5" s="46"/>
      <c r="D1055" s="37"/>
      <c r="E1055" s="37"/>
      <c r="F1055" s="37"/>
      <c r="G1055" s="40" t="str">
        <f>IF(tblMovimientos[[#This Row],[Producto]]="","",TRIM(LEFT(tblMovimientos[[#This Row],[Producto]],FIND(" · ",tblMovimientos[[#This Row],[Producto]]&amp;" · ")-1)))</f>
        <v/>
      </c>
      <c r="H1055" s="40" t="str">
        <f>IF(tblMovimientos[[#This Row],[SKU]]="","",IFERROR(INDEX(tblProductos[Unidad],MATCH(tblMovimientos[[#This Row],[SKU]],tblProductos[SKU],0)),"?"))</f>
        <v/>
      </c>
      <c r="I1055" s="39"/>
      <c r="J1055" s="47" t="str">
        <f>IF(tblMovimientos[[#This Row],[Tipo]]="","",IFERROR(INDEX(tblTiposMov[FactorStock],MATCH(tblMovimientos[[#This Row],[Tipo]],tblTiposMov[Tipo],0)),0))</f>
        <v/>
      </c>
      <c r="K10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5" s="37"/>
      <c r="O1055" s="37"/>
      <c r="P1055" s="37"/>
    </row>
    <row r="1056" spans="2:16" x14ac:dyDescent="0.25">
      <c r="B10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6" s="46"/>
      <c r="D1056" s="37"/>
      <c r="E1056" s="37"/>
      <c r="F1056" s="37"/>
      <c r="G1056" s="40" t="str">
        <f>IF(tblMovimientos[[#This Row],[Producto]]="","",TRIM(LEFT(tblMovimientos[[#This Row],[Producto]],FIND(" · ",tblMovimientos[[#This Row],[Producto]]&amp;" · ")-1)))</f>
        <v/>
      </c>
      <c r="H1056" s="40" t="str">
        <f>IF(tblMovimientos[[#This Row],[SKU]]="","",IFERROR(INDEX(tblProductos[Unidad],MATCH(tblMovimientos[[#This Row],[SKU]],tblProductos[SKU],0)),"?"))</f>
        <v/>
      </c>
      <c r="I1056" s="39"/>
      <c r="J1056" s="47" t="str">
        <f>IF(tblMovimientos[[#This Row],[Tipo]]="","",IFERROR(INDEX(tblTiposMov[FactorStock],MATCH(tblMovimientos[[#This Row],[Tipo]],tblTiposMov[Tipo],0)),0))</f>
        <v/>
      </c>
      <c r="K10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6" s="37"/>
      <c r="O1056" s="37"/>
      <c r="P1056" s="37"/>
    </row>
    <row r="1057" spans="2:16" x14ac:dyDescent="0.25">
      <c r="B10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7" s="46"/>
      <c r="D1057" s="37"/>
      <c r="E1057" s="37"/>
      <c r="F1057" s="37"/>
      <c r="G1057" s="40" t="str">
        <f>IF(tblMovimientos[[#This Row],[Producto]]="","",TRIM(LEFT(tblMovimientos[[#This Row],[Producto]],FIND(" · ",tblMovimientos[[#This Row],[Producto]]&amp;" · ")-1)))</f>
        <v/>
      </c>
      <c r="H1057" s="40" t="str">
        <f>IF(tblMovimientos[[#This Row],[SKU]]="","",IFERROR(INDEX(tblProductos[Unidad],MATCH(tblMovimientos[[#This Row],[SKU]],tblProductos[SKU],0)),"?"))</f>
        <v/>
      </c>
      <c r="I1057" s="39"/>
      <c r="J1057" s="47" t="str">
        <f>IF(tblMovimientos[[#This Row],[Tipo]]="","",IFERROR(INDEX(tblTiposMov[FactorStock],MATCH(tblMovimientos[[#This Row],[Tipo]],tblTiposMov[Tipo],0)),0))</f>
        <v/>
      </c>
      <c r="K10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7" s="37"/>
      <c r="O1057" s="37"/>
      <c r="P1057" s="37"/>
    </row>
    <row r="1058" spans="2:16" x14ac:dyDescent="0.25">
      <c r="B10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8" s="46"/>
      <c r="D1058" s="37"/>
      <c r="E1058" s="37"/>
      <c r="F1058" s="37"/>
      <c r="G1058" s="40" t="str">
        <f>IF(tblMovimientos[[#This Row],[Producto]]="","",TRIM(LEFT(tblMovimientos[[#This Row],[Producto]],FIND(" · ",tblMovimientos[[#This Row],[Producto]]&amp;" · ")-1)))</f>
        <v/>
      </c>
      <c r="H1058" s="40" t="str">
        <f>IF(tblMovimientos[[#This Row],[SKU]]="","",IFERROR(INDEX(tblProductos[Unidad],MATCH(tblMovimientos[[#This Row],[SKU]],tblProductos[SKU],0)),"?"))</f>
        <v/>
      </c>
      <c r="I1058" s="39"/>
      <c r="J1058" s="47" t="str">
        <f>IF(tblMovimientos[[#This Row],[Tipo]]="","",IFERROR(INDEX(tblTiposMov[FactorStock],MATCH(tblMovimientos[[#This Row],[Tipo]],tblTiposMov[Tipo],0)),0))</f>
        <v/>
      </c>
      <c r="K10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8" s="37"/>
      <c r="O1058" s="37"/>
      <c r="P1058" s="37"/>
    </row>
    <row r="1059" spans="2:16" x14ac:dyDescent="0.25">
      <c r="B10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59" s="46"/>
      <c r="D1059" s="37"/>
      <c r="E1059" s="37"/>
      <c r="F1059" s="37"/>
      <c r="G1059" s="40" t="str">
        <f>IF(tblMovimientos[[#This Row],[Producto]]="","",TRIM(LEFT(tblMovimientos[[#This Row],[Producto]],FIND(" · ",tblMovimientos[[#This Row],[Producto]]&amp;" · ")-1)))</f>
        <v/>
      </c>
      <c r="H1059" s="40" t="str">
        <f>IF(tblMovimientos[[#This Row],[SKU]]="","",IFERROR(INDEX(tblProductos[Unidad],MATCH(tblMovimientos[[#This Row],[SKU]],tblProductos[SKU],0)),"?"))</f>
        <v/>
      </c>
      <c r="I1059" s="39"/>
      <c r="J1059" s="47" t="str">
        <f>IF(tblMovimientos[[#This Row],[Tipo]]="","",IFERROR(INDEX(tblTiposMov[FactorStock],MATCH(tblMovimientos[[#This Row],[Tipo]],tblTiposMov[Tipo],0)),0))</f>
        <v/>
      </c>
      <c r="K10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59" s="37"/>
      <c r="O1059" s="37"/>
      <c r="P1059" s="37"/>
    </row>
    <row r="1060" spans="2:16" x14ac:dyDescent="0.25">
      <c r="B10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0" s="46"/>
      <c r="D1060" s="37"/>
      <c r="E1060" s="37"/>
      <c r="F1060" s="37"/>
      <c r="G1060" s="40" t="str">
        <f>IF(tblMovimientos[[#This Row],[Producto]]="","",TRIM(LEFT(tblMovimientos[[#This Row],[Producto]],FIND(" · ",tblMovimientos[[#This Row],[Producto]]&amp;" · ")-1)))</f>
        <v/>
      </c>
      <c r="H1060" s="40" t="str">
        <f>IF(tblMovimientos[[#This Row],[SKU]]="","",IFERROR(INDEX(tblProductos[Unidad],MATCH(tblMovimientos[[#This Row],[SKU]],tblProductos[SKU],0)),"?"))</f>
        <v/>
      </c>
      <c r="I1060" s="39"/>
      <c r="J1060" s="47" t="str">
        <f>IF(tblMovimientos[[#This Row],[Tipo]]="","",IFERROR(INDEX(tblTiposMov[FactorStock],MATCH(tblMovimientos[[#This Row],[Tipo]],tblTiposMov[Tipo],0)),0))</f>
        <v/>
      </c>
      <c r="K10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0" s="37"/>
      <c r="O1060" s="37"/>
      <c r="P1060" s="37"/>
    </row>
    <row r="1061" spans="2:16" x14ac:dyDescent="0.25">
      <c r="B10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1" s="46"/>
      <c r="D1061" s="37"/>
      <c r="E1061" s="37"/>
      <c r="F1061" s="37"/>
      <c r="G1061" s="40" t="str">
        <f>IF(tblMovimientos[[#This Row],[Producto]]="","",TRIM(LEFT(tblMovimientos[[#This Row],[Producto]],FIND(" · ",tblMovimientos[[#This Row],[Producto]]&amp;" · ")-1)))</f>
        <v/>
      </c>
      <c r="H1061" s="40" t="str">
        <f>IF(tblMovimientos[[#This Row],[SKU]]="","",IFERROR(INDEX(tblProductos[Unidad],MATCH(tblMovimientos[[#This Row],[SKU]],tblProductos[SKU],0)),"?"))</f>
        <v/>
      </c>
      <c r="I1061" s="39"/>
      <c r="J1061" s="47" t="str">
        <f>IF(tblMovimientos[[#This Row],[Tipo]]="","",IFERROR(INDEX(tblTiposMov[FactorStock],MATCH(tblMovimientos[[#This Row],[Tipo]],tblTiposMov[Tipo],0)),0))</f>
        <v/>
      </c>
      <c r="K10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1" s="37"/>
      <c r="O1061" s="37"/>
      <c r="P1061" s="37"/>
    </row>
    <row r="1062" spans="2:16" x14ac:dyDescent="0.25">
      <c r="B10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2" s="46"/>
      <c r="D1062" s="37"/>
      <c r="E1062" s="37"/>
      <c r="F1062" s="37"/>
      <c r="G1062" s="40" t="str">
        <f>IF(tblMovimientos[[#This Row],[Producto]]="","",TRIM(LEFT(tblMovimientos[[#This Row],[Producto]],FIND(" · ",tblMovimientos[[#This Row],[Producto]]&amp;" · ")-1)))</f>
        <v/>
      </c>
      <c r="H1062" s="40" t="str">
        <f>IF(tblMovimientos[[#This Row],[SKU]]="","",IFERROR(INDEX(tblProductos[Unidad],MATCH(tblMovimientos[[#This Row],[SKU]],tblProductos[SKU],0)),"?"))</f>
        <v/>
      </c>
      <c r="I1062" s="39"/>
      <c r="J1062" s="47" t="str">
        <f>IF(tblMovimientos[[#This Row],[Tipo]]="","",IFERROR(INDEX(tblTiposMov[FactorStock],MATCH(tblMovimientos[[#This Row],[Tipo]],tblTiposMov[Tipo],0)),0))</f>
        <v/>
      </c>
      <c r="K10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2" s="37"/>
      <c r="O1062" s="37"/>
      <c r="P1062" s="37"/>
    </row>
    <row r="1063" spans="2:16" x14ac:dyDescent="0.25">
      <c r="B10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3" s="46"/>
      <c r="D1063" s="37"/>
      <c r="E1063" s="37"/>
      <c r="F1063" s="37"/>
      <c r="G1063" s="40" t="str">
        <f>IF(tblMovimientos[[#This Row],[Producto]]="","",TRIM(LEFT(tblMovimientos[[#This Row],[Producto]],FIND(" · ",tblMovimientos[[#This Row],[Producto]]&amp;" · ")-1)))</f>
        <v/>
      </c>
      <c r="H1063" s="40" t="str">
        <f>IF(tblMovimientos[[#This Row],[SKU]]="","",IFERROR(INDEX(tblProductos[Unidad],MATCH(tblMovimientos[[#This Row],[SKU]],tblProductos[SKU],0)),"?"))</f>
        <v/>
      </c>
      <c r="I1063" s="39"/>
      <c r="J1063" s="47" t="str">
        <f>IF(tblMovimientos[[#This Row],[Tipo]]="","",IFERROR(INDEX(tblTiposMov[FactorStock],MATCH(tblMovimientos[[#This Row],[Tipo]],tblTiposMov[Tipo],0)),0))</f>
        <v/>
      </c>
      <c r="K10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3" s="37"/>
      <c r="O1063" s="37"/>
      <c r="P1063" s="37"/>
    </row>
    <row r="1064" spans="2:16" x14ac:dyDescent="0.25">
      <c r="B10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4" s="46"/>
      <c r="D1064" s="37"/>
      <c r="E1064" s="37"/>
      <c r="F1064" s="37"/>
      <c r="G1064" s="40" t="str">
        <f>IF(tblMovimientos[[#This Row],[Producto]]="","",TRIM(LEFT(tblMovimientos[[#This Row],[Producto]],FIND(" · ",tblMovimientos[[#This Row],[Producto]]&amp;" · ")-1)))</f>
        <v/>
      </c>
      <c r="H1064" s="40" t="str">
        <f>IF(tblMovimientos[[#This Row],[SKU]]="","",IFERROR(INDEX(tblProductos[Unidad],MATCH(tblMovimientos[[#This Row],[SKU]],tblProductos[SKU],0)),"?"))</f>
        <v/>
      </c>
      <c r="I1064" s="39"/>
      <c r="J1064" s="47" t="str">
        <f>IF(tblMovimientos[[#This Row],[Tipo]]="","",IFERROR(INDEX(tblTiposMov[FactorStock],MATCH(tblMovimientos[[#This Row],[Tipo]],tblTiposMov[Tipo],0)),0))</f>
        <v/>
      </c>
      <c r="K10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4" s="37"/>
      <c r="O1064" s="37"/>
      <c r="P1064" s="37"/>
    </row>
    <row r="1065" spans="2:16" x14ac:dyDescent="0.25">
      <c r="B10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5" s="46"/>
      <c r="D1065" s="37"/>
      <c r="E1065" s="37"/>
      <c r="F1065" s="37"/>
      <c r="G1065" s="40" t="str">
        <f>IF(tblMovimientos[[#This Row],[Producto]]="","",TRIM(LEFT(tblMovimientos[[#This Row],[Producto]],FIND(" · ",tblMovimientos[[#This Row],[Producto]]&amp;" · ")-1)))</f>
        <v/>
      </c>
      <c r="H1065" s="40" t="str">
        <f>IF(tblMovimientos[[#This Row],[SKU]]="","",IFERROR(INDEX(tblProductos[Unidad],MATCH(tblMovimientos[[#This Row],[SKU]],tblProductos[SKU],0)),"?"))</f>
        <v/>
      </c>
      <c r="I1065" s="39"/>
      <c r="J1065" s="47" t="str">
        <f>IF(tblMovimientos[[#This Row],[Tipo]]="","",IFERROR(INDEX(tblTiposMov[FactorStock],MATCH(tblMovimientos[[#This Row],[Tipo]],tblTiposMov[Tipo],0)),0))</f>
        <v/>
      </c>
      <c r="K10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5" s="37"/>
      <c r="O1065" s="37"/>
      <c r="P1065" s="37"/>
    </row>
    <row r="1066" spans="2:16" x14ac:dyDescent="0.25">
      <c r="B10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6" s="46"/>
      <c r="D1066" s="37"/>
      <c r="E1066" s="37"/>
      <c r="F1066" s="37"/>
      <c r="G1066" s="40" t="str">
        <f>IF(tblMovimientos[[#This Row],[Producto]]="","",TRIM(LEFT(tblMovimientos[[#This Row],[Producto]],FIND(" · ",tblMovimientos[[#This Row],[Producto]]&amp;" · ")-1)))</f>
        <v/>
      </c>
      <c r="H1066" s="40" t="str">
        <f>IF(tblMovimientos[[#This Row],[SKU]]="","",IFERROR(INDEX(tblProductos[Unidad],MATCH(tblMovimientos[[#This Row],[SKU]],tblProductos[SKU],0)),"?"))</f>
        <v/>
      </c>
      <c r="I1066" s="39"/>
      <c r="J1066" s="47" t="str">
        <f>IF(tblMovimientos[[#This Row],[Tipo]]="","",IFERROR(INDEX(tblTiposMov[FactorStock],MATCH(tblMovimientos[[#This Row],[Tipo]],tblTiposMov[Tipo],0)),0))</f>
        <v/>
      </c>
      <c r="K10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6" s="37"/>
      <c r="O1066" s="37"/>
      <c r="P1066" s="37"/>
    </row>
    <row r="1067" spans="2:16" x14ac:dyDescent="0.25">
      <c r="B10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7" s="46"/>
      <c r="D1067" s="37"/>
      <c r="E1067" s="37"/>
      <c r="F1067" s="37"/>
      <c r="G1067" s="40" t="str">
        <f>IF(tblMovimientos[[#This Row],[Producto]]="","",TRIM(LEFT(tblMovimientos[[#This Row],[Producto]],FIND(" · ",tblMovimientos[[#This Row],[Producto]]&amp;" · ")-1)))</f>
        <v/>
      </c>
      <c r="H1067" s="40" t="str">
        <f>IF(tblMovimientos[[#This Row],[SKU]]="","",IFERROR(INDEX(tblProductos[Unidad],MATCH(tblMovimientos[[#This Row],[SKU]],tblProductos[SKU],0)),"?"))</f>
        <v/>
      </c>
      <c r="I1067" s="39"/>
      <c r="J1067" s="47" t="str">
        <f>IF(tblMovimientos[[#This Row],[Tipo]]="","",IFERROR(INDEX(tblTiposMov[FactorStock],MATCH(tblMovimientos[[#This Row],[Tipo]],tblTiposMov[Tipo],0)),0))</f>
        <v/>
      </c>
      <c r="K10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7" s="37"/>
      <c r="O1067" s="37"/>
      <c r="P1067" s="37"/>
    </row>
    <row r="1068" spans="2:16" x14ac:dyDescent="0.25">
      <c r="B10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8" s="46"/>
      <c r="D1068" s="37"/>
      <c r="E1068" s="37"/>
      <c r="F1068" s="37"/>
      <c r="G1068" s="40" t="str">
        <f>IF(tblMovimientos[[#This Row],[Producto]]="","",TRIM(LEFT(tblMovimientos[[#This Row],[Producto]],FIND(" · ",tblMovimientos[[#This Row],[Producto]]&amp;" · ")-1)))</f>
        <v/>
      </c>
      <c r="H1068" s="40" t="str">
        <f>IF(tblMovimientos[[#This Row],[SKU]]="","",IFERROR(INDEX(tblProductos[Unidad],MATCH(tblMovimientos[[#This Row],[SKU]],tblProductos[SKU],0)),"?"))</f>
        <v/>
      </c>
      <c r="I1068" s="39"/>
      <c r="J1068" s="47" t="str">
        <f>IF(tblMovimientos[[#This Row],[Tipo]]="","",IFERROR(INDEX(tblTiposMov[FactorStock],MATCH(tblMovimientos[[#This Row],[Tipo]],tblTiposMov[Tipo],0)),0))</f>
        <v/>
      </c>
      <c r="K10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8" s="37"/>
      <c r="O1068" s="37"/>
      <c r="P1068" s="37"/>
    </row>
    <row r="1069" spans="2:16" x14ac:dyDescent="0.25">
      <c r="B10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69" s="46"/>
      <c r="D1069" s="37"/>
      <c r="E1069" s="37"/>
      <c r="F1069" s="37"/>
      <c r="G1069" s="40" t="str">
        <f>IF(tblMovimientos[[#This Row],[Producto]]="","",TRIM(LEFT(tblMovimientos[[#This Row],[Producto]],FIND(" · ",tblMovimientos[[#This Row],[Producto]]&amp;" · ")-1)))</f>
        <v/>
      </c>
      <c r="H1069" s="40" t="str">
        <f>IF(tblMovimientos[[#This Row],[SKU]]="","",IFERROR(INDEX(tblProductos[Unidad],MATCH(tblMovimientos[[#This Row],[SKU]],tblProductos[SKU],0)),"?"))</f>
        <v/>
      </c>
      <c r="I1069" s="39"/>
      <c r="J1069" s="47" t="str">
        <f>IF(tblMovimientos[[#This Row],[Tipo]]="","",IFERROR(INDEX(tblTiposMov[FactorStock],MATCH(tblMovimientos[[#This Row],[Tipo]],tblTiposMov[Tipo],0)),0))</f>
        <v/>
      </c>
      <c r="K10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69" s="37"/>
      <c r="O1069" s="37"/>
      <c r="P1069" s="37"/>
    </row>
    <row r="1070" spans="2:16" x14ac:dyDescent="0.25">
      <c r="B10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0" s="46"/>
      <c r="D1070" s="37"/>
      <c r="E1070" s="37"/>
      <c r="F1070" s="37"/>
      <c r="G1070" s="40" t="str">
        <f>IF(tblMovimientos[[#This Row],[Producto]]="","",TRIM(LEFT(tblMovimientos[[#This Row],[Producto]],FIND(" · ",tblMovimientos[[#This Row],[Producto]]&amp;" · ")-1)))</f>
        <v/>
      </c>
      <c r="H1070" s="40" t="str">
        <f>IF(tblMovimientos[[#This Row],[SKU]]="","",IFERROR(INDEX(tblProductos[Unidad],MATCH(tblMovimientos[[#This Row],[SKU]],tblProductos[SKU],0)),"?"))</f>
        <v/>
      </c>
      <c r="I1070" s="39"/>
      <c r="J1070" s="47" t="str">
        <f>IF(tblMovimientos[[#This Row],[Tipo]]="","",IFERROR(INDEX(tblTiposMov[FactorStock],MATCH(tblMovimientos[[#This Row],[Tipo]],tblTiposMov[Tipo],0)),0))</f>
        <v/>
      </c>
      <c r="K10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0" s="37"/>
      <c r="O1070" s="37"/>
      <c r="P1070" s="37"/>
    </row>
    <row r="1071" spans="2:16" x14ac:dyDescent="0.25">
      <c r="B10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1" s="46"/>
      <c r="D1071" s="37"/>
      <c r="E1071" s="37"/>
      <c r="F1071" s="37"/>
      <c r="G1071" s="40" t="str">
        <f>IF(tblMovimientos[[#This Row],[Producto]]="","",TRIM(LEFT(tblMovimientos[[#This Row],[Producto]],FIND(" · ",tblMovimientos[[#This Row],[Producto]]&amp;" · ")-1)))</f>
        <v/>
      </c>
      <c r="H1071" s="40" t="str">
        <f>IF(tblMovimientos[[#This Row],[SKU]]="","",IFERROR(INDEX(tblProductos[Unidad],MATCH(tblMovimientos[[#This Row],[SKU]],tblProductos[SKU],0)),"?"))</f>
        <v/>
      </c>
      <c r="I1071" s="39"/>
      <c r="J1071" s="47" t="str">
        <f>IF(tblMovimientos[[#This Row],[Tipo]]="","",IFERROR(INDEX(tblTiposMov[FactorStock],MATCH(tblMovimientos[[#This Row],[Tipo]],tblTiposMov[Tipo],0)),0))</f>
        <v/>
      </c>
      <c r="K10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1" s="37"/>
      <c r="O1071" s="37"/>
      <c r="P1071" s="37"/>
    </row>
    <row r="1072" spans="2:16" x14ac:dyDescent="0.25">
      <c r="B10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2" s="46"/>
      <c r="D1072" s="37"/>
      <c r="E1072" s="37"/>
      <c r="F1072" s="37"/>
      <c r="G1072" s="40" t="str">
        <f>IF(tblMovimientos[[#This Row],[Producto]]="","",TRIM(LEFT(tblMovimientos[[#This Row],[Producto]],FIND(" · ",tblMovimientos[[#This Row],[Producto]]&amp;" · ")-1)))</f>
        <v/>
      </c>
      <c r="H1072" s="40" t="str">
        <f>IF(tblMovimientos[[#This Row],[SKU]]="","",IFERROR(INDEX(tblProductos[Unidad],MATCH(tblMovimientos[[#This Row],[SKU]],tblProductos[SKU],0)),"?"))</f>
        <v/>
      </c>
      <c r="I1072" s="39"/>
      <c r="J1072" s="47" t="str">
        <f>IF(tblMovimientos[[#This Row],[Tipo]]="","",IFERROR(INDEX(tblTiposMov[FactorStock],MATCH(tblMovimientos[[#This Row],[Tipo]],tblTiposMov[Tipo],0)),0))</f>
        <v/>
      </c>
      <c r="K10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2" s="37"/>
      <c r="O1072" s="37"/>
      <c r="P1072" s="37"/>
    </row>
    <row r="1073" spans="2:16" x14ac:dyDescent="0.25">
      <c r="B10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3" s="46"/>
      <c r="D1073" s="37"/>
      <c r="E1073" s="37"/>
      <c r="F1073" s="37"/>
      <c r="G1073" s="40" t="str">
        <f>IF(tblMovimientos[[#This Row],[Producto]]="","",TRIM(LEFT(tblMovimientos[[#This Row],[Producto]],FIND(" · ",tblMovimientos[[#This Row],[Producto]]&amp;" · ")-1)))</f>
        <v/>
      </c>
      <c r="H1073" s="40" t="str">
        <f>IF(tblMovimientos[[#This Row],[SKU]]="","",IFERROR(INDEX(tblProductos[Unidad],MATCH(tblMovimientos[[#This Row],[SKU]],tblProductos[SKU],0)),"?"))</f>
        <v/>
      </c>
      <c r="I1073" s="39"/>
      <c r="J1073" s="47" t="str">
        <f>IF(tblMovimientos[[#This Row],[Tipo]]="","",IFERROR(INDEX(tblTiposMov[FactorStock],MATCH(tblMovimientos[[#This Row],[Tipo]],tblTiposMov[Tipo],0)),0))</f>
        <v/>
      </c>
      <c r="K10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3" s="37"/>
      <c r="O1073" s="37"/>
      <c r="P1073" s="37"/>
    </row>
    <row r="1074" spans="2:16" x14ac:dyDescent="0.25">
      <c r="B10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4" s="46"/>
      <c r="D1074" s="37"/>
      <c r="E1074" s="37"/>
      <c r="F1074" s="37"/>
      <c r="G1074" s="40" t="str">
        <f>IF(tblMovimientos[[#This Row],[Producto]]="","",TRIM(LEFT(tblMovimientos[[#This Row],[Producto]],FIND(" · ",tblMovimientos[[#This Row],[Producto]]&amp;" · ")-1)))</f>
        <v/>
      </c>
      <c r="H1074" s="40" t="str">
        <f>IF(tblMovimientos[[#This Row],[SKU]]="","",IFERROR(INDEX(tblProductos[Unidad],MATCH(tblMovimientos[[#This Row],[SKU]],tblProductos[SKU],0)),"?"))</f>
        <v/>
      </c>
      <c r="I1074" s="39"/>
      <c r="J1074" s="47" t="str">
        <f>IF(tblMovimientos[[#This Row],[Tipo]]="","",IFERROR(INDEX(tblTiposMov[FactorStock],MATCH(tblMovimientos[[#This Row],[Tipo]],tblTiposMov[Tipo],0)),0))</f>
        <v/>
      </c>
      <c r="K10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4" s="37"/>
      <c r="O1074" s="37"/>
      <c r="P1074" s="37"/>
    </row>
    <row r="1075" spans="2:16" x14ac:dyDescent="0.25">
      <c r="B10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5" s="46"/>
      <c r="D1075" s="37"/>
      <c r="E1075" s="37"/>
      <c r="F1075" s="37"/>
      <c r="G1075" s="40" t="str">
        <f>IF(tblMovimientos[[#This Row],[Producto]]="","",TRIM(LEFT(tblMovimientos[[#This Row],[Producto]],FIND(" · ",tblMovimientos[[#This Row],[Producto]]&amp;" · ")-1)))</f>
        <v/>
      </c>
      <c r="H1075" s="40" t="str">
        <f>IF(tblMovimientos[[#This Row],[SKU]]="","",IFERROR(INDEX(tblProductos[Unidad],MATCH(tblMovimientos[[#This Row],[SKU]],tblProductos[SKU],0)),"?"))</f>
        <v/>
      </c>
      <c r="I1075" s="39"/>
      <c r="J1075" s="47" t="str">
        <f>IF(tblMovimientos[[#This Row],[Tipo]]="","",IFERROR(INDEX(tblTiposMov[FactorStock],MATCH(tblMovimientos[[#This Row],[Tipo]],tblTiposMov[Tipo],0)),0))</f>
        <v/>
      </c>
      <c r="K10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5" s="37"/>
      <c r="O1075" s="37"/>
      <c r="P1075" s="37"/>
    </row>
    <row r="1076" spans="2:16" x14ac:dyDescent="0.25">
      <c r="B10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6" s="46"/>
      <c r="D1076" s="37"/>
      <c r="E1076" s="37"/>
      <c r="F1076" s="37"/>
      <c r="G1076" s="40" t="str">
        <f>IF(tblMovimientos[[#This Row],[Producto]]="","",TRIM(LEFT(tblMovimientos[[#This Row],[Producto]],FIND(" · ",tblMovimientos[[#This Row],[Producto]]&amp;" · ")-1)))</f>
        <v/>
      </c>
      <c r="H1076" s="40" t="str">
        <f>IF(tblMovimientos[[#This Row],[SKU]]="","",IFERROR(INDEX(tblProductos[Unidad],MATCH(tblMovimientos[[#This Row],[SKU]],tblProductos[SKU],0)),"?"))</f>
        <v/>
      </c>
      <c r="I1076" s="39"/>
      <c r="J1076" s="47" t="str">
        <f>IF(tblMovimientos[[#This Row],[Tipo]]="","",IFERROR(INDEX(tblTiposMov[FactorStock],MATCH(tblMovimientos[[#This Row],[Tipo]],tblTiposMov[Tipo],0)),0))</f>
        <v/>
      </c>
      <c r="K10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6" s="37"/>
      <c r="O1076" s="37"/>
      <c r="P1076" s="37"/>
    </row>
    <row r="1077" spans="2:16" x14ac:dyDescent="0.25">
      <c r="B10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7" s="46"/>
      <c r="D1077" s="37"/>
      <c r="E1077" s="37"/>
      <c r="F1077" s="37"/>
      <c r="G1077" s="40" t="str">
        <f>IF(tblMovimientos[[#This Row],[Producto]]="","",TRIM(LEFT(tblMovimientos[[#This Row],[Producto]],FIND(" · ",tblMovimientos[[#This Row],[Producto]]&amp;" · ")-1)))</f>
        <v/>
      </c>
      <c r="H1077" s="40" t="str">
        <f>IF(tblMovimientos[[#This Row],[SKU]]="","",IFERROR(INDEX(tblProductos[Unidad],MATCH(tblMovimientos[[#This Row],[SKU]],tblProductos[SKU],0)),"?"))</f>
        <v/>
      </c>
      <c r="I1077" s="39"/>
      <c r="J1077" s="47" t="str">
        <f>IF(tblMovimientos[[#This Row],[Tipo]]="","",IFERROR(INDEX(tblTiposMov[FactorStock],MATCH(tblMovimientos[[#This Row],[Tipo]],tblTiposMov[Tipo],0)),0))</f>
        <v/>
      </c>
      <c r="K10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7" s="37"/>
      <c r="O1077" s="37"/>
      <c r="P1077" s="37"/>
    </row>
    <row r="1078" spans="2:16" x14ac:dyDescent="0.25">
      <c r="B10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8" s="46"/>
      <c r="D1078" s="37"/>
      <c r="E1078" s="37"/>
      <c r="F1078" s="37"/>
      <c r="G1078" s="40" t="str">
        <f>IF(tblMovimientos[[#This Row],[Producto]]="","",TRIM(LEFT(tblMovimientos[[#This Row],[Producto]],FIND(" · ",tblMovimientos[[#This Row],[Producto]]&amp;" · ")-1)))</f>
        <v/>
      </c>
      <c r="H1078" s="40" t="str">
        <f>IF(tblMovimientos[[#This Row],[SKU]]="","",IFERROR(INDEX(tblProductos[Unidad],MATCH(tblMovimientos[[#This Row],[SKU]],tblProductos[SKU],0)),"?"))</f>
        <v/>
      </c>
      <c r="I1078" s="39"/>
      <c r="J1078" s="47" t="str">
        <f>IF(tblMovimientos[[#This Row],[Tipo]]="","",IFERROR(INDEX(tblTiposMov[FactorStock],MATCH(tblMovimientos[[#This Row],[Tipo]],tblTiposMov[Tipo],0)),0))</f>
        <v/>
      </c>
      <c r="K10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8" s="37"/>
      <c r="O1078" s="37"/>
      <c r="P1078" s="37"/>
    </row>
    <row r="1079" spans="2:16" x14ac:dyDescent="0.25">
      <c r="B10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79" s="46"/>
      <c r="D1079" s="37"/>
      <c r="E1079" s="37"/>
      <c r="F1079" s="37"/>
      <c r="G1079" s="40" t="str">
        <f>IF(tblMovimientos[[#This Row],[Producto]]="","",TRIM(LEFT(tblMovimientos[[#This Row],[Producto]],FIND(" · ",tblMovimientos[[#This Row],[Producto]]&amp;" · ")-1)))</f>
        <v/>
      </c>
      <c r="H1079" s="40" t="str">
        <f>IF(tblMovimientos[[#This Row],[SKU]]="","",IFERROR(INDEX(tblProductos[Unidad],MATCH(tblMovimientos[[#This Row],[SKU]],tblProductos[SKU],0)),"?"))</f>
        <v/>
      </c>
      <c r="I1079" s="39"/>
      <c r="J1079" s="47" t="str">
        <f>IF(tblMovimientos[[#This Row],[Tipo]]="","",IFERROR(INDEX(tblTiposMov[FactorStock],MATCH(tblMovimientos[[#This Row],[Tipo]],tblTiposMov[Tipo],0)),0))</f>
        <v/>
      </c>
      <c r="K10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79" s="37"/>
      <c r="O1079" s="37"/>
      <c r="P1079" s="37"/>
    </row>
    <row r="1080" spans="2:16" x14ac:dyDescent="0.25">
      <c r="B10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0" s="46"/>
      <c r="D1080" s="37"/>
      <c r="E1080" s="37"/>
      <c r="F1080" s="37"/>
      <c r="G1080" s="40" t="str">
        <f>IF(tblMovimientos[[#This Row],[Producto]]="","",TRIM(LEFT(tblMovimientos[[#This Row],[Producto]],FIND(" · ",tblMovimientos[[#This Row],[Producto]]&amp;" · ")-1)))</f>
        <v/>
      </c>
      <c r="H1080" s="40" t="str">
        <f>IF(tblMovimientos[[#This Row],[SKU]]="","",IFERROR(INDEX(tblProductos[Unidad],MATCH(tblMovimientos[[#This Row],[SKU]],tblProductos[SKU],0)),"?"))</f>
        <v/>
      </c>
      <c r="I1080" s="39"/>
      <c r="J1080" s="47" t="str">
        <f>IF(tblMovimientos[[#This Row],[Tipo]]="","",IFERROR(INDEX(tblTiposMov[FactorStock],MATCH(tblMovimientos[[#This Row],[Tipo]],tblTiposMov[Tipo],0)),0))</f>
        <v/>
      </c>
      <c r="K10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0" s="37"/>
      <c r="O1080" s="37"/>
      <c r="P1080" s="37"/>
    </row>
    <row r="1081" spans="2:16" x14ac:dyDescent="0.25">
      <c r="B10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1" s="46"/>
      <c r="D1081" s="37"/>
      <c r="E1081" s="37"/>
      <c r="F1081" s="37"/>
      <c r="G1081" s="40" t="str">
        <f>IF(tblMovimientos[[#This Row],[Producto]]="","",TRIM(LEFT(tblMovimientos[[#This Row],[Producto]],FIND(" · ",tblMovimientos[[#This Row],[Producto]]&amp;" · ")-1)))</f>
        <v/>
      </c>
      <c r="H1081" s="40" t="str">
        <f>IF(tblMovimientos[[#This Row],[SKU]]="","",IFERROR(INDEX(tblProductos[Unidad],MATCH(tblMovimientos[[#This Row],[SKU]],tblProductos[SKU],0)),"?"))</f>
        <v/>
      </c>
      <c r="I1081" s="39"/>
      <c r="J1081" s="47" t="str">
        <f>IF(tblMovimientos[[#This Row],[Tipo]]="","",IFERROR(INDEX(tblTiposMov[FactorStock],MATCH(tblMovimientos[[#This Row],[Tipo]],tblTiposMov[Tipo],0)),0))</f>
        <v/>
      </c>
      <c r="K10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1" s="37"/>
      <c r="O1081" s="37"/>
      <c r="P1081" s="37"/>
    </row>
    <row r="1082" spans="2:16" x14ac:dyDescent="0.25">
      <c r="B10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2" s="46"/>
      <c r="D1082" s="37"/>
      <c r="E1082" s="37"/>
      <c r="F1082" s="37"/>
      <c r="G1082" s="40" t="str">
        <f>IF(tblMovimientos[[#This Row],[Producto]]="","",TRIM(LEFT(tblMovimientos[[#This Row],[Producto]],FIND(" · ",tblMovimientos[[#This Row],[Producto]]&amp;" · ")-1)))</f>
        <v/>
      </c>
      <c r="H1082" s="40" t="str">
        <f>IF(tblMovimientos[[#This Row],[SKU]]="","",IFERROR(INDEX(tblProductos[Unidad],MATCH(tblMovimientos[[#This Row],[SKU]],tblProductos[SKU],0)),"?"))</f>
        <v/>
      </c>
      <c r="I1082" s="39"/>
      <c r="J1082" s="47" t="str">
        <f>IF(tblMovimientos[[#This Row],[Tipo]]="","",IFERROR(INDEX(tblTiposMov[FactorStock],MATCH(tblMovimientos[[#This Row],[Tipo]],tblTiposMov[Tipo],0)),0))</f>
        <v/>
      </c>
      <c r="K10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2" s="37"/>
      <c r="O1082" s="37"/>
      <c r="P1082" s="37"/>
    </row>
    <row r="1083" spans="2:16" x14ac:dyDescent="0.25">
      <c r="B10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3" s="46"/>
      <c r="D1083" s="37"/>
      <c r="E1083" s="37"/>
      <c r="F1083" s="37"/>
      <c r="G1083" s="40" t="str">
        <f>IF(tblMovimientos[[#This Row],[Producto]]="","",TRIM(LEFT(tblMovimientos[[#This Row],[Producto]],FIND(" · ",tblMovimientos[[#This Row],[Producto]]&amp;" · ")-1)))</f>
        <v/>
      </c>
      <c r="H1083" s="40" t="str">
        <f>IF(tblMovimientos[[#This Row],[SKU]]="","",IFERROR(INDEX(tblProductos[Unidad],MATCH(tblMovimientos[[#This Row],[SKU]],tblProductos[SKU],0)),"?"))</f>
        <v/>
      </c>
      <c r="I1083" s="39"/>
      <c r="J1083" s="47" t="str">
        <f>IF(tblMovimientos[[#This Row],[Tipo]]="","",IFERROR(INDEX(tblTiposMov[FactorStock],MATCH(tblMovimientos[[#This Row],[Tipo]],tblTiposMov[Tipo],0)),0))</f>
        <v/>
      </c>
      <c r="K10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3" s="37"/>
      <c r="O1083" s="37"/>
      <c r="P1083" s="37"/>
    </row>
    <row r="1084" spans="2:16" x14ac:dyDescent="0.25">
      <c r="B10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4" s="46"/>
      <c r="D1084" s="37"/>
      <c r="E1084" s="37"/>
      <c r="F1084" s="37"/>
      <c r="G1084" s="40" t="str">
        <f>IF(tblMovimientos[[#This Row],[Producto]]="","",TRIM(LEFT(tblMovimientos[[#This Row],[Producto]],FIND(" · ",tblMovimientos[[#This Row],[Producto]]&amp;" · ")-1)))</f>
        <v/>
      </c>
      <c r="H1084" s="40" t="str">
        <f>IF(tblMovimientos[[#This Row],[SKU]]="","",IFERROR(INDEX(tblProductos[Unidad],MATCH(tblMovimientos[[#This Row],[SKU]],tblProductos[SKU],0)),"?"))</f>
        <v/>
      </c>
      <c r="I1084" s="39"/>
      <c r="J1084" s="47" t="str">
        <f>IF(tblMovimientos[[#This Row],[Tipo]]="","",IFERROR(INDEX(tblTiposMov[FactorStock],MATCH(tblMovimientos[[#This Row],[Tipo]],tblTiposMov[Tipo],0)),0))</f>
        <v/>
      </c>
      <c r="K10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4" s="37"/>
      <c r="O1084" s="37"/>
      <c r="P1084" s="37"/>
    </row>
    <row r="1085" spans="2:16" x14ac:dyDescent="0.25">
      <c r="B10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5" s="46"/>
      <c r="D1085" s="37"/>
      <c r="E1085" s="37"/>
      <c r="F1085" s="37"/>
      <c r="G1085" s="40" t="str">
        <f>IF(tblMovimientos[[#This Row],[Producto]]="","",TRIM(LEFT(tblMovimientos[[#This Row],[Producto]],FIND(" · ",tblMovimientos[[#This Row],[Producto]]&amp;" · ")-1)))</f>
        <v/>
      </c>
      <c r="H1085" s="40" t="str">
        <f>IF(tblMovimientos[[#This Row],[SKU]]="","",IFERROR(INDEX(tblProductos[Unidad],MATCH(tblMovimientos[[#This Row],[SKU]],tblProductos[SKU],0)),"?"))</f>
        <v/>
      </c>
      <c r="I1085" s="39"/>
      <c r="J1085" s="47" t="str">
        <f>IF(tblMovimientos[[#This Row],[Tipo]]="","",IFERROR(INDEX(tblTiposMov[FactorStock],MATCH(tblMovimientos[[#This Row],[Tipo]],tblTiposMov[Tipo],0)),0))</f>
        <v/>
      </c>
      <c r="K10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5" s="37"/>
      <c r="O1085" s="37"/>
      <c r="P1085" s="37"/>
    </row>
    <row r="1086" spans="2:16" x14ac:dyDescent="0.25">
      <c r="B10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6" s="46"/>
      <c r="D1086" s="37"/>
      <c r="E1086" s="37"/>
      <c r="F1086" s="37"/>
      <c r="G1086" s="40" t="str">
        <f>IF(tblMovimientos[[#This Row],[Producto]]="","",TRIM(LEFT(tblMovimientos[[#This Row],[Producto]],FIND(" · ",tblMovimientos[[#This Row],[Producto]]&amp;" · ")-1)))</f>
        <v/>
      </c>
      <c r="H1086" s="40" t="str">
        <f>IF(tblMovimientos[[#This Row],[SKU]]="","",IFERROR(INDEX(tblProductos[Unidad],MATCH(tblMovimientos[[#This Row],[SKU]],tblProductos[SKU],0)),"?"))</f>
        <v/>
      </c>
      <c r="I1086" s="39"/>
      <c r="J1086" s="47" t="str">
        <f>IF(tblMovimientos[[#This Row],[Tipo]]="","",IFERROR(INDEX(tblTiposMov[FactorStock],MATCH(tblMovimientos[[#This Row],[Tipo]],tblTiposMov[Tipo],0)),0))</f>
        <v/>
      </c>
      <c r="K10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6" s="37"/>
      <c r="O1086" s="37"/>
      <c r="P1086" s="37"/>
    </row>
    <row r="1087" spans="2:16" x14ac:dyDescent="0.25">
      <c r="B10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7" s="46"/>
      <c r="D1087" s="37"/>
      <c r="E1087" s="37"/>
      <c r="F1087" s="37"/>
      <c r="G1087" s="40" t="str">
        <f>IF(tblMovimientos[[#This Row],[Producto]]="","",TRIM(LEFT(tblMovimientos[[#This Row],[Producto]],FIND(" · ",tblMovimientos[[#This Row],[Producto]]&amp;" · ")-1)))</f>
        <v/>
      </c>
      <c r="H1087" s="40" t="str">
        <f>IF(tblMovimientos[[#This Row],[SKU]]="","",IFERROR(INDEX(tblProductos[Unidad],MATCH(tblMovimientos[[#This Row],[SKU]],tblProductos[SKU],0)),"?"))</f>
        <v/>
      </c>
      <c r="I1087" s="39"/>
      <c r="J1087" s="47" t="str">
        <f>IF(tblMovimientos[[#This Row],[Tipo]]="","",IFERROR(INDEX(tblTiposMov[FactorStock],MATCH(tblMovimientos[[#This Row],[Tipo]],tblTiposMov[Tipo],0)),0))</f>
        <v/>
      </c>
      <c r="K10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7" s="37"/>
      <c r="O1087" s="37"/>
      <c r="P1087" s="37"/>
    </row>
    <row r="1088" spans="2:16" x14ac:dyDescent="0.25">
      <c r="B10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8" s="46"/>
      <c r="D1088" s="37"/>
      <c r="E1088" s="37"/>
      <c r="F1088" s="37"/>
      <c r="G1088" s="40" t="str">
        <f>IF(tblMovimientos[[#This Row],[Producto]]="","",TRIM(LEFT(tblMovimientos[[#This Row],[Producto]],FIND(" · ",tblMovimientos[[#This Row],[Producto]]&amp;" · ")-1)))</f>
        <v/>
      </c>
      <c r="H1088" s="40" t="str">
        <f>IF(tblMovimientos[[#This Row],[SKU]]="","",IFERROR(INDEX(tblProductos[Unidad],MATCH(tblMovimientos[[#This Row],[SKU]],tblProductos[SKU],0)),"?"))</f>
        <v/>
      </c>
      <c r="I1088" s="39"/>
      <c r="J1088" s="47" t="str">
        <f>IF(tblMovimientos[[#This Row],[Tipo]]="","",IFERROR(INDEX(tblTiposMov[FactorStock],MATCH(tblMovimientos[[#This Row],[Tipo]],tblTiposMov[Tipo],0)),0))</f>
        <v/>
      </c>
      <c r="K10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8" s="37"/>
      <c r="O1088" s="37"/>
      <c r="P1088" s="37"/>
    </row>
    <row r="1089" spans="2:16" x14ac:dyDescent="0.25">
      <c r="B10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89" s="46"/>
      <c r="D1089" s="37"/>
      <c r="E1089" s="37"/>
      <c r="F1089" s="37"/>
      <c r="G1089" s="40" t="str">
        <f>IF(tblMovimientos[[#This Row],[Producto]]="","",TRIM(LEFT(tblMovimientos[[#This Row],[Producto]],FIND(" · ",tblMovimientos[[#This Row],[Producto]]&amp;" · ")-1)))</f>
        <v/>
      </c>
      <c r="H1089" s="40" t="str">
        <f>IF(tblMovimientos[[#This Row],[SKU]]="","",IFERROR(INDEX(tblProductos[Unidad],MATCH(tblMovimientos[[#This Row],[SKU]],tblProductos[SKU],0)),"?"))</f>
        <v/>
      </c>
      <c r="I1089" s="39"/>
      <c r="J1089" s="47" t="str">
        <f>IF(tblMovimientos[[#This Row],[Tipo]]="","",IFERROR(INDEX(tblTiposMov[FactorStock],MATCH(tblMovimientos[[#This Row],[Tipo]],tblTiposMov[Tipo],0)),0))</f>
        <v/>
      </c>
      <c r="K10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89" s="37"/>
      <c r="O1089" s="37"/>
      <c r="P1089" s="37"/>
    </row>
    <row r="1090" spans="2:16" x14ac:dyDescent="0.25">
      <c r="B10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0" s="46"/>
      <c r="D1090" s="37"/>
      <c r="E1090" s="37"/>
      <c r="F1090" s="37"/>
      <c r="G1090" s="40" t="str">
        <f>IF(tblMovimientos[[#This Row],[Producto]]="","",TRIM(LEFT(tblMovimientos[[#This Row],[Producto]],FIND(" · ",tblMovimientos[[#This Row],[Producto]]&amp;" · ")-1)))</f>
        <v/>
      </c>
      <c r="H1090" s="40" t="str">
        <f>IF(tblMovimientos[[#This Row],[SKU]]="","",IFERROR(INDEX(tblProductos[Unidad],MATCH(tblMovimientos[[#This Row],[SKU]],tblProductos[SKU],0)),"?"))</f>
        <v/>
      </c>
      <c r="I1090" s="39"/>
      <c r="J1090" s="47" t="str">
        <f>IF(tblMovimientos[[#This Row],[Tipo]]="","",IFERROR(INDEX(tblTiposMov[FactorStock],MATCH(tblMovimientos[[#This Row],[Tipo]],tblTiposMov[Tipo],0)),0))</f>
        <v/>
      </c>
      <c r="K10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0" s="37"/>
      <c r="O1090" s="37"/>
      <c r="P1090" s="37"/>
    </row>
    <row r="1091" spans="2:16" x14ac:dyDescent="0.25">
      <c r="B10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1" s="46"/>
      <c r="D1091" s="37"/>
      <c r="E1091" s="37"/>
      <c r="F1091" s="37"/>
      <c r="G1091" s="40" t="str">
        <f>IF(tblMovimientos[[#This Row],[Producto]]="","",TRIM(LEFT(tblMovimientos[[#This Row],[Producto]],FIND(" · ",tblMovimientos[[#This Row],[Producto]]&amp;" · ")-1)))</f>
        <v/>
      </c>
      <c r="H1091" s="40" t="str">
        <f>IF(tblMovimientos[[#This Row],[SKU]]="","",IFERROR(INDEX(tblProductos[Unidad],MATCH(tblMovimientos[[#This Row],[SKU]],tblProductos[SKU],0)),"?"))</f>
        <v/>
      </c>
      <c r="I1091" s="39"/>
      <c r="J1091" s="47" t="str">
        <f>IF(tblMovimientos[[#This Row],[Tipo]]="","",IFERROR(INDEX(tblTiposMov[FactorStock],MATCH(tblMovimientos[[#This Row],[Tipo]],tblTiposMov[Tipo],0)),0))</f>
        <v/>
      </c>
      <c r="K10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1" s="37"/>
      <c r="O1091" s="37"/>
      <c r="P1091" s="37"/>
    </row>
    <row r="1092" spans="2:16" x14ac:dyDescent="0.25">
      <c r="B10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2" s="46"/>
      <c r="D1092" s="37"/>
      <c r="E1092" s="37"/>
      <c r="F1092" s="37"/>
      <c r="G1092" s="40" t="str">
        <f>IF(tblMovimientos[[#This Row],[Producto]]="","",TRIM(LEFT(tblMovimientos[[#This Row],[Producto]],FIND(" · ",tblMovimientos[[#This Row],[Producto]]&amp;" · ")-1)))</f>
        <v/>
      </c>
      <c r="H1092" s="40" t="str">
        <f>IF(tblMovimientos[[#This Row],[SKU]]="","",IFERROR(INDEX(tblProductos[Unidad],MATCH(tblMovimientos[[#This Row],[SKU]],tblProductos[SKU],0)),"?"))</f>
        <v/>
      </c>
      <c r="I1092" s="39"/>
      <c r="J1092" s="47" t="str">
        <f>IF(tblMovimientos[[#This Row],[Tipo]]="","",IFERROR(INDEX(tblTiposMov[FactorStock],MATCH(tblMovimientos[[#This Row],[Tipo]],tblTiposMov[Tipo],0)),0))</f>
        <v/>
      </c>
      <c r="K10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2" s="37"/>
      <c r="O1092" s="37"/>
      <c r="P1092" s="37"/>
    </row>
    <row r="1093" spans="2:16" x14ac:dyDescent="0.25">
      <c r="B10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3" s="46"/>
      <c r="D1093" s="37"/>
      <c r="E1093" s="37"/>
      <c r="F1093" s="37"/>
      <c r="G1093" s="40" t="str">
        <f>IF(tblMovimientos[[#This Row],[Producto]]="","",TRIM(LEFT(tblMovimientos[[#This Row],[Producto]],FIND(" · ",tblMovimientos[[#This Row],[Producto]]&amp;" · ")-1)))</f>
        <v/>
      </c>
      <c r="H1093" s="40" t="str">
        <f>IF(tblMovimientos[[#This Row],[SKU]]="","",IFERROR(INDEX(tblProductos[Unidad],MATCH(tblMovimientos[[#This Row],[SKU]],tblProductos[SKU],0)),"?"))</f>
        <v/>
      </c>
      <c r="I1093" s="39"/>
      <c r="J1093" s="47" t="str">
        <f>IF(tblMovimientos[[#This Row],[Tipo]]="","",IFERROR(INDEX(tblTiposMov[FactorStock],MATCH(tblMovimientos[[#This Row],[Tipo]],tblTiposMov[Tipo],0)),0))</f>
        <v/>
      </c>
      <c r="K10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3" s="37"/>
      <c r="O1093" s="37"/>
      <c r="P1093" s="37"/>
    </row>
    <row r="1094" spans="2:16" x14ac:dyDescent="0.25">
      <c r="B10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4" s="46"/>
      <c r="D1094" s="37"/>
      <c r="E1094" s="37"/>
      <c r="F1094" s="37"/>
      <c r="G1094" s="40" t="str">
        <f>IF(tblMovimientos[[#This Row],[Producto]]="","",TRIM(LEFT(tblMovimientos[[#This Row],[Producto]],FIND(" · ",tblMovimientos[[#This Row],[Producto]]&amp;" · ")-1)))</f>
        <v/>
      </c>
      <c r="H1094" s="40" t="str">
        <f>IF(tblMovimientos[[#This Row],[SKU]]="","",IFERROR(INDEX(tblProductos[Unidad],MATCH(tblMovimientos[[#This Row],[SKU]],tblProductos[SKU],0)),"?"))</f>
        <v/>
      </c>
      <c r="I1094" s="39"/>
      <c r="J1094" s="47" t="str">
        <f>IF(tblMovimientos[[#This Row],[Tipo]]="","",IFERROR(INDEX(tblTiposMov[FactorStock],MATCH(tblMovimientos[[#This Row],[Tipo]],tblTiposMov[Tipo],0)),0))</f>
        <v/>
      </c>
      <c r="K10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4" s="37"/>
      <c r="O1094" s="37"/>
      <c r="P1094" s="37"/>
    </row>
    <row r="1095" spans="2:16" x14ac:dyDescent="0.25">
      <c r="B10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5" s="46"/>
      <c r="D1095" s="37"/>
      <c r="E1095" s="37"/>
      <c r="F1095" s="37"/>
      <c r="G1095" s="40" t="str">
        <f>IF(tblMovimientos[[#This Row],[Producto]]="","",TRIM(LEFT(tblMovimientos[[#This Row],[Producto]],FIND(" · ",tblMovimientos[[#This Row],[Producto]]&amp;" · ")-1)))</f>
        <v/>
      </c>
      <c r="H1095" s="40" t="str">
        <f>IF(tblMovimientos[[#This Row],[SKU]]="","",IFERROR(INDEX(tblProductos[Unidad],MATCH(tblMovimientos[[#This Row],[SKU]],tblProductos[SKU],0)),"?"))</f>
        <v/>
      </c>
      <c r="I1095" s="39"/>
      <c r="J1095" s="47" t="str">
        <f>IF(tblMovimientos[[#This Row],[Tipo]]="","",IFERROR(INDEX(tblTiposMov[FactorStock],MATCH(tblMovimientos[[#This Row],[Tipo]],tblTiposMov[Tipo],0)),0))</f>
        <v/>
      </c>
      <c r="K10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5" s="37"/>
      <c r="O1095" s="37"/>
      <c r="P1095" s="37"/>
    </row>
    <row r="1096" spans="2:16" x14ac:dyDescent="0.25">
      <c r="B10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6" s="46"/>
      <c r="D1096" s="37"/>
      <c r="E1096" s="37"/>
      <c r="F1096" s="37"/>
      <c r="G1096" s="40" t="str">
        <f>IF(tblMovimientos[[#This Row],[Producto]]="","",TRIM(LEFT(tblMovimientos[[#This Row],[Producto]],FIND(" · ",tblMovimientos[[#This Row],[Producto]]&amp;" · ")-1)))</f>
        <v/>
      </c>
      <c r="H1096" s="40" t="str">
        <f>IF(tblMovimientos[[#This Row],[SKU]]="","",IFERROR(INDEX(tblProductos[Unidad],MATCH(tblMovimientos[[#This Row],[SKU]],tblProductos[SKU],0)),"?"))</f>
        <v/>
      </c>
      <c r="I1096" s="39"/>
      <c r="J1096" s="47" t="str">
        <f>IF(tblMovimientos[[#This Row],[Tipo]]="","",IFERROR(INDEX(tblTiposMov[FactorStock],MATCH(tblMovimientos[[#This Row],[Tipo]],tblTiposMov[Tipo],0)),0))</f>
        <v/>
      </c>
      <c r="K10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6" s="37"/>
      <c r="O1096" s="37"/>
      <c r="P1096" s="37"/>
    </row>
    <row r="1097" spans="2:16" x14ac:dyDescent="0.25">
      <c r="B10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7" s="46"/>
      <c r="D1097" s="37"/>
      <c r="E1097" s="37"/>
      <c r="F1097" s="37"/>
      <c r="G1097" s="40" t="str">
        <f>IF(tblMovimientos[[#This Row],[Producto]]="","",TRIM(LEFT(tblMovimientos[[#This Row],[Producto]],FIND(" · ",tblMovimientos[[#This Row],[Producto]]&amp;" · ")-1)))</f>
        <v/>
      </c>
      <c r="H1097" s="40" t="str">
        <f>IF(tblMovimientos[[#This Row],[SKU]]="","",IFERROR(INDEX(tblProductos[Unidad],MATCH(tblMovimientos[[#This Row],[SKU]],tblProductos[SKU],0)),"?"))</f>
        <v/>
      </c>
      <c r="I1097" s="39"/>
      <c r="J1097" s="47" t="str">
        <f>IF(tblMovimientos[[#This Row],[Tipo]]="","",IFERROR(INDEX(tblTiposMov[FactorStock],MATCH(tblMovimientos[[#This Row],[Tipo]],tblTiposMov[Tipo],0)),0))</f>
        <v/>
      </c>
      <c r="K10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7" s="37"/>
      <c r="O1097" s="37"/>
      <c r="P1097" s="37"/>
    </row>
    <row r="1098" spans="2:16" x14ac:dyDescent="0.25">
      <c r="B10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8" s="46"/>
      <c r="D1098" s="37"/>
      <c r="E1098" s="37"/>
      <c r="F1098" s="37"/>
      <c r="G1098" s="40" t="str">
        <f>IF(tblMovimientos[[#This Row],[Producto]]="","",TRIM(LEFT(tblMovimientos[[#This Row],[Producto]],FIND(" · ",tblMovimientos[[#This Row],[Producto]]&amp;" · ")-1)))</f>
        <v/>
      </c>
      <c r="H1098" s="40" t="str">
        <f>IF(tblMovimientos[[#This Row],[SKU]]="","",IFERROR(INDEX(tblProductos[Unidad],MATCH(tblMovimientos[[#This Row],[SKU]],tblProductos[SKU],0)),"?"))</f>
        <v/>
      </c>
      <c r="I1098" s="39"/>
      <c r="J1098" s="47" t="str">
        <f>IF(tblMovimientos[[#This Row],[Tipo]]="","",IFERROR(INDEX(tblTiposMov[FactorStock],MATCH(tblMovimientos[[#This Row],[Tipo]],tblTiposMov[Tipo],0)),0))</f>
        <v/>
      </c>
      <c r="K10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8" s="37"/>
      <c r="O1098" s="37"/>
      <c r="P1098" s="37"/>
    </row>
    <row r="1099" spans="2:16" x14ac:dyDescent="0.25">
      <c r="B10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099" s="46"/>
      <c r="D1099" s="37"/>
      <c r="E1099" s="37"/>
      <c r="F1099" s="37"/>
      <c r="G1099" s="40" t="str">
        <f>IF(tblMovimientos[[#This Row],[Producto]]="","",TRIM(LEFT(tblMovimientos[[#This Row],[Producto]],FIND(" · ",tblMovimientos[[#This Row],[Producto]]&amp;" · ")-1)))</f>
        <v/>
      </c>
      <c r="H1099" s="40" t="str">
        <f>IF(tblMovimientos[[#This Row],[SKU]]="","",IFERROR(INDEX(tblProductos[Unidad],MATCH(tblMovimientos[[#This Row],[SKU]],tblProductos[SKU],0)),"?"))</f>
        <v/>
      </c>
      <c r="I1099" s="39"/>
      <c r="J1099" s="47" t="str">
        <f>IF(tblMovimientos[[#This Row],[Tipo]]="","",IFERROR(INDEX(tblTiposMov[FactorStock],MATCH(tblMovimientos[[#This Row],[Tipo]],tblTiposMov[Tipo],0)),0))</f>
        <v/>
      </c>
      <c r="K10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0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099" s="37"/>
      <c r="O1099" s="37"/>
      <c r="P1099" s="37"/>
    </row>
    <row r="1100" spans="2:16" x14ac:dyDescent="0.25">
      <c r="B11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0" s="46"/>
      <c r="D1100" s="37"/>
      <c r="E1100" s="37"/>
      <c r="F1100" s="37"/>
      <c r="G1100" s="40" t="str">
        <f>IF(tblMovimientos[[#This Row],[Producto]]="","",TRIM(LEFT(tblMovimientos[[#This Row],[Producto]],FIND(" · ",tblMovimientos[[#This Row],[Producto]]&amp;" · ")-1)))</f>
        <v/>
      </c>
      <c r="H1100" s="40" t="str">
        <f>IF(tblMovimientos[[#This Row],[SKU]]="","",IFERROR(INDEX(tblProductos[Unidad],MATCH(tblMovimientos[[#This Row],[SKU]],tblProductos[SKU],0)),"?"))</f>
        <v/>
      </c>
      <c r="I1100" s="39"/>
      <c r="J1100" s="47" t="str">
        <f>IF(tblMovimientos[[#This Row],[Tipo]]="","",IFERROR(INDEX(tblTiposMov[FactorStock],MATCH(tblMovimientos[[#This Row],[Tipo]],tblTiposMov[Tipo],0)),0))</f>
        <v/>
      </c>
      <c r="K11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0" s="37"/>
      <c r="O1100" s="37"/>
      <c r="P1100" s="37"/>
    </row>
    <row r="1101" spans="2:16" x14ac:dyDescent="0.25">
      <c r="B11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1" s="46"/>
      <c r="D1101" s="37"/>
      <c r="E1101" s="37"/>
      <c r="F1101" s="37"/>
      <c r="G1101" s="40" t="str">
        <f>IF(tblMovimientos[[#This Row],[Producto]]="","",TRIM(LEFT(tblMovimientos[[#This Row],[Producto]],FIND(" · ",tblMovimientos[[#This Row],[Producto]]&amp;" · ")-1)))</f>
        <v/>
      </c>
      <c r="H1101" s="40" t="str">
        <f>IF(tblMovimientos[[#This Row],[SKU]]="","",IFERROR(INDEX(tblProductos[Unidad],MATCH(tblMovimientos[[#This Row],[SKU]],tblProductos[SKU],0)),"?"))</f>
        <v/>
      </c>
      <c r="I1101" s="39"/>
      <c r="J1101" s="47" t="str">
        <f>IF(tblMovimientos[[#This Row],[Tipo]]="","",IFERROR(INDEX(tblTiposMov[FactorStock],MATCH(tblMovimientos[[#This Row],[Tipo]],tblTiposMov[Tipo],0)),0))</f>
        <v/>
      </c>
      <c r="K11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1" s="37"/>
      <c r="O1101" s="37"/>
      <c r="P1101" s="37"/>
    </row>
    <row r="1102" spans="2:16" x14ac:dyDescent="0.25">
      <c r="B11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2" s="46"/>
      <c r="D1102" s="37"/>
      <c r="E1102" s="37"/>
      <c r="F1102" s="37"/>
      <c r="G1102" s="40" t="str">
        <f>IF(tblMovimientos[[#This Row],[Producto]]="","",TRIM(LEFT(tblMovimientos[[#This Row],[Producto]],FIND(" · ",tblMovimientos[[#This Row],[Producto]]&amp;" · ")-1)))</f>
        <v/>
      </c>
      <c r="H1102" s="40" t="str">
        <f>IF(tblMovimientos[[#This Row],[SKU]]="","",IFERROR(INDEX(tblProductos[Unidad],MATCH(tblMovimientos[[#This Row],[SKU]],tblProductos[SKU],0)),"?"))</f>
        <v/>
      </c>
      <c r="I1102" s="39"/>
      <c r="J1102" s="47" t="str">
        <f>IF(tblMovimientos[[#This Row],[Tipo]]="","",IFERROR(INDEX(tblTiposMov[FactorStock],MATCH(tblMovimientos[[#This Row],[Tipo]],tblTiposMov[Tipo],0)),0))</f>
        <v/>
      </c>
      <c r="K11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2" s="37"/>
      <c r="O1102" s="37"/>
      <c r="P1102" s="37"/>
    </row>
    <row r="1103" spans="2:16" x14ac:dyDescent="0.25">
      <c r="B11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3" s="46"/>
      <c r="D1103" s="37"/>
      <c r="E1103" s="37"/>
      <c r="F1103" s="37"/>
      <c r="G1103" s="40" t="str">
        <f>IF(tblMovimientos[[#This Row],[Producto]]="","",TRIM(LEFT(tblMovimientos[[#This Row],[Producto]],FIND(" · ",tblMovimientos[[#This Row],[Producto]]&amp;" · ")-1)))</f>
        <v/>
      </c>
      <c r="H1103" s="40" t="str">
        <f>IF(tblMovimientos[[#This Row],[SKU]]="","",IFERROR(INDEX(tblProductos[Unidad],MATCH(tblMovimientos[[#This Row],[SKU]],tblProductos[SKU],0)),"?"))</f>
        <v/>
      </c>
      <c r="I1103" s="39"/>
      <c r="J1103" s="47" t="str">
        <f>IF(tblMovimientos[[#This Row],[Tipo]]="","",IFERROR(INDEX(tblTiposMov[FactorStock],MATCH(tblMovimientos[[#This Row],[Tipo]],tblTiposMov[Tipo],0)),0))</f>
        <v/>
      </c>
      <c r="K11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3" s="37"/>
      <c r="O1103" s="37"/>
      <c r="P1103" s="37"/>
    </row>
    <row r="1104" spans="2:16" x14ac:dyDescent="0.25">
      <c r="B11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4" s="46"/>
      <c r="D1104" s="37"/>
      <c r="E1104" s="37"/>
      <c r="F1104" s="37"/>
      <c r="G1104" s="40" t="str">
        <f>IF(tblMovimientos[[#This Row],[Producto]]="","",TRIM(LEFT(tblMovimientos[[#This Row],[Producto]],FIND(" · ",tblMovimientos[[#This Row],[Producto]]&amp;" · ")-1)))</f>
        <v/>
      </c>
      <c r="H1104" s="40" t="str">
        <f>IF(tblMovimientos[[#This Row],[SKU]]="","",IFERROR(INDEX(tblProductos[Unidad],MATCH(tblMovimientos[[#This Row],[SKU]],tblProductos[SKU],0)),"?"))</f>
        <v/>
      </c>
      <c r="I1104" s="39"/>
      <c r="J1104" s="47" t="str">
        <f>IF(tblMovimientos[[#This Row],[Tipo]]="","",IFERROR(INDEX(tblTiposMov[FactorStock],MATCH(tblMovimientos[[#This Row],[Tipo]],tblTiposMov[Tipo],0)),0))</f>
        <v/>
      </c>
      <c r="K11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4" s="37"/>
      <c r="O1104" s="37"/>
      <c r="P1104" s="37"/>
    </row>
    <row r="1105" spans="2:16" x14ac:dyDescent="0.25">
      <c r="B11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5" s="46"/>
      <c r="D1105" s="37"/>
      <c r="E1105" s="37"/>
      <c r="F1105" s="37"/>
      <c r="G1105" s="40" t="str">
        <f>IF(tblMovimientos[[#This Row],[Producto]]="","",TRIM(LEFT(tblMovimientos[[#This Row],[Producto]],FIND(" · ",tblMovimientos[[#This Row],[Producto]]&amp;" · ")-1)))</f>
        <v/>
      </c>
      <c r="H1105" s="40" t="str">
        <f>IF(tblMovimientos[[#This Row],[SKU]]="","",IFERROR(INDEX(tblProductos[Unidad],MATCH(tblMovimientos[[#This Row],[SKU]],tblProductos[SKU],0)),"?"))</f>
        <v/>
      </c>
      <c r="I1105" s="39"/>
      <c r="J1105" s="47" t="str">
        <f>IF(tblMovimientos[[#This Row],[Tipo]]="","",IFERROR(INDEX(tblTiposMov[FactorStock],MATCH(tblMovimientos[[#This Row],[Tipo]],tblTiposMov[Tipo],0)),0))</f>
        <v/>
      </c>
      <c r="K11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5" s="37"/>
      <c r="O1105" s="37"/>
      <c r="P1105" s="37"/>
    </row>
    <row r="1106" spans="2:16" x14ac:dyDescent="0.25">
      <c r="B11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6" s="46"/>
      <c r="D1106" s="37"/>
      <c r="E1106" s="37"/>
      <c r="F1106" s="37"/>
      <c r="G1106" s="40" t="str">
        <f>IF(tblMovimientos[[#This Row],[Producto]]="","",TRIM(LEFT(tblMovimientos[[#This Row],[Producto]],FIND(" · ",tblMovimientos[[#This Row],[Producto]]&amp;" · ")-1)))</f>
        <v/>
      </c>
      <c r="H1106" s="40" t="str">
        <f>IF(tblMovimientos[[#This Row],[SKU]]="","",IFERROR(INDEX(tblProductos[Unidad],MATCH(tblMovimientos[[#This Row],[SKU]],tblProductos[SKU],0)),"?"))</f>
        <v/>
      </c>
      <c r="I1106" s="39"/>
      <c r="J1106" s="47" t="str">
        <f>IF(tblMovimientos[[#This Row],[Tipo]]="","",IFERROR(INDEX(tblTiposMov[FactorStock],MATCH(tblMovimientos[[#This Row],[Tipo]],tblTiposMov[Tipo],0)),0))</f>
        <v/>
      </c>
      <c r="K11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6" s="37"/>
      <c r="O1106" s="37"/>
      <c r="P1106" s="37"/>
    </row>
    <row r="1107" spans="2:16" x14ac:dyDescent="0.25">
      <c r="B11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7" s="46"/>
      <c r="D1107" s="37"/>
      <c r="E1107" s="37"/>
      <c r="F1107" s="37"/>
      <c r="G1107" s="40" t="str">
        <f>IF(tblMovimientos[[#This Row],[Producto]]="","",TRIM(LEFT(tblMovimientos[[#This Row],[Producto]],FIND(" · ",tblMovimientos[[#This Row],[Producto]]&amp;" · ")-1)))</f>
        <v/>
      </c>
      <c r="H1107" s="40" t="str">
        <f>IF(tblMovimientos[[#This Row],[SKU]]="","",IFERROR(INDEX(tblProductos[Unidad],MATCH(tblMovimientos[[#This Row],[SKU]],tblProductos[SKU],0)),"?"))</f>
        <v/>
      </c>
      <c r="I1107" s="39"/>
      <c r="J1107" s="47" t="str">
        <f>IF(tblMovimientos[[#This Row],[Tipo]]="","",IFERROR(INDEX(tblTiposMov[FactorStock],MATCH(tblMovimientos[[#This Row],[Tipo]],tblTiposMov[Tipo],0)),0))</f>
        <v/>
      </c>
      <c r="K11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7" s="37"/>
      <c r="O1107" s="37"/>
      <c r="P1107" s="37"/>
    </row>
    <row r="1108" spans="2:16" x14ac:dyDescent="0.25">
      <c r="B11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8" s="46"/>
      <c r="D1108" s="37"/>
      <c r="E1108" s="37"/>
      <c r="F1108" s="37"/>
      <c r="G1108" s="40" t="str">
        <f>IF(tblMovimientos[[#This Row],[Producto]]="","",TRIM(LEFT(tblMovimientos[[#This Row],[Producto]],FIND(" · ",tblMovimientos[[#This Row],[Producto]]&amp;" · ")-1)))</f>
        <v/>
      </c>
      <c r="H1108" s="40" t="str">
        <f>IF(tblMovimientos[[#This Row],[SKU]]="","",IFERROR(INDEX(tblProductos[Unidad],MATCH(tblMovimientos[[#This Row],[SKU]],tblProductos[SKU],0)),"?"))</f>
        <v/>
      </c>
      <c r="I1108" s="39"/>
      <c r="J1108" s="47" t="str">
        <f>IF(tblMovimientos[[#This Row],[Tipo]]="","",IFERROR(INDEX(tblTiposMov[FactorStock],MATCH(tblMovimientos[[#This Row],[Tipo]],tblTiposMov[Tipo],0)),0))</f>
        <v/>
      </c>
      <c r="K11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8" s="37"/>
      <c r="O1108" s="37"/>
      <c r="P1108" s="37"/>
    </row>
    <row r="1109" spans="2:16" x14ac:dyDescent="0.25">
      <c r="B11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09" s="46"/>
      <c r="D1109" s="37"/>
      <c r="E1109" s="37"/>
      <c r="F1109" s="37"/>
      <c r="G1109" s="40" t="str">
        <f>IF(tblMovimientos[[#This Row],[Producto]]="","",TRIM(LEFT(tblMovimientos[[#This Row],[Producto]],FIND(" · ",tblMovimientos[[#This Row],[Producto]]&amp;" · ")-1)))</f>
        <v/>
      </c>
      <c r="H1109" s="40" t="str">
        <f>IF(tblMovimientos[[#This Row],[SKU]]="","",IFERROR(INDEX(tblProductos[Unidad],MATCH(tblMovimientos[[#This Row],[SKU]],tblProductos[SKU],0)),"?"))</f>
        <v/>
      </c>
      <c r="I1109" s="39"/>
      <c r="J1109" s="47" t="str">
        <f>IF(tblMovimientos[[#This Row],[Tipo]]="","",IFERROR(INDEX(tblTiposMov[FactorStock],MATCH(tblMovimientos[[#This Row],[Tipo]],tblTiposMov[Tipo],0)),0))</f>
        <v/>
      </c>
      <c r="K11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09" s="37"/>
      <c r="O1109" s="37"/>
      <c r="P1109" s="37"/>
    </row>
    <row r="1110" spans="2:16" x14ac:dyDescent="0.25">
      <c r="B11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0" s="46"/>
      <c r="D1110" s="37"/>
      <c r="E1110" s="37"/>
      <c r="F1110" s="37"/>
      <c r="G1110" s="40" t="str">
        <f>IF(tblMovimientos[[#This Row],[Producto]]="","",TRIM(LEFT(tblMovimientos[[#This Row],[Producto]],FIND(" · ",tblMovimientos[[#This Row],[Producto]]&amp;" · ")-1)))</f>
        <v/>
      </c>
      <c r="H1110" s="40" t="str">
        <f>IF(tblMovimientos[[#This Row],[SKU]]="","",IFERROR(INDEX(tblProductos[Unidad],MATCH(tblMovimientos[[#This Row],[SKU]],tblProductos[SKU],0)),"?"))</f>
        <v/>
      </c>
      <c r="I1110" s="39"/>
      <c r="J1110" s="47" t="str">
        <f>IF(tblMovimientos[[#This Row],[Tipo]]="","",IFERROR(INDEX(tblTiposMov[FactorStock],MATCH(tblMovimientos[[#This Row],[Tipo]],tblTiposMov[Tipo],0)),0))</f>
        <v/>
      </c>
      <c r="K11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0" s="37"/>
      <c r="O1110" s="37"/>
      <c r="P1110" s="37"/>
    </row>
    <row r="1111" spans="2:16" x14ac:dyDescent="0.25">
      <c r="B11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1" s="46"/>
      <c r="D1111" s="37"/>
      <c r="E1111" s="37"/>
      <c r="F1111" s="37"/>
      <c r="G1111" s="40" t="str">
        <f>IF(tblMovimientos[[#This Row],[Producto]]="","",TRIM(LEFT(tblMovimientos[[#This Row],[Producto]],FIND(" · ",tblMovimientos[[#This Row],[Producto]]&amp;" · ")-1)))</f>
        <v/>
      </c>
      <c r="H1111" s="40" t="str">
        <f>IF(tblMovimientos[[#This Row],[SKU]]="","",IFERROR(INDEX(tblProductos[Unidad],MATCH(tblMovimientos[[#This Row],[SKU]],tblProductos[SKU],0)),"?"))</f>
        <v/>
      </c>
      <c r="I1111" s="39"/>
      <c r="J1111" s="47" t="str">
        <f>IF(tblMovimientos[[#This Row],[Tipo]]="","",IFERROR(INDEX(tblTiposMov[FactorStock],MATCH(tblMovimientos[[#This Row],[Tipo]],tblTiposMov[Tipo],0)),0))</f>
        <v/>
      </c>
      <c r="K11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1" s="37"/>
      <c r="O1111" s="37"/>
      <c r="P1111" s="37"/>
    </row>
    <row r="1112" spans="2:16" x14ac:dyDescent="0.25">
      <c r="B11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2" s="46"/>
      <c r="D1112" s="37"/>
      <c r="E1112" s="37"/>
      <c r="F1112" s="37"/>
      <c r="G1112" s="40" t="str">
        <f>IF(tblMovimientos[[#This Row],[Producto]]="","",TRIM(LEFT(tblMovimientos[[#This Row],[Producto]],FIND(" · ",tblMovimientos[[#This Row],[Producto]]&amp;" · ")-1)))</f>
        <v/>
      </c>
      <c r="H1112" s="40" t="str">
        <f>IF(tblMovimientos[[#This Row],[SKU]]="","",IFERROR(INDEX(tblProductos[Unidad],MATCH(tblMovimientos[[#This Row],[SKU]],tblProductos[SKU],0)),"?"))</f>
        <v/>
      </c>
      <c r="I1112" s="39"/>
      <c r="J1112" s="47" t="str">
        <f>IF(tblMovimientos[[#This Row],[Tipo]]="","",IFERROR(INDEX(tblTiposMov[FactorStock],MATCH(tblMovimientos[[#This Row],[Tipo]],tblTiposMov[Tipo],0)),0))</f>
        <v/>
      </c>
      <c r="K11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2" s="37"/>
      <c r="O1112" s="37"/>
      <c r="P1112" s="37"/>
    </row>
    <row r="1113" spans="2:16" x14ac:dyDescent="0.25">
      <c r="B11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3" s="46"/>
      <c r="D1113" s="37"/>
      <c r="E1113" s="37"/>
      <c r="F1113" s="37"/>
      <c r="G1113" s="40" t="str">
        <f>IF(tblMovimientos[[#This Row],[Producto]]="","",TRIM(LEFT(tblMovimientos[[#This Row],[Producto]],FIND(" · ",tblMovimientos[[#This Row],[Producto]]&amp;" · ")-1)))</f>
        <v/>
      </c>
      <c r="H1113" s="40" t="str">
        <f>IF(tblMovimientos[[#This Row],[SKU]]="","",IFERROR(INDEX(tblProductos[Unidad],MATCH(tblMovimientos[[#This Row],[SKU]],tblProductos[SKU],0)),"?"))</f>
        <v/>
      </c>
      <c r="I1113" s="39"/>
      <c r="J1113" s="47" t="str">
        <f>IF(tblMovimientos[[#This Row],[Tipo]]="","",IFERROR(INDEX(tblTiposMov[FactorStock],MATCH(tblMovimientos[[#This Row],[Tipo]],tblTiposMov[Tipo],0)),0))</f>
        <v/>
      </c>
      <c r="K11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3" s="37"/>
      <c r="O1113" s="37"/>
      <c r="P1113" s="37"/>
    </row>
    <row r="1114" spans="2:16" x14ac:dyDescent="0.25">
      <c r="B11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4" s="46"/>
      <c r="D1114" s="37"/>
      <c r="E1114" s="37"/>
      <c r="F1114" s="37"/>
      <c r="G1114" s="40" t="str">
        <f>IF(tblMovimientos[[#This Row],[Producto]]="","",TRIM(LEFT(tblMovimientos[[#This Row],[Producto]],FIND(" · ",tblMovimientos[[#This Row],[Producto]]&amp;" · ")-1)))</f>
        <v/>
      </c>
      <c r="H1114" s="40" t="str">
        <f>IF(tblMovimientos[[#This Row],[SKU]]="","",IFERROR(INDEX(tblProductos[Unidad],MATCH(tblMovimientos[[#This Row],[SKU]],tblProductos[SKU],0)),"?"))</f>
        <v/>
      </c>
      <c r="I1114" s="39"/>
      <c r="J1114" s="47" t="str">
        <f>IF(tblMovimientos[[#This Row],[Tipo]]="","",IFERROR(INDEX(tblTiposMov[FactorStock],MATCH(tblMovimientos[[#This Row],[Tipo]],tblTiposMov[Tipo],0)),0))</f>
        <v/>
      </c>
      <c r="K11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4" s="37"/>
      <c r="O1114" s="37"/>
      <c r="P1114" s="37"/>
    </row>
    <row r="1115" spans="2:16" x14ac:dyDescent="0.25">
      <c r="B11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5" s="46"/>
      <c r="D1115" s="37"/>
      <c r="E1115" s="37"/>
      <c r="F1115" s="37"/>
      <c r="G1115" s="40" t="str">
        <f>IF(tblMovimientos[[#This Row],[Producto]]="","",TRIM(LEFT(tblMovimientos[[#This Row],[Producto]],FIND(" · ",tblMovimientos[[#This Row],[Producto]]&amp;" · ")-1)))</f>
        <v/>
      </c>
      <c r="H1115" s="40" t="str">
        <f>IF(tblMovimientos[[#This Row],[SKU]]="","",IFERROR(INDEX(tblProductos[Unidad],MATCH(tblMovimientos[[#This Row],[SKU]],tblProductos[SKU],0)),"?"))</f>
        <v/>
      </c>
      <c r="I1115" s="39"/>
      <c r="J1115" s="47" t="str">
        <f>IF(tblMovimientos[[#This Row],[Tipo]]="","",IFERROR(INDEX(tblTiposMov[FactorStock],MATCH(tblMovimientos[[#This Row],[Tipo]],tblTiposMov[Tipo],0)),0))</f>
        <v/>
      </c>
      <c r="K11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5" s="37"/>
      <c r="O1115" s="37"/>
      <c r="P1115" s="37"/>
    </row>
    <row r="1116" spans="2:16" x14ac:dyDescent="0.25">
      <c r="B11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6" s="46"/>
      <c r="D1116" s="37"/>
      <c r="E1116" s="37"/>
      <c r="F1116" s="37"/>
      <c r="G1116" s="40" t="str">
        <f>IF(tblMovimientos[[#This Row],[Producto]]="","",TRIM(LEFT(tblMovimientos[[#This Row],[Producto]],FIND(" · ",tblMovimientos[[#This Row],[Producto]]&amp;" · ")-1)))</f>
        <v/>
      </c>
      <c r="H1116" s="40" t="str">
        <f>IF(tblMovimientos[[#This Row],[SKU]]="","",IFERROR(INDEX(tblProductos[Unidad],MATCH(tblMovimientos[[#This Row],[SKU]],tblProductos[SKU],0)),"?"))</f>
        <v/>
      </c>
      <c r="I1116" s="39"/>
      <c r="J1116" s="47" t="str">
        <f>IF(tblMovimientos[[#This Row],[Tipo]]="","",IFERROR(INDEX(tblTiposMov[FactorStock],MATCH(tblMovimientos[[#This Row],[Tipo]],tblTiposMov[Tipo],0)),0))</f>
        <v/>
      </c>
      <c r="K11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6" s="37"/>
      <c r="O1116" s="37"/>
      <c r="P1116" s="37"/>
    </row>
    <row r="1117" spans="2:16" x14ac:dyDescent="0.25">
      <c r="B11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7" s="46"/>
      <c r="D1117" s="37"/>
      <c r="E1117" s="37"/>
      <c r="F1117" s="37"/>
      <c r="G1117" s="40" t="str">
        <f>IF(tblMovimientos[[#This Row],[Producto]]="","",TRIM(LEFT(tblMovimientos[[#This Row],[Producto]],FIND(" · ",tblMovimientos[[#This Row],[Producto]]&amp;" · ")-1)))</f>
        <v/>
      </c>
      <c r="H1117" s="40" t="str">
        <f>IF(tblMovimientos[[#This Row],[SKU]]="","",IFERROR(INDEX(tblProductos[Unidad],MATCH(tblMovimientos[[#This Row],[SKU]],tblProductos[SKU],0)),"?"))</f>
        <v/>
      </c>
      <c r="I1117" s="39"/>
      <c r="J1117" s="47" t="str">
        <f>IF(tblMovimientos[[#This Row],[Tipo]]="","",IFERROR(INDEX(tblTiposMov[FactorStock],MATCH(tblMovimientos[[#This Row],[Tipo]],tblTiposMov[Tipo],0)),0))</f>
        <v/>
      </c>
      <c r="K11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7" s="37"/>
      <c r="O1117" s="37"/>
      <c r="P1117" s="37"/>
    </row>
    <row r="1118" spans="2:16" x14ac:dyDescent="0.25">
      <c r="B11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8" s="46"/>
      <c r="D1118" s="37"/>
      <c r="E1118" s="37"/>
      <c r="F1118" s="37"/>
      <c r="G1118" s="40" t="str">
        <f>IF(tblMovimientos[[#This Row],[Producto]]="","",TRIM(LEFT(tblMovimientos[[#This Row],[Producto]],FIND(" · ",tblMovimientos[[#This Row],[Producto]]&amp;" · ")-1)))</f>
        <v/>
      </c>
      <c r="H1118" s="40" t="str">
        <f>IF(tblMovimientos[[#This Row],[SKU]]="","",IFERROR(INDEX(tblProductos[Unidad],MATCH(tblMovimientos[[#This Row],[SKU]],tblProductos[SKU],0)),"?"))</f>
        <v/>
      </c>
      <c r="I1118" s="39"/>
      <c r="J1118" s="47" t="str">
        <f>IF(tblMovimientos[[#This Row],[Tipo]]="","",IFERROR(INDEX(tblTiposMov[FactorStock],MATCH(tblMovimientos[[#This Row],[Tipo]],tblTiposMov[Tipo],0)),0))</f>
        <v/>
      </c>
      <c r="K11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8" s="37"/>
      <c r="O1118" s="37"/>
      <c r="P1118" s="37"/>
    </row>
    <row r="1119" spans="2:16" x14ac:dyDescent="0.25">
      <c r="B11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19" s="46"/>
      <c r="D1119" s="37"/>
      <c r="E1119" s="37"/>
      <c r="F1119" s="37"/>
      <c r="G1119" s="40" t="str">
        <f>IF(tblMovimientos[[#This Row],[Producto]]="","",TRIM(LEFT(tblMovimientos[[#This Row],[Producto]],FIND(" · ",tblMovimientos[[#This Row],[Producto]]&amp;" · ")-1)))</f>
        <v/>
      </c>
      <c r="H1119" s="40" t="str">
        <f>IF(tblMovimientos[[#This Row],[SKU]]="","",IFERROR(INDEX(tblProductos[Unidad],MATCH(tblMovimientos[[#This Row],[SKU]],tblProductos[SKU],0)),"?"))</f>
        <v/>
      </c>
      <c r="I1119" s="39"/>
      <c r="J1119" s="47" t="str">
        <f>IF(tblMovimientos[[#This Row],[Tipo]]="","",IFERROR(INDEX(tblTiposMov[FactorStock],MATCH(tblMovimientos[[#This Row],[Tipo]],tblTiposMov[Tipo],0)),0))</f>
        <v/>
      </c>
      <c r="K11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19" s="37"/>
      <c r="O1119" s="37"/>
      <c r="P1119" s="37"/>
    </row>
    <row r="1120" spans="2:16" x14ac:dyDescent="0.25">
      <c r="B11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0" s="46"/>
      <c r="D1120" s="37"/>
      <c r="E1120" s="37"/>
      <c r="F1120" s="37"/>
      <c r="G1120" s="40" t="str">
        <f>IF(tblMovimientos[[#This Row],[Producto]]="","",TRIM(LEFT(tblMovimientos[[#This Row],[Producto]],FIND(" · ",tblMovimientos[[#This Row],[Producto]]&amp;" · ")-1)))</f>
        <v/>
      </c>
      <c r="H1120" s="40" t="str">
        <f>IF(tblMovimientos[[#This Row],[SKU]]="","",IFERROR(INDEX(tblProductos[Unidad],MATCH(tblMovimientos[[#This Row],[SKU]],tblProductos[SKU],0)),"?"))</f>
        <v/>
      </c>
      <c r="I1120" s="39"/>
      <c r="J1120" s="47" t="str">
        <f>IF(tblMovimientos[[#This Row],[Tipo]]="","",IFERROR(INDEX(tblTiposMov[FactorStock],MATCH(tblMovimientos[[#This Row],[Tipo]],tblTiposMov[Tipo],0)),0))</f>
        <v/>
      </c>
      <c r="K11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0" s="37"/>
      <c r="O1120" s="37"/>
      <c r="P1120" s="37"/>
    </row>
    <row r="1121" spans="2:16" x14ac:dyDescent="0.25">
      <c r="B11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1" s="46"/>
      <c r="D1121" s="37"/>
      <c r="E1121" s="37"/>
      <c r="F1121" s="37"/>
      <c r="G1121" s="40" t="str">
        <f>IF(tblMovimientos[[#This Row],[Producto]]="","",TRIM(LEFT(tblMovimientos[[#This Row],[Producto]],FIND(" · ",tblMovimientos[[#This Row],[Producto]]&amp;" · ")-1)))</f>
        <v/>
      </c>
      <c r="H1121" s="40" t="str">
        <f>IF(tblMovimientos[[#This Row],[SKU]]="","",IFERROR(INDEX(tblProductos[Unidad],MATCH(tblMovimientos[[#This Row],[SKU]],tblProductos[SKU],0)),"?"))</f>
        <v/>
      </c>
      <c r="I1121" s="39"/>
      <c r="J1121" s="47" t="str">
        <f>IF(tblMovimientos[[#This Row],[Tipo]]="","",IFERROR(INDEX(tblTiposMov[FactorStock],MATCH(tblMovimientos[[#This Row],[Tipo]],tblTiposMov[Tipo],0)),0))</f>
        <v/>
      </c>
      <c r="K11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1" s="37"/>
      <c r="O1121" s="37"/>
      <c r="P1121" s="37"/>
    </row>
    <row r="1122" spans="2:16" x14ac:dyDescent="0.25">
      <c r="B11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2" s="46"/>
      <c r="D1122" s="37"/>
      <c r="E1122" s="37"/>
      <c r="F1122" s="37"/>
      <c r="G1122" s="40" t="str">
        <f>IF(tblMovimientos[[#This Row],[Producto]]="","",TRIM(LEFT(tblMovimientos[[#This Row],[Producto]],FIND(" · ",tblMovimientos[[#This Row],[Producto]]&amp;" · ")-1)))</f>
        <v/>
      </c>
      <c r="H1122" s="40" t="str">
        <f>IF(tblMovimientos[[#This Row],[SKU]]="","",IFERROR(INDEX(tblProductos[Unidad],MATCH(tblMovimientos[[#This Row],[SKU]],tblProductos[SKU],0)),"?"))</f>
        <v/>
      </c>
      <c r="I1122" s="39"/>
      <c r="J1122" s="47" t="str">
        <f>IF(tblMovimientos[[#This Row],[Tipo]]="","",IFERROR(INDEX(tblTiposMov[FactorStock],MATCH(tblMovimientos[[#This Row],[Tipo]],tblTiposMov[Tipo],0)),0))</f>
        <v/>
      </c>
      <c r="K11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2" s="37"/>
      <c r="O1122" s="37"/>
      <c r="P1122" s="37"/>
    </row>
    <row r="1123" spans="2:16" x14ac:dyDescent="0.25">
      <c r="B11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3" s="46"/>
      <c r="D1123" s="37"/>
      <c r="E1123" s="37"/>
      <c r="F1123" s="37"/>
      <c r="G1123" s="40" t="str">
        <f>IF(tblMovimientos[[#This Row],[Producto]]="","",TRIM(LEFT(tblMovimientos[[#This Row],[Producto]],FIND(" · ",tblMovimientos[[#This Row],[Producto]]&amp;" · ")-1)))</f>
        <v/>
      </c>
      <c r="H1123" s="40" t="str">
        <f>IF(tblMovimientos[[#This Row],[SKU]]="","",IFERROR(INDEX(tblProductos[Unidad],MATCH(tblMovimientos[[#This Row],[SKU]],tblProductos[SKU],0)),"?"))</f>
        <v/>
      </c>
      <c r="I1123" s="39"/>
      <c r="J1123" s="47" t="str">
        <f>IF(tblMovimientos[[#This Row],[Tipo]]="","",IFERROR(INDEX(tblTiposMov[FactorStock],MATCH(tblMovimientos[[#This Row],[Tipo]],tblTiposMov[Tipo],0)),0))</f>
        <v/>
      </c>
      <c r="K11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3" s="37"/>
      <c r="O1123" s="37"/>
      <c r="P1123" s="37"/>
    </row>
    <row r="1124" spans="2:16" x14ac:dyDescent="0.25">
      <c r="B11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4" s="46"/>
      <c r="D1124" s="37"/>
      <c r="E1124" s="37"/>
      <c r="F1124" s="37"/>
      <c r="G1124" s="40" t="str">
        <f>IF(tblMovimientos[[#This Row],[Producto]]="","",TRIM(LEFT(tblMovimientos[[#This Row],[Producto]],FIND(" · ",tblMovimientos[[#This Row],[Producto]]&amp;" · ")-1)))</f>
        <v/>
      </c>
      <c r="H1124" s="40" t="str">
        <f>IF(tblMovimientos[[#This Row],[SKU]]="","",IFERROR(INDEX(tblProductos[Unidad],MATCH(tblMovimientos[[#This Row],[SKU]],tblProductos[SKU],0)),"?"))</f>
        <v/>
      </c>
      <c r="I1124" s="39"/>
      <c r="J1124" s="47" t="str">
        <f>IF(tblMovimientos[[#This Row],[Tipo]]="","",IFERROR(INDEX(tblTiposMov[FactorStock],MATCH(tblMovimientos[[#This Row],[Tipo]],tblTiposMov[Tipo],0)),0))</f>
        <v/>
      </c>
      <c r="K11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4" s="37"/>
      <c r="O1124" s="37"/>
      <c r="P1124" s="37"/>
    </row>
    <row r="1125" spans="2:16" x14ac:dyDescent="0.25">
      <c r="B11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5" s="46"/>
      <c r="D1125" s="37"/>
      <c r="E1125" s="37"/>
      <c r="F1125" s="37"/>
      <c r="G1125" s="40" t="str">
        <f>IF(tblMovimientos[[#This Row],[Producto]]="","",TRIM(LEFT(tblMovimientos[[#This Row],[Producto]],FIND(" · ",tblMovimientos[[#This Row],[Producto]]&amp;" · ")-1)))</f>
        <v/>
      </c>
      <c r="H1125" s="40" t="str">
        <f>IF(tblMovimientos[[#This Row],[SKU]]="","",IFERROR(INDEX(tblProductos[Unidad],MATCH(tblMovimientos[[#This Row],[SKU]],tblProductos[SKU],0)),"?"))</f>
        <v/>
      </c>
      <c r="I1125" s="39"/>
      <c r="J1125" s="47" t="str">
        <f>IF(tblMovimientos[[#This Row],[Tipo]]="","",IFERROR(INDEX(tblTiposMov[FactorStock],MATCH(tblMovimientos[[#This Row],[Tipo]],tblTiposMov[Tipo],0)),0))</f>
        <v/>
      </c>
      <c r="K11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5" s="37"/>
      <c r="O1125" s="37"/>
      <c r="P1125" s="37"/>
    </row>
    <row r="1126" spans="2:16" x14ac:dyDescent="0.25">
      <c r="B11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6" s="46"/>
      <c r="D1126" s="37"/>
      <c r="E1126" s="37"/>
      <c r="F1126" s="37"/>
      <c r="G1126" s="40" t="str">
        <f>IF(tblMovimientos[[#This Row],[Producto]]="","",TRIM(LEFT(tblMovimientos[[#This Row],[Producto]],FIND(" · ",tblMovimientos[[#This Row],[Producto]]&amp;" · ")-1)))</f>
        <v/>
      </c>
      <c r="H1126" s="40" t="str">
        <f>IF(tblMovimientos[[#This Row],[SKU]]="","",IFERROR(INDEX(tblProductos[Unidad],MATCH(tblMovimientos[[#This Row],[SKU]],tblProductos[SKU],0)),"?"))</f>
        <v/>
      </c>
      <c r="I1126" s="39"/>
      <c r="J1126" s="47" t="str">
        <f>IF(tblMovimientos[[#This Row],[Tipo]]="","",IFERROR(INDEX(tblTiposMov[FactorStock],MATCH(tblMovimientos[[#This Row],[Tipo]],tblTiposMov[Tipo],0)),0))</f>
        <v/>
      </c>
      <c r="K11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6" s="37"/>
      <c r="O1126" s="37"/>
      <c r="P1126" s="37"/>
    </row>
    <row r="1127" spans="2:16" x14ac:dyDescent="0.25">
      <c r="B11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7" s="46"/>
      <c r="D1127" s="37"/>
      <c r="E1127" s="37"/>
      <c r="F1127" s="37"/>
      <c r="G1127" s="40" t="str">
        <f>IF(tblMovimientos[[#This Row],[Producto]]="","",TRIM(LEFT(tblMovimientos[[#This Row],[Producto]],FIND(" · ",tblMovimientos[[#This Row],[Producto]]&amp;" · ")-1)))</f>
        <v/>
      </c>
      <c r="H1127" s="40" t="str">
        <f>IF(tblMovimientos[[#This Row],[SKU]]="","",IFERROR(INDEX(tblProductos[Unidad],MATCH(tblMovimientos[[#This Row],[SKU]],tblProductos[SKU],0)),"?"))</f>
        <v/>
      </c>
      <c r="I1127" s="39"/>
      <c r="J1127" s="47" t="str">
        <f>IF(tblMovimientos[[#This Row],[Tipo]]="","",IFERROR(INDEX(tblTiposMov[FactorStock],MATCH(tblMovimientos[[#This Row],[Tipo]],tblTiposMov[Tipo],0)),0))</f>
        <v/>
      </c>
      <c r="K11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7" s="37"/>
      <c r="O1127" s="37"/>
      <c r="P1127" s="37"/>
    </row>
    <row r="1128" spans="2:16" x14ac:dyDescent="0.25">
      <c r="B11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8" s="46"/>
      <c r="D1128" s="37"/>
      <c r="E1128" s="37"/>
      <c r="F1128" s="37"/>
      <c r="G1128" s="40" t="str">
        <f>IF(tblMovimientos[[#This Row],[Producto]]="","",TRIM(LEFT(tblMovimientos[[#This Row],[Producto]],FIND(" · ",tblMovimientos[[#This Row],[Producto]]&amp;" · ")-1)))</f>
        <v/>
      </c>
      <c r="H1128" s="40" t="str">
        <f>IF(tblMovimientos[[#This Row],[SKU]]="","",IFERROR(INDEX(tblProductos[Unidad],MATCH(tblMovimientos[[#This Row],[SKU]],tblProductos[SKU],0)),"?"))</f>
        <v/>
      </c>
      <c r="I1128" s="39"/>
      <c r="J1128" s="47" t="str">
        <f>IF(tblMovimientos[[#This Row],[Tipo]]="","",IFERROR(INDEX(tblTiposMov[FactorStock],MATCH(tblMovimientos[[#This Row],[Tipo]],tblTiposMov[Tipo],0)),0))</f>
        <v/>
      </c>
      <c r="K11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8" s="37"/>
      <c r="O1128" s="37"/>
      <c r="P1128" s="37"/>
    </row>
    <row r="1129" spans="2:16" x14ac:dyDescent="0.25">
      <c r="B11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29" s="46"/>
      <c r="D1129" s="37"/>
      <c r="E1129" s="37"/>
      <c r="F1129" s="37"/>
      <c r="G1129" s="40" t="str">
        <f>IF(tblMovimientos[[#This Row],[Producto]]="","",TRIM(LEFT(tblMovimientos[[#This Row],[Producto]],FIND(" · ",tblMovimientos[[#This Row],[Producto]]&amp;" · ")-1)))</f>
        <v/>
      </c>
      <c r="H1129" s="40" t="str">
        <f>IF(tblMovimientos[[#This Row],[SKU]]="","",IFERROR(INDEX(tblProductos[Unidad],MATCH(tblMovimientos[[#This Row],[SKU]],tblProductos[SKU],0)),"?"))</f>
        <v/>
      </c>
      <c r="I1129" s="39"/>
      <c r="J1129" s="47" t="str">
        <f>IF(tblMovimientos[[#This Row],[Tipo]]="","",IFERROR(INDEX(tblTiposMov[FactorStock],MATCH(tblMovimientos[[#This Row],[Tipo]],tblTiposMov[Tipo],0)),0))</f>
        <v/>
      </c>
      <c r="K11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29" s="37"/>
      <c r="O1129" s="37"/>
      <c r="P1129" s="37"/>
    </row>
    <row r="1130" spans="2:16" x14ac:dyDescent="0.25">
      <c r="B11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0" s="46"/>
      <c r="D1130" s="37"/>
      <c r="E1130" s="37"/>
      <c r="F1130" s="37"/>
      <c r="G1130" s="40" t="str">
        <f>IF(tblMovimientos[[#This Row],[Producto]]="","",TRIM(LEFT(tblMovimientos[[#This Row],[Producto]],FIND(" · ",tblMovimientos[[#This Row],[Producto]]&amp;" · ")-1)))</f>
        <v/>
      </c>
      <c r="H1130" s="40" t="str">
        <f>IF(tblMovimientos[[#This Row],[SKU]]="","",IFERROR(INDEX(tblProductos[Unidad],MATCH(tblMovimientos[[#This Row],[SKU]],tblProductos[SKU],0)),"?"))</f>
        <v/>
      </c>
      <c r="I1130" s="39"/>
      <c r="J1130" s="47" t="str">
        <f>IF(tblMovimientos[[#This Row],[Tipo]]="","",IFERROR(INDEX(tblTiposMov[FactorStock],MATCH(tblMovimientos[[#This Row],[Tipo]],tblTiposMov[Tipo],0)),0))</f>
        <v/>
      </c>
      <c r="K11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0" s="37"/>
      <c r="O1130" s="37"/>
      <c r="P1130" s="37"/>
    </row>
    <row r="1131" spans="2:16" x14ac:dyDescent="0.25">
      <c r="B11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1" s="46"/>
      <c r="D1131" s="37"/>
      <c r="E1131" s="37"/>
      <c r="F1131" s="37"/>
      <c r="G1131" s="40" t="str">
        <f>IF(tblMovimientos[[#This Row],[Producto]]="","",TRIM(LEFT(tblMovimientos[[#This Row],[Producto]],FIND(" · ",tblMovimientos[[#This Row],[Producto]]&amp;" · ")-1)))</f>
        <v/>
      </c>
      <c r="H1131" s="40" t="str">
        <f>IF(tblMovimientos[[#This Row],[SKU]]="","",IFERROR(INDEX(tblProductos[Unidad],MATCH(tblMovimientos[[#This Row],[SKU]],tblProductos[SKU],0)),"?"))</f>
        <v/>
      </c>
      <c r="I1131" s="39"/>
      <c r="J1131" s="47" t="str">
        <f>IF(tblMovimientos[[#This Row],[Tipo]]="","",IFERROR(INDEX(tblTiposMov[FactorStock],MATCH(tblMovimientos[[#This Row],[Tipo]],tblTiposMov[Tipo],0)),0))</f>
        <v/>
      </c>
      <c r="K11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1" s="37"/>
      <c r="O1131" s="37"/>
      <c r="P1131" s="37"/>
    </row>
    <row r="1132" spans="2:16" x14ac:dyDescent="0.25">
      <c r="B11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2" s="46"/>
      <c r="D1132" s="37"/>
      <c r="E1132" s="37"/>
      <c r="F1132" s="37"/>
      <c r="G1132" s="40" t="str">
        <f>IF(tblMovimientos[[#This Row],[Producto]]="","",TRIM(LEFT(tblMovimientos[[#This Row],[Producto]],FIND(" · ",tblMovimientos[[#This Row],[Producto]]&amp;" · ")-1)))</f>
        <v/>
      </c>
      <c r="H1132" s="40" t="str">
        <f>IF(tblMovimientos[[#This Row],[SKU]]="","",IFERROR(INDEX(tblProductos[Unidad],MATCH(tblMovimientos[[#This Row],[SKU]],tblProductos[SKU],0)),"?"))</f>
        <v/>
      </c>
      <c r="I1132" s="39"/>
      <c r="J1132" s="47" t="str">
        <f>IF(tblMovimientos[[#This Row],[Tipo]]="","",IFERROR(INDEX(tblTiposMov[FactorStock],MATCH(tblMovimientos[[#This Row],[Tipo]],tblTiposMov[Tipo],0)),0))</f>
        <v/>
      </c>
      <c r="K11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2" s="37"/>
      <c r="O1132" s="37"/>
      <c r="P1132" s="37"/>
    </row>
    <row r="1133" spans="2:16" x14ac:dyDescent="0.25">
      <c r="B11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3" s="46"/>
      <c r="D1133" s="37"/>
      <c r="E1133" s="37"/>
      <c r="F1133" s="37"/>
      <c r="G1133" s="40" t="str">
        <f>IF(tblMovimientos[[#This Row],[Producto]]="","",TRIM(LEFT(tblMovimientos[[#This Row],[Producto]],FIND(" · ",tblMovimientos[[#This Row],[Producto]]&amp;" · ")-1)))</f>
        <v/>
      </c>
      <c r="H1133" s="40" t="str">
        <f>IF(tblMovimientos[[#This Row],[SKU]]="","",IFERROR(INDEX(tblProductos[Unidad],MATCH(tblMovimientos[[#This Row],[SKU]],tblProductos[SKU],0)),"?"))</f>
        <v/>
      </c>
      <c r="I1133" s="39"/>
      <c r="J1133" s="47" t="str">
        <f>IF(tblMovimientos[[#This Row],[Tipo]]="","",IFERROR(INDEX(tblTiposMov[FactorStock],MATCH(tblMovimientos[[#This Row],[Tipo]],tblTiposMov[Tipo],0)),0))</f>
        <v/>
      </c>
      <c r="K11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3" s="37"/>
      <c r="O1133" s="37"/>
      <c r="P1133" s="37"/>
    </row>
    <row r="1134" spans="2:16" x14ac:dyDescent="0.25">
      <c r="B11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4" s="46"/>
      <c r="D1134" s="37"/>
      <c r="E1134" s="37"/>
      <c r="F1134" s="37"/>
      <c r="G1134" s="40" t="str">
        <f>IF(tblMovimientos[[#This Row],[Producto]]="","",TRIM(LEFT(tblMovimientos[[#This Row],[Producto]],FIND(" · ",tblMovimientos[[#This Row],[Producto]]&amp;" · ")-1)))</f>
        <v/>
      </c>
      <c r="H1134" s="40" t="str">
        <f>IF(tblMovimientos[[#This Row],[SKU]]="","",IFERROR(INDEX(tblProductos[Unidad],MATCH(tblMovimientos[[#This Row],[SKU]],tblProductos[SKU],0)),"?"))</f>
        <v/>
      </c>
      <c r="I1134" s="39"/>
      <c r="J1134" s="47" t="str">
        <f>IF(tblMovimientos[[#This Row],[Tipo]]="","",IFERROR(INDEX(tblTiposMov[FactorStock],MATCH(tblMovimientos[[#This Row],[Tipo]],tblTiposMov[Tipo],0)),0))</f>
        <v/>
      </c>
      <c r="K11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4" s="37"/>
      <c r="O1134" s="37"/>
      <c r="P1134" s="37"/>
    </row>
    <row r="1135" spans="2:16" x14ac:dyDescent="0.25">
      <c r="B11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5" s="46"/>
      <c r="D1135" s="37"/>
      <c r="E1135" s="37"/>
      <c r="F1135" s="37"/>
      <c r="G1135" s="40" t="str">
        <f>IF(tblMovimientos[[#This Row],[Producto]]="","",TRIM(LEFT(tblMovimientos[[#This Row],[Producto]],FIND(" · ",tblMovimientos[[#This Row],[Producto]]&amp;" · ")-1)))</f>
        <v/>
      </c>
      <c r="H1135" s="40" t="str">
        <f>IF(tblMovimientos[[#This Row],[SKU]]="","",IFERROR(INDEX(tblProductos[Unidad],MATCH(tblMovimientos[[#This Row],[SKU]],tblProductos[SKU],0)),"?"))</f>
        <v/>
      </c>
      <c r="I1135" s="39"/>
      <c r="J1135" s="47" t="str">
        <f>IF(tblMovimientos[[#This Row],[Tipo]]="","",IFERROR(INDEX(tblTiposMov[FactorStock],MATCH(tblMovimientos[[#This Row],[Tipo]],tblTiposMov[Tipo],0)),0))</f>
        <v/>
      </c>
      <c r="K11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5" s="37"/>
      <c r="O1135" s="37"/>
      <c r="P1135" s="37"/>
    </row>
    <row r="1136" spans="2:16" x14ac:dyDescent="0.25">
      <c r="B11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6" s="46"/>
      <c r="D1136" s="37"/>
      <c r="E1136" s="37"/>
      <c r="F1136" s="37"/>
      <c r="G1136" s="40" t="str">
        <f>IF(tblMovimientos[[#This Row],[Producto]]="","",TRIM(LEFT(tblMovimientos[[#This Row],[Producto]],FIND(" · ",tblMovimientos[[#This Row],[Producto]]&amp;" · ")-1)))</f>
        <v/>
      </c>
      <c r="H1136" s="40" t="str">
        <f>IF(tblMovimientos[[#This Row],[SKU]]="","",IFERROR(INDEX(tblProductos[Unidad],MATCH(tblMovimientos[[#This Row],[SKU]],tblProductos[SKU],0)),"?"))</f>
        <v/>
      </c>
      <c r="I1136" s="39"/>
      <c r="J1136" s="47" t="str">
        <f>IF(tblMovimientos[[#This Row],[Tipo]]="","",IFERROR(INDEX(tblTiposMov[FactorStock],MATCH(tblMovimientos[[#This Row],[Tipo]],tblTiposMov[Tipo],0)),0))</f>
        <v/>
      </c>
      <c r="K11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6" s="37"/>
      <c r="O1136" s="37"/>
      <c r="P1136" s="37"/>
    </row>
    <row r="1137" spans="2:16" x14ac:dyDescent="0.25">
      <c r="B11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7" s="46"/>
      <c r="D1137" s="37"/>
      <c r="E1137" s="37"/>
      <c r="F1137" s="37"/>
      <c r="G1137" s="40" t="str">
        <f>IF(tblMovimientos[[#This Row],[Producto]]="","",TRIM(LEFT(tblMovimientos[[#This Row],[Producto]],FIND(" · ",tblMovimientos[[#This Row],[Producto]]&amp;" · ")-1)))</f>
        <v/>
      </c>
      <c r="H1137" s="40" t="str">
        <f>IF(tblMovimientos[[#This Row],[SKU]]="","",IFERROR(INDEX(tblProductos[Unidad],MATCH(tblMovimientos[[#This Row],[SKU]],tblProductos[SKU],0)),"?"))</f>
        <v/>
      </c>
      <c r="I1137" s="39"/>
      <c r="J1137" s="47" t="str">
        <f>IF(tblMovimientos[[#This Row],[Tipo]]="","",IFERROR(INDEX(tblTiposMov[FactorStock],MATCH(tblMovimientos[[#This Row],[Tipo]],tblTiposMov[Tipo],0)),0))</f>
        <v/>
      </c>
      <c r="K11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7" s="37"/>
      <c r="O1137" s="37"/>
      <c r="P1137" s="37"/>
    </row>
    <row r="1138" spans="2:16" x14ac:dyDescent="0.25">
      <c r="B11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8" s="46"/>
      <c r="D1138" s="37"/>
      <c r="E1138" s="37"/>
      <c r="F1138" s="37"/>
      <c r="G1138" s="40" t="str">
        <f>IF(tblMovimientos[[#This Row],[Producto]]="","",TRIM(LEFT(tblMovimientos[[#This Row],[Producto]],FIND(" · ",tblMovimientos[[#This Row],[Producto]]&amp;" · ")-1)))</f>
        <v/>
      </c>
      <c r="H1138" s="40" t="str">
        <f>IF(tblMovimientos[[#This Row],[SKU]]="","",IFERROR(INDEX(tblProductos[Unidad],MATCH(tblMovimientos[[#This Row],[SKU]],tblProductos[SKU],0)),"?"))</f>
        <v/>
      </c>
      <c r="I1138" s="39"/>
      <c r="J1138" s="47" t="str">
        <f>IF(tblMovimientos[[#This Row],[Tipo]]="","",IFERROR(INDEX(tblTiposMov[FactorStock],MATCH(tblMovimientos[[#This Row],[Tipo]],tblTiposMov[Tipo],0)),0))</f>
        <v/>
      </c>
      <c r="K11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8" s="37"/>
      <c r="O1138" s="37"/>
      <c r="P1138" s="37"/>
    </row>
    <row r="1139" spans="2:16" x14ac:dyDescent="0.25">
      <c r="B11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39" s="46"/>
      <c r="D1139" s="37"/>
      <c r="E1139" s="37"/>
      <c r="F1139" s="37"/>
      <c r="G1139" s="40" t="str">
        <f>IF(tblMovimientos[[#This Row],[Producto]]="","",TRIM(LEFT(tblMovimientos[[#This Row],[Producto]],FIND(" · ",tblMovimientos[[#This Row],[Producto]]&amp;" · ")-1)))</f>
        <v/>
      </c>
      <c r="H1139" s="40" t="str">
        <f>IF(tblMovimientos[[#This Row],[SKU]]="","",IFERROR(INDEX(tblProductos[Unidad],MATCH(tblMovimientos[[#This Row],[SKU]],tblProductos[SKU],0)),"?"))</f>
        <v/>
      </c>
      <c r="I1139" s="39"/>
      <c r="J1139" s="47" t="str">
        <f>IF(tblMovimientos[[#This Row],[Tipo]]="","",IFERROR(INDEX(tblTiposMov[FactorStock],MATCH(tblMovimientos[[#This Row],[Tipo]],tblTiposMov[Tipo],0)),0))</f>
        <v/>
      </c>
      <c r="K11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39" s="37"/>
      <c r="O1139" s="37"/>
      <c r="P1139" s="37"/>
    </row>
    <row r="1140" spans="2:16" x14ac:dyDescent="0.25">
      <c r="B11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0" s="46"/>
      <c r="D1140" s="37"/>
      <c r="E1140" s="37"/>
      <c r="F1140" s="37"/>
      <c r="G1140" s="40" t="str">
        <f>IF(tblMovimientos[[#This Row],[Producto]]="","",TRIM(LEFT(tblMovimientos[[#This Row],[Producto]],FIND(" · ",tblMovimientos[[#This Row],[Producto]]&amp;" · ")-1)))</f>
        <v/>
      </c>
      <c r="H1140" s="40" t="str">
        <f>IF(tblMovimientos[[#This Row],[SKU]]="","",IFERROR(INDEX(tblProductos[Unidad],MATCH(tblMovimientos[[#This Row],[SKU]],tblProductos[SKU],0)),"?"))</f>
        <v/>
      </c>
      <c r="I1140" s="39"/>
      <c r="J1140" s="47" t="str">
        <f>IF(tblMovimientos[[#This Row],[Tipo]]="","",IFERROR(INDEX(tblTiposMov[FactorStock],MATCH(tblMovimientos[[#This Row],[Tipo]],tblTiposMov[Tipo],0)),0))</f>
        <v/>
      </c>
      <c r="K11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0" s="37"/>
      <c r="O1140" s="37"/>
      <c r="P1140" s="37"/>
    </row>
    <row r="1141" spans="2:16" x14ac:dyDescent="0.25">
      <c r="B11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1" s="46"/>
      <c r="D1141" s="37"/>
      <c r="E1141" s="37"/>
      <c r="F1141" s="37"/>
      <c r="G1141" s="40" t="str">
        <f>IF(tblMovimientos[[#This Row],[Producto]]="","",TRIM(LEFT(tblMovimientos[[#This Row],[Producto]],FIND(" · ",tblMovimientos[[#This Row],[Producto]]&amp;" · ")-1)))</f>
        <v/>
      </c>
      <c r="H1141" s="40" t="str">
        <f>IF(tblMovimientos[[#This Row],[SKU]]="","",IFERROR(INDEX(tblProductos[Unidad],MATCH(tblMovimientos[[#This Row],[SKU]],tblProductos[SKU],0)),"?"))</f>
        <v/>
      </c>
      <c r="I1141" s="39"/>
      <c r="J1141" s="47" t="str">
        <f>IF(tblMovimientos[[#This Row],[Tipo]]="","",IFERROR(INDEX(tblTiposMov[FactorStock],MATCH(tblMovimientos[[#This Row],[Tipo]],tblTiposMov[Tipo],0)),0))</f>
        <v/>
      </c>
      <c r="K11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1" s="37"/>
      <c r="O1141" s="37"/>
      <c r="P1141" s="37"/>
    </row>
    <row r="1142" spans="2:16" x14ac:dyDescent="0.25">
      <c r="B11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2" s="46"/>
      <c r="D1142" s="37"/>
      <c r="E1142" s="37"/>
      <c r="F1142" s="37"/>
      <c r="G1142" s="40" t="str">
        <f>IF(tblMovimientos[[#This Row],[Producto]]="","",TRIM(LEFT(tblMovimientos[[#This Row],[Producto]],FIND(" · ",tblMovimientos[[#This Row],[Producto]]&amp;" · ")-1)))</f>
        <v/>
      </c>
      <c r="H1142" s="40" t="str">
        <f>IF(tblMovimientos[[#This Row],[SKU]]="","",IFERROR(INDEX(tblProductos[Unidad],MATCH(tblMovimientos[[#This Row],[SKU]],tblProductos[SKU],0)),"?"))</f>
        <v/>
      </c>
      <c r="I1142" s="39"/>
      <c r="J1142" s="47" t="str">
        <f>IF(tblMovimientos[[#This Row],[Tipo]]="","",IFERROR(INDEX(tblTiposMov[FactorStock],MATCH(tblMovimientos[[#This Row],[Tipo]],tblTiposMov[Tipo],0)),0))</f>
        <v/>
      </c>
      <c r="K11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2" s="37"/>
      <c r="O1142" s="37"/>
      <c r="P1142" s="37"/>
    </row>
    <row r="1143" spans="2:16" x14ac:dyDescent="0.25">
      <c r="B11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3" s="46"/>
      <c r="D1143" s="37"/>
      <c r="E1143" s="37"/>
      <c r="F1143" s="37"/>
      <c r="G1143" s="40" t="str">
        <f>IF(tblMovimientos[[#This Row],[Producto]]="","",TRIM(LEFT(tblMovimientos[[#This Row],[Producto]],FIND(" · ",tblMovimientos[[#This Row],[Producto]]&amp;" · ")-1)))</f>
        <v/>
      </c>
      <c r="H1143" s="40" t="str">
        <f>IF(tblMovimientos[[#This Row],[SKU]]="","",IFERROR(INDEX(tblProductos[Unidad],MATCH(tblMovimientos[[#This Row],[SKU]],tblProductos[SKU],0)),"?"))</f>
        <v/>
      </c>
      <c r="I1143" s="39"/>
      <c r="J1143" s="47" t="str">
        <f>IF(tblMovimientos[[#This Row],[Tipo]]="","",IFERROR(INDEX(tblTiposMov[FactorStock],MATCH(tblMovimientos[[#This Row],[Tipo]],tblTiposMov[Tipo],0)),0))</f>
        <v/>
      </c>
      <c r="K11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3" s="37"/>
      <c r="O1143" s="37"/>
      <c r="P1143" s="37"/>
    </row>
    <row r="1144" spans="2:16" x14ac:dyDescent="0.25">
      <c r="B11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4" s="46"/>
      <c r="D1144" s="37"/>
      <c r="E1144" s="37"/>
      <c r="F1144" s="37"/>
      <c r="G1144" s="40" t="str">
        <f>IF(tblMovimientos[[#This Row],[Producto]]="","",TRIM(LEFT(tblMovimientos[[#This Row],[Producto]],FIND(" · ",tblMovimientos[[#This Row],[Producto]]&amp;" · ")-1)))</f>
        <v/>
      </c>
      <c r="H1144" s="40" t="str">
        <f>IF(tblMovimientos[[#This Row],[SKU]]="","",IFERROR(INDEX(tblProductos[Unidad],MATCH(tblMovimientos[[#This Row],[SKU]],tblProductos[SKU],0)),"?"))</f>
        <v/>
      </c>
      <c r="I1144" s="39"/>
      <c r="J1144" s="47" t="str">
        <f>IF(tblMovimientos[[#This Row],[Tipo]]="","",IFERROR(INDEX(tblTiposMov[FactorStock],MATCH(tblMovimientos[[#This Row],[Tipo]],tblTiposMov[Tipo],0)),0))</f>
        <v/>
      </c>
      <c r="K11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4" s="37"/>
      <c r="O1144" s="37"/>
      <c r="P1144" s="37"/>
    </row>
    <row r="1145" spans="2:16" x14ac:dyDescent="0.25">
      <c r="B11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5" s="46"/>
      <c r="D1145" s="37"/>
      <c r="E1145" s="37"/>
      <c r="F1145" s="37"/>
      <c r="G1145" s="40" t="str">
        <f>IF(tblMovimientos[[#This Row],[Producto]]="","",TRIM(LEFT(tblMovimientos[[#This Row],[Producto]],FIND(" · ",tblMovimientos[[#This Row],[Producto]]&amp;" · ")-1)))</f>
        <v/>
      </c>
      <c r="H1145" s="40" t="str">
        <f>IF(tblMovimientos[[#This Row],[SKU]]="","",IFERROR(INDEX(tblProductos[Unidad],MATCH(tblMovimientos[[#This Row],[SKU]],tblProductos[SKU],0)),"?"))</f>
        <v/>
      </c>
      <c r="I1145" s="39"/>
      <c r="J1145" s="47" t="str">
        <f>IF(tblMovimientos[[#This Row],[Tipo]]="","",IFERROR(INDEX(tblTiposMov[FactorStock],MATCH(tblMovimientos[[#This Row],[Tipo]],tblTiposMov[Tipo],0)),0))</f>
        <v/>
      </c>
      <c r="K11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5" s="37"/>
      <c r="O1145" s="37"/>
      <c r="P1145" s="37"/>
    </row>
    <row r="1146" spans="2:16" x14ac:dyDescent="0.25">
      <c r="B11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6" s="46"/>
      <c r="D1146" s="37"/>
      <c r="E1146" s="37"/>
      <c r="F1146" s="37"/>
      <c r="G1146" s="40" t="str">
        <f>IF(tblMovimientos[[#This Row],[Producto]]="","",TRIM(LEFT(tblMovimientos[[#This Row],[Producto]],FIND(" · ",tblMovimientos[[#This Row],[Producto]]&amp;" · ")-1)))</f>
        <v/>
      </c>
      <c r="H1146" s="40" t="str">
        <f>IF(tblMovimientos[[#This Row],[SKU]]="","",IFERROR(INDEX(tblProductos[Unidad],MATCH(tblMovimientos[[#This Row],[SKU]],tblProductos[SKU],0)),"?"))</f>
        <v/>
      </c>
      <c r="I1146" s="39"/>
      <c r="J1146" s="47" t="str">
        <f>IF(tblMovimientos[[#This Row],[Tipo]]="","",IFERROR(INDEX(tblTiposMov[FactorStock],MATCH(tblMovimientos[[#This Row],[Tipo]],tblTiposMov[Tipo],0)),0))</f>
        <v/>
      </c>
      <c r="K11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6" s="37"/>
      <c r="O1146" s="37"/>
      <c r="P1146" s="37"/>
    </row>
    <row r="1147" spans="2:16" x14ac:dyDescent="0.25">
      <c r="B11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7" s="46"/>
      <c r="D1147" s="37"/>
      <c r="E1147" s="37"/>
      <c r="F1147" s="37"/>
      <c r="G1147" s="40" t="str">
        <f>IF(tblMovimientos[[#This Row],[Producto]]="","",TRIM(LEFT(tblMovimientos[[#This Row],[Producto]],FIND(" · ",tblMovimientos[[#This Row],[Producto]]&amp;" · ")-1)))</f>
        <v/>
      </c>
      <c r="H1147" s="40" t="str">
        <f>IF(tblMovimientos[[#This Row],[SKU]]="","",IFERROR(INDEX(tblProductos[Unidad],MATCH(tblMovimientos[[#This Row],[SKU]],tblProductos[SKU],0)),"?"))</f>
        <v/>
      </c>
      <c r="I1147" s="39"/>
      <c r="J1147" s="47" t="str">
        <f>IF(tblMovimientos[[#This Row],[Tipo]]="","",IFERROR(INDEX(tblTiposMov[FactorStock],MATCH(tblMovimientos[[#This Row],[Tipo]],tblTiposMov[Tipo],0)),0))</f>
        <v/>
      </c>
      <c r="K11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7" s="37"/>
      <c r="O1147" s="37"/>
      <c r="P1147" s="37"/>
    </row>
    <row r="1148" spans="2:16" x14ac:dyDescent="0.25">
      <c r="B11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8" s="46"/>
      <c r="D1148" s="37"/>
      <c r="E1148" s="37"/>
      <c r="F1148" s="37"/>
      <c r="G1148" s="40" t="str">
        <f>IF(tblMovimientos[[#This Row],[Producto]]="","",TRIM(LEFT(tblMovimientos[[#This Row],[Producto]],FIND(" · ",tblMovimientos[[#This Row],[Producto]]&amp;" · ")-1)))</f>
        <v/>
      </c>
      <c r="H1148" s="40" t="str">
        <f>IF(tblMovimientos[[#This Row],[SKU]]="","",IFERROR(INDEX(tblProductos[Unidad],MATCH(tblMovimientos[[#This Row],[SKU]],tblProductos[SKU],0)),"?"))</f>
        <v/>
      </c>
      <c r="I1148" s="39"/>
      <c r="J1148" s="47" t="str">
        <f>IF(tblMovimientos[[#This Row],[Tipo]]="","",IFERROR(INDEX(tblTiposMov[FactorStock],MATCH(tblMovimientos[[#This Row],[Tipo]],tblTiposMov[Tipo],0)),0))</f>
        <v/>
      </c>
      <c r="K11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8" s="37"/>
      <c r="O1148" s="37"/>
      <c r="P1148" s="37"/>
    </row>
    <row r="1149" spans="2:16" x14ac:dyDescent="0.25">
      <c r="B11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49" s="46"/>
      <c r="D1149" s="37"/>
      <c r="E1149" s="37"/>
      <c r="F1149" s="37"/>
      <c r="G1149" s="40" t="str">
        <f>IF(tblMovimientos[[#This Row],[Producto]]="","",TRIM(LEFT(tblMovimientos[[#This Row],[Producto]],FIND(" · ",tblMovimientos[[#This Row],[Producto]]&amp;" · ")-1)))</f>
        <v/>
      </c>
      <c r="H1149" s="40" t="str">
        <f>IF(tblMovimientos[[#This Row],[SKU]]="","",IFERROR(INDEX(tblProductos[Unidad],MATCH(tblMovimientos[[#This Row],[SKU]],tblProductos[SKU],0)),"?"))</f>
        <v/>
      </c>
      <c r="I1149" s="39"/>
      <c r="J1149" s="47" t="str">
        <f>IF(tblMovimientos[[#This Row],[Tipo]]="","",IFERROR(INDEX(tblTiposMov[FactorStock],MATCH(tblMovimientos[[#This Row],[Tipo]],tblTiposMov[Tipo],0)),0))</f>
        <v/>
      </c>
      <c r="K11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49" s="37"/>
      <c r="O1149" s="37"/>
      <c r="P1149" s="37"/>
    </row>
    <row r="1150" spans="2:16" x14ac:dyDescent="0.25">
      <c r="B11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0" s="46"/>
      <c r="D1150" s="37"/>
      <c r="E1150" s="37"/>
      <c r="F1150" s="37"/>
      <c r="G1150" s="40" t="str">
        <f>IF(tblMovimientos[[#This Row],[Producto]]="","",TRIM(LEFT(tblMovimientos[[#This Row],[Producto]],FIND(" · ",tblMovimientos[[#This Row],[Producto]]&amp;" · ")-1)))</f>
        <v/>
      </c>
      <c r="H1150" s="40" t="str">
        <f>IF(tblMovimientos[[#This Row],[SKU]]="","",IFERROR(INDEX(tblProductos[Unidad],MATCH(tblMovimientos[[#This Row],[SKU]],tblProductos[SKU],0)),"?"))</f>
        <v/>
      </c>
      <c r="I1150" s="39"/>
      <c r="J1150" s="47" t="str">
        <f>IF(tblMovimientos[[#This Row],[Tipo]]="","",IFERROR(INDEX(tblTiposMov[FactorStock],MATCH(tblMovimientos[[#This Row],[Tipo]],tblTiposMov[Tipo],0)),0))</f>
        <v/>
      </c>
      <c r="K11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0" s="37"/>
      <c r="O1150" s="37"/>
      <c r="P1150" s="37"/>
    </row>
    <row r="1151" spans="2:16" x14ac:dyDescent="0.25">
      <c r="B11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1" s="46"/>
      <c r="D1151" s="37"/>
      <c r="E1151" s="37"/>
      <c r="F1151" s="37"/>
      <c r="G1151" s="40" t="str">
        <f>IF(tblMovimientos[[#This Row],[Producto]]="","",TRIM(LEFT(tblMovimientos[[#This Row],[Producto]],FIND(" · ",tblMovimientos[[#This Row],[Producto]]&amp;" · ")-1)))</f>
        <v/>
      </c>
      <c r="H1151" s="40" t="str">
        <f>IF(tblMovimientos[[#This Row],[SKU]]="","",IFERROR(INDEX(tblProductos[Unidad],MATCH(tblMovimientos[[#This Row],[SKU]],tblProductos[SKU],0)),"?"))</f>
        <v/>
      </c>
      <c r="I1151" s="39"/>
      <c r="J1151" s="47" t="str">
        <f>IF(tblMovimientos[[#This Row],[Tipo]]="","",IFERROR(INDEX(tblTiposMov[FactorStock],MATCH(tblMovimientos[[#This Row],[Tipo]],tblTiposMov[Tipo],0)),0))</f>
        <v/>
      </c>
      <c r="K11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1" s="37"/>
      <c r="O1151" s="37"/>
      <c r="P1151" s="37"/>
    </row>
    <row r="1152" spans="2:16" x14ac:dyDescent="0.25">
      <c r="B11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2" s="46"/>
      <c r="D1152" s="37"/>
      <c r="E1152" s="37"/>
      <c r="F1152" s="37"/>
      <c r="G1152" s="40" t="str">
        <f>IF(tblMovimientos[[#This Row],[Producto]]="","",TRIM(LEFT(tblMovimientos[[#This Row],[Producto]],FIND(" · ",tblMovimientos[[#This Row],[Producto]]&amp;" · ")-1)))</f>
        <v/>
      </c>
      <c r="H1152" s="40" t="str">
        <f>IF(tblMovimientos[[#This Row],[SKU]]="","",IFERROR(INDEX(tblProductos[Unidad],MATCH(tblMovimientos[[#This Row],[SKU]],tblProductos[SKU],0)),"?"))</f>
        <v/>
      </c>
      <c r="I1152" s="39"/>
      <c r="J1152" s="47" t="str">
        <f>IF(tblMovimientos[[#This Row],[Tipo]]="","",IFERROR(INDEX(tblTiposMov[FactorStock],MATCH(tblMovimientos[[#This Row],[Tipo]],tblTiposMov[Tipo],0)),0))</f>
        <v/>
      </c>
      <c r="K11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2" s="37"/>
      <c r="O1152" s="37"/>
      <c r="P1152" s="37"/>
    </row>
    <row r="1153" spans="2:16" x14ac:dyDescent="0.25">
      <c r="B11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3" s="46"/>
      <c r="D1153" s="37"/>
      <c r="E1153" s="37"/>
      <c r="F1153" s="37"/>
      <c r="G1153" s="40" t="str">
        <f>IF(tblMovimientos[[#This Row],[Producto]]="","",TRIM(LEFT(tblMovimientos[[#This Row],[Producto]],FIND(" · ",tblMovimientos[[#This Row],[Producto]]&amp;" · ")-1)))</f>
        <v/>
      </c>
      <c r="H1153" s="40" t="str">
        <f>IF(tblMovimientos[[#This Row],[SKU]]="","",IFERROR(INDEX(tblProductos[Unidad],MATCH(tblMovimientos[[#This Row],[SKU]],tblProductos[SKU],0)),"?"))</f>
        <v/>
      </c>
      <c r="I1153" s="39"/>
      <c r="J1153" s="47" t="str">
        <f>IF(tblMovimientos[[#This Row],[Tipo]]="","",IFERROR(INDEX(tblTiposMov[FactorStock],MATCH(tblMovimientos[[#This Row],[Tipo]],tblTiposMov[Tipo],0)),0))</f>
        <v/>
      </c>
      <c r="K11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3" s="37"/>
      <c r="O1153" s="37"/>
      <c r="P1153" s="37"/>
    </row>
    <row r="1154" spans="2:16" x14ac:dyDescent="0.25">
      <c r="B11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4" s="46"/>
      <c r="D1154" s="37"/>
      <c r="E1154" s="37"/>
      <c r="F1154" s="37"/>
      <c r="G1154" s="40" t="str">
        <f>IF(tblMovimientos[[#This Row],[Producto]]="","",TRIM(LEFT(tblMovimientos[[#This Row],[Producto]],FIND(" · ",tblMovimientos[[#This Row],[Producto]]&amp;" · ")-1)))</f>
        <v/>
      </c>
      <c r="H1154" s="40" t="str">
        <f>IF(tblMovimientos[[#This Row],[SKU]]="","",IFERROR(INDEX(tblProductos[Unidad],MATCH(tblMovimientos[[#This Row],[SKU]],tblProductos[SKU],0)),"?"))</f>
        <v/>
      </c>
      <c r="I1154" s="39"/>
      <c r="J1154" s="47" t="str">
        <f>IF(tblMovimientos[[#This Row],[Tipo]]="","",IFERROR(INDEX(tblTiposMov[FactorStock],MATCH(tblMovimientos[[#This Row],[Tipo]],tblTiposMov[Tipo],0)),0))</f>
        <v/>
      </c>
      <c r="K11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4" s="37"/>
      <c r="O1154" s="37"/>
      <c r="P1154" s="37"/>
    </row>
    <row r="1155" spans="2:16" x14ac:dyDescent="0.25">
      <c r="B11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5" s="46"/>
      <c r="D1155" s="37"/>
      <c r="E1155" s="37"/>
      <c r="F1155" s="37"/>
      <c r="G1155" s="40" t="str">
        <f>IF(tblMovimientos[[#This Row],[Producto]]="","",TRIM(LEFT(tblMovimientos[[#This Row],[Producto]],FIND(" · ",tblMovimientos[[#This Row],[Producto]]&amp;" · ")-1)))</f>
        <v/>
      </c>
      <c r="H1155" s="40" t="str">
        <f>IF(tblMovimientos[[#This Row],[SKU]]="","",IFERROR(INDEX(tblProductos[Unidad],MATCH(tblMovimientos[[#This Row],[SKU]],tblProductos[SKU],0)),"?"))</f>
        <v/>
      </c>
      <c r="I1155" s="39"/>
      <c r="J1155" s="47" t="str">
        <f>IF(tblMovimientos[[#This Row],[Tipo]]="","",IFERROR(INDEX(tblTiposMov[FactorStock],MATCH(tblMovimientos[[#This Row],[Tipo]],tblTiposMov[Tipo],0)),0))</f>
        <v/>
      </c>
      <c r="K11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5" s="37"/>
      <c r="O1155" s="37"/>
      <c r="P1155" s="37"/>
    </row>
    <row r="1156" spans="2:16" x14ac:dyDescent="0.25">
      <c r="B11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6" s="46"/>
      <c r="D1156" s="37"/>
      <c r="E1156" s="37"/>
      <c r="F1156" s="37"/>
      <c r="G1156" s="40" t="str">
        <f>IF(tblMovimientos[[#This Row],[Producto]]="","",TRIM(LEFT(tblMovimientos[[#This Row],[Producto]],FIND(" · ",tblMovimientos[[#This Row],[Producto]]&amp;" · ")-1)))</f>
        <v/>
      </c>
      <c r="H1156" s="40" t="str">
        <f>IF(tblMovimientos[[#This Row],[SKU]]="","",IFERROR(INDEX(tblProductos[Unidad],MATCH(tblMovimientos[[#This Row],[SKU]],tblProductos[SKU],0)),"?"))</f>
        <v/>
      </c>
      <c r="I1156" s="39"/>
      <c r="J1156" s="47" t="str">
        <f>IF(tblMovimientos[[#This Row],[Tipo]]="","",IFERROR(INDEX(tblTiposMov[FactorStock],MATCH(tblMovimientos[[#This Row],[Tipo]],tblTiposMov[Tipo],0)),0))</f>
        <v/>
      </c>
      <c r="K11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6" s="37"/>
      <c r="O1156" s="37"/>
      <c r="P1156" s="37"/>
    </row>
    <row r="1157" spans="2:16" x14ac:dyDescent="0.25">
      <c r="B11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7" s="46"/>
      <c r="D1157" s="37"/>
      <c r="E1157" s="37"/>
      <c r="F1157" s="37"/>
      <c r="G1157" s="40" t="str">
        <f>IF(tblMovimientos[[#This Row],[Producto]]="","",TRIM(LEFT(tblMovimientos[[#This Row],[Producto]],FIND(" · ",tblMovimientos[[#This Row],[Producto]]&amp;" · ")-1)))</f>
        <v/>
      </c>
      <c r="H1157" s="40" t="str">
        <f>IF(tblMovimientos[[#This Row],[SKU]]="","",IFERROR(INDEX(tblProductos[Unidad],MATCH(tblMovimientos[[#This Row],[SKU]],tblProductos[SKU],0)),"?"))</f>
        <v/>
      </c>
      <c r="I1157" s="39"/>
      <c r="J1157" s="47" t="str">
        <f>IF(tblMovimientos[[#This Row],[Tipo]]="","",IFERROR(INDEX(tblTiposMov[FactorStock],MATCH(tblMovimientos[[#This Row],[Tipo]],tblTiposMov[Tipo],0)),0))</f>
        <v/>
      </c>
      <c r="K11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7" s="37"/>
      <c r="O1157" s="37"/>
      <c r="P1157" s="37"/>
    </row>
    <row r="1158" spans="2:16" x14ac:dyDescent="0.25">
      <c r="B11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8" s="46"/>
      <c r="D1158" s="37"/>
      <c r="E1158" s="37"/>
      <c r="F1158" s="37"/>
      <c r="G1158" s="40" t="str">
        <f>IF(tblMovimientos[[#This Row],[Producto]]="","",TRIM(LEFT(tblMovimientos[[#This Row],[Producto]],FIND(" · ",tblMovimientos[[#This Row],[Producto]]&amp;" · ")-1)))</f>
        <v/>
      </c>
      <c r="H1158" s="40" t="str">
        <f>IF(tblMovimientos[[#This Row],[SKU]]="","",IFERROR(INDEX(tblProductos[Unidad],MATCH(tblMovimientos[[#This Row],[SKU]],tblProductos[SKU],0)),"?"))</f>
        <v/>
      </c>
      <c r="I1158" s="39"/>
      <c r="J1158" s="47" t="str">
        <f>IF(tblMovimientos[[#This Row],[Tipo]]="","",IFERROR(INDEX(tblTiposMov[FactorStock],MATCH(tblMovimientos[[#This Row],[Tipo]],tblTiposMov[Tipo],0)),0))</f>
        <v/>
      </c>
      <c r="K11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8" s="37"/>
      <c r="O1158" s="37"/>
      <c r="P1158" s="37"/>
    </row>
    <row r="1159" spans="2:16" x14ac:dyDescent="0.25">
      <c r="B11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59" s="46"/>
      <c r="D1159" s="37"/>
      <c r="E1159" s="37"/>
      <c r="F1159" s="37"/>
      <c r="G1159" s="40" t="str">
        <f>IF(tblMovimientos[[#This Row],[Producto]]="","",TRIM(LEFT(tblMovimientos[[#This Row],[Producto]],FIND(" · ",tblMovimientos[[#This Row],[Producto]]&amp;" · ")-1)))</f>
        <v/>
      </c>
      <c r="H1159" s="40" t="str">
        <f>IF(tblMovimientos[[#This Row],[SKU]]="","",IFERROR(INDEX(tblProductos[Unidad],MATCH(tblMovimientos[[#This Row],[SKU]],tblProductos[SKU],0)),"?"))</f>
        <v/>
      </c>
      <c r="I1159" s="39"/>
      <c r="J1159" s="47" t="str">
        <f>IF(tblMovimientos[[#This Row],[Tipo]]="","",IFERROR(INDEX(tblTiposMov[FactorStock],MATCH(tblMovimientos[[#This Row],[Tipo]],tblTiposMov[Tipo],0)),0))</f>
        <v/>
      </c>
      <c r="K11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59" s="37"/>
      <c r="O1159" s="37"/>
      <c r="P1159" s="37"/>
    </row>
    <row r="1160" spans="2:16" x14ac:dyDescent="0.25">
      <c r="B11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0" s="46"/>
      <c r="D1160" s="37"/>
      <c r="E1160" s="37"/>
      <c r="F1160" s="37"/>
      <c r="G1160" s="40" t="str">
        <f>IF(tblMovimientos[[#This Row],[Producto]]="","",TRIM(LEFT(tblMovimientos[[#This Row],[Producto]],FIND(" · ",tblMovimientos[[#This Row],[Producto]]&amp;" · ")-1)))</f>
        <v/>
      </c>
      <c r="H1160" s="40" t="str">
        <f>IF(tblMovimientos[[#This Row],[SKU]]="","",IFERROR(INDEX(tblProductos[Unidad],MATCH(tblMovimientos[[#This Row],[SKU]],tblProductos[SKU],0)),"?"))</f>
        <v/>
      </c>
      <c r="I1160" s="39"/>
      <c r="J1160" s="47" t="str">
        <f>IF(tblMovimientos[[#This Row],[Tipo]]="","",IFERROR(INDEX(tblTiposMov[FactorStock],MATCH(tblMovimientos[[#This Row],[Tipo]],tblTiposMov[Tipo],0)),0))</f>
        <v/>
      </c>
      <c r="K11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0" s="37"/>
      <c r="O1160" s="37"/>
      <c r="P1160" s="37"/>
    </row>
    <row r="1161" spans="2:16" x14ac:dyDescent="0.25">
      <c r="B11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1" s="46"/>
      <c r="D1161" s="37"/>
      <c r="E1161" s="37"/>
      <c r="F1161" s="37"/>
      <c r="G1161" s="40" t="str">
        <f>IF(tblMovimientos[[#This Row],[Producto]]="","",TRIM(LEFT(tblMovimientos[[#This Row],[Producto]],FIND(" · ",tblMovimientos[[#This Row],[Producto]]&amp;" · ")-1)))</f>
        <v/>
      </c>
      <c r="H1161" s="40" t="str">
        <f>IF(tblMovimientos[[#This Row],[SKU]]="","",IFERROR(INDEX(tblProductos[Unidad],MATCH(tblMovimientos[[#This Row],[SKU]],tblProductos[SKU],0)),"?"))</f>
        <v/>
      </c>
      <c r="I1161" s="39"/>
      <c r="J1161" s="47" t="str">
        <f>IF(tblMovimientos[[#This Row],[Tipo]]="","",IFERROR(INDEX(tblTiposMov[FactorStock],MATCH(tblMovimientos[[#This Row],[Tipo]],tblTiposMov[Tipo],0)),0))</f>
        <v/>
      </c>
      <c r="K11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1" s="37"/>
      <c r="O1161" s="37"/>
      <c r="P1161" s="37"/>
    </row>
    <row r="1162" spans="2:16" x14ac:dyDescent="0.25">
      <c r="B11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2" s="46"/>
      <c r="D1162" s="37"/>
      <c r="E1162" s="37"/>
      <c r="F1162" s="37"/>
      <c r="G1162" s="40" t="str">
        <f>IF(tblMovimientos[[#This Row],[Producto]]="","",TRIM(LEFT(tblMovimientos[[#This Row],[Producto]],FIND(" · ",tblMovimientos[[#This Row],[Producto]]&amp;" · ")-1)))</f>
        <v/>
      </c>
      <c r="H1162" s="40" t="str">
        <f>IF(tblMovimientos[[#This Row],[SKU]]="","",IFERROR(INDEX(tblProductos[Unidad],MATCH(tblMovimientos[[#This Row],[SKU]],tblProductos[SKU],0)),"?"))</f>
        <v/>
      </c>
      <c r="I1162" s="39"/>
      <c r="J1162" s="47" t="str">
        <f>IF(tblMovimientos[[#This Row],[Tipo]]="","",IFERROR(INDEX(tblTiposMov[FactorStock],MATCH(tblMovimientos[[#This Row],[Tipo]],tblTiposMov[Tipo],0)),0))</f>
        <v/>
      </c>
      <c r="K11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2" s="37"/>
      <c r="O1162" s="37"/>
      <c r="P1162" s="37"/>
    </row>
    <row r="1163" spans="2:16" x14ac:dyDescent="0.25">
      <c r="B11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3" s="46"/>
      <c r="D1163" s="37"/>
      <c r="E1163" s="37"/>
      <c r="F1163" s="37"/>
      <c r="G1163" s="40" t="str">
        <f>IF(tblMovimientos[[#This Row],[Producto]]="","",TRIM(LEFT(tblMovimientos[[#This Row],[Producto]],FIND(" · ",tblMovimientos[[#This Row],[Producto]]&amp;" · ")-1)))</f>
        <v/>
      </c>
      <c r="H1163" s="40" t="str">
        <f>IF(tblMovimientos[[#This Row],[SKU]]="","",IFERROR(INDEX(tblProductos[Unidad],MATCH(tblMovimientos[[#This Row],[SKU]],tblProductos[SKU],0)),"?"))</f>
        <v/>
      </c>
      <c r="I1163" s="39"/>
      <c r="J1163" s="47" t="str">
        <f>IF(tblMovimientos[[#This Row],[Tipo]]="","",IFERROR(INDEX(tblTiposMov[FactorStock],MATCH(tblMovimientos[[#This Row],[Tipo]],tblTiposMov[Tipo],0)),0))</f>
        <v/>
      </c>
      <c r="K11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3" s="37"/>
      <c r="O1163" s="37"/>
      <c r="P1163" s="37"/>
    </row>
    <row r="1164" spans="2:16" x14ac:dyDescent="0.25">
      <c r="B11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4" s="46"/>
      <c r="D1164" s="37"/>
      <c r="E1164" s="37"/>
      <c r="F1164" s="37"/>
      <c r="G1164" s="40" t="str">
        <f>IF(tblMovimientos[[#This Row],[Producto]]="","",TRIM(LEFT(tblMovimientos[[#This Row],[Producto]],FIND(" · ",tblMovimientos[[#This Row],[Producto]]&amp;" · ")-1)))</f>
        <v/>
      </c>
      <c r="H1164" s="40" t="str">
        <f>IF(tblMovimientos[[#This Row],[SKU]]="","",IFERROR(INDEX(tblProductos[Unidad],MATCH(tblMovimientos[[#This Row],[SKU]],tblProductos[SKU],0)),"?"))</f>
        <v/>
      </c>
      <c r="I1164" s="39"/>
      <c r="J1164" s="47" t="str">
        <f>IF(tblMovimientos[[#This Row],[Tipo]]="","",IFERROR(INDEX(tblTiposMov[FactorStock],MATCH(tblMovimientos[[#This Row],[Tipo]],tblTiposMov[Tipo],0)),0))</f>
        <v/>
      </c>
      <c r="K11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4" s="37"/>
      <c r="O1164" s="37"/>
      <c r="P1164" s="37"/>
    </row>
    <row r="1165" spans="2:16" x14ac:dyDescent="0.25">
      <c r="B11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5" s="46"/>
      <c r="D1165" s="37"/>
      <c r="E1165" s="37"/>
      <c r="F1165" s="37"/>
      <c r="G1165" s="40" t="str">
        <f>IF(tblMovimientos[[#This Row],[Producto]]="","",TRIM(LEFT(tblMovimientos[[#This Row],[Producto]],FIND(" · ",tblMovimientos[[#This Row],[Producto]]&amp;" · ")-1)))</f>
        <v/>
      </c>
      <c r="H1165" s="40" t="str">
        <f>IF(tblMovimientos[[#This Row],[SKU]]="","",IFERROR(INDEX(tblProductos[Unidad],MATCH(tblMovimientos[[#This Row],[SKU]],tblProductos[SKU],0)),"?"))</f>
        <v/>
      </c>
      <c r="I1165" s="39"/>
      <c r="J1165" s="47" t="str">
        <f>IF(tblMovimientos[[#This Row],[Tipo]]="","",IFERROR(INDEX(tblTiposMov[FactorStock],MATCH(tblMovimientos[[#This Row],[Tipo]],tblTiposMov[Tipo],0)),0))</f>
        <v/>
      </c>
      <c r="K11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5" s="37"/>
      <c r="O1165" s="37"/>
      <c r="P1165" s="37"/>
    </row>
    <row r="1166" spans="2:16" x14ac:dyDescent="0.25">
      <c r="B11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6" s="46"/>
      <c r="D1166" s="37"/>
      <c r="E1166" s="37"/>
      <c r="F1166" s="37"/>
      <c r="G1166" s="40" t="str">
        <f>IF(tblMovimientos[[#This Row],[Producto]]="","",TRIM(LEFT(tblMovimientos[[#This Row],[Producto]],FIND(" · ",tblMovimientos[[#This Row],[Producto]]&amp;" · ")-1)))</f>
        <v/>
      </c>
      <c r="H1166" s="40" t="str">
        <f>IF(tblMovimientos[[#This Row],[SKU]]="","",IFERROR(INDEX(tblProductos[Unidad],MATCH(tblMovimientos[[#This Row],[SKU]],tblProductos[SKU],0)),"?"))</f>
        <v/>
      </c>
      <c r="I1166" s="39"/>
      <c r="J1166" s="47" t="str">
        <f>IF(tblMovimientos[[#This Row],[Tipo]]="","",IFERROR(INDEX(tblTiposMov[FactorStock],MATCH(tblMovimientos[[#This Row],[Tipo]],tblTiposMov[Tipo],0)),0))</f>
        <v/>
      </c>
      <c r="K11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6" s="37"/>
      <c r="O1166" s="37"/>
      <c r="P1166" s="37"/>
    </row>
    <row r="1167" spans="2:16" x14ac:dyDescent="0.25">
      <c r="B11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7" s="46"/>
      <c r="D1167" s="37"/>
      <c r="E1167" s="37"/>
      <c r="F1167" s="37"/>
      <c r="G1167" s="40" t="str">
        <f>IF(tblMovimientos[[#This Row],[Producto]]="","",TRIM(LEFT(tblMovimientos[[#This Row],[Producto]],FIND(" · ",tblMovimientos[[#This Row],[Producto]]&amp;" · ")-1)))</f>
        <v/>
      </c>
      <c r="H1167" s="40" t="str">
        <f>IF(tblMovimientos[[#This Row],[SKU]]="","",IFERROR(INDEX(tblProductos[Unidad],MATCH(tblMovimientos[[#This Row],[SKU]],tblProductos[SKU],0)),"?"))</f>
        <v/>
      </c>
      <c r="I1167" s="39"/>
      <c r="J1167" s="47" t="str">
        <f>IF(tblMovimientos[[#This Row],[Tipo]]="","",IFERROR(INDEX(tblTiposMov[FactorStock],MATCH(tblMovimientos[[#This Row],[Tipo]],tblTiposMov[Tipo],0)),0))</f>
        <v/>
      </c>
      <c r="K11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7" s="37"/>
      <c r="O1167" s="37"/>
      <c r="P1167" s="37"/>
    </row>
    <row r="1168" spans="2:16" x14ac:dyDescent="0.25">
      <c r="B11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8" s="46"/>
      <c r="D1168" s="37"/>
      <c r="E1168" s="37"/>
      <c r="F1168" s="37"/>
      <c r="G1168" s="40" t="str">
        <f>IF(tblMovimientos[[#This Row],[Producto]]="","",TRIM(LEFT(tblMovimientos[[#This Row],[Producto]],FIND(" · ",tblMovimientos[[#This Row],[Producto]]&amp;" · ")-1)))</f>
        <v/>
      </c>
      <c r="H1168" s="40" t="str">
        <f>IF(tblMovimientos[[#This Row],[SKU]]="","",IFERROR(INDEX(tblProductos[Unidad],MATCH(tblMovimientos[[#This Row],[SKU]],tblProductos[SKU],0)),"?"))</f>
        <v/>
      </c>
      <c r="I1168" s="39"/>
      <c r="J1168" s="47" t="str">
        <f>IF(tblMovimientos[[#This Row],[Tipo]]="","",IFERROR(INDEX(tblTiposMov[FactorStock],MATCH(tblMovimientos[[#This Row],[Tipo]],tblTiposMov[Tipo],0)),0))</f>
        <v/>
      </c>
      <c r="K11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8" s="37"/>
      <c r="O1168" s="37"/>
      <c r="P1168" s="37"/>
    </row>
    <row r="1169" spans="2:16" x14ac:dyDescent="0.25">
      <c r="B11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69" s="46"/>
      <c r="D1169" s="37"/>
      <c r="E1169" s="37"/>
      <c r="F1169" s="37"/>
      <c r="G1169" s="40" t="str">
        <f>IF(tblMovimientos[[#This Row],[Producto]]="","",TRIM(LEFT(tblMovimientos[[#This Row],[Producto]],FIND(" · ",tblMovimientos[[#This Row],[Producto]]&amp;" · ")-1)))</f>
        <v/>
      </c>
      <c r="H1169" s="40" t="str">
        <f>IF(tblMovimientos[[#This Row],[SKU]]="","",IFERROR(INDEX(tblProductos[Unidad],MATCH(tblMovimientos[[#This Row],[SKU]],tblProductos[SKU],0)),"?"))</f>
        <v/>
      </c>
      <c r="I1169" s="39"/>
      <c r="J1169" s="47" t="str">
        <f>IF(tblMovimientos[[#This Row],[Tipo]]="","",IFERROR(INDEX(tblTiposMov[FactorStock],MATCH(tblMovimientos[[#This Row],[Tipo]],tblTiposMov[Tipo],0)),0))</f>
        <v/>
      </c>
      <c r="K11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69" s="37"/>
      <c r="O1169" s="37"/>
      <c r="P1169" s="37"/>
    </row>
    <row r="1170" spans="2:16" x14ac:dyDescent="0.25">
      <c r="B11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0" s="46"/>
      <c r="D1170" s="37"/>
      <c r="E1170" s="37"/>
      <c r="F1170" s="37"/>
      <c r="G1170" s="40" t="str">
        <f>IF(tblMovimientos[[#This Row],[Producto]]="","",TRIM(LEFT(tblMovimientos[[#This Row],[Producto]],FIND(" · ",tblMovimientos[[#This Row],[Producto]]&amp;" · ")-1)))</f>
        <v/>
      </c>
      <c r="H1170" s="40" t="str">
        <f>IF(tblMovimientos[[#This Row],[SKU]]="","",IFERROR(INDEX(tblProductos[Unidad],MATCH(tblMovimientos[[#This Row],[SKU]],tblProductos[SKU],0)),"?"))</f>
        <v/>
      </c>
      <c r="I1170" s="39"/>
      <c r="J1170" s="47" t="str">
        <f>IF(tblMovimientos[[#This Row],[Tipo]]="","",IFERROR(INDEX(tblTiposMov[FactorStock],MATCH(tblMovimientos[[#This Row],[Tipo]],tblTiposMov[Tipo],0)),0))</f>
        <v/>
      </c>
      <c r="K11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0" s="37"/>
      <c r="O1170" s="37"/>
      <c r="P1170" s="37"/>
    </row>
    <row r="1171" spans="2:16" x14ac:dyDescent="0.25">
      <c r="B11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1" s="46"/>
      <c r="D1171" s="37"/>
      <c r="E1171" s="37"/>
      <c r="F1171" s="37"/>
      <c r="G1171" s="40" t="str">
        <f>IF(tblMovimientos[[#This Row],[Producto]]="","",TRIM(LEFT(tblMovimientos[[#This Row],[Producto]],FIND(" · ",tblMovimientos[[#This Row],[Producto]]&amp;" · ")-1)))</f>
        <v/>
      </c>
      <c r="H1171" s="40" t="str">
        <f>IF(tblMovimientos[[#This Row],[SKU]]="","",IFERROR(INDEX(tblProductos[Unidad],MATCH(tblMovimientos[[#This Row],[SKU]],tblProductos[SKU],0)),"?"))</f>
        <v/>
      </c>
      <c r="I1171" s="39"/>
      <c r="J1171" s="47" t="str">
        <f>IF(tblMovimientos[[#This Row],[Tipo]]="","",IFERROR(INDEX(tblTiposMov[FactorStock],MATCH(tblMovimientos[[#This Row],[Tipo]],tblTiposMov[Tipo],0)),0))</f>
        <v/>
      </c>
      <c r="K11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1" s="37"/>
      <c r="O1171" s="37"/>
      <c r="P1171" s="37"/>
    </row>
    <row r="1172" spans="2:16" x14ac:dyDescent="0.25">
      <c r="B11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2" s="46"/>
      <c r="D1172" s="37"/>
      <c r="E1172" s="37"/>
      <c r="F1172" s="37"/>
      <c r="G1172" s="40" t="str">
        <f>IF(tblMovimientos[[#This Row],[Producto]]="","",TRIM(LEFT(tblMovimientos[[#This Row],[Producto]],FIND(" · ",tblMovimientos[[#This Row],[Producto]]&amp;" · ")-1)))</f>
        <v/>
      </c>
      <c r="H1172" s="40" t="str">
        <f>IF(tblMovimientos[[#This Row],[SKU]]="","",IFERROR(INDEX(tblProductos[Unidad],MATCH(tblMovimientos[[#This Row],[SKU]],tblProductos[SKU],0)),"?"))</f>
        <v/>
      </c>
      <c r="I1172" s="39"/>
      <c r="J1172" s="47" t="str">
        <f>IF(tblMovimientos[[#This Row],[Tipo]]="","",IFERROR(INDEX(tblTiposMov[FactorStock],MATCH(tblMovimientos[[#This Row],[Tipo]],tblTiposMov[Tipo],0)),0))</f>
        <v/>
      </c>
      <c r="K11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2" s="37"/>
      <c r="O1172" s="37"/>
      <c r="P1172" s="37"/>
    </row>
    <row r="1173" spans="2:16" x14ac:dyDescent="0.25">
      <c r="B11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3" s="46"/>
      <c r="D1173" s="37"/>
      <c r="E1173" s="37"/>
      <c r="F1173" s="37"/>
      <c r="G1173" s="40" t="str">
        <f>IF(tblMovimientos[[#This Row],[Producto]]="","",TRIM(LEFT(tblMovimientos[[#This Row],[Producto]],FIND(" · ",tblMovimientos[[#This Row],[Producto]]&amp;" · ")-1)))</f>
        <v/>
      </c>
      <c r="H1173" s="40" t="str">
        <f>IF(tblMovimientos[[#This Row],[SKU]]="","",IFERROR(INDEX(tblProductos[Unidad],MATCH(tblMovimientos[[#This Row],[SKU]],tblProductos[SKU],0)),"?"))</f>
        <v/>
      </c>
      <c r="I1173" s="39"/>
      <c r="J1173" s="47" t="str">
        <f>IF(tblMovimientos[[#This Row],[Tipo]]="","",IFERROR(INDEX(tblTiposMov[FactorStock],MATCH(tblMovimientos[[#This Row],[Tipo]],tblTiposMov[Tipo],0)),0))</f>
        <v/>
      </c>
      <c r="K11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3" s="37"/>
      <c r="O1173" s="37"/>
      <c r="P1173" s="37"/>
    </row>
    <row r="1174" spans="2:16" x14ac:dyDescent="0.25">
      <c r="B11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4" s="46"/>
      <c r="D1174" s="37"/>
      <c r="E1174" s="37"/>
      <c r="F1174" s="37"/>
      <c r="G1174" s="40" t="str">
        <f>IF(tblMovimientos[[#This Row],[Producto]]="","",TRIM(LEFT(tblMovimientos[[#This Row],[Producto]],FIND(" · ",tblMovimientos[[#This Row],[Producto]]&amp;" · ")-1)))</f>
        <v/>
      </c>
      <c r="H1174" s="40" t="str">
        <f>IF(tblMovimientos[[#This Row],[SKU]]="","",IFERROR(INDEX(tblProductos[Unidad],MATCH(tblMovimientos[[#This Row],[SKU]],tblProductos[SKU],0)),"?"))</f>
        <v/>
      </c>
      <c r="I1174" s="39"/>
      <c r="J1174" s="47" t="str">
        <f>IF(tblMovimientos[[#This Row],[Tipo]]="","",IFERROR(INDEX(tblTiposMov[FactorStock],MATCH(tblMovimientos[[#This Row],[Tipo]],tblTiposMov[Tipo],0)),0))</f>
        <v/>
      </c>
      <c r="K11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4" s="37"/>
      <c r="O1174" s="37"/>
      <c r="P1174" s="37"/>
    </row>
    <row r="1175" spans="2:16" x14ac:dyDescent="0.25">
      <c r="B11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5" s="46"/>
      <c r="D1175" s="37"/>
      <c r="E1175" s="37"/>
      <c r="F1175" s="37"/>
      <c r="G1175" s="40" t="str">
        <f>IF(tblMovimientos[[#This Row],[Producto]]="","",TRIM(LEFT(tblMovimientos[[#This Row],[Producto]],FIND(" · ",tblMovimientos[[#This Row],[Producto]]&amp;" · ")-1)))</f>
        <v/>
      </c>
      <c r="H1175" s="40" t="str">
        <f>IF(tblMovimientos[[#This Row],[SKU]]="","",IFERROR(INDEX(tblProductos[Unidad],MATCH(tblMovimientos[[#This Row],[SKU]],tblProductos[SKU],0)),"?"))</f>
        <v/>
      </c>
      <c r="I1175" s="39"/>
      <c r="J1175" s="47" t="str">
        <f>IF(tblMovimientos[[#This Row],[Tipo]]="","",IFERROR(INDEX(tblTiposMov[FactorStock],MATCH(tblMovimientos[[#This Row],[Tipo]],tblTiposMov[Tipo],0)),0))</f>
        <v/>
      </c>
      <c r="K11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5" s="37"/>
      <c r="O1175" s="37"/>
      <c r="P1175" s="37"/>
    </row>
    <row r="1176" spans="2:16" x14ac:dyDescent="0.25">
      <c r="B11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6" s="46"/>
      <c r="D1176" s="37"/>
      <c r="E1176" s="37"/>
      <c r="F1176" s="37"/>
      <c r="G1176" s="40" t="str">
        <f>IF(tblMovimientos[[#This Row],[Producto]]="","",TRIM(LEFT(tblMovimientos[[#This Row],[Producto]],FIND(" · ",tblMovimientos[[#This Row],[Producto]]&amp;" · ")-1)))</f>
        <v/>
      </c>
      <c r="H1176" s="40" t="str">
        <f>IF(tblMovimientos[[#This Row],[SKU]]="","",IFERROR(INDEX(tblProductos[Unidad],MATCH(tblMovimientos[[#This Row],[SKU]],tblProductos[SKU],0)),"?"))</f>
        <v/>
      </c>
      <c r="I1176" s="39"/>
      <c r="J1176" s="47" t="str">
        <f>IF(tblMovimientos[[#This Row],[Tipo]]="","",IFERROR(INDEX(tblTiposMov[FactorStock],MATCH(tblMovimientos[[#This Row],[Tipo]],tblTiposMov[Tipo],0)),0))</f>
        <v/>
      </c>
      <c r="K11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6" s="37"/>
      <c r="O1176" s="37"/>
      <c r="P1176" s="37"/>
    </row>
    <row r="1177" spans="2:16" x14ac:dyDescent="0.25">
      <c r="B11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7" s="46"/>
      <c r="D1177" s="37"/>
      <c r="E1177" s="37"/>
      <c r="F1177" s="37"/>
      <c r="G1177" s="40" t="str">
        <f>IF(tblMovimientos[[#This Row],[Producto]]="","",TRIM(LEFT(tblMovimientos[[#This Row],[Producto]],FIND(" · ",tblMovimientos[[#This Row],[Producto]]&amp;" · ")-1)))</f>
        <v/>
      </c>
      <c r="H1177" s="40" t="str">
        <f>IF(tblMovimientos[[#This Row],[SKU]]="","",IFERROR(INDEX(tblProductos[Unidad],MATCH(tblMovimientos[[#This Row],[SKU]],tblProductos[SKU],0)),"?"))</f>
        <v/>
      </c>
      <c r="I1177" s="39"/>
      <c r="J1177" s="47" t="str">
        <f>IF(tblMovimientos[[#This Row],[Tipo]]="","",IFERROR(INDEX(tblTiposMov[FactorStock],MATCH(tblMovimientos[[#This Row],[Tipo]],tblTiposMov[Tipo],0)),0))</f>
        <v/>
      </c>
      <c r="K11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7" s="37"/>
      <c r="O1177" s="37"/>
      <c r="P1177" s="37"/>
    </row>
    <row r="1178" spans="2:16" x14ac:dyDescent="0.25">
      <c r="B11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8" s="46"/>
      <c r="D1178" s="37"/>
      <c r="E1178" s="37"/>
      <c r="F1178" s="37"/>
      <c r="G1178" s="40" t="str">
        <f>IF(tblMovimientos[[#This Row],[Producto]]="","",TRIM(LEFT(tblMovimientos[[#This Row],[Producto]],FIND(" · ",tblMovimientos[[#This Row],[Producto]]&amp;" · ")-1)))</f>
        <v/>
      </c>
      <c r="H1178" s="40" t="str">
        <f>IF(tblMovimientos[[#This Row],[SKU]]="","",IFERROR(INDEX(tblProductos[Unidad],MATCH(tblMovimientos[[#This Row],[SKU]],tblProductos[SKU],0)),"?"))</f>
        <v/>
      </c>
      <c r="I1178" s="39"/>
      <c r="J1178" s="47" t="str">
        <f>IF(tblMovimientos[[#This Row],[Tipo]]="","",IFERROR(INDEX(tblTiposMov[FactorStock],MATCH(tblMovimientos[[#This Row],[Tipo]],tblTiposMov[Tipo],0)),0))</f>
        <v/>
      </c>
      <c r="K11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8" s="37"/>
      <c r="O1178" s="37"/>
      <c r="P1178" s="37"/>
    </row>
    <row r="1179" spans="2:16" x14ac:dyDescent="0.25">
      <c r="B11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79" s="46"/>
      <c r="D1179" s="37"/>
      <c r="E1179" s="37"/>
      <c r="F1179" s="37"/>
      <c r="G1179" s="40" t="str">
        <f>IF(tblMovimientos[[#This Row],[Producto]]="","",TRIM(LEFT(tblMovimientos[[#This Row],[Producto]],FIND(" · ",tblMovimientos[[#This Row],[Producto]]&amp;" · ")-1)))</f>
        <v/>
      </c>
      <c r="H1179" s="40" t="str">
        <f>IF(tblMovimientos[[#This Row],[SKU]]="","",IFERROR(INDEX(tblProductos[Unidad],MATCH(tblMovimientos[[#This Row],[SKU]],tblProductos[SKU],0)),"?"))</f>
        <v/>
      </c>
      <c r="I1179" s="39"/>
      <c r="J1179" s="47" t="str">
        <f>IF(tblMovimientos[[#This Row],[Tipo]]="","",IFERROR(INDEX(tblTiposMov[FactorStock],MATCH(tblMovimientos[[#This Row],[Tipo]],tblTiposMov[Tipo],0)),0))</f>
        <v/>
      </c>
      <c r="K11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79" s="37"/>
      <c r="O1179" s="37"/>
      <c r="P1179" s="37"/>
    </row>
    <row r="1180" spans="2:16" x14ac:dyDescent="0.25">
      <c r="B11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0" s="46"/>
      <c r="D1180" s="37"/>
      <c r="E1180" s="37"/>
      <c r="F1180" s="37"/>
      <c r="G1180" s="40" t="str">
        <f>IF(tblMovimientos[[#This Row],[Producto]]="","",TRIM(LEFT(tblMovimientos[[#This Row],[Producto]],FIND(" · ",tblMovimientos[[#This Row],[Producto]]&amp;" · ")-1)))</f>
        <v/>
      </c>
      <c r="H1180" s="40" t="str">
        <f>IF(tblMovimientos[[#This Row],[SKU]]="","",IFERROR(INDEX(tblProductos[Unidad],MATCH(tblMovimientos[[#This Row],[SKU]],tblProductos[SKU],0)),"?"))</f>
        <v/>
      </c>
      <c r="I1180" s="39"/>
      <c r="J1180" s="47" t="str">
        <f>IF(tblMovimientos[[#This Row],[Tipo]]="","",IFERROR(INDEX(tblTiposMov[FactorStock],MATCH(tblMovimientos[[#This Row],[Tipo]],tblTiposMov[Tipo],0)),0))</f>
        <v/>
      </c>
      <c r="K11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0" s="37"/>
      <c r="O1180" s="37"/>
      <c r="P1180" s="37"/>
    </row>
    <row r="1181" spans="2:16" x14ac:dyDescent="0.25">
      <c r="B11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1" s="46"/>
      <c r="D1181" s="37"/>
      <c r="E1181" s="37"/>
      <c r="F1181" s="37"/>
      <c r="G1181" s="40" t="str">
        <f>IF(tblMovimientos[[#This Row],[Producto]]="","",TRIM(LEFT(tblMovimientos[[#This Row],[Producto]],FIND(" · ",tblMovimientos[[#This Row],[Producto]]&amp;" · ")-1)))</f>
        <v/>
      </c>
      <c r="H1181" s="40" t="str">
        <f>IF(tblMovimientos[[#This Row],[SKU]]="","",IFERROR(INDEX(tblProductos[Unidad],MATCH(tblMovimientos[[#This Row],[SKU]],tblProductos[SKU],0)),"?"))</f>
        <v/>
      </c>
      <c r="I1181" s="39"/>
      <c r="J1181" s="47" t="str">
        <f>IF(tblMovimientos[[#This Row],[Tipo]]="","",IFERROR(INDEX(tblTiposMov[FactorStock],MATCH(tblMovimientos[[#This Row],[Tipo]],tblTiposMov[Tipo],0)),0))</f>
        <v/>
      </c>
      <c r="K11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1" s="37"/>
      <c r="O1181" s="37"/>
      <c r="P1181" s="37"/>
    </row>
    <row r="1182" spans="2:16" x14ac:dyDescent="0.25">
      <c r="B11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2" s="46"/>
      <c r="D1182" s="37"/>
      <c r="E1182" s="37"/>
      <c r="F1182" s="37"/>
      <c r="G1182" s="40" t="str">
        <f>IF(tblMovimientos[[#This Row],[Producto]]="","",TRIM(LEFT(tblMovimientos[[#This Row],[Producto]],FIND(" · ",tblMovimientos[[#This Row],[Producto]]&amp;" · ")-1)))</f>
        <v/>
      </c>
      <c r="H1182" s="40" t="str">
        <f>IF(tblMovimientos[[#This Row],[SKU]]="","",IFERROR(INDEX(tblProductos[Unidad],MATCH(tblMovimientos[[#This Row],[SKU]],tblProductos[SKU],0)),"?"))</f>
        <v/>
      </c>
      <c r="I1182" s="39"/>
      <c r="J1182" s="47" t="str">
        <f>IF(tblMovimientos[[#This Row],[Tipo]]="","",IFERROR(INDEX(tblTiposMov[FactorStock],MATCH(tblMovimientos[[#This Row],[Tipo]],tblTiposMov[Tipo],0)),0))</f>
        <v/>
      </c>
      <c r="K11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2" s="37"/>
      <c r="O1182" s="37"/>
      <c r="P1182" s="37"/>
    </row>
    <row r="1183" spans="2:16" x14ac:dyDescent="0.25">
      <c r="B11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3" s="46"/>
      <c r="D1183" s="37"/>
      <c r="E1183" s="37"/>
      <c r="F1183" s="37"/>
      <c r="G1183" s="40" t="str">
        <f>IF(tblMovimientos[[#This Row],[Producto]]="","",TRIM(LEFT(tblMovimientos[[#This Row],[Producto]],FIND(" · ",tblMovimientos[[#This Row],[Producto]]&amp;" · ")-1)))</f>
        <v/>
      </c>
      <c r="H1183" s="40" t="str">
        <f>IF(tblMovimientos[[#This Row],[SKU]]="","",IFERROR(INDEX(tblProductos[Unidad],MATCH(tblMovimientos[[#This Row],[SKU]],tblProductos[SKU],0)),"?"))</f>
        <v/>
      </c>
      <c r="I1183" s="39"/>
      <c r="J1183" s="47" t="str">
        <f>IF(tblMovimientos[[#This Row],[Tipo]]="","",IFERROR(INDEX(tblTiposMov[FactorStock],MATCH(tblMovimientos[[#This Row],[Tipo]],tblTiposMov[Tipo],0)),0))</f>
        <v/>
      </c>
      <c r="K11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3" s="37"/>
      <c r="O1183" s="37"/>
      <c r="P1183" s="37"/>
    </row>
    <row r="1184" spans="2:16" x14ac:dyDescent="0.25">
      <c r="B11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4" s="46"/>
      <c r="D1184" s="37"/>
      <c r="E1184" s="37"/>
      <c r="F1184" s="37"/>
      <c r="G1184" s="40" t="str">
        <f>IF(tblMovimientos[[#This Row],[Producto]]="","",TRIM(LEFT(tblMovimientos[[#This Row],[Producto]],FIND(" · ",tblMovimientos[[#This Row],[Producto]]&amp;" · ")-1)))</f>
        <v/>
      </c>
      <c r="H1184" s="40" t="str">
        <f>IF(tblMovimientos[[#This Row],[SKU]]="","",IFERROR(INDEX(tblProductos[Unidad],MATCH(tblMovimientos[[#This Row],[SKU]],tblProductos[SKU],0)),"?"))</f>
        <v/>
      </c>
      <c r="I1184" s="39"/>
      <c r="J1184" s="47" t="str">
        <f>IF(tblMovimientos[[#This Row],[Tipo]]="","",IFERROR(INDEX(tblTiposMov[FactorStock],MATCH(tblMovimientos[[#This Row],[Tipo]],tblTiposMov[Tipo],0)),0))</f>
        <v/>
      </c>
      <c r="K11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4" s="37"/>
      <c r="O1184" s="37"/>
      <c r="P1184" s="37"/>
    </row>
    <row r="1185" spans="2:16" x14ac:dyDescent="0.25">
      <c r="B11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5" s="46"/>
      <c r="D1185" s="37"/>
      <c r="E1185" s="37"/>
      <c r="F1185" s="37"/>
      <c r="G1185" s="40" t="str">
        <f>IF(tblMovimientos[[#This Row],[Producto]]="","",TRIM(LEFT(tblMovimientos[[#This Row],[Producto]],FIND(" · ",tblMovimientos[[#This Row],[Producto]]&amp;" · ")-1)))</f>
        <v/>
      </c>
      <c r="H1185" s="40" t="str">
        <f>IF(tblMovimientos[[#This Row],[SKU]]="","",IFERROR(INDEX(tblProductos[Unidad],MATCH(tblMovimientos[[#This Row],[SKU]],tblProductos[SKU],0)),"?"))</f>
        <v/>
      </c>
      <c r="I1185" s="39"/>
      <c r="J1185" s="47" t="str">
        <f>IF(tblMovimientos[[#This Row],[Tipo]]="","",IFERROR(INDEX(tblTiposMov[FactorStock],MATCH(tblMovimientos[[#This Row],[Tipo]],tblTiposMov[Tipo],0)),0))</f>
        <v/>
      </c>
      <c r="K11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5" s="37"/>
      <c r="O1185" s="37"/>
      <c r="P1185" s="37"/>
    </row>
    <row r="1186" spans="2:16" x14ac:dyDescent="0.25">
      <c r="B11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6" s="46"/>
      <c r="D1186" s="37"/>
      <c r="E1186" s="37"/>
      <c r="F1186" s="37"/>
      <c r="G1186" s="40" t="str">
        <f>IF(tblMovimientos[[#This Row],[Producto]]="","",TRIM(LEFT(tblMovimientos[[#This Row],[Producto]],FIND(" · ",tblMovimientos[[#This Row],[Producto]]&amp;" · ")-1)))</f>
        <v/>
      </c>
      <c r="H1186" s="40" t="str">
        <f>IF(tblMovimientos[[#This Row],[SKU]]="","",IFERROR(INDEX(tblProductos[Unidad],MATCH(tblMovimientos[[#This Row],[SKU]],tblProductos[SKU],0)),"?"))</f>
        <v/>
      </c>
      <c r="I1186" s="39"/>
      <c r="J1186" s="47" t="str">
        <f>IF(tblMovimientos[[#This Row],[Tipo]]="","",IFERROR(INDEX(tblTiposMov[FactorStock],MATCH(tblMovimientos[[#This Row],[Tipo]],tblTiposMov[Tipo],0)),0))</f>
        <v/>
      </c>
      <c r="K11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6" s="37"/>
      <c r="O1186" s="37"/>
      <c r="P1186" s="37"/>
    </row>
    <row r="1187" spans="2:16" x14ac:dyDescent="0.25">
      <c r="B11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7" s="46"/>
      <c r="D1187" s="37"/>
      <c r="E1187" s="37"/>
      <c r="F1187" s="37"/>
      <c r="G1187" s="40" t="str">
        <f>IF(tblMovimientos[[#This Row],[Producto]]="","",TRIM(LEFT(tblMovimientos[[#This Row],[Producto]],FIND(" · ",tblMovimientos[[#This Row],[Producto]]&amp;" · ")-1)))</f>
        <v/>
      </c>
      <c r="H1187" s="40" t="str">
        <f>IF(tblMovimientos[[#This Row],[SKU]]="","",IFERROR(INDEX(tblProductos[Unidad],MATCH(tblMovimientos[[#This Row],[SKU]],tblProductos[SKU],0)),"?"))</f>
        <v/>
      </c>
      <c r="I1187" s="39"/>
      <c r="J1187" s="47" t="str">
        <f>IF(tblMovimientos[[#This Row],[Tipo]]="","",IFERROR(INDEX(tblTiposMov[FactorStock],MATCH(tblMovimientos[[#This Row],[Tipo]],tblTiposMov[Tipo],0)),0))</f>
        <v/>
      </c>
      <c r="K11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7" s="37"/>
      <c r="O1187" s="37"/>
      <c r="P1187" s="37"/>
    </row>
    <row r="1188" spans="2:16" x14ac:dyDescent="0.25">
      <c r="B11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8" s="46"/>
      <c r="D1188" s="37"/>
      <c r="E1188" s="37"/>
      <c r="F1188" s="37"/>
      <c r="G1188" s="40" t="str">
        <f>IF(tblMovimientos[[#This Row],[Producto]]="","",TRIM(LEFT(tblMovimientos[[#This Row],[Producto]],FIND(" · ",tblMovimientos[[#This Row],[Producto]]&amp;" · ")-1)))</f>
        <v/>
      </c>
      <c r="H1188" s="40" t="str">
        <f>IF(tblMovimientos[[#This Row],[SKU]]="","",IFERROR(INDEX(tblProductos[Unidad],MATCH(tblMovimientos[[#This Row],[SKU]],tblProductos[SKU],0)),"?"))</f>
        <v/>
      </c>
      <c r="I1188" s="39"/>
      <c r="J1188" s="47" t="str">
        <f>IF(tblMovimientos[[#This Row],[Tipo]]="","",IFERROR(INDEX(tblTiposMov[FactorStock],MATCH(tblMovimientos[[#This Row],[Tipo]],tblTiposMov[Tipo],0)),0))</f>
        <v/>
      </c>
      <c r="K11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8" s="37"/>
      <c r="O1188" s="37"/>
      <c r="P1188" s="37"/>
    </row>
    <row r="1189" spans="2:16" x14ac:dyDescent="0.25">
      <c r="B11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89" s="46"/>
      <c r="D1189" s="37"/>
      <c r="E1189" s="37"/>
      <c r="F1189" s="37"/>
      <c r="G1189" s="40" t="str">
        <f>IF(tblMovimientos[[#This Row],[Producto]]="","",TRIM(LEFT(tblMovimientos[[#This Row],[Producto]],FIND(" · ",tblMovimientos[[#This Row],[Producto]]&amp;" · ")-1)))</f>
        <v/>
      </c>
      <c r="H1189" s="40" t="str">
        <f>IF(tblMovimientos[[#This Row],[SKU]]="","",IFERROR(INDEX(tblProductos[Unidad],MATCH(tblMovimientos[[#This Row],[SKU]],tblProductos[SKU],0)),"?"))</f>
        <v/>
      </c>
      <c r="I1189" s="39"/>
      <c r="J1189" s="47" t="str">
        <f>IF(tblMovimientos[[#This Row],[Tipo]]="","",IFERROR(INDEX(tblTiposMov[FactorStock],MATCH(tblMovimientos[[#This Row],[Tipo]],tblTiposMov[Tipo],0)),0))</f>
        <v/>
      </c>
      <c r="K11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89" s="37"/>
      <c r="O1189" s="37"/>
      <c r="P1189" s="37"/>
    </row>
    <row r="1190" spans="2:16" x14ac:dyDescent="0.25">
      <c r="B11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0" s="46"/>
      <c r="D1190" s="37"/>
      <c r="E1190" s="37"/>
      <c r="F1190" s="37"/>
      <c r="G1190" s="40" t="str">
        <f>IF(tblMovimientos[[#This Row],[Producto]]="","",TRIM(LEFT(tblMovimientos[[#This Row],[Producto]],FIND(" · ",tblMovimientos[[#This Row],[Producto]]&amp;" · ")-1)))</f>
        <v/>
      </c>
      <c r="H1190" s="40" t="str">
        <f>IF(tblMovimientos[[#This Row],[SKU]]="","",IFERROR(INDEX(tblProductos[Unidad],MATCH(tblMovimientos[[#This Row],[SKU]],tblProductos[SKU],0)),"?"))</f>
        <v/>
      </c>
      <c r="I1190" s="39"/>
      <c r="J1190" s="47" t="str">
        <f>IF(tblMovimientos[[#This Row],[Tipo]]="","",IFERROR(INDEX(tblTiposMov[FactorStock],MATCH(tblMovimientos[[#This Row],[Tipo]],tblTiposMov[Tipo],0)),0))</f>
        <v/>
      </c>
      <c r="K11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0" s="37"/>
      <c r="O1190" s="37"/>
      <c r="P1190" s="37"/>
    </row>
    <row r="1191" spans="2:16" x14ac:dyDescent="0.25">
      <c r="B11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1" s="46"/>
      <c r="D1191" s="37"/>
      <c r="E1191" s="37"/>
      <c r="F1191" s="37"/>
      <c r="G1191" s="40" t="str">
        <f>IF(tblMovimientos[[#This Row],[Producto]]="","",TRIM(LEFT(tblMovimientos[[#This Row],[Producto]],FIND(" · ",tblMovimientos[[#This Row],[Producto]]&amp;" · ")-1)))</f>
        <v/>
      </c>
      <c r="H1191" s="40" t="str">
        <f>IF(tblMovimientos[[#This Row],[SKU]]="","",IFERROR(INDEX(tblProductos[Unidad],MATCH(tblMovimientos[[#This Row],[SKU]],tblProductos[SKU],0)),"?"))</f>
        <v/>
      </c>
      <c r="I1191" s="39"/>
      <c r="J1191" s="47" t="str">
        <f>IF(tblMovimientos[[#This Row],[Tipo]]="","",IFERROR(INDEX(tblTiposMov[FactorStock],MATCH(tblMovimientos[[#This Row],[Tipo]],tblTiposMov[Tipo],0)),0))</f>
        <v/>
      </c>
      <c r="K11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1" s="37"/>
      <c r="O1191" s="37"/>
      <c r="P1191" s="37"/>
    </row>
    <row r="1192" spans="2:16" x14ac:dyDescent="0.25">
      <c r="B11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2" s="46"/>
      <c r="D1192" s="37"/>
      <c r="E1192" s="37"/>
      <c r="F1192" s="37"/>
      <c r="G1192" s="40" t="str">
        <f>IF(tblMovimientos[[#This Row],[Producto]]="","",TRIM(LEFT(tblMovimientos[[#This Row],[Producto]],FIND(" · ",tblMovimientos[[#This Row],[Producto]]&amp;" · ")-1)))</f>
        <v/>
      </c>
      <c r="H1192" s="40" t="str">
        <f>IF(tblMovimientos[[#This Row],[SKU]]="","",IFERROR(INDEX(tblProductos[Unidad],MATCH(tblMovimientos[[#This Row],[SKU]],tblProductos[SKU],0)),"?"))</f>
        <v/>
      </c>
      <c r="I1192" s="39"/>
      <c r="J1192" s="47" t="str">
        <f>IF(tblMovimientos[[#This Row],[Tipo]]="","",IFERROR(INDEX(tblTiposMov[FactorStock],MATCH(tblMovimientos[[#This Row],[Tipo]],tblTiposMov[Tipo],0)),0))</f>
        <v/>
      </c>
      <c r="K11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2" s="37"/>
      <c r="O1192" s="37"/>
      <c r="P1192" s="37"/>
    </row>
    <row r="1193" spans="2:16" x14ac:dyDescent="0.25">
      <c r="B11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3" s="46"/>
      <c r="D1193" s="37"/>
      <c r="E1193" s="37"/>
      <c r="F1193" s="37"/>
      <c r="G1193" s="40" t="str">
        <f>IF(tblMovimientos[[#This Row],[Producto]]="","",TRIM(LEFT(tblMovimientos[[#This Row],[Producto]],FIND(" · ",tblMovimientos[[#This Row],[Producto]]&amp;" · ")-1)))</f>
        <v/>
      </c>
      <c r="H1193" s="40" t="str">
        <f>IF(tblMovimientos[[#This Row],[SKU]]="","",IFERROR(INDEX(tblProductos[Unidad],MATCH(tblMovimientos[[#This Row],[SKU]],tblProductos[SKU],0)),"?"))</f>
        <v/>
      </c>
      <c r="I1193" s="39"/>
      <c r="J1193" s="47" t="str">
        <f>IF(tblMovimientos[[#This Row],[Tipo]]="","",IFERROR(INDEX(tblTiposMov[FactorStock],MATCH(tblMovimientos[[#This Row],[Tipo]],tblTiposMov[Tipo],0)),0))</f>
        <v/>
      </c>
      <c r="K11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3" s="37"/>
      <c r="O1193" s="37"/>
      <c r="P1193" s="37"/>
    </row>
    <row r="1194" spans="2:16" x14ac:dyDescent="0.25">
      <c r="B11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4" s="46"/>
      <c r="D1194" s="37"/>
      <c r="E1194" s="37"/>
      <c r="F1194" s="37"/>
      <c r="G1194" s="40" t="str">
        <f>IF(tblMovimientos[[#This Row],[Producto]]="","",TRIM(LEFT(tblMovimientos[[#This Row],[Producto]],FIND(" · ",tblMovimientos[[#This Row],[Producto]]&amp;" · ")-1)))</f>
        <v/>
      </c>
      <c r="H1194" s="40" t="str">
        <f>IF(tblMovimientos[[#This Row],[SKU]]="","",IFERROR(INDEX(tblProductos[Unidad],MATCH(tblMovimientos[[#This Row],[SKU]],tblProductos[SKU],0)),"?"))</f>
        <v/>
      </c>
      <c r="I1194" s="39"/>
      <c r="J1194" s="47" t="str">
        <f>IF(tblMovimientos[[#This Row],[Tipo]]="","",IFERROR(INDEX(tblTiposMov[FactorStock],MATCH(tblMovimientos[[#This Row],[Tipo]],tblTiposMov[Tipo],0)),0))</f>
        <v/>
      </c>
      <c r="K11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4" s="37"/>
      <c r="O1194" s="37"/>
      <c r="P1194" s="37"/>
    </row>
    <row r="1195" spans="2:16" x14ac:dyDescent="0.25">
      <c r="B11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5" s="46"/>
      <c r="D1195" s="37"/>
      <c r="E1195" s="37"/>
      <c r="F1195" s="37"/>
      <c r="G1195" s="40" t="str">
        <f>IF(tblMovimientos[[#This Row],[Producto]]="","",TRIM(LEFT(tblMovimientos[[#This Row],[Producto]],FIND(" · ",tblMovimientos[[#This Row],[Producto]]&amp;" · ")-1)))</f>
        <v/>
      </c>
      <c r="H1195" s="40" t="str">
        <f>IF(tblMovimientos[[#This Row],[SKU]]="","",IFERROR(INDEX(tblProductos[Unidad],MATCH(tblMovimientos[[#This Row],[SKU]],tblProductos[SKU],0)),"?"))</f>
        <v/>
      </c>
      <c r="I1195" s="39"/>
      <c r="J1195" s="47" t="str">
        <f>IF(tblMovimientos[[#This Row],[Tipo]]="","",IFERROR(INDEX(tblTiposMov[FactorStock],MATCH(tblMovimientos[[#This Row],[Tipo]],tblTiposMov[Tipo],0)),0))</f>
        <v/>
      </c>
      <c r="K11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5" s="37"/>
      <c r="O1195" s="37"/>
      <c r="P1195" s="37"/>
    </row>
    <row r="1196" spans="2:16" x14ac:dyDescent="0.25">
      <c r="B11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6" s="46"/>
      <c r="D1196" s="37"/>
      <c r="E1196" s="37"/>
      <c r="F1196" s="37"/>
      <c r="G1196" s="40" t="str">
        <f>IF(tblMovimientos[[#This Row],[Producto]]="","",TRIM(LEFT(tblMovimientos[[#This Row],[Producto]],FIND(" · ",tblMovimientos[[#This Row],[Producto]]&amp;" · ")-1)))</f>
        <v/>
      </c>
      <c r="H1196" s="40" t="str">
        <f>IF(tblMovimientos[[#This Row],[SKU]]="","",IFERROR(INDEX(tblProductos[Unidad],MATCH(tblMovimientos[[#This Row],[SKU]],tblProductos[SKU],0)),"?"))</f>
        <v/>
      </c>
      <c r="I1196" s="39"/>
      <c r="J1196" s="47" t="str">
        <f>IF(tblMovimientos[[#This Row],[Tipo]]="","",IFERROR(INDEX(tblTiposMov[FactorStock],MATCH(tblMovimientos[[#This Row],[Tipo]],tblTiposMov[Tipo],0)),0))</f>
        <v/>
      </c>
      <c r="K11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6" s="37"/>
      <c r="O1196" s="37"/>
      <c r="P1196" s="37"/>
    </row>
    <row r="1197" spans="2:16" x14ac:dyDescent="0.25">
      <c r="B11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7" s="46"/>
      <c r="D1197" s="37"/>
      <c r="E1197" s="37"/>
      <c r="F1197" s="37"/>
      <c r="G1197" s="40" t="str">
        <f>IF(tblMovimientos[[#This Row],[Producto]]="","",TRIM(LEFT(tblMovimientos[[#This Row],[Producto]],FIND(" · ",tblMovimientos[[#This Row],[Producto]]&amp;" · ")-1)))</f>
        <v/>
      </c>
      <c r="H1197" s="40" t="str">
        <f>IF(tblMovimientos[[#This Row],[SKU]]="","",IFERROR(INDEX(tblProductos[Unidad],MATCH(tblMovimientos[[#This Row],[SKU]],tblProductos[SKU],0)),"?"))</f>
        <v/>
      </c>
      <c r="I1197" s="39"/>
      <c r="J1197" s="47" t="str">
        <f>IF(tblMovimientos[[#This Row],[Tipo]]="","",IFERROR(INDEX(tblTiposMov[FactorStock],MATCH(tblMovimientos[[#This Row],[Tipo]],tblTiposMov[Tipo],0)),0))</f>
        <v/>
      </c>
      <c r="K11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7" s="37"/>
      <c r="O1197" s="37"/>
      <c r="P1197" s="37"/>
    </row>
    <row r="1198" spans="2:16" x14ac:dyDescent="0.25">
      <c r="B11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8" s="46"/>
      <c r="D1198" s="37"/>
      <c r="E1198" s="37"/>
      <c r="F1198" s="37"/>
      <c r="G1198" s="40" t="str">
        <f>IF(tblMovimientos[[#This Row],[Producto]]="","",TRIM(LEFT(tblMovimientos[[#This Row],[Producto]],FIND(" · ",tblMovimientos[[#This Row],[Producto]]&amp;" · ")-1)))</f>
        <v/>
      </c>
      <c r="H1198" s="40" t="str">
        <f>IF(tblMovimientos[[#This Row],[SKU]]="","",IFERROR(INDEX(tblProductos[Unidad],MATCH(tblMovimientos[[#This Row],[SKU]],tblProductos[SKU],0)),"?"))</f>
        <v/>
      </c>
      <c r="I1198" s="39"/>
      <c r="J1198" s="47" t="str">
        <f>IF(tblMovimientos[[#This Row],[Tipo]]="","",IFERROR(INDEX(tblTiposMov[FactorStock],MATCH(tblMovimientos[[#This Row],[Tipo]],tblTiposMov[Tipo],0)),0))</f>
        <v/>
      </c>
      <c r="K11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8" s="37"/>
      <c r="O1198" s="37"/>
      <c r="P1198" s="37"/>
    </row>
    <row r="1199" spans="2:16" x14ac:dyDescent="0.25">
      <c r="B11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199" s="46"/>
      <c r="D1199" s="37"/>
      <c r="E1199" s="37"/>
      <c r="F1199" s="37"/>
      <c r="G1199" s="40" t="str">
        <f>IF(tblMovimientos[[#This Row],[Producto]]="","",TRIM(LEFT(tblMovimientos[[#This Row],[Producto]],FIND(" · ",tblMovimientos[[#This Row],[Producto]]&amp;" · ")-1)))</f>
        <v/>
      </c>
      <c r="H1199" s="40" t="str">
        <f>IF(tblMovimientos[[#This Row],[SKU]]="","",IFERROR(INDEX(tblProductos[Unidad],MATCH(tblMovimientos[[#This Row],[SKU]],tblProductos[SKU],0)),"?"))</f>
        <v/>
      </c>
      <c r="I1199" s="39"/>
      <c r="J1199" s="47" t="str">
        <f>IF(tblMovimientos[[#This Row],[Tipo]]="","",IFERROR(INDEX(tblTiposMov[FactorStock],MATCH(tblMovimientos[[#This Row],[Tipo]],tblTiposMov[Tipo],0)),0))</f>
        <v/>
      </c>
      <c r="K11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1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199" s="37"/>
      <c r="O1199" s="37"/>
      <c r="P1199" s="37"/>
    </row>
    <row r="1200" spans="2:16" x14ac:dyDescent="0.25">
      <c r="B12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0" s="46"/>
      <c r="D1200" s="37"/>
      <c r="E1200" s="37"/>
      <c r="F1200" s="37"/>
      <c r="G1200" s="40" t="str">
        <f>IF(tblMovimientos[[#This Row],[Producto]]="","",TRIM(LEFT(tblMovimientos[[#This Row],[Producto]],FIND(" · ",tblMovimientos[[#This Row],[Producto]]&amp;" · ")-1)))</f>
        <v/>
      </c>
      <c r="H1200" s="40" t="str">
        <f>IF(tblMovimientos[[#This Row],[SKU]]="","",IFERROR(INDEX(tblProductos[Unidad],MATCH(tblMovimientos[[#This Row],[SKU]],tblProductos[SKU],0)),"?"))</f>
        <v/>
      </c>
      <c r="I1200" s="39"/>
      <c r="J1200" s="47" t="str">
        <f>IF(tblMovimientos[[#This Row],[Tipo]]="","",IFERROR(INDEX(tblTiposMov[FactorStock],MATCH(tblMovimientos[[#This Row],[Tipo]],tblTiposMov[Tipo],0)),0))</f>
        <v/>
      </c>
      <c r="K12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0" s="37"/>
      <c r="O1200" s="37"/>
      <c r="P1200" s="37"/>
    </row>
    <row r="1201" spans="2:16" x14ac:dyDescent="0.25">
      <c r="B12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1" s="46"/>
      <c r="D1201" s="37"/>
      <c r="E1201" s="37"/>
      <c r="F1201" s="37"/>
      <c r="G1201" s="40" t="str">
        <f>IF(tblMovimientos[[#This Row],[Producto]]="","",TRIM(LEFT(tblMovimientos[[#This Row],[Producto]],FIND(" · ",tblMovimientos[[#This Row],[Producto]]&amp;" · ")-1)))</f>
        <v/>
      </c>
      <c r="H1201" s="40" t="str">
        <f>IF(tblMovimientos[[#This Row],[SKU]]="","",IFERROR(INDEX(tblProductos[Unidad],MATCH(tblMovimientos[[#This Row],[SKU]],tblProductos[SKU],0)),"?"))</f>
        <v/>
      </c>
      <c r="I1201" s="39"/>
      <c r="J1201" s="47" t="str">
        <f>IF(tblMovimientos[[#This Row],[Tipo]]="","",IFERROR(INDEX(tblTiposMov[FactorStock],MATCH(tblMovimientos[[#This Row],[Tipo]],tblTiposMov[Tipo],0)),0))</f>
        <v/>
      </c>
      <c r="K12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1" s="37"/>
      <c r="O1201" s="37"/>
      <c r="P1201" s="37"/>
    </row>
    <row r="1202" spans="2:16" x14ac:dyDescent="0.25">
      <c r="B12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2" s="46"/>
      <c r="D1202" s="37"/>
      <c r="E1202" s="37"/>
      <c r="F1202" s="37"/>
      <c r="G1202" s="40" t="str">
        <f>IF(tblMovimientos[[#This Row],[Producto]]="","",TRIM(LEFT(tblMovimientos[[#This Row],[Producto]],FIND(" · ",tblMovimientos[[#This Row],[Producto]]&amp;" · ")-1)))</f>
        <v/>
      </c>
      <c r="H1202" s="40" t="str">
        <f>IF(tblMovimientos[[#This Row],[SKU]]="","",IFERROR(INDEX(tblProductos[Unidad],MATCH(tblMovimientos[[#This Row],[SKU]],tblProductos[SKU],0)),"?"))</f>
        <v/>
      </c>
      <c r="I1202" s="39"/>
      <c r="J1202" s="47" t="str">
        <f>IF(tblMovimientos[[#This Row],[Tipo]]="","",IFERROR(INDEX(tblTiposMov[FactorStock],MATCH(tblMovimientos[[#This Row],[Tipo]],tblTiposMov[Tipo],0)),0))</f>
        <v/>
      </c>
      <c r="K12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2" s="37"/>
      <c r="O1202" s="37"/>
      <c r="P1202" s="37"/>
    </row>
    <row r="1203" spans="2:16" x14ac:dyDescent="0.25">
      <c r="B12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3" s="46"/>
      <c r="D1203" s="37"/>
      <c r="E1203" s="37"/>
      <c r="F1203" s="37"/>
      <c r="G1203" s="40" t="str">
        <f>IF(tblMovimientos[[#This Row],[Producto]]="","",TRIM(LEFT(tblMovimientos[[#This Row],[Producto]],FIND(" · ",tblMovimientos[[#This Row],[Producto]]&amp;" · ")-1)))</f>
        <v/>
      </c>
      <c r="H1203" s="40" t="str">
        <f>IF(tblMovimientos[[#This Row],[SKU]]="","",IFERROR(INDEX(tblProductos[Unidad],MATCH(tblMovimientos[[#This Row],[SKU]],tblProductos[SKU],0)),"?"))</f>
        <v/>
      </c>
      <c r="I1203" s="39"/>
      <c r="J1203" s="47" t="str">
        <f>IF(tblMovimientos[[#This Row],[Tipo]]="","",IFERROR(INDEX(tblTiposMov[FactorStock],MATCH(tblMovimientos[[#This Row],[Tipo]],tblTiposMov[Tipo],0)),0))</f>
        <v/>
      </c>
      <c r="K12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3" s="37"/>
      <c r="O1203" s="37"/>
      <c r="P1203" s="37"/>
    </row>
    <row r="1204" spans="2:16" x14ac:dyDescent="0.25">
      <c r="B12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4" s="46"/>
      <c r="D1204" s="37"/>
      <c r="E1204" s="37"/>
      <c r="F1204" s="37"/>
      <c r="G1204" s="40" t="str">
        <f>IF(tblMovimientos[[#This Row],[Producto]]="","",TRIM(LEFT(tblMovimientos[[#This Row],[Producto]],FIND(" · ",tblMovimientos[[#This Row],[Producto]]&amp;" · ")-1)))</f>
        <v/>
      </c>
      <c r="H1204" s="40" t="str">
        <f>IF(tblMovimientos[[#This Row],[SKU]]="","",IFERROR(INDEX(tblProductos[Unidad],MATCH(tblMovimientos[[#This Row],[SKU]],tblProductos[SKU],0)),"?"))</f>
        <v/>
      </c>
      <c r="I1204" s="39"/>
      <c r="J1204" s="47" t="str">
        <f>IF(tblMovimientos[[#This Row],[Tipo]]="","",IFERROR(INDEX(tblTiposMov[FactorStock],MATCH(tblMovimientos[[#This Row],[Tipo]],tblTiposMov[Tipo],0)),0))</f>
        <v/>
      </c>
      <c r="K12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4" s="37"/>
      <c r="O1204" s="37"/>
      <c r="P1204" s="37"/>
    </row>
    <row r="1205" spans="2:16" x14ac:dyDescent="0.25">
      <c r="B12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5" s="46"/>
      <c r="D1205" s="37"/>
      <c r="E1205" s="37"/>
      <c r="F1205" s="37"/>
      <c r="G1205" s="40" t="str">
        <f>IF(tblMovimientos[[#This Row],[Producto]]="","",TRIM(LEFT(tblMovimientos[[#This Row],[Producto]],FIND(" · ",tblMovimientos[[#This Row],[Producto]]&amp;" · ")-1)))</f>
        <v/>
      </c>
      <c r="H1205" s="40" t="str">
        <f>IF(tblMovimientos[[#This Row],[SKU]]="","",IFERROR(INDEX(tblProductos[Unidad],MATCH(tblMovimientos[[#This Row],[SKU]],tblProductos[SKU],0)),"?"))</f>
        <v/>
      </c>
      <c r="I1205" s="39"/>
      <c r="J1205" s="47" t="str">
        <f>IF(tblMovimientos[[#This Row],[Tipo]]="","",IFERROR(INDEX(tblTiposMov[FactorStock],MATCH(tblMovimientos[[#This Row],[Tipo]],tblTiposMov[Tipo],0)),0))</f>
        <v/>
      </c>
      <c r="K12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5" s="37"/>
      <c r="O1205" s="37"/>
      <c r="P1205" s="37"/>
    </row>
    <row r="1206" spans="2:16" x14ac:dyDescent="0.25">
      <c r="B12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6" s="46"/>
      <c r="D1206" s="37"/>
      <c r="E1206" s="37"/>
      <c r="F1206" s="37"/>
      <c r="G1206" s="40" t="str">
        <f>IF(tblMovimientos[[#This Row],[Producto]]="","",TRIM(LEFT(tblMovimientos[[#This Row],[Producto]],FIND(" · ",tblMovimientos[[#This Row],[Producto]]&amp;" · ")-1)))</f>
        <v/>
      </c>
      <c r="H1206" s="40" t="str">
        <f>IF(tblMovimientos[[#This Row],[SKU]]="","",IFERROR(INDEX(tblProductos[Unidad],MATCH(tblMovimientos[[#This Row],[SKU]],tblProductos[SKU],0)),"?"))</f>
        <v/>
      </c>
      <c r="I1206" s="39"/>
      <c r="J1206" s="47" t="str">
        <f>IF(tblMovimientos[[#This Row],[Tipo]]="","",IFERROR(INDEX(tblTiposMov[FactorStock],MATCH(tblMovimientos[[#This Row],[Tipo]],tblTiposMov[Tipo],0)),0))</f>
        <v/>
      </c>
      <c r="K12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6" s="37"/>
      <c r="O1206" s="37"/>
      <c r="P1206" s="37"/>
    </row>
    <row r="1207" spans="2:16" x14ac:dyDescent="0.25">
      <c r="B12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7" s="46"/>
      <c r="D1207" s="37"/>
      <c r="E1207" s="37"/>
      <c r="F1207" s="37"/>
      <c r="G1207" s="40" t="str">
        <f>IF(tblMovimientos[[#This Row],[Producto]]="","",TRIM(LEFT(tblMovimientos[[#This Row],[Producto]],FIND(" · ",tblMovimientos[[#This Row],[Producto]]&amp;" · ")-1)))</f>
        <v/>
      </c>
      <c r="H1207" s="40" t="str">
        <f>IF(tblMovimientos[[#This Row],[SKU]]="","",IFERROR(INDEX(tblProductos[Unidad],MATCH(tblMovimientos[[#This Row],[SKU]],tblProductos[SKU],0)),"?"))</f>
        <v/>
      </c>
      <c r="I1207" s="39"/>
      <c r="J1207" s="47" t="str">
        <f>IF(tblMovimientos[[#This Row],[Tipo]]="","",IFERROR(INDEX(tblTiposMov[FactorStock],MATCH(tblMovimientos[[#This Row],[Tipo]],tblTiposMov[Tipo],0)),0))</f>
        <v/>
      </c>
      <c r="K12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7" s="37"/>
      <c r="O1207" s="37"/>
      <c r="P1207" s="37"/>
    </row>
    <row r="1208" spans="2:16" x14ac:dyDescent="0.25">
      <c r="B12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8" s="46"/>
      <c r="D1208" s="37"/>
      <c r="E1208" s="37"/>
      <c r="F1208" s="37"/>
      <c r="G1208" s="40" t="str">
        <f>IF(tblMovimientos[[#This Row],[Producto]]="","",TRIM(LEFT(tblMovimientos[[#This Row],[Producto]],FIND(" · ",tblMovimientos[[#This Row],[Producto]]&amp;" · ")-1)))</f>
        <v/>
      </c>
      <c r="H1208" s="40" t="str">
        <f>IF(tblMovimientos[[#This Row],[SKU]]="","",IFERROR(INDEX(tblProductos[Unidad],MATCH(tblMovimientos[[#This Row],[SKU]],tblProductos[SKU],0)),"?"))</f>
        <v/>
      </c>
      <c r="I1208" s="39"/>
      <c r="J1208" s="47" t="str">
        <f>IF(tblMovimientos[[#This Row],[Tipo]]="","",IFERROR(INDEX(tblTiposMov[FactorStock],MATCH(tblMovimientos[[#This Row],[Tipo]],tblTiposMov[Tipo],0)),0))</f>
        <v/>
      </c>
      <c r="K12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8" s="37"/>
      <c r="O1208" s="37"/>
      <c r="P1208" s="37"/>
    </row>
    <row r="1209" spans="2:16" x14ac:dyDescent="0.25">
      <c r="B12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09" s="46"/>
      <c r="D1209" s="37"/>
      <c r="E1209" s="37"/>
      <c r="F1209" s="37"/>
      <c r="G1209" s="40" t="str">
        <f>IF(tblMovimientos[[#This Row],[Producto]]="","",TRIM(LEFT(tblMovimientos[[#This Row],[Producto]],FIND(" · ",tblMovimientos[[#This Row],[Producto]]&amp;" · ")-1)))</f>
        <v/>
      </c>
      <c r="H1209" s="40" t="str">
        <f>IF(tblMovimientos[[#This Row],[SKU]]="","",IFERROR(INDEX(tblProductos[Unidad],MATCH(tblMovimientos[[#This Row],[SKU]],tblProductos[SKU],0)),"?"))</f>
        <v/>
      </c>
      <c r="I1209" s="39"/>
      <c r="J1209" s="47" t="str">
        <f>IF(tblMovimientos[[#This Row],[Tipo]]="","",IFERROR(INDEX(tblTiposMov[FactorStock],MATCH(tblMovimientos[[#This Row],[Tipo]],tblTiposMov[Tipo],0)),0))</f>
        <v/>
      </c>
      <c r="K12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09" s="37"/>
      <c r="O1209" s="37"/>
      <c r="P1209" s="37"/>
    </row>
    <row r="1210" spans="2:16" x14ac:dyDescent="0.25">
      <c r="B12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0" s="46"/>
      <c r="D1210" s="37"/>
      <c r="E1210" s="37"/>
      <c r="F1210" s="37"/>
      <c r="G1210" s="40" t="str">
        <f>IF(tblMovimientos[[#This Row],[Producto]]="","",TRIM(LEFT(tblMovimientos[[#This Row],[Producto]],FIND(" · ",tblMovimientos[[#This Row],[Producto]]&amp;" · ")-1)))</f>
        <v/>
      </c>
      <c r="H1210" s="40" t="str">
        <f>IF(tblMovimientos[[#This Row],[SKU]]="","",IFERROR(INDEX(tblProductos[Unidad],MATCH(tblMovimientos[[#This Row],[SKU]],tblProductos[SKU],0)),"?"))</f>
        <v/>
      </c>
      <c r="I1210" s="39"/>
      <c r="J1210" s="47" t="str">
        <f>IF(tblMovimientos[[#This Row],[Tipo]]="","",IFERROR(INDEX(tblTiposMov[FactorStock],MATCH(tblMovimientos[[#This Row],[Tipo]],tblTiposMov[Tipo],0)),0))</f>
        <v/>
      </c>
      <c r="K12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0" s="37"/>
      <c r="O1210" s="37"/>
      <c r="P1210" s="37"/>
    </row>
    <row r="1211" spans="2:16" x14ac:dyDescent="0.25">
      <c r="B12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1" s="46"/>
      <c r="D1211" s="37"/>
      <c r="E1211" s="37"/>
      <c r="F1211" s="37"/>
      <c r="G1211" s="40" t="str">
        <f>IF(tblMovimientos[[#This Row],[Producto]]="","",TRIM(LEFT(tblMovimientos[[#This Row],[Producto]],FIND(" · ",tblMovimientos[[#This Row],[Producto]]&amp;" · ")-1)))</f>
        <v/>
      </c>
      <c r="H1211" s="40" t="str">
        <f>IF(tblMovimientos[[#This Row],[SKU]]="","",IFERROR(INDEX(tblProductos[Unidad],MATCH(tblMovimientos[[#This Row],[SKU]],tblProductos[SKU],0)),"?"))</f>
        <v/>
      </c>
      <c r="I1211" s="39"/>
      <c r="J1211" s="47" t="str">
        <f>IF(tblMovimientos[[#This Row],[Tipo]]="","",IFERROR(INDEX(tblTiposMov[FactorStock],MATCH(tblMovimientos[[#This Row],[Tipo]],tblTiposMov[Tipo],0)),0))</f>
        <v/>
      </c>
      <c r="K12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1" s="37"/>
      <c r="O1211" s="37"/>
      <c r="P1211" s="37"/>
    </row>
    <row r="1212" spans="2:16" x14ac:dyDescent="0.25">
      <c r="B12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2" s="46"/>
      <c r="D1212" s="37"/>
      <c r="E1212" s="37"/>
      <c r="F1212" s="37"/>
      <c r="G1212" s="40" t="str">
        <f>IF(tblMovimientos[[#This Row],[Producto]]="","",TRIM(LEFT(tblMovimientos[[#This Row],[Producto]],FIND(" · ",tblMovimientos[[#This Row],[Producto]]&amp;" · ")-1)))</f>
        <v/>
      </c>
      <c r="H1212" s="40" t="str">
        <f>IF(tblMovimientos[[#This Row],[SKU]]="","",IFERROR(INDEX(tblProductos[Unidad],MATCH(tblMovimientos[[#This Row],[SKU]],tblProductos[SKU],0)),"?"))</f>
        <v/>
      </c>
      <c r="I1212" s="39"/>
      <c r="J1212" s="47" t="str">
        <f>IF(tblMovimientos[[#This Row],[Tipo]]="","",IFERROR(INDEX(tblTiposMov[FactorStock],MATCH(tblMovimientos[[#This Row],[Tipo]],tblTiposMov[Tipo],0)),0))</f>
        <v/>
      </c>
      <c r="K12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2" s="37"/>
      <c r="O1212" s="37"/>
      <c r="P1212" s="37"/>
    </row>
    <row r="1213" spans="2:16" x14ac:dyDescent="0.25">
      <c r="B12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3" s="46"/>
      <c r="D1213" s="37"/>
      <c r="E1213" s="37"/>
      <c r="F1213" s="37"/>
      <c r="G1213" s="40" t="str">
        <f>IF(tblMovimientos[[#This Row],[Producto]]="","",TRIM(LEFT(tblMovimientos[[#This Row],[Producto]],FIND(" · ",tblMovimientos[[#This Row],[Producto]]&amp;" · ")-1)))</f>
        <v/>
      </c>
      <c r="H1213" s="40" t="str">
        <f>IF(tblMovimientos[[#This Row],[SKU]]="","",IFERROR(INDEX(tblProductos[Unidad],MATCH(tblMovimientos[[#This Row],[SKU]],tblProductos[SKU],0)),"?"))</f>
        <v/>
      </c>
      <c r="I1213" s="39"/>
      <c r="J1213" s="47" t="str">
        <f>IF(tblMovimientos[[#This Row],[Tipo]]="","",IFERROR(INDEX(tblTiposMov[FactorStock],MATCH(tblMovimientos[[#This Row],[Tipo]],tblTiposMov[Tipo],0)),0))</f>
        <v/>
      </c>
      <c r="K12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3" s="37"/>
      <c r="O1213" s="37"/>
      <c r="P1213" s="37"/>
    </row>
    <row r="1214" spans="2:16" x14ac:dyDescent="0.25">
      <c r="B12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4" s="46"/>
      <c r="D1214" s="37"/>
      <c r="E1214" s="37"/>
      <c r="F1214" s="37"/>
      <c r="G1214" s="40" t="str">
        <f>IF(tblMovimientos[[#This Row],[Producto]]="","",TRIM(LEFT(tblMovimientos[[#This Row],[Producto]],FIND(" · ",tblMovimientos[[#This Row],[Producto]]&amp;" · ")-1)))</f>
        <v/>
      </c>
      <c r="H1214" s="40" t="str">
        <f>IF(tblMovimientos[[#This Row],[SKU]]="","",IFERROR(INDEX(tblProductos[Unidad],MATCH(tblMovimientos[[#This Row],[SKU]],tblProductos[SKU],0)),"?"))</f>
        <v/>
      </c>
      <c r="I1214" s="39"/>
      <c r="J1214" s="47" t="str">
        <f>IF(tblMovimientos[[#This Row],[Tipo]]="","",IFERROR(INDEX(tblTiposMov[FactorStock],MATCH(tblMovimientos[[#This Row],[Tipo]],tblTiposMov[Tipo],0)),0))</f>
        <v/>
      </c>
      <c r="K12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4" s="37"/>
      <c r="O1214" s="37"/>
      <c r="P1214" s="37"/>
    </row>
    <row r="1215" spans="2:16" x14ac:dyDescent="0.25">
      <c r="B12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5" s="46"/>
      <c r="D1215" s="37"/>
      <c r="E1215" s="37"/>
      <c r="F1215" s="37"/>
      <c r="G1215" s="40" t="str">
        <f>IF(tblMovimientos[[#This Row],[Producto]]="","",TRIM(LEFT(tblMovimientos[[#This Row],[Producto]],FIND(" · ",tblMovimientos[[#This Row],[Producto]]&amp;" · ")-1)))</f>
        <v/>
      </c>
      <c r="H1215" s="40" t="str">
        <f>IF(tblMovimientos[[#This Row],[SKU]]="","",IFERROR(INDEX(tblProductos[Unidad],MATCH(tblMovimientos[[#This Row],[SKU]],tblProductos[SKU],0)),"?"))</f>
        <v/>
      </c>
      <c r="I1215" s="39"/>
      <c r="J1215" s="47" t="str">
        <f>IF(tblMovimientos[[#This Row],[Tipo]]="","",IFERROR(INDEX(tblTiposMov[FactorStock],MATCH(tblMovimientos[[#This Row],[Tipo]],tblTiposMov[Tipo],0)),0))</f>
        <v/>
      </c>
      <c r="K12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5" s="37"/>
      <c r="O1215" s="37"/>
      <c r="P1215" s="37"/>
    </row>
    <row r="1216" spans="2:16" x14ac:dyDescent="0.25">
      <c r="B12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6" s="46"/>
      <c r="D1216" s="37"/>
      <c r="E1216" s="37"/>
      <c r="F1216" s="37"/>
      <c r="G1216" s="40" t="str">
        <f>IF(tblMovimientos[[#This Row],[Producto]]="","",TRIM(LEFT(tblMovimientos[[#This Row],[Producto]],FIND(" · ",tblMovimientos[[#This Row],[Producto]]&amp;" · ")-1)))</f>
        <v/>
      </c>
      <c r="H1216" s="40" t="str">
        <f>IF(tblMovimientos[[#This Row],[SKU]]="","",IFERROR(INDEX(tblProductos[Unidad],MATCH(tblMovimientos[[#This Row],[SKU]],tblProductos[SKU],0)),"?"))</f>
        <v/>
      </c>
      <c r="I1216" s="39"/>
      <c r="J1216" s="47" t="str">
        <f>IF(tblMovimientos[[#This Row],[Tipo]]="","",IFERROR(INDEX(tblTiposMov[FactorStock],MATCH(tblMovimientos[[#This Row],[Tipo]],tblTiposMov[Tipo],0)),0))</f>
        <v/>
      </c>
      <c r="K12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6" s="37"/>
      <c r="O1216" s="37"/>
      <c r="P1216" s="37"/>
    </row>
    <row r="1217" spans="2:16" x14ac:dyDescent="0.25">
      <c r="B12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7" s="46"/>
      <c r="D1217" s="37"/>
      <c r="E1217" s="37"/>
      <c r="F1217" s="37"/>
      <c r="G1217" s="40" t="str">
        <f>IF(tblMovimientos[[#This Row],[Producto]]="","",TRIM(LEFT(tblMovimientos[[#This Row],[Producto]],FIND(" · ",tblMovimientos[[#This Row],[Producto]]&amp;" · ")-1)))</f>
        <v/>
      </c>
      <c r="H1217" s="40" t="str">
        <f>IF(tblMovimientos[[#This Row],[SKU]]="","",IFERROR(INDEX(tblProductos[Unidad],MATCH(tblMovimientos[[#This Row],[SKU]],tblProductos[SKU],0)),"?"))</f>
        <v/>
      </c>
      <c r="I1217" s="39"/>
      <c r="J1217" s="47" t="str">
        <f>IF(tblMovimientos[[#This Row],[Tipo]]="","",IFERROR(INDEX(tblTiposMov[FactorStock],MATCH(tblMovimientos[[#This Row],[Tipo]],tblTiposMov[Tipo],0)),0))</f>
        <v/>
      </c>
      <c r="K12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7" s="37"/>
      <c r="O1217" s="37"/>
      <c r="P1217" s="37"/>
    </row>
    <row r="1218" spans="2:16" x14ac:dyDescent="0.25">
      <c r="B12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8" s="46"/>
      <c r="D1218" s="37"/>
      <c r="E1218" s="37"/>
      <c r="F1218" s="37"/>
      <c r="G1218" s="40" t="str">
        <f>IF(tblMovimientos[[#This Row],[Producto]]="","",TRIM(LEFT(tblMovimientos[[#This Row],[Producto]],FIND(" · ",tblMovimientos[[#This Row],[Producto]]&amp;" · ")-1)))</f>
        <v/>
      </c>
      <c r="H1218" s="40" t="str">
        <f>IF(tblMovimientos[[#This Row],[SKU]]="","",IFERROR(INDEX(tblProductos[Unidad],MATCH(tblMovimientos[[#This Row],[SKU]],tblProductos[SKU],0)),"?"))</f>
        <v/>
      </c>
      <c r="I1218" s="39"/>
      <c r="J1218" s="47" t="str">
        <f>IF(tblMovimientos[[#This Row],[Tipo]]="","",IFERROR(INDEX(tblTiposMov[FactorStock],MATCH(tblMovimientos[[#This Row],[Tipo]],tblTiposMov[Tipo],0)),0))</f>
        <v/>
      </c>
      <c r="K12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8" s="37"/>
      <c r="O1218" s="37"/>
      <c r="P1218" s="37"/>
    </row>
    <row r="1219" spans="2:16" x14ac:dyDescent="0.25">
      <c r="B12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19" s="46"/>
      <c r="D1219" s="37"/>
      <c r="E1219" s="37"/>
      <c r="F1219" s="37"/>
      <c r="G1219" s="40" t="str">
        <f>IF(tblMovimientos[[#This Row],[Producto]]="","",TRIM(LEFT(tblMovimientos[[#This Row],[Producto]],FIND(" · ",tblMovimientos[[#This Row],[Producto]]&amp;" · ")-1)))</f>
        <v/>
      </c>
      <c r="H1219" s="40" t="str">
        <f>IF(tblMovimientos[[#This Row],[SKU]]="","",IFERROR(INDEX(tblProductos[Unidad],MATCH(tblMovimientos[[#This Row],[SKU]],tblProductos[SKU],0)),"?"))</f>
        <v/>
      </c>
      <c r="I1219" s="39"/>
      <c r="J1219" s="47" t="str">
        <f>IF(tblMovimientos[[#This Row],[Tipo]]="","",IFERROR(INDEX(tblTiposMov[FactorStock],MATCH(tblMovimientos[[#This Row],[Tipo]],tblTiposMov[Tipo],0)),0))</f>
        <v/>
      </c>
      <c r="K12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19" s="37"/>
      <c r="O1219" s="37"/>
      <c r="P1219" s="37"/>
    </row>
    <row r="1220" spans="2:16" x14ac:dyDescent="0.25">
      <c r="B12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0" s="46"/>
      <c r="D1220" s="37"/>
      <c r="E1220" s="37"/>
      <c r="F1220" s="37"/>
      <c r="G1220" s="40" t="str">
        <f>IF(tblMovimientos[[#This Row],[Producto]]="","",TRIM(LEFT(tblMovimientos[[#This Row],[Producto]],FIND(" · ",tblMovimientos[[#This Row],[Producto]]&amp;" · ")-1)))</f>
        <v/>
      </c>
      <c r="H1220" s="40" t="str">
        <f>IF(tblMovimientos[[#This Row],[SKU]]="","",IFERROR(INDEX(tblProductos[Unidad],MATCH(tblMovimientos[[#This Row],[SKU]],tblProductos[SKU],0)),"?"))</f>
        <v/>
      </c>
      <c r="I1220" s="39"/>
      <c r="J1220" s="47" t="str">
        <f>IF(tblMovimientos[[#This Row],[Tipo]]="","",IFERROR(INDEX(tblTiposMov[FactorStock],MATCH(tblMovimientos[[#This Row],[Tipo]],tblTiposMov[Tipo],0)),0))</f>
        <v/>
      </c>
      <c r="K12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0" s="37"/>
      <c r="O1220" s="37"/>
      <c r="P1220" s="37"/>
    </row>
    <row r="1221" spans="2:16" x14ac:dyDescent="0.25">
      <c r="B12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1" s="46"/>
      <c r="D1221" s="37"/>
      <c r="E1221" s="37"/>
      <c r="F1221" s="37"/>
      <c r="G1221" s="40" t="str">
        <f>IF(tblMovimientos[[#This Row],[Producto]]="","",TRIM(LEFT(tblMovimientos[[#This Row],[Producto]],FIND(" · ",tblMovimientos[[#This Row],[Producto]]&amp;" · ")-1)))</f>
        <v/>
      </c>
      <c r="H1221" s="40" t="str">
        <f>IF(tblMovimientos[[#This Row],[SKU]]="","",IFERROR(INDEX(tblProductos[Unidad],MATCH(tblMovimientos[[#This Row],[SKU]],tblProductos[SKU],0)),"?"))</f>
        <v/>
      </c>
      <c r="I1221" s="39"/>
      <c r="J1221" s="47" t="str">
        <f>IF(tblMovimientos[[#This Row],[Tipo]]="","",IFERROR(INDEX(tblTiposMov[FactorStock],MATCH(tblMovimientos[[#This Row],[Tipo]],tblTiposMov[Tipo],0)),0))</f>
        <v/>
      </c>
      <c r="K12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1" s="37"/>
      <c r="O1221" s="37"/>
      <c r="P1221" s="37"/>
    </row>
    <row r="1222" spans="2:16" x14ac:dyDescent="0.25">
      <c r="B12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2" s="46"/>
      <c r="D1222" s="37"/>
      <c r="E1222" s="37"/>
      <c r="F1222" s="37"/>
      <c r="G1222" s="40" t="str">
        <f>IF(tblMovimientos[[#This Row],[Producto]]="","",TRIM(LEFT(tblMovimientos[[#This Row],[Producto]],FIND(" · ",tblMovimientos[[#This Row],[Producto]]&amp;" · ")-1)))</f>
        <v/>
      </c>
      <c r="H1222" s="40" t="str">
        <f>IF(tblMovimientos[[#This Row],[SKU]]="","",IFERROR(INDEX(tblProductos[Unidad],MATCH(tblMovimientos[[#This Row],[SKU]],tblProductos[SKU],0)),"?"))</f>
        <v/>
      </c>
      <c r="I1222" s="39"/>
      <c r="J1222" s="47" t="str">
        <f>IF(tblMovimientos[[#This Row],[Tipo]]="","",IFERROR(INDEX(tblTiposMov[FactorStock],MATCH(tblMovimientos[[#This Row],[Tipo]],tblTiposMov[Tipo],0)),0))</f>
        <v/>
      </c>
      <c r="K12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2" s="37"/>
      <c r="O1222" s="37"/>
      <c r="P1222" s="37"/>
    </row>
    <row r="1223" spans="2:16" x14ac:dyDescent="0.25">
      <c r="B12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3" s="46"/>
      <c r="D1223" s="37"/>
      <c r="E1223" s="37"/>
      <c r="F1223" s="37"/>
      <c r="G1223" s="40" t="str">
        <f>IF(tblMovimientos[[#This Row],[Producto]]="","",TRIM(LEFT(tblMovimientos[[#This Row],[Producto]],FIND(" · ",tblMovimientos[[#This Row],[Producto]]&amp;" · ")-1)))</f>
        <v/>
      </c>
      <c r="H1223" s="40" t="str">
        <f>IF(tblMovimientos[[#This Row],[SKU]]="","",IFERROR(INDEX(tblProductos[Unidad],MATCH(tblMovimientos[[#This Row],[SKU]],tblProductos[SKU],0)),"?"))</f>
        <v/>
      </c>
      <c r="I1223" s="39"/>
      <c r="J1223" s="47" t="str">
        <f>IF(tblMovimientos[[#This Row],[Tipo]]="","",IFERROR(INDEX(tblTiposMov[FactorStock],MATCH(tblMovimientos[[#This Row],[Tipo]],tblTiposMov[Tipo],0)),0))</f>
        <v/>
      </c>
      <c r="K12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3" s="37"/>
      <c r="O1223" s="37"/>
      <c r="P1223" s="37"/>
    </row>
    <row r="1224" spans="2:16" x14ac:dyDescent="0.25">
      <c r="B12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4" s="46"/>
      <c r="D1224" s="37"/>
      <c r="E1224" s="37"/>
      <c r="F1224" s="37"/>
      <c r="G1224" s="40" t="str">
        <f>IF(tblMovimientos[[#This Row],[Producto]]="","",TRIM(LEFT(tblMovimientos[[#This Row],[Producto]],FIND(" · ",tblMovimientos[[#This Row],[Producto]]&amp;" · ")-1)))</f>
        <v/>
      </c>
      <c r="H1224" s="40" t="str">
        <f>IF(tblMovimientos[[#This Row],[SKU]]="","",IFERROR(INDEX(tblProductos[Unidad],MATCH(tblMovimientos[[#This Row],[SKU]],tblProductos[SKU],0)),"?"))</f>
        <v/>
      </c>
      <c r="I1224" s="39"/>
      <c r="J1224" s="47" t="str">
        <f>IF(tblMovimientos[[#This Row],[Tipo]]="","",IFERROR(INDEX(tblTiposMov[FactorStock],MATCH(tblMovimientos[[#This Row],[Tipo]],tblTiposMov[Tipo],0)),0))</f>
        <v/>
      </c>
      <c r="K12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4" s="37"/>
      <c r="O1224" s="37"/>
      <c r="P1224" s="37"/>
    </row>
    <row r="1225" spans="2:16" x14ac:dyDescent="0.25">
      <c r="B12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5" s="46"/>
      <c r="D1225" s="37"/>
      <c r="E1225" s="37"/>
      <c r="F1225" s="37"/>
      <c r="G1225" s="40" t="str">
        <f>IF(tblMovimientos[[#This Row],[Producto]]="","",TRIM(LEFT(tblMovimientos[[#This Row],[Producto]],FIND(" · ",tblMovimientos[[#This Row],[Producto]]&amp;" · ")-1)))</f>
        <v/>
      </c>
      <c r="H1225" s="40" t="str">
        <f>IF(tblMovimientos[[#This Row],[SKU]]="","",IFERROR(INDEX(tblProductos[Unidad],MATCH(tblMovimientos[[#This Row],[SKU]],tblProductos[SKU],0)),"?"))</f>
        <v/>
      </c>
      <c r="I1225" s="39"/>
      <c r="J1225" s="47" t="str">
        <f>IF(tblMovimientos[[#This Row],[Tipo]]="","",IFERROR(INDEX(tblTiposMov[FactorStock],MATCH(tblMovimientos[[#This Row],[Tipo]],tblTiposMov[Tipo],0)),0))</f>
        <v/>
      </c>
      <c r="K12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5" s="37"/>
      <c r="O1225" s="37"/>
      <c r="P1225" s="37"/>
    </row>
    <row r="1226" spans="2:16" x14ac:dyDescent="0.25">
      <c r="B12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6" s="46"/>
      <c r="D1226" s="37"/>
      <c r="E1226" s="37"/>
      <c r="F1226" s="37"/>
      <c r="G1226" s="40" t="str">
        <f>IF(tblMovimientos[[#This Row],[Producto]]="","",TRIM(LEFT(tblMovimientos[[#This Row],[Producto]],FIND(" · ",tblMovimientos[[#This Row],[Producto]]&amp;" · ")-1)))</f>
        <v/>
      </c>
      <c r="H1226" s="40" t="str">
        <f>IF(tblMovimientos[[#This Row],[SKU]]="","",IFERROR(INDEX(tblProductos[Unidad],MATCH(tblMovimientos[[#This Row],[SKU]],tblProductos[SKU],0)),"?"))</f>
        <v/>
      </c>
      <c r="I1226" s="39"/>
      <c r="J1226" s="47" t="str">
        <f>IF(tblMovimientos[[#This Row],[Tipo]]="","",IFERROR(INDEX(tblTiposMov[FactorStock],MATCH(tblMovimientos[[#This Row],[Tipo]],tblTiposMov[Tipo],0)),0))</f>
        <v/>
      </c>
      <c r="K12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6" s="37"/>
      <c r="O1226" s="37"/>
      <c r="P1226" s="37"/>
    </row>
    <row r="1227" spans="2:16" x14ac:dyDescent="0.25">
      <c r="B12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7" s="46"/>
      <c r="D1227" s="37"/>
      <c r="E1227" s="37"/>
      <c r="F1227" s="37"/>
      <c r="G1227" s="40" t="str">
        <f>IF(tblMovimientos[[#This Row],[Producto]]="","",TRIM(LEFT(tblMovimientos[[#This Row],[Producto]],FIND(" · ",tblMovimientos[[#This Row],[Producto]]&amp;" · ")-1)))</f>
        <v/>
      </c>
      <c r="H1227" s="40" t="str">
        <f>IF(tblMovimientos[[#This Row],[SKU]]="","",IFERROR(INDEX(tblProductos[Unidad],MATCH(tblMovimientos[[#This Row],[SKU]],tblProductos[SKU],0)),"?"))</f>
        <v/>
      </c>
      <c r="I1227" s="39"/>
      <c r="J1227" s="47" t="str">
        <f>IF(tblMovimientos[[#This Row],[Tipo]]="","",IFERROR(INDEX(tblTiposMov[FactorStock],MATCH(tblMovimientos[[#This Row],[Tipo]],tblTiposMov[Tipo],0)),0))</f>
        <v/>
      </c>
      <c r="K12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7" s="37"/>
      <c r="O1227" s="37"/>
      <c r="P1227" s="37"/>
    </row>
    <row r="1228" spans="2:16" x14ac:dyDescent="0.25">
      <c r="B12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8" s="46"/>
      <c r="D1228" s="37"/>
      <c r="E1228" s="37"/>
      <c r="F1228" s="37"/>
      <c r="G1228" s="40" t="str">
        <f>IF(tblMovimientos[[#This Row],[Producto]]="","",TRIM(LEFT(tblMovimientos[[#This Row],[Producto]],FIND(" · ",tblMovimientos[[#This Row],[Producto]]&amp;" · ")-1)))</f>
        <v/>
      </c>
      <c r="H1228" s="40" t="str">
        <f>IF(tblMovimientos[[#This Row],[SKU]]="","",IFERROR(INDEX(tblProductos[Unidad],MATCH(tblMovimientos[[#This Row],[SKU]],tblProductos[SKU],0)),"?"))</f>
        <v/>
      </c>
      <c r="I1228" s="39"/>
      <c r="J1228" s="47" t="str">
        <f>IF(tblMovimientos[[#This Row],[Tipo]]="","",IFERROR(INDEX(tblTiposMov[FactorStock],MATCH(tblMovimientos[[#This Row],[Tipo]],tblTiposMov[Tipo],0)),0))</f>
        <v/>
      </c>
      <c r="K12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8" s="37"/>
      <c r="O1228" s="37"/>
      <c r="P1228" s="37"/>
    </row>
    <row r="1229" spans="2:16" x14ac:dyDescent="0.25">
      <c r="B12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29" s="46"/>
      <c r="D1229" s="37"/>
      <c r="E1229" s="37"/>
      <c r="F1229" s="37"/>
      <c r="G1229" s="40" t="str">
        <f>IF(tblMovimientos[[#This Row],[Producto]]="","",TRIM(LEFT(tblMovimientos[[#This Row],[Producto]],FIND(" · ",tblMovimientos[[#This Row],[Producto]]&amp;" · ")-1)))</f>
        <v/>
      </c>
      <c r="H1229" s="40" t="str">
        <f>IF(tblMovimientos[[#This Row],[SKU]]="","",IFERROR(INDEX(tblProductos[Unidad],MATCH(tblMovimientos[[#This Row],[SKU]],tblProductos[SKU],0)),"?"))</f>
        <v/>
      </c>
      <c r="I1229" s="39"/>
      <c r="J1229" s="47" t="str">
        <f>IF(tblMovimientos[[#This Row],[Tipo]]="","",IFERROR(INDEX(tblTiposMov[FactorStock],MATCH(tblMovimientos[[#This Row],[Tipo]],tblTiposMov[Tipo],0)),0))</f>
        <v/>
      </c>
      <c r="K12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29" s="37"/>
      <c r="O1229" s="37"/>
      <c r="P1229" s="37"/>
    </row>
    <row r="1230" spans="2:16" x14ac:dyDescent="0.25">
      <c r="B12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0" s="46"/>
      <c r="D1230" s="37"/>
      <c r="E1230" s="37"/>
      <c r="F1230" s="37"/>
      <c r="G1230" s="40" t="str">
        <f>IF(tblMovimientos[[#This Row],[Producto]]="","",TRIM(LEFT(tblMovimientos[[#This Row],[Producto]],FIND(" · ",tblMovimientos[[#This Row],[Producto]]&amp;" · ")-1)))</f>
        <v/>
      </c>
      <c r="H1230" s="40" t="str">
        <f>IF(tblMovimientos[[#This Row],[SKU]]="","",IFERROR(INDEX(tblProductos[Unidad],MATCH(tblMovimientos[[#This Row],[SKU]],tblProductos[SKU],0)),"?"))</f>
        <v/>
      </c>
      <c r="I1230" s="39"/>
      <c r="J1230" s="47" t="str">
        <f>IF(tblMovimientos[[#This Row],[Tipo]]="","",IFERROR(INDEX(tblTiposMov[FactorStock],MATCH(tblMovimientos[[#This Row],[Tipo]],tblTiposMov[Tipo],0)),0))</f>
        <v/>
      </c>
      <c r="K12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0" s="37"/>
      <c r="O1230" s="37"/>
      <c r="P1230" s="37"/>
    </row>
    <row r="1231" spans="2:16" x14ac:dyDescent="0.25">
      <c r="B12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1" s="46"/>
      <c r="D1231" s="37"/>
      <c r="E1231" s="37"/>
      <c r="F1231" s="37"/>
      <c r="G1231" s="40" t="str">
        <f>IF(tblMovimientos[[#This Row],[Producto]]="","",TRIM(LEFT(tblMovimientos[[#This Row],[Producto]],FIND(" · ",tblMovimientos[[#This Row],[Producto]]&amp;" · ")-1)))</f>
        <v/>
      </c>
      <c r="H1231" s="40" t="str">
        <f>IF(tblMovimientos[[#This Row],[SKU]]="","",IFERROR(INDEX(tblProductos[Unidad],MATCH(tblMovimientos[[#This Row],[SKU]],tblProductos[SKU],0)),"?"))</f>
        <v/>
      </c>
      <c r="I1231" s="39"/>
      <c r="J1231" s="47" t="str">
        <f>IF(tblMovimientos[[#This Row],[Tipo]]="","",IFERROR(INDEX(tblTiposMov[FactorStock],MATCH(tblMovimientos[[#This Row],[Tipo]],tblTiposMov[Tipo],0)),0))</f>
        <v/>
      </c>
      <c r="K12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1" s="37"/>
      <c r="O1231" s="37"/>
      <c r="P1231" s="37"/>
    </row>
    <row r="1232" spans="2:16" x14ac:dyDescent="0.25">
      <c r="B12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2" s="46"/>
      <c r="D1232" s="37"/>
      <c r="E1232" s="37"/>
      <c r="F1232" s="37"/>
      <c r="G1232" s="40" t="str">
        <f>IF(tblMovimientos[[#This Row],[Producto]]="","",TRIM(LEFT(tblMovimientos[[#This Row],[Producto]],FIND(" · ",tblMovimientos[[#This Row],[Producto]]&amp;" · ")-1)))</f>
        <v/>
      </c>
      <c r="H1232" s="40" t="str">
        <f>IF(tblMovimientos[[#This Row],[SKU]]="","",IFERROR(INDEX(tblProductos[Unidad],MATCH(tblMovimientos[[#This Row],[SKU]],tblProductos[SKU],0)),"?"))</f>
        <v/>
      </c>
      <c r="I1232" s="39"/>
      <c r="J1232" s="47" t="str">
        <f>IF(tblMovimientos[[#This Row],[Tipo]]="","",IFERROR(INDEX(tblTiposMov[FactorStock],MATCH(tblMovimientos[[#This Row],[Tipo]],tblTiposMov[Tipo],0)),0))</f>
        <v/>
      </c>
      <c r="K12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2" s="37"/>
      <c r="O1232" s="37"/>
      <c r="P1232" s="37"/>
    </row>
    <row r="1233" spans="2:16" x14ac:dyDescent="0.25">
      <c r="B12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3" s="46"/>
      <c r="D1233" s="37"/>
      <c r="E1233" s="37"/>
      <c r="F1233" s="37"/>
      <c r="G1233" s="40" t="str">
        <f>IF(tblMovimientos[[#This Row],[Producto]]="","",TRIM(LEFT(tblMovimientos[[#This Row],[Producto]],FIND(" · ",tblMovimientos[[#This Row],[Producto]]&amp;" · ")-1)))</f>
        <v/>
      </c>
      <c r="H1233" s="40" t="str">
        <f>IF(tblMovimientos[[#This Row],[SKU]]="","",IFERROR(INDEX(tblProductos[Unidad],MATCH(tblMovimientos[[#This Row],[SKU]],tblProductos[SKU],0)),"?"))</f>
        <v/>
      </c>
      <c r="I1233" s="39"/>
      <c r="J1233" s="47" t="str">
        <f>IF(tblMovimientos[[#This Row],[Tipo]]="","",IFERROR(INDEX(tblTiposMov[FactorStock],MATCH(tblMovimientos[[#This Row],[Tipo]],tblTiposMov[Tipo],0)),0))</f>
        <v/>
      </c>
      <c r="K12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3" s="37"/>
      <c r="O1233" s="37"/>
      <c r="P1233" s="37"/>
    </row>
    <row r="1234" spans="2:16" x14ac:dyDescent="0.25">
      <c r="B12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4" s="46"/>
      <c r="D1234" s="37"/>
      <c r="E1234" s="37"/>
      <c r="F1234" s="37"/>
      <c r="G1234" s="40" t="str">
        <f>IF(tblMovimientos[[#This Row],[Producto]]="","",TRIM(LEFT(tblMovimientos[[#This Row],[Producto]],FIND(" · ",tblMovimientos[[#This Row],[Producto]]&amp;" · ")-1)))</f>
        <v/>
      </c>
      <c r="H1234" s="40" t="str">
        <f>IF(tblMovimientos[[#This Row],[SKU]]="","",IFERROR(INDEX(tblProductos[Unidad],MATCH(tblMovimientos[[#This Row],[SKU]],tblProductos[SKU],0)),"?"))</f>
        <v/>
      </c>
      <c r="I1234" s="39"/>
      <c r="J1234" s="47" t="str">
        <f>IF(tblMovimientos[[#This Row],[Tipo]]="","",IFERROR(INDEX(tblTiposMov[FactorStock],MATCH(tblMovimientos[[#This Row],[Tipo]],tblTiposMov[Tipo],0)),0))</f>
        <v/>
      </c>
      <c r="K12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4" s="37"/>
      <c r="O1234" s="37"/>
      <c r="P1234" s="37"/>
    </row>
    <row r="1235" spans="2:16" x14ac:dyDescent="0.25">
      <c r="B12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5" s="46"/>
      <c r="D1235" s="37"/>
      <c r="E1235" s="37"/>
      <c r="F1235" s="37"/>
      <c r="G1235" s="40" t="str">
        <f>IF(tblMovimientos[[#This Row],[Producto]]="","",TRIM(LEFT(tblMovimientos[[#This Row],[Producto]],FIND(" · ",tblMovimientos[[#This Row],[Producto]]&amp;" · ")-1)))</f>
        <v/>
      </c>
      <c r="H1235" s="40" t="str">
        <f>IF(tblMovimientos[[#This Row],[SKU]]="","",IFERROR(INDEX(tblProductos[Unidad],MATCH(tblMovimientos[[#This Row],[SKU]],tblProductos[SKU],0)),"?"))</f>
        <v/>
      </c>
      <c r="I1235" s="39"/>
      <c r="J1235" s="47" t="str">
        <f>IF(tblMovimientos[[#This Row],[Tipo]]="","",IFERROR(INDEX(tblTiposMov[FactorStock],MATCH(tblMovimientos[[#This Row],[Tipo]],tblTiposMov[Tipo],0)),0))</f>
        <v/>
      </c>
      <c r="K12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5" s="37"/>
      <c r="O1235" s="37"/>
      <c r="P1235" s="37"/>
    </row>
    <row r="1236" spans="2:16" x14ac:dyDescent="0.25">
      <c r="B12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6" s="46"/>
      <c r="D1236" s="37"/>
      <c r="E1236" s="37"/>
      <c r="F1236" s="37"/>
      <c r="G1236" s="40" t="str">
        <f>IF(tblMovimientos[[#This Row],[Producto]]="","",TRIM(LEFT(tblMovimientos[[#This Row],[Producto]],FIND(" · ",tblMovimientos[[#This Row],[Producto]]&amp;" · ")-1)))</f>
        <v/>
      </c>
      <c r="H1236" s="40" t="str">
        <f>IF(tblMovimientos[[#This Row],[SKU]]="","",IFERROR(INDEX(tblProductos[Unidad],MATCH(tblMovimientos[[#This Row],[SKU]],tblProductos[SKU],0)),"?"))</f>
        <v/>
      </c>
      <c r="I1236" s="39"/>
      <c r="J1236" s="47" t="str">
        <f>IF(tblMovimientos[[#This Row],[Tipo]]="","",IFERROR(INDEX(tblTiposMov[FactorStock],MATCH(tblMovimientos[[#This Row],[Tipo]],tblTiposMov[Tipo],0)),0))</f>
        <v/>
      </c>
      <c r="K12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6" s="37"/>
      <c r="O1236" s="37"/>
      <c r="P1236" s="37"/>
    </row>
    <row r="1237" spans="2:16" x14ac:dyDescent="0.25">
      <c r="B12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7" s="46"/>
      <c r="D1237" s="37"/>
      <c r="E1237" s="37"/>
      <c r="F1237" s="37"/>
      <c r="G1237" s="40" t="str">
        <f>IF(tblMovimientos[[#This Row],[Producto]]="","",TRIM(LEFT(tblMovimientos[[#This Row],[Producto]],FIND(" · ",tblMovimientos[[#This Row],[Producto]]&amp;" · ")-1)))</f>
        <v/>
      </c>
      <c r="H1237" s="40" t="str">
        <f>IF(tblMovimientos[[#This Row],[SKU]]="","",IFERROR(INDEX(tblProductos[Unidad],MATCH(tblMovimientos[[#This Row],[SKU]],tblProductos[SKU],0)),"?"))</f>
        <v/>
      </c>
      <c r="I1237" s="39"/>
      <c r="J1237" s="47" t="str">
        <f>IF(tblMovimientos[[#This Row],[Tipo]]="","",IFERROR(INDEX(tblTiposMov[FactorStock],MATCH(tblMovimientos[[#This Row],[Tipo]],tblTiposMov[Tipo],0)),0))</f>
        <v/>
      </c>
      <c r="K12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7" s="37"/>
      <c r="O1237" s="37"/>
      <c r="P1237" s="37"/>
    </row>
    <row r="1238" spans="2:16" x14ac:dyDescent="0.25">
      <c r="B12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8" s="46"/>
      <c r="D1238" s="37"/>
      <c r="E1238" s="37"/>
      <c r="F1238" s="37"/>
      <c r="G1238" s="40" t="str">
        <f>IF(tblMovimientos[[#This Row],[Producto]]="","",TRIM(LEFT(tblMovimientos[[#This Row],[Producto]],FIND(" · ",tblMovimientos[[#This Row],[Producto]]&amp;" · ")-1)))</f>
        <v/>
      </c>
      <c r="H1238" s="40" t="str">
        <f>IF(tblMovimientos[[#This Row],[SKU]]="","",IFERROR(INDEX(tblProductos[Unidad],MATCH(tblMovimientos[[#This Row],[SKU]],tblProductos[SKU],0)),"?"))</f>
        <v/>
      </c>
      <c r="I1238" s="39"/>
      <c r="J1238" s="47" t="str">
        <f>IF(tblMovimientos[[#This Row],[Tipo]]="","",IFERROR(INDEX(tblTiposMov[FactorStock],MATCH(tblMovimientos[[#This Row],[Tipo]],tblTiposMov[Tipo],0)),0))</f>
        <v/>
      </c>
      <c r="K12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8" s="37"/>
      <c r="O1238" s="37"/>
      <c r="P1238" s="37"/>
    </row>
    <row r="1239" spans="2:16" x14ac:dyDescent="0.25">
      <c r="B12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39" s="46"/>
      <c r="D1239" s="37"/>
      <c r="E1239" s="37"/>
      <c r="F1239" s="37"/>
      <c r="G1239" s="40" t="str">
        <f>IF(tblMovimientos[[#This Row],[Producto]]="","",TRIM(LEFT(tblMovimientos[[#This Row],[Producto]],FIND(" · ",tblMovimientos[[#This Row],[Producto]]&amp;" · ")-1)))</f>
        <v/>
      </c>
      <c r="H1239" s="40" t="str">
        <f>IF(tblMovimientos[[#This Row],[SKU]]="","",IFERROR(INDEX(tblProductos[Unidad],MATCH(tblMovimientos[[#This Row],[SKU]],tblProductos[SKU],0)),"?"))</f>
        <v/>
      </c>
      <c r="I1239" s="39"/>
      <c r="J1239" s="47" t="str">
        <f>IF(tblMovimientos[[#This Row],[Tipo]]="","",IFERROR(INDEX(tblTiposMov[FactorStock],MATCH(tblMovimientos[[#This Row],[Tipo]],tblTiposMov[Tipo],0)),0))</f>
        <v/>
      </c>
      <c r="K12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39" s="37"/>
      <c r="O1239" s="37"/>
      <c r="P1239" s="37"/>
    </row>
    <row r="1240" spans="2:16" x14ac:dyDescent="0.25">
      <c r="B12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0" s="46"/>
      <c r="D1240" s="37"/>
      <c r="E1240" s="37"/>
      <c r="F1240" s="37"/>
      <c r="G1240" s="40" t="str">
        <f>IF(tblMovimientos[[#This Row],[Producto]]="","",TRIM(LEFT(tblMovimientos[[#This Row],[Producto]],FIND(" · ",tblMovimientos[[#This Row],[Producto]]&amp;" · ")-1)))</f>
        <v/>
      </c>
      <c r="H1240" s="40" t="str">
        <f>IF(tblMovimientos[[#This Row],[SKU]]="","",IFERROR(INDEX(tblProductos[Unidad],MATCH(tblMovimientos[[#This Row],[SKU]],tblProductos[SKU],0)),"?"))</f>
        <v/>
      </c>
      <c r="I1240" s="39"/>
      <c r="J1240" s="47" t="str">
        <f>IF(tblMovimientos[[#This Row],[Tipo]]="","",IFERROR(INDEX(tblTiposMov[FactorStock],MATCH(tblMovimientos[[#This Row],[Tipo]],tblTiposMov[Tipo],0)),0))</f>
        <v/>
      </c>
      <c r="K12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0" s="37"/>
      <c r="O1240" s="37"/>
      <c r="P1240" s="37"/>
    </row>
    <row r="1241" spans="2:16" x14ac:dyDescent="0.25">
      <c r="B12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1" s="46"/>
      <c r="D1241" s="37"/>
      <c r="E1241" s="37"/>
      <c r="F1241" s="37"/>
      <c r="G1241" s="40" t="str">
        <f>IF(tblMovimientos[[#This Row],[Producto]]="","",TRIM(LEFT(tblMovimientos[[#This Row],[Producto]],FIND(" · ",tblMovimientos[[#This Row],[Producto]]&amp;" · ")-1)))</f>
        <v/>
      </c>
      <c r="H1241" s="40" t="str">
        <f>IF(tblMovimientos[[#This Row],[SKU]]="","",IFERROR(INDEX(tblProductos[Unidad],MATCH(tblMovimientos[[#This Row],[SKU]],tblProductos[SKU],0)),"?"))</f>
        <v/>
      </c>
      <c r="I1241" s="39"/>
      <c r="J1241" s="47" t="str">
        <f>IF(tblMovimientos[[#This Row],[Tipo]]="","",IFERROR(INDEX(tblTiposMov[FactorStock],MATCH(tblMovimientos[[#This Row],[Tipo]],tblTiposMov[Tipo],0)),0))</f>
        <v/>
      </c>
      <c r="K12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1" s="37"/>
      <c r="O1241" s="37"/>
      <c r="P1241" s="37"/>
    </row>
    <row r="1242" spans="2:16" x14ac:dyDescent="0.25">
      <c r="B12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2" s="46"/>
      <c r="D1242" s="37"/>
      <c r="E1242" s="37"/>
      <c r="F1242" s="37"/>
      <c r="G1242" s="40" t="str">
        <f>IF(tblMovimientos[[#This Row],[Producto]]="","",TRIM(LEFT(tblMovimientos[[#This Row],[Producto]],FIND(" · ",tblMovimientos[[#This Row],[Producto]]&amp;" · ")-1)))</f>
        <v/>
      </c>
      <c r="H1242" s="40" t="str">
        <f>IF(tblMovimientos[[#This Row],[SKU]]="","",IFERROR(INDEX(tblProductos[Unidad],MATCH(tblMovimientos[[#This Row],[SKU]],tblProductos[SKU],0)),"?"))</f>
        <v/>
      </c>
      <c r="I1242" s="39"/>
      <c r="J1242" s="47" t="str">
        <f>IF(tblMovimientos[[#This Row],[Tipo]]="","",IFERROR(INDEX(tblTiposMov[FactorStock],MATCH(tblMovimientos[[#This Row],[Tipo]],tblTiposMov[Tipo],0)),0))</f>
        <v/>
      </c>
      <c r="K12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2" s="37"/>
      <c r="O1242" s="37"/>
      <c r="P1242" s="37"/>
    </row>
    <row r="1243" spans="2:16" x14ac:dyDescent="0.25">
      <c r="B12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3" s="46"/>
      <c r="D1243" s="37"/>
      <c r="E1243" s="37"/>
      <c r="F1243" s="37"/>
      <c r="G1243" s="40" t="str">
        <f>IF(tblMovimientos[[#This Row],[Producto]]="","",TRIM(LEFT(tblMovimientos[[#This Row],[Producto]],FIND(" · ",tblMovimientos[[#This Row],[Producto]]&amp;" · ")-1)))</f>
        <v/>
      </c>
      <c r="H1243" s="40" t="str">
        <f>IF(tblMovimientos[[#This Row],[SKU]]="","",IFERROR(INDEX(tblProductos[Unidad],MATCH(tblMovimientos[[#This Row],[SKU]],tblProductos[SKU],0)),"?"))</f>
        <v/>
      </c>
      <c r="I1243" s="39"/>
      <c r="J1243" s="47" t="str">
        <f>IF(tblMovimientos[[#This Row],[Tipo]]="","",IFERROR(INDEX(tblTiposMov[FactorStock],MATCH(tblMovimientos[[#This Row],[Tipo]],tblTiposMov[Tipo],0)),0))</f>
        <v/>
      </c>
      <c r="K12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3" s="37"/>
      <c r="O1243" s="37"/>
      <c r="P1243" s="37"/>
    </row>
    <row r="1244" spans="2:16" x14ac:dyDescent="0.25">
      <c r="B12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4" s="46"/>
      <c r="D1244" s="37"/>
      <c r="E1244" s="37"/>
      <c r="F1244" s="37"/>
      <c r="G1244" s="40" t="str">
        <f>IF(tblMovimientos[[#This Row],[Producto]]="","",TRIM(LEFT(tblMovimientos[[#This Row],[Producto]],FIND(" · ",tblMovimientos[[#This Row],[Producto]]&amp;" · ")-1)))</f>
        <v/>
      </c>
      <c r="H1244" s="40" t="str">
        <f>IF(tblMovimientos[[#This Row],[SKU]]="","",IFERROR(INDEX(tblProductos[Unidad],MATCH(tblMovimientos[[#This Row],[SKU]],tblProductos[SKU],0)),"?"))</f>
        <v/>
      </c>
      <c r="I1244" s="39"/>
      <c r="J1244" s="47" t="str">
        <f>IF(tblMovimientos[[#This Row],[Tipo]]="","",IFERROR(INDEX(tblTiposMov[FactorStock],MATCH(tblMovimientos[[#This Row],[Tipo]],tblTiposMov[Tipo],0)),0))</f>
        <v/>
      </c>
      <c r="K12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4" s="37"/>
      <c r="O1244" s="37"/>
      <c r="P1244" s="37"/>
    </row>
    <row r="1245" spans="2:16" x14ac:dyDescent="0.25">
      <c r="B12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5" s="46"/>
      <c r="D1245" s="37"/>
      <c r="E1245" s="37"/>
      <c r="F1245" s="37"/>
      <c r="G1245" s="40" t="str">
        <f>IF(tblMovimientos[[#This Row],[Producto]]="","",TRIM(LEFT(tblMovimientos[[#This Row],[Producto]],FIND(" · ",tblMovimientos[[#This Row],[Producto]]&amp;" · ")-1)))</f>
        <v/>
      </c>
      <c r="H1245" s="40" t="str">
        <f>IF(tblMovimientos[[#This Row],[SKU]]="","",IFERROR(INDEX(tblProductos[Unidad],MATCH(tblMovimientos[[#This Row],[SKU]],tblProductos[SKU],0)),"?"))</f>
        <v/>
      </c>
      <c r="I1245" s="39"/>
      <c r="J1245" s="47" t="str">
        <f>IF(tblMovimientos[[#This Row],[Tipo]]="","",IFERROR(INDEX(tblTiposMov[FactorStock],MATCH(tblMovimientos[[#This Row],[Tipo]],tblTiposMov[Tipo],0)),0))</f>
        <v/>
      </c>
      <c r="K12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5" s="37"/>
      <c r="O1245" s="37"/>
      <c r="P1245" s="37"/>
    </row>
    <row r="1246" spans="2:16" x14ac:dyDescent="0.25">
      <c r="B12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6" s="46"/>
      <c r="D1246" s="37"/>
      <c r="E1246" s="37"/>
      <c r="F1246" s="37"/>
      <c r="G1246" s="40" t="str">
        <f>IF(tblMovimientos[[#This Row],[Producto]]="","",TRIM(LEFT(tblMovimientos[[#This Row],[Producto]],FIND(" · ",tblMovimientos[[#This Row],[Producto]]&amp;" · ")-1)))</f>
        <v/>
      </c>
      <c r="H1246" s="40" t="str">
        <f>IF(tblMovimientos[[#This Row],[SKU]]="","",IFERROR(INDEX(tblProductos[Unidad],MATCH(tblMovimientos[[#This Row],[SKU]],tblProductos[SKU],0)),"?"))</f>
        <v/>
      </c>
      <c r="I1246" s="39"/>
      <c r="J1246" s="47" t="str">
        <f>IF(tblMovimientos[[#This Row],[Tipo]]="","",IFERROR(INDEX(tblTiposMov[FactorStock],MATCH(tblMovimientos[[#This Row],[Tipo]],tblTiposMov[Tipo],0)),0))</f>
        <v/>
      </c>
      <c r="K12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6" s="37"/>
      <c r="O1246" s="37"/>
      <c r="P1246" s="37"/>
    </row>
    <row r="1247" spans="2:16" x14ac:dyDescent="0.25">
      <c r="B12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7" s="46"/>
      <c r="D1247" s="37"/>
      <c r="E1247" s="37"/>
      <c r="F1247" s="37"/>
      <c r="G1247" s="40" t="str">
        <f>IF(tblMovimientos[[#This Row],[Producto]]="","",TRIM(LEFT(tblMovimientos[[#This Row],[Producto]],FIND(" · ",tblMovimientos[[#This Row],[Producto]]&amp;" · ")-1)))</f>
        <v/>
      </c>
      <c r="H1247" s="40" t="str">
        <f>IF(tblMovimientos[[#This Row],[SKU]]="","",IFERROR(INDEX(tblProductos[Unidad],MATCH(tblMovimientos[[#This Row],[SKU]],tblProductos[SKU],0)),"?"))</f>
        <v/>
      </c>
      <c r="I1247" s="39"/>
      <c r="J1247" s="47" t="str">
        <f>IF(tblMovimientos[[#This Row],[Tipo]]="","",IFERROR(INDEX(tblTiposMov[FactorStock],MATCH(tblMovimientos[[#This Row],[Tipo]],tblTiposMov[Tipo],0)),0))</f>
        <v/>
      </c>
      <c r="K12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7" s="37"/>
      <c r="O1247" s="37"/>
      <c r="P1247" s="37"/>
    </row>
    <row r="1248" spans="2:16" x14ac:dyDescent="0.25">
      <c r="B12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8" s="46"/>
      <c r="D1248" s="37"/>
      <c r="E1248" s="37"/>
      <c r="F1248" s="37"/>
      <c r="G1248" s="40" t="str">
        <f>IF(tblMovimientos[[#This Row],[Producto]]="","",TRIM(LEFT(tblMovimientos[[#This Row],[Producto]],FIND(" · ",tblMovimientos[[#This Row],[Producto]]&amp;" · ")-1)))</f>
        <v/>
      </c>
      <c r="H1248" s="40" t="str">
        <f>IF(tblMovimientos[[#This Row],[SKU]]="","",IFERROR(INDEX(tblProductos[Unidad],MATCH(tblMovimientos[[#This Row],[SKU]],tblProductos[SKU],0)),"?"))</f>
        <v/>
      </c>
      <c r="I1248" s="39"/>
      <c r="J1248" s="47" t="str">
        <f>IF(tblMovimientos[[#This Row],[Tipo]]="","",IFERROR(INDEX(tblTiposMov[FactorStock],MATCH(tblMovimientos[[#This Row],[Tipo]],tblTiposMov[Tipo],0)),0))</f>
        <v/>
      </c>
      <c r="K12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8" s="37"/>
      <c r="O1248" s="37"/>
      <c r="P1248" s="37"/>
    </row>
    <row r="1249" spans="2:16" x14ac:dyDescent="0.25">
      <c r="B12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49" s="46"/>
      <c r="D1249" s="37"/>
      <c r="E1249" s="37"/>
      <c r="F1249" s="37"/>
      <c r="G1249" s="40" t="str">
        <f>IF(tblMovimientos[[#This Row],[Producto]]="","",TRIM(LEFT(tblMovimientos[[#This Row],[Producto]],FIND(" · ",tblMovimientos[[#This Row],[Producto]]&amp;" · ")-1)))</f>
        <v/>
      </c>
      <c r="H1249" s="40" t="str">
        <f>IF(tblMovimientos[[#This Row],[SKU]]="","",IFERROR(INDEX(tblProductos[Unidad],MATCH(tblMovimientos[[#This Row],[SKU]],tblProductos[SKU],0)),"?"))</f>
        <v/>
      </c>
      <c r="I1249" s="39"/>
      <c r="J1249" s="47" t="str">
        <f>IF(tblMovimientos[[#This Row],[Tipo]]="","",IFERROR(INDEX(tblTiposMov[FactorStock],MATCH(tblMovimientos[[#This Row],[Tipo]],tblTiposMov[Tipo],0)),0))</f>
        <v/>
      </c>
      <c r="K12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49" s="37"/>
      <c r="O1249" s="37"/>
      <c r="P1249" s="37"/>
    </row>
    <row r="1250" spans="2:16" x14ac:dyDescent="0.25">
      <c r="B12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0" s="46"/>
      <c r="D1250" s="37"/>
      <c r="E1250" s="37"/>
      <c r="F1250" s="37"/>
      <c r="G1250" s="40" t="str">
        <f>IF(tblMovimientos[[#This Row],[Producto]]="","",TRIM(LEFT(tblMovimientos[[#This Row],[Producto]],FIND(" · ",tblMovimientos[[#This Row],[Producto]]&amp;" · ")-1)))</f>
        <v/>
      </c>
      <c r="H1250" s="40" t="str">
        <f>IF(tblMovimientos[[#This Row],[SKU]]="","",IFERROR(INDEX(tblProductos[Unidad],MATCH(tblMovimientos[[#This Row],[SKU]],tblProductos[SKU],0)),"?"))</f>
        <v/>
      </c>
      <c r="I1250" s="39"/>
      <c r="J1250" s="47" t="str">
        <f>IF(tblMovimientos[[#This Row],[Tipo]]="","",IFERROR(INDEX(tblTiposMov[FactorStock],MATCH(tblMovimientos[[#This Row],[Tipo]],tblTiposMov[Tipo],0)),0))</f>
        <v/>
      </c>
      <c r="K12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0" s="37"/>
      <c r="O1250" s="37"/>
      <c r="P1250" s="37"/>
    </row>
    <row r="1251" spans="2:16" x14ac:dyDescent="0.25">
      <c r="B12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1" s="46"/>
      <c r="D1251" s="37"/>
      <c r="E1251" s="37"/>
      <c r="F1251" s="37"/>
      <c r="G1251" s="40" t="str">
        <f>IF(tblMovimientos[[#This Row],[Producto]]="","",TRIM(LEFT(tblMovimientos[[#This Row],[Producto]],FIND(" · ",tblMovimientos[[#This Row],[Producto]]&amp;" · ")-1)))</f>
        <v/>
      </c>
      <c r="H1251" s="40" t="str">
        <f>IF(tblMovimientos[[#This Row],[SKU]]="","",IFERROR(INDEX(tblProductos[Unidad],MATCH(tblMovimientos[[#This Row],[SKU]],tblProductos[SKU],0)),"?"))</f>
        <v/>
      </c>
      <c r="I1251" s="39"/>
      <c r="J1251" s="47" t="str">
        <f>IF(tblMovimientos[[#This Row],[Tipo]]="","",IFERROR(INDEX(tblTiposMov[FactorStock],MATCH(tblMovimientos[[#This Row],[Tipo]],tblTiposMov[Tipo],0)),0))</f>
        <v/>
      </c>
      <c r="K12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1" s="37"/>
      <c r="O1251" s="37"/>
      <c r="P1251" s="37"/>
    </row>
    <row r="1252" spans="2:16" x14ac:dyDescent="0.25">
      <c r="B12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2" s="46"/>
      <c r="D1252" s="37"/>
      <c r="E1252" s="37"/>
      <c r="F1252" s="37"/>
      <c r="G1252" s="40" t="str">
        <f>IF(tblMovimientos[[#This Row],[Producto]]="","",TRIM(LEFT(tblMovimientos[[#This Row],[Producto]],FIND(" · ",tblMovimientos[[#This Row],[Producto]]&amp;" · ")-1)))</f>
        <v/>
      </c>
      <c r="H1252" s="40" t="str">
        <f>IF(tblMovimientos[[#This Row],[SKU]]="","",IFERROR(INDEX(tblProductos[Unidad],MATCH(tblMovimientos[[#This Row],[SKU]],tblProductos[SKU],0)),"?"))</f>
        <v/>
      </c>
      <c r="I1252" s="39"/>
      <c r="J1252" s="47" t="str">
        <f>IF(tblMovimientos[[#This Row],[Tipo]]="","",IFERROR(INDEX(tblTiposMov[FactorStock],MATCH(tblMovimientos[[#This Row],[Tipo]],tblTiposMov[Tipo],0)),0))</f>
        <v/>
      </c>
      <c r="K12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2" s="37"/>
      <c r="O1252" s="37"/>
      <c r="P1252" s="37"/>
    </row>
    <row r="1253" spans="2:16" x14ac:dyDescent="0.25">
      <c r="B12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3" s="46"/>
      <c r="D1253" s="37"/>
      <c r="E1253" s="37"/>
      <c r="F1253" s="37"/>
      <c r="G1253" s="40" t="str">
        <f>IF(tblMovimientos[[#This Row],[Producto]]="","",TRIM(LEFT(tblMovimientos[[#This Row],[Producto]],FIND(" · ",tblMovimientos[[#This Row],[Producto]]&amp;" · ")-1)))</f>
        <v/>
      </c>
      <c r="H1253" s="40" t="str">
        <f>IF(tblMovimientos[[#This Row],[SKU]]="","",IFERROR(INDEX(tblProductos[Unidad],MATCH(tblMovimientos[[#This Row],[SKU]],tblProductos[SKU],0)),"?"))</f>
        <v/>
      </c>
      <c r="I1253" s="39"/>
      <c r="J1253" s="47" t="str">
        <f>IF(tblMovimientos[[#This Row],[Tipo]]="","",IFERROR(INDEX(tblTiposMov[FactorStock],MATCH(tblMovimientos[[#This Row],[Tipo]],tblTiposMov[Tipo],0)),0))</f>
        <v/>
      </c>
      <c r="K12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3" s="37"/>
      <c r="O1253" s="37"/>
      <c r="P1253" s="37"/>
    </row>
    <row r="1254" spans="2:16" x14ac:dyDescent="0.25">
      <c r="B12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4" s="46"/>
      <c r="D1254" s="37"/>
      <c r="E1254" s="37"/>
      <c r="F1254" s="37"/>
      <c r="G1254" s="40" t="str">
        <f>IF(tblMovimientos[[#This Row],[Producto]]="","",TRIM(LEFT(tblMovimientos[[#This Row],[Producto]],FIND(" · ",tblMovimientos[[#This Row],[Producto]]&amp;" · ")-1)))</f>
        <v/>
      </c>
      <c r="H1254" s="40" t="str">
        <f>IF(tblMovimientos[[#This Row],[SKU]]="","",IFERROR(INDEX(tblProductos[Unidad],MATCH(tblMovimientos[[#This Row],[SKU]],tblProductos[SKU],0)),"?"))</f>
        <v/>
      </c>
      <c r="I1254" s="39"/>
      <c r="J1254" s="47" t="str">
        <f>IF(tblMovimientos[[#This Row],[Tipo]]="","",IFERROR(INDEX(tblTiposMov[FactorStock],MATCH(tblMovimientos[[#This Row],[Tipo]],tblTiposMov[Tipo],0)),0))</f>
        <v/>
      </c>
      <c r="K12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4" s="37"/>
      <c r="O1254" s="37"/>
      <c r="P1254" s="37"/>
    </row>
    <row r="1255" spans="2:16" x14ac:dyDescent="0.25">
      <c r="B12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5" s="46"/>
      <c r="D1255" s="37"/>
      <c r="E1255" s="37"/>
      <c r="F1255" s="37"/>
      <c r="G1255" s="40" t="str">
        <f>IF(tblMovimientos[[#This Row],[Producto]]="","",TRIM(LEFT(tblMovimientos[[#This Row],[Producto]],FIND(" · ",tblMovimientos[[#This Row],[Producto]]&amp;" · ")-1)))</f>
        <v/>
      </c>
      <c r="H1255" s="40" t="str">
        <f>IF(tblMovimientos[[#This Row],[SKU]]="","",IFERROR(INDEX(tblProductos[Unidad],MATCH(tblMovimientos[[#This Row],[SKU]],tblProductos[SKU],0)),"?"))</f>
        <v/>
      </c>
      <c r="I1255" s="39"/>
      <c r="J1255" s="47" t="str">
        <f>IF(tblMovimientos[[#This Row],[Tipo]]="","",IFERROR(INDEX(tblTiposMov[FactorStock],MATCH(tblMovimientos[[#This Row],[Tipo]],tblTiposMov[Tipo],0)),0))</f>
        <v/>
      </c>
      <c r="K12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5" s="37"/>
      <c r="O1255" s="37"/>
      <c r="P1255" s="37"/>
    </row>
    <row r="1256" spans="2:16" x14ac:dyDescent="0.25">
      <c r="B12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6" s="46"/>
      <c r="D1256" s="37"/>
      <c r="E1256" s="37"/>
      <c r="F1256" s="37"/>
      <c r="G1256" s="40" t="str">
        <f>IF(tblMovimientos[[#This Row],[Producto]]="","",TRIM(LEFT(tblMovimientos[[#This Row],[Producto]],FIND(" · ",tblMovimientos[[#This Row],[Producto]]&amp;" · ")-1)))</f>
        <v/>
      </c>
      <c r="H1256" s="40" t="str">
        <f>IF(tblMovimientos[[#This Row],[SKU]]="","",IFERROR(INDEX(tblProductos[Unidad],MATCH(tblMovimientos[[#This Row],[SKU]],tblProductos[SKU],0)),"?"))</f>
        <v/>
      </c>
      <c r="I1256" s="39"/>
      <c r="J1256" s="47" t="str">
        <f>IF(tblMovimientos[[#This Row],[Tipo]]="","",IFERROR(INDEX(tblTiposMov[FactorStock],MATCH(tblMovimientos[[#This Row],[Tipo]],tblTiposMov[Tipo],0)),0))</f>
        <v/>
      </c>
      <c r="K12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6" s="37"/>
      <c r="O1256" s="37"/>
      <c r="P1256" s="37"/>
    </row>
    <row r="1257" spans="2:16" x14ac:dyDescent="0.25">
      <c r="B12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7" s="46"/>
      <c r="D1257" s="37"/>
      <c r="E1257" s="37"/>
      <c r="F1257" s="37"/>
      <c r="G1257" s="40" t="str">
        <f>IF(tblMovimientos[[#This Row],[Producto]]="","",TRIM(LEFT(tblMovimientos[[#This Row],[Producto]],FIND(" · ",tblMovimientos[[#This Row],[Producto]]&amp;" · ")-1)))</f>
        <v/>
      </c>
      <c r="H1257" s="40" t="str">
        <f>IF(tblMovimientos[[#This Row],[SKU]]="","",IFERROR(INDEX(tblProductos[Unidad],MATCH(tblMovimientos[[#This Row],[SKU]],tblProductos[SKU],0)),"?"))</f>
        <v/>
      </c>
      <c r="I1257" s="39"/>
      <c r="J1257" s="47" t="str">
        <f>IF(tblMovimientos[[#This Row],[Tipo]]="","",IFERROR(INDEX(tblTiposMov[FactorStock],MATCH(tblMovimientos[[#This Row],[Tipo]],tblTiposMov[Tipo],0)),0))</f>
        <v/>
      </c>
      <c r="K12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7" s="37"/>
      <c r="O1257" s="37"/>
      <c r="P1257" s="37"/>
    </row>
    <row r="1258" spans="2:16" x14ac:dyDescent="0.25">
      <c r="B12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8" s="46"/>
      <c r="D1258" s="37"/>
      <c r="E1258" s="37"/>
      <c r="F1258" s="37"/>
      <c r="G1258" s="40" t="str">
        <f>IF(tblMovimientos[[#This Row],[Producto]]="","",TRIM(LEFT(tblMovimientos[[#This Row],[Producto]],FIND(" · ",tblMovimientos[[#This Row],[Producto]]&amp;" · ")-1)))</f>
        <v/>
      </c>
      <c r="H1258" s="40" t="str">
        <f>IF(tblMovimientos[[#This Row],[SKU]]="","",IFERROR(INDEX(tblProductos[Unidad],MATCH(tblMovimientos[[#This Row],[SKU]],tblProductos[SKU],0)),"?"))</f>
        <v/>
      </c>
      <c r="I1258" s="39"/>
      <c r="J1258" s="47" t="str">
        <f>IF(tblMovimientos[[#This Row],[Tipo]]="","",IFERROR(INDEX(tblTiposMov[FactorStock],MATCH(tblMovimientos[[#This Row],[Tipo]],tblTiposMov[Tipo],0)),0))</f>
        <v/>
      </c>
      <c r="K12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8" s="37"/>
      <c r="O1258" s="37"/>
      <c r="P1258" s="37"/>
    </row>
    <row r="1259" spans="2:16" x14ac:dyDescent="0.25">
      <c r="B12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59" s="46"/>
      <c r="D1259" s="37"/>
      <c r="E1259" s="37"/>
      <c r="F1259" s="37"/>
      <c r="G1259" s="40" t="str">
        <f>IF(tblMovimientos[[#This Row],[Producto]]="","",TRIM(LEFT(tblMovimientos[[#This Row],[Producto]],FIND(" · ",tblMovimientos[[#This Row],[Producto]]&amp;" · ")-1)))</f>
        <v/>
      </c>
      <c r="H1259" s="40" t="str">
        <f>IF(tblMovimientos[[#This Row],[SKU]]="","",IFERROR(INDEX(tblProductos[Unidad],MATCH(tblMovimientos[[#This Row],[SKU]],tblProductos[SKU],0)),"?"))</f>
        <v/>
      </c>
      <c r="I1259" s="39"/>
      <c r="J1259" s="47" t="str">
        <f>IF(tblMovimientos[[#This Row],[Tipo]]="","",IFERROR(INDEX(tblTiposMov[FactorStock],MATCH(tblMovimientos[[#This Row],[Tipo]],tblTiposMov[Tipo],0)),0))</f>
        <v/>
      </c>
      <c r="K12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59" s="37"/>
      <c r="O1259" s="37"/>
      <c r="P1259" s="37"/>
    </row>
    <row r="1260" spans="2:16" x14ac:dyDescent="0.25">
      <c r="B12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0" s="46"/>
      <c r="D1260" s="37"/>
      <c r="E1260" s="37"/>
      <c r="F1260" s="37"/>
      <c r="G1260" s="40" t="str">
        <f>IF(tblMovimientos[[#This Row],[Producto]]="","",TRIM(LEFT(tblMovimientos[[#This Row],[Producto]],FIND(" · ",tblMovimientos[[#This Row],[Producto]]&amp;" · ")-1)))</f>
        <v/>
      </c>
      <c r="H1260" s="40" t="str">
        <f>IF(tblMovimientos[[#This Row],[SKU]]="","",IFERROR(INDEX(tblProductos[Unidad],MATCH(tblMovimientos[[#This Row],[SKU]],tblProductos[SKU],0)),"?"))</f>
        <v/>
      </c>
      <c r="I1260" s="39"/>
      <c r="J1260" s="47" t="str">
        <f>IF(tblMovimientos[[#This Row],[Tipo]]="","",IFERROR(INDEX(tblTiposMov[FactorStock],MATCH(tblMovimientos[[#This Row],[Tipo]],tblTiposMov[Tipo],0)),0))</f>
        <v/>
      </c>
      <c r="K12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0" s="37"/>
      <c r="O1260" s="37"/>
      <c r="P1260" s="37"/>
    </row>
    <row r="1261" spans="2:16" x14ac:dyDescent="0.25">
      <c r="B12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1" s="46"/>
      <c r="D1261" s="37"/>
      <c r="E1261" s="37"/>
      <c r="F1261" s="37"/>
      <c r="G1261" s="40" t="str">
        <f>IF(tblMovimientos[[#This Row],[Producto]]="","",TRIM(LEFT(tblMovimientos[[#This Row],[Producto]],FIND(" · ",tblMovimientos[[#This Row],[Producto]]&amp;" · ")-1)))</f>
        <v/>
      </c>
      <c r="H1261" s="40" t="str">
        <f>IF(tblMovimientos[[#This Row],[SKU]]="","",IFERROR(INDEX(tblProductos[Unidad],MATCH(tblMovimientos[[#This Row],[SKU]],tblProductos[SKU],0)),"?"))</f>
        <v/>
      </c>
      <c r="I1261" s="39"/>
      <c r="J1261" s="47" t="str">
        <f>IF(tblMovimientos[[#This Row],[Tipo]]="","",IFERROR(INDEX(tblTiposMov[FactorStock],MATCH(tblMovimientos[[#This Row],[Tipo]],tblTiposMov[Tipo],0)),0))</f>
        <v/>
      </c>
      <c r="K12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1" s="37"/>
      <c r="O1261" s="37"/>
      <c r="P1261" s="37"/>
    </row>
    <row r="1262" spans="2:16" x14ac:dyDescent="0.25">
      <c r="B12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2" s="46"/>
      <c r="D1262" s="37"/>
      <c r="E1262" s="37"/>
      <c r="F1262" s="37"/>
      <c r="G1262" s="40" t="str">
        <f>IF(tblMovimientos[[#This Row],[Producto]]="","",TRIM(LEFT(tblMovimientos[[#This Row],[Producto]],FIND(" · ",tblMovimientos[[#This Row],[Producto]]&amp;" · ")-1)))</f>
        <v/>
      </c>
      <c r="H1262" s="40" t="str">
        <f>IF(tblMovimientos[[#This Row],[SKU]]="","",IFERROR(INDEX(tblProductos[Unidad],MATCH(tblMovimientos[[#This Row],[SKU]],tblProductos[SKU],0)),"?"))</f>
        <v/>
      </c>
      <c r="I1262" s="39"/>
      <c r="J1262" s="47" t="str">
        <f>IF(tblMovimientos[[#This Row],[Tipo]]="","",IFERROR(INDEX(tblTiposMov[FactorStock],MATCH(tblMovimientos[[#This Row],[Tipo]],tblTiposMov[Tipo],0)),0))</f>
        <v/>
      </c>
      <c r="K12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2" s="37"/>
      <c r="O1262" s="37"/>
      <c r="P1262" s="37"/>
    </row>
    <row r="1263" spans="2:16" x14ac:dyDescent="0.25">
      <c r="B12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3" s="46"/>
      <c r="D1263" s="37"/>
      <c r="E1263" s="37"/>
      <c r="F1263" s="37"/>
      <c r="G1263" s="40" t="str">
        <f>IF(tblMovimientos[[#This Row],[Producto]]="","",TRIM(LEFT(tblMovimientos[[#This Row],[Producto]],FIND(" · ",tblMovimientos[[#This Row],[Producto]]&amp;" · ")-1)))</f>
        <v/>
      </c>
      <c r="H1263" s="40" t="str">
        <f>IF(tblMovimientos[[#This Row],[SKU]]="","",IFERROR(INDEX(tblProductos[Unidad],MATCH(tblMovimientos[[#This Row],[SKU]],tblProductos[SKU],0)),"?"))</f>
        <v/>
      </c>
      <c r="I1263" s="39"/>
      <c r="J1263" s="47" t="str">
        <f>IF(tblMovimientos[[#This Row],[Tipo]]="","",IFERROR(INDEX(tblTiposMov[FactorStock],MATCH(tblMovimientos[[#This Row],[Tipo]],tblTiposMov[Tipo],0)),0))</f>
        <v/>
      </c>
      <c r="K12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3" s="37"/>
      <c r="O1263" s="37"/>
      <c r="P1263" s="37"/>
    </row>
    <row r="1264" spans="2:16" x14ac:dyDescent="0.25">
      <c r="B12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4" s="46"/>
      <c r="D1264" s="37"/>
      <c r="E1264" s="37"/>
      <c r="F1264" s="37"/>
      <c r="G1264" s="40" t="str">
        <f>IF(tblMovimientos[[#This Row],[Producto]]="","",TRIM(LEFT(tblMovimientos[[#This Row],[Producto]],FIND(" · ",tblMovimientos[[#This Row],[Producto]]&amp;" · ")-1)))</f>
        <v/>
      </c>
      <c r="H1264" s="40" t="str">
        <f>IF(tblMovimientos[[#This Row],[SKU]]="","",IFERROR(INDEX(tblProductos[Unidad],MATCH(tblMovimientos[[#This Row],[SKU]],tblProductos[SKU],0)),"?"))</f>
        <v/>
      </c>
      <c r="I1264" s="39"/>
      <c r="J1264" s="47" t="str">
        <f>IF(tblMovimientos[[#This Row],[Tipo]]="","",IFERROR(INDEX(tblTiposMov[FactorStock],MATCH(tblMovimientos[[#This Row],[Tipo]],tblTiposMov[Tipo],0)),0))</f>
        <v/>
      </c>
      <c r="K12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4" s="37"/>
      <c r="O1264" s="37"/>
      <c r="P1264" s="37"/>
    </row>
    <row r="1265" spans="2:16" x14ac:dyDescent="0.25">
      <c r="B12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5" s="46"/>
      <c r="D1265" s="37"/>
      <c r="E1265" s="37"/>
      <c r="F1265" s="37"/>
      <c r="G1265" s="40" t="str">
        <f>IF(tblMovimientos[[#This Row],[Producto]]="","",TRIM(LEFT(tblMovimientos[[#This Row],[Producto]],FIND(" · ",tblMovimientos[[#This Row],[Producto]]&amp;" · ")-1)))</f>
        <v/>
      </c>
      <c r="H1265" s="40" t="str">
        <f>IF(tblMovimientos[[#This Row],[SKU]]="","",IFERROR(INDEX(tblProductos[Unidad],MATCH(tblMovimientos[[#This Row],[SKU]],tblProductos[SKU],0)),"?"))</f>
        <v/>
      </c>
      <c r="I1265" s="39"/>
      <c r="J1265" s="47" t="str">
        <f>IF(tblMovimientos[[#This Row],[Tipo]]="","",IFERROR(INDEX(tblTiposMov[FactorStock],MATCH(tblMovimientos[[#This Row],[Tipo]],tblTiposMov[Tipo],0)),0))</f>
        <v/>
      </c>
      <c r="K12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5" s="37"/>
      <c r="O1265" s="37"/>
      <c r="P1265" s="37"/>
    </row>
    <row r="1266" spans="2:16" x14ac:dyDescent="0.25">
      <c r="B12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6" s="46"/>
      <c r="D1266" s="37"/>
      <c r="E1266" s="37"/>
      <c r="F1266" s="37"/>
      <c r="G1266" s="40" t="str">
        <f>IF(tblMovimientos[[#This Row],[Producto]]="","",TRIM(LEFT(tblMovimientos[[#This Row],[Producto]],FIND(" · ",tblMovimientos[[#This Row],[Producto]]&amp;" · ")-1)))</f>
        <v/>
      </c>
      <c r="H1266" s="40" t="str">
        <f>IF(tblMovimientos[[#This Row],[SKU]]="","",IFERROR(INDEX(tblProductos[Unidad],MATCH(tblMovimientos[[#This Row],[SKU]],tblProductos[SKU],0)),"?"))</f>
        <v/>
      </c>
      <c r="I1266" s="39"/>
      <c r="J1266" s="47" t="str">
        <f>IF(tblMovimientos[[#This Row],[Tipo]]="","",IFERROR(INDEX(tblTiposMov[FactorStock],MATCH(tblMovimientos[[#This Row],[Tipo]],tblTiposMov[Tipo],0)),0))</f>
        <v/>
      </c>
      <c r="K12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6" s="37"/>
      <c r="O1266" s="37"/>
      <c r="P1266" s="37"/>
    </row>
    <row r="1267" spans="2:16" x14ac:dyDescent="0.25">
      <c r="B12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7" s="46"/>
      <c r="D1267" s="37"/>
      <c r="E1267" s="37"/>
      <c r="F1267" s="37"/>
      <c r="G1267" s="40" t="str">
        <f>IF(tblMovimientos[[#This Row],[Producto]]="","",TRIM(LEFT(tblMovimientos[[#This Row],[Producto]],FIND(" · ",tblMovimientos[[#This Row],[Producto]]&amp;" · ")-1)))</f>
        <v/>
      </c>
      <c r="H1267" s="40" t="str">
        <f>IF(tblMovimientos[[#This Row],[SKU]]="","",IFERROR(INDEX(tblProductos[Unidad],MATCH(tblMovimientos[[#This Row],[SKU]],tblProductos[SKU],0)),"?"))</f>
        <v/>
      </c>
      <c r="I1267" s="39"/>
      <c r="J1267" s="47" t="str">
        <f>IF(tblMovimientos[[#This Row],[Tipo]]="","",IFERROR(INDEX(tblTiposMov[FactorStock],MATCH(tblMovimientos[[#This Row],[Tipo]],tblTiposMov[Tipo],0)),0))</f>
        <v/>
      </c>
      <c r="K12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7" s="37"/>
      <c r="O1267" s="37"/>
      <c r="P1267" s="37"/>
    </row>
    <row r="1268" spans="2:16" x14ac:dyDescent="0.25">
      <c r="B12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8" s="46"/>
      <c r="D1268" s="37"/>
      <c r="E1268" s="37"/>
      <c r="F1268" s="37"/>
      <c r="G1268" s="40" t="str">
        <f>IF(tblMovimientos[[#This Row],[Producto]]="","",TRIM(LEFT(tblMovimientos[[#This Row],[Producto]],FIND(" · ",tblMovimientos[[#This Row],[Producto]]&amp;" · ")-1)))</f>
        <v/>
      </c>
      <c r="H1268" s="40" t="str">
        <f>IF(tblMovimientos[[#This Row],[SKU]]="","",IFERROR(INDEX(tblProductos[Unidad],MATCH(tblMovimientos[[#This Row],[SKU]],tblProductos[SKU],0)),"?"))</f>
        <v/>
      </c>
      <c r="I1268" s="39"/>
      <c r="J1268" s="47" t="str">
        <f>IF(tblMovimientos[[#This Row],[Tipo]]="","",IFERROR(INDEX(tblTiposMov[FactorStock],MATCH(tblMovimientos[[#This Row],[Tipo]],tblTiposMov[Tipo],0)),0))</f>
        <v/>
      </c>
      <c r="K12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8" s="37"/>
      <c r="O1268" s="37"/>
      <c r="P1268" s="37"/>
    </row>
    <row r="1269" spans="2:16" x14ac:dyDescent="0.25">
      <c r="B12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69" s="46"/>
      <c r="D1269" s="37"/>
      <c r="E1269" s="37"/>
      <c r="F1269" s="37"/>
      <c r="G1269" s="40" t="str">
        <f>IF(tblMovimientos[[#This Row],[Producto]]="","",TRIM(LEFT(tblMovimientos[[#This Row],[Producto]],FIND(" · ",tblMovimientos[[#This Row],[Producto]]&amp;" · ")-1)))</f>
        <v/>
      </c>
      <c r="H1269" s="40" t="str">
        <f>IF(tblMovimientos[[#This Row],[SKU]]="","",IFERROR(INDEX(tblProductos[Unidad],MATCH(tblMovimientos[[#This Row],[SKU]],tblProductos[SKU],0)),"?"))</f>
        <v/>
      </c>
      <c r="I1269" s="39"/>
      <c r="J1269" s="47" t="str">
        <f>IF(tblMovimientos[[#This Row],[Tipo]]="","",IFERROR(INDEX(tblTiposMov[FactorStock],MATCH(tblMovimientos[[#This Row],[Tipo]],tblTiposMov[Tipo],0)),0))</f>
        <v/>
      </c>
      <c r="K12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69" s="37"/>
      <c r="O1269" s="37"/>
      <c r="P1269" s="37"/>
    </row>
    <row r="1270" spans="2:16" x14ac:dyDescent="0.25">
      <c r="B12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0" s="46"/>
      <c r="D1270" s="37"/>
      <c r="E1270" s="37"/>
      <c r="F1270" s="37"/>
      <c r="G1270" s="40" t="str">
        <f>IF(tblMovimientos[[#This Row],[Producto]]="","",TRIM(LEFT(tblMovimientos[[#This Row],[Producto]],FIND(" · ",tblMovimientos[[#This Row],[Producto]]&amp;" · ")-1)))</f>
        <v/>
      </c>
      <c r="H1270" s="40" t="str">
        <f>IF(tblMovimientos[[#This Row],[SKU]]="","",IFERROR(INDEX(tblProductos[Unidad],MATCH(tblMovimientos[[#This Row],[SKU]],tblProductos[SKU],0)),"?"))</f>
        <v/>
      </c>
      <c r="I1270" s="39"/>
      <c r="J1270" s="47" t="str">
        <f>IF(tblMovimientos[[#This Row],[Tipo]]="","",IFERROR(INDEX(tblTiposMov[FactorStock],MATCH(tblMovimientos[[#This Row],[Tipo]],tblTiposMov[Tipo],0)),0))</f>
        <v/>
      </c>
      <c r="K12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0" s="37"/>
      <c r="O1270" s="37"/>
      <c r="P1270" s="37"/>
    </row>
    <row r="1271" spans="2:16" x14ac:dyDescent="0.25">
      <c r="B12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1" s="46"/>
      <c r="D1271" s="37"/>
      <c r="E1271" s="37"/>
      <c r="F1271" s="37"/>
      <c r="G1271" s="40" t="str">
        <f>IF(tblMovimientos[[#This Row],[Producto]]="","",TRIM(LEFT(tblMovimientos[[#This Row],[Producto]],FIND(" · ",tblMovimientos[[#This Row],[Producto]]&amp;" · ")-1)))</f>
        <v/>
      </c>
      <c r="H1271" s="40" t="str">
        <f>IF(tblMovimientos[[#This Row],[SKU]]="","",IFERROR(INDEX(tblProductos[Unidad],MATCH(tblMovimientos[[#This Row],[SKU]],tblProductos[SKU],0)),"?"))</f>
        <v/>
      </c>
      <c r="I1271" s="39"/>
      <c r="J1271" s="47" t="str">
        <f>IF(tblMovimientos[[#This Row],[Tipo]]="","",IFERROR(INDEX(tblTiposMov[FactorStock],MATCH(tblMovimientos[[#This Row],[Tipo]],tblTiposMov[Tipo],0)),0))</f>
        <v/>
      </c>
      <c r="K12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1" s="37"/>
      <c r="O1271" s="37"/>
      <c r="P1271" s="37"/>
    </row>
    <row r="1272" spans="2:16" x14ac:dyDescent="0.25">
      <c r="B12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2" s="46"/>
      <c r="D1272" s="37"/>
      <c r="E1272" s="37"/>
      <c r="F1272" s="37"/>
      <c r="G1272" s="40" t="str">
        <f>IF(tblMovimientos[[#This Row],[Producto]]="","",TRIM(LEFT(tblMovimientos[[#This Row],[Producto]],FIND(" · ",tblMovimientos[[#This Row],[Producto]]&amp;" · ")-1)))</f>
        <v/>
      </c>
      <c r="H1272" s="40" t="str">
        <f>IF(tblMovimientos[[#This Row],[SKU]]="","",IFERROR(INDEX(tblProductos[Unidad],MATCH(tblMovimientos[[#This Row],[SKU]],tblProductos[SKU],0)),"?"))</f>
        <v/>
      </c>
      <c r="I1272" s="39"/>
      <c r="J1272" s="47" t="str">
        <f>IF(tblMovimientos[[#This Row],[Tipo]]="","",IFERROR(INDEX(tblTiposMov[FactorStock],MATCH(tblMovimientos[[#This Row],[Tipo]],tblTiposMov[Tipo],0)),0))</f>
        <v/>
      </c>
      <c r="K12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2" s="37"/>
      <c r="O1272" s="37"/>
      <c r="P1272" s="37"/>
    </row>
    <row r="1273" spans="2:16" x14ac:dyDescent="0.25">
      <c r="B12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3" s="46"/>
      <c r="D1273" s="37"/>
      <c r="E1273" s="37"/>
      <c r="F1273" s="37"/>
      <c r="G1273" s="40" t="str">
        <f>IF(tblMovimientos[[#This Row],[Producto]]="","",TRIM(LEFT(tblMovimientos[[#This Row],[Producto]],FIND(" · ",tblMovimientos[[#This Row],[Producto]]&amp;" · ")-1)))</f>
        <v/>
      </c>
      <c r="H1273" s="40" t="str">
        <f>IF(tblMovimientos[[#This Row],[SKU]]="","",IFERROR(INDEX(tblProductos[Unidad],MATCH(tblMovimientos[[#This Row],[SKU]],tblProductos[SKU],0)),"?"))</f>
        <v/>
      </c>
      <c r="I1273" s="39"/>
      <c r="J1273" s="47" t="str">
        <f>IF(tblMovimientos[[#This Row],[Tipo]]="","",IFERROR(INDEX(tblTiposMov[FactorStock],MATCH(tblMovimientos[[#This Row],[Tipo]],tblTiposMov[Tipo],0)),0))</f>
        <v/>
      </c>
      <c r="K12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3" s="37"/>
      <c r="O1273" s="37"/>
      <c r="P1273" s="37"/>
    </row>
    <row r="1274" spans="2:16" x14ac:dyDescent="0.25">
      <c r="B12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4" s="46"/>
      <c r="D1274" s="37"/>
      <c r="E1274" s="37"/>
      <c r="F1274" s="37"/>
      <c r="G1274" s="40" t="str">
        <f>IF(tblMovimientos[[#This Row],[Producto]]="","",TRIM(LEFT(tblMovimientos[[#This Row],[Producto]],FIND(" · ",tblMovimientos[[#This Row],[Producto]]&amp;" · ")-1)))</f>
        <v/>
      </c>
      <c r="H1274" s="40" t="str">
        <f>IF(tblMovimientos[[#This Row],[SKU]]="","",IFERROR(INDEX(tblProductos[Unidad],MATCH(tblMovimientos[[#This Row],[SKU]],tblProductos[SKU],0)),"?"))</f>
        <v/>
      </c>
      <c r="I1274" s="39"/>
      <c r="J1274" s="47" t="str">
        <f>IF(tblMovimientos[[#This Row],[Tipo]]="","",IFERROR(INDEX(tblTiposMov[FactorStock],MATCH(tblMovimientos[[#This Row],[Tipo]],tblTiposMov[Tipo],0)),0))</f>
        <v/>
      </c>
      <c r="K12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4" s="37"/>
      <c r="O1274" s="37"/>
      <c r="P1274" s="37"/>
    </row>
    <row r="1275" spans="2:16" x14ac:dyDescent="0.25">
      <c r="B12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5" s="46"/>
      <c r="D1275" s="37"/>
      <c r="E1275" s="37"/>
      <c r="F1275" s="37"/>
      <c r="G1275" s="40" t="str">
        <f>IF(tblMovimientos[[#This Row],[Producto]]="","",TRIM(LEFT(tblMovimientos[[#This Row],[Producto]],FIND(" · ",tblMovimientos[[#This Row],[Producto]]&amp;" · ")-1)))</f>
        <v/>
      </c>
      <c r="H1275" s="40" t="str">
        <f>IF(tblMovimientos[[#This Row],[SKU]]="","",IFERROR(INDEX(tblProductos[Unidad],MATCH(tblMovimientos[[#This Row],[SKU]],tblProductos[SKU],0)),"?"))</f>
        <v/>
      </c>
      <c r="I1275" s="39"/>
      <c r="J1275" s="47" t="str">
        <f>IF(tblMovimientos[[#This Row],[Tipo]]="","",IFERROR(INDEX(tblTiposMov[FactorStock],MATCH(tblMovimientos[[#This Row],[Tipo]],tblTiposMov[Tipo],0)),0))</f>
        <v/>
      </c>
      <c r="K12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5" s="37"/>
      <c r="O1275" s="37"/>
      <c r="P1275" s="37"/>
    </row>
    <row r="1276" spans="2:16" x14ac:dyDescent="0.25">
      <c r="B12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6" s="46"/>
      <c r="D1276" s="37"/>
      <c r="E1276" s="37"/>
      <c r="F1276" s="37"/>
      <c r="G1276" s="40" t="str">
        <f>IF(tblMovimientos[[#This Row],[Producto]]="","",TRIM(LEFT(tblMovimientos[[#This Row],[Producto]],FIND(" · ",tblMovimientos[[#This Row],[Producto]]&amp;" · ")-1)))</f>
        <v/>
      </c>
      <c r="H1276" s="40" t="str">
        <f>IF(tblMovimientos[[#This Row],[SKU]]="","",IFERROR(INDEX(tblProductos[Unidad],MATCH(tblMovimientos[[#This Row],[SKU]],tblProductos[SKU],0)),"?"))</f>
        <v/>
      </c>
      <c r="I1276" s="39"/>
      <c r="J1276" s="47" t="str">
        <f>IF(tblMovimientos[[#This Row],[Tipo]]="","",IFERROR(INDEX(tblTiposMov[FactorStock],MATCH(tblMovimientos[[#This Row],[Tipo]],tblTiposMov[Tipo],0)),0))</f>
        <v/>
      </c>
      <c r="K12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6" s="37"/>
      <c r="O1276" s="37"/>
      <c r="P1276" s="37"/>
    </row>
    <row r="1277" spans="2:16" x14ac:dyDescent="0.25">
      <c r="B12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7" s="46"/>
      <c r="D1277" s="37"/>
      <c r="E1277" s="37"/>
      <c r="F1277" s="37"/>
      <c r="G1277" s="40" t="str">
        <f>IF(tblMovimientos[[#This Row],[Producto]]="","",TRIM(LEFT(tblMovimientos[[#This Row],[Producto]],FIND(" · ",tblMovimientos[[#This Row],[Producto]]&amp;" · ")-1)))</f>
        <v/>
      </c>
      <c r="H1277" s="40" t="str">
        <f>IF(tblMovimientos[[#This Row],[SKU]]="","",IFERROR(INDEX(tblProductos[Unidad],MATCH(tblMovimientos[[#This Row],[SKU]],tblProductos[SKU],0)),"?"))</f>
        <v/>
      </c>
      <c r="I1277" s="39"/>
      <c r="J1277" s="47" t="str">
        <f>IF(tblMovimientos[[#This Row],[Tipo]]="","",IFERROR(INDEX(tblTiposMov[FactorStock],MATCH(tblMovimientos[[#This Row],[Tipo]],tblTiposMov[Tipo],0)),0))</f>
        <v/>
      </c>
      <c r="K12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7" s="37"/>
      <c r="O1277" s="37"/>
      <c r="P1277" s="37"/>
    </row>
    <row r="1278" spans="2:16" x14ac:dyDescent="0.25">
      <c r="B12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8" s="46"/>
      <c r="D1278" s="37"/>
      <c r="E1278" s="37"/>
      <c r="F1278" s="37"/>
      <c r="G1278" s="40" t="str">
        <f>IF(tblMovimientos[[#This Row],[Producto]]="","",TRIM(LEFT(tblMovimientos[[#This Row],[Producto]],FIND(" · ",tblMovimientos[[#This Row],[Producto]]&amp;" · ")-1)))</f>
        <v/>
      </c>
      <c r="H1278" s="40" t="str">
        <f>IF(tblMovimientos[[#This Row],[SKU]]="","",IFERROR(INDEX(tblProductos[Unidad],MATCH(tblMovimientos[[#This Row],[SKU]],tblProductos[SKU],0)),"?"))</f>
        <v/>
      </c>
      <c r="I1278" s="39"/>
      <c r="J1278" s="47" t="str">
        <f>IF(tblMovimientos[[#This Row],[Tipo]]="","",IFERROR(INDEX(tblTiposMov[FactorStock],MATCH(tblMovimientos[[#This Row],[Tipo]],tblTiposMov[Tipo],0)),0))</f>
        <v/>
      </c>
      <c r="K12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8" s="37"/>
      <c r="O1278" s="37"/>
      <c r="P1278" s="37"/>
    </row>
    <row r="1279" spans="2:16" x14ac:dyDescent="0.25">
      <c r="B12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79" s="46"/>
      <c r="D1279" s="37"/>
      <c r="E1279" s="37"/>
      <c r="F1279" s="37"/>
      <c r="G1279" s="40" t="str">
        <f>IF(tblMovimientos[[#This Row],[Producto]]="","",TRIM(LEFT(tblMovimientos[[#This Row],[Producto]],FIND(" · ",tblMovimientos[[#This Row],[Producto]]&amp;" · ")-1)))</f>
        <v/>
      </c>
      <c r="H1279" s="40" t="str">
        <f>IF(tblMovimientos[[#This Row],[SKU]]="","",IFERROR(INDEX(tblProductos[Unidad],MATCH(tblMovimientos[[#This Row],[SKU]],tblProductos[SKU],0)),"?"))</f>
        <v/>
      </c>
      <c r="I1279" s="39"/>
      <c r="J1279" s="47" t="str">
        <f>IF(tblMovimientos[[#This Row],[Tipo]]="","",IFERROR(INDEX(tblTiposMov[FactorStock],MATCH(tblMovimientos[[#This Row],[Tipo]],tblTiposMov[Tipo],0)),0))</f>
        <v/>
      </c>
      <c r="K12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79" s="37"/>
      <c r="O1279" s="37"/>
      <c r="P1279" s="37"/>
    </row>
    <row r="1280" spans="2:16" x14ac:dyDescent="0.25">
      <c r="B12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0" s="46"/>
      <c r="D1280" s="37"/>
      <c r="E1280" s="37"/>
      <c r="F1280" s="37"/>
      <c r="G1280" s="40" t="str">
        <f>IF(tblMovimientos[[#This Row],[Producto]]="","",TRIM(LEFT(tblMovimientos[[#This Row],[Producto]],FIND(" · ",tblMovimientos[[#This Row],[Producto]]&amp;" · ")-1)))</f>
        <v/>
      </c>
      <c r="H1280" s="40" t="str">
        <f>IF(tblMovimientos[[#This Row],[SKU]]="","",IFERROR(INDEX(tblProductos[Unidad],MATCH(tblMovimientos[[#This Row],[SKU]],tblProductos[SKU],0)),"?"))</f>
        <v/>
      </c>
      <c r="I1280" s="39"/>
      <c r="J1280" s="47" t="str">
        <f>IF(tblMovimientos[[#This Row],[Tipo]]="","",IFERROR(INDEX(tblTiposMov[FactorStock],MATCH(tblMovimientos[[#This Row],[Tipo]],tblTiposMov[Tipo],0)),0))</f>
        <v/>
      </c>
      <c r="K12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0" s="37"/>
      <c r="O1280" s="37"/>
      <c r="P1280" s="37"/>
    </row>
    <row r="1281" spans="2:16" x14ac:dyDescent="0.25">
      <c r="B12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1" s="46"/>
      <c r="D1281" s="37"/>
      <c r="E1281" s="37"/>
      <c r="F1281" s="37"/>
      <c r="G1281" s="40" t="str">
        <f>IF(tblMovimientos[[#This Row],[Producto]]="","",TRIM(LEFT(tblMovimientos[[#This Row],[Producto]],FIND(" · ",tblMovimientos[[#This Row],[Producto]]&amp;" · ")-1)))</f>
        <v/>
      </c>
      <c r="H1281" s="40" t="str">
        <f>IF(tblMovimientos[[#This Row],[SKU]]="","",IFERROR(INDEX(tblProductos[Unidad],MATCH(tblMovimientos[[#This Row],[SKU]],tblProductos[SKU],0)),"?"))</f>
        <v/>
      </c>
      <c r="I1281" s="39"/>
      <c r="J1281" s="47" t="str">
        <f>IF(tblMovimientos[[#This Row],[Tipo]]="","",IFERROR(INDEX(tblTiposMov[FactorStock],MATCH(tblMovimientos[[#This Row],[Tipo]],tblTiposMov[Tipo],0)),0))</f>
        <v/>
      </c>
      <c r="K12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1" s="37"/>
      <c r="O1281" s="37"/>
      <c r="P1281" s="37"/>
    </row>
    <row r="1282" spans="2:16" x14ac:dyDescent="0.25">
      <c r="B12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2" s="46"/>
      <c r="D1282" s="37"/>
      <c r="E1282" s="37"/>
      <c r="F1282" s="37"/>
      <c r="G1282" s="40" t="str">
        <f>IF(tblMovimientos[[#This Row],[Producto]]="","",TRIM(LEFT(tblMovimientos[[#This Row],[Producto]],FIND(" · ",tblMovimientos[[#This Row],[Producto]]&amp;" · ")-1)))</f>
        <v/>
      </c>
      <c r="H1282" s="40" t="str">
        <f>IF(tblMovimientos[[#This Row],[SKU]]="","",IFERROR(INDEX(tblProductos[Unidad],MATCH(tblMovimientos[[#This Row],[SKU]],tblProductos[SKU],0)),"?"))</f>
        <v/>
      </c>
      <c r="I1282" s="39"/>
      <c r="J1282" s="47" t="str">
        <f>IF(tblMovimientos[[#This Row],[Tipo]]="","",IFERROR(INDEX(tblTiposMov[FactorStock],MATCH(tblMovimientos[[#This Row],[Tipo]],tblTiposMov[Tipo],0)),0))</f>
        <v/>
      </c>
      <c r="K12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2" s="37"/>
      <c r="O1282" s="37"/>
      <c r="P1282" s="37"/>
    </row>
    <row r="1283" spans="2:16" x14ac:dyDescent="0.25">
      <c r="B12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3" s="46"/>
      <c r="D1283" s="37"/>
      <c r="E1283" s="37"/>
      <c r="F1283" s="37"/>
      <c r="G1283" s="40" t="str">
        <f>IF(tblMovimientos[[#This Row],[Producto]]="","",TRIM(LEFT(tblMovimientos[[#This Row],[Producto]],FIND(" · ",tblMovimientos[[#This Row],[Producto]]&amp;" · ")-1)))</f>
        <v/>
      </c>
      <c r="H1283" s="40" t="str">
        <f>IF(tblMovimientos[[#This Row],[SKU]]="","",IFERROR(INDEX(tblProductos[Unidad],MATCH(tblMovimientos[[#This Row],[SKU]],tblProductos[SKU],0)),"?"))</f>
        <v/>
      </c>
      <c r="I1283" s="39"/>
      <c r="J1283" s="47" t="str">
        <f>IF(tblMovimientos[[#This Row],[Tipo]]="","",IFERROR(INDEX(tblTiposMov[FactorStock],MATCH(tblMovimientos[[#This Row],[Tipo]],tblTiposMov[Tipo],0)),0))</f>
        <v/>
      </c>
      <c r="K12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3" s="37"/>
      <c r="O1283" s="37"/>
      <c r="P1283" s="37"/>
    </row>
    <row r="1284" spans="2:16" x14ac:dyDescent="0.25">
      <c r="B12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4" s="46"/>
      <c r="D1284" s="37"/>
      <c r="E1284" s="37"/>
      <c r="F1284" s="37"/>
      <c r="G1284" s="40" t="str">
        <f>IF(tblMovimientos[[#This Row],[Producto]]="","",TRIM(LEFT(tblMovimientos[[#This Row],[Producto]],FIND(" · ",tblMovimientos[[#This Row],[Producto]]&amp;" · ")-1)))</f>
        <v/>
      </c>
      <c r="H1284" s="40" t="str">
        <f>IF(tblMovimientos[[#This Row],[SKU]]="","",IFERROR(INDEX(tblProductos[Unidad],MATCH(tblMovimientos[[#This Row],[SKU]],tblProductos[SKU],0)),"?"))</f>
        <v/>
      </c>
      <c r="I1284" s="39"/>
      <c r="J1284" s="47" t="str">
        <f>IF(tblMovimientos[[#This Row],[Tipo]]="","",IFERROR(INDEX(tblTiposMov[FactorStock],MATCH(tblMovimientos[[#This Row],[Tipo]],tblTiposMov[Tipo],0)),0))</f>
        <v/>
      </c>
      <c r="K12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4" s="37"/>
      <c r="O1284" s="37"/>
      <c r="P1284" s="37"/>
    </row>
    <row r="1285" spans="2:16" x14ac:dyDescent="0.25">
      <c r="B12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5" s="46"/>
      <c r="D1285" s="37"/>
      <c r="E1285" s="37"/>
      <c r="F1285" s="37"/>
      <c r="G1285" s="40" t="str">
        <f>IF(tblMovimientos[[#This Row],[Producto]]="","",TRIM(LEFT(tblMovimientos[[#This Row],[Producto]],FIND(" · ",tblMovimientos[[#This Row],[Producto]]&amp;" · ")-1)))</f>
        <v/>
      </c>
      <c r="H1285" s="40" t="str">
        <f>IF(tblMovimientos[[#This Row],[SKU]]="","",IFERROR(INDEX(tblProductos[Unidad],MATCH(tblMovimientos[[#This Row],[SKU]],tblProductos[SKU],0)),"?"))</f>
        <v/>
      </c>
      <c r="I1285" s="39"/>
      <c r="J1285" s="47" t="str">
        <f>IF(tblMovimientos[[#This Row],[Tipo]]="","",IFERROR(INDEX(tblTiposMov[FactorStock],MATCH(tblMovimientos[[#This Row],[Tipo]],tblTiposMov[Tipo],0)),0))</f>
        <v/>
      </c>
      <c r="K12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5" s="37"/>
      <c r="O1285" s="37"/>
      <c r="P1285" s="37"/>
    </row>
    <row r="1286" spans="2:16" x14ac:dyDescent="0.25">
      <c r="B12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6" s="46"/>
      <c r="D1286" s="37"/>
      <c r="E1286" s="37"/>
      <c r="F1286" s="37"/>
      <c r="G1286" s="40" t="str">
        <f>IF(tblMovimientos[[#This Row],[Producto]]="","",TRIM(LEFT(tblMovimientos[[#This Row],[Producto]],FIND(" · ",tblMovimientos[[#This Row],[Producto]]&amp;" · ")-1)))</f>
        <v/>
      </c>
      <c r="H1286" s="40" t="str">
        <f>IF(tblMovimientos[[#This Row],[SKU]]="","",IFERROR(INDEX(tblProductos[Unidad],MATCH(tblMovimientos[[#This Row],[SKU]],tblProductos[SKU],0)),"?"))</f>
        <v/>
      </c>
      <c r="I1286" s="39"/>
      <c r="J1286" s="47" t="str">
        <f>IF(tblMovimientos[[#This Row],[Tipo]]="","",IFERROR(INDEX(tblTiposMov[FactorStock],MATCH(tblMovimientos[[#This Row],[Tipo]],tblTiposMov[Tipo],0)),0))</f>
        <v/>
      </c>
      <c r="K12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6" s="37"/>
      <c r="O1286" s="37"/>
      <c r="P1286" s="37"/>
    </row>
    <row r="1287" spans="2:16" x14ac:dyDescent="0.25">
      <c r="B12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7" s="46"/>
      <c r="D1287" s="37"/>
      <c r="E1287" s="37"/>
      <c r="F1287" s="37"/>
      <c r="G1287" s="40" t="str">
        <f>IF(tblMovimientos[[#This Row],[Producto]]="","",TRIM(LEFT(tblMovimientos[[#This Row],[Producto]],FIND(" · ",tblMovimientos[[#This Row],[Producto]]&amp;" · ")-1)))</f>
        <v/>
      </c>
      <c r="H1287" s="40" t="str">
        <f>IF(tblMovimientos[[#This Row],[SKU]]="","",IFERROR(INDEX(tblProductos[Unidad],MATCH(tblMovimientos[[#This Row],[SKU]],tblProductos[SKU],0)),"?"))</f>
        <v/>
      </c>
      <c r="I1287" s="39"/>
      <c r="J1287" s="47" t="str">
        <f>IF(tblMovimientos[[#This Row],[Tipo]]="","",IFERROR(INDEX(tblTiposMov[FactorStock],MATCH(tblMovimientos[[#This Row],[Tipo]],tblTiposMov[Tipo],0)),0))</f>
        <v/>
      </c>
      <c r="K12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7" s="37"/>
      <c r="O1287" s="37"/>
      <c r="P1287" s="37"/>
    </row>
    <row r="1288" spans="2:16" x14ac:dyDescent="0.25">
      <c r="B12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8" s="46"/>
      <c r="D1288" s="37"/>
      <c r="E1288" s="37"/>
      <c r="F1288" s="37"/>
      <c r="G1288" s="40" t="str">
        <f>IF(tblMovimientos[[#This Row],[Producto]]="","",TRIM(LEFT(tblMovimientos[[#This Row],[Producto]],FIND(" · ",tblMovimientos[[#This Row],[Producto]]&amp;" · ")-1)))</f>
        <v/>
      </c>
      <c r="H1288" s="40" t="str">
        <f>IF(tblMovimientos[[#This Row],[SKU]]="","",IFERROR(INDEX(tblProductos[Unidad],MATCH(tblMovimientos[[#This Row],[SKU]],tblProductos[SKU],0)),"?"))</f>
        <v/>
      </c>
      <c r="I1288" s="39"/>
      <c r="J1288" s="47" t="str">
        <f>IF(tblMovimientos[[#This Row],[Tipo]]="","",IFERROR(INDEX(tblTiposMov[FactorStock],MATCH(tblMovimientos[[#This Row],[Tipo]],tblTiposMov[Tipo],0)),0))</f>
        <v/>
      </c>
      <c r="K12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8" s="37"/>
      <c r="O1288" s="37"/>
      <c r="P1288" s="37"/>
    </row>
    <row r="1289" spans="2:16" x14ac:dyDescent="0.25">
      <c r="B12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89" s="46"/>
      <c r="D1289" s="37"/>
      <c r="E1289" s="37"/>
      <c r="F1289" s="37"/>
      <c r="G1289" s="40" t="str">
        <f>IF(tblMovimientos[[#This Row],[Producto]]="","",TRIM(LEFT(tblMovimientos[[#This Row],[Producto]],FIND(" · ",tblMovimientos[[#This Row],[Producto]]&amp;" · ")-1)))</f>
        <v/>
      </c>
      <c r="H1289" s="40" t="str">
        <f>IF(tblMovimientos[[#This Row],[SKU]]="","",IFERROR(INDEX(tblProductos[Unidad],MATCH(tblMovimientos[[#This Row],[SKU]],tblProductos[SKU],0)),"?"))</f>
        <v/>
      </c>
      <c r="I1289" s="39"/>
      <c r="J1289" s="47" t="str">
        <f>IF(tblMovimientos[[#This Row],[Tipo]]="","",IFERROR(INDEX(tblTiposMov[FactorStock],MATCH(tblMovimientos[[#This Row],[Tipo]],tblTiposMov[Tipo],0)),0))</f>
        <v/>
      </c>
      <c r="K12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89" s="37"/>
      <c r="O1289" s="37"/>
      <c r="P1289" s="37"/>
    </row>
    <row r="1290" spans="2:16" x14ac:dyDescent="0.25">
      <c r="B12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0" s="46"/>
      <c r="D1290" s="37"/>
      <c r="E1290" s="37"/>
      <c r="F1290" s="37"/>
      <c r="G1290" s="40" t="str">
        <f>IF(tblMovimientos[[#This Row],[Producto]]="","",TRIM(LEFT(tblMovimientos[[#This Row],[Producto]],FIND(" · ",tblMovimientos[[#This Row],[Producto]]&amp;" · ")-1)))</f>
        <v/>
      </c>
      <c r="H1290" s="40" t="str">
        <f>IF(tblMovimientos[[#This Row],[SKU]]="","",IFERROR(INDEX(tblProductos[Unidad],MATCH(tblMovimientos[[#This Row],[SKU]],tblProductos[SKU],0)),"?"))</f>
        <v/>
      </c>
      <c r="I1290" s="39"/>
      <c r="J1290" s="47" t="str">
        <f>IF(tblMovimientos[[#This Row],[Tipo]]="","",IFERROR(INDEX(tblTiposMov[FactorStock],MATCH(tblMovimientos[[#This Row],[Tipo]],tblTiposMov[Tipo],0)),0))</f>
        <v/>
      </c>
      <c r="K12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0" s="37"/>
      <c r="O1290" s="37"/>
      <c r="P1290" s="37"/>
    </row>
    <row r="1291" spans="2:16" x14ac:dyDescent="0.25">
      <c r="B12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1" s="46"/>
      <c r="D1291" s="37"/>
      <c r="E1291" s="37"/>
      <c r="F1291" s="37"/>
      <c r="G1291" s="40" t="str">
        <f>IF(tblMovimientos[[#This Row],[Producto]]="","",TRIM(LEFT(tblMovimientos[[#This Row],[Producto]],FIND(" · ",tblMovimientos[[#This Row],[Producto]]&amp;" · ")-1)))</f>
        <v/>
      </c>
      <c r="H1291" s="40" t="str">
        <f>IF(tblMovimientos[[#This Row],[SKU]]="","",IFERROR(INDEX(tblProductos[Unidad],MATCH(tblMovimientos[[#This Row],[SKU]],tblProductos[SKU],0)),"?"))</f>
        <v/>
      </c>
      <c r="I1291" s="39"/>
      <c r="J1291" s="47" t="str">
        <f>IF(tblMovimientos[[#This Row],[Tipo]]="","",IFERROR(INDEX(tblTiposMov[FactorStock],MATCH(tblMovimientos[[#This Row],[Tipo]],tblTiposMov[Tipo],0)),0))</f>
        <v/>
      </c>
      <c r="K12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1" s="37"/>
      <c r="O1291" s="37"/>
      <c r="P1291" s="37"/>
    </row>
    <row r="1292" spans="2:16" x14ac:dyDescent="0.25">
      <c r="B12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2" s="46"/>
      <c r="D1292" s="37"/>
      <c r="E1292" s="37"/>
      <c r="F1292" s="37"/>
      <c r="G1292" s="40" t="str">
        <f>IF(tblMovimientos[[#This Row],[Producto]]="","",TRIM(LEFT(tblMovimientos[[#This Row],[Producto]],FIND(" · ",tblMovimientos[[#This Row],[Producto]]&amp;" · ")-1)))</f>
        <v/>
      </c>
      <c r="H1292" s="40" t="str">
        <f>IF(tblMovimientos[[#This Row],[SKU]]="","",IFERROR(INDEX(tblProductos[Unidad],MATCH(tblMovimientos[[#This Row],[SKU]],tblProductos[SKU],0)),"?"))</f>
        <v/>
      </c>
      <c r="I1292" s="39"/>
      <c r="J1292" s="47" t="str">
        <f>IF(tblMovimientos[[#This Row],[Tipo]]="","",IFERROR(INDEX(tblTiposMov[FactorStock],MATCH(tblMovimientos[[#This Row],[Tipo]],tblTiposMov[Tipo],0)),0))</f>
        <v/>
      </c>
      <c r="K12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2" s="37"/>
      <c r="O1292" s="37"/>
      <c r="P1292" s="37"/>
    </row>
    <row r="1293" spans="2:16" x14ac:dyDescent="0.25">
      <c r="B12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3" s="46"/>
      <c r="D1293" s="37"/>
      <c r="E1293" s="37"/>
      <c r="F1293" s="37"/>
      <c r="G1293" s="40" t="str">
        <f>IF(tblMovimientos[[#This Row],[Producto]]="","",TRIM(LEFT(tblMovimientos[[#This Row],[Producto]],FIND(" · ",tblMovimientos[[#This Row],[Producto]]&amp;" · ")-1)))</f>
        <v/>
      </c>
      <c r="H1293" s="40" t="str">
        <f>IF(tblMovimientos[[#This Row],[SKU]]="","",IFERROR(INDEX(tblProductos[Unidad],MATCH(tblMovimientos[[#This Row],[SKU]],tblProductos[SKU],0)),"?"))</f>
        <v/>
      </c>
      <c r="I1293" s="39"/>
      <c r="J1293" s="47" t="str">
        <f>IF(tblMovimientos[[#This Row],[Tipo]]="","",IFERROR(INDEX(tblTiposMov[FactorStock],MATCH(tblMovimientos[[#This Row],[Tipo]],tblTiposMov[Tipo],0)),0))</f>
        <v/>
      </c>
      <c r="K12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3" s="37"/>
      <c r="O1293" s="37"/>
      <c r="P1293" s="37"/>
    </row>
    <row r="1294" spans="2:16" x14ac:dyDescent="0.25">
      <c r="B12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4" s="46"/>
      <c r="D1294" s="37"/>
      <c r="E1294" s="37"/>
      <c r="F1294" s="37"/>
      <c r="G1294" s="40" t="str">
        <f>IF(tblMovimientos[[#This Row],[Producto]]="","",TRIM(LEFT(tblMovimientos[[#This Row],[Producto]],FIND(" · ",tblMovimientos[[#This Row],[Producto]]&amp;" · ")-1)))</f>
        <v/>
      </c>
      <c r="H1294" s="40" t="str">
        <f>IF(tblMovimientos[[#This Row],[SKU]]="","",IFERROR(INDEX(tblProductos[Unidad],MATCH(tblMovimientos[[#This Row],[SKU]],tblProductos[SKU],0)),"?"))</f>
        <v/>
      </c>
      <c r="I1294" s="39"/>
      <c r="J1294" s="47" t="str">
        <f>IF(tblMovimientos[[#This Row],[Tipo]]="","",IFERROR(INDEX(tblTiposMov[FactorStock],MATCH(tblMovimientos[[#This Row],[Tipo]],tblTiposMov[Tipo],0)),0))</f>
        <v/>
      </c>
      <c r="K12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4" s="37"/>
      <c r="O1294" s="37"/>
      <c r="P1294" s="37"/>
    </row>
    <row r="1295" spans="2:16" x14ac:dyDescent="0.25">
      <c r="B12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5" s="46"/>
      <c r="D1295" s="37"/>
      <c r="E1295" s="37"/>
      <c r="F1295" s="37"/>
      <c r="G1295" s="40" t="str">
        <f>IF(tblMovimientos[[#This Row],[Producto]]="","",TRIM(LEFT(tblMovimientos[[#This Row],[Producto]],FIND(" · ",tblMovimientos[[#This Row],[Producto]]&amp;" · ")-1)))</f>
        <v/>
      </c>
      <c r="H1295" s="40" t="str">
        <f>IF(tblMovimientos[[#This Row],[SKU]]="","",IFERROR(INDEX(tblProductos[Unidad],MATCH(tblMovimientos[[#This Row],[SKU]],tblProductos[SKU],0)),"?"))</f>
        <v/>
      </c>
      <c r="I1295" s="39"/>
      <c r="J1295" s="47" t="str">
        <f>IF(tblMovimientos[[#This Row],[Tipo]]="","",IFERROR(INDEX(tblTiposMov[FactorStock],MATCH(tblMovimientos[[#This Row],[Tipo]],tblTiposMov[Tipo],0)),0))</f>
        <v/>
      </c>
      <c r="K12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5" s="37"/>
      <c r="O1295" s="37"/>
      <c r="P1295" s="37"/>
    </row>
    <row r="1296" spans="2:16" x14ac:dyDescent="0.25">
      <c r="B12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6" s="46"/>
      <c r="D1296" s="37"/>
      <c r="E1296" s="37"/>
      <c r="F1296" s="37"/>
      <c r="G1296" s="40" t="str">
        <f>IF(tblMovimientos[[#This Row],[Producto]]="","",TRIM(LEFT(tblMovimientos[[#This Row],[Producto]],FIND(" · ",tblMovimientos[[#This Row],[Producto]]&amp;" · ")-1)))</f>
        <v/>
      </c>
      <c r="H1296" s="40" t="str">
        <f>IF(tblMovimientos[[#This Row],[SKU]]="","",IFERROR(INDEX(tblProductos[Unidad],MATCH(tblMovimientos[[#This Row],[SKU]],tblProductos[SKU],0)),"?"))</f>
        <v/>
      </c>
      <c r="I1296" s="39"/>
      <c r="J1296" s="47" t="str">
        <f>IF(tblMovimientos[[#This Row],[Tipo]]="","",IFERROR(INDEX(tblTiposMov[FactorStock],MATCH(tblMovimientos[[#This Row],[Tipo]],tblTiposMov[Tipo],0)),0))</f>
        <v/>
      </c>
      <c r="K12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6" s="37"/>
      <c r="O1296" s="37"/>
      <c r="P1296" s="37"/>
    </row>
    <row r="1297" spans="2:16" x14ac:dyDescent="0.25">
      <c r="B12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7" s="46"/>
      <c r="D1297" s="37"/>
      <c r="E1297" s="37"/>
      <c r="F1297" s="37"/>
      <c r="G1297" s="40" t="str">
        <f>IF(tblMovimientos[[#This Row],[Producto]]="","",TRIM(LEFT(tblMovimientos[[#This Row],[Producto]],FIND(" · ",tblMovimientos[[#This Row],[Producto]]&amp;" · ")-1)))</f>
        <v/>
      </c>
      <c r="H1297" s="40" t="str">
        <f>IF(tblMovimientos[[#This Row],[SKU]]="","",IFERROR(INDEX(tblProductos[Unidad],MATCH(tblMovimientos[[#This Row],[SKU]],tblProductos[SKU],0)),"?"))</f>
        <v/>
      </c>
      <c r="I1297" s="39"/>
      <c r="J1297" s="47" t="str">
        <f>IF(tblMovimientos[[#This Row],[Tipo]]="","",IFERROR(INDEX(tblTiposMov[FactorStock],MATCH(tblMovimientos[[#This Row],[Tipo]],tblTiposMov[Tipo],0)),0))</f>
        <v/>
      </c>
      <c r="K12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7" s="37"/>
      <c r="O1297" s="37"/>
      <c r="P1297" s="37"/>
    </row>
    <row r="1298" spans="2:16" x14ac:dyDescent="0.25">
      <c r="B12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8" s="46"/>
      <c r="D1298" s="37"/>
      <c r="E1298" s="37"/>
      <c r="F1298" s="37"/>
      <c r="G1298" s="40" t="str">
        <f>IF(tblMovimientos[[#This Row],[Producto]]="","",TRIM(LEFT(tblMovimientos[[#This Row],[Producto]],FIND(" · ",tblMovimientos[[#This Row],[Producto]]&amp;" · ")-1)))</f>
        <v/>
      </c>
      <c r="H1298" s="40" t="str">
        <f>IF(tblMovimientos[[#This Row],[SKU]]="","",IFERROR(INDEX(tblProductos[Unidad],MATCH(tblMovimientos[[#This Row],[SKU]],tblProductos[SKU],0)),"?"))</f>
        <v/>
      </c>
      <c r="I1298" s="39"/>
      <c r="J1298" s="47" t="str">
        <f>IF(tblMovimientos[[#This Row],[Tipo]]="","",IFERROR(INDEX(tblTiposMov[FactorStock],MATCH(tblMovimientos[[#This Row],[Tipo]],tblTiposMov[Tipo],0)),0))</f>
        <v/>
      </c>
      <c r="K12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8" s="37"/>
      <c r="O1298" s="37"/>
      <c r="P1298" s="37"/>
    </row>
    <row r="1299" spans="2:16" x14ac:dyDescent="0.25">
      <c r="B12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299" s="46"/>
      <c r="D1299" s="37"/>
      <c r="E1299" s="37"/>
      <c r="F1299" s="37"/>
      <c r="G1299" s="40" t="str">
        <f>IF(tblMovimientos[[#This Row],[Producto]]="","",TRIM(LEFT(tblMovimientos[[#This Row],[Producto]],FIND(" · ",tblMovimientos[[#This Row],[Producto]]&amp;" · ")-1)))</f>
        <v/>
      </c>
      <c r="H1299" s="40" t="str">
        <f>IF(tblMovimientos[[#This Row],[SKU]]="","",IFERROR(INDEX(tblProductos[Unidad],MATCH(tblMovimientos[[#This Row],[SKU]],tblProductos[SKU],0)),"?"))</f>
        <v/>
      </c>
      <c r="I1299" s="39"/>
      <c r="J1299" s="47" t="str">
        <f>IF(tblMovimientos[[#This Row],[Tipo]]="","",IFERROR(INDEX(tblTiposMov[FactorStock],MATCH(tblMovimientos[[#This Row],[Tipo]],tblTiposMov[Tipo],0)),0))</f>
        <v/>
      </c>
      <c r="K12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2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299" s="37"/>
      <c r="O1299" s="37"/>
      <c r="P1299" s="37"/>
    </row>
    <row r="1300" spans="2:16" x14ac:dyDescent="0.25">
      <c r="B13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0" s="46"/>
      <c r="D1300" s="37"/>
      <c r="E1300" s="37"/>
      <c r="F1300" s="37"/>
      <c r="G1300" s="40" t="str">
        <f>IF(tblMovimientos[[#This Row],[Producto]]="","",TRIM(LEFT(tblMovimientos[[#This Row],[Producto]],FIND(" · ",tblMovimientos[[#This Row],[Producto]]&amp;" · ")-1)))</f>
        <v/>
      </c>
      <c r="H1300" s="40" t="str">
        <f>IF(tblMovimientos[[#This Row],[SKU]]="","",IFERROR(INDEX(tblProductos[Unidad],MATCH(tblMovimientos[[#This Row],[SKU]],tblProductos[SKU],0)),"?"))</f>
        <v/>
      </c>
      <c r="I1300" s="39"/>
      <c r="J1300" s="47" t="str">
        <f>IF(tblMovimientos[[#This Row],[Tipo]]="","",IFERROR(INDEX(tblTiposMov[FactorStock],MATCH(tblMovimientos[[#This Row],[Tipo]],tblTiposMov[Tipo],0)),0))</f>
        <v/>
      </c>
      <c r="K13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0" s="37"/>
      <c r="O1300" s="37"/>
      <c r="P1300" s="37"/>
    </row>
    <row r="1301" spans="2:16" x14ac:dyDescent="0.25">
      <c r="B13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1" s="46"/>
      <c r="D1301" s="37"/>
      <c r="E1301" s="37"/>
      <c r="F1301" s="37"/>
      <c r="G1301" s="40" t="str">
        <f>IF(tblMovimientos[[#This Row],[Producto]]="","",TRIM(LEFT(tblMovimientos[[#This Row],[Producto]],FIND(" · ",tblMovimientos[[#This Row],[Producto]]&amp;" · ")-1)))</f>
        <v/>
      </c>
      <c r="H1301" s="40" t="str">
        <f>IF(tblMovimientos[[#This Row],[SKU]]="","",IFERROR(INDEX(tblProductos[Unidad],MATCH(tblMovimientos[[#This Row],[SKU]],tblProductos[SKU],0)),"?"))</f>
        <v/>
      </c>
      <c r="I1301" s="39"/>
      <c r="J1301" s="47" t="str">
        <f>IF(tblMovimientos[[#This Row],[Tipo]]="","",IFERROR(INDEX(tblTiposMov[FactorStock],MATCH(tblMovimientos[[#This Row],[Tipo]],tblTiposMov[Tipo],0)),0))</f>
        <v/>
      </c>
      <c r="K13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1" s="37"/>
      <c r="O1301" s="37"/>
      <c r="P1301" s="37"/>
    </row>
    <row r="1302" spans="2:16" x14ac:dyDescent="0.25">
      <c r="B13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2" s="46"/>
      <c r="D1302" s="37"/>
      <c r="E1302" s="37"/>
      <c r="F1302" s="37"/>
      <c r="G1302" s="40" t="str">
        <f>IF(tblMovimientos[[#This Row],[Producto]]="","",TRIM(LEFT(tblMovimientos[[#This Row],[Producto]],FIND(" · ",tblMovimientos[[#This Row],[Producto]]&amp;" · ")-1)))</f>
        <v/>
      </c>
      <c r="H1302" s="40" t="str">
        <f>IF(tblMovimientos[[#This Row],[SKU]]="","",IFERROR(INDEX(tblProductos[Unidad],MATCH(tblMovimientos[[#This Row],[SKU]],tblProductos[SKU],0)),"?"))</f>
        <v/>
      </c>
      <c r="I1302" s="39"/>
      <c r="J1302" s="47" t="str">
        <f>IF(tblMovimientos[[#This Row],[Tipo]]="","",IFERROR(INDEX(tblTiposMov[FactorStock],MATCH(tblMovimientos[[#This Row],[Tipo]],tblTiposMov[Tipo],0)),0))</f>
        <v/>
      </c>
      <c r="K13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2" s="37"/>
      <c r="O1302" s="37"/>
      <c r="P1302" s="37"/>
    </row>
    <row r="1303" spans="2:16" x14ac:dyDescent="0.25">
      <c r="B13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3" s="46"/>
      <c r="D1303" s="37"/>
      <c r="E1303" s="37"/>
      <c r="F1303" s="37"/>
      <c r="G1303" s="40" t="str">
        <f>IF(tblMovimientos[[#This Row],[Producto]]="","",TRIM(LEFT(tblMovimientos[[#This Row],[Producto]],FIND(" · ",tblMovimientos[[#This Row],[Producto]]&amp;" · ")-1)))</f>
        <v/>
      </c>
      <c r="H1303" s="40" t="str">
        <f>IF(tblMovimientos[[#This Row],[SKU]]="","",IFERROR(INDEX(tblProductos[Unidad],MATCH(tblMovimientos[[#This Row],[SKU]],tblProductos[SKU],0)),"?"))</f>
        <v/>
      </c>
      <c r="I1303" s="39"/>
      <c r="J1303" s="47" t="str">
        <f>IF(tblMovimientos[[#This Row],[Tipo]]="","",IFERROR(INDEX(tblTiposMov[FactorStock],MATCH(tblMovimientos[[#This Row],[Tipo]],tblTiposMov[Tipo],0)),0))</f>
        <v/>
      </c>
      <c r="K13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3" s="37"/>
      <c r="O1303" s="37"/>
      <c r="P1303" s="37"/>
    </row>
    <row r="1304" spans="2:16" x14ac:dyDescent="0.25">
      <c r="B13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4" s="46"/>
      <c r="D1304" s="37"/>
      <c r="E1304" s="37"/>
      <c r="F1304" s="37"/>
      <c r="G1304" s="40" t="str">
        <f>IF(tblMovimientos[[#This Row],[Producto]]="","",TRIM(LEFT(tblMovimientos[[#This Row],[Producto]],FIND(" · ",tblMovimientos[[#This Row],[Producto]]&amp;" · ")-1)))</f>
        <v/>
      </c>
      <c r="H1304" s="40" t="str">
        <f>IF(tblMovimientos[[#This Row],[SKU]]="","",IFERROR(INDEX(tblProductos[Unidad],MATCH(tblMovimientos[[#This Row],[SKU]],tblProductos[SKU],0)),"?"))</f>
        <v/>
      </c>
      <c r="I1304" s="39"/>
      <c r="J1304" s="47" t="str">
        <f>IF(tblMovimientos[[#This Row],[Tipo]]="","",IFERROR(INDEX(tblTiposMov[FactorStock],MATCH(tblMovimientos[[#This Row],[Tipo]],tblTiposMov[Tipo],0)),0))</f>
        <v/>
      </c>
      <c r="K13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4" s="37"/>
      <c r="O1304" s="37"/>
      <c r="P1304" s="37"/>
    </row>
    <row r="1305" spans="2:16" x14ac:dyDescent="0.25">
      <c r="B13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5" s="46"/>
      <c r="D1305" s="37"/>
      <c r="E1305" s="37"/>
      <c r="F1305" s="37"/>
      <c r="G1305" s="40" t="str">
        <f>IF(tblMovimientos[[#This Row],[Producto]]="","",TRIM(LEFT(tblMovimientos[[#This Row],[Producto]],FIND(" · ",tblMovimientos[[#This Row],[Producto]]&amp;" · ")-1)))</f>
        <v/>
      </c>
      <c r="H1305" s="40" t="str">
        <f>IF(tblMovimientos[[#This Row],[SKU]]="","",IFERROR(INDEX(tblProductos[Unidad],MATCH(tblMovimientos[[#This Row],[SKU]],tblProductos[SKU],0)),"?"))</f>
        <v/>
      </c>
      <c r="I1305" s="39"/>
      <c r="J1305" s="47" t="str">
        <f>IF(tblMovimientos[[#This Row],[Tipo]]="","",IFERROR(INDEX(tblTiposMov[FactorStock],MATCH(tblMovimientos[[#This Row],[Tipo]],tblTiposMov[Tipo],0)),0))</f>
        <v/>
      </c>
      <c r="K13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5" s="37"/>
      <c r="O1305" s="37"/>
      <c r="P1305" s="37"/>
    </row>
    <row r="1306" spans="2:16" x14ac:dyDescent="0.25">
      <c r="B13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6" s="46"/>
      <c r="D1306" s="37"/>
      <c r="E1306" s="37"/>
      <c r="F1306" s="37"/>
      <c r="G1306" s="40" t="str">
        <f>IF(tblMovimientos[[#This Row],[Producto]]="","",TRIM(LEFT(tblMovimientos[[#This Row],[Producto]],FIND(" · ",tblMovimientos[[#This Row],[Producto]]&amp;" · ")-1)))</f>
        <v/>
      </c>
      <c r="H1306" s="40" t="str">
        <f>IF(tblMovimientos[[#This Row],[SKU]]="","",IFERROR(INDEX(tblProductos[Unidad],MATCH(tblMovimientos[[#This Row],[SKU]],tblProductos[SKU],0)),"?"))</f>
        <v/>
      </c>
      <c r="I1306" s="39"/>
      <c r="J1306" s="47" t="str">
        <f>IF(tblMovimientos[[#This Row],[Tipo]]="","",IFERROR(INDEX(tblTiposMov[FactorStock],MATCH(tblMovimientos[[#This Row],[Tipo]],tblTiposMov[Tipo],0)),0))</f>
        <v/>
      </c>
      <c r="K13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6" s="37"/>
      <c r="O1306" s="37"/>
      <c r="P1306" s="37"/>
    </row>
    <row r="1307" spans="2:16" x14ac:dyDescent="0.25">
      <c r="B13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7" s="46"/>
      <c r="D1307" s="37"/>
      <c r="E1307" s="37"/>
      <c r="F1307" s="37"/>
      <c r="G1307" s="40" t="str">
        <f>IF(tblMovimientos[[#This Row],[Producto]]="","",TRIM(LEFT(tblMovimientos[[#This Row],[Producto]],FIND(" · ",tblMovimientos[[#This Row],[Producto]]&amp;" · ")-1)))</f>
        <v/>
      </c>
      <c r="H1307" s="40" t="str">
        <f>IF(tblMovimientos[[#This Row],[SKU]]="","",IFERROR(INDEX(tblProductos[Unidad],MATCH(tblMovimientos[[#This Row],[SKU]],tblProductos[SKU],0)),"?"))</f>
        <v/>
      </c>
      <c r="I1307" s="39"/>
      <c r="J1307" s="47" t="str">
        <f>IF(tblMovimientos[[#This Row],[Tipo]]="","",IFERROR(INDEX(tblTiposMov[FactorStock],MATCH(tblMovimientos[[#This Row],[Tipo]],tblTiposMov[Tipo],0)),0))</f>
        <v/>
      </c>
      <c r="K13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7" s="37"/>
      <c r="O1307" s="37"/>
      <c r="P1307" s="37"/>
    </row>
    <row r="1308" spans="2:16" x14ac:dyDescent="0.25">
      <c r="B13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8" s="46"/>
      <c r="D1308" s="37"/>
      <c r="E1308" s="37"/>
      <c r="F1308" s="37"/>
      <c r="G1308" s="40" t="str">
        <f>IF(tblMovimientos[[#This Row],[Producto]]="","",TRIM(LEFT(tblMovimientos[[#This Row],[Producto]],FIND(" · ",tblMovimientos[[#This Row],[Producto]]&amp;" · ")-1)))</f>
        <v/>
      </c>
      <c r="H1308" s="40" t="str">
        <f>IF(tblMovimientos[[#This Row],[SKU]]="","",IFERROR(INDEX(tblProductos[Unidad],MATCH(tblMovimientos[[#This Row],[SKU]],tblProductos[SKU],0)),"?"))</f>
        <v/>
      </c>
      <c r="I1308" s="39"/>
      <c r="J1308" s="47" t="str">
        <f>IF(tblMovimientos[[#This Row],[Tipo]]="","",IFERROR(INDEX(tblTiposMov[FactorStock],MATCH(tblMovimientos[[#This Row],[Tipo]],tblTiposMov[Tipo],0)),0))</f>
        <v/>
      </c>
      <c r="K13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8" s="37"/>
      <c r="O1308" s="37"/>
      <c r="P1308" s="37"/>
    </row>
    <row r="1309" spans="2:16" x14ac:dyDescent="0.25">
      <c r="B13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09" s="46"/>
      <c r="D1309" s="37"/>
      <c r="E1309" s="37"/>
      <c r="F1309" s="37"/>
      <c r="G1309" s="40" t="str">
        <f>IF(tblMovimientos[[#This Row],[Producto]]="","",TRIM(LEFT(tblMovimientos[[#This Row],[Producto]],FIND(" · ",tblMovimientos[[#This Row],[Producto]]&amp;" · ")-1)))</f>
        <v/>
      </c>
      <c r="H1309" s="40" t="str">
        <f>IF(tblMovimientos[[#This Row],[SKU]]="","",IFERROR(INDEX(tblProductos[Unidad],MATCH(tblMovimientos[[#This Row],[SKU]],tblProductos[SKU],0)),"?"))</f>
        <v/>
      </c>
      <c r="I1309" s="39"/>
      <c r="J1309" s="47" t="str">
        <f>IF(tblMovimientos[[#This Row],[Tipo]]="","",IFERROR(INDEX(tblTiposMov[FactorStock],MATCH(tblMovimientos[[#This Row],[Tipo]],tblTiposMov[Tipo],0)),0))</f>
        <v/>
      </c>
      <c r="K13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09" s="37"/>
      <c r="O1309" s="37"/>
      <c r="P1309" s="37"/>
    </row>
    <row r="1310" spans="2:16" x14ac:dyDescent="0.25">
      <c r="B13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0" s="46"/>
      <c r="D1310" s="37"/>
      <c r="E1310" s="37"/>
      <c r="F1310" s="37"/>
      <c r="G1310" s="40" t="str">
        <f>IF(tblMovimientos[[#This Row],[Producto]]="","",TRIM(LEFT(tblMovimientos[[#This Row],[Producto]],FIND(" · ",tblMovimientos[[#This Row],[Producto]]&amp;" · ")-1)))</f>
        <v/>
      </c>
      <c r="H1310" s="40" t="str">
        <f>IF(tblMovimientos[[#This Row],[SKU]]="","",IFERROR(INDEX(tblProductos[Unidad],MATCH(tblMovimientos[[#This Row],[SKU]],tblProductos[SKU],0)),"?"))</f>
        <v/>
      </c>
      <c r="I1310" s="39"/>
      <c r="J1310" s="47" t="str">
        <f>IF(tblMovimientos[[#This Row],[Tipo]]="","",IFERROR(INDEX(tblTiposMov[FactorStock],MATCH(tblMovimientos[[#This Row],[Tipo]],tblTiposMov[Tipo],0)),0))</f>
        <v/>
      </c>
      <c r="K13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0" s="37"/>
      <c r="O1310" s="37"/>
      <c r="P1310" s="37"/>
    </row>
    <row r="1311" spans="2:16" x14ac:dyDescent="0.25">
      <c r="B13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1" s="46"/>
      <c r="D1311" s="37"/>
      <c r="E1311" s="37"/>
      <c r="F1311" s="37"/>
      <c r="G1311" s="40" t="str">
        <f>IF(tblMovimientos[[#This Row],[Producto]]="","",TRIM(LEFT(tblMovimientos[[#This Row],[Producto]],FIND(" · ",tblMovimientos[[#This Row],[Producto]]&amp;" · ")-1)))</f>
        <v/>
      </c>
      <c r="H1311" s="40" t="str">
        <f>IF(tblMovimientos[[#This Row],[SKU]]="","",IFERROR(INDEX(tblProductos[Unidad],MATCH(tblMovimientos[[#This Row],[SKU]],tblProductos[SKU],0)),"?"))</f>
        <v/>
      </c>
      <c r="I1311" s="39"/>
      <c r="J1311" s="47" t="str">
        <f>IF(tblMovimientos[[#This Row],[Tipo]]="","",IFERROR(INDEX(tblTiposMov[FactorStock],MATCH(tblMovimientos[[#This Row],[Tipo]],tblTiposMov[Tipo],0)),0))</f>
        <v/>
      </c>
      <c r="K13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1" s="37"/>
      <c r="O1311" s="37"/>
      <c r="P1311" s="37"/>
    </row>
    <row r="1312" spans="2:16" x14ac:dyDescent="0.25">
      <c r="B13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2" s="46"/>
      <c r="D1312" s="37"/>
      <c r="E1312" s="37"/>
      <c r="F1312" s="37"/>
      <c r="G1312" s="40" t="str">
        <f>IF(tblMovimientos[[#This Row],[Producto]]="","",TRIM(LEFT(tblMovimientos[[#This Row],[Producto]],FIND(" · ",tblMovimientos[[#This Row],[Producto]]&amp;" · ")-1)))</f>
        <v/>
      </c>
      <c r="H1312" s="40" t="str">
        <f>IF(tblMovimientos[[#This Row],[SKU]]="","",IFERROR(INDEX(tblProductos[Unidad],MATCH(tblMovimientos[[#This Row],[SKU]],tblProductos[SKU],0)),"?"))</f>
        <v/>
      </c>
      <c r="I1312" s="39"/>
      <c r="J1312" s="47" t="str">
        <f>IF(tblMovimientos[[#This Row],[Tipo]]="","",IFERROR(INDEX(tblTiposMov[FactorStock],MATCH(tblMovimientos[[#This Row],[Tipo]],tblTiposMov[Tipo],0)),0))</f>
        <v/>
      </c>
      <c r="K13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2" s="37"/>
      <c r="O1312" s="37"/>
      <c r="P1312" s="37"/>
    </row>
    <row r="1313" spans="2:16" x14ac:dyDescent="0.25">
      <c r="B13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3" s="46"/>
      <c r="D1313" s="37"/>
      <c r="E1313" s="37"/>
      <c r="F1313" s="37"/>
      <c r="G1313" s="40" t="str">
        <f>IF(tblMovimientos[[#This Row],[Producto]]="","",TRIM(LEFT(tblMovimientos[[#This Row],[Producto]],FIND(" · ",tblMovimientos[[#This Row],[Producto]]&amp;" · ")-1)))</f>
        <v/>
      </c>
      <c r="H1313" s="40" t="str">
        <f>IF(tblMovimientos[[#This Row],[SKU]]="","",IFERROR(INDEX(tblProductos[Unidad],MATCH(tblMovimientos[[#This Row],[SKU]],tblProductos[SKU],0)),"?"))</f>
        <v/>
      </c>
      <c r="I1313" s="39"/>
      <c r="J1313" s="47" t="str">
        <f>IF(tblMovimientos[[#This Row],[Tipo]]="","",IFERROR(INDEX(tblTiposMov[FactorStock],MATCH(tblMovimientos[[#This Row],[Tipo]],tblTiposMov[Tipo],0)),0))</f>
        <v/>
      </c>
      <c r="K13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3" s="37"/>
      <c r="O1313" s="37"/>
      <c r="P1313" s="37"/>
    </row>
    <row r="1314" spans="2:16" x14ac:dyDescent="0.25">
      <c r="B13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4" s="46"/>
      <c r="D1314" s="37"/>
      <c r="E1314" s="37"/>
      <c r="F1314" s="37"/>
      <c r="G1314" s="40" t="str">
        <f>IF(tblMovimientos[[#This Row],[Producto]]="","",TRIM(LEFT(tblMovimientos[[#This Row],[Producto]],FIND(" · ",tblMovimientos[[#This Row],[Producto]]&amp;" · ")-1)))</f>
        <v/>
      </c>
      <c r="H1314" s="40" t="str">
        <f>IF(tblMovimientos[[#This Row],[SKU]]="","",IFERROR(INDEX(tblProductos[Unidad],MATCH(tblMovimientos[[#This Row],[SKU]],tblProductos[SKU],0)),"?"))</f>
        <v/>
      </c>
      <c r="I1314" s="39"/>
      <c r="J1314" s="47" t="str">
        <f>IF(tblMovimientos[[#This Row],[Tipo]]="","",IFERROR(INDEX(tblTiposMov[FactorStock],MATCH(tblMovimientos[[#This Row],[Tipo]],tblTiposMov[Tipo],0)),0))</f>
        <v/>
      </c>
      <c r="K13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4" s="37"/>
      <c r="O1314" s="37"/>
      <c r="P1314" s="37"/>
    </row>
    <row r="1315" spans="2:16" x14ac:dyDescent="0.25">
      <c r="B13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5" s="46"/>
      <c r="D1315" s="37"/>
      <c r="E1315" s="37"/>
      <c r="F1315" s="37"/>
      <c r="G1315" s="40" t="str">
        <f>IF(tblMovimientos[[#This Row],[Producto]]="","",TRIM(LEFT(tblMovimientos[[#This Row],[Producto]],FIND(" · ",tblMovimientos[[#This Row],[Producto]]&amp;" · ")-1)))</f>
        <v/>
      </c>
      <c r="H1315" s="40" t="str">
        <f>IF(tblMovimientos[[#This Row],[SKU]]="","",IFERROR(INDEX(tblProductos[Unidad],MATCH(tblMovimientos[[#This Row],[SKU]],tblProductos[SKU],0)),"?"))</f>
        <v/>
      </c>
      <c r="I1315" s="39"/>
      <c r="J1315" s="47" t="str">
        <f>IF(tblMovimientos[[#This Row],[Tipo]]="","",IFERROR(INDEX(tblTiposMov[FactorStock],MATCH(tblMovimientos[[#This Row],[Tipo]],tblTiposMov[Tipo],0)),0))</f>
        <v/>
      </c>
      <c r="K13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5" s="37"/>
      <c r="O1315" s="37"/>
      <c r="P1315" s="37"/>
    </row>
    <row r="1316" spans="2:16" x14ac:dyDescent="0.25">
      <c r="B13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6" s="46"/>
      <c r="D1316" s="37"/>
      <c r="E1316" s="37"/>
      <c r="F1316" s="37"/>
      <c r="G1316" s="40" t="str">
        <f>IF(tblMovimientos[[#This Row],[Producto]]="","",TRIM(LEFT(tblMovimientos[[#This Row],[Producto]],FIND(" · ",tblMovimientos[[#This Row],[Producto]]&amp;" · ")-1)))</f>
        <v/>
      </c>
      <c r="H1316" s="40" t="str">
        <f>IF(tblMovimientos[[#This Row],[SKU]]="","",IFERROR(INDEX(tblProductos[Unidad],MATCH(tblMovimientos[[#This Row],[SKU]],tblProductos[SKU],0)),"?"))</f>
        <v/>
      </c>
      <c r="I1316" s="39"/>
      <c r="J1316" s="47" t="str">
        <f>IF(tblMovimientos[[#This Row],[Tipo]]="","",IFERROR(INDEX(tblTiposMov[FactorStock],MATCH(tblMovimientos[[#This Row],[Tipo]],tblTiposMov[Tipo],0)),0))</f>
        <v/>
      </c>
      <c r="K13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6" s="37"/>
      <c r="O1316" s="37"/>
      <c r="P1316" s="37"/>
    </row>
    <row r="1317" spans="2:16" x14ac:dyDescent="0.25">
      <c r="B13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7" s="46"/>
      <c r="D1317" s="37"/>
      <c r="E1317" s="37"/>
      <c r="F1317" s="37"/>
      <c r="G1317" s="40" t="str">
        <f>IF(tblMovimientos[[#This Row],[Producto]]="","",TRIM(LEFT(tblMovimientos[[#This Row],[Producto]],FIND(" · ",tblMovimientos[[#This Row],[Producto]]&amp;" · ")-1)))</f>
        <v/>
      </c>
      <c r="H1317" s="40" t="str">
        <f>IF(tblMovimientos[[#This Row],[SKU]]="","",IFERROR(INDEX(tblProductos[Unidad],MATCH(tblMovimientos[[#This Row],[SKU]],tblProductos[SKU],0)),"?"))</f>
        <v/>
      </c>
      <c r="I1317" s="39"/>
      <c r="J1317" s="47" t="str">
        <f>IF(tblMovimientos[[#This Row],[Tipo]]="","",IFERROR(INDEX(tblTiposMov[FactorStock],MATCH(tblMovimientos[[#This Row],[Tipo]],tblTiposMov[Tipo],0)),0))</f>
        <v/>
      </c>
      <c r="K13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7" s="37"/>
      <c r="O1317" s="37"/>
      <c r="P1317" s="37"/>
    </row>
    <row r="1318" spans="2:16" x14ac:dyDescent="0.25">
      <c r="B13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8" s="46"/>
      <c r="D1318" s="37"/>
      <c r="E1318" s="37"/>
      <c r="F1318" s="37"/>
      <c r="G1318" s="40" t="str">
        <f>IF(tblMovimientos[[#This Row],[Producto]]="","",TRIM(LEFT(tblMovimientos[[#This Row],[Producto]],FIND(" · ",tblMovimientos[[#This Row],[Producto]]&amp;" · ")-1)))</f>
        <v/>
      </c>
      <c r="H1318" s="40" t="str">
        <f>IF(tblMovimientos[[#This Row],[SKU]]="","",IFERROR(INDEX(tblProductos[Unidad],MATCH(tblMovimientos[[#This Row],[SKU]],tblProductos[SKU],0)),"?"))</f>
        <v/>
      </c>
      <c r="I1318" s="39"/>
      <c r="J1318" s="47" t="str">
        <f>IF(tblMovimientos[[#This Row],[Tipo]]="","",IFERROR(INDEX(tblTiposMov[FactorStock],MATCH(tblMovimientos[[#This Row],[Tipo]],tblTiposMov[Tipo],0)),0))</f>
        <v/>
      </c>
      <c r="K13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8" s="37"/>
      <c r="O1318" s="37"/>
      <c r="P1318" s="37"/>
    </row>
    <row r="1319" spans="2:16" x14ac:dyDescent="0.25">
      <c r="B13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19" s="46"/>
      <c r="D1319" s="37"/>
      <c r="E1319" s="37"/>
      <c r="F1319" s="37"/>
      <c r="G1319" s="40" t="str">
        <f>IF(tblMovimientos[[#This Row],[Producto]]="","",TRIM(LEFT(tblMovimientos[[#This Row],[Producto]],FIND(" · ",tblMovimientos[[#This Row],[Producto]]&amp;" · ")-1)))</f>
        <v/>
      </c>
      <c r="H1319" s="40" t="str">
        <f>IF(tblMovimientos[[#This Row],[SKU]]="","",IFERROR(INDEX(tblProductos[Unidad],MATCH(tblMovimientos[[#This Row],[SKU]],tblProductos[SKU],0)),"?"))</f>
        <v/>
      </c>
      <c r="I1319" s="39"/>
      <c r="J1319" s="47" t="str">
        <f>IF(tblMovimientos[[#This Row],[Tipo]]="","",IFERROR(INDEX(tblTiposMov[FactorStock],MATCH(tblMovimientos[[#This Row],[Tipo]],tblTiposMov[Tipo],0)),0))</f>
        <v/>
      </c>
      <c r="K13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19" s="37"/>
      <c r="O1319" s="37"/>
      <c r="P1319" s="37"/>
    </row>
    <row r="1320" spans="2:16" x14ac:dyDescent="0.25">
      <c r="B13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0" s="46"/>
      <c r="D1320" s="37"/>
      <c r="E1320" s="37"/>
      <c r="F1320" s="37"/>
      <c r="G1320" s="40" t="str">
        <f>IF(tblMovimientos[[#This Row],[Producto]]="","",TRIM(LEFT(tblMovimientos[[#This Row],[Producto]],FIND(" · ",tblMovimientos[[#This Row],[Producto]]&amp;" · ")-1)))</f>
        <v/>
      </c>
      <c r="H1320" s="40" t="str">
        <f>IF(tblMovimientos[[#This Row],[SKU]]="","",IFERROR(INDEX(tblProductos[Unidad],MATCH(tblMovimientos[[#This Row],[SKU]],tblProductos[SKU],0)),"?"))</f>
        <v/>
      </c>
      <c r="I1320" s="39"/>
      <c r="J1320" s="47" t="str">
        <f>IF(tblMovimientos[[#This Row],[Tipo]]="","",IFERROR(INDEX(tblTiposMov[FactorStock],MATCH(tblMovimientos[[#This Row],[Tipo]],tblTiposMov[Tipo],0)),0))</f>
        <v/>
      </c>
      <c r="K13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0" s="37"/>
      <c r="O1320" s="37"/>
      <c r="P1320" s="37"/>
    </row>
    <row r="1321" spans="2:16" x14ac:dyDescent="0.25">
      <c r="B13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1" s="46"/>
      <c r="D1321" s="37"/>
      <c r="E1321" s="37"/>
      <c r="F1321" s="37"/>
      <c r="G1321" s="40" t="str">
        <f>IF(tblMovimientos[[#This Row],[Producto]]="","",TRIM(LEFT(tblMovimientos[[#This Row],[Producto]],FIND(" · ",tblMovimientos[[#This Row],[Producto]]&amp;" · ")-1)))</f>
        <v/>
      </c>
      <c r="H1321" s="40" t="str">
        <f>IF(tblMovimientos[[#This Row],[SKU]]="","",IFERROR(INDEX(tblProductos[Unidad],MATCH(tblMovimientos[[#This Row],[SKU]],tblProductos[SKU],0)),"?"))</f>
        <v/>
      </c>
      <c r="I1321" s="39"/>
      <c r="J1321" s="47" t="str">
        <f>IF(tblMovimientos[[#This Row],[Tipo]]="","",IFERROR(INDEX(tblTiposMov[FactorStock],MATCH(tblMovimientos[[#This Row],[Tipo]],tblTiposMov[Tipo],0)),0))</f>
        <v/>
      </c>
      <c r="K13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1" s="37"/>
      <c r="O1321" s="37"/>
      <c r="P1321" s="37"/>
    </row>
    <row r="1322" spans="2:16" x14ac:dyDescent="0.25">
      <c r="B13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2" s="46"/>
      <c r="D1322" s="37"/>
      <c r="E1322" s="37"/>
      <c r="F1322" s="37"/>
      <c r="G1322" s="40" t="str">
        <f>IF(tblMovimientos[[#This Row],[Producto]]="","",TRIM(LEFT(tblMovimientos[[#This Row],[Producto]],FIND(" · ",tblMovimientos[[#This Row],[Producto]]&amp;" · ")-1)))</f>
        <v/>
      </c>
      <c r="H1322" s="40" t="str">
        <f>IF(tblMovimientos[[#This Row],[SKU]]="","",IFERROR(INDEX(tblProductos[Unidad],MATCH(tblMovimientos[[#This Row],[SKU]],tblProductos[SKU],0)),"?"))</f>
        <v/>
      </c>
      <c r="I1322" s="39"/>
      <c r="J1322" s="47" t="str">
        <f>IF(tblMovimientos[[#This Row],[Tipo]]="","",IFERROR(INDEX(tblTiposMov[FactorStock],MATCH(tblMovimientos[[#This Row],[Tipo]],tblTiposMov[Tipo],0)),0))</f>
        <v/>
      </c>
      <c r="K13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2" s="37"/>
      <c r="O1322" s="37"/>
      <c r="P1322" s="37"/>
    </row>
    <row r="1323" spans="2:16" x14ac:dyDescent="0.25">
      <c r="B13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3" s="46"/>
      <c r="D1323" s="37"/>
      <c r="E1323" s="37"/>
      <c r="F1323" s="37"/>
      <c r="G1323" s="40" t="str">
        <f>IF(tblMovimientos[[#This Row],[Producto]]="","",TRIM(LEFT(tblMovimientos[[#This Row],[Producto]],FIND(" · ",tblMovimientos[[#This Row],[Producto]]&amp;" · ")-1)))</f>
        <v/>
      </c>
      <c r="H1323" s="40" t="str">
        <f>IF(tblMovimientos[[#This Row],[SKU]]="","",IFERROR(INDEX(tblProductos[Unidad],MATCH(tblMovimientos[[#This Row],[SKU]],tblProductos[SKU],0)),"?"))</f>
        <v/>
      </c>
      <c r="I1323" s="39"/>
      <c r="J1323" s="47" t="str">
        <f>IF(tblMovimientos[[#This Row],[Tipo]]="","",IFERROR(INDEX(tblTiposMov[FactorStock],MATCH(tblMovimientos[[#This Row],[Tipo]],tblTiposMov[Tipo],0)),0))</f>
        <v/>
      </c>
      <c r="K13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3" s="37"/>
      <c r="O1323" s="37"/>
      <c r="P1323" s="37"/>
    </row>
    <row r="1324" spans="2:16" x14ac:dyDescent="0.25">
      <c r="B13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4" s="46"/>
      <c r="D1324" s="37"/>
      <c r="E1324" s="37"/>
      <c r="F1324" s="37"/>
      <c r="G1324" s="40" t="str">
        <f>IF(tblMovimientos[[#This Row],[Producto]]="","",TRIM(LEFT(tblMovimientos[[#This Row],[Producto]],FIND(" · ",tblMovimientos[[#This Row],[Producto]]&amp;" · ")-1)))</f>
        <v/>
      </c>
      <c r="H1324" s="40" t="str">
        <f>IF(tblMovimientos[[#This Row],[SKU]]="","",IFERROR(INDEX(tblProductos[Unidad],MATCH(tblMovimientos[[#This Row],[SKU]],tblProductos[SKU],0)),"?"))</f>
        <v/>
      </c>
      <c r="I1324" s="39"/>
      <c r="J1324" s="47" t="str">
        <f>IF(tblMovimientos[[#This Row],[Tipo]]="","",IFERROR(INDEX(tblTiposMov[FactorStock],MATCH(tblMovimientos[[#This Row],[Tipo]],tblTiposMov[Tipo],0)),0))</f>
        <v/>
      </c>
      <c r="K13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4" s="37"/>
      <c r="O1324" s="37"/>
      <c r="P1324" s="37"/>
    </row>
    <row r="1325" spans="2:16" x14ac:dyDescent="0.25">
      <c r="B13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5" s="46"/>
      <c r="D1325" s="37"/>
      <c r="E1325" s="37"/>
      <c r="F1325" s="37"/>
      <c r="G1325" s="40" t="str">
        <f>IF(tblMovimientos[[#This Row],[Producto]]="","",TRIM(LEFT(tblMovimientos[[#This Row],[Producto]],FIND(" · ",tblMovimientos[[#This Row],[Producto]]&amp;" · ")-1)))</f>
        <v/>
      </c>
      <c r="H1325" s="40" t="str">
        <f>IF(tblMovimientos[[#This Row],[SKU]]="","",IFERROR(INDEX(tblProductos[Unidad],MATCH(tblMovimientos[[#This Row],[SKU]],tblProductos[SKU],0)),"?"))</f>
        <v/>
      </c>
      <c r="I1325" s="39"/>
      <c r="J1325" s="47" t="str">
        <f>IF(tblMovimientos[[#This Row],[Tipo]]="","",IFERROR(INDEX(tblTiposMov[FactorStock],MATCH(tblMovimientos[[#This Row],[Tipo]],tblTiposMov[Tipo],0)),0))</f>
        <v/>
      </c>
      <c r="K13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5" s="37"/>
      <c r="O1325" s="37"/>
      <c r="P1325" s="37"/>
    </row>
    <row r="1326" spans="2:16" x14ac:dyDescent="0.25">
      <c r="B13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6" s="46"/>
      <c r="D1326" s="37"/>
      <c r="E1326" s="37"/>
      <c r="F1326" s="37"/>
      <c r="G1326" s="40" t="str">
        <f>IF(tblMovimientos[[#This Row],[Producto]]="","",TRIM(LEFT(tblMovimientos[[#This Row],[Producto]],FIND(" · ",tblMovimientos[[#This Row],[Producto]]&amp;" · ")-1)))</f>
        <v/>
      </c>
      <c r="H1326" s="40" t="str">
        <f>IF(tblMovimientos[[#This Row],[SKU]]="","",IFERROR(INDEX(tblProductos[Unidad],MATCH(tblMovimientos[[#This Row],[SKU]],tblProductos[SKU],0)),"?"))</f>
        <v/>
      </c>
      <c r="I1326" s="39"/>
      <c r="J1326" s="47" t="str">
        <f>IF(tblMovimientos[[#This Row],[Tipo]]="","",IFERROR(INDEX(tblTiposMov[FactorStock],MATCH(tblMovimientos[[#This Row],[Tipo]],tblTiposMov[Tipo],0)),0))</f>
        <v/>
      </c>
      <c r="K13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6" s="37"/>
      <c r="O1326" s="37"/>
      <c r="P1326" s="37"/>
    </row>
    <row r="1327" spans="2:16" x14ac:dyDescent="0.25">
      <c r="B13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7" s="46"/>
      <c r="D1327" s="37"/>
      <c r="E1327" s="37"/>
      <c r="F1327" s="37"/>
      <c r="G1327" s="40" t="str">
        <f>IF(tblMovimientos[[#This Row],[Producto]]="","",TRIM(LEFT(tblMovimientos[[#This Row],[Producto]],FIND(" · ",tblMovimientos[[#This Row],[Producto]]&amp;" · ")-1)))</f>
        <v/>
      </c>
      <c r="H1327" s="40" t="str">
        <f>IF(tblMovimientos[[#This Row],[SKU]]="","",IFERROR(INDEX(tblProductos[Unidad],MATCH(tblMovimientos[[#This Row],[SKU]],tblProductos[SKU],0)),"?"))</f>
        <v/>
      </c>
      <c r="I1327" s="39"/>
      <c r="J1327" s="47" t="str">
        <f>IF(tblMovimientos[[#This Row],[Tipo]]="","",IFERROR(INDEX(tblTiposMov[FactorStock],MATCH(tblMovimientos[[#This Row],[Tipo]],tblTiposMov[Tipo],0)),0))</f>
        <v/>
      </c>
      <c r="K13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7" s="37"/>
      <c r="O1327" s="37"/>
      <c r="P1327" s="37"/>
    </row>
    <row r="1328" spans="2:16" x14ac:dyDescent="0.25">
      <c r="B13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8" s="46"/>
      <c r="D1328" s="37"/>
      <c r="E1328" s="37"/>
      <c r="F1328" s="37"/>
      <c r="G1328" s="40" t="str">
        <f>IF(tblMovimientos[[#This Row],[Producto]]="","",TRIM(LEFT(tblMovimientos[[#This Row],[Producto]],FIND(" · ",tblMovimientos[[#This Row],[Producto]]&amp;" · ")-1)))</f>
        <v/>
      </c>
      <c r="H1328" s="40" t="str">
        <f>IF(tblMovimientos[[#This Row],[SKU]]="","",IFERROR(INDEX(tblProductos[Unidad],MATCH(tblMovimientos[[#This Row],[SKU]],tblProductos[SKU],0)),"?"))</f>
        <v/>
      </c>
      <c r="I1328" s="39"/>
      <c r="J1328" s="47" t="str">
        <f>IF(tblMovimientos[[#This Row],[Tipo]]="","",IFERROR(INDEX(tblTiposMov[FactorStock],MATCH(tblMovimientos[[#This Row],[Tipo]],tblTiposMov[Tipo],0)),0))</f>
        <v/>
      </c>
      <c r="K13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8" s="37"/>
      <c r="O1328" s="37"/>
      <c r="P1328" s="37"/>
    </row>
    <row r="1329" spans="2:16" x14ac:dyDescent="0.25">
      <c r="B13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29" s="46"/>
      <c r="D1329" s="37"/>
      <c r="E1329" s="37"/>
      <c r="F1329" s="37"/>
      <c r="G1329" s="40" t="str">
        <f>IF(tblMovimientos[[#This Row],[Producto]]="","",TRIM(LEFT(tblMovimientos[[#This Row],[Producto]],FIND(" · ",tblMovimientos[[#This Row],[Producto]]&amp;" · ")-1)))</f>
        <v/>
      </c>
      <c r="H1329" s="40" t="str">
        <f>IF(tblMovimientos[[#This Row],[SKU]]="","",IFERROR(INDEX(tblProductos[Unidad],MATCH(tblMovimientos[[#This Row],[SKU]],tblProductos[SKU],0)),"?"))</f>
        <v/>
      </c>
      <c r="I1329" s="39"/>
      <c r="J1329" s="47" t="str">
        <f>IF(tblMovimientos[[#This Row],[Tipo]]="","",IFERROR(INDEX(tblTiposMov[FactorStock],MATCH(tblMovimientos[[#This Row],[Tipo]],tblTiposMov[Tipo],0)),0))</f>
        <v/>
      </c>
      <c r="K13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29" s="37"/>
      <c r="O1329" s="37"/>
      <c r="P1329" s="37"/>
    </row>
    <row r="1330" spans="2:16" x14ac:dyDescent="0.25">
      <c r="B13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0" s="46"/>
      <c r="D1330" s="37"/>
      <c r="E1330" s="37"/>
      <c r="F1330" s="37"/>
      <c r="G1330" s="40" t="str">
        <f>IF(tblMovimientos[[#This Row],[Producto]]="","",TRIM(LEFT(tblMovimientos[[#This Row],[Producto]],FIND(" · ",tblMovimientos[[#This Row],[Producto]]&amp;" · ")-1)))</f>
        <v/>
      </c>
      <c r="H1330" s="40" t="str">
        <f>IF(tblMovimientos[[#This Row],[SKU]]="","",IFERROR(INDEX(tblProductos[Unidad],MATCH(tblMovimientos[[#This Row],[SKU]],tblProductos[SKU],0)),"?"))</f>
        <v/>
      </c>
      <c r="I1330" s="39"/>
      <c r="J1330" s="47" t="str">
        <f>IF(tblMovimientos[[#This Row],[Tipo]]="","",IFERROR(INDEX(tblTiposMov[FactorStock],MATCH(tblMovimientos[[#This Row],[Tipo]],tblTiposMov[Tipo],0)),0))</f>
        <v/>
      </c>
      <c r="K13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0" s="37"/>
      <c r="O1330" s="37"/>
      <c r="P1330" s="37"/>
    </row>
    <row r="1331" spans="2:16" x14ac:dyDescent="0.25">
      <c r="B13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1" s="46"/>
      <c r="D1331" s="37"/>
      <c r="E1331" s="37"/>
      <c r="F1331" s="37"/>
      <c r="G1331" s="40" t="str">
        <f>IF(tblMovimientos[[#This Row],[Producto]]="","",TRIM(LEFT(tblMovimientos[[#This Row],[Producto]],FIND(" · ",tblMovimientos[[#This Row],[Producto]]&amp;" · ")-1)))</f>
        <v/>
      </c>
      <c r="H1331" s="40" t="str">
        <f>IF(tblMovimientos[[#This Row],[SKU]]="","",IFERROR(INDEX(tblProductos[Unidad],MATCH(tblMovimientos[[#This Row],[SKU]],tblProductos[SKU],0)),"?"))</f>
        <v/>
      </c>
      <c r="I1331" s="39"/>
      <c r="J1331" s="47" t="str">
        <f>IF(tblMovimientos[[#This Row],[Tipo]]="","",IFERROR(INDEX(tblTiposMov[FactorStock],MATCH(tblMovimientos[[#This Row],[Tipo]],tblTiposMov[Tipo],0)),0))</f>
        <v/>
      </c>
      <c r="K13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1" s="37"/>
      <c r="O1331" s="37"/>
      <c r="P1331" s="37"/>
    </row>
    <row r="1332" spans="2:16" x14ac:dyDescent="0.25">
      <c r="B13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2" s="46"/>
      <c r="D1332" s="37"/>
      <c r="E1332" s="37"/>
      <c r="F1332" s="37"/>
      <c r="G1332" s="40" t="str">
        <f>IF(tblMovimientos[[#This Row],[Producto]]="","",TRIM(LEFT(tblMovimientos[[#This Row],[Producto]],FIND(" · ",tblMovimientos[[#This Row],[Producto]]&amp;" · ")-1)))</f>
        <v/>
      </c>
      <c r="H1332" s="40" t="str">
        <f>IF(tblMovimientos[[#This Row],[SKU]]="","",IFERROR(INDEX(tblProductos[Unidad],MATCH(tblMovimientos[[#This Row],[SKU]],tblProductos[SKU],0)),"?"))</f>
        <v/>
      </c>
      <c r="I1332" s="39"/>
      <c r="J1332" s="47" t="str">
        <f>IF(tblMovimientos[[#This Row],[Tipo]]="","",IFERROR(INDEX(tblTiposMov[FactorStock],MATCH(tblMovimientos[[#This Row],[Tipo]],tblTiposMov[Tipo],0)),0))</f>
        <v/>
      </c>
      <c r="K13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2" s="37"/>
      <c r="O1332" s="37"/>
      <c r="P1332" s="37"/>
    </row>
    <row r="1333" spans="2:16" x14ac:dyDescent="0.25">
      <c r="B13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3" s="46"/>
      <c r="D1333" s="37"/>
      <c r="E1333" s="37"/>
      <c r="F1333" s="37"/>
      <c r="G1333" s="40" t="str">
        <f>IF(tblMovimientos[[#This Row],[Producto]]="","",TRIM(LEFT(tblMovimientos[[#This Row],[Producto]],FIND(" · ",tblMovimientos[[#This Row],[Producto]]&amp;" · ")-1)))</f>
        <v/>
      </c>
      <c r="H1333" s="40" t="str">
        <f>IF(tblMovimientos[[#This Row],[SKU]]="","",IFERROR(INDEX(tblProductos[Unidad],MATCH(tblMovimientos[[#This Row],[SKU]],tblProductos[SKU],0)),"?"))</f>
        <v/>
      </c>
      <c r="I1333" s="39"/>
      <c r="J1333" s="47" t="str">
        <f>IF(tblMovimientos[[#This Row],[Tipo]]="","",IFERROR(INDEX(tblTiposMov[FactorStock],MATCH(tblMovimientos[[#This Row],[Tipo]],tblTiposMov[Tipo],0)),0))</f>
        <v/>
      </c>
      <c r="K13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3" s="37"/>
      <c r="O1333" s="37"/>
      <c r="P1333" s="37"/>
    </row>
    <row r="1334" spans="2:16" x14ac:dyDescent="0.25">
      <c r="B13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4" s="46"/>
      <c r="D1334" s="37"/>
      <c r="E1334" s="37"/>
      <c r="F1334" s="37"/>
      <c r="G1334" s="40" t="str">
        <f>IF(tblMovimientos[[#This Row],[Producto]]="","",TRIM(LEFT(tblMovimientos[[#This Row],[Producto]],FIND(" · ",tblMovimientos[[#This Row],[Producto]]&amp;" · ")-1)))</f>
        <v/>
      </c>
      <c r="H1334" s="40" t="str">
        <f>IF(tblMovimientos[[#This Row],[SKU]]="","",IFERROR(INDEX(tblProductos[Unidad],MATCH(tblMovimientos[[#This Row],[SKU]],tblProductos[SKU],0)),"?"))</f>
        <v/>
      </c>
      <c r="I1334" s="39"/>
      <c r="J1334" s="47" t="str">
        <f>IF(tblMovimientos[[#This Row],[Tipo]]="","",IFERROR(INDEX(tblTiposMov[FactorStock],MATCH(tblMovimientos[[#This Row],[Tipo]],tblTiposMov[Tipo],0)),0))</f>
        <v/>
      </c>
      <c r="K13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4" s="37"/>
      <c r="O1334" s="37"/>
      <c r="P1334" s="37"/>
    </row>
    <row r="1335" spans="2:16" x14ac:dyDescent="0.25">
      <c r="B13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5" s="46"/>
      <c r="D1335" s="37"/>
      <c r="E1335" s="37"/>
      <c r="F1335" s="37"/>
      <c r="G1335" s="40" t="str">
        <f>IF(tblMovimientos[[#This Row],[Producto]]="","",TRIM(LEFT(tblMovimientos[[#This Row],[Producto]],FIND(" · ",tblMovimientos[[#This Row],[Producto]]&amp;" · ")-1)))</f>
        <v/>
      </c>
      <c r="H1335" s="40" t="str">
        <f>IF(tblMovimientos[[#This Row],[SKU]]="","",IFERROR(INDEX(tblProductos[Unidad],MATCH(tblMovimientos[[#This Row],[SKU]],tblProductos[SKU],0)),"?"))</f>
        <v/>
      </c>
      <c r="I1335" s="39"/>
      <c r="J1335" s="47" t="str">
        <f>IF(tblMovimientos[[#This Row],[Tipo]]="","",IFERROR(INDEX(tblTiposMov[FactorStock],MATCH(tblMovimientos[[#This Row],[Tipo]],tblTiposMov[Tipo],0)),0))</f>
        <v/>
      </c>
      <c r="K13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5" s="37"/>
      <c r="O1335" s="37"/>
      <c r="P1335" s="37"/>
    </row>
    <row r="1336" spans="2:16" x14ac:dyDescent="0.25">
      <c r="B13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6" s="46"/>
      <c r="D1336" s="37"/>
      <c r="E1336" s="37"/>
      <c r="F1336" s="37"/>
      <c r="G1336" s="40" t="str">
        <f>IF(tblMovimientos[[#This Row],[Producto]]="","",TRIM(LEFT(tblMovimientos[[#This Row],[Producto]],FIND(" · ",tblMovimientos[[#This Row],[Producto]]&amp;" · ")-1)))</f>
        <v/>
      </c>
      <c r="H1336" s="40" t="str">
        <f>IF(tblMovimientos[[#This Row],[SKU]]="","",IFERROR(INDEX(tblProductos[Unidad],MATCH(tblMovimientos[[#This Row],[SKU]],tblProductos[SKU],0)),"?"))</f>
        <v/>
      </c>
      <c r="I1336" s="39"/>
      <c r="J1336" s="47" t="str">
        <f>IF(tblMovimientos[[#This Row],[Tipo]]="","",IFERROR(INDEX(tblTiposMov[FactorStock],MATCH(tblMovimientos[[#This Row],[Tipo]],tblTiposMov[Tipo],0)),0))</f>
        <v/>
      </c>
      <c r="K13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6" s="37"/>
      <c r="O1336" s="37"/>
      <c r="P1336" s="37"/>
    </row>
    <row r="1337" spans="2:16" x14ac:dyDescent="0.25">
      <c r="B13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7" s="46"/>
      <c r="D1337" s="37"/>
      <c r="E1337" s="37"/>
      <c r="F1337" s="37"/>
      <c r="G1337" s="40" t="str">
        <f>IF(tblMovimientos[[#This Row],[Producto]]="","",TRIM(LEFT(tblMovimientos[[#This Row],[Producto]],FIND(" · ",tblMovimientos[[#This Row],[Producto]]&amp;" · ")-1)))</f>
        <v/>
      </c>
      <c r="H1337" s="40" t="str">
        <f>IF(tblMovimientos[[#This Row],[SKU]]="","",IFERROR(INDEX(tblProductos[Unidad],MATCH(tblMovimientos[[#This Row],[SKU]],tblProductos[SKU],0)),"?"))</f>
        <v/>
      </c>
      <c r="I1337" s="39"/>
      <c r="J1337" s="47" t="str">
        <f>IF(tblMovimientos[[#This Row],[Tipo]]="","",IFERROR(INDEX(tblTiposMov[FactorStock],MATCH(tblMovimientos[[#This Row],[Tipo]],tblTiposMov[Tipo],0)),0))</f>
        <v/>
      </c>
      <c r="K13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7" s="37"/>
      <c r="O1337" s="37"/>
      <c r="P1337" s="37"/>
    </row>
    <row r="1338" spans="2:16" x14ac:dyDescent="0.25">
      <c r="B13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8" s="46"/>
      <c r="D1338" s="37"/>
      <c r="E1338" s="37"/>
      <c r="F1338" s="37"/>
      <c r="G1338" s="40" t="str">
        <f>IF(tblMovimientos[[#This Row],[Producto]]="","",TRIM(LEFT(tblMovimientos[[#This Row],[Producto]],FIND(" · ",tblMovimientos[[#This Row],[Producto]]&amp;" · ")-1)))</f>
        <v/>
      </c>
      <c r="H1338" s="40" t="str">
        <f>IF(tblMovimientos[[#This Row],[SKU]]="","",IFERROR(INDEX(tblProductos[Unidad],MATCH(tblMovimientos[[#This Row],[SKU]],tblProductos[SKU],0)),"?"))</f>
        <v/>
      </c>
      <c r="I1338" s="39"/>
      <c r="J1338" s="47" t="str">
        <f>IF(tblMovimientos[[#This Row],[Tipo]]="","",IFERROR(INDEX(tblTiposMov[FactorStock],MATCH(tblMovimientos[[#This Row],[Tipo]],tblTiposMov[Tipo],0)),0))</f>
        <v/>
      </c>
      <c r="K13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8" s="37"/>
      <c r="O1338" s="37"/>
      <c r="P1338" s="37"/>
    </row>
    <row r="1339" spans="2:16" x14ac:dyDescent="0.25">
      <c r="B13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39" s="46"/>
      <c r="D1339" s="37"/>
      <c r="E1339" s="37"/>
      <c r="F1339" s="37"/>
      <c r="G1339" s="40" t="str">
        <f>IF(tblMovimientos[[#This Row],[Producto]]="","",TRIM(LEFT(tblMovimientos[[#This Row],[Producto]],FIND(" · ",tblMovimientos[[#This Row],[Producto]]&amp;" · ")-1)))</f>
        <v/>
      </c>
      <c r="H1339" s="40" t="str">
        <f>IF(tblMovimientos[[#This Row],[SKU]]="","",IFERROR(INDEX(tblProductos[Unidad],MATCH(tblMovimientos[[#This Row],[SKU]],tblProductos[SKU],0)),"?"))</f>
        <v/>
      </c>
      <c r="I1339" s="39"/>
      <c r="J1339" s="47" t="str">
        <f>IF(tblMovimientos[[#This Row],[Tipo]]="","",IFERROR(INDEX(tblTiposMov[FactorStock],MATCH(tblMovimientos[[#This Row],[Tipo]],tblTiposMov[Tipo],0)),0))</f>
        <v/>
      </c>
      <c r="K13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39" s="37"/>
      <c r="O1339" s="37"/>
      <c r="P1339" s="37"/>
    </row>
    <row r="1340" spans="2:16" x14ac:dyDescent="0.25">
      <c r="B13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0" s="46"/>
      <c r="D1340" s="37"/>
      <c r="E1340" s="37"/>
      <c r="F1340" s="37"/>
      <c r="G1340" s="40" t="str">
        <f>IF(tblMovimientos[[#This Row],[Producto]]="","",TRIM(LEFT(tblMovimientos[[#This Row],[Producto]],FIND(" · ",tblMovimientos[[#This Row],[Producto]]&amp;" · ")-1)))</f>
        <v/>
      </c>
      <c r="H1340" s="40" t="str">
        <f>IF(tblMovimientos[[#This Row],[SKU]]="","",IFERROR(INDEX(tblProductos[Unidad],MATCH(tblMovimientos[[#This Row],[SKU]],tblProductos[SKU],0)),"?"))</f>
        <v/>
      </c>
      <c r="I1340" s="39"/>
      <c r="J1340" s="47" t="str">
        <f>IF(tblMovimientos[[#This Row],[Tipo]]="","",IFERROR(INDEX(tblTiposMov[FactorStock],MATCH(tblMovimientos[[#This Row],[Tipo]],tblTiposMov[Tipo],0)),0))</f>
        <v/>
      </c>
      <c r="K13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0" s="37"/>
      <c r="O1340" s="37"/>
      <c r="P1340" s="37"/>
    </row>
    <row r="1341" spans="2:16" x14ac:dyDescent="0.25">
      <c r="B13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1" s="46"/>
      <c r="D1341" s="37"/>
      <c r="E1341" s="37"/>
      <c r="F1341" s="37"/>
      <c r="G1341" s="40" t="str">
        <f>IF(tblMovimientos[[#This Row],[Producto]]="","",TRIM(LEFT(tblMovimientos[[#This Row],[Producto]],FIND(" · ",tblMovimientos[[#This Row],[Producto]]&amp;" · ")-1)))</f>
        <v/>
      </c>
      <c r="H1341" s="40" t="str">
        <f>IF(tblMovimientos[[#This Row],[SKU]]="","",IFERROR(INDEX(tblProductos[Unidad],MATCH(tblMovimientos[[#This Row],[SKU]],tblProductos[SKU],0)),"?"))</f>
        <v/>
      </c>
      <c r="I1341" s="39"/>
      <c r="J1341" s="47" t="str">
        <f>IF(tblMovimientos[[#This Row],[Tipo]]="","",IFERROR(INDEX(tblTiposMov[FactorStock],MATCH(tblMovimientos[[#This Row],[Tipo]],tblTiposMov[Tipo],0)),0))</f>
        <v/>
      </c>
      <c r="K13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1" s="37"/>
      <c r="O1341" s="37"/>
      <c r="P1341" s="37"/>
    </row>
    <row r="1342" spans="2:16" x14ac:dyDescent="0.25">
      <c r="B13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2" s="46"/>
      <c r="D1342" s="37"/>
      <c r="E1342" s="37"/>
      <c r="F1342" s="37"/>
      <c r="G1342" s="40" t="str">
        <f>IF(tblMovimientos[[#This Row],[Producto]]="","",TRIM(LEFT(tblMovimientos[[#This Row],[Producto]],FIND(" · ",tblMovimientos[[#This Row],[Producto]]&amp;" · ")-1)))</f>
        <v/>
      </c>
      <c r="H1342" s="40" t="str">
        <f>IF(tblMovimientos[[#This Row],[SKU]]="","",IFERROR(INDEX(tblProductos[Unidad],MATCH(tblMovimientos[[#This Row],[SKU]],tblProductos[SKU],0)),"?"))</f>
        <v/>
      </c>
      <c r="I1342" s="39"/>
      <c r="J1342" s="47" t="str">
        <f>IF(tblMovimientos[[#This Row],[Tipo]]="","",IFERROR(INDEX(tblTiposMov[FactorStock],MATCH(tblMovimientos[[#This Row],[Tipo]],tblTiposMov[Tipo],0)),0))</f>
        <v/>
      </c>
      <c r="K13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2" s="37"/>
      <c r="O1342" s="37"/>
      <c r="P1342" s="37"/>
    </row>
    <row r="1343" spans="2:16" x14ac:dyDescent="0.25">
      <c r="B13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3" s="46"/>
      <c r="D1343" s="37"/>
      <c r="E1343" s="37"/>
      <c r="F1343" s="37"/>
      <c r="G1343" s="40" t="str">
        <f>IF(tblMovimientos[[#This Row],[Producto]]="","",TRIM(LEFT(tblMovimientos[[#This Row],[Producto]],FIND(" · ",tblMovimientos[[#This Row],[Producto]]&amp;" · ")-1)))</f>
        <v/>
      </c>
      <c r="H1343" s="40" t="str">
        <f>IF(tblMovimientos[[#This Row],[SKU]]="","",IFERROR(INDEX(tblProductos[Unidad],MATCH(tblMovimientos[[#This Row],[SKU]],tblProductos[SKU],0)),"?"))</f>
        <v/>
      </c>
      <c r="I1343" s="39"/>
      <c r="J1343" s="47" t="str">
        <f>IF(tblMovimientos[[#This Row],[Tipo]]="","",IFERROR(INDEX(tblTiposMov[FactorStock],MATCH(tblMovimientos[[#This Row],[Tipo]],tblTiposMov[Tipo],0)),0))</f>
        <v/>
      </c>
      <c r="K13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3" s="37"/>
      <c r="O1343" s="37"/>
      <c r="P1343" s="37"/>
    </row>
    <row r="1344" spans="2:16" x14ac:dyDescent="0.25">
      <c r="B13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4" s="46"/>
      <c r="D1344" s="37"/>
      <c r="E1344" s="37"/>
      <c r="F1344" s="37"/>
      <c r="G1344" s="40" t="str">
        <f>IF(tblMovimientos[[#This Row],[Producto]]="","",TRIM(LEFT(tblMovimientos[[#This Row],[Producto]],FIND(" · ",tblMovimientos[[#This Row],[Producto]]&amp;" · ")-1)))</f>
        <v/>
      </c>
      <c r="H1344" s="40" t="str">
        <f>IF(tblMovimientos[[#This Row],[SKU]]="","",IFERROR(INDEX(tblProductos[Unidad],MATCH(tblMovimientos[[#This Row],[SKU]],tblProductos[SKU],0)),"?"))</f>
        <v/>
      </c>
      <c r="I1344" s="39"/>
      <c r="J1344" s="47" t="str">
        <f>IF(tblMovimientos[[#This Row],[Tipo]]="","",IFERROR(INDEX(tblTiposMov[FactorStock],MATCH(tblMovimientos[[#This Row],[Tipo]],tblTiposMov[Tipo],0)),0))</f>
        <v/>
      </c>
      <c r="K13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4" s="37"/>
      <c r="O1344" s="37"/>
      <c r="P1344" s="37"/>
    </row>
    <row r="1345" spans="2:16" x14ac:dyDescent="0.25">
      <c r="B13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5" s="46"/>
      <c r="D1345" s="37"/>
      <c r="E1345" s="37"/>
      <c r="F1345" s="37"/>
      <c r="G1345" s="40" t="str">
        <f>IF(tblMovimientos[[#This Row],[Producto]]="","",TRIM(LEFT(tblMovimientos[[#This Row],[Producto]],FIND(" · ",tblMovimientos[[#This Row],[Producto]]&amp;" · ")-1)))</f>
        <v/>
      </c>
      <c r="H1345" s="40" t="str">
        <f>IF(tblMovimientos[[#This Row],[SKU]]="","",IFERROR(INDEX(tblProductos[Unidad],MATCH(tblMovimientos[[#This Row],[SKU]],tblProductos[SKU],0)),"?"))</f>
        <v/>
      </c>
      <c r="I1345" s="39"/>
      <c r="J1345" s="47" t="str">
        <f>IF(tblMovimientos[[#This Row],[Tipo]]="","",IFERROR(INDEX(tblTiposMov[FactorStock],MATCH(tblMovimientos[[#This Row],[Tipo]],tblTiposMov[Tipo],0)),0))</f>
        <v/>
      </c>
      <c r="K13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5" s="37"/>
      <c r="O1345" s="37"/>
      <c r="P1345" s="37"/>
    </row>
    <row r="1346" spans="2:16" x14ac:dyDescent="0.25">
      <c r="B13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6" s="46"/>
      <c r="D1346" s="37"/>
      <c r="E1346" s="37"/>
      <c r="F1346" s="37"/>
      <c r="G1346" s="40" t="str">
        <f>IF(tblMovimientos[[#This Row],[Producto]]="","",TRIM(LEFT(tblMovimientos[[#This Row],[Producto]],FIND(" · ",tblMovimientos[[#This Row],[Producto]]&amp;" · ")-1)))</f>
        <v/>
      </c>
      <c r="H1346" s="40" t="str">
        <f>IF(tblMovimientos[[#This Row],[SKU]]="","",IFERROR(INDEX(tblProductos[Unidad],MATCH(tblMovimientos[[#This Row],[SKU]],tblProductos[SKU],0)),"?"))</f>
        <v/>
      </c>
      <c r="I1346" s="39"/>
      <c r="J1346" s="47" t="str">
        <f>IF(tblMovimientos[[#This Row],[Tipo]]="","",IFERROR(INDEX(tblTiposMov[FactorStock],MATCH(tblMovimientos[[#This Row],[Tipo]],tblTiposMov[Tipo],0)),0))</f>
        <v/>
      </c>
      <c r="K13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6" s="37"/>
      <c r="O1346" s="37"/>
      <c r="P1346" s="37"/>
    </row>
    <row r="1347" spans="2:16" x14ac:dyDescent="0.25">
      <c r="B13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7" s="46"/>
      <c r="D1347" s="37"/>
      <c r="E1347" s="37"/>
      <c r="F1347" s="37"/>
      <c r="G1347" s="40" t="str">
        <f>IF(tblMovimientos[[#This Row],[Producto]]="","",TRIM(LEFT(tblMovimientos[[#This Row],[Producto]],FIND(" · ",tblMovimientos[[#This Row],[Producto]]&amp;" · ")-1)))</f>
        <v/>
      </c>
      <c r="H1347" s="40" t="str">
        <f>IF(tblMovimientos[[#This Row],[SKU]]="","",IFERROR(INDEX(tblProductos[Unidad],MATCH(tblMovimientos[[#This Row],[SKU]],tblProductos[SKU],0)),"?"))</f>
        <v/>
      </c>
      <c r="I1347" s="39"/>
      <c r="J1347" s="47" t="str">
        <f>IF(tblMovimientos[[#This Row],[Tipo]]="","",IFERROR(INDEX(tblTiposMov[FactorStock],MATCH(tblMovimientos[[#This Row],[Tipo]],tblTiposMov[Tipo],0)),0))</f>
        <v/>
      </c>
      <c r="K13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7" s="37"/>
      <c r="O1347" s="37"/>
      <c r="P1347" s="37"/>
    </row>
    <row r="1348" spans="2:16" x14ac:dyDescent="0.25">
      <c r="B13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8" s="46"/>
      <c r="D1348" s="37"/>
      <c r="E1348" s="37"/>
      <c r="F1348" s="37"/>
      <c r="G1348" s="40" t="str">
        <f>IF(tblMovimientos[[#This Row],[Producto]]="","",TRIM(LEFT(tblMovimientos[[#This Row],[Producto]],FIND(" · ",tblMovimientos[[#This Row],[Producto]]&amp;" · ")-1)))</f>
        <v/>
      </c>
      <c r="H1348" s="40" t="str">
        <f>IF(tblMovimientos[[#This Row],[SKU]]="","",IFERROR(INDEX(tblProductos[Unidad],MATCH(tblMovimientos[[#This Row],[SKU]],tblProductos[SKU],0)),"?"))</f>
        <v/>
      </c>
      <c r="I1348" s="39"/>
      <c r="J1348" s="47" t="str">
        <f>IF(tblMovimientos[[#This Row],[Tipo]]="","",IFERROR(INDEX(tblTiposMov[FactorStock],MATCH(tblMovimientos[[#This Row],[Tipo]],tblTiposMov[Tipo],0)),0))</f>
        <v/>
      </c>
      <c r="K13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8" s="37"/>
      <c r="O1348" s="37"/>
      <c r="P1348" s="37"/>
    </row>
    <row r="1349" spans="2:16" x14ac:dyDescent="0.25">
      <c r="B13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49" s="46"/>
      <c r="D1349" s="37"/>
      <c r="E1349" s="37"/>
      <c r="F1349" s="37"/>
      <c r="G1349" s="40" t="str">
        <f>IF(tblMovimientos[[#This Row],[Producto]]="","",TRIM(LEFT(tblMovimientos[[#This Row],[Producto]],FIND(" · ",tblMovimientos[[#This Row],[Producto]]&amp;" · ")-1)))</f>
        <v/>
      </c>
      <c r="H1349" s="40" t="str">
        <f>IF(tblMovimientos[[#This Row],[SKU]]="","",IFERROR(INDEX(tblProductos[Unidad],MATCH(tblMovimientos[[#This Row],[SKU]],tblProductos[SKU],0)),"?"))</f>
        <v/>
      </c>
      <c r="I1349" s="39"/>
      <c r="J1349" s="47" t="str">
        <f>IF(tblMovimientos[[#This Row],[Tipo]]="","",IFERROR(INDEX(tblTiposMov[FactorStock],MATCH(tblMovimientos[[#This Row],[Tipo]],tblTiposMov[Tipo],0)),0))</f>
        <v/>
      </c>
      <c r="K13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49" s="37"/>
      <c r="O1349" s="37"/>
      <c r="P1349" s="37"/>
    </row>
    <row r="1350" spans="2:16" x14ac:dyDescent="0.25">
      <c r="B13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0" s="46"/>
      <c r="D1350" s="37"/>
      <c r="E1350" s="37"/>
      <c r="F1350" s="37"/>
      <c r="G1350" s="40" t="str">
        <f>IF(tblMovimientos[[#This Row],[Producto]]="","",TRIM(LEFT(tblMovimientos[[#This Row],[Producto]],FIND(" · ",tblMovimientos[[#This Row],[Producto]]&amp;" · ")-1)))</f>
        <v/>
      </c>
      <c r="H1350" s="40" t="str">
        <f>IF(tblMovimientos[[#This Row],[SKU]]="","",IFERROR(INDEX(tblProductos[Unidad],MATCH(tblMovimientos[[#This Row],[SKU]],tblProductos[SKU],0)),"?"))</f>
        <v/>
      </c>
      <c r="I1350" s="39"/>
      <c r="J1350" s="47" t="str">
        <f>IF(tblMovimientos[[#This Row],[Tipo]]="","",IFERROR(INDEX(tblTiposMov[FactorStock],MATCH(tblMovimientos[[#This Row],[Tipo]],tblTiposMov[Tipo],0)),0))</f>
        <v/>
      </c>
      <c r="K13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0" s="37"/>
      <c r="O1350" s="37"/>
      <c r="P1350" s="37"/>
    </row>
    <row r="1351" spans="2:16" x14ac:dyDescent="0.25">
      <c r="B13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1" s="46"/>
      <c r="D1351" s="37"/>
      <c r="E1351" s="37"/>
      <c r="F1351" s="37"/>
      <c r="G1351" s="40" t="str">
        <f>IF(tblMovimientos[[#This Row],[Producto]]="","",TRIM(LEFT(tblMovimientos[[#This Row],[Producto]],FIND(" · ",tblMovimientos[[#This Row],[Producto]]&amp;" · ")-1)))</f>
        <v/>
      </c>
      <c r="H1351" s="40" t="str">
        <f>IF(tblMovimientos[[#This Row],[SKU]]="","",IFERROR(INDEX(tblProductos[Unidad],MATCH(tblMovimientos[[#This Row],[SKU]],tblProductos[SKU],0)),"?"))</f>
        <v/>
      </c>
      <c r="I1351" s="39"/>
      <c r="J1351" s="47" t="str">
        <f>IF(tblMovimientos[[#This Row],[Tipo]]="","",IFERROR(INDEX(tblTiposMov[FactorStock],MATCH(tblMovimientos[[#This Row],[Tipo]],tblTiposMov[Tipo],0)),0))</f>
        <v/>
      </c>
      <c r="K13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1" s="37"/>
      <c r="O1351" s="37"/>
      <c r="P1351" s="37"/>
    </row>
    <row r="1352" spans="2:16" x14ac:dyDescent="0.25">
      <c r="B13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2" s="46"/>
      <c r="D1352" s="37"/>
      <c r="E1352" s="37"/>
      <c r="F1352" s="37"/>
      <c r="G1352" s="40" t="str">
        <f>IF(tblMovimientos[[#This Row],[Producto]]="","",TRIM(LEFT(tblMovimientos[[#This Row],[Producto]],FIND(" · ",tblMovimientos[[#This Row],[Producto]]&amp;" · ")-1)))</f>
        <v/>
      </c>
      <c r="H1352" s="40" t="str">
        <f>IF(tblMovimientos[[#This Row],[SKU]]="","",IFERROR(INDEX(tblProductos[Unidad],MATCH(tblMovimientos[[#This Row],[SKU]],tblProductos[SKU],0)),"?"))</f>
        <v/>
      </c>
      <c r="I1352" s="39"/>
      <c r="J1352" s="47" t="str">
        <f>IF(tblMovimientos[[#This Row],[Tipo]]="","",IFERROR(INDEX(tblTiposMov[FactorStock],MATCH(tblMovimientos[[#This Row],[Tipo]],tblTiposMov[Tipo],0)),0))</f>
        <v/>
      </c>
      <c r="K13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2" s="37"/>
      <c r="O1352" s="37"/>
      <c r="P1352" s="37"/>
    </row>
    <row r="1353" spans="2:16" x14ac:dyDescent="0.25">
      <c r="B13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3" s="46"/>
      <c r="D1353" s="37"/>
      <c r="E1353" s="37"/>
      <c r="F1353" s="37"/>
      <c r="G1353" s="40" t="str">
        <f>IF(tblMovimientos[[#This Row],[Producto]]="","",TRIM(LEFT(tblMovimientos[[#This Row],[Producto]],FIND(" · ",tblMovimientos[[#This Row],[Producto]]&amp;" · ")-1)))</f>
        <v/>
      </c>
      <c r="H1353" s="40" t="str">
        <f>IF(tblMovimientos[[#This Row],[SKU]]="","",IFERROR(INDEX(tblProductos[Unidad],MATCH(tblMovimientos[[#This Row],[SKU]],tblProductos[SKU],0)),"?"))</f>
        <v/>
      </c>
      <c r="I1353" s="39"/>
      <c r="J1353" s="47" t="str">
        <f>IF(tblMovimientos[[#This Row],[Tipo]]="","",IFERROR(INDEX(tblTiposMov[FactorStock],MATCH(tblMovimientos[[#This Row],[Tipo]],tblTiposMov[Tipo],0)),0))</f>
        <v/>
      </c>
      <c r="K13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3" s="37"/>
      <c r="O1353" s="37"/>
      <c r="P1353" s="37"/>
    </row>
    <row r="1354" spans="2:16" x14ac:dyDescent="0.25">
      <c r="B13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4" s="46"/>
      <c r="D1354" s="37"/>
      <c r="E1354" s="37"/>
      <c r="F1354" s="37"/>
      <c r="G1354" s="40" t="str">
        <f>IF(tblMovimientos[[#This Row],[Producto]]="","",TRIM(LEFT(tblMovimientos[[#This Row],[Producto]],FIND(" · ",tblMovimientos[[#This Row],[Producto]]&amp;" · ")-1)))</f>
        <v/>
      </c>
      <c r="H1354" s="40" t="str">
        <f>IF(tblMovimientos[[#This Row],[SKU]]="","",IFERROR(INDEX(tblProductos[Unidad],MATCH(tblMovimientos[[#This Row],[SKU]],tblProductos[SKU],0)),"?"))</f>
        <v/>
      </c>
      <c r="I1354" s="39"/>
      <c r="J1354" s="47" t="str">
        <f>IF(tblMovimientos[[#This Row],[Tipo]]="","",IFERROR(INDEX(tblTiposMov[FactorStock],MATCH(tblMovimientos[[#This Row],[Tipo]],tblTiposMov[Tipo],0)),0))</f>
        <v/>
      </c>
      <c r="K13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4" s="37"/>
      <c r="O1354" s="37"/>
      <c r="P1354" s="37"/>
    </row>
    <row r="1355" spans="2:16" x14ac:dyDescent="0.25">
      <c r="B13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5" s="46"/>
      <c r="D1355" s="37"/>
      <c r="E1355" s="37"/>
      <c r="F1355" s="37"/>
      <c r="G1355" s="40" t="str">
        <f>IF(tblMovimientos[[#This Row],[Producto]]="","",TRIM(LEFT(tblMovimientos[[#This Row],[Producto]],FIND(" · ",tblMovimientos[[#This Row],[Producto]]&amp;" · ")-1)))</f>
        <v/>
      </c>
      <c r="H1355" s="40" t="str">
        <f>IF(tblMovimientos[[#This Row],[SKU]]="","",IFERROR(INDEX(tblProductos[Unidad],MATCH(tblMovimientos[[#This Row],[SKU]],tblProductos[SKU],0)),"?"))</f>
        <v/>
      </c>
      <c r="I1355" s="39"/>
      <c r="J1355" s="47" t="str">
        <f>IF(tblMovimientos[[#This Row],[Tipo]]="","",IFERROR(INDEX(tblTiposMov[FactorStock],MATCH(tblMovimientos[[#This Row],[Tipo]],tblTiposMov[Tipo],0)),0))</f>
        <v/>
      </c>
      <c r="K13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5" s="37"/>
      <c r="O1355" s="37"/>
      <c r="P1355" s="37"/>
    </row>
    <row r="1356" spans="2:16" x14ac:dyDescent="0.25">
      <c r="B13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6" s="46"/>
      <c r="D1356" s="37"/>
      <c r="E1356" s="37"/>
      <c r="F1356" s="37"/>
      <c r="G1356" s="40" t="str">
        <f>IF(tblMovimientos[[#This Row],[Producto]]="","",TRIM(LEFT(tblMovimientos[[#This Row],[Producto]],FIND(" · ",tblMovimientos[[#This Row],[Producto]]&amp;" · ")-1)))</f>
        <v/>
      </c>
      <c r="H1356" s="40" t="str">
        <f>IF(tblMovimientos[[#This Row],[SKU]]="","",IFERROR(INDEX(tblProductos[Unidad],MATCH(tblMovimientos[[#This Row],[SKU]],tblProductos[SKU],0)),"?"))</f>
        <v/>
      </c>
      <c r="I1356" s="39"/>
      <c r="J1356" s="47" t="str">
        <f>IF(tblMovimientos[[#This Row],[Tipo]]="","",IFERROR(INDEX(tblTiposMov[FactorStock],MATCH(tblMovimientos[[#This Row],[Tipo]],tblTiposMov[Tipo],0)),0))</f>
        <v/>
      </c>
      <c r="K13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6" s="37"/>
      <c r="O1356" s="37"/>
      <c r="P1356" s="37"/>
    </row>
    <row r="1357" spans="2:16" x14ac:dyDescent="0.25">
      <c r="B13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7" s="46"/>
      <c r="D1357" s="37"/>
      <c r="E1357" s="37"/>
      <c r="F1357" s="37"/>
      <c r="G1357" s="40" t="str">
        <f>IF(tblMovimientos[[#This Row],[Producto]]="","",TRIM(LEFT(tblMovimientos[[#This Row],[Producto]],FIND(" · ",tblMovimientos[[#This Row],[Producto]]&amp;" · ")-1)))</f>
        <v/>
      </c>
      <c r="H1357" s="40" t="str">
        <f>IF(tblMovimientos[[#This Row],[SKU]]="","",IFERROR(INDEX(tblProductos[Unidad],MATCH(tblMovimientos[[#This Row],[SKU]],tblProductos[SKU],0)),"?"))</f>
        <v/>
      </c>
      <c r="I1357" s="39"/>
      <c r="J1357" s="47" t="str">
        <f>IF(tblMovimientos[[#This Row],[Tipo]]="","",IFERROR(INDEX(tblTiposMov[FactorStock],MATCH(tblMovimientos[[#This Row],[Tipo]],tblTiposMov[Tipo],0)),0))</f>
        <v/>
      </c>
      <c r="K13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7" s="37"/>
      <c r="O1357" s="37"/>
      <c r="P1357" s="37"/>
    </row>
    <row r="1358" spans="2:16" x14ac:dyDescent="0.25">
      <c r="B13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8" s="46"/>
      <c r="D1358" s="37"/>
      <c r="E1358" s="37"/>
      <c r="F1358" s="37"/>
      <c r="G1358" s="40" t="str">
        <f>IF(tblMovimientos[[#This Row],[Producto]]="","",TRIM(LEFT(tblMovimientos[[#This Row],[Producto]],FIND(" · ",tblMovimientos[[#This Row],[Producto]]&amp;" · ")-1)))</f>
        <v/>
      </c>
      <c r="H1358" s="40" t="str">
        <f>IF(tblMovimientos[[#This Row],[SKU]]="","",IFERROR(INDEX(tblProductos[Unidad],MATCH(tblMovimientos[[#This Row],[SKU]],tblProductos[SKU],0)),"?"))</f>
        <v/>
      </c>
      <c r="I1358" s="39"/>
      <c r="J1358" s="47" t="str">
        <f>IF(tblMovimientos[[#This Row],[Tipo]]="","",IFERROR(INDEX(tblTiposMov[FactorStock],MATCH(tblMovimientos[[#This Row],[Tipo]],tblTiposMov[Tipo],0)),0))</f>
        <v/>
      </c>
      <c r="K13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8" s="37"/>
      <c r="O1358" s="37"/>
      <c r="P1358" s="37"/>
    </row>
    <row r="1359" spans="2:16" x14ac:dyDescent="0.25">
      <c r="B13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59" s="46"/>
      <c r="D1359" s="37"/>
      <c r="E1359" s="37"/>
      <c r="F1359" s="37"/>
      <c r="G1359" s="40" t="str">
        <f>IF(tblMovimientos[[#This Row],[Producto]]="","",TRIM(LEFT(tblMovimientos[[#This Row],[Producto]],FIND(" · ",tblMovimientos[[#This Row],[Producto]]&amp;" · ")-1)))</f>
        <v/>
      </c>
      <c r="H1359" s="40" t="str">
        <f>IF(tblMovimientos[[#This Row],[SKU]]="","",IFERROR(INDEX(tblProductos[Unidad],MATCH(tblMovimientos[[#This Row],[SKU]],tblProductos[SKU],0)),"?"))</f>
        <v/>
      </c>
      <c r="I1359" s="39"/>
      <c r="J1359" s="47" t="str">
        <f>IF(tblMovimientos[[#This Row],[Tipo]]="","",IFERROR(INDEX(tblTiposMov[FactorStock],MATCH(tblMovimientos[[#This Row],[Tipo]],tblTiposMov[Tipo],0)),0))</f>
        <v/>
      </c>
      <c r="K13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59" s="37"/>
      <c r="O1359" s="37"/>
      <c r="P1359" s="37"/>
    </row>
    <row r="1360" spans="2:16" x14ac:dyDescent="0.25">
      <c r="B13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0" s="46"/>
      <c r="D1360" s="37"/>
      <c r="E1360" s="37"/>
      <c r="F1360" s="37"/>
      <c r="G1360" s="40" t="str">
        <f>IF(tblMovimientos[[#This Row],[Producto]]="","",TRIM(LEFT(tblMovimientos[[#This Row],[Producto]],FIND(" · ",tblMovimientos[[#This Row],[Producto]]&amp;" · ")-1)))</f>
        <v/>
      </c>
      <c r="H1360" s="40" t="str">
        <f>IF(tblMovimientos[[#This Row],[SKU]]="","",IFERROR(INDEX(tblProductos[Unidad],MATCH(tblMovimientos[[#This Row],[SKU]],tblProductos[SKU],0)),"?"))</f>
        <v/>
      </c>
      <c r="I1360" s="39"/>
      <c r="J1360" s="47" t="str">
        <f>IF(tblMovimientos[[#This Row],[Tipo]]="","",IFERROR(INDEX(tblTiposMov[FactorStock],MATCH(tblMovimientos[[#This Row],[Tipo]],tblTiposMov[Tipo],0)),0))</f>
        <v/>
      </c>
      <c r="K13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0" s="37"/>
      <c r="O1360" s="37"/>
      <c r="P1360" s="37"/>
    </row>
    <row r="1361" spans="2:16" x14ac:dyDescent="0.25">
      <c r="B13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1" s="46"/>
      <c r="D1361" s="37"/>
      <c r="E1361" s="37"/>
      <c r="F1361" s="37"/>
      <c r="G1361" s="40" t="str">
        <f>IF(tblMovimientos[[#This Row],[Producto]]="","",TRIM(LEFT(tblMovimientos[[#This Row],[Producto]],FIND(" · ",tblMovimientos[[#This Row],[Producto]]&amp;" · ")-1)))</f>
        <v/>
      </c>
      <c r="H1361" s="40" t="str">
        <f>IF(tblMovimientos[[#This Row],[SKU]]="","",IFERROR(INDEX(tblProductos[Unidad],MATCH(tblMovimientos[[#This Row],[SKU]],tblProductos[SKU],0)),"?"))</f>
        <v/>
      </c>
      <c r="I1361" s="39"/>
      <c r="J1361" s="47" t="str">
        <f>IF(tblMovimientos[[#This Row],[Tipo]]="","",IFERROR(INDEX(tblTiposMov[FactorStock],MATCH(tblMovimientos[[#This Row],[Tipo]],tblTiposMov[Tipo],0)),0))</f>
        <v/>
      </c>
      <c r="K13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1" s="37"/>
      <c r="O1361" s="37"/>
      <c r="P1361" s="37"/>
    </row>
    <row r="1362" spans="2:16" x14ac:dyDescent="0.25">
      <c r="B13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2" s="46"/>
      <c r="D1362" s="37"/>
      <c r="E1362" s="37"/>
      <c r="F1362" s="37"/>
      <c r="G1362" s="40" t="str">
        <f>IF(tblMovimientos[[#This Row],[Producto]]="","",TRIM(LEFT(tblMovimientos[[#This Row],[Producto]],FIND(" · ",tblMovimientos[[#This Row],[Producto]]&amp;" · ")-1)))</f>
        <v/>
      </c>
      <c r="H1362" s="40" t="str">
        <f>IF(tblMovimientos[[#This Row],[SKU]]="","",IFERROR(INDEX(tblProductos[Unidad],MATCH(tblMovimientos[[#This Row],[SKU]],tblProductos[SKU],0)),"?"))</f>
        <v/>
      </c>
      <c r="I1362" s="39"/>
      <c r="J1362" s="47" t="str">
        <f>IF(tblMovimientos[[#This Row],[Tipo]]="","",IFERROR(INDEX(tblTiposMov[FactorStock],MATCH(tblMovimientos[[#This Row],[Tipo]],tblTiposMov[Tipo],0)),0))</f>
        <v/>
      </c>
      <c r="K13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2" s="37"/>
      <c r="O1362" s="37"/>
      <c r="P1362" s="37"/>
    </row>
    <row r="1363" spans="2:16" x14ac:dyDescent="0.25">
      <c r="B13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3" s="46"/>
      <c r="D1363" s="37"/>
      <c r="E1363" s="37"/>
      <c r="F1363" s="37"/>
      <c r="G1363" s="40" t="str">
        <f>IF(tblMovimientos[[#This Row],[Producto]]="","",TRIM(LEFT(tblMovimientos[[#This Row],[Producto]],FIND(" · ",tblMovimientos[[#This Row],[Producto]]&amp;" · ")-1)))</f>
        <v/>
      </c>
      <c r="H1363" s="40" t="str">
        <f>IF(tblMovimientos[[#This Row],[SKU]]="","",IFERROR(INDEX(tblProductos[Unidad],MATCH(tblMovimientos[[#This Row],[SKU]],tblProductos[SKU],0)),"?"))</f>
        <v/>
      </c>
      <c r="I1363" s="39"/>
      <c r="J1363" s="47" t="str">
        <f>IF(tblMovimientos[[#This Row],[Tipo]]="","",IFERROR(INDEX(tblTiposMov[FactorStock],MATCH(tblMovimientos[[#This Row],[Tipo]],tblTiposMov[Tipo],0)),0))</f>
        <v/>
      </c>
      <c r="K13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3" s="37"/>
      <c r="O1363" s="37"/>
      <c r="P1363" s="37"/>
    </row>
    <row r="1364" spans="2:16" x14ac:dyDescent="0.25">
      <c r="B13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4" s="46"/>
      <c r="D1364" s="37"/>
      <c r="E1364" s="37"/>
      <c r="F1364" s="37"/>
      <c r="G1364" s="40" t="str">
        <f>IF(tblMovimientos[[#This Row],[Producto]]="","",TRIM(LEFT(tblMovimientos[[#This Row],[Producto]],FIND(" · ",tblMovimientos[[#This Row],[Producto]]&amp;" · ")-1)))</f>
        <v/>
      </c>
      <c r="H1364" s="40" t="str">
        <f>IF(tblMovimientos[[#This Row],[SKU]]="","",IFERROR(INDEX(tblProductos[Unidad],MATCH(tblMovimientos[[#This Row],[SKU]],tblProductos[SKU],0)),"?"))</f>
        <v/>
      </c>
      <c r="I1364" s="39"/>
      <c r="J1364" s="47" t="str">
        <f>IF(tblMovimientos[[#This Row],[Tipo]]="","",IFERROR(INDEX(tblTiposMov[FactorStock],MATCH(tblMovimientos[[#This Row],[Tipo]],tblTiposMov[Tipo],0)),0))</f>
        <v/>
      </c>
      <c r="K13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4" s="37"/>
      <c r="O1364" s="37"/>
      <c r="P1364" s="37"/>
    </row>
    <row r="1365" spans="2:16" x14ac:dyDescent="0.25">
      <c r="B13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5" s="46"/>
      <c r="D1365" s="37"/>
      <c r="E1365" s="37"/>
      <c r="F1365" s="37"/>
      <c r="G1365" s="40" t="str">
        <f>IF(tblMovimientos[[#This Row],[Producto]]="","",TRIM(LEFT(tblMovimientos[[#This Row],[Producto]],FIND(" · ",tblMovimientos[[#This Row],[Producto]]&amp;" · ")-1)))</f>
        <v/>
      </c>
      <c r="H1365" s="40" t="str">
        <f>IF(tblMovimientos[[#This Row],[SKU]]="","",IFERROR(INDEX(tblProductos[Unidad],MATCH(tblMovimientos[[#This Row],[SKU]],tblProductos[SKU],0)),"?"))</f>
        <v/>
      </c>
      <c r="I1365" s="39"/>
      <c r="J1365" s="47" t="str">
        <f>IF(tblMovimientos[[#This Row],[Tipo]]="","",IFERROR(INDEX(tblTiposMov[FactorStock],MATCH(tblMovimientos[[#This Row],[Tipo]],tblTiposMov[Tipo],0)),0))</f>
        <v/>
      </c>
      <c r="K13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5" s="37"/>
      <c r="O1365" s="37"/>
      <c r="P1365" s="37"/>
    </row>
    <row r="1366" spans="2:16" x14ac:dyDescent="0.25">
      <c r="B13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6" s="46"/>
      <c r="D1366" s="37"/>
      <c r="E1366" s="37"/>
      <c r="F1366" s="37"/>
      <c r="G1366" s="40" t="str">
        <f>IF(tblMovimientos[[#This Row],[Producto]]="","",TRIM(LEFT(tblMovimientos[[#This Row],[Producto]],FIND(" · ",tblMovimientos[[#This Row],[Producto]]&amp;" · ")-1)))</f>
        <v/>
      </c>
      <c r="H1366" s="40" t="str">
        <f>IF(tblMovimientos[[#This Row],[SKU]]="","",IFERROR(INDEX(tblProductos[Unidad],MATCH(tblMovimientos[[#This Row],[SKU]],tblProductos[SKU],0)),"?"))</f>
        <v/>
      </c>
      <c r="I1366" s="39"/>
      <c r="J1366" s="47" t="str">
        <f>IF(tblMovimientos[[#This Row],[Tipo]]="","",IFERROR(INDEX(tblTiposMov[FactorStock],MATCH(tblMovimientos[[#This Row],[Tipo]],tblTiposMov[Tipo],0)),0))</f>
        <v/>
      </c>
      <c r="K13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6" s="37"/>
      <c r="O1366" s="37"/>
      <c r="P1366" s="37"/>
    </row>
    <row r="1367" spans="2:16" x14ac:dyDescent="0.25">
      <c r="B13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7" s="46"/>
      <c r="D1367" s="37"/>
      <c r="E1367" s="37"/>
      <c r="F1367" s="37"/>
      <c r="G1367" s="40" t="str">
        <f>IF(tblMovimientos[[#This Row],[Producto]]="","",TRIM(LEFT(tblMovimientos[[#This Row],[Producto]],FIND(" · ",tblMovimientos[[#This Row],[Producto]]&amp;" · ")-1)))</f>
        <v/>
      </c>
      <c r="H1367" s="40" t="str">
        <f>IF(tblMovimientos[[#This Row],[SKU]]="","",IFERROR(INDEX(tblProductos[Unidad],MATCH(tblMovimientos[[#This Row],[SKU]],tblProductos[SKU],0)),"?"))</f>
        <v/>
      </c>
      <c r="I1367" s="39"/>
      <c r="J1367" s="47" t="str">
        <f>IF(tblMovimientos[[#This Row],[Tipo]]="","",IFERROR(INDEX(tblTiposMov[FactorStock],MATCH(tblMovimientos[[#This Row],[Tipo]],tblTiposMov[Tipo],0)),0))</f>
        <v/>
      </c>
      <c r="K13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7" s="37"/>
      <c r="O1367" s="37"/>
      <c r="P1367" s="37"/>
    </row>
    <row r="1368" spans="2:16" x14ac:dyDescent="0.25">
      <c r="B13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8" s="46"/>
      <c r="D1368" s="37"/>
      <c r="E1368" s="37"/>
      <c r="F1368" s="37"/>
      <c r="G1368" s="40" t="str">
        <f>IF(tblMovimientos[[#This Row],[Producto]]="","",TRIM(LEFT(tblMovimientos[[#This Row],[Producto]],FIND(" · ",tblMovimientos[[#This Row],[Producto]]&amp;" · ")-1)))</f>
        <v/>
      </c>
      <c r="H1368" s="40" t="str">
        <f>IF(tblMovimientos[[#This Row],[SKU]]="","",IFERROR(INDEX(tblProductos[Unidad],MATCH(tblMovimientos[[#This Row],[SKU]],tblProductos[SKU],0)),"?"))</f>
        <v/>
      </c>
      <c r="I1368" s="39"/>
      <c r="J1368" s="47" t="str">
        <f>IF(tblMovimientos[[#This Row],[Tipo]]="","",IFERROR(INDEX(tblTiposMov[FactorStock],MATCH(tblMovimientos[[#This Row],[Tipo]],tblTiposMov[Tipo],0)),0))</f>
        <v/>
      </c>
      <c r="K13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8" s="37"/>
      <c r="O1368" s="37"/>
      <c r="P1368" s="37"/>
    </row>
    <row r="1369" spans="2:16" x14ac:dyDescent="0.25">
      <c r="B13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69" s="46"/>
      <c r="D1369" s="37"/>
      <c r="E1369" s="37"/>
      <c r="F1369" s="37"/>
      <c r="G1369" s="40" t="str">
        <f>IF(tblMovimientos[[#This Row],[Producto]]="","",TRIM(LEFT(tblMovimientos[[#This Row],[Producto]],FIND(" · ",tblMovimientos[[#This Row],[Producto]]&amp;" · ")-1)))</f>
        <v/>
      </c>
      <c r="H1369" s="40" t="str">
        <f>IF(tblMovimientos[[#This Row],[SKU]]="","",IFERROR(INDEX(tblProductos[Unidad],MATCH(tblMovimientos[[#This Row],[SKU]],tblProductos[SKU],0)),"?"))</f>
        <v/>
      </c>
      <c r="I1369" s="39"/>
      <c r="J1369" s="47" t="str">
        <f>IF(tblMovimientos[[#This Row],[Tipo]]="","",IFERROR(INDEX(tblTiposMov[FactorStock],MATCH(tblMovimientos[[#This Row],[Tipo]],tblTiposMov[Tipo],0)),0))</f>
        <v/>
      </c>
      <c r="K13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69" s="37"/>
      <c r="O1369" s="37"/>
      <c r="P1369" s="37"/>
    </row>
    <row r="1370" spans="2:16" x14ac:dyDescent="0.25">
      <c r="B13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0" s="46"/>
      <c r="D1370" s="37"/>
      <c r="E1370" s="37"/>
      <c r="F1370" s="37"/>
      <c r="G1370" s="40" t="str">
        <f>IF(tblMovimientos[[#This Row],[Producto]]="","",TRIM(LEFT(tblMovimientos[[#This Row],[Producto]],FIND(" · ",tblMovimientos[[#This Row],[Producto]]&amp;" · ")-1)))</f>
        <v/>
      </c>
      <c r="H1370" s="40" t="str">
        <f>IF(tblMovimientos[[#This Row],[SKU]]="","",IFERROR(INDEX(tblProductos[Unidad],MATCH(tblMovimientos[[#This Row],[SKU]],tblProductos[SKU],0)),"?"))</f>
        <v/>
      </c>
      <c r="I1370" s="39"/>
      <c r="J1370" s="47" t="str">
        <f>IF(tblMovimientos[[#This Row],[Tipo]]="","",IFERROR(INDEX(tblTiposMov[FactorStock],MATCH(tblMovimientos[[#This Row],[Tipo]],tblTiposMov[Tipo],0)),0))</f>
        <v/>
      </c>
      <c r="K13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0" s="37"/>
      <c r="O1370" s="37"/>
      <c r="P1370" s="37"/>
    </row>
    <row r="1371" spans="2:16" x14ac:dyDescent="0.25">
      <c r="B13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1" s="46"/>
      <c r="D1371" s="37"/>
      <c r="E1371" s="37"/>
      <c r="F1371" s="37"/>
      <c r="G1371" s="40" t="str">
        <f>IF(tblMovimientos[[#This Row],[Producto]]="","",TRIM(LEFT(tblMovimientos[[#This Row],[Producto]],FIND(" · ",tblMovimientos[[#This Row],[Producto]]&amp;" · ")-1)))</f>
        <v/>
      </c>
      <c r="H1371" s="40" t="str">
        <f>IF(tblMovimientos[[#This Row],[SKU]]="","",IFERROR(INDEX(tblProductos[Unidad],MATCH(tblMovimientos[[#This Row],[SKU]],tblProductos[SKU],0)),"?"))</f>
        <v/>
      </c>
      <c r="I1371" s="39"/>
      <c r="J1371" s="47" t="str">
        <f>IF(tblMovimientos[[#This Row],[Tipo]]="","",IFERROR(INDEX(tblTiposMov[FactorStock],MATCH(tblMovimientos[[#This Row],[Tipo]],tblTiposMov[Tipo],0)),0))</f>
        <v/>
      </c>
      <c r="K13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1" s="37"/>
      <c r="O1371" s="37"/>
      <c r="P1371" s="37"/>
    </row>
    <row r="1372" spans="2:16" x14ac:dyDescent="0.25">
      <c r="B13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2" s="46"/>
      <c r="D1372" s="37"/>
      <c r="E1372" s="37"/>
      <c r="F1372" s="37"/>
      <c r="G1372" s="40" t="str">
        <f>IF(tblMovimientos[[#This Row],[Producto]]="","",TRIM(LEFT(tblMovimientos[[#This Row],[Producto]],FIND(" · ",tblMovimientos[[#This Row],[Producto]]&amp;" · ")-1)))</f>
        <v/>
      </c>
      <c r="H1372" s="40" t="str">
        <f>IF(tblMovimientos[[#This Row],[SKU]]="","",IFERROR(INDEX(tblProductos[Unidad],MATCH(tblMovimientos[[#This Row],[SKU]],tblProductos[SKU],0)),"?"))</f>
        <v/>
      </c>
      <c r="I1372" s="39"/>
      <c r="J1372" s="47" t="str">
        <f>IF(tblMovimientos[[#This Row],[Tipo]]="","",IFERROR(INDEX(tblTiposMov[FactorStock],MATCH(tblMovimientos[[#This Row],[Tipo]],tblTiposMov[Tipo],0)),0))</f>
        <v/>
      </c>
      <c r="K13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2" s="37"/>
      <c r="O1372" s="37"/>
      <c r="P1372" s="37"/>
    </row>
    <row r="1373" spans="2:16" x14ac:dyDescent="0.25">
      <c r="B13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3" s="46"/>
      <c r="D1373" s="37"/>
      <c r="E1373" s="37"/>
      <c r="F1373" s="37"/>
      <c r="G1373" s="40" t="str">
        <f>IF(tblMovimientos[[#This Row],[Producto]]="","",TRIM(LEFT(tblMovimientos[[#This Row],[Producto]],FIND(" · ",tblMovimientos[[#This Row],[Producto]]&amp;" · ")-1)))</f>
        <v/>
      </c>
      <c r="H1373" s="40" t="str">
        <f>IF(tblMovimientos[[#This Row],[SKU]]="","",IFERROR(INDEX(tblProductos[Unidad],MATCH(tblMovimientos[[#This Row],[SKU]],tblProductos[SKU],0)),"?"))</f>
        <v/>
      </c>
      <c r="I1373" s="39"/>
      <c r="J1373" s="47" t="str">
        <f>IF(tblMovimientos[[#This Row],[Tipo]]="","",IFERROR(INDEX(tblTiposMov[FactorStock],MATCH(tblMovimientos[[#This Row],[Tipo]],tblTiposMov[Tipo],0)),0))</f>
        <v/>
      </c>
      <c r="K13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3" s="37"/>
      <c r="O1373" s="37"/>
      <c r="P1373" s="37"/>
    </row>
    <row r="1374" spans="2:16" x14ac:dyDescent="0.25">
      <c r="B13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4" s="46"/>
      <c r="D1374" s="37"/>
      <c r="E1374" s="37"/>
      <c r="F1374" s="37"/>
      <c r="G1374" s="40" t="str">
        <f>IF(tblMovimientos[[#This Row],[Producto]]="","",TRIM(LEFT(tblMovimientos[[#This Row],[Producto]],FIND(" · ",tblMovimientos[[#This Row],[Producto]]&amp;" · ")-1)))</f>
        <v/>
      </c>
      <c r="H1374" s="40" t="str">
        <f>IF(tblMovimientos[[#This Row],[SKU]]="","",IFERROR(INDEX(tblProductos[Unidad],MATCH(tblMovimientos[[#This Row],[SKU]],tblProductos[SKU],0)),"?"))</f>
        <v/>
      </c>
      <c r="I1374" s="39"/>
      <c r="J1374" s="47" t="str">
        <f>IF(tblMovimientos[[#This Row],[Tipo]]="","",IFERROR(INDEX(tblTiposMov[FactorStock],MATCH(tblMovimientos[[#This Row],[Tipo]],tblTiposMov[Tipo],0)),0))</f>
        <v/>
      </c>
      <c r="K13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4" s="37"/>
      <c r="O1374" s="37"/>
      <c r="P1374" s="37"/>
    </row>
    <row r="1375" spans="2:16" x14ac:dyDescent="0.25">
      <c r="B13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5" s="46"/>
      <c r="D1375" s="37"/>
      <c r="E1375" s="37"/>
      <c r="F1375" s="37"/>
      <c r="G1375" s="40" t="str">
        <f>IF(tblMovimientos[[#This Row],[Producto]]="","",TRIM(LEFT(tblMovimientos[[#This Row],[Producto]],FIND(" · ",tblMovimientos[[#This Row],[Producto]]&amp;" · ")-1)))</f>
        <v/>
      </c>
      <c r="H1375" s="40" t="str">
        <f>IF(tblMovimientos[[#This Row],[SKU]]="","",IFERROR(INDEX(tblProductos[Unidad],MATCH(tblMovimientos[[#This Row],[SKU]],tblProductos[SKU],0)),"?"))</f>
        <v/>
      </c>
      <c r="I1375" s="39"/>
      <c r="J1375" s="47" t="str">
        <f>IF(tblMovimientos[[#This Row],[Tipo]]="","",IFERROR(INDEX(tblTiposMov[FactorStock],MATCH(tblMovimientos[[#This Row],[Tipo]],tblTiposMov[Tipo],0)),0))</f>
        <v/>
      </c>
      <c r="K13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5" s="37"/>
      <c r="O1375" s="37"/>
      <c r="P1375" s="37"/>
    </row>
    <row r="1376" spans="2:16" x14ac:dyDescent="0.25">
      <c r="B13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6" s="46"/>
      <c r="D1376" s="37"/>
      <c r="E1376" s="37"/>
      <c r="F1376" s="37"/>
      <c r="G1376" s="40" t="str">
        <f>IF(tblMovimientos[[#This Row],[Producto]]="","",TRIM(LEFT(tblMovimientos[[#This Row],[Producto]],FIND(" · ",tblMovimientos[[#This Row],[Producto]]&amp;" · ")-1)))</f>
        <v/>
      </c>
      <c r="H1376" s="40" t="str">
        <f>IF(tblMovimientos[[#This Row],[SKU]]="","",IFERROR(INDEX(tblProductos[Unidad],MATCH(tblMovimientos[[#This Row],[SKU]],tblProductos[SKU],0)),"?"))</f>
        <v/>
      </c>
      <c r="I1376" s="39"/>
      <c r="J1376" s="47" t="str">
        <f>IF(tblMovimientos[[#This Row],[Tipo]]="","",IFERROR(INDEX(tblTiposMov[FactorStock],MATCH(tblMovimientos[[#This Row],[Tipo]],tblTiposMov[Tipo],0)),0))</f>
        <v/>
      </c>
      <c r="K13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6" s="37"/>
      <c r="O1376" s="37"/>
      <c r="P1376" s="37"/>
    </row>
    <row r="1377" spans="2:16" x14ac:dyDescent="0.25">
      <c r="B13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7" s="46"/>
      <c r="D1377" s="37"/>
      <c r="E1377" s="37"/>
      <c r="F1377" s="37"/>
      <c r="G1377" s="40" t="str">
        <f>IF(tblMovimientos[[#This Row],[Producto]]="","",TRIM(LEFT(tblMovimientos[[#This Row],[Producto]],FIND(" · ",tblMovimientos[[#This Row],[Producto]]&amp;" · ")-1)))</f>
        <v/>
      </c>
      <c r="H1377" s="40" t="str">
        <f>IF(tblMovimientos[[#This Row],[SKU]]="","",IFERROR(INDEX(tblProductos[Unidad],MATCH(tblMovimientos[[#This Row],[SKU]],tblProductos[SKU],0)),"?"))</f>
        <v/>
      </c>
      <c r="I1377" s="39"/>
      <c r="J1377" s="47" t="str">
        <f>IF(tblMovimientos[[#This Row],[Tipo]]="","",IFERROR(INDEX(tblTiposMov[FactorStock],MATCH(tblMovimientos[[#This Row],[Tipo]],tblTiposMov[Tipo],0)),0))</f>
        <v/>
      </c>
      <c r="K13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7" s="37"/>
      <c r="O1377" s="37"/>
      <c r="P1377" s="37"/>
    </row>
    <row r="1378" spans="2:16" x14ac:dyDescent="0.25">
      <c r="B13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8" s="46"/>
      <c r="D1378" s="37"/>
      <c r="E1378" s="37"/>
      <c r="F1378" s="37"/>
      <c r="G1378" s="40" t="str">
        <f>IF(tblMovimientos[[#This Row],[Producto]]="","",TRIM(LEFT(tblMovimientos[[#This Row],[Producto]],FIND(" · ",tblMovimientos[[#This Row],[Producto]]&amp;" · ")-1)))</f>
        <v/>
      </c>
      <c r="H1378" s="40" t="str">
        <f>IF(tblMovimientos[[#This Row],[SKU]]="","",IFERROR(INDEX(tblProductos[Unidad],MATCH(tblMovimientos[[#This Row],[SKU]],tblProductos[SKU],0)),"?"))</f>
        <v/>
      </c>
      <c r="I1378" s="39"/>
      <c r="J1378" s="47" t="str">
        <f>IF(tblMovimientos[[#This Row],[Tipo]]="","",IFERROR(INDEX(tblTiposMov[FactorStock],MATCH(tblMovimientos[[#This Row],[Tipo]],tblTiposMov[Tipo],0)),0))</f>
        <v/>
      </c>
      <c r="K13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8" s="37"/>
      <c r="O1378" s="37"/>
      <c r="P1378" s="37"/>
    </row>
    <row r="1379" spans="2:16" x14ac:dyDescent="0.25">
      <c r="B13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79" s="46"/>
      <c r="D1379" s="37"/>
      <c r="E1379" s="37"/>
      <c r="F1379" s="37"/>
      <c r="G1379" s="40" t="str">
        <f>IF(tblMovimientos[[#This Row],[Producto]]="","",TRIM(LEFT(tblMovimientos[[#This Row],[Producto]],FIND(" · ",tblMovimientos[[#This Row],[Producto]]&amp;" · ")-1)))</f>
        <v/>
      </c>
      <c r="H1379" s="40" t="str">
        <f>IF(tblMovimientos[[#This Row],[SKU]]="","",IFERROR(INDEX(tblProductos[Unidad],MATCH(tblMovimientos[[#This Row],[SKU]],tblProductos[SKU],0)),"?"))</f>
        <v/>
      </c>
      <c r="I1379" s="39"/>
      <c r="J1379" s="47" t="str">
        <f>IF(tblMovimientos[[#This Row],[Tipo]]="","",IFERROR(INDEX(tblTiposMov[FactorStock],MATCH(tblMovimientos[[#This Row],[Tipo]],tblTiposMov[Tipo],0)),0))</f>
        <v/>
      </c>
      <c r="K13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79" s="37"/>
      <c r="O1379" s="37"/>
      <c r="P1379" s="37"/>
    </row>
    <row r="1380" spans="2:16" x14ac:dyDescent="0.25">
      <c r="B13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0" s="46"/>
      <c r="D1380" s="37"/>
      <c r="E1380" s="37"/>
      <c r="F1380" s="37"/>
      <c r="G1380" s="40" t="str">
        <f>IF(tblMovimientos[[#This Row],[Producto]]="","",TRIM(LEFT(tblMovimientos[[#This Row],[Producto]],FIND(" · ",tblMovimientos[[#This Row],[Producto]]&amp;" · ")-1)))</f>
        <v/>
      </c>
      <c r="H1380" s="40" t="str">
        <f>IF(tblMovimientos[[#This Row],[SKU]]="","",IFERROR(INDEX(tblProductos[Unidad],MATCH(tblMovimientos[[#This Row],[SKU]],tblProductos[SKU],0)),"?"))</f>
        <v/>
      </c>
      <c r="I1380" s="39"/>
      <c r="J1380" s="47" t="str">
        <f>IF(tblMovimientos[[#This Row],[Tipo]]="","",IFERROR(INDEX(tblTiposMov[FactorStock],MATCH(tblMovimientos[[#This Row],[Tipo]],tblTiposMov[Tipo],0)),0))</f>
        <v/>
      </c>
      <c r="K13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0" s="37"/>
      <c r="O1380" s="37"/>
      <c r="P1380" s="37"/>
    </row>
    <row r="1381" spans="2:16" x14ac:dyDescent="0.25">
      <c r="B13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1" s="46"/>
      <c r="D1381" s="37"/>
      <c r="E1381" s="37"/>
      <c r="F1381" s="37"/>
      <c r="G1381" s="40" t="str">
        <f>IF(tblMovimientos[[#This Row],[Producto]]="","",TRIM(LEFT(tblMovimientos[[#This Row],[Producto]],FIND(" · ",tblMovimientos[[#This Row],[Producto]]&amp;" · ")-1)))</f>
        <v/>
      </c>
      <c r="H1381" s="40" t="str">
        <f>IF(tblMovimientos[[#This Row],[SKU]]="","",IFERROR(INDEX(tblProductos[Unidad],MATCH(tblMovimientos[[#This Row],[SKU]],tblProductos[SKU],0)),"?"))</f>
        <v/>
      </c>
      <c r="I1381" s="39"/>
      <c r="J1381" s="47" t="str">
        <f>IF(tblMovimientos[[#This Row],[Tipo]]="","",IFERROR(INDEX(tblTiposMov[FactorStock],MATCH(tblMovimientos[[#This Row],[Tipo]],tblTiposMov[Tipo],0)),0))</f>
        <v/>
      </c>
      <c r="K13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1" s="37"/>
      <c r="O1381" s="37"/>
      <c r="P1381" s="37"/>
    </row>
    <row r="1382" spans="2:16" x14ac:dyDescent="0.25">
      <c r="B13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2" s="46"/>
      <c r="D1382" s="37"/>
      <c r="E1382" s="37"/>
      <c r="F1382" s="37"/>
      <c r="G1382" s="40" t="str">
        <f>IF(tblMovimientos[[#This Row],[Producto]]="","",TRIM(LEFT(tblMovimientos[[#This Row],[Producto]],FIND(" · ",tblMovimientos[[#This Row],[Producto]]&amp;" · ")-1)))</f>
        <v/>
      </c>
      <c r="H1382" s="40" t="str">
        <f>IF(tblMovimientos[[#This Row],[SKU]]="","",IFERROR(INDEX(tblProductos[Unidad],MATCH(tblMovimientos[[#This Row],[SKU]],tblProductos[SKU],0)),"?"))</f>
        <v/>
      </c>
      <c r="I1382" s="39"/>
      <c r="J1382" s="47" t="str">
        <f>IF(tblMovimientos[[#This Row],[Tipo]]="","",IFERROR(INDEX(tblTiposMov[FactorStock],MATCH(tblMovimientos[[#This Row],[Tipo]],tblTiposMov[Tipo],0)),0))</f>
        <v/>
      </c>
      <c r="K13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2" s="37"/>
      <c r="O1382" s="37"/>
      <c r="P1382" s="37"/>
    </row>
    <row r="1383" spans="2:16" x14ac:dyDescent="0.25">
      <c r="B13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3" s="46"/>
      <c r="D1383" s="37"/>
      <c r="E1383" s="37"/>
      <c r="F1383" s="37"/>
      <c r="G1383" s="40" t="str">
        <f>IF(tblMovimientos[[#This Row],[Producto]]="","",TRIM(LEFT(tblMovimientos[[#This Row],[Producto]],FIND(" · ",tblMovimientos[[#This Row],[Producto]]&amp;" · ")-1)))</f>
        <v/>
      </c>
      <c r="H1383" s="40" t="str">
        <f>IF(tblMovimientos[[#This Row],[SKU]]="","",IFERROR(INDEX(tblProductos[Unidad],MATCH(tblMovimientos[[#This Row],[SKU]],tblProductos[SKU],0)),"?"))</f>
        <v/>
      </c>
      <c r="I1383" s="39"/>
      <c r="J1383" s="47" t="str">
        <f>IF(tblMovimientos[[#This Row],[Tipo]]="","",IFERROR(INDEX(tblTiposMov[FactorStock],MATCH(tblMovimientos[[#This Row],[Tipo]],tblTiposMov[Tipo],0)),0))</f>
        <v/>
      </c>
      <c r="K13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3" s="37"/>
      <c r="O1383" s="37"/>
      <c r="P1383" s="37"/>
    </row>
    <row r="1384" spans="2:16" x14ac:dyDescent="0.25">
      <c r="B13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4" s="46"/>
      <c r="D1384" s="37"/>
      <c r="E1384" s="37"/>
      <c r="F1384" s="37"/>
      <c r="G1384" s="40" t="str">
        <f>IF(tblMovimientos[[#This Row],[Producto]]="","",TRIM(LEFT(tblMovimientos[[#This Row],[Producto]],FIND(" · ",tblMovimientos[[#This Row],[Producto]]&amp;" · ")-1)))</f>
        <v/>
      </c>
      <c r="H1384" s="40" t="str">
        <f>IF(tblMovimientos[[#This Row],[SKU]]="","",IFERROR(INDEX(tblProductos[Unidad],MATCH(tblMovimientos[[#This Row],[SKU]],tblProductos[SKU],0)),"?"))</f>
        <v/>
      </c>
      <c r="I1384" s="39"/>
      <c r="J1384" s="47" t="str">
        <f>IF(tblMovimientos[[#This Row],[Tipo]]="","",IFERROR(INDEX(tblTiposMov[FactorStock],MATCH(tblMovimientos[[#This Row],[Tipo]],tblTiposMov[Tipo],0)),0))</f>
        <v/>
      </c>
      <c r="K13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4" s="37"/>
      <c r="O1384" s="37"/>
      <c r="P1384" s="37"/>
    </row>
    <row r="1385" spans="2:16" x14ac:dyDescent="0.25">
      <c r="B13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5" s="46"/>
      <c r="D1385" s="37"/>
      <c r="E1385" s="37"/>
      <c r="F1385" s="37"/>
      <c r="G1385" s="40" t="str">
        <f>IF(tblMovimientos[[#This Row],[Producto]]="","",TRIM(LEFT(tblMovimientos[[#This Row],[Producto]],FIND(" · ",tblMovimientos[[#This Row],[Producto]]&amp;" · ")-1)))</f>
        <v/>
      </c>
      <c r="H1385" s="40" t="str">
        <f>IF(tblMovimientos[[#This Row],[SKU]]="","",IFERROR(INDEX(tblProductos[Unidad],MATCH(tblMovimientos[[#This Row],[SKU]],tblProductos[SKU],0)),"?"))</f>
        <v/>
      </c>
      <c r="I1385" s="39"/>
      <c r="J1385" s="47" t="str">
        <f>IF(tblMovimientos[[#This Row],[Tipo]]="","",IFERROR(INDEX(tblTiposMov[FactorStock],MATCH(tblMovimientos[[#This Row],[Tipo]],tblTiposMov[Tipo],0)),0))</f>
        <v/>
      </c>
      <c r="K13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5" s="37"/>
      <c r="O1385" s="37"/>
      <c r="P1385" s="37"/>
    </row>
    <row r="1386" spans="2:16" x14ac:dyDescent="0.25">
      <c r="B13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6" s="46"/>
      <c r="D1386" s="37"/>
      <c r="E1386" s="37"/>
      <c r="F1386" s="37"/>
      <c r="G1386" s="40" t="str">
        <f>IF(tblMovimientos[[#This Row],[Producto]]="","",TRIM(LEFT(tblMovimientos[[#This Row],[Producto]],FIND(" · ",tblMovimientos[[#This Row],[Producto]]&amp;" · ")-1)))</f>
        <v/>
      </c>
      <c r="H1386" s="40" t="str">
        <f>IF(tblMovimientos[[#This Row],[SKU]]="","",IFERROR(INDEX(tblProductos[Unidad],MATCH(tblMovimientos[[#This Row],[SKU]],tblProductos[SKU],0)),"?"))</f>
        <v/>
      </c>
      <c r="I1386" s="39"/>
      <c r="J1386" s="47" t="str">
        <f>IF(tblMovimientos[[#This Row],[Tipo]]="","",IFERROR(INDEX(tblTiposMov[FactorStock],MATCH(tblMovimientos[[#This Row],[Tipo]],tblTiposMov[Tipo],0)),0))</f>
        <v/>
      </c>
      <c r="K13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6" s="37"/>
      <c r="O1386" s="37"/>
      <c r="P1386" s="37"/>
    </row>
    <row r="1387" spans="2:16" x14ac:dyDescent="0.25">
      <c r="B13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7" s="46"/>
      <c r="D1387" s="37"/>
      <c r="E1387" s="37"/>
      <c r="F1387" s="37"/>
      <c r="G1387" s="40" t="str">
        <f>IF(tblMovimientos[[#This Row],[Producto]]="","",TRIM(LEFT(tblMovimientos[[#This Row],[Producto]],FIND(" · ",tblMovimientos[[#This Row],[Producto]]&amp;" · ")-1)))</f>
        <v/>
      </c>
      <c r="H1387" s="40" t="str">
        <f>IF(tblMovimientos[[#This Row],[SKU]]="","",IFERROR(INDEX(tblProductos[Unidad],MATCH(tblMovimientos[[#This Row],[SKU]],tblProductos[SKU],0)),"?"))</f>
        <v/>
      </c>
      <c r="I1387" s="39"/>
      <c r="J1387" s="47" t="str">
        <f>IF(tblMovimientos[[#This Row],[Tipo]]="","",IFERROR(INDEX(tblTiposMov[FactorStock],MATCH(tblMovimientos[[#This Row],[Tipo]],tblTiposMov[Tipo],0)),0))</f>
        <v/>
      </c>
      <c r="K13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7" s="37"/>
      <c r="O1387" s="37"/>
      <c r="P1387" s="37"/>
    </row>
    <row r="1388" spans="2:16" x14ac:dyDescent="0.25">
      <c r="B13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8" s="46"/>
      <c r="D1388" s="37"/>
      <c r="E1388" s="37"/>
      <c r="F1388" s="37"/>
      <c r="G1388" s="40" t="str">
        <f>IF(tblMovimientos[[#This Row],[Producto]]="","",TRIM(LEFT(tblMovimientos[[#This Row],[Producto]],FIND(" · ",tblMovimientos[[#This Row],[Producto]]&amp;" · ")-1)))</f>
        <v/>
      </c>
      <c r="H1388" s="40" t="str">
        <f>IF(tblMovimientos[[#This Row],[SKU]]="","",IFERROR(INDEX(tblProductos[Unidad],MATCH(tblMovimientos[[#This Row],[SKU]],tblProductos[SKU],0)),"?"))</f>
        <v/>
      </c>
      <c r="I1388" s="39"/>
      <c r="J1388" s="47" t="str">
        <f>IF(tblMovimientos[[#This Row],[Tipo]]="","",IFERROR(INDEX(tblTiposMov[FactorStock],MATCH(tblMovimientos[[#This Row],[Tipo]],tblTiposMov[Tipo],0)),0))</f>
        <v/>
      </c>
      <c r="K13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8" s="37"/>
      <c r="O1388" s="37"/>
      <c r="P1388" s="37"/>
    </row>
    <row r="1389" spans="2:16" x14ac:dyDescent="0.25">
      <c r="B13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89" s="46"/>
      <c r="D1389" s="37"/>
      <c r="E1389" s="37"/>
      <c r="F1389" s="37"/>
      <c r="G1389" s="40" t="str">
        <f>IF(tblMovimientos[[#This Row],[Producto]]="","",TRIM(LEFT(tblMovimientos[[#This Row],[Producto]],FIND(" · ",tblMovimientos[[#This Row],[Producto]]&amp;" · ")-1)))</f>
        <v/>
      </c>
      <c r="H1389" s="40" t="str">
        <f>IF(tblMovimientos[[#This Row],[SKU]]="","",IFERROR(INDEX(tblProductos[Unidad],MATCH(tblMovimientos[[#This Row],[SKU]],tblProductos[SKU],0)),"?"))</f>
        <v/>
      </c>
      <c r="I1389" s="39"/>
      <c r="J1389" s="47" t="str">
        <f>IF(tblMovimientos[[#This Row],[Tipo]]="","",IFERROR(INDEX(tblTiposMov[FactorStock],MATCH(tblMovimientos[[#This Row],[Tipo]],tblTiposMov[Tipo],0)),0))</f>
        <v/>
      </c>
      <c r="K13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89" s="37"/>
      <c r="O1389" s="37"/>
      <c r="P1389" s="37"/>
    </row>
    <row r="1390" spans="2:16" x14ac:dyDescent="0.25">
      <c r="B13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0" s="46"/>
      <c r="D1390" s="37"/>
      <c r="E1390" s="37"/>
      <c r="F1390" s="37"/>
      <c r="G1390" s="40" t="str">
        <f>IF(tblMovimientos[[#This Row],[Producto]]="","",TRIM(LEFT(tblMovimientos[[#This Row],[Producto]],FIND(" · ",tblMovimientos[[#This Row],[Producto]]&amp;" · ")-1)))</f>
        <v/>
      </c>
      <c r="H1390" s="40" t="str">
        <f>IF(tblMovimientos[[#This Row],[SKU]]="","",IFERROR(INDEX(tblProductos[Unidad],MATCH(tblMovimientos[[#This Row],[SKU]],tblProductos[SKU],0)),"?"))</f>
        <v/>
      </c>
      <c r="I1390" s="39"/>
      <c r="J1390" s="47" t="str">
        <f>IF(tblMovimientos[[#This Row],[Tipo]]="","",IFERROR(INDEX(tblTiposMov[FactorStock],MATCH(tblMovimientos[[#This Row],[Tipo]],tblTiposMov[Tipo],0)),0))</f>
        <v/>
      </c>
      <c r="K13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0" s="37"/>
      <c r="O1390" s="37"/>
      <c r="P1390" s="37"/>
    </row>
    <row r="1391" spans="2:16" x14ac:dyDescent="0.25">
      <c r="B13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1" s="46"/>
      <c r="D1391" s="37"/>
      <c r="E1391" s="37"/>
      <c r="F1391" s="37"/>
      <c r="G1391" s="40" t="str">
        <f>IF(tblMovimientos[[#This Row],[Producto]]="","",TRIM(LEFT(tblMovimientos[[#This Row],[Producto]],FIND(" · ",tblMovimientos[[#This Row],[Producto]]&amp;" · ")-1)))</f>
        <v/>
      </c>
      <c r="H1391" s="40" t="str">
        <f>IF(tblMovimientos[[#This Row],[SKU]]="","",IFERROR(INDEX(tblProductos[Unidad],MATCH(tblMovimientos[[#This Row],[SKU]],tblProductos[SKU],0)),"?"))</f>
        <v/>
      </c>
      <c r="I1391" s="39"/>
      <c r="J1391" s="47" t="str">
        <f>IF(tblMovimientos[[#This Row],[Tipo]]="","",IFERROR(INDEX(tblTiposMov[FactorStock],MATCH(tblMovimientos[[#This Row],[Tipo]],tblTiposMov[Tipo],0)),0))</f>
        <v/>
      </c>
      <c r="K13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1" s="37"/>
      <c r="O1391" s="37"/>
      <c r="P1391" s="37"/>
    </row>
    <row r="1392" spans="2:16" x14ac:dyDescent="0.25">
      <c r="B13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2" s="46"/>
      <c r="D1392" s="37"/>
      <c r="E1392" s="37"/>
      <c r="F1392" s="37"/>
      <c r="G1392" s="40" t="str">
        <f>IF(tblMovimientos[[#This Row],[Producto]]="","",TRIM(LEFT(tblMovimientos[[#This Row],[Producto]],FIND(" · ",tblMovimientos[[#This Row],[Producto]]&amp;" · ")-1)))</f>
        <v/>
      </c>
      <c r="H1392" s="40" t="str">
        <f>IF(tblMovimientos[[#This Row],[SKU]]="","",IFERROR(INDEX(tblProductos[Unidad],MATCH(tblMovimientos[[#This Row],[SKU]],tblProductos[SKU],0)),"?"))</f>
        <v/>
      </c>
      <c r="I1392" s="39"/>
      <c r="J1392" s="47" t="str">
        <f>IF(tblMovimientos[[#This Row],[Tipo]]="","",IFERROR(INDEX(tblTiposMov[FactorStock],MATCH(tblMovimientos[[#This Row],[Tipo]],tblTiposMov[Tipo],0)),0))</f>
        <v/>
      </c>
      <c r="K13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2" s="37"/>
      <c r="O1392" s="37"/>
      <c r="P1392" s="37"/>
    </row>
    <row r="1393" spans="2:16" x14ac:dyDescent="0.25">
      <c r="B13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3" s="46"/>
      <c r="D1393" s="37"/>
      <c r="E1393" s="37"/>
      <c r="F1393" s="37"/>
      <c r="G1393" s="40" t="str">
        <f>IF(tblMovimientos[[#This Row],[Producto]]="","",TRIM(LEFT(tblMovimientos[[#This Row],[Producto]],FIND(" · ",tblMovimientos[[#This Row],[Producto]]&amp;" · ")-1)))</f>
        <v/>
      </c>
      <c r="H1393" s="40" t="str">
        <f>IF(tblMovimientos[[#This Row],[SKU]]="","",IFERROR(INDEX(tblProductos[Unidad],MATCH(tblMovimientos[[#This Row],[SKU]],tblProductos[SKU],0)),"?"))</f>
        <v/>
      </c>
      <c r="I1393" s="39"/>
      <c r="J1393" s="47" t="str">
        <f>IF(tblMovimientos[[#This Row],[Tipo]]="","",IFERROR(INDEX(tblTiposMov[FactorStock],MATCH(tblMovimientos[[#This Row],[Tipo]],tblTiposMov[Tipo],0)),0))</f>
        <v/>
      </c>
      <c r="K13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3" s="37"/>
      <c r="O1393" s="37"/>
      <c r="P1393" s="37"/>
    </row>
    <row r="1394" spans="2:16" x14ac:dyDescent="0.25">
      <c r="B13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4" s="46"/>
      <c r="D1394" s="37"/>
      <c r="E1394" s="37"/>
      <c r="F1394" s="37"/>
      <c r="G1394" s="40" t="str">
        <f>IF(tblMovimientos[[#This Row],[Producto]]="","",TRIM(LEFT(tblMovimientos[[#This Row],[Producto]],FIND(" · ",tblMovimientos[[#This Row],[Producto]]&amp;" · ")-1)))</f>
        <v/>
      </c>
      <c r="H1394" s="40" t="str">
        <f>IF(tblMovimientos[[#This Row],[SKU]]="","",IFERROR(INDEX(tblProductos[Unidad],MATCH(tblMovimientos[[#This Row],[SKU]],tblProductos[SKU],0)),"?"))</f>
        <v/>
      </c>
      <c r="I1394" s="39"/>
      <c r="J1394" s="47" t="str">
        <f>IF(tblMovimientos[[#This Row],[Tipo]]="","",IFERROR(INDEX(tblTiposMov[FactorStock],MATCH(tblMovimientos[[#This Row],[Tipo]],tblTiposMov[Tipo],0)),0))</f>
        <v/>
      </c>
      <c r="K13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4" s="37"/>
      <c r="O1394" s="37"/>
      <c r="P1394" s="37"/>
    </row>
    <row r="1395" spans="2:16" x14ac:dyDescent="0.25">
      <c r="B13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5" s="46"/>
      <c r="D1395" s="37"/>
      <c r="E1395" s="37"/>
      <c r="F1395" s="37"/>
      <c r="G1395" s="40" t="str">
        <f>IF(tblMovimientos[[#This Row],[Producto]]="","",TRIM(LEFT(tblMovimientos[[#This Row],[Producto]],FIND(" · ",tblMovimientos[[#This Row],[Producto]]&amp;" · ")-1)))</f>
        <v/>
      </c>
      <c r="H1395" s="40" t="str">
        <f>IF(tblMovimientos[[#This Row],[SKU]]="","",IFERROR(INDEX(tblProductos[Unidad],MATCH(tblMovimientos[[#This Row],[SKU]],tblProductos[SKU],0)),"?"))</f>
        <v/>
      </c>
      <c r="I1395" s="39"/>
      <c r="J1395" s="47" t="str">
        <f>IF(tblMovimientos[[#This Row],[Tipo]]="","",IFERROR(INDEX(tblTiposMov[FactorStock],MATCH(tblMovimientos[[#This Row],[Tipo]],tblTiposMov[Tipo],0)),0))</f>
        <v/>
      </c>
      <c r="K13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5" s="37"/>
      <c r="O1395" s="37"/>
      <c r="P1395" s="37"/>
    </row>
    <row r="1396" spans="2:16" x14ac:dyDescent="0.25">
      <c r="B13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6" s="46"/>
      <c r="D1396" s="37"/>
      <c r="E1396" s="37"/>
      <c r="F1396" s="37"/>
      <c r="G1396" s="40" t="str">
        <f>IF(tblMovimientos[[#This Row],[Producto]]="","",TRIM(LEFT(tblMovimientos[[#This Row],[Producto]],FIND(" · ",tblMovimientos[[#This Row],[Producto]]&amp;" · ")-1)))</f>
        <v/>
      </c>
      <c r="H1396" s="40" t="str">
        <f>IF(tblMovimientos[[#This Row],[SKU]]="","",IFERROR(INDEX(tblProductos[Unidad],MATCH(tblMovimientos[[#This Row],[SKU]],tblProductos[SKU],0)),"?"))</f>
        <v/>
      </c>
      <c r="I1396" s="39"/>
      <c r="J1396" s="47" t="str">
        <f>IF(tblMovimientos[[#This Row],[Tipo]]="","",IFERROR(INDEX(tblTiposMov[FactorStock],MATCH(tblMovimientos[[#This Row],[Tipo]],tblTiposMov[Tipo],0)),0))</f>
        <v/>
      </c>
      <c r="K13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6" s="37"/>
      <c r="O1396" s="37"/>
      <c r="P1396" s="37"/>
    </row>
    <row r="1397" spans="2:16" x14ac:dyDescent="0.25">
      <c r="B13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7" s="46"/>
      <c r="D1397" s="37"/>
      <c r="E1397" s="37"/>
      <c r="F1397" s="37"/>
      <c r="G1397" s="40" t="str">
        <f>IF(tblMovimientos[[#This Row],[Producto]]="","",TRIM(LEFT(tblMovimientos[[#This Row],[Producto]],FIND(" · ",tblMovimientos[[#This Row],[Producto]]&amp;" · ")-1)))</f>
        <v/>
      </c>
      <c r="H1397" s="40" t="str">
        <f>IF(tblMovimientos[[#This Row],[SKU]]="","",IFERROR(INDEX(tblProductos[Unidad],MATCH(tblMovimientos[[#This Row],[SKU]],tblProductos[SKU],0)),"?"))</f>
        <v/>
      </c>
      <c r="I1397" s="39"/>
      <c r="J1397" s="47" t="str">
        <f>IF(tblMovimientos[[#This Row],[Tipo]]="","",IFERROR(INDEX(tblTiposMov[FactorStock],MATCH(tblMovimientos[[#This Row],[Tipo]],tblTiposMov[Tipo],0)),0))</f>
        <v/>
      </c>
      <c r="K13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7" s="37"/>
      <c r="O1397" s="37"/>
      <c r="P1397" s="37"/>
    </row>
    <row r="1398" spans="2:16" x14ac:dyDescent="0.25">
      <c r="B13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8" s="46"/>
      <c r="D1398" s="37"/>
      <c r="E1398" s="37"/>
      <c r="F1398" s="37"/>
      <c r="G1398" s="40" t="str">
        <f>IF(tblMovimientos[[#This Row],[Producto]]="","",TRIM(LEFT(tblMovimientos[[#This Row],[Producto]],FIND(" · ",tblMovimientos[[#This Row],[Producto]]&amp;" · ")-1)))</f>
        <v/>
      </c>
      <c r="H1398" s="40" t="str">
        <f>IF(tblMovimientos[[#This Row],[SKU]]="","",IFERROR(INDEX(tblProductos[Unidad],MATCH(tblMovimientos[[#This Row],[SKU]],tblProductos[SKU],0)),"?"))</f>
        <v/>
      </c>
      <c r="I1398" s="39"/>
      <c r="J1398" s="47" t="str">
        <f>IF(tblMovimientos[[#This Row],[Tipo]]="","",IFERROR(INDEX(tblTiposMov[FactorStock],MATCH(tblMovimientos[[#This Row],[Tipo]],tblTiposMov[Tipo],0)),0))</f>
        <v/>
      </c>
      <c r="K13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8" s="37"/>
      <c r="O1398" s="37"/>
      <c r="P1398" s="37"/>
    </row>
    <row r="1399" spans="2:16" x14ac:dyDescent="0.25">
      <c r="B13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399" s="46"/>
      <c r="D1399" s="37"/>
      <c r="E1399" s="37"/>
      <c r="F1399" s="37"/>
      <c r="G1399" s="40" t="str">
        <f>IF(tblMovimientos[[#This Row],[Producto]]="","",TRIM(LEFT(tblMovimientos[[#This Row],[Producto]],FIND(" · ",tblMovimientos[[#This Row],[Producto]]&amp;" · ")-1)))</f>
        <v/>
      </c>
      <c r="H1399" s="40" t="str">
        <f>IF(tblMovimientos[[#This Row],[SKU]]="","",IFERROR(INDEX(tblProductos[Unidad],MATCH(tblMovimientos[[#This Row],[SKU]],tblProductos[SKU],0)),"?"))</f>
        <v/>
      </c>
      <c r="I1399" s="39"/>
      <c r="J1399" s="47" t="str">
        <f>IF(tblMovimientos[[#This Row],[Tipo]]="","",IFERROR(INDEX(tblTiposMov[FactorStock],MATCH(tblMovimientos[[#This Row],[Tipo]],tblTiposMov[Tipo],0)),0))</f>
        <v/>
      </c>
      <c r="K13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3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399" s="37"/>
      <c r="O1399" s="37"/>
      <c r="P1399" s="37"/>
    </row>
    <row r="1400" spans="2:16" x14ac:dyDescent="0.25">
      <c r="B14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0" s="46"/>
      <c r="D1400" s="37"/>
      <c r="E1400" s="37"/>
      <c r="F1400" s="37"/>
      <c r="G1400" s="40" t="str">
        <f>IF(tblMovimientos[[#This Row],[Producto]]="","",TRIM(LEFT(tblMovimientos[[#This Row],[Producto]],FIND(" · ",tblMovimientos[[#This Row],[Producto]]&amp;" · ")-1)))</f>
        <v/>
      </c>
      <c r="H1400" s="40" t="str">
        <f>IF(tblMovimientos[[#This Row],[SKU]]="","",IFERROR(INDEX(tblProductos[Unidad],MATCH(tblMovimientos[[#This Row],[SKU]],tblProductos[SKU],0)),"?"))</f>
        <v/>
      </c>
      <c r="I1400" s="39"/>
      <c r="J1400" s="47" t="str">
        <f>IF(tblMovimientos[[#This Row],[Tipo]]="","",IFERROR(INDEX(tblTiposMov[FactorStock],MATCH(tblMovimientos[[#This Row],[Tipo]],tblTiposMov[Tipo],0)),0))</f>
        <v/>
      </c>
      <c r="K14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0" s="37"/>
      <c r="O1400" s="37"/>
      <c r="P1400" s="37"/>
    </row>
    <row r="1401" spans="2:16" x14ac:dyDescent="0.25">
      <c r="B14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1" s="46"/>
      <c r="D1401" s="37"/>
      <c r="E1401" s="37"/>
      <c r="F1401" s="37"/>
      <c r="G1401" s="40" t="str">
        <f>IF(tblMovimientos[[#This Row],[Producto]]="","",TRIM(LEFT(tblMovimientos[[#This Row],[Producto]],FIND(" · ",tblMovimientos[[#This Row],[Producto]]&amp;" · ")-1)))</f>
        <v/>
      </c>
      <c r="H1401" s="40" t="str">
        <f>IF(tblMovimientos[[#This Row],[SKU]]="","",IFERROR(INDEX(tblProductos[Unidad],MATCH(tblMovimientos[[#This Row],[SKU]],tblProductos[SKU],0)),"?"))</f>
        <v/>
      </c>
      <c r="I1401" s="39"/>
      <c r="J1401" s="47" t="str">
        <f>IF(tblMovimientos[[#This Row],[Tipo]]="","",IFERROR(INDEX(tblTiposMov[FactorStock],MATCH(tblMovimientos[[#This Row],[Tipo]],tblTiposMov[Tipo],0)),0))</f>
        <v/>
      </c>
      <c r="K14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1" s="37"/>
      <c r="O1401" s="37"/>
      <c r="P1401" s="37"/>
    </row>
    <row r="1402" spans="2:16" x14ac:dyDescent="0.25">
      <c r="B14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2" s="46"/>
      <c r="D1402" s="37"/>
      <c r="E1402" s="37"/>
      <c r="F1402" s="37"/>
      <c r="G1402" s="40" t="str">
        <f>IF(tblMovimientos[[#This Row],[Producto]]="","",TRIM(LEFT(tblMovimientos[[#This Row],[Producto]],FIND(" · ",tblMovimientos[[#This Row],[Producto]]&amp;" · ")-1)))</f>
        <v/>
      </c>
      <c r="H1402" s="40" t="str">
        <f>IF(tblMovimientos[[#This Row],[SKU]]="","",IFERROR(INDEX(tblProductos[Unidad],MATCH(tblMovimientos[[#This Row],[SKU]],tblProductos[SKU],0)),"?"))</f>
        <v/>
      </c>
      <c r="I1402" s="39"/>
      <c r="J1402" s="47" t="str">
        <f>IF(tblMovimientos[[#This Row],[Tipo]]="","",IFERROR(INDEX(tblTiposMov[FactorStock],MATCH(tblMovimientos[[#This Row],[Tipo]],tblTiposMov[Tipo],0)),0))</f>
        <v/>
      </c>
      <c r="K14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2" s="37"/>
      <c r="O1402" s="37"/>
      <c r="P1402" s="37"/>
    </row>
    <row r="1403" spans="2:16" x14ac:dyDescent="0.25">
      <c r="B14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3" s="46"/>
      <c r="D1403" s="37"/>
      <c r="E1403" s="37"/>
      <c r="F1403" s="37"/>
      <c r="G1403" s="40" t="str">
        <f>IF(tblMovimientos[[#This Row],[Producto]]="","",TRIM(LEFT(tblMovimientos[[#This Row],[Producto]],FIND(" · ",tblMovimientos[[#This Row],[Producto]]&amp;" · ")-1)))</f>
        <v/>
      </c>
      <c r="H1403" s="40" t="str">
        <f>IF(tblMovimientos[[#This Row],[SKU]]="","",IFERROR(INDEX(tblProductos[Unidad],MATCH(tblMovimientos[[#This Row],[SKU]],tblProductos[SKU],0)),"?"))</f>
        <v/>
      </c>
      <c r="I1403" s="39"/>
      <c r="J1403" s="47" t="str">
        <f>IF(tblMovimientos[[#This Row],[Tipo]]="","",IFERROR(INDEX(tblTiposMov[FactorStock],MATCH(tblMovimientos[[#This Row],[Tipo]],tblTiposMov[Tipo],0)),0))</f>
        <v/>
      </c>
      <c r="K14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3" s="37"/>
      <c r="O1403" s="37"/>
      <c r="P1403" s="37"/>
    </row>
    <row r="1404" spans="2:16" x14ac:dyDescent="0.25">
      <c r="B14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4" s="46"/>
      <c r="D1404" s="37"/>
      <c r="E1404" s="37"/>
      <c r="F1404" s="37"/>
      <c r="G1404" s="40" t="str">
        <f>IF(tblMovimientos[[#This Row],[Producto]]="","",TRIM(LEFT(tblMovimientos[[#This Row],[Producto]],FIND(" · ",tblMovimientos[[#This Row],[Producto]]&amp;" · ")-1)))</f>
        <v/>
      </c>
      <c r="H1404" s="40" t="str">
        <f>IF(tblMovimientos[[#This Row],[SKU]]="","",IFERROR(INDEX(tblProductos[Unidad],MATCH(tblMovimientos[[#This Row],[SKU]],tblProductos[SKU],0)),"?"))</f>
        <v/>
      </c>
      <c r="I1404" s="39"/>
      <c r="J1404" s="47" t="str">
        <f>IF(tblMovimientos[[#This Row],[Tipo]]="","",IFERROR(INDEX(tblTiposMov[FactorStock],MATCH(tblMovimientos[[#This Row],[Tipo]],tblTiposMov[Tipo],0)),0))</f>
        <v/>
      </c>
      <c r="K14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4" s="37"/>
      <c r="O1404" s="37"/>
      <c r="P1404" s="37"/>
    </row>
    <row r="1405" spans="2:16" x14ac:dyDescent="0.25">
      <c r="B14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5" s="46"/>
      <c r="D1405" s="37"/>
      <c r="E1405" s="37"/>
      <c r="F1405" s="37"/>
      <c r="G1405" s="40" t="str">
        <f>IF(tblMovimientos[[#This Row],[Producto]]="","",TRIM(LEFT(tblMovimientos[[#This Row],[Producto]],FIND(" · ",tblMovimientos[[#This Row],[Producto]]&amp;" · ")-1)))</f>
        <v/>
      </c>
      <c r="H1405" s="40" t="str">
        <f>IF(tblMovimientos[[#This Row],[SKU]]="","",IFERROR(INDEX(tblProductos[Unidad],MATCH(tblMovimientos[[#This Row],[SKU]],tblProductos[SKU],0)),"?"))</f>
        <v/>
      </c>
      <c r="I1405" s="39"/>
      <c r="J1405" s="47" t="str">
        <f>IF(tblMovimientos[[#This Row],[Tipo]]="","",IFERROR(INDEX(tblTiposMov[FactorStock],MATCH(tblMovimientos[[#This Row],[Tipo]],tblTiposMov[Tipo],0)),0))</f>
        <v/>
      </c>
      <c r="K14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5" s="37"/>
      <c r="O1405" s="37"/>
      <c r="P1405" s="37"/>
    </row>
    <row r="1406" spans="2:16" x14ac:dyDescent="0.25">
      <c r="B14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6" s="46"/>
      <c r="D1406" s="37"/>
      <c r="E1406" s="37"/>
      <c r="F1406" s="37"/>
      <c r="G1406" s="40" t="str">
        <f>IF(tblMovimientos[[#This Row],[Producto]]="","",TRIM(LEFT(tblMovimientos[[#This Row],[Producto]],FIND(" · ",tblMovimientos[[#This Row],[Producto]]&amp;" · ")-1)))</f>
        <v/>
      </c>
      <c r="H1406" s="40" t="str">
        <f>IF(tblMovimientos[[#This Row],[SKU]]="","",IFERROR(INDEX(tblProductos[Unidad],MATCH(tblMovimientos[[#This Row],[SKU]],tblProductos[SKU],0)),"?"))</f>
        <v/>
      </c>
      <c r="I1406" s="39"/>
      <c r="J1406" s="47" t="str">
        <f>IF(tblMovimientos[[#This Row],[Tipo]]="","",IFERROR(INDEX(tblTiposMov[FactorStock],MATCH(tblMovimientos[[#This Row],[Tipo]],tblTiposMov[Tipo],0)),0))</f>
        <v/>
      </c>
      <c r="K14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6" s="37"/>
      <c r="O1406" s="37"/>
      <c r="P1406" s="37"/>
    </row>
    <row r="1407" spans="2:16" x14ac:dyDescent="0.25">
      <c r="B14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7" s="46"/>
      <c r="D1407" s="37"/>
      <c r="E1407" s="37"/>
      <c r="F1407" s="37"/>
      <c r="G1407" s="40" t="str">
        <f>IF(tblMovimientos[[#This Row],[Producto]]="","",TRIM(LEFT(tblMovimientos[[#This Row],[Producto]],FIND(" · ",tblMovimientos[[#This Row],[Producto]]&amp;" · ")-1)))</f>
        <v/>
      </c>
      <c r="H1407" s="40" t="str">
        <f>IF(tblMovimientos[[#This Row],[SKU]]="","",IFERROR(INDEX(tblProductos[Unidad],MATCH(tblMovimientos[[#This Row],[SKU]],tblProductos[SKU],0)),"?"))</f>
        <v/>
      </c>
      <c r="I1407" s="39"/>
      <c r="J1407" s="47" t="str">
        <f>IF(tblMovimientos[[#This Row],[Tipo]]="","",IFERROR(INDEX(tblTiposMov[FactorStock],MATCH(tblMovimientos[[#This Row],[Tipo]],tblTiposMov[Tipo],0)),0))</f>
        <v/>
      </c>
      <c r="K14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7" s="37"/>
      <c r="O1407" s="37"/>
      <c r="P1407" s="37"/>
    </row>
    <row r="1408" spans="2:16" x14ac:dyDescent="0.25">
      <c r="B14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8" s="46"/>
      <c r="D1408" s="37"/>
      <c r="E1408" s="37"/>
      <c r="F1408" s="37"/>
      <c r="G1408" s="40" t="str">
        <f>IF(tblMovimientos[[#This Row],[Producto]]="","",TRIM(LEFT(tblMovimientos[[#This Row],[Producto]],FIND(" · ",tblMovimientos[[#This Row],[Producto]]&amp;" · ")-1)))</f>
        <v/>
      </c>
      <c r="H1408" s="40" t="str">
        <f>IF(tblMovimientos[[#This Row],[SKU]]="","",IFERROR(INDEX(tblProductos[Unidad],MATCH(tblMovimientos[[#This Row],[SKU]],tblProductos[SKU],0)),"?"))</f>
        <v/>
      </c>
      <c r="I1408" s="39"/>
      <c r="J1408" s="47" t="str">
        <f>IF(tblMovimientos[[#This Row],[Tipo]]="","",IFERROR(INDEX(tblTiposMov[FactorStock],MATCH(tblMovimientos[[#This Row],[Tipo]],tblTiposMov[Tipo],0)),0))</f>
        <v/>
      </c>
      <c r="K14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8" s="37"/>
      <c r="O1408" s="37"/>
      <c r="P1408" s="37"/>
    </row>
    <row r="1409" spans="2:16" x14ac:dyDescent="0.25">
      <c r="B14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09" s="46"/>
      <c r="D1409" s="37"/>
      <c r="E1409" s="37"/>
      <c r="F1409" s="37"/>
      <c r="G1409" s="40" t="str">
        <f>IF(tblMovimientos[[#This Row],[Producto]]="","",TRIM(LEFT(tblMovimientos[[#This Row],[Producto]],FIND(" · ",tblMovimientos[[#This Row],[Producto]]&amp;" · ")-1)))</f>
        <v/>
      </c>
      <c r="H1409" s="40" t="str">
        <f>IF(tblMovimientos[[#This Row],[SKU]]="","",IFERROR(INDEX(tblProductos[Unidad],MATCH(tblMovimientos[[#This Row],[SKU]],tblProductos[SKU],0)),"?"))</f>
        <v/>
      </c>
      <c r="I1409" s="39"/>
      <c r="J1409" s="47" t="str">
        <f>IF(tblMovimientos[[#This Row],[Tipo]]="","",IFERROR(INDEX(tblTiposMov[FactorStock],MATCH(tblMovimientos[[#This Row],[Tipo]],tblTiposMov[Tipo],0)),0))</f>
        <v/>
      </c>
      <c r="K14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09" s="37"/>
      <c r="O1409" s="37"/>
      <c r="P1409" s="37"/>
    </row>
    <row r="1410" spans="2:16" x14ac:dyDescent="0.25">
      <c r="B14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0" s="46"/>
      <c r="D1410" s="37"/>
      <c r="E1410" s="37"/>
      <c r="F1410" s="37"/>
      <c r="G1410" s="40" t="str">
        <f>IF(tblMovimientos[[#This Row],[Producto]]="","",TRIM(LEFT(tblMovimientos[[#This Row],[Producto]],FIND(" · ",tblMovimientos[[#This Row],[Producto]]&amp;" · ")-1)))</f>
        <v/>
      </c>
      <c r="H1410" s="40" t="str">
        <f>IF(tblMovimientos[[#This Row],[SKU]]="","",IFERROR(INDEX(tblProductos[Unidad],MATCH(tblMovimientos[[#This Row],[SKU]],tblProductos[SKU],0)),"?"))</f>
        <v/>
      </c>
      <c r="I1410" s="39"/>
      <c r="J1410" s="47" t="str">
        <f>IF(tblMovimientos[[#This Row],[Tipo]]="","",IFERROR(INDEX(tblTiposMov[FactorStock],MATCH(tblMovimientos[[#This Row],[Tipo]],tblTiposMov[Tipo],0)),0))</f>
        <v/>
      </c>
      <c r="K14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0" s="37"/>
      <c r="O1410" s="37"/>
      <c r="P1410" s="37"/>
    </row>
    <row r="1411" spans="2:16" x14ac:dyDescent="0.25">
      <c r="B14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1" s="46"/>
      <c r="D1411" s="37"/>
      <c r="E1411" s="37"/>
      <c r="F1411" s="37"/>
      <c r="G1411" s="40" t="str">
        <f>IF(tblMovimientos[[#This Row],[Producto]]="","",TRIM(LEFT(tblMovimientos[[#This Row],[Producto]],FIND(" · ",tblMovimientos[[#This Row],[Producto]]&amp;" · ")-1)))</f>
        <v/>
      </c>
      <c r="H1411" s="40" t="str">
        <f>IF(tblMovimientos[[#This Row],[SKU]]="","",IFERROR(INDEX(tblProductos[Unidad],MATCH(tblMovimientos[[#This Row],[SKU]],tblProductos[SKU],0)),"?"))</f>
        <v/>
      </c>
      <c r="I1411" s="39"/>
      <c r="J1411" s="47" t="str">
        <f>IF(tblMovimientos[[#This Row],[Tipo]]="","",IFERROR(INDEX(tblTiposMov[FactorStock],MATCH(tblMovimientos[[#This Row],[Tipo]],tblTiposMov[Tipo],0)),0))</f>
        <v/>
      </c>
      <c r="K14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1" s="37"/>
      <c r="O1411" s="37"/>
      <c r="P1411" s="37"/>
    </row>
    <row r="1412" spans="2:16" x14ac:dyDescent="0.25">
      <c r="B14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2" s="46"/>
      <c r="D1412" s="37"/>
      <c r="E1412" s="37"/>
      <c r="F1412" s="37"/>
      <c r="G1412" s="40" t="str">
        <f>IF(tblMovimientos[[#This Row],[Producto]]="","",TRIM(LEFT(tblMovimientos[[#This Row],[Producto]],FIND(" · ",tblMovimientos[[#This Row],[Producto]]&amp;" · ")-1)))</f>
        <v/>
      </c>
      <c r="H1412" s="40" t="str">
        <f>IF(tblMovimientos[[#This Row],[SKU]]="","",IFERROR(INDEX(tblProductos[Unidad],MATCH(tblMovimientos[[#This Row],[SKU]],tblProductos[SKU],0)),"?"))</f>
        <v/>
      </c>
      <c r="I1412" s="39"/>
      <c r="J1412" s="47" t="str">
        <f>IF(tblMovimientos[[#This Row],[Tipo]]="","",IFERROR(INDEX(tblTiposMov[FactorStock],MATCH(tblMovimientos[[#This Row],[Tipo]],tblTiposMov[Tipo],0)),0))</f>
        <v/>
      </c>
      <c r="K14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2" s="37"/>
      <c r="O1412" s="37"/>
      <c r="P1412" s="37"/>
    </row>
    <row r="1413" spans="2:16" x14ac:dyDescent="0.25">
      <c r="B14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3" s="46"/>
      <c r="D1413" s="37"/>
      <c r="E1413" s="37"/>
      <c r="F1413" s="37"/>
      <c r="G1413" s="40" t="str">
        <f>IF(tblMovimientos[[#This Row],[Producto]]="","",TRIM(LEFT(tblMovimientos[[#This Row],[Producto]],FIND(" · ",tblMovimientos[[#This Row],[Producto]]&amp;" · ")-1)))</f>
        <v/>
      </c>
      <c r="H1413" s="40" t="str">
        <f>IF(tblMovimientos[[#This Row],[SKU]]="","",IFERROR(INDEX(tblProductos[Unidad],MATCH(tblMovimientos[[#This Row],[SKU]],tblProductos[SKU],0)),"?"))</f>
        <v/>
      </c>
      <c r="I1413" s="39"/>
      <c r="J1413" s="47" t="str">
        <f>IF(tblMovimientos[[#This Row],[Tipo]]="","",IFERROR(INDEX(tblTiposMov[FactorStock],MATCH(tblMovimientos[[#This Row],[Tipo]],tblTiposMov[Tipo],0)),0))</f>
        <v/>
      </c>
      <c r="K14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3" s="37"/>
      <c r="O1413" s="37"/>
      <c r="P1413" s="37"/>
    </row>
    <row r="1414" spans="2:16" x14ac:dyDescent="0.25">
      <c r="B14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4" s="46"/>
      <c r="D1414" s="37"/>
      <c r="E1414" s="37"/>
      <c r="F1414" s="37"/>
      <c r="G1414" s="40" t="str">
        <f>IF(tblMovimientos[[#This Row],[Producto]]="","",TRIM(LEFT(tblMovimientos[[#This Row],[Producto]],FIND(" · ",tblMovimientos[[#This Row],[Producto]]&amp;" · ")-1)))</f>
        <v/>
      </c>
      <c r="H1414" s="40" t="str">
        <f>IF(tblMovimientos[[#This Row],[SKU]]="","",IFERROR(INDEX(tblProductos[Unidad],MATCH(tblMovimientos[[#This Row],[SKU]],tblProductos[SKU],0)),"?"))</f>
        <v/>
      </c>
      <c r="I1414" s="39"/>
      <c r="J1414" s="47" t="str">
        <f>IF(tblMovimientos[[#This Row],[Tipo]]="","",IFERROR(INDEX(tblTiposMov[FactorStock],MATCH(tblMovimientos[[#This Row],[Tipo]],tblTiposMov[Tipo],0)),0))</f>
        <v/>
      </c>
      <c r="K14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4" s="37"/>
      <c r="O1414" s="37"/>
      <c r="P1414" s="37"/>
    </row>
    <row r="1415" spans="2:16" x14ac:dyDescent="0.25">
      <c r="B14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5" s="46"/>
      <c r="D1415" s="37"/>
      <c r="E1415" s="37"/>
      <c r="F1415" s="37"/>
      <c r="G1415" s="40" t="str">
        <f>IF(tblMovimientos[[#This Row],[Producto]]="","",TRIM(LEFT(tblMovimientos[[#This Row],[Producto]],FIND(" · ",tblMovimientos[[#This Row],[Producto]]&amp;" · ")-1)))</f>
        <v/>
      </c>
      <c r="H1415" s="40" t="str">
        <f>IF(tblMovimientos[[#This Row],[SKU]]="","",IFERROR(INDEX(tblProductos[Unidad],MATCH(tblMovimientos[[#This Row],[SKU]],tblProductos[SKU],0)),"?"))</f>
        <v/>
      </c>
      <c r="I1415" s="39"/>
      <c r="J1415" s="47" t="str">
        <f>IF(tblMovimientos[[#This Row],[Tipo]]="","",IFERROR(INDEX(tblTiposMov[FactorStock],MATCH(tblMovimientos[[#This Row],[Tipo]],tblTiposMov[Tipo],0)),0))</f>
        <v/>
      </c>
      <c r="K14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5" s="37"/>
      <c r="O1415" s="37"/>
      <c r="P1415" s="37"/>
    </row>
    <row r="1416" spans="2:16" x14ac:dyDescent="0.25">
      <c r="B14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6" s="46"/>
      <c r="D1416" s="37"/>
      <c r="E1416" s="37"/>
      <c r="F1416" s="37"/>
      <c r="G1416" s="40" t="str">
        <f>IF(tblMovimientos[[#This Row],[Producto]]="","",TRIM(LEFT(tblMovimientos[[#This Row],[Producto]],FIND(" · ",tblMovimientos[[#This Row],[Producto]]&amp;" · ")-1)))</f>
        <v/>
      </c>
      <c r="H1416" s="40" t="str">
        <f>IF(tblMovimientos[[#This Row],[SKU]]="","",IFERROR(INDEX(tblProductos[Unidad],MATCH(tblMovimientos[[#This Row],[SKU]],tblProductos[SKU],0)),"?"))</f>
        <v/>
      </c>
      <c r="I1416" s="39"/>
      <c r="J1416" s="47" t="str">
        <f>IF(tblMovimientos[[#This Row],[Tipo]]="","",IFERROR(INDEX(tblTiposMov[FactorStock],MATCH(tblMovimientos[[#This Row],[Tipo]],tblTiposMov[Tipo],0)),0))</f>
        <v/>
      </c>
      <c r="K14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6" s="37"/>
      <c r="O1416" s="37"/>
      <c r="P1416" s="37"/>
    </row>
    <row r="1417" spans="2:16" x14ac:dyDescent="0.25">
      <c r="B14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7" s="46"/>
      <c r="D1417" s="37"/>
      <c r="E1417" s="37"/>
      <c r="F1417" s="37"/>
      <c r="G1417" s="40" t="str">
        <f>IF(tblMovimientos[[#This Row],[Producto]]="","",TRIM(LEFT(tblMovimientos[[#This Row],[Producto]],FIND(" · ",tblMovimientos[[#This Row],[Producto]]&amp;" · ")-1)))</f>
        <v/>
      </c>
      <c r="H1417" s="40" t="str">
        <f>IF(tblMovimientos[[#This Row],[SKU]]="","",IFERROR(INDEX(tblProductos[Unidad],MATCH(tblMovimientos[[#This Row],[SKU]],tblProductos[SKU],0)),"?"))</f>
        <v/>
      </c>
      <c r="I1417" s="39"/>
      <c r="J1417" s="47" t="str">
        <f>IF(tblMovimientos[[#This Row],[Tipo]]="","",IFERROR(INDEX(tblTiposMov[FactorStock],MATCH(tblMovimientos[[#This Row],[Tipo]],tblTiposMov[Tipo],0)),0))</f>
        <v/>
      </c>
      <c r="K14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7" s="37"/>
      <c r="O1417" s="37"/>
      <c r="P1417" s="37"/>
    </row>
    <row r="1418" spans="2:16" x14ac:dyDescent="0.25">
      <c r="B14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8" s="46"/>
      <c r="D1418" s="37"/>
      <c r="E1418" s="37"/>
      <c r="F1418" s="37"/>
      <c r="G1418" s="40" t="str">
        <f>IF(tblMovimientos[[#This Row],[Producto]]="","",TRIM(LEFT(tblMovimientos[[#This Row],[Producto]],FIND(" · ",tblMovimientos[[#This Row],[Producto]]&amp;" · ")-1)))</f>
        <v/>
      </c>
      <c r="H1418" s="40" t="str">
        <f>IF(tblMovimientos[[#This Row],[SKU]]="","",IFERROR(INDEX(tblProductos[Unidad],MATCH(tblMovimientos[[#This Row],[SKU]],tblProductos[SKU],0)),"?"))</f>
        <v/>
      </c>
      <c r="I1418" s="39"/>
      <c r="J1418" s="47" t="str">
        <f>IF(tblMovimientos[[#This Row],[Tipo]]="","",IFERROR(INDEX(tblTiposMov[FactorStock],MATCH(tblMovimientos[[#This Row],[Tipo]],tblTiposMov[Tipo],0)),0))</f>
        <v/>
      </c>
      <c r="K14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8" s="37"/>
      <c r="O1418" s="37"/>
      <c r="P1418" s="37"/>
    </row>
    <row r="1419" spans="2:16" x14ac:dyDescent="0.25">
      <c r="B14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19" s="46"/>
      <c r="D1419" s="37"/>
      <c r="E1419" s="37"/>
      <c r="F1419" s="37"/>
      <c r="G1419" s="40" t="str">
        <f>IF(tblMovimientos[[#This Row],[Producto]]="","",TRIM(LEFT(tblMovimientos[[#This Row],[Producto]],FIND(" · ",tblMovimientos[[#This Row],[Producto]]&amp;" · ")-1)))</f>
        <v/>
      </c>
      <c r="H1419" s="40" t="str">
        <f>IF(tblMovimientos[[#This Row],[SKU]]="","",IFERROR(INDEX(tblProductos[Unidad],MATCH(tblMovimientos[[#This Row],[SKU]],tblProductos[SKU],0)),"?"))</f>
        <v/>
      </c>
      <c r="I1419" s="39"/>
      <c r="J1419" s="47" t="str">
        <f>IF(tblMovimientos[[#This Row],[Tipo]]="","",IFERROR(INDEX(tblTiposMov[FactorStock],MATCH(tblMovimientos[[#This Row],[Tipo]],tblTiposMov[Tipo],0)),0))</f>
        <v/>
      </c>
      <c r="K14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19" s="37"/>
      <c r="O1419" s="37"/>
      <c r="P1419" s="37"/>
    </row>
    <row r="1420" spans="2:16" x14ac:dyDescent="0.25">
      <c r="B14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0" s="46"/>
      <c r="D1420" s="37"/>
      <c r="E1420" s="37"/>
      <c r="F1420" s="37"/>
      <c r="G1420" s="40" t="str">
        <f>IF(tblMovimientos[[#This Row],[Producto]]="","",TRIM(LEFT(tblMovimientos[[#This Row],[Producto]],FIND(" · ",tblMovimientos[[#This Row],[Producto]]&amp;" · ")-1)))</f>
        <v/>
      </c>
      <c r="H1420" s="40" t="str">
        <f>IF(tblMovimientos[[#This Row],[SKU]]="","",IFERROR(INDEX(tblProductos[Unidad],MATCH(tblMovimientos[[#This Row],[SKU]],tblProductos[SKU],0)),"?"))</f>
        <v/>
      </c>
      <c r="I1420" s="39"/>
      <c r="J1420" s="47" t="str">
        <f>IF(tblMovimientos[[#This Row],[Tipo]]="","",IFERROR(INDEX(tblTiposMov[FactorStock],MATCH(tblMovimientos[[#This Row],[Tipo]],tblTiposMov[Tipo],0)),0))</f>
        <v/>
      </c>
      <c r="K14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0" s="37"/>
      <c r="O1420" s="37"/>
      <c r="P1420" s="37"/>
    </row>
    <row r="1421" spans="2:16" x14ac:dyDescent="0.25">
      <c r="B14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1" s="46"/>
      <c r="D1421" s="37"/>
      <c r="E1421" s="37"/>
      <c r="F1421" s="37"/>
      <c r="G1421" s="40" t="str">
        <f>IF(tblMovimientos[[#This Row],[Producto]]="","",TRIM(LEFT(tblMovimientos[[#This Row],[Producto]],FIND(" · ",tblMovimientos[[#This Row],[Producto]]&amp;" · ")-1)))</f>
        <v/>
      </c>
      <c r="H1421" s="40" t="str">
        <f>IF(tblMovimientos[[#This Row],[SKU]]="","",IFERROR(INDEX(tblProductos[Unidad],MATCH(tblMovimientos[[#This Row],[SKU]],tblProductos[SKU],0)),"?"))</f>
        <v/>
      </c>
      <c r="I1421" s="39"/>
      <c r="J1421" s="47" t="str">
        <f>IF(tblMovimientos[[#This Row],[Tipo]]="","",IFERROR(INDEX(tblTiposMov[FactorStock],MATCH(tblMovimientos[[#This Row],[Tipo]],tblTiposMov[Tipo],0)),0))</f>
        <v/>
      </c>
      <c r="K14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1" s="37"/>
      <c r="O1421" s="37"/>
      <c r="P1421" s="37"/>
    </row>
    <row r="1422" spans="2:16" x14ac:dyDescent="0.25">
      <c r="B14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2" s="46"/>
      <c r="D1422" s="37"/>
      <c r="E1422" s="37"/>
      <c r="F1422" s="37"/>
      <c r="G1422" s="40" t="str">
        <f>IF(tblMovimientos[[#This Row],[Producto]]="","",TRIM(LEFT(tblMovimientos[[#This Row],[Producto]],FIND(" · ",tblMovimientos[[#This Row],[Producto]]&amp;" · ")-1)))</f>
        <v/>
      </c>
      <c r="H1422" s="40" t="str">
        <f>IF(tblMovimientos[[#This Row],[SKU]]="","",IFERROR(INDEX(tblProductos[Unidad],MATCH(tblMovimientos[[#This Row],[SKU]],tblProductos[SKU],0)),"?"))</f>
        <v/>
      </c>
      <c r="I1422" s="39"/>
      <c r="J1422" s="47" t="str">
        <f>IF(tblMovimientos[[#This Row],[Tipo]]="","",IFERROR(INDEX(tblTiposMov[FactorStock],MATCH(tblMovimientos[[#This Row],[Tipo]],tblTiposMov[Tipo],0)),0))</f>
        <v/>
      </c>
      <c r="K14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2" s="37"/>
      <c r="O1422" s="37"/>
      <c r="P1422" s="37"/>
    </row>
    <row r="1423" spans="2:16" x14ac:dyDescent="0.25">
      <c r="B14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3" s="46"/>
      <c r="D1423" s="37"/>
      <c r="E1423" s="37"/>
      <c r="F1423" s="37"/>
      <c r="G1423" s="40" t="str">
        <f>IF(tblMovimientos[[#This Row],[Producto]]="","",TRIM(LEFT(tblMovimientos[[#This Row],[Producto]],FIND(" · ",tblMovimientos[[#This Row],[Producto]]&amp;" · ")-1)))</f>
        <v/>
      </c>
      <c r="H1423" s="40" t="str">
        <f>IF(tblMovimientos[[#This Row],[SKU]]="","",IFERROR(INDEX(tblProductos[Unidad],MATCH(tblMovimientos[[#This Row],[SKU]],tblProductos[SKU],0)),"?"))</f>
        <v/>
      </c>
      <c r="I1423" s="39"/>
      <c r="J1423" s="47" t="str">
        <f>IF(tblMovimientos[[#This Row],[Tipo]]="","",IFERROR(INDEX(tblTiposMov[FactorStock],MATCH(tblMovimientos[[#This Row],[Tipo]],tblTiposMov[Tipo],0)),0))</f>
        <v/>
      </c>
      <c r="K14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3" s="37"/>
      <c r="O1423" s="37"/>
      <c r="P1423" s="37"/>
    </row>
    <row r="1424" spans="2:16" x14ac:dyDescent="0.25">
      <c r="B14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4" s="46"/>
      <c r="D1424" s="37"/>
      <c r="E1424" s="37"/>
      <c r="F1424" s="37"/>
      <c r="G1424" s="40" t="str">
        <f>IF(tblMovimientos[[#This Row],[Producto]]="","",TRIM(LEFT(tblMovimientos[[#This Row],[Producto]],FIND(" · ",tblMovimientos[[#This Row],[Producto]]&amp;" · ")-1)))</f>
        <v/>
      </c>
      <c r="H1424" s="40" t="str">
        <f>IF(tblMovimientos[[#This Row],[SKU]]="","",IFERROR(INDEX(tblProductos[Unidad],MATCH(tblMovimientos[[#This Row],[SKU]],tblProductos[SKU],0)),"?"))</f>
        <v/>
      </c>
      <c r="I1424" s="39"/>
      <c r="J1424" s="47" t="str">
        <f>IF(tblMovimientos[[#This Row],[Tipo]]="","",IFERROR(INDEX(tblTiposMov[FactorStock],MATCH(tblMovimientos[[#This Row],[Tipo]],tblTiposMov[Tipo],0)),0))</f>
        <v/>
      </c>
      <c r="K14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4" s="37"/>
      <c r="O1424" s="37"/>
      <c r="P1424" s="37"/>
    </row>
    <row r="1425" spans="2:16" x14ac:dyDescent="0.25">
      <c r="B14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5" s="46"/>
      <c r="D1425" s="37"/>
      <c r="E1425" s="37"/>
      <c r="F1425" s="37"/>
      <c r="G1425" s="40" t="str">
        <f>IF(tblMovimientos[[#This Row],[Producto]]="","",TRIM(LEFT(tblMovimientos[[#This Row],[Producto]],FIND(" · ",tblMovimientos[[#This Row],[Producto]]&amp;" · ")-1)))</f>
        <v/>
      </c>
      <c r="H1425" s="40" t="str">
        <f>IF(tblMovimientos[[#This Row],[SKU]]="","",IFERROR(INDEX(tblProductos[Unidad],MATCH(tblMovimientos[[#This Row],[SKU]],tblProductos[SKU],0)),"?"))</f>
        <v/>
      </c>
      <c r="I1425" s="39"/>
      <c r="J1425" s="47" t="str">
        <f>IF(tblMovimientos[[#This Row],[Tipo]]="","",IFERROR(INDEX(tblTiposMov[FactorStock],MATCH(tblMovimientos[[#This Row],[Tipo]],tblTiposMov[Tipo],0)),0))</f>
        <v/>
      </c>
      <c r="K14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5" s="37"/>
      <c r="O1425" s="37"/>
      <c r="P1425" s="37"/>
    </row>
    <row r="1426" spans="2:16" x14ac:dyDescent="0.25">
      <c r="B14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6" s="46"/>
      <c r="D1426" s="37"/>
      <c r="E1426" s="37"/>
      <c r="F1426" s="37"/>
      <c r="G1426" s="40" t="str">
        <f>IF(tblMovimientos[[#This Row],[Producto]]="","",TRIM(LEFT(tblMovimientos[[#This Row],[Producto]],FIND(" · ",tblMovimientos[[#This Row],[Producto]]&amp;" · ")-1)))</f>
        <v/>
      </c>
      <c r="H1426" s="40" t="str">
        <f>IF(tblMovimientos[[#This Row],[SKU]]="","",IFERROR(INDEX(tblProductos[Unidad],MATCH(tblMovimientos[[#This Row],[SKU]],tblProductos[SKU],0)),"?"))</f>
        <v/>
      </c>
      <c r="I1426" s="39"/>
      <c r="J1426" s="47" t="str">
        <f>IF(tblMovimientos[[#This Row],[Tipo]]="","",IFERROR(INDEX(tblTiposMov[FactorStock],MATCH(tblMovimientos[[#This Row],[Tipo]],tblTiposMov[Tipo],0)),0))</f>
        <v/>
      </c>
      <c r="K14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6" s="37"/>
      <c r="O1426" s="37"/>
      <c r="P1426" s="37"/>
    </row>
    <row r="1427" spans="2:16" x14ac:dyDescent="0.25">
      <c r="B14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7" s="46"/>
      <c r="D1427" s="37"/>
      <c r="E1427" s="37"/>
      <c r="F1427" s="37"/>
      <c r="G1427" s="40" t="str">
        <f>IF(tblMovimientos[[#This Row],[Producto]]="","",TRIM(LEFT(tblMovimientos[[#This Row],[Producto]],FIND(" · ",tblMovimientos[[#This Row],[Producto]]&amp;" · ")-1)))</f>
        <v/>
      </c>
      <c r="H1427" s="40" t="str">
        <f>IF(tblMovimientos[[#This Row],[SKU]]="","",IFERROR(INDEX(tblProductos[Unidad],MATCH(tblMovimientos[[#This Row],[SKU]],tblProductos[SKU],0)),"?"))</f>
        <v/>
      </c>
      <c r="I1427" s="39"/>
      <c r="J1427" s="47" t="str">
        <f>IF(tblMovimientos[[#This Row],[Tipo]]="","",IFERROR(INDEX(tblTiposMov[FactorStock],MATCH(tblMovimientos[[#This Row],[Tipo]],tblTiposMov[Tipo],0)),0))</f>
        <v/>
      </c>
      <c r="K14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7" s="37"/>
      <c r="O1427" s="37"/>
      <c r="P1427" s="37"/>
    </row>
    <row r="1428" spans="2:16" x14ac:dyDescent="0.25">
      <c r="B14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8" s="46"/>
      <c r="D1428" s="37"/>
      <c r="E1428" s="37"/>
      <c r="F1428" s="37"/>
      <c r="G1428" s="40" t="str">
        <f>IF(tblMovimientos[[#This Row],[Producto]]="","",TRIM(LEFT(tblMovimientos[[#This Row],[Producto]],FIND(" · ",tblMovimientos[[#This Row],[Producto]]&amp;" · ")-1)))</f>
        <v/>
      </c>
      <c r="H1428" s="40" t="str">
        <f>IF(tblMovimientos[[#This Row],[SKU]]="","",IFERROR(INDEX(tblProductos[Unidad],MATCH(tblMovimientos[[#This Row],[SKU]],tblProductos[SKU],0)),"?"))</f>
        <v/>
      </c>
      <c r="I1428" s="39"/>
      <c r="J1428" s="47" t="str">
        <f>IF(tblMovimientos[[#This Row],[Tipo]]="","",IFERROR(INDEX(tblTiposMov[FactorStock],MATCH(tblMovimientos[[#This Row],[Tipo]],tblTiposMov[Tipo],0)),0))</f>
        <v/>
      </c>
      <c r="K14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8" s="37"/>
      <c r="O1428" s="37"/>
      <c r="P1428" s="37"/>
    </row>
    <row r="1429" spans="2:16" x14ac:dyDescent="0.25">
      <c r="B14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29" s="46"/>
      <c r="D1429" s="37"/>
      <c r="E1429" s="37"/>
      <c r="F1429" s="37"/>
      <c r="G1429" s="40" t="str">
        <f>IF(tblMovimientos[[#This Row],[Producto]]="","",TRIM(LEFT(tblMovimientos[[#This Row],[Producto]],FIND(" · ",tblMovimientos[[#This Row],[Producto]]&amp;" · ")-1)))</f>
        <v/>
      </c>
      <c r="H1429" s="40" t="str">
        <f>IF(tblMovimientos[[#This Row],[SKU]]="","",IFERROR(INDEX(tblProductos[Unidad],MATCH(tblMovimientos[[#This Row],[SKU]],tblProductos[SKU],0)),"?"))</f>
        <v/>
      </c>
      <c r="I1429" s="39"/>
      <c r="J1429" s="47" t="str">
        <f>IF(tblMovimientos[[#This Row],[Tipo]]="","",IFERROR(INDEX(tblTiposMov[FactorStock],MATCH(tblMovimientos[[#This Row],[Tipo]],tblTiposMov[Tipo],0)),0))</f>
        <v/>
      </c>
      <c r="K14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29" s="37"/>
      <c r="O1429" s="37"/>
      <c r="P1429" s="37"/>
    </row>
    <row r="1430" spans="2:16" x14ac:dyDescent="0.25">
      <c r="B14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0" s="46"/>
      <c r="D1430" s="37"/>
      <c r="E1430" s="37"/>
      <c r="F1430" s="37"/>
      <c r="G1430" s="40" t="str">
        <f>IF(tblMovimientos[[#This Row],[Producto]]="","",TRIM(LEFT(tblMovimientos[[#This Row],[Producto]],FIND(" · ",tblMovimientos[[#This Row],[Producto]]&amp;" · ")-1)))</f>
        <v/>
      </c>
      <c r="H1430" s="40" t="str">
        <f>IF(tblMovimientos[[#This Row],[SKU]]="","",IFERROR(INDEX(tblProductos[Unidad],MATCH(tblMovimientos[[#This Row],[SKU]],tblProductos[SKU],0)),"?"))</f>
        <v/>
      </c>
      <c r="I1430" s="39"/>
      <c r="J1430" s="47" t="str">
        <f>IF(tblMovimientos[[#This Row],[Tipo]]="","",IFERROR(INDEX(tblTiposMov[FactorStock],MATCH(tblMovimientos[[#This Row],[Tipo]],tblTiposMov[Tipo],0)),0))</f>
        <v/>
      </c>
      <c r="K14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0" s="37"/>
      <c r="O1430" s="37"/>
      <c r="P1430" s="37"/>
    </row>
    <row r="1431" spans="2:16" x14ac:dyDescent="0.25">
      <c r="B14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1" s="46"/>
      <c r="D1431" s="37"/>
      <c r="E1431" s="37"/>
      <c r="F1431" s="37"/>
      <c r="G1431" s="40" t="str">
        <f>IF(tblMovimientos[[#This Row],[Producto]]="","",TRIM(LEFT(tblMovimientos[[#This Row],[Producto]],FIND(" · ",tblMovimientos[[#This Row],[Producto]]&amp;" · ")-1)))</f>
        <v/>
      </c>
      <c r="H1431" s="40" t="str">
        <f>IF(tblMovimientos[[#This Row],[SKU]]="","",IFERROR(INDEX(tblProductos[Unidad],MATCH(tblMovimientos[[#This Row],[SKU]],tblProductos[SKU],0)),"?"))</f>
        <v/>
      </c>
      <c r="I1431" s="39"/>
      <c r="J1431" s="47" t="str">
        <f>IF(tblMovimientos[[#This Row],[Tipo]]="","",IFERROR(INDEX(tblTiposMov[FactorStock],MATCH(tblMovimientos[[#This Row],[Tipo]],tblTiposMov[Tipo],0)),0))</f>
        <v/>
      </c>
      <c r="K14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1" s="37"/>
      <c r="O1431" s="37"/>
      <c r="P1431" s="37"/>
    </row>
    <row r="1432" spans="2:16" x14ac:dyDescent="0.25">
      <c r="B14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2" s="46"/>
      <c r="D1432" s="37"/>
      <c r="E1432" s="37"/>
      <c r="F1432" s="37"/>
      <c r="G1432" s="40" t="str">
        <f>IF(tblMovimientos[[#This Row],[Producto]]="","",TRIM(LEFT(tblMovimientos[[#This Row],[Producto]],FIND(" · ",tblMovimientos[[#This Row],[Producto]]&amp;" · ")-1)))</f>
        <v/>
      </c>
      <c r="H1432" s="40" t="str">
        <f>IF(tblMovimientos[[#This Row],[SKU]]="","",IFERROR(INDEX(tblProductos[Unidad],MATCH(tblMovimientos[[#This Row],[SKU]],tblProductos[SKU],0)),"?"))</f>
        <v/>
      </c>
      <c r="I1432" s="39"/>
      <c r="J1432" s="47" t="str">
        <f>IF(tblMovimientos[[#This Row],[Tipo]]="","",IFERROR(INDEX(tblTiposMov[FactorStock],MATCH(tblMovimientos[[#This Row],[Tipo]],tblTiposMov[Tipo],0)),0))</f>
        <v/>
      </c>
      <c r="K14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2" s="37"/>
      <c r="O1432" s="37"/>
      <c r="P1432" s="37"/>
    </row>
    <row r="1433" spans="2:16" x14ac:dyDescent="0.25">
      <c r="B14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3" s="46"/>
      <c r="D1433" s="37"/>
      <c r="E1433" s="37"/>
      <c r="F1433" s="37"/>
      <c r="G1433" s="40" t="str">
        <f>IF(tblMovimientos[[#This Row],[Producto]]="","",TRIM(LEFT(tblMovimientos[[#This Row],[Producto]],FIND(" · ",tblMovimientos[[#This Row],[Producto]]&amp;" · ")-1)))</f>
        <v/>
      </c>
      <c r="H1433" s="40" t="str">
        <f>IF(tblMovimientos[[#This Row],[SKU]]="","",IFERROR(INDEX(tblProductos[Unidad],MATCH(tblMovimientos[[#This Row],[SKU]],tblProductos[SKU],0)),"?"))</f>
        <v/>
      </c>
      <c r="I1433" s="39"/>
      <c r="J1433" s="47" t="str">
        <f>IF(tblMovimientos[[#This Row],[Tipo]]="","",IFERROR(INDEX(tblTiposMov[FactorStock],MATCH(tblMovimientos[[#This Row],[Tipo]],tblTiposMov[Tipo],0)),0))</f>
        <v/>
      </c>
      <c r="K14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3" s="37"/>
      <c r="O1433" s="37"/>
      <c r="P1433" s="37"/>
    </row>
    <row r="1434" spans="2:16" x14ac:dyDescent="0.25">
      <c r="B14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4" s="46"/>
      <c r="D1434" s="37"/>
      <c r="E1434" s="37"/>
      <c r="F1434" s="37"/>
      <c r="G1434" s="40" t="str">
        <f>IF(tblMovimientos[[#This Row],[Producto]]="","",TRIM(LEFT(tblMovimientos[[#This Row],[Producto]],FIND(" · ",tblMovimientos[[#This Row],[Producto]]&amp;" · ")-1)))</f>
        <v/>
      </c>
      <c r="H1434" s="40" t="str">
        <f>IF(tblMovimientos[[#This Row],[SKU]]="","",IFERROR(INDEX(tblProductos[Unidad],MATCH(tblMovimientos[[#This Row],[SKU]],tblProductos[SKU],0)),"?"))</f>
        <v/>
      </c>
      <c r="I1434" s="39"/>
      <c r="J1434" s="47" t="str">
        <f>IF(tblMovimientos[[#This Row],[Tipo]]="","",IFERROR(INDEX(tblTiposMov[FactorStock],MATCH(tblMovimientos[[#This Row],[Tipo]],tblTiposMov[Tipo],0)),0))</f>
        <v/>
      </c>
      <c r="K14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4" s="37"/>
      <c r="O1434" s="37"/>
      <c r="P1434" s="37"/>
    </row>
    <row r="1435" spans="2:16" x14ac:dyDescent="0.25">
      <c r="B14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5" s="46"/>
      <c r="D1435" s="37"/>
      <c r="E1435" s="37"/>
      <c r="F1435" s="37"/>
      <c r="G1435" s="40" t="str">
        <f>IF(tblMovimientos[[#This Row],[Producto]]="","",TRIM(LEFT(tblMovimientos[[#This Row],[Producto]],FIND(" · ",tblMovimientos[[#This Row],[Producto]]&amp;" · ")-1)))</f>
        <v/>
      </c>
      <c r="H1435" s="40" t="str">
        <f>IF(tblMovimientos[[#This Row],[SKU]]="","",IFERROR(INDEX(tblProductos[Unidad],MATCH(tblMovimientos[[#This Row],[SKU]],tblProductos[SKU],0)),"?"))</f>
        <v/>
      </c>
      <c r="I1435" s="39"/>
      <c r="J1435" s="47" t="str">
        <f>IF(tblMovimientos[[#This Row],[Tipo]]="","",IFERROR(INDEX(tblTiposMov[FactorStock],MATCH(tblMovimientos[[#This Row],[Tipo]],tblTiposMov[Tipo],0)),0))</f>
        <v/>
      </c>
      <c r="K14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5" s="37"/>
      <c r="O1435" s="37"/>
      <c r="P1435" s="37"/>
    </row>
    <row r="1436" spans="2:16" x14ac:dyDescent="0.25">
      <c r="B14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6" s="46"/>
      <c r="D1436" s="37"/>
      <c r="E1436" s="37"/>
      <c r="F1436" s="37"/>
      <c r="G1436" s="40" t="str">
        <f>IF(tblMovimientos[[#This Row],[Producto]]="","",TRIM(LEFT(tblMovimientos[[#This Row],[Producto]],FIND(" · ",tblMovimientos[[#This Row],[Producto]]&amp;" · ")-1)))</f>
        <v/>
      </c>
      <c r="H1436" s="40" t="str">
        <f>IF(tblMovimientos[[#This Row],[SKU]]="","",IFERROR(INDEX(tblProductos[Unidad],MATCH(tblMovimientos[[#This Row],[SKU]],tblProductos[SKU],0)),"?"))</f>
        <v/>
      </c>
      <c r="I1436" s="39"/>
      <c r="J1436" s="47" t="str">
        <f>IF(tblMovimientos[[#This Row],[Tipo]]="","",IFERROR(INDEX(tblTiposMov[FactorStock],MATCH(tblMovimientos[[#This Row],[Tipo]],tblTiposMov[Tipo],0)),0))</f>
        <v/>
      </c>
      <c r="K14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6" s="37"/>
      <c r="O1436" s="37"/>
      <c r="P1436" s="37"/>
    </row>
    <row r="1437" spans="2:16" x14ac:dyDescent="0.25">
      <c r="B14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7" s="46"/>
      <c r="D1437" s="37"/>
      <c r="E1437" s="37"/>
      <c r="F1437" s="37"/>
      <c r="G1437" s="40" t="str">
        <f>IF(tblMovimientos[[#This Row],[Producto]]="","",TRIM(LEFT(tblMovimientos[[#This Row],[Producto]],FIND(" · ",tblMovimientos[[#This Row],[Producto]]&amp;" · ")-1)))</f>
        <v/>
      </c>
      <c r="H1437" s="40" t="str">
        <f>IF(tblMovimientos[[#This Row],[SKU]]="","",IFERROR(INDEX(tblProductos[Unidad],MATCH(tblMovimientos[[#This Row],[SKU]],tblProductos[SKU],0)),"?"))</f>
        <v/>
      </c>
      <c r="I1437" s="39"/>
      <c r="J1437" s="47" t="str">
        <f>IF(tblMovimientos[[#This Row],[Tipo]]="","",IFERROR(INDEX(tblTiposMov[FactorStock],MATCH(tblMovimientos[[#This Row],[Tipo]],tblTiposMov[Tipo],0)),0))</f>
        <v/>
      </c>
      <c r="K14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7" s="37"/>
      <c r="O1437" s="37"/>
      <c r="P1437" s="37"/>
    </row>
    <row r="1438" spans="2:16" x14ac:dyDescent="0.25">
      <c r="B14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8" s="46"/>
      <c r="D1438" s="37"/>
      <c r="E1438" s="37"/>
      <c r="F1438" s="37"/>
      <c r="G1438" s="40" t="str">
        <f>IF(tblMovimientos[[#This Row],[Producto]]="","",TRIM(LEFT(tblMovimientos[[#This Row],[Producto]],FIND(" · ",tblMovimientos[[#This Row],[Producto]]&amp;" · ")-1)))</f>
        <v/>
      </c>
      <c r="H1438" s="40" t="str">
        <f>IF(tblMovimientos[[#This Row],[SKU]]="","",IFERROR(INDEX(tblProductos[Unidad],MATCH(tblMovimientos[[#This Row],[SKU]],tblProductos[SKU],0)),"?"))</f>
        <v/>
      </c>
      <c r="I1438" s="39"/>
      <c r="J1438" s="47" t="str">
        <f>IF(tblMovimientos[[#This Row],[Tipo]]="","",IFERROR(INDEX(tblTiposMov[FactorStock],MATCH(tblMovimientos[[#This Row],[Tipo]],tblTiposMov[Tipo],0)),0))</f>
        <v/>
      </c>
      <c r="K14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8" s="37"/>
      <c r="O1438" s="37"/>
      <c r="P1438" s="37"/>
    </row>
    <row r="1439" spans="2:16" x14ac:dyDescent="0.25">
      <c r="B14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39" s="46"/>
      <c r="D1439" s="37"/>
      <c r="E1439" s="37"/>
      <c r="F1439" s="37"/>
      <c r="G1439" s="40" t="str">
        <f>IF(tblMovimientos[[#This Row],[Producto]]="","",TRIM(LEFT(tblMovimientos[[#This Row],[Producto]],FIND(" · ",tblMovimientos[[#This Row],[Producto]]&amp;" · ")-1)))</f>
        <v/>
      </c>
      <c r="H1439" s="40" t="str">
        <f>IF(tblMovimientos[[#This Row],[SKU]]="","",IFERROR(INDEX(tblProductos[Unidad],MATCH(tblMovimientos[[#This Row],[SKU]],tblProductos[SKU],0)),"?"))</f>
        <v/>
      </c>
      <c r="I1439" s="39"/>
      <c r="J1439" s="47" t="str">
        <f>IF(tblMovimientos[[#This Row],[Tipo]]="","",IFERROR(INDEX(tblTiposMov[FactorStock],MATCH(tblMovimientos[[#This Row],[Tipo]],tblTiposMov[Tipo],0)),0))</f>
        <v/>
      </c>
      <c r="K14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39" s="37"/>
      <c r="O1439" s="37"/>
      <c r="P1439" s="37"/>
    </row>
    <row r="1440" spans="2:16" x14ac:dyDescent="0.25">
      <c r="B14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0" s="46"/>
      <c r="D1440" s="37"/>
      <c r="E1440" s="37"/>
      <c r="F1440" s="37"/>
      <c r="G1440" s="40" t="str">
        <f>IF(tblMovimientos[[#This Row],[Producto]]="","",TRIM(LEFT(tblMovimientos[[#This Row],[Producto]],FIND(" · ",tblMovimientos[[#This Row],[Producto]]&amp;" · ")-1)))</f>
        <v/>
      </c>
      <c r="H1440" s="40" t="str">
        <f>IF(tblMovimientos[[#This Row],[SKU]]="","",IFERROR(INDEX(tblProductos[Unidad],MATCH(tblMovimientos[[#This Row],[SKU]],tblProductos[SKU],0)),"?"))</f>
        <v/>
      </c>
      <c r="I1440" s="39"/>
      <c r="J1440" s="47" t="str">
        <f>IF(tblMovimientos[[#This Row],[Tipo]]="","",IFERROR(INDEX(tblTiposMov[FactorStock],MATCH(tblMovimientos[[#This Row],[Tipo]],tblTiposMov[Tipo],0)),0))</f>
        <v/>
      </c>
      <c r="K14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0" s="37"/>
      <c r="O1440" s="37"/>
      <c r="P1440" s="37"/>
    </row>
    <row r="1441" spans="2:16" x14ac:dyDescent="0.25">
      <c r="B14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1" s="46"/>
      <c r="D1441" s="37"/>
      <c r="E1441" s="37"/>
      <c r="F1441" s="37"/>
      <c r="G1441" s="40" t="str">
        <f>IF(tblMovimientos[[#This Row],[Producto]]="","",TRIM(LEFT(tblMovimientos[[#This Row],[Producto]],FIND(" · ",tblMovimientos[[#This Row],[Producto]]&amp;" · ")-1)))</f>
        <v/>
      </c>
      <c r="H1441" s="40" t="str">
        <f>IF(tblMovimientos[[#This Row],[SKU]]="","",IFERROR(INDEX(tblProductos[Unidad],MATCH(tblMovimientos[[#This Row],[SKU]],tblProductos[SKU],0)),"?"))</f>
        <v/>
      </c>
      <c r="I1441" s="39"/>
      <c r="J1441" s="47" t="str">
        <f>IF(tblMovimientos[[#This Row],[Tipo]]="","",IFERROR(INDEX(tblTiposMov[FactorStock],MATCH(tblMovimientos[[#This Row],[Tipo]],tblTiposMov[Tipo],0)),0))</f>
        <v/>
      </c>
      <c r="K14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1" s="37"/>
      <c r="O1441" s="37"/>
      <c r="P1441" s="37"/>
    </row>
    <row r="1442" spans="2:16" x14ac:dyDescent="0.25">
      <c r="B14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2" s="46"/>
      <c r="D1442" s="37"/>
      <c r="E1442" s="37"/>
      <c r="F1442" s="37"/>
      <c r="G1442" s="40" t="str">
        <f>IF(tblMovimientos[[#This Row],[Producto]]="","",TRIM(LEFT(tblMovimientos[[#This Row],[Producto]],FIND(" · ",tblMovimientos[[#This Row],[Producto]]&amp;" · ")-1)))</f>
        <v/>
      </c>
      <c r="H1442" s="40" t="str">
        <f>IF(tblMovimientos[[#This Row],[SKU]]="","",IFERROR(INDEX(tblProductos[Unidad],MATCH(tblMovimientos[[#This Row],[SKU]],tblProductos[SKU],0)),"?"))</f>
        <v/>
      </c>
      <c r="I1442" s="39"/>
      <c r="J1442" s="47" t="str">
        <f>IF(tblMovimientos[[#This Row],[Tipo]]="","",IFERROR(INDEX(tblTiposMov[FactorStock],MATCH(tblMovimientos[[#This Row],[Tipo]],tblTiposMov[Tipo],0)),0))</f>
        <v/>
      </c>
      <c r="K14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2" s="37"/>
      <c r="O1442" s="37"/>
      <c r="P1442" s="37"/>
    </row>
    <row r="1443" spans="2:16" x14ac:dyDescent="0.25">
      <c r="B14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3" s="46"/>
      <c r="D1443" s="37"/>
      <c r="E1443" s="37"/>
      <c r="F1443" s="37"/>
      <c r="G1443" s="40" t="str">
        <f>IF(tblMovimientos[[#This Row],[Producto]]="","",TRIM(LEFT(tblMovimientos[[#This Row],[Producto]],FIND(" · ",tblMovimientos[[#This Row],[Producto]]&amp;" · ")-1)))</f>
        <v/>
      </c>
      <c r="H1443" s="40" t="str">
        <f>IF(tblMovimientos[[#This Row],[SKU]]="","",IFERROR(INDEX(tblProductos[Unidad],MATCH(tblMovimientos[[#This Row],[SKU]],tblProductos[SKU],0)),"?"))</f>
        <v/>
      </c>
      <c r="I1443" s="39"/>
      <c r="J1443" s="47" t="str">
        <f>IF(tblMovimientos[[#This Row],[Tipo]]="","",IFERROR(INDEX(tblTiposMov[FactorStock],MATCH(tblMovimientos[[#This Row],[Tipo]],tblTiposMov[Tipo],0)),0))</f>
        <v/>
      </c>
      <c r="K14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3" s="37"/>
      <c r="O1443" s="37"/>
      <c r="P1443" s="37"/>
    </row>
    <row r="1444" spans="2:16" x14ac:dyDescent="0.25">
      <c r="B14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4" s="46"/>
      <c r="D1444" s="37"/>
      <c r="E1444" s="37"/>
      <c r="F1444" s="37"/>
      <c r="G1444" s="40" t="str">
        <f>IF(tblMovimientos[[#This Row],[Producto]]="","",TRIM(LEFT(tblMovimientos[[#This Row],[Producto]],FIND(" · ",tblMovimientos[[#This Row],[Producto]]&amp;" · ")-1)))</f>
        <v/>
      </c>
      <c r="H1444" s="40" t="str">
        <f>IF(tblMovimientos[[#This Row],[SKU]]="","",IFERROR(INDEX(tblProductos[Unidad],MATCH(tblMovimientos[[#This Row],[SKU]],tblProductos[SKU],0)),"?"))</f>
        <v/>
      </c>
      <c r="I1444" s="39"/>
      <c r="J1444" s="47" t="str">
        <f>IF(tblMovimientos[[#This Row],[Tipo]]="","",IFERROR(INDEX(tblTiposMov[FactorStock],MATCH(tblMovimientos[[#This Row],[Tipo]],tblTiposMov[Tipo],0)),0))</f>
        <v/>
      </c>
      <c r="K14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4" s="37"/>
      <c r="O1444" s="37"/>
      <c r="P1444" s="37"/>
    </row>
    <row r="1445" spans="2:16" x14ac:dyDescent="0.25">
      <c r="B14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5" s="46"/>
      <c r="D1445" s="37"/>
      <c r="E1445" s="37"/>
      <c r="F1445" s="37"/>
      <c r="G1445" s="40" t="str">
        <f>IF(tblMovimientos[[#This Row],[Producto]]="","",TRIM(LEFT(tblMovimientos[[#This Row],[Producto]],FIND(" · ",tblMovimientos[[#This Row],[Producto]]&amp;" · ")-1)))</f>
        <v/>
      </c>
      <c r="H1445" s="40" t="str">
        <f>IF(tblMovimientos[[#This Row],[SKU]]="","",IFERROR(INDEX(tblProductos[Unidad],MATCH(tblMovimientos[[#This Row],[SKU]],tblProductos[SKU],0)),"?"))</f>
        <v/>
      </c>
      <c r="I1445" s="39"/>
      <c r="J1445" s="47" t="str">
        <f>IF(tblMovimientos[[#This Row],[Tipo]]="","",IFERROR(INDEX(tblTiposMov[FactorStock],MATCH(tblMovimientos[[#This Row],[Tipo]],tblTiposMov[Tipo],0)),0))</f>
        <v/>
      </c>
      <c r="K14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5" s="37"/>
      <c r="O1445" s="37"/>
      <c r="P1445" s="37"/>
    </row>
    <row r="1446" spans="2:16" x14ac:dyDescent="0.25">
      <c r="B14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6" s="46"/>
      <c r="D1446" s="37"/>
      <c r="E1446" s="37"/>
      <c r="F1446" s="37"/>
      <c r="G1446" s="40" t="str">
        <f>IF(tblMovimientos[[#This Row],[Producto]]="","",TRIM(LEFT(tblMovimientos[[#This Row],[Producto]],FIND(" · ",tblMovimientos[[#This Row],[Producto]]&amp;" · ")-1)))</f>
        <v/>
      </c>
      <c r="H1446" s="40" t="str">
        <f>IF(tblMovimientos[[#This Row],[SKU]]="","",IFERROR(INDEX(tblProductos[Unidad],MATCH(tblMovimientos[[#This Row],[SKU]],tblProductos[SKU],0)),"?"))</f>
        <v/>
      </c>
      <c r="I1446" s="39"/>
      <c r="J1446" s="47" t="str">
        <f>IF(tblMovimientos[[#This Row],[Tipo]]="","",IFERROR(INDEX(tblTiposMov[FactorStock],MATCH(tblMovimientos[[#This Row],[Tipo]],tblTiposMov[Tipo],0)),0))</f>
        <v/>
      </c>
      <c r="K14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6" s="37"/>
      <c r="O1446" s="37"/>
      <c r="P1446" s="37"/>
    </row>
    <row r="1447" spans="2:16" x14ac:dyDescent="0.25">
      <c r="B14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7" s="46"/>
      <c r="D1447" s="37"/>
      <c r="E1447" s="37"/>
      <c r="F1447" s="37"/>
      <c r="G1447" s="40" t="str">
        <f>IF(tblMovimientos[[#This Row],[Producto]]="","",TRIM(LEFT(tblMovimientos[[#This Row],[Producto]],FIND(" · ",tblMovimientos[[#This Row],[Producto]]&amp;" · ")-1)))</f>
        <v/>
      </c>
      <c r="H1447" s="40" t="str">
        <f>IF(tblMovimientos[[#This Row],[SKU]]="","",IFERROR(INDEX(tblProductos[Unidad],MATCH(tblMovimientos[[#This Row],[SKU]],tblProductos[SKU],0)),"?"))</f>
        <v/>
      </c>
      <c r="I1447" s="39"/>
      <c r="J1447" s="47" t="str">
        <f>IF(tblMovimientos[[#This Row],[Tipo]]="","",IFERROR(INDEX(tblTiposMov[FactorStock],MATCH(tblMovimientos[[#This Row],[Tipo]],tblTiposMov[Tipo],0)),0))</f>
        <v/>
      </c>
      <c r="K14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7" s="37"/>
      <c r="O1447" s="37"/>
      <c r="P1447" s="37"/>
    </row>
    <row r="1448" spans="2:16" x14ac:dyDescent="0.25">
      <c r="B14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8" s="46"/>
      <c r="D1448" s="37"/>
      <c r="E1448" s="37"/>
      <c r="F1448" s="37"/>
      <c r="G1448" s="40" t="str">
        <f>IF(tblMovimientos[[#This Row],[Producto]]="","",TRIM(LEFT(tblMovimientos[[#This Row],[Producto]],FIND(" · ",tblMovimientos[[#This Row],[Producto]]&amp;" · ")-1)))</f>
        <v/>
      </c>
      <c r="H1448" s="40" t="str">
        <f>IF(tblMovimientos[[#This Row],[SKU]]="","",IFERROR(INDEX(tblProductos[Unidad],MATCH(tblMovimientos[[#This Row],[SKU]],tblProductos[SKU],0)),"?"))</f>
        <v/>
      </c>
      <c r="I1448" s="39"/>
      <c r="J1448" s="47" t="str">
        <f>IF(tblMovimientos[[#This Row],[Tipo]]="","",IFERROR(INDEX(tblTiposMov[FactorStock],MATCH(tblMovimientos[[#This Row],[Tipo]],tblTiposMov[Tipo],0)),0))</f>
        <v/>
      </c>
      <c r="K14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8" s="37"/>
      <c r="O1448" s="37"/>
      <c r="P1448" s="37"/>
    </row>
    <row r="1449" spans="2:16" x14ac:dyDescent="0.25">
      <c r="B14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49" s="46"/>
      <c r="D1449" s="37"/>
      <c r="E1449" s="37"/>
      <c r="F1449" s="37"/>
      <c r="G1449" s="40" t="str">
        <f>IF(tblMovimientos[[#This Row],[Producto]]="","",TRIM(LEFT(tblMovimientos[[#This Row],[Producto]],FIND(" · ",tblMovimientos[[#This Row],[Producto]]&amp;" · ")-1)))</f>
        <v/>
      </c>
      <c r="H1449" s="40" t="str">
        <f>IF(tblMovimientos[[#This Row],[SKU]]="","",IFERROR(INDEX(tblProductos[Unidad],MATCH(tblMovimientos[[#This Row],[SKU]],tblProductos[SKU],0)),"?"))</f>
        <v/>
      </c>
      <c r="I1449" s="39"/>
      <c r="J1449" s="47" t="str">
        <f>IF(tblMovimientos[[#This Row],[Tipo]]="","",IFERROR(INDEX(tblTiposMov[FactorStock],MATCH(tblMovimientos[[#This Row],[Tipo]],tblTiposMov[Tipo],0)),0))</f>
        <v/>
      </c>
      <c r="K14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49" s="37"/>
      <c r="O1449" s="37"/>
      <c r="P1449" s="37"/>
    </row>
    <row r="1450" spans="2:16" x14ac:dyDescent="0.25">
      <c r="B14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0" s="46"/>
      <c r="D1450" s="37"/>
      <c r="E1450" s="37"/>
      <c r="F1450" s="37"/>
      <c r="G1450" s="40" t="str">
        <f>IF(tblMovimientos[[#This Row],[Producto]]="","",TRIM(LEFT(tblMovimientos[[#This Row],[Producto]],FIND(" · ",tblMovimientos[[#This Row],[Producto]]&amp;" · ")-1)))</f>
        <v/>
      </c>
      <c r="H1450" s="40" t="str">
        <f>IF(tblMovimientos[[#This Row],[SKU]]="","",IFERROR(INDEX(tblProductos[Unidad],MATCH(tblMovimientos[[#This Row],[SKU]],tblProductos[SKU],0)),"?"))</f>
        <v/>
      </c>
      <c r="I1450" s="39"/>
      <c r="J1450" s="47" t="str">
        <f>IF(tblMovimientos[[#This Row],[Tipo]]="","",IFERROR(INDEX(tblTiposMov[FactorStock],MATCH(tblMovimientos[[#This Row],[Tipo]],tblTiposMov[Tipo],0)),0))</f>
        <v/>
      </c>
      <c r="K14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0" s="37"/>
      <c r="O1450" s="37"/>
      <c r="P1450" s="37"/>
    </row>
    <row r="1451" spans="2:16" x14ac:dyDescent="0.25">
      <c r="B14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1" s="46"/>
      <c r="D1451" s="37"/>
      <c r="E1451" s="37"/>
      <c r="F1451" s="37"/>
      <c r="G1451" s="40" t="str">
        <f>IF(tblMovimientos[[#This Row],[Producto]]="","",TRIM(LEFT(tblMovimientos[[#This Row],[Producto]],FIND(" · ",tblMovimientos[[#This Row],[Producto]]&amp;" · ")-1)))</f>
        <v/>
      </c>
      <c r="H1451" s="40" t="str">
        <f>IF(tblMovimientos[[#This Row],[SKU]]="","",IFERROR(INDEX(tblProductos[Unidad],MATCH(tblMovimientos[[#This Row],[SKU]],tblProductos[SKU],0)),"?"))</f>
        <v/>
      </c>
      <c r="I1451" s="39"/>
      <c r="J1451" s="47" t="str">
        <f>IF(tblMovimientos[[#This Row],[Tipo]]="","",IFERROR(INDEX(tblTiposMov[FactorStock],MATCH(tblMovimientos[[#This Row],[Tipo]],tblTiposMov[Tipo],0)),0))</f>
        <v/>
      </c>
      <c r="K14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1" s="37"/>
      <c r="O1451" s="37"/>
      <c r="P1451" s="37"/>
    </row>
    <row r="1452" spans="2:16" x14ac:dyDescent="0.25">
      <c r="B14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2" s="46"/>
      <c r="D1452" s="37"/>
      <c r="E1452" s="37"/>
      <c r="F1452" s="37"/>
      <c r="G1452" s="40" t="str">
        <f>IF(tblMovimientos[[#This Row],[Producto]]="","",TRIM(LEFT(tblMovimientos[[#This Row],[Producto]],FIND(" · ",tblMovimientos[[#This Row],[Producto]]&amp;" · ")-1)))</f>
        <v/>
      </c>
      <c r="H1452" s="40" t="str">
        <f>IF(tblMovimientos[[#This Row],[SKU]]="","",IFERROR(INDEX(tblProductos[Unidad],MATCH(tblMovimientos[[#This Row],[SKU]],tblProductos[SKU],0)),"?"))</f>
        <v/>
      </c>
      <c r="I1452" s="39"/>
      <c r="J1452" s="47" t="str">
        <f>IF(tblMovimientos[[#This Row],[Tipo]]="","",IFERROR(INDEX(tblTiposMov[FactorStock],MATCH(tblMovimientos[[#This Row],[Tipo]],tblTiposMov[Tipo],0)),0))</f>
        <v/>
      </c>
      <c r="K14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2" s="37"/>
      <c r="O1452" s="37"/>
      <c r="P1452" s="37"/>
    </row>
    <row r="1453" spans="2:16" x14ac:dyDescent="0.25">
      <c r="B14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3" s="46"/>
      <c r="D1453" s="37"/>
      <c r="E1453" s="37"/>
      <c r="F1453" s="37"/>
      <c r="G1453" s="40" t="str">
        <f>IF(tblMovimientos[[#This Row],[Producto]]="","",TRIM(LEFT(tblMovimientos[[#This Row],[Producto]],FIND(" · ",tblMovimientos[[#This Row],[Producto]]&amp;" · ")-1)))</f>
        <v/>
      </c>
      <c r="H1453" s="40" t="str">
        <f>IF(tblMovimientos[[#This Row],[SKU]]="","",IFERROR(INDEX(tblProductos[Unidad],MATCH(tblMovimientos[[#This Row],[SKU]],tblProductos[SKU],0)),"?"))</f>
        <v/>
      </c>
      <c r="I1453" s="39"/>
      <c r="J1453" s="47" t="str">
        <f>IF(tblMovimientos[[#This Row],[Tipo]]="","",IFERROR(INDEX(tblTiposMov[FactorStock],MATCH(tblMovimientos[[#This Row],[Tipo]],tblTiposMov[Tipo],0)),0))</f>
        <v/>
      </c>
      <c r="K14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3" s="37"/>
      <c r="O1453" s="37"/>
      <c r="P1453" s="37"/>
    </row>
    <row r="1454" spans="2:16" x14ac:dyDescent="0.25">
      <c r="B14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4" s="46"/>
      <c r="D1454" s="37"/>
      <c r="E1454" s="37"/>
      <c r="F1454" s="37"/>
      <c r="G1454" s="40" t="str">
        <f>IF(tblMovimientos[[#This Row],[Producto]]="","",TRIM(LEFT(tblMovimientos[[#This Row],[Producto]],FIND(" · ",tblMovimientos[[#This Row],[Producto]]&amp;" · ")-1)))</f>
        <v/>
      </c>
      <c r="H1454" s="40" t="str">
        <f>IF(tblMovimientos[[#This Row],[SKU]]="","",IFERROR(INDEX(tblProductos[Unidad],MATCH(tblMovimientos[[#This Row],[SKU]],tblProductos[SKU],0)),"?"))</f>
        <v/>
      </c>
      <c r="I1454" s="39"/>
      <c r="J1454" s="47" t="str">
        <f>IF(tblMovimientos[[#This Row],[Tipo]]="","",IFERROR(INDEX(tblTiposMov[FactorStock],MATCH(tblMovimientos[[#This Row],[Tipo]],tblTiposMov[Tipo],0)),0))</f>
        <v/>
      </c>
      <c r="K14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4" s="37"/>
      <c r="O1454" s="37"/>
      <c r="P1454" s="37"/>
    </row>
    <row r="1455" spans="2:16" x14ac:dyDescent="0.25">
      <c r="B14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5" s="46"/>
      <c r="D1455" s="37"/>
      <c r="E1455" s="37"/>
      <c r="F1455" s="37"/>
      <c r="G1455" s="40" t="str">
        <f>IF(tblMovimientos[[#This Row],[Producto]]="","",TRIM(LEFT(tblMovimientos[[#This Row],[Producto]],FIND(" · ",tblMovimientos[[#This Row],[Producto]]&amp;" · ")-1)))</f>
        <v/>
      </c>
      <c r="H1455" s="40" t="str">
        <f>IF(tblMovimientos[[#This Row],[SKU]]="","",IFERROR(INDEX(tblProductos[Unidad],MATCH(tblMovimientos[[#This Row],[SKU]],tblProductos[SKU],0)),"?"))</f>
        <v/>
      </c>
      <c r="I1455" s="39"/>
      <c r="J1455" s="47" t="str">
        <f>IF(tblMovimientos[[#This Row],[Tipo]]="","",IFERROR(INDEX(tblTiposMov[FactorStock],MATCH(tblMovimientos[[#This Row],[Tipo]],tblTiposMov[Tipo],0)),0))</f>
        <v/>
      </c>
      <c r="K14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5" s="37"/>
      <c r="O1455" s="37"/>
      <c r="P1455" s="37"/>
    </row>
    <row r="1456" spans="2:16" x14ac:dyDescent="0.25">
      <c r="B14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6" s="46"/>
      <c r="D1456" s="37"/>
      <c r="E1456" s="37"/>
      <c r="F1456" s="37"/>
      <c r="G1456" s="40" t="str">
        <f>IF(tblMovimientos[[#This Row],[Producto]]="","",TRIM(LEFT(tblMovimientos[[#This Row],[Producto]],FIND(" · ",tblMovimientos[[#This Row],[Producto]]&amp;" · ")-1)))</f>
        <v/>
      </c>
      <c r="H1456" s="40" t="str">
        <f>IF(tblMovimientos[[#This Row],[SKU]]="","",IFERROR(INDEX(tblProductos[Unidad],MATCH(tblMovimientos[[#This Row],[SKU]],tblProductos[SKU],0)),"?"))</f>
        <v/>
      </c>
      <c r="I1456" s="39"/>
      <c r="J1456" s="47" t="str">
        <f>IF(tblMovimientos[[#This Row],[Tipo]]="","",IFERROR(INDEX(tblTiposMov[FactorStock],MATCH(tblMovimientos[[#This Row],[Tipo]],tblTiposMov[Tipo],0)),0))</f>
        <v/>
      </c>
      <c r="K14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6" s="37"/>
      <c r="O1456" s="37"/>
      <c r="P1456" s="37"/>
    </row>
    <row r="1457" spans="2:16" x14ac:dyDescent="0.25">
      <c r="B14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7" s="46"/>
      <c r="D1457" s="37"/>
      <c r="E1457" s="37"/>
      <c r="F1457" s="37"/>
      <c r="G1457" s="40" t="str">
        <f>IF(tblMovimientos[[#This Row],[Producto]]="","",TRIM(LEFT(tblMovimientos[[#This Row],[Producto]],FIND(" · ",tblMovimientos[[#This Row],[Producto]]&amp;" · ")-1)))</f>
        <v/>
      </c>
      <c r="H1457" s="40" t="str">
        <f>IF(tblMovimientos[[#This Row],[SKU]]="","",IFERROR(INDEX(tblProductos[Unidad],MATCH(tblMovimientos[[#This Row],[SKU]],tblProductos[SKU],0)),"?"))</f>
        <v/>
      </c>
      <c r="I1457" s="39"/>
      <c r="J1457" s="47" t="str">
        <f>IF(tblMovimientos[[#This Row],[Tipo]]="","",IFERROR(INDEX(tblTiposMov[FactorStock],MATCH(tblMovimientos[[#This Row],[Tipo]],tblTiposMov[Tipo],0)),0))</f>
        <v/>
      </c>
      <c r="K14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7" s="37"/>
      <c r="O1457" s="37"/>
      <c r="P1457" s="37"/>
    </row>
    <row r="1458" spans="2:16" x14ac:dyDescent="0.25">
      <c r="B14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8" s="46"/>
      <c r="D1458" s="37"/>
      <c r="E1458" s="37"/>
      <c r="F1458" s="37"/>
      <c r="G1458" s="40" t="str">
        <f>IF(tblMovimientos[[#This Row],[Producto]]="","",TRIM(LEFT(tblMovimientos[[#This Row],[Producto]],FIND(" · ",tblMovimientos[[#This Row],[Producto]]&amp;" · ")-1)))</f>
        <v/>
      </c>
      <c r="H1458" s="40" t="str">
        <f>IF(tblMovimientos[[#This Row],[SKU]]="","",IFERROR(INDEX(tblProductos[Unidad],MATCH(tblMovimientos[[#This Row],[SKU]],tblProductos[SKU],0)),"?"))</f>
        <v/>
      </c>
      <c r="I1458" s="39"/>
      <c r="J1458" s="47" t="str">
        <f>IF(tblMovimientos[[#This Row],[Tipo]]="","",IFERROR(INDEX(tblTiposMov[FactorStock],MATCH(tblMovimientos[[#This Row],[Tipo]],tblTiposMov[Tipo],0)),0))</f>
        <v/>
      </c>
      <c r="K14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8" s="37"/>
      <c r="O1458" s="37"/>
      <c r="P1458" s="37"/>
    </row>
    <row r="1459" spans="2:16" x14ac:dyDescent="0.25">
      <c r="B14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59" s="46"/>
      <c r="D1459" s="37"/>
      <c r="E1459" s="37"/>
      <c r="F1459" s="37"/>
      <c r="G1459" s="40" t="str">
        <f>IF(tblMovimientos[[#This Row],[Producto]]="","",TRIM(LEFT(tblMovimientos[[#This Row],[Producto]],FIND(" · ",tblMovimientos[[#This Row],[Producto]]&amp;" · ")-1)))</f>
        <v/>
      </c>
      <c r="H1459" s="40" t="str">
        <f>IF(tblMovimientos[[#This Row],[SKU]]="","",IFERROR(INDEX(tblProductos[Unidad],MATCH(tblMovimientos[[#This Row],[SKU]],tblProductos[SKU],0)),"?"))</f>
        <v/>
      </c>
      <c r="I1459" s="39"/>
      <c r="J1459" s="47" t="str">
        <f>IF(tblMovimientos[[#This Row],[Tipo]]="","",IFERROR(INDEX(tblTiposMov[FactorStock],MATCH(tblMovimientos[[#This Row],[Tipo]],tblTiposMov[Tipo],0)),0))</f>
        <v/>
      </c>
      <c r="K14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59" s="37"/>
      <c r="O1459" s="37"/>
      <c r="P1459" s="37"/>
    </row>
    <row r="1460" spans="2:16" x14ac:dyDescent="0.25">
      <c r="B14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0" s="46"/>
      <c r="D1460" s="37"/>
      <c r="E1460" s="37"/>
      <c r="F1460" s="37"/>
      <c r="G1460" s="40" t="str">
        <f>IF(tblMovimientos[[#This Row],[Producto]]="","",TRIM(LEFT(tblMovimientos[[#This Row],[Producto]],FIND(" · ",tblMovimientos[[#This Row],[Producto]]&amp;" · ")-1)))</f>
        <v/>
      </c>
      <c r="H1460" s="40" t="str">
        <f>IF(tblMovimientos[[#This Row],[SKU]]="","",IFERROR(INDEX(tblProductos[Unidad],MATCH(tblMovimientos[[#This Row],[SKU]],tblProductos[SKU],0)),"?"))</f>
        <v/>
      </c>
      <c r="I1460" s="39"/>
      <c r="J1460" s="47" t="str">
        <f>IF(tblMovimientos[[#This Row],[Tipo]]="","",IFERROR(INDEX(tblTiposMov[FactorStock],MATCH(tblMovimientos[[#This Row],[Tipo]],tblTiposMov[Tipo],0)),0))</f>
        <v/>
      </c>
      <c r="K14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0" s="37"/>
      <c r="O1460" s="37"/>
      <c r="P1460" s="37"/>
    </row>
    <row r="1461" spans="2:16" x14ac:dyDescent="0.25">
      <c r="B14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1" s="46"/>
      <c r="D1461" s="37"/>
      <c r="E1461" s="37"/>
      <c r="F1461" s="37"/>
      <c r="G1461" s="40" t="str">
        <f>IF(tblMovimientos[[#This Row],[Producto]]="","",TRIM(LEFT(tblMovimientos[[#This Row],[Producto]],FIND(" · ",tblMovimientos[[#This Row],[Producto]]&amp;" · ")-1)))</f>
        <v/>
      </c>
      <c r="H1461" s="40" t="str">
        <f>IF(tblMovimientos[[#This Row],[SKU]]="","",IFERROR(INDEX(tblProductos[Unidad],MATCH(tblMovimientos[[#This Row],[SKU]],tblProductos[SKU],0)),"?"))</f>
        <v/>
      </c>
      <c r="I1461" s="39"/>
      <c r="J1461" s="47" t="str">
        <f>IF(tblMovimientos[[#This Row],[Tipo]]="","",IFERROR(INDEX(tblTiposMov[FactorStock],MATCH(tblMovimientos[[#This Row],[Tipo]],tblTiposMov[Tipo],0)),0))</f>
        <v/>
      </c>
      <c r="K14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1" s="37"/>
      <c r="O1461" s="37"/>
      <c r="P1461" s="37"/>
    </row>
    <row r="1462" spans="2:16" x14ac:dyDescent="0.25">
      <c r="B14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2" s="46"/>
      <c r="D1462" s="37"/>
      <c r="E1462" s="37"/>
      <c r="F1462" s="37"/>
      <c r="G1462" s="40" t="str">
        <f>IF(tblMovimientos[[#This Row],[Producto]]="","",TRIM(LEFT(tblMovimientos[[#This Row],[Producto]],FIND(" · ",tblMovimientos[[#This Row],[Producto]]&amp;" · ")-1)))</f>
        <v/>
      </c>
      <c r="H1462" s="40" t="str">
        <f>IF(tblMovimientos[[#This Row],[SKU]]="","",IFERROR(INDEX(tblProductos[Unidad],MATCH(tblMovimientos[[#This Row],[SKU]],tblProductos[SKU],0)),"?"))</f>
        <v/>
      </c>
      <c r="I1462" s="39"/>
      <c r="J1462" s="47" t="str">
        <f>IF(tblMovimientos[[#This Row],[Tipo]]="","",IFERROR(INDEX(tblTiposMov[FactorStock],MATCH(tblMovimientos[[#This Row],[Tipo]],tblTiposMov[Tipo],0)),0))</f>
        <v/>
      </c>
      <c r="K14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2" s="37"/>
      <c r="O1462" s="37"/>
      <c r="P1462" s="37"/>
    </row>
    <row r="1463" spans="2:16" x14ac:dyDescent="0.25">
      <c r="B14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3" s="46"/>
      <c r="D1463" s="37"/>
      <c r="E1463" s="37"/>
      <c r="F1463" s="37"/>
      <c r="G1463" s="40" t="str">
        <f>IF(tblMovimientos[[#This Row],[Producto]]="","",TRIM(LEFT(tblMovimientos[[#This Row],[Producto]],FIND(" · ",tblMovimientos[[#This Row],[Producto]]&amp;" · ")-1)))</f>
        <v/>
      </c>
      <c r="H1463" s="40" t="str">
        <f>IF(tblMovimientos[[#This Row],[SKU]]="","",IFERROR(INDEX(tblProductos[Unidad],MATCH(tblMovimientos[[#This Row],[SKU]],tblProductos[SKU],0)),"?"))</f>
        <v/>
      </c>
      <c r="I1463" s="39"/>
      <c r="J1463" s="47" t="str">
        <f>IF(tblMovimientos[[#This Row],[Tipo]]="","",IFERROR(INDEX(tblTiposMov[FactorStock],MATCH(tblMovimientos[[#This Row],[Tipo]],tblTiposMov[Tipo],0)),0))</f>
        <v/>
      </c>
      <c r="K14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3" s="37"/>
      <c r="O1463" s="37"/>
      <c r="P1463" s="37"/>
    </row>
    <row r="1464" spans="2:16" x14ac:dyDescent="0.25">
      <c r="B14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4" s="46"/>
      <c r="D1464" s="37"/>
      <c r="E1464" s="37"/>
      <c r="F1464" s="37"/>
      <c r="G1464" s="40" t="str">
        <f>IF(tblMovimientos[[#This Row],[Producto]]="","",TRIM(LEFT(tblMovimientos[[#This Row],[Producto]],FIND(" · ",tblMovimientos[[#This Row],[Producto]]&amp;" · ")-1)))</f>
        <v/>
      </c>
      <c r="H1464" s="40" t="str">
        <f>IF(tblMovimientos[[#This Row],[SKU]]="","",IFERROR(INDEX(tblProductos[Unidad],MATCH(tblMovimientos[[#This Row],[SKU]],tblProductos[SKU],0)),"?"))</f>
        <v/>
      </c>
      <c r="I1464" s="39"/>
      <c r="J1464" s="47" t="str">
        <f>IF(tblMovimientos[[#This Row],[Tipo]]="","",IFERROR(INDEX(tblTiposMov[FactorStock],MATCH(tblMovimientos[[#This Row],[Tipo]],tblTiposMov[Tipo],0)),0))</f>
        <v/>
      </c>
      <c r="K14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4" s="37"/>
      <c r="O1464" s="37"/>
      <c r="P1464" s="37"/>
    </row>
    <row r="1465" spans="2:16" x14ac:dyDescent="0.25">
      <c r="B14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5" s="46"/>
      <c r="D1465" s="37"/>
      <c r="E1465" s="37"/>
      <c r="F1465" s="37"/>
      <c r="G1465" s="40" t="str">
        <f>IF(tblMovimientos[[#This Row],[Producto]]="","",TRIM(LEFT(tblMovimientos[[#This Row],[Producto]],FIND(" · ",tblMovimientos[[#This Row],[Producto]]&amp;" · ")-1)))</f>
        <v/>
      </c>
      <c r="H1465" s="40" t="str">
        <f>IF(tblMovimientos[[#This Row],[SKU]]="","",IFERROR(INDEX(tblProductos[Unidad],MATCH(tblMovimientos[[#This Row],[SKU]],tblProductos[SKU],0)),"?"))</f>
        <v/>
      </c>
      <c r="I1465" s="39"/>
      <c r="J1465" s="47" t="str">
        <f>IF(tblMovimientos[[#This Row],[Tipo]]="","",IFERROR(INDEX(tblTiposMov[FactorStock],MATCH(tblMovimientos[[#This Row],[Tipo]],tblTiposMov[Tipo],0)),0))</f>
        <v/>
      </c>
      <c r="K14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5" s="37"/>
      <c r="O1465" s="37"/>
      <c r="P1465" s="37"/>
    </row>
    <row r="1466" spans="2:16" x14ac:dyDescent="0.25">
      <c r="B14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6" s="46"/>
      <c r="D1466" s="37"/>
      <c r="E1466" s="37"/>
      <c r="F1466" s="37"/>
      <c r="G1466" s="40" t="str">
        <f>IF(tblMovimientos[[#This Row],[Producto]]="","",TRIM(LEFT(tblMovimientos[[#This Row],[Producto]],FIND(" · ",tblMovimientos[[#This Row],[Producto]]&amp;" · ")-1)))</f>
        <v/>
      </c>
      <c r="H1466" s="40" t="str">
        <f>IF(tblMovimientos[[#This Row],[SKU]]="","",IFERROR(INDEX(tblProductos[Unidad],MATCH(tblMovimientos[[#This Row],[SKU]],tblProductos[SKU],0)),"?"))</f>
        <v/>
      </c>
      <c r="I1466" s="39"/>
      <c r="J1466" s="47" t="str">
        <f>IF(tblMovimientos[[#This Row],[Tipo]]="","",IFERROR(INDEX(tblTiposMov[FactorStock],MATCH(tblMovimientos[[#This Row],[Tipo]],tblTiposMov[Tipo],0)),0))</f>
        <v/>
      </c>
      <c r="K14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6" s="37"/>
      <c r="O1466" s="37"/>
      <c r="P1466" s="37"/>
    </row>
    <row r="1467" spans="2:16" x14ac:dyDescent="0.25">
      <c r="B14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7" s="46"/>
      <c r="D1467" s="37"/>
      <c r="E1467" s="37"/>
      <c r="F1467" s="37"/>
      <c r="G1467" s="40" t="str">
        <f>IF(tblMovimientos[[#This Row],[Producto]]="","",TRIM(LEFT(tblMovimientos[[#This Row],[Producto]],FIND(" · ",tblMovimientos[[#This Row],[Producto]]&amp;" · ")-1)))</f>
        <v/>
      </c>
      <c r="H1467" s="40" t="str">
        <f>IF(tblMovimientos[[#This Row],[SKU]]="","",IFERROR(INDEX(tblProductos[Unidad],MATCH(tblMovimientos[[#This Row],[SKU]],tblProductos[SKU],0)),"?"))</f>
        <v/>
      </c>
      <c r="I1467" s="39"/>
      <c r="J1467" s="47" t="str">
        <f>IF(tblMovimientos[[#This Row],[Tipo]]="","",IFERROR(INDEX(tblTiposMov[FactorStock],MATCH(tblMovimientos[[#This Row],[Tipo]],tblTiposMov[Tipo],0)),0))</f>
        <v/>
      </c>
      <c r="K14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7" s="37"/>
      <c r="O1467" s="37"/>
      <c r="P1467" s="37"/>
    </row>
    <row r="1468" spans="2:16" x14ac:dyDescent="0.25">
      <c r="B14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8" s="46"/>
      <c r="D1468" s="37"/>
      <c r="E1468" s="37"/>
      <c r="F1468" s="37"/>
      <c r="G1468" s="40" t="str">
        <f>IF(tblMovimientos[[#This Row],[Producto]]="","",TRIM(LEFT(tblMovimientos[[#This Row],[Producto]],FIND(" · ",tblMovimientos[[#This Row],[Producto]]&amp;" · ")-1)))</f>
        <v/>
      </c>
      <c r="H1468" s="40" t="str">
        <f>IF(tblMovimientos[[#This Row],[SKU]]="","",IFERROR(INDEX(tblProductos[Unidad],MATCH(tblMovimientos[[#This Row],[SKU]],tblProductos[SKU],0)),"?"))</f>
        <v/>
      </c>
      <c r="I1468" s="39"/>
      <c r="J1468" s="47" t="str">
        <f>IF(tblMovimientos[[#This Row],[Tipo]]="","",IFERROR(INDEX(tblTiposMov[FactorStock],MATCH(tblMovimientos[[#This Row],[Tipo]],tblTiposMov[Tipo],0)),0))</f>
        <v/>
      </c>
      <c r="K14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8" s="37"/>
      <c r="O1468" s="37"/>
      <c r="P1468" s="37"/>
    </row>
    <row r="1469" spans="2:16" x14ac:dyDescent="0.25">
      <c r="B14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69" s="46"/>
      <c r="D1469" s="37"/>
      <c r="E1469" s="37"/>
      <c r="F1469" s="37"/>
      <c r="G1469" s="40" t="str">
        <f>IF(tblMovimientos[[#This Row],[Producto]]="","",TRIM(LEFT(tblMovimientos[[#This Row],[Producto]],FIND(" · ",tblMovimientos[[#This Row],[Producto]]&amp;" · ")-1)))</f>
        <v/>
      </c>
      <c r="H1469" s="40" t="str">
        <f>IF(tblMovimientos[[#This Row],[SKU]]="","",IFERROR(INDEX(tblProductos[Unidad],MATCH(tblMovimientos[[#This Row],[SKU]],tblProductos[SKU],0)),"?"))</f>
        <v/>
      </c>
      <c r="I1469" s="39"/>
      <c r="J1469" s="47" t="str">
        <f>IF(tblMovimientos[[#This Row],[Tipo]]="","",IFERROR(INDEX(tblTiposMov[FactorStock],MATCH(tblMovimientos[[#This Row],[Tipo]],tblTiposMov[Tipo],0)),0))</f>
        <v/>
      </c>
      <c r="K14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69" s="37"/>
      <c r="O1469" s="37"/>
      <c r="P1469" s="37"/>
    </row>
    <row r="1470" spans="2:16" x14ac:dyDescent="0.25">
      <c r="B14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0" s="46"/>
      <c r="D1470" s="37"/>
      <c r="E1470" s="37"/>
      <c r="F1470" s="37"/>
      <c r="G1470" s="40" t="str">
        <f>IF(tblMovimientos[[#This Row],[Producto]]="","",TRIM(LEFT(tblMovimientos[[#This Row],[Producto]],FIND(" · ",tblMovimientos[[#This Row],[Producto]]&amp;" · ")-1)))</f>
        <v/>
      </c>
      <c r="H1470" s="40" t="str">
        <f>IF(tblMovimientos[[#This Row],[SKU]]="","",IFERROR(INDEX(tblProductos[Unidad],MATCH(tblMovimientos[[#This Row],[SKU]],tblProductos[SKU],0)),"?"))</f>
        <v/>
      </c>
      <c r="I1470" s="39"/>
      <c r="J1470" s="47" t="str">
        <f>IF(tblMovimientos[[#This Row],[Tipo]]="","",IFERROR(INDEX(tblTiposMov[FactorStock],MATCH(tblMovimientos[[#This Row],[Tipo]],tblTiposMov[Tipo],0)),0))</f>
        <v/>
      </c>
      <c r="K14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0" s="37"/>
      <c r="O1470" s="37"/>
      <c r="P1470" s="37"/>
    </row>
    <row r="1471" spans="2:16" x14ac:dyDescent="0.25">
      <c r="B14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1" s="46"/>
      <c r="D1471" s="37"/>
      <c r="E1471" s="37"/>
      <c r="F1471" s="37"/>
      <c r="G1471" s="40" t="str">
        <f>IF(tblMovimientos[[#This Row],[Producto]]="","",TRIM(LEFT(tblMovimientos[[#This Row],[Producto]],FIND(" · ",tblMovimientos[[#This Row],[Producto]]&amp;" · ")-1)))</f>
        <v/>
      </c>
      <c r="H1471" s="40" t="str">
        <f>IF(tblMovimientos[[#This Row],[SKU]]="","",IFERROR(INDEX(tblProductos[Unidad],MATCH(tblMovimientos[[#This Row],[SKU]],tblProductos[SKU],0)),"?"))</f>
        <v/>
      </c>
      <c r="I1471" s="39"/>
      <c r="J1471" s="47" t="str">
        <f>IF(tblMovimientos[[#This Row],[Tipo]]="","",IFERROR(INDEX(tblTiposMov[FactorStock],MATCH(tblMovimientos[[#This Row],[Tipo]],tblTiposMov[Tipo],0)),0))</f>
        <v/>
      </c>
      <c r="K14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1" s="37"/>
      <c r="O1471" s="37"/>
      <c r="P1471" s="37"/>
    </row>
    <row r="1472" spans="2:16" x14ac:dyDescent="0.25">
      <c r="B14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2" s="46"/>
      <c r="D1472" s="37"/>
      <c r="E1472" s="37"/>
      <c r="F1472" s="37"/>
      <c r="G1472" s="40" t="str">
        <f>IF(tblMovimientos[[#This Row],[Producto]]="","",TRIM(LEFT(tblMovimientos[[#This Row],[Producto]],FIND(" · ",tblMovimientos[[#This Row],[Producto]]&amp;" · ")-1)))</f>
        <v/>
      </c>
      <c r="H1472" s="40" t="str">
        <f>IF(tblMovimientos[[#This Row],[SKU]]="","",IFERROR(INDEX(tblProductos[Unidad],MATCH(tblMovimientos[[#This Row],[SKU]],tblProductos[SKU],0)),"?"))</f>
        <v/>
      </c>
      <c r="I1472" s="39"/>
      <c r="J1472" s="47" t="str">
        <f>IF(tblMovimientos[[#This Row],[Tipo]]="","",IFERROR(INDEX(tblTiposMov[FactorStock],MATCH(tblMovimientos[[#This Row],[Tipo]],tblTiposMov[Tipo],0)),0))</f>
        <v/>
      </c>
      <c r="K14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2" s="37"/>
      <c r="O1472" s="37"/>
      <c r="P1472" s="37"/>
    </row>
    <row r="1473" spans="2:16" x14ac:dyDescent="0.25">
      <c r="B14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3" s="46"/>
      <c r="D1473" s="37"/>
      <c r="E1473" s="37"/>
      <c r="F1473" s="37"/>
      <c r="G1473" s="40" t="str">
        <f>IF(tblMovimientos[[#This Row],[Producto]]="","",TRIM(LEFT(tblMovimientos[[#This Row],[Producto]],FIND(" · ",tblMovimientos[[#This Row],[Producto]]&amp;" · ")-1)))</f>
        <v/>
      </c>
      <c r="H1473" s="40" t="str">
        <f>IF(tblMovimientos[[#This Row],[SKU]]="","",IFERROR(INDEX(tblProductos[Unidad],MATCH(tblMovimientos[[#This Row],[SKU]],tblProductos[SKU],0)),"?"))</f>
        <v/>
      </c>
      <c r="I1473" s="39"/>
      <c r="J1473" s="47" t="str">
        <f>IF(tblMovimientos[[#This Row],[Tipo]]="","",IFERROR(INDEX(tblTiposMov[FactorStock],MATCH(tblMovimientos[[#This Row],[Tipo]],tblTiposMov[Tipo],0)),0))</f>
        <v/>
      </c>
      <c r="K14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3" s="37"/>
      <c r="O1473" s="37"/>
      <c r="P1473" s="37"/>
    </row>
    <row r="1474" spans="2:16" x14ac:dyDescent="0.25">
      <c r="B14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4" s="46"/>
      <c r="D1474" s="37"/>
      <c r="E1474" s="37"/>
      <c r="F1474" s="37"/>
      <c r="G1474" s="40" t="str">
        <f>IF(tblMovimientos[[#This Row],[Producto]]="","",TRIM(LEFT(tblMovimientos[[#This Row],[Producto]],FIND(" · ",tblMovimientos[[#This Row],[Producto]]&amp;" · ")-1)))</f>
        <v/>
      </c>
      <c r="H1474" s="40" t="str">
        <f>IF(tblMovimientos[[#This Row],[SKU]]="","",IFERROR(INDEX(tblProductos[Unidad],MATCH(tblMovimientos[[#This Row],[SKU]],tblProductos[SKU],0)),"?"))</f>
        <v/>
      </c>
      <c r="I1474" s="39"/>
      <c r="J1474" s="47" t="str">
        <f>IF(tblMovimientos[[#This Row],[Tipo]]="","",IFERROR(INDEX(tblTiposMov[FactorStock],MATCH(tblMovimientos[[#This Row],[Tipo]],tblTiposMov[Tipo],0)),0))</f>
        <v/>
      </c>
      <c r="K14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4" s="37"/>
      <c r="O1474" s="37"/>
      <c r="P1474" s="37"/>
    </row>
    <row r="1475" spans="2:16" x14ac:dyDescent="0.25">
      <c r="B14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5" s="46"/>
      <c r="D1475" s="37"/>
      <c r="E1475" s="37"/>
      <c r="F1475" s="37"/>
      <c r="G1475" s="40" t="str">
        <f>IF(tblMovimientos[[#This Row],[Producto]]="","",TRIM(LEFT(tblMovimientos[[#This Row],[Producto]],FIND(" · ",tblMovimientos[[#This Row],[Producto]]&amp;" · ")-1)))</f>
        <v/>
      </c>
      <c r="H1475" s="40" t="str">
        <f>IF(tblMovimientos[[#This Row],[SKU]]="","",IFERROR(INDEX(tblProductos[Unidad],MATCH(tblMovimientos[[#This Row],[SKU]],tblProductos[SKU],0)),"?"))</f>
        <v/>
      </c>
      <c r="I1475" s="39"/>
      <c r="J1475" s="47" t="str">
        <f>IF(tblMovimientos[[#This Row],[Tipo]]="","",IFERROR(INDEX(tblTiposMov[FactorStock],MATCH(tblMovimientos[[#This Row],[Tipo]],tblTiposMov[Tipo],0)),0))</f>
        <v/>
      </c>
      <c r="K14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5" s="37"/>
      <c r="O1475" s="37"/>
      <c r="P1475" s="37"/>
    </row>
    <row r="1476" spans="2:16" x14ac:dyDescent="0.25">
      <c r="B14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6" s="46"/>
      <c r="D1476" s="37"/>
      <c r="E1476" s="37"/>
      <c r="F1476" s="37"/>
      <c r="G1476" s="40" t="str">
        <f>IF(tblMovimientos[[#This Row],[Producto]]="","",TRIM(LEFT(tblMovimientos[[#This Row],[Producto]],FIND(" · ",tblMovimientos[[#This Row],[Producto]]&amp;" · ")-1)))</f>
        <v/>
      </c>
      <c r="H1476" s="40" t="str">
        <f>IF(tblMovimientos[[#This Row],[SKU]]="","",IFERROR(INDEX(tblProductos[Unidad],MATCH(tblMovimientos[[#This Row],[SKU]],tblProductos[SKU],0)),"?"))</f>
        <v/>
      </c>
      <c r="I1476" s="39"/>
      <c r="J1476" s="47" t="str">
        <f>IF(tblMovimientos[[#This Row],[Tipo]]="","",IFERROR(INDEX(tblTiposMov[FactorStock],MATCH(tblMovimientos[[#This Row],[Tipo]],tblTiposMov[Tipo],0)),0))</f>
        <v/>
      </c>
      <c r="K14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6" s="37"/>
      <c r="O1476" s="37"/>
      <c r="P1476" s="37"/>
    </row>
    <row r="1477" spans="2:16" x14ac:dyDescent="0.25">
      <c r="B14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7" s="46"/>
      <c r="D1477" s="37"/>
      <c r="E1477" s="37"/>
      <c r="F1477" s="37"/>
      <c r="G1477" s="40" t="str">
        <f>IF(tblMovimientos[[#This Row],[Producto]]="","",TRIM(LEFT(tblMovimientos[[#This Row],[Producto]],FIND(" · ",tblMovimientos[[#This Row],[Producto]]&amp;" · ")-1)))</f>
        <v/>
      </c>
      <c r="H1477" s="40" t="str">
        <f>IF(tblMovimientos[[#This Row],[SKU]]="","",IFERROR(INDEX(tblProductos[Unidad],MATCH(tblMovimientos[[#This Row],[SKU]],tblProductos[SKU],0)),"?"))</f>
        <v/>
      </c>
      <c r="I1477" s="39"/>
      <c r="J1477" s="47" t="str">
        <f>IF(tblMovimientos[[#This Row],[Tipo]]="","",IFERROR(INDEX(tblTiposMov[FactorStock],MATCH(tblMovimientos[[#This Row],[Tipo]],tblTiposMov[Tipo],0)),0))</f>
        <v/>
      </c>
      <c r="K14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7" s="37"/>
      <c r="O1477" s="37"/>
      <c r="P1477" s="37"/>
    </row>
    <row r="1478" spans="2:16" x14ac:dyDescent="0.25">
      <c r="B14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8" s="46"/>
      <c r="D1478" s="37"/>
      <c r="E1478" s="37"/>
      <c r="F1478" s="37"/>
      <c r="G1478" s="40" t="str">
        <f>IF(tblMovimientos[[#This Row],[Producto]]="","",TRIM(LEFT(tblMovimientos[[#This Row],[Producto]],FIND(" · ",tblMovimientos[[#This Row],[Producto]]&amp;" · ")-1)))</f>
        <v/>
      </c>
      <c r="H1478" s="40" t="str">
        <f>IF(tblMovimientos[[#This Row],[SKU]]="","",IFERROR(INDEX(tblProductos[Unidad],MATCH(tblMovimientos[[#This Row],[SKU]],tblProductos[SKU],0)),"?"))</f>
        <v/>
      </c>
      <c r="I1478" s="39"/>
      <c r="J1478" s="47" t="str">
        <f>IF(tblMovimientos[[#This Row],[Tipo]]="","",IFERROR(INDEX(tblTiposMov[FactorStock],MATCH(tblMovimientos[[#This Row],[Tipo]],tblTiposMov[Tipo],0)),0))</f>
        <v/>
      </c>
      <c r="K14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8" s="37"/>
      <c r="O1478" s="37"/>
      <c r="P1478" s="37"/>
    </row>
    <row r="1479" spans="2:16" x14ac:dyDescent="0.25">
      <c r="B14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79" s="46"/>
      <c r="D1479" s="37"/>
      <c r="E1479" s="37"/>
      <c r="F1479" s="37"/>
      <c r="G1479" s="40" t="str">
        <f>IF(tblMovimientos[[#This Row],[Producto]]="","",TRIM(LEFT(tblMovimientos[[#This Row],[Producto]],FIND(" · ",tblMovimientos[[#This Row],[Producto]]&amp;" · ")-1)))</f>
        <v/>
      </c>
      <c r="H1479" s="40" t="str">
        <f>IF(tblMovimientos[[#This Row],[SKU]]="","",IFERROR(INDEX(tblProductos[Unidad],MATCH(tblMovimientos[[#This Row],[SKU]],tblProductos[SKU],0)),"?"))</f>
        <v/>
      </c>
      <c r="I1479" s="39"/>
      <c r="J1479" s="47" t="str">
        <f>IF(tblMovimientos[[#This Row],[Tipo]]="","",IFERROR(INDEX(tblTiposMov[FactorStock],MATCH(tblMovimientos[[#This Row],[Tipo]],tblTiposMov[Tipo],0)),0))</f>
        <v/>
      </c>
      <c r="K14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79" s="37"/>
      <c r="O1479" s="37"/>
      <c r="P1479" s="37"/>
    </row>
    <row r="1480" spans="2:16" x14ac:dyDescent="0.25">
      <c r="B14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0" s="46"/>
      <c r="D1480" s="37"/>
      <c r="E1480" s="37"/>
      <c r="F1480" s="37"/>
      <c r="G1480" s="40" t="str">
        <f>IF(tblMovimientos[[#This Row],[Producto]]="","",TRIM(LEFT(tblMovimientos[[#This Row],[Producto]],FIND(" · ",tblMovimientos[[#This Row],[Producto]]&amp;" · ")-1)))</f>
        <v/>
      </c>
      <c r="H1480" s="40" t="str">
        <f>IF(tblMovimientos[[#This Row],[SKU]]="","",IFERROR(INDEX(tblProductos[Unidad],MATCH(tblMovimientos[[#This Row],[SKU]],tblProductos[SKU],0)),"?"))</f>
        <v/>
      </c>
      <c r="I1480" s="39"/>
      <c r="J1480" s="47" t="str">
        <f>IF(tblMovimientos[[#This Row],[Tipo]]="","",IFERROR(INDEX(tblTiposMov[FactorStock],MATCH(tblMovimientos[[#This Row],[Tipo]],tblTiposMov[Tipo],0)),0))</f>
        <v/>
      </c>
      <c r="K14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0" s="37"/>
      <c r="O1480" s="37"/>
      <c r="P1480" s="37"/>
    </row>
    <row r="1481" spans="2:16" x14ac:dyDescent="0.25">
      <c r="B14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1" s="46"/>
      <c r="D1481" s="37"/>
      <c r="E1481" s="37"/>
      <c r="F1481" s="37"/>
      <c r="G1481" s="40" t="str">
        <f>IF(tblMovimientos[[#This Row],[Producto]]="","",TRIM(LEFT(tblMovimientos[[#This Row],[Producto]],FIND(" · ",tblMovimientos[[#This Row],[Producto]]&amp;" · ")-1)))</f>
        <v/>
      </c>
      <c r="H1481" s="40" t="str">
        <f>IF(tblMovimientos[[#This Row],[SKU]]="","",IFERROR(INDEX(tblProductos[Unidad],MATCH(tblMovimientos[[#This Row],[SKU]],tblProductos[SKU],0)),"?"))</f>
        <v/>
      </c>
      <c r="I1481" s="39"/>
      <c r="J1481" s="47" t="str">
        <f>IF(tblMovimientos[[#This Row],[Tipo]]="","",IFERROR(INDEX(tblTiposMov[FactorStock],MATCH(tblMovimientos[[#This Row],[Tipo]],tblTiposMov[Tipo],0)),0))</f>
        <v/>
      </c>
      <c r="K14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1" s="37"/>
      <c r="O1481" s="37"/>
      <c r="P1481" s="37"/>
    </row>
    <row r="1482" spans="2:16" x14ac:dyDescent="0.25">
      <c r="B14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2" s="46"/>
      <c r="D1482" s="37"/>
      <c r="E1482" s="37"/>
      <c r="F1482" s="37"/>
      <c r="G1482" s="40" t="str">
        <f>IF(tblMovimientos[[#This Row],[Producto]]="","",TRIM(LEFT(tblMovimientos[[#This Row],[Producto]],FIND(" · ",tblMovimientos[[#This Row],[Producto]]&amp;" · ")-1)))</f>
        <v/>
      </c>
      <c r="H1482" s="40" t="str">
        <f>IF(tblMovimientos[[#This Row],[SKU]]="","",IFERROR(INDEX(tblProductos[Unidad],MATCH(tblMovimientos[[#This Row],[SKU]],tblProductos[SKU],0)),"?"))</f>
        <v/>
      </c>
      <c r="I1482" s="39"/>
      <c r="J1482" s="47" t="str">
        <f>IF(tblMovimientos[[#This Row],[Tipo]]="","",IFERROR(INDEX(tblTiposMov[FactorStock],MATCH(tblMovimientos[[#This Row],[Tipo]],tblTiposMov[Tipo],0)),0))</f>
        <v/>
      </c>
      <c r="K14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2" s="37"/>
      <c r="O1482" s="37"/>
      <c r="P1482" s="37"/>
    </row>
    <row r="1483" spans="2:16" x14ac:dyDescent="0.25">
      <c r="B14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3" s="46"/>
      <c r="D1483" s="37"/>
      <c r="E1483" s="37"/>
      <c r="F1483" s="37"/>
      <c r="G1483" s="40" t="str">
        <f>IF(tblMovimientos[[#This Row],[Producto]]="","",TRIM(LEFT(tblMovimientos[[#This Row],[Producto]],FIND(" · ",tblMovimientos[[#This Row],[Producto]]&amp;" · ")-1)))</f>
        <v/>
      </c>
      <c r="H1483" s="40" t="str">
        <f>IF(tblMovimientos[[#This Row],[SKU]]="","",IFERROR(INDEX(tblProductos[Unidad],MATCH(tblMovimientos[[#This Row],[SKU]],tblProductos[SKU],0)),"?"))</f>
        <v/>
      </c>
      <c r="I1483" s="39"/>
      <c r="J1483" s="47" t="str">
        <f>IF(tblMovimientos[[#This Row],[Tipo]]="","",IFERROR(INDEX(tblTiposMov[FactorStock],MATCH(tblMovimientos[[#This Row],[Tipo]],tblTiposMov[Tipo],0)),0))</f>
        <v/>
      </c>
      <c r="K14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3" s="37"/>
      <c r="O1483" s="37"/>
      <c r="P1483" s="37"/>
    </row>
    <row r="1484" spans="2:16" x14ac:dyDescent="0.25">
      <c r="B14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4" s="46"/>
      <c r="D1484" s="37"/>
      <c r="E1484" s="37"/>
      <c r="F1484" s="37"/>
      <c r="G1484" s="40" t="str">
        <f>IF(tblMovimientos[[#This Row],[Producto]]="","",TRIM(LEFT(tblMovimientos[[#This Row],[Producto]],FIND(" · ",tblMovimientos[[#This Row],[Producto]]&amp;" · ")-1)))</f>
        <v/>
      </c>
      <c r="H1484" s="40" t="str">
        <f>IF(tblMovimientos[[#This Row],[SKU]]="","",IFERROR(INDEX(tblProductos[Unidad],MATCH(tblMovimientos[[#This Row],[SKU]],tblProductos[SKU],0)),"?"))</f>
        <v/>
      </c>
      <c r="I1484" s="39"/>
      <c r="J1484" s="47" t="str">
        <f>IF(tblMovimientos[[#This Row],[Tipo]]="","",IFERROR(INDEX(tblTiposMov[FactorStock],MATCH(tblMovimientos[[#This Row],[Tipo]],tblTiposMov[Tipo],0)),0))</f>
        <v/>
      </c>
      <c r="K14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4" s="37"/>
      <c r="O1484" s="37"/>
      <c r="P1484" s="37"/>
    </row>
    <row r="1485" spans="2:16" x14ac:dyDescent="0.25">
      <c r="B14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5" s="46"/>
      <c r="D1485" s="37"/>
      <c r="E1485" s="37"/>
      <c r="F1485" s="37"/>
      <c r="G1485" s="40" t="str">
        <f>IF(tblMovimientos[[#This Row],[Producto]]="","",TRIM(LEFT(tblMovimientos[[#This Row],[Producto]],FIND(" · ",tblMovimientos[[#This Row],[Producto]]&amp;" · ")-1)))</f>
        <v/>
      </c>
      <c r="H1485" s="40" t="str">
        <f>IF(tblMovimientos[[#This Row],[SKU]]="","",IFERROR(INDEX(tblProductos[Unidad],MATCH(tblMovimientos[[#This Row],[SKU]],tblProductos[SKU],0)),"?"))</f>
        <v/>
      </c>
      <c r="I1485" s="39"/>
      <c r="J1485" s="47" t="str">
        <f>IF(tblMovimientos[[#This Row],[Tipo]]="","",IFERROR(INDEX(tblTiposMov[FactorStock],MATCH(tblMovimientos[[#This Row],[Tipo]],tblTiposMov[Tipo],0)),0))</f>
        <v/>
      </c>
      <c r="K14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5" s="37"/>
      <c r="O1485" s="37"/>
      <c r="P1485" s="37"/>
    </row>
    <row r="1486" spans="2:16" x14ac:dyDescent="0.25">
      <c r="B14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6" s="46"/>
      <c r="D1486" s="37"/>
      <c r="E1486" s="37"/>
      <c r="F1486" s="37"/>
      <c r="G1486" s="40" t="str">
        <f>IF(tblMovimientos[[#This Row],[Producto]]="","",TRIM(LEFT(tblMovimientos[[#This Row],[Producto]],FIND(" · ",tblMovimientos[[#This Row],[Producto]]&amp;" · ")-1)))</f>
        <v/>
      </c>
      <c r="H1486" s="40" t="str">
        <f>IF(tblMovimientos[[#This Row],[SKU]]="","",IFERROR(INDEX(tblProductos[Unidad],MATCH(tblMovimientos[[#This Row],[SKU]],tblProductos[SKU],0)),"?"))</f>
        <v/>
      </c>
      <c r="I1486" s="39"/>
      <c r="J1486" s="47" t="str">
        <f>IF(tblMovimientos[[#This Row],[Tipo]]="","",IFERROR(INDEX(tblTiposMov[FactorStock],MATCH(tblMovimientos[[#This Row],[Tipo]],tblTiposMov[Tipo],0)),0))</f>
        <v/>
      </c>
      <c r="K14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6" s="37"/>
      <c r="O1486" s="37"/>
      <c r="P1486" s="37"/>
    </row>
    <row r="1487" spans="2:16" x14ac:dyDescent="0.25">
      <c r="B14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7" s="46"/>
      <c r="D1487" s="37"/>
      <c r="E1487" s="37"/>
      <c r="F1487" s="37"/>
      <c r="G1487" s="40" t="str">
        <f>IF(tblMovimientos[[#This Row],[Producto]]="","",TRIM(LEFT(tblMovimientos[[#This Row],[Producto]],FIND(" · ",tblMovimientos[[#This Row],[Producto]]&amp;" · ")-1)))</f>
        <v/>
      </c>
      <c r="H1487" s="40" t="str">
        <f>IF(tblMovimientos[[#This Row],[SKU]]="","",IFERROR(INDEX(tblProductos[Unidad],MATCH(tblMovimientos[[#This Row],[SKU]],tblProductos[SKU],0)),"?"))</f>
        <v/>
      </c>
      <c r="I1487" s="39"/>
      <c r="J1487" s="47" t="str">
        <f>IF(tblMovimientos[[#This Row],[Tipo]]="","",IFERROR(INDEX(tblTiposMov[FactorStock],MATCH(tblMovimientos[[#This Row],[Tipo]],tblTiposMov[Tipo],0)),0))</f>
        <v/>
      </c>
      <c r="K14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7" s="37"/>
      <c r="O1487" s="37"/>
      <c r="P1487" s="37"/>
    </row>
    <row r="1488" spans="2:16" x14ac:dyDescent="0.25">
      <c r="B14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8" s="46"/>
      <c r="D1488" s="37"/>
      <c r="E1488" s="37"/>
      <c r="F1488" s="37"/>
      <c r="G1488" s="40" t="str">
        <f>IF(tblMovimientos[[#This Row],[Producto]]="","",TRIM(LEFT(tblMovimientos[[#This Row],[Producto]],FIND(" · ",tblMovimientos[[#This Row],[Producto]]&amp;" · ")-1)))</f>
        <v/>
      </c>
      <c r="H1488" s="40" t="str">
        <f>IF(tblMovimientos[[#This Row],[SKU]]="","",IFERROR(INDEX(tblProductos[Unidad],MATCH(tblMovimientos[[#This Row],[SKU]],tblProductos[SKU],0)),"?"))</f>
        <v/>
      </c>
      <c r="I1488" s="39"/>
      <c r="J1488" s="47" t="str">
        <f>IF(tblMovimientos[[#This Row],[Tipo]]="","",IFERROR(INDEX(tblTiposMov[FactorStock],MATCH(tblMovimientos[[#This Row],[Tipo]],tblTiposMov[Tipo],0)),0))</f>
        <v/>
      </c>
      <c r="K14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8" s="37"/>
      <c r="O1488" s="37"/>
      <c r="P1488" s="37"/>
    </row>
    <row r="1489" spans="2:16" x14ac:dyDescent="0.25">
      <c r="B14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89" s="46"/>
      <c r="D1489" s="37"/>
      <c r="E1489" s="37"/>
      <c r="F1489" s="37"/>
      <c r="G1489" s="40" t="str">
        <f>IF(tblMovimientos[[#This Row],[Producto]]="","",TRIM(LEFT(tblMovimientos[[#This Row],[Producto]],FIND(" · ",tblMovimientos[[#This Row],[Producto]]&amp;" · ")-1)))</f>
        <v/>
      </c>
      <c r="H1489" s="40" t="str">
        <f>IF(tblMovimientos[[#This Row],[SKU]]="","",IFERROR(INDEX(tblProductos[Unidad],MATCH(tblMovimientos[[#This Row],[SKU]],tblProductos[SKU],0)),"?"))</f>
        <v/>
      </c>
      <c r="I1489" s="39"/>
      <c r="J1489" s="47" t="str">
        <f>IF(tblMovimientos[[#This Row],[Tipo]]="","",IFERROR(INDEX(tblTiposMov[FactorStock],MATCH(tblMovimientos[[#This Row],[Tipo]],tblTiposMov[Tipo],0)),0))</f>
        <v/>
      </c>
      <c r="K14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89" s="37"/>
      <c r="O1489" s="37"/>
      <c r="P1489" s="37"/>
    </row>
    <row r="1490" spans="2:16" x14ac:dyDescent="0.25">
      <c r="B14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0" s="46"/>
      <c r="D1490" s="37"/>
      <c r="E1490" s="37"/>
      <c r="F1490" s="37"/>
      <c r="G1490" s="40" t="str">
        <f>IF(tblMovimientos[[#This Row],[Producto]]="","",TRIM(LEFT(tblMovimientos[[#This Row],[Producto]],FIND(" · ",tblMovimientos[[#This Row],[Producto]]&amp;" · ")-1)))</f>
        <v/>
      </c>
      <c r="H1490" s="40" t="str">
        <f>IF(tblMovimientos[[#This Row],[SKU]]="","",IFERROR(INDEX(tblProductos[Unidad],MATCH(tblMovimientos[[#This Row],[SKU]],tblProductos[SKU],0)),"?"))</f>
        <v/>
      </c>
      <c r="I1490" s="39"/>
      <c r="J1490" s="47" t="str">
        <f>IF(tblMovimientos[[#This Row],[Tipo]]="","",IFERROR(INDEX(tblTiposMov[FactorStock],MATCH(tblMovimientos[[#This Row],[Tipo]],tblTiposMov[Tipo],0)),0))</f>
        <v/>
      </c>
      <c r="K14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0" s="37"/>
      <c r="O1490" s="37"/>
      <c r="P1490" s="37"/>
    </row>
    <row r="1491" spans="2:16" x14ac:dyDescent="0.25">
      <c r="B14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1" s="46"/>
      <c r="D1491" s="37"/>
      <c r="E1491" s="37"/>
      <c r="F1491" s="37"/>
      <c r="G1491" s="40" t="str">
        <f>IF(tblMovimientos[[#This Row],[Producto]]="","",TRIM(LEFT(tblMovimientos[[#This Row],[Producto]],FIND(" · ",tblMovimientos[[#This Row],[Producto]]&amp;" · ")-1)))</f>
        <v/>
      </c>
      <c r="H1491" s="40" t="str">
        <f>IF(tblMovimientos[[#This Row],[SKU]]="","",IFERROR(INDEX(tblProductos[Unidad],MATCH(tblMovimientos[[#This Row],[SKU]],tblProductos[SKU],0)),"?"))</f>
        <v/>
      </c>
      <c r="I1491" s="39"/>
      <c r="J1491" s="47" t="str">
        <f>IF(tblMovimientos[[#This Row],[Tipo]]="","",IFERROR(INDEX(tblTiposMov[FactorStock],MATCH(tblMovimientos[[#This Row],[Tipo]],tblTiposMov[Tipo],0)),0))</f>
        <v/>
      </c>
      <c r="K14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1" s="37"/>
      <c r="O1491" s="37"/>
      <c r="P1491" s="37"/>
    </row>
    <row r="1492" spans="2:16" x14ac:dyDescent="0.25">
      <c r="B14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2" s="46"/>
      <c r="D1492" s="37"/>
      <c r="E1492" s="37"/>
      <c r="F1492" s="37"/>
      <c r="G1492" s="40" t="str">
        <f>IF(tblMovimientos[[#This Row],[Producto]]="","",TRIM(LEFT(tblMovimientos[[#This Row],[Producto]],FIND(" · ",tblMovimientos[[#This Row],[Producto]]&amp;" · ")-1)))</f>
        <v/>
      </c>
      <c r="H1492" s="40" t="str">
        <f>IF(tblMovimientos[[#This Row],[SKU]]="","",IFERROR(INDEX(tblProductos[Unidad],MATCH(tblMovimientos[[#This Row],[SKU]],tblProductos[SKU],0)),"?"))</f>
        <v/>
      </c>
      <c r="I1492" s="39"/>
      <c r="J1492" s="47" t="str">
        <f>IF(tblMovimientos[[#This Row],[Tipo]]="","",IFERROR(INDEX(tblTiposMov[FactorStock],MATCH(tblMovimientos[[#This Row],[Tipo]],tblTiposMov[Tipo],0)),0))</f>
        <v/>
      </c>
      <c r="K14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2" s="37"/>
      <c r="O1492" s="37"/>
      <c r="P1492" s="37"/>
    </row>
    <row r="1493" spans="2:16" x14ac:dyDescent="0.25">
      <c r="B14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3" s="46"/>
      <c r="D1493" s="37"/>
      <c r="E1493" s="37"/>
      <c r="F1493" s="37"/>
      <c r="G1493" s="40" t="str">
        <f>IF(tblMovimientos[[#This Row],[Producto]]="","",TRIM(LEFT(tblMovimientos[[#This Row],[Producto]],FIND(" · ",tblMovimientos[[#This Row],[Producto]]&amp;" · ")-1)))</f>
        <v/>
      </c>
      <c r="H1493" s="40" t="str">
        <f>IF(tblMovimientos[[#This Row],[SKU]]="","",IFERROR(INDEX(tblProductos[Unidad],MATCH(tblMovimientos[[#This Row],[SKU]],tblProductos[SKU],0)),"?"))</f>
        <v/>
      </c>
      <c r="I1493" s="39"/>
      <c r="J1493" s="47" t="str">
        <f>IF(tblMovimientos[[#This Row],[Tipo]]="","",IFERROR(INDEX(tblTiposMov[FactorStock],MATCH(tblMovimientos[[#This Row],[Tipo]],tblTiposMov[Tipo],0)),0))</f>
        <v/>
      </c>
      <c r="K14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3" s="37"/>
      <c r="O1493" s="37"/>
      <c r="P1493" s="37"/>
    </row>
    <row r="1494" spans="2:16" x14ac:dyDescent="0.25">
      <c r="B14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4" s="46"/>
      <c r="D1494" s="37"/>
      <c r="E1494" s="37"/>
      <c r="F1494" s="37"/>
      <c r="G1494" s="40" t="str">
        <f>IF(tblMovimientos[[#This Row],[Producto]]="","",TRIM(LEFT(tblMovimientos[[#This Row],[Producto]],FIND(" · ",tblMovimientos[[#This Row],[Producto]]&amp;" · ")-1)))</f>
        <v/>
      </c>
      <c r="H1494" s="40" t="str">
        <f>IF(tblMovimientos[[#This Row],[SKU]]="","",IFERROR(INDEX(tblProductos[Unidad],MATCH(tblMovimientos[[#This Row],[SKU]],tblProductos[SKU],0)),"?"))</f>
        <v/>
      </c>
      <c r="I1494" s="39"/>
      <c r="J1494" s="47" t="str">
        <f>IF(tblMovimientos[[#This Row],[Tipo]]="","",IFERROR(INDEX(tblTiposMov[FactorStock],MATCH(tblMovimientos[[#This Row],[Tipo]],tblTiposMov[Tipo],0)),0))</f>
        <v/>
      </c>
      <c r="K14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4" s="37"/>
      <c r="O1494" s="37"/>
      <c r="P1494" s="37"/>
    </row>
    <row r="1495" spans="2:16" x14ac:dyDescent="0.25">
      <c r="B14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5" s="46"/>
      <c r="D1495" s="37"/>
      <c r="E1495" s="37"/>
      <c r="F1495" s="37"/>
      <c r="G1495" s="40" t="str">
        <f>IF(tblMovimientos[[#This Row],[Producto]]="","",TRIM(LEFT(tblMovimientos[[#This Row],[Producto]],FIND(" · ",tblMovimientos[[#This Row],[Producto]]&amp;" · ")-1)))</f>
        <v/>
      </c>
      <c r="H1495" s="40" t="str">
        <f>IF(tblMovimientos[[#This Row],[SKU]]="","",IFERROR(INDEX(tblProductos[Unidad],MATCH(tblMovimientos[[#This Row],[SKU]],tblProductos[SKU],0)),"?"))</f>
        <v/>
      </c>
      <c r="I1495" s="39"/>
      <c r="J1495" s="47" t="str">
        <f>IF(tblMovimientos[[#This Row],[Tipo]]="","",IFERROR(INDEX(tblTiposMov[FactorStock],MATCH(tblMovimientos[[#This Row],[Tipo]],tblTiposMov[Tipo],0)),0))</f>
        <v/>
      </c>
      <c r="K14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5" s="37"/>
      <c r="O1495" s="37"/>
      <c r="P1495" s="37"/>
    </row>
    <row r="1496" spans="2:16" x14ac:dyDescent="0.25">
      <c r="B14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6" s="46"/>
      <c r="D1496" s="37"/>
      <c r="E1496" s="37"/>
      <c r="F1496" s="37"/>
      <c r="G1496" s="40" t="str">
        <f>IF(tblMovimientos[[#This Row],[Producto]]="","",TRIM(LEFT(tblMovimientos[[#This Row],[Producto]],FIND(" · ",tblMovimientos[[#This Row],[Producto]]&amp;" · ")-1)))</f>
        <v/>
      </c>
      <c r="H1496" s="40" t="str">
        <f>IF(tblMovimientos[[#This Row],[SKU]]="","",IFERROR(INDEX(tblProductos[Unidad],MATCH(tblMovimientos[[#This Row],[SKU]],tblProductos[SKU],0)),"?"))</f>
        <v/>
      </c>
      <c r="I1496" s="39"/>
      <c r="J1496" s="47" t="str">
        <f>IF(tblMovimientos[[#This Row],[Tipo]]="","",IFERROR(INDEX(tblTiposMov[FactorStock],MATCH(tblMovimientos[[#This Row],[Tipo]],tblTiposMov[Tipo],0)),0))</f>
        <v/>
      </c>
      <c r="K14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6" s="37"/>
      <c r="O1496" s="37"/>
      <c r="P1496" s="37"/>
    </row>
    <row r="1497" spans="2:16" x14ac:dyDescent="0.25">
      <c r="B14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7" s="46"/>
      <c r="D1497" s="37"/>
      <c r="E1497" s="37"/>
      <c r="F1497" s="37"/>
      <c r="G1497" s="40" t="str">
        <f>IF(tblMovimientos[[#This Row],[Producto]]="","",TRIM(LEFT(tblMovimientos[[#This Row],[Producto]],FIND(" · ",tblMovimientos[[#This Row],[Producto]]&amp;" · ")-1)))</f>
        <v/>
      </c>
      <c r="H1497" s="40" t="str">
        <f>IF(tblMovimientos[[#This Row],[SKU]]="","",IFERROR(INDEX(tblProductos[Unidad],MATCH(tblMovimientos[[#This Row],[SKU]],tblProductos[SKU],0)),"?"))</f>
        <v/>
      </c>
      <c r="I1497" s="39"/>
      <c r="J1497" s="47" t="str">
        <f>IF(tblMovimientos[[#This Row],[Tipo]]="","",IFERROR(INDEX(tblTiposMov[FactorStock],MATCH(tblMovimientos[[#This Row],[Tipo]],tblTiposMov[Tipo],0)),0))</f>
        <v/>
      </c>
      <c r="K14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7" s="37"/>
      <c r="O1497" s="37"/>
      <c r="P1497" s="37"/>
    </row>
    <row r="1498" spans="2:16" x14ac:dyDescent="0.25">
      <c r="B14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8" s="46"/>
      <c r="D1498" s="37"/>
      <c r="E1498" s="37"/>
      <c r="F1498" s="37"/>
      <c r="G1498" s="40" t="str">
        <f>IF(tblMovimientos[[#This Row],[Producto]]="","",TRIM(LEFT(tblMovimientos[[#This Row],[Producto]],FIND(" · ",tblMovimientos[[#This Row],[Producto]]&amp;" · ")-1)))</f>
        <v/>
      </c>
      <c r="H1498" s="40" t="str">
        <f>IF(tblMovimientos[[#This Row],[SKU]]="","",IFERROR(INDEX(tblProductos[Unidad],MATCH(tblMovimientos[[#This Row],[SKU]],tblProductos[SKU],0)),"?"))</f>
        <v/>
      </c>
      <c r="I1498" s="39"/>
      <c r="J1498" s="47" t="str">
        <f>IF(tblMovimientos[[#This Row],[Tipo]]="","",IFERROR(INDEX(tblTiposMov[FactorStock],MATCH(tblMovimientos[[#This Row],[Tipo]],tblTiposMov[Tipo],0)),0))</f>
        <v/>
      </c>
      <c r="K14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8" s="37"/>
      <c r="O1498" s="37"/>
      <c r="P1498" s="37"/>
    </row>
    <row r="1499" spans="2:16" x14ac:dyDescent="0.25">
      <c r="B14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499" s="46"/>
      <c r="D1499" s="37"/>
      <c r="E1499" s="37"/>
      <c r="F1499" s="37"/>
      <c r="G1499" s="40" t="str">
        <f>IF(tblMovimientos[[#This Row],[Producto]]="","",TRIM(LEFT(tblMovimientos[[#This Row],[Producto]],FIND(" · ",tblMovimientos[[#This Row],[Producto]]&amp;" · ")-1)))</f>
        <v/>
      </c>
      <c r="H1499" s="40" t="str">
        <f>IF(tblMovimientos[[#This Row],[SKU]]="","",IFERROR(INDEX(tblProductos[Unidad],MATCH(tblMovimientos[[#This Row],[SKU]],tblProductos[SKU],0)),"?"))</f>
        <v/>
      </c>
      <c r="I1499" s="39"/>
      <c r="J1499" s="47" t="str">
        <f>IF(tblMovimientos[[#This Row],[Tipo]]="","",IFERROR(INDEX(tblTiposMov[FactorStock],MATCH(tblMovimientos[[#This Row],[Tipo]],tblTiposMov[Tipo],0)),0))</f>
        <v/>
      </c>
      <c r="K14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4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499" s="37"/>
      <c r="O1499" s="37"/>
      <c r="P1499" s="37"/>
    </row>
    <row r="1500" spans="2:16" x14ac:dyDescent="0.25">
      <c r="B15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0" s="46"/>
      <c r="D1500" s="37"/>
      <c r="E1500" s="37"/>
      <c r="F1500" s="37"/>
      <c r="G1500" s="40" t="str">
        <f>IF(tblMovimientos[[#This Row],[Producto]]="","",TRIM(LEFT(tblMovimientos[[#This Row],[Producto]],FIND(" · ",tblMovimientos[[#This Row],[Producto]]&amp;" · ")-1)))</f>
        <v/>
      </c>
      <c r="H1500" s="40" t="str">
        <f>IF(tblMovimientos[[#This Row],[SKU]]="","",IFERROR(INDEX(tblProductos[Unidad],MATCH(tblMovimientos[[#This Row],[SKU]],tblProductos[SKU],0)),"?"))</f>
        <v/>
      </c>
      <c r="I1500" s="39"/>
      <c r="J1500" s="47" t="str">
        <f>IF(tblMovimientos[[#This Row],[Tipo]]="","",IFERROR(INDEX(tblTiposMov[FactorStock],MATCH(tblMovimientos[[#This Row],[Tipo]],tblTiposMov[Tipo],0)),0))</f>
        <v/>
      </c>
      <c r="K15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0" s="37"/>
      <c r="O1500" s="37"/>
      <c r="P1500" s="37"/>
    </row>
    <row r="1501" spans="2:16" x14ac:dyDescent="0.25">
      <c r="B15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1" s="46"/>
      <c r="D1501" s="37"/>
      <c r="E1501" s="37"/>
      <c r="F1501" s="37"/>
      <c r="G1501" s="40" t="str">
        <f>IF(tblMovimientos[[#This Row],[Producto]]="","",TRIM(LEFT(tblMovimientos[[#This Row],[Producto]],FIND(" · ",tblMovimientos[[#This Row],[Producto]]&amp;" · ")-1)))</f>
        <v/>
      </c>
      <c r="H1501" s="40" t="str">
        <f>IF(tblMovimientos[[#This Row],[SKU]]="","",IFERROR(INDEX(tblProductos[Unidad],MATCH(tblMovimientos[[#This Row],[SKU]],tblProductos[SKU],0)),"?"))</f>
        <v/>
      </c>
      <c r="I1501" s="39"/>
      <c r="J1501" s="47" t="str">
        <f>IF(tblMovimientos[[#This Row],[Tipo]]="","",IFERROR(INDEX(tblTiposMov[FactorStock],MATCH(tblMovimientos[[#This Row],[Tipo]],tblTiposMov[Tipo],0)),0))</f>
        <v/>
      </c>
      <c r="K15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1" s="37"/>
      <c r="O1501" s="37"/>
      <c r="P1501" s="37"/>
    </row>
    <row r="1502" spans="2:16" x14ac:dyDescent="0.25">
      <c r="B15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2" s="46"/>
      <c r="D1502" s="37"/>
      <c r="E1502" s="37"/>
      <c r="F1502" s="37"/>
      <c r="G1502" s="40" t="str">
        <f>IF(tblMovimientos[[#This Row],[Producto]]="","",TRIM(LEFT(tblMovimientos[[#This Row],[Producto]],FIND(" · ",tblMovimientos[[#This Row],[Producto]]&amp;" · ")-1)))</f>
        <v/>
      </c>
      <c r="H1502" s="40" t="str">
        <f>IF(tblMovimientos[[#This Row],[SKU]]="","",IFERROR(INDEX(tblProductos[Unidad],MATCH(tblMovimientos[[#This Row],[SKU]],tblProductos[SKU],0)),"?"))</f>
        <v/>
      </c>
      <c r="I1502" s="39"/>
      <c r="J1502" s="47" t="str">
        <f>IF(tblMovimientos[[#This Row],[Tipo]]="","",IFERROR(INDEX(tblTiposMov[FactorStock],MATCH(tblMovimientos[[#This Row],[Tipo]],tblTiposMov[Tipo],0)),0))</f>
        <v/>
      </c>
      <c r="K15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2" s="37"/>
      <c r="O1502" s="37"/>
      <c r="P1502" s="37"/>
    </row>
    <row r="1503" spans="2:16" x14ac:dyDescent="0.25">
      <c r="B15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3" s="46"/>
      <c r="D1503" s="37"/>
      <c r="E1503" s="37"/>
      <c r="F1503" s="37"/>
      <c r="G1503" s="40" t="str">
        <f>IF(tblMovimientos[[#This Row],[Producto]]="","",TRIM(LEFT(tblMovimientos[[#This Row],[Producto]],FIND(" · ",tblMovimientos[[#This Row],[Producto]]&amp;" · ")-1)))</f>
        <v/>
      </c>
      <c r="H1503" s="40" t="str">
        <f>IF(tblMovimientos[[#This Row],[SKU]]="","",IFERROR(INDEX(tblProductos[Unidad],MATCH(tblMovimientos[[#This Row],[SKU]],tblProductos[SKU],0)),"?"))</f>
        <v/>
      </c>
      <c r="I1503" s="39"/>
      <c r="J1503" s="47" t="str">
        <f>IF(tblMovimientos[[#This Row],[Tipo]]="","",IFERROR(INDEX(tblTiposMov[FactorStock],MATCH(tblMovimientos[[#This Row],[Tipo]],tblTiposMov[Tipo],0)),0))</f>
        <v/>
      </c>
      <c r="K15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3" s="37"/>
      <c r="O1503" s="37"/>
      <c r="P1503" s="37"/>
    </row>
    <row r="1504" spans="2:16" x14ac:dyDescent="0.25">
      <c r="B15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4" s="46"/>
      <c r="D1504" s="37"/>
      <c r="E1504" s="37"/>
      <c r="F1504" s="37"/>
      <c r="G1504" s="40" t="str">
        <f>IF(tblMovimientos[[#This Row],[Producto]]="","",TRIM(LEFT(tblMovimientos[[#This Row],[Producto]],FIND(" · ",tblMovimientos[[#This Row],[Producto]]&amp;" · ")-1)))</f>
        <v/>
      </c>
      <c r="H1504" s="40" t="str">
        <f>IF(tblMovimientos[[#This Row],[SKU]]="","",IFERROR(INDEX(tblProductos[Unidad],MATCH(tblMovimientos[[#This Row],[SKU]],tblProductos[SKU],0)),"?"))</f>
        <v/>
      </c>
      <c r="I1504" s="39"/>
      <c r="J1504" s="47" t="str">
        <f>IF(tblMovimientos[[#This Row],[Tipo]]="","",IFERROR(INDEX(tblTiposMov[FactorStock],MATCH(tblMovimientos[[#This Row],[Tipo]],tblTiposMov[Tipo],0)),0))</f>
        <v/>
      </c>
      <c r="K15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4" s="37"/>
      <c r="O1504" s="37"/>
      <c r="P1504" s="37"/>
    </row>
    <row r="1505" spans="2:16" x14ac:dyDescent="0.25">
      <c r="B15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5" s="46"/>
      <c r="D1505" s="37"/>
      <c r="E1505" s="37"/>
      <c r="F1505" s="37"/>
      <c r="G1505" s="40" t="str">
        <f>IF(tblMovimientos[[#This Row],[Producto]]="","",TRIM(LEFT(tblMovimientos[[#This Row],[Producto]],FIND(" · ",tblMovimientos[[#This Row],[Producto]]&amp;" · ")-1)))</f>
        <v/>
      </c>
      <c r="H1505" s="40" t="str">
        <f>IF(tblMovimientos[[#This Row],[SKU]]="","",IFERROR(INDEX(tblProductos[Unidad],MATCH(tblMovimientos[[#This Row],[SKU]],tblProductos[SKU],0)),"?"))</f>
        <v/>
      </c>
      <c r="I1505" s="39"/>
      <c r="J1505" s="47" t="str">
        <f>IF(tblMovimientos[[#This Row],[Tipo]]="","",IFERROR(INDEX(tblTiposMov[FactorStock],MATCH(tblMovimientos[[#This Row],[Tipo]],tblTiposMov[Tipo],0)),0))</f>
        <v/>
      </c>
      <c r="K15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5" s="37"/>
      <c r="O1505" s="37"/>
      <c r="P1505" s="37"/>
    </row>
    <row r="1506" spans="2:16" x14ac:dyDescent="0.25">
      <c r="B15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6" s="46"/>
      <c r="D1506" s="37"/>
      <c r="E1506" s="37"/>
      <c r="F1506" s="37"/>
      <c r="G1506" s="40" t="str">
        <f>IF(tblMovimientos[[#This Row],[Producto]]="","",TRIM(LEFT(tblMovimientos[[#This Row],[Producto]],FIND(" · ",tblMovimientos[[#This Row],[Producto]]&amp;" · ")-1)))</f>
        <v/>
      </c>
      <c r="H1506" s="40" t="str">
        <f>IF(tblMovimientos[[#This Row],[SKU]]="","",IFERROR(INDEX(tblProductos[Unidad],MATCH(tblMovimientos[[#This Row],[SKU]],tblProductos[SKU],0)),"?"))</f>
        <v/>
      </c>
      <c r="I1506" s="39"/>
      <c r="J1506" s="47" t="str">
        <f>IF(tblMovimientos[[#This Row],[Tipo]]="","",IFERROR(INDEX(tblTiposMov[FactorStock],MATCH(tblMovimientos[[#This Row],[Tipo]],tblTiposMov[Tipo],0)),0))</f>
        <v/>
      </c>
      <c r="K15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6" s="37"/>
      <c r="O1506" s="37"/>
      <c r="P1506" s="37"/>
    </row>
    <row r="1507" spans="2:16" x14ac:dyDescent="0.25">
      <c r="B15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7" s="46"/>
      <c r="D1507" s="37"/>
      <c r="E1507" s="37"/>
      <c r="F1507" s="37"/>
      <c r="G1507" s="40" t="str">
        <f>IF(tblMovimientos[[#This Row],[Producto]]="","",TRIM(LEFT(tblMovimientos[[#This Row],[Producto]],FIND(" · ",tblMovimientos[[#This Row],[Producto]]&amp;" · ")-1)))</f>
        <v/>
      </c>
      <c r="H1507" s="40" t="str">
        <f>IF(tblMovimientos[[#This Row],[SKU]]="","",IFERROR(INDEX(tblProductos[Unidad],MATCH(tblMovimientos[[#This Row],[SKU]],tblProductos[SKU],0)),"?"))</f>
        <v/>
      </c>
      <c r="I1507" s="39"/>
      <c r="J1507" s="47" t="str">
        <f>IF(tblMovimientos[[#This Row],[Tipo]]="","",IFERROR(INDEX(tblTiposMov[FactorStock],MATCH(tblMovimientos[[#This Row],[Tipo]],tblTiposMov[Tipo],0)),0))</f>
        <v/>
      </c>
      <c r="K15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7" s="37"/>
      <c r="O1507" s="37"/>
      <c r="P1507" s="37"/>
    </row>
    <row r="1508" spans="2:16" x14ac:dyDescent="0.25">
      <c r="B15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8" s="46"/>
      <c r="D1508" s="37"/>
      <c r="E1508" s="37"/>
      <c r="F1508" s="37"/>
      <c r="G1508" s="40" t="str">
        <f>IF(tblMovimientos[[#This Row],[Producto]]="","",TRIM(LEFT(tblMovimientos[[#This Row],[Producto]],FIND(" · ",tblMovimientos[[#This Row],[Producto]]&amp;" · ")-1)))</f>
        <v/>
      </c>
      <c r="H1508" s="40" t="str">
        <f>IF(tblMovimientos[[#This Row],[SKU]]="","",IFERROR(INDEX(tblProductos[Unidad],MATCH(tblMovimientos[[#This Row],[SKU]],tblProductos[SKU],0)),"?"))</f>
        <v/>
      </c>
      <c r="I1508" s="39"/>
      <c r="J1508" s="47" t="str">
        <f>IF(tblMovimientos[[#This Row],[Tipo]]="","",IFERROR(INDEX(tblTiposMov[FactorStock],MATCH(tblMovimientos[[#This Row],[Tipo]],tblTiposMov[Tipo],0)),0))</f>
        <v/>
      </c>
      <c r="K15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8" s="37"/>
      <c r="O1508" s="37"/>
      <c r="P1508" s="37"/>
    </row>
    <row r="1509" spans="2:16" x14ac:dyDescent="0.25">
      <c r="B15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09" s="46"/>
      <c r="D1509" s="37"/>
      <c r="E1509" s="37"/>
      <c r="F1509" s="37"/>
      <c r="G1509" s="40" t="str">
        <f>IF(tblMovimientos[[#This Row],[Producto]]="","",TRIM(LEFT(tblMovimientos[[#This Row],[Producto]],FIND(" · ",tblMovimientos[[#This Row],[Producto]]&amp;" · ")-1)))</f>
        <v/>
      </c>
      <c r="H1509" s="40" t="str">
        <f>IF(tblMovimientos[[#This Row],[SKU]]="","",IFERROR(INDEX(tblProductos[Unidad],MATCH(tblMovimientos[[#This Row],[SKU]],tblProductos[SKU],0)),"?"))</f>
        <v/>
      </c>
      <c r="I1509" s="39"/>
      <c r="J1509" s="47" t="str">
        <f>IF(tblMovimientos[[#This Row],[Tipo]]="","",IFERROR(INDEX(tblTiposMov[FactorStock],MATCH(tblMovimientos[[#This Row],[Tipo]],tblTiposMov[Tipo],0)),0))</f>
        <v/>
      </c>
      <c r="K15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09" s="37"/>
      <c r="O1509" s="37"/>
      <c r="P1509" s="37"/>
    </row>
    <row r="1510" spans="2:16" x14ac:dyDescent="0.25">
      <c r="B15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0" s="46"/>
      <c r="D1510" s="37"/>
      <c r="E1510" s="37"/>
      <c r="F1510" s="37"/>
      <c r="G1510" s="40" t="str">
        <f>IF(tblMovimientos[[#This Row],[Producto]]="","",TRIM(LEFT(tblMovimientos[[#This Row],[Producto]],FIND(" · ",tblMovimientos[[#This Row],[Producto]]&amp;" · ")-1)))</f>
        <v/>
      </c>
      <c r="H1510" s="40" t="str">
        <f>IF(tblMovimientos[[#This Row],[SKU]]="","",IFERROR(INDEX(tblProductos[Unidad],MATCH(tblMovimientos[[#This Row],[SKU]],tblProductos[SKU],0)),"?"))</f>
        <v/>
      </c>
      <c r="I1510" s="39"/>
      <c r="J1510" s="47" t="str">
        <f>IF(tblMovimientos[[#This Row],[Tipo]]="","",IFERROR(INDEX(tblTiposMov[FactorStock],MATCH(tblMovimientos[[#This Row],[Tipo]],tblTiposMov[Tipo],0)),0))</f>
        <v/>
      </c>
      <c r="K15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0" s="37"/>
      <c r="O1510" s="37"/>
      <c r="P1510" s="37"/>
    </row>
    <row r="1511" spans="2:16" x14ac:dyDescent="0.25">
      <c r="B15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1" s="46"/>
      <c r="D1511" s="37"/>
      <c r="E1511" s="37"/>
      <c r="F1511" s="37"/>
      <c r="G1511" s="40" t="str">
        <f>IF(tblMovimientos[[#This Row],[Producto]]="","",TRIM(LEFT(tblMovimientos[[#This Row],[Producto]],FIND(" · ",tblMovimientos[[#This Row],[Producto]]&amp;" · ")-1)))</f>
        <v/>
      </c>
      <c r="H1511" s="40" t="str">
        <f>IF(tblMovimientos[[#This Row],[SKU]]="","",IFERROR(INDEX(tblProductos[Unidad],MATCH(tblMovimientos[[#This Row],[SKU]],tblProductos[SKU],0)),"?"))</f>
        <v/>
      </c>
      <c r="I1511" s="39"/>
      <c r="J1511" s="47" t="str">
        <f>IF(tblMovimientos[[#This Row],[Tipo]]="","",IFERROR(INDEX(tblTiposMov[FactorStock],MATCH(tblMovimientos[[#This Row],[Tipo]],tblTiposMov[Tipo],0)),0))</f>
        <v/>
      </c>
      <c r="K15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1" s="37"/>
      <c r="O1511" s="37"/>
      <c r="P1511" s="37"/>
    </row>
    <row r="1512" spans="2:16" x14ac:dyDescent="0.25">
      <c r="B15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2" s="46"/>
      <c r="D1512" s="37"/>
      <c r="E1512" s="37"/>
      <c r="F1512" s="37"/>
      <c r="G1512" s="40" t="str">
        <f>IF(tblMovimientos[[#This Row],[Producto]]="","",TRIM(LEFT(tblMovimientos[[#This Row],[Producto]],FIND(" · ",tblMovimientos[[#This Row],[Producto]]&amp;" · ")-1)))</f>
        <v/>
      </c>
      <c r="H1512" s="40" t="str">
        <f>IF(tblMovimientos[[#This Row],[SKU]]="","",IFERROR(INDEX(tblProductos[Unidad],MATCH(tblMovimientos[[#This Row],[SKU]],tblProductos[SKU],0)),"?"))</f>
        <v/>
      </c>
      <c r="I1512" s="39"/>
      <c r="J1512" s="47" t="str">
        <f>IF(tblMovimientos[[#This Row],[Tipo]]="","",IFERROR(INDEX(tblTiposMov[FactorStock],MATCH(tblMovimientos[[#This Row],[Tipo]],tblTiposMov[Tipo],0)),0))</f>
        <v/>
      </c>
      <c r="K15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2" s="37"/>
      <c r="O1512" s="37"/>
      <c r="P1512" s="37"/>
    </row>
    <row r="1513" spans="2:16" x14ac:dyDescent="0.25">
      <c r="B15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3" s="46"/>
      <c r="D1513" s="37"/>
      <c r="E1513" s="37"/>
      <c r="F1513" s="37"/>
      <c r="G1513" s="40" t="str">
        <f>IF(tblMovimientos[[#This Row],[Producto]]="","",TRIM(LEFT(tblMovimientos[[#This Row],[Producto]],FIND(" · ",tblMovimientos[[#This Row],[Producto]]&amp;" · ")-1)))</f>
        <v/>
      </c>
      <c r="H1513" s="40" t="str">
        <f>IF(tblMovimientos[[#This Row],[SKU]]="","",IFERROR(INDEX(tblProductos[Unidad],MATCH(tblMovimientos[[#This Row],[SKU]],tblProductos[SKU],0)),"?"))</f>
        <v/>
      </c>
      <c r="I1513" s="39"/>
      <c r="J1513" s="47" t="str">
        <f>IF(tblMovimientos[[#This Row],[Tipo]]="","",IFERROR(INDEX(tblTiposMov[FactorStock],MATCH(tblMovimientos[[#This Row],[Tipo]],tblTiposMov[Tipo],0)),0))</f>
        <v/>
      </c>
      <c r="K15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3" s="37"/>
      <c r="O1513" s="37"/>
      <c r="P1513" s="37"/>
    </row>
    <row r="1514" spans="2:16" x14ac:dyDescent="0.25">
      <c r="B15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4" s="46"/>
      <c r="D1514" s="37"/>
      <c r="E1514" s="37"/>
      <c r="F1514" s="37"/>
      <c r="G1514" s="40" t="str">
        <f>IF(tblMovimientos[[#This Row],[Producto]]="","",TRIM(LEFT(tblMovimientos[[#This Row],[Producto]],FIND(" · ",tblMovimientos[[#This Row],[Producto]]&amp;" · ")-1)))</f>
        <v/>
      </c>
      <c r="H1514" s="40" t="str">
        <f>IF(tblMovimientos[[#This Row],[SKU]]="","",IFERROR(INDEX(tblProductos[Unidad],MATCH(tblMovimientos[[#This Row],[SKU]],tblProductos[SKU],0)),"?"))</f>
        <v/>
      </c>
      <c r="I1514" s="39"/>
      <c r="J1514" s="47" t="str">
        <f>IF(tblMovimientos[[#This Row],[Tipo]]="","",IFERROR(INDEX(tblTiposMov[FactorStock],MATCH(tblMovimientos[[#This Row],[Tipo]],tblTiposMov[Tipo],0)),0))</f>
        <v/>
      </c>
      <c r="K15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4" s="37"/>
      <c r="O1514" s="37"/>
      <c r="P1514" s="37"/>
    </row>
    <row r="1515" spans="2:16" x14ac:dyDescent="0.25">
      <c r="B15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5" s="46"/>
      <c r="D1515" s="37"/>
      <c r="E1515" s="37"/>
      <c r="F1515" s="37"/>
      <c r="G1515" s="40" t="str">
        <f>IF(tblMovimientos[[#This Row],[Producto]]="","",TRIM(LEFT(tblMovimientos[[#This Row],[Producto]],FIND(" · ",tblMovimientos[[#This Row],[Producto]]&amp;" · ")-1)))</f>
        <v/>
      </c>
      <c r="H1515" s="40" t="str">
        <f>IF(tblMovimientos[[#This Row],[SKU]]="","",IFERROR(INDEX(tblProductos[Unidad],MATCH(tblMovimientos[[#This Row],[SKU]],tblProductos[SKU],0)),"?"))</f>
        <v/>
      </c>
      <c r="I1515" s="39"/>
      <c r="J1515" s="47" t="str">
        <f>IF(tblMovimientos[[#This Row],[Tipo]]="","",IFERROR(INDEX(tblTiposMov[FactorStock],MATCH(tblMovimientos[[#This Row],[Tipo]],tblTiposMov[Tipo],0)),0))</f>
        <v/>
      </c>
      <c r="K15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5" s="37"/>
      <c r="O1515" s="37"/>
      <c r="P1515" s="37"/>
    </row>
    <row r="1516" spans="2:16" x14ac:dyDescent="0.25">
      <c r="B15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6" s="46"/>
      <c r="D1516" s="37"/>
      <c r="E1516" s="37"/>
      <c r="F1516" s="37"/>
      <c r="G1516" s="40" t="str">
        <f>IF(tblMovimientos[[#This Row],[Producto]]="","",TRIM(LEFT(tblMovimientos[[#This Row],[Producto]],FIND(" · ",tblMovimientos[[#This Row],[Producto]]&amp;" · ")-1)))</f>
        <v/>
      </c>
      <c r="H1516" s="40" t="str">
        <f>IF(tblMovimientos[[#This Row],[SKU]]="","",IFERROR(INDEX(tblProductos[Unidad],MATCH(tblMovimientos[[#This Row],[SKU]],tblProductos[SKU],0)),"?"))</f>
        <v/>
      </c>
      <c r="I1516" s="39"/>
      <c r="J1516" s="47" t="str">
        <f>IF(tblMovimientos[[#This Row],[Tipo]]="","",IFERROR(INDEX(tblTiposMov[FactorStock],MATCH(tblMovimientos[[#This Row],[Tipo]],tblTiposMov[Tipo],0)),0))</f>
        <v/>
      </c>
      <c r="K15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6" s="37"/>
      <c r="O1516" s="37"/>
      <c r="P1516" s="37"/>
    </row>
    <row r="1517" spans="2:16" x14ac:dyDescent="0.25">
      <c r="B15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7" s="46"/>
      <c r="D1517" s="37"/>
      <c r="E1517" s="37"/>
      <c r="F1517" s="37"/>
      <c r="G1517" s="40" t="str">
        <f>IF(tblMovimientos[[#This Row],[Producto]]="","",TRIM(LEFT(tblMovimientos[[#This Row],[Producto]],FIND(" · ",tblMovimientos[[#This Row],[Producto]]&amp;" · ")-1)))</f>
        <v/>
      </c>
      <c r="H1517" s="40" t="str">
        <f>IF(tblMovimientos[[#This Row],[SKU]]="","",IFERROR(INDEX(tblProductos[Unidad],MATCH(tblMovimientos[[#This Row],[SKU]],tblProductos[SKU],0)),"?"))</f>
        <v/>
      </c>
      <c r="I1517" s="39"/>
      <c r="J1517" s="47" t="str">
        <f>IF(tblMovimientos[[#This Row],[Tipo]]="","",IFERROR(INDEX(tblTiposMov[FactorStock],MATCH(tblMovimientos[[#This Row],[Tipo]],tblTiposMov[Tipo],0)),0))</f>
        <v/>
      </c>
      <c r="K15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7" s="37"/>
      <c r="O1517" s="37"/>
      <c r="P1517" s="37"/>
    </row>
    <row r="1518" spans="2:16" x14ac:dyDescent="0.25">
      <c r="B15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8" s="46"/>
      <c r="D1518" s="37"/>
      <c r="E1518" s="37"/>
      <c r="F1518" s="37"/>
      <c r="G1518" s="40" t="str">
        <f>IF(tblMovimientos[[#This Row],[Producto]]="","",TRIM(LEFT(tblMovimientos[[#This Row],[Producto]],FIND(" · ",tblMovimientos[[#This Row],[Producto]]&amp;" · ")-1)))</f>
        <v/>
      </c>
      <c r="H1518" s="40" t="str">
        <f>IF(tblMovimientos[[#This Row],[SKU]]="","",IFERROR(INDEX(tblProductos[Unidad],MATCH(tblMovimientos[[#This Row],[SKU]],tblProductos[SKU],0)),"?"))</f>
        <v/>
      </c>
      <c r="I1518" s="39"/>
      <c r="J1518" s="47" t="str">
        <f>IF(tblMovimientos[[#This Row],[Tipo]]="","",IFERROR(INDEX(tblTiposMov[FactorStock],MATCH(tblMovimientos[[#This Row],[Tipo]],tblTiposMov[Tipo],0)),0))</f>
        <v/>
      </c>
      <c r="K15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8" s="37"/>
      <c r="O1518" s="37"/>
      <c r="P1518" s="37"/>
    </row>
    <row r="1519" spans="2:16" x14ac:dyDescent="0.25">
      <c r="B15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19" s="46"/>
      <c r="D1519" s="37"/>
      <c r="E1519" s="37"/>
      <c r="F1519" s="37"/>
      <c r="G1519" s="40" t="str">
        <f>IF(tblMovimientos[[#This Row],[Producto]]="","",TRIM(LEFT(tblMovimientos[[#This Row],[Producto]],FIND(" · ",tblMovimientos[[#This Row],[Producto]]&amp;" · ")-1)))</f>
        <v/>
      </c>
      <c r="H1519" s="40" t="str">
        <f>IF(tblMovimientos[[#This Row],[SKU]]="","",IFERROR(INDEX(tblProductos[Unidad],MATCH(tblMovimientos[[#This Row],[SKU]],tblProductos[SKU],0)),"?"))</f>
        <v/>
      </c>
      <c r="I1519" s="39"/>
      <c r="J1519" s="47" t="str">
        <f>IF(tblMovimientos[[#This Row],[Tipo]]="","",IFERROR(INDEX(tblTiposMov[FactorStock],MATCH(tblMovimientos[[#This Row],[Tipo]],tblTiposMov[Tipo],0)),0))</f>
        <v/>
      </c>
      <c r="K15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19" s="37"/>
      <c r="O1519" s="37"/>
      <c r="P1519" s="37"/>
    </row>
    <row r="1520" spans="2:16" x14ac:dyDescent="0.25">
      <c r="B15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0" s="46"/>
      <c r="D1520" s="37"/>
      <c r="E1520" s="37"/>
      <c r="F1520" s="37"/>
      <c r="G1520" s="40" t="str">
        <f>IF(tblMovimientos[[#This Row],[Producto]]="","",TRIM(LEFT(tblMovimientos[[#This Row],[Producto]],FIND(" · ",tblMovimientos[[#This Row],[Producto]]&amp;" · ")-1)))</f>
        <v/>
      </c>
      <c r="H1520" s="40" t="str">
        <f>IF(tblMovimientos[[#This Row],[SKU]]="","",IFERROR(INDEX(tblProductos[Unidad],MATCH(tblMovimientos[[#This Row],[SKU]],tblProductos[SKU],0)),"?"))</f>
        <v/>
      </c>
      <c r="I1520" s="39"/>
      <c r="J1520" s="47" t="str">
        <f>IF(tblMovimientos[[#This Row],[Tipo]]="","",IFERROR(INDEX(tblTiposMov[FactorStock],MATCH(tblMovimientos[[#This Row],[Tipo]],tblTiposMov[Tipo],0)),0))</f>
        <v/>
      </c>
      <c r="K15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0" s="37"/>
      <c r="O1520" s="37"/>
      <c r="P1520" s="37"/>
    </row>
    <row r="1521" spans="2:16" x14ac:dyDescent="0.25">
      <c r="B15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1" s="46"/>
      <c r="D1521" s="37"/>
      <c r="E1521" s="37"/>
      <c r="F1521" s="37"/>
      <c r="G1521" s="40" t="str">
        <f>IF(tblMovimientos[[#This Row],[Producto]]="","",TRIM(LEFT(tblMovimientos[[#This Row],[Producto]],FIND(" · ",tblMovimientos[[#This Row],[Producto]]&amp;" · ")-1)))</f>
        <v/>
      </c>
      <c r="H1521" s="40" t="str">
        <f>IF(tblMovimientos[[#This Row],[SKU]]="","",IFERROR(INDEX(tblProductos[Unidad],MATCH(tblMovimientos[[#This Row],[SKU]],tblProductos[SKU],0)),"?"))</f>
        <v/>
      </c>
      <c r="I1521" s="39"/>
      <c r="J1521" s="47" t="str">
        <f>IF(tblMovimientos[[#This Row],[Tipo]]="","",IFERROR(INDEX(tblTiposMov[FactorStock],MATCH(tblMovimientos[[#This Row],[Tipo]],tblTiposMov[Tipo],0)),0))</f>
        <v/>
      </c>
      <c r="K15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1" s="37"/>
      <c r="O1521" s="37"/>
      <c r="P1521" s="37"/>
    </row>
    <row r="1522" spans="2:16" x14ac:dyDescent="0.25">
      <c r="B15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2" s="46"/>
      <c r="D1522" s="37"/>
      <c r="E1522" s="37"/>
      <c r="F1522" s="37"/>
      <c r="G1522" s="40" t="str">
        <f>IF(tblMovimientos[[#This Row],[Producto]]="","",TRIM(LEFT(tblMovimientos[[#This Row],[Producto]],FIND(" · ",tblMovimientos[[#This Row],[Producto]]&amp;" · ")-1)))</f>
        <v/>
      </c>
      <c r="H1522" s="40" t="str">
        <f>IF(tblMovimientos[[#This Row],[SKU]]="","",IFERROR(INDEX(tblProductos[Unidad],MATCH(tblMovimientos[[#This Row],[SKU]],tblProductos[SKU],0)),"?"))</f>
        <v/>
      </c>
      <c r="I1522" s="39"/>
      <c r="J1522" s="47" t="str">
        <f>IF(tblMovimientos[[#This Row],[Tipo]]="","",IFERROR(INDEX(tblTiposMov[FactorStock],MATCH(tblMovimientos[[#This Row],[Tipo]],tblTiposMov[Tipo],0)),0))</f>
        <v/>
      </c>
      <c r="K15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2" s="37"/>
      <c r="O1522" s="37"/>
      <c r="P1522" s="37"/>
    </row>
    <row r="1523" spans="2:16" x14ac:dyDescent="0.25">
      <c r="B15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3" s="46"/>
      <c r="D1523" s="37"/>
      <c r="E1523" s="37"/>
      <c r="F1523" s="37"/>
      <c r="G1523" s="40" t="str">
        <f>IF(tblMovimientos[[#This Row],[Producto]]="","",TRIM(LEFT(tblMovimientos[[#This Row],[Producto]],FIND(" · ",tblMovimientos[[#This Row],[Producto]]&amp;" · ")-1)))</f>
        <v/>
      </c>
      <c r="H1523" s="40" t="str">
        <f>IF(tblMovimientos[[#This Row],[SKU]]="","",IFERROR(INDEX(tblProductos[Unidad],MATCH(tblMovimientos[[#This Row],[SKU]],tblProductos[SKU],0)),"?"))</f>
        <v/>
      </c>
      <c r="I1523" s="39"/>
      <c r="J1523" s="47" t="str">
        <f>IF(tblMovimientos[[#This Row],[Tipo]]="","",IFERROR(INDEX(tblTiposMov[FactorStock],MATCH(tblMovimientos[[#This Row],[Tipo]],tblTiposMov[Tipo],0)),0))</f>
        <v/>
      </c>
      <c r="K15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3" s="37"/>
      <c r="O1523" s="37"/>
      <c r="P1523" s="37"/>
    </row>
    <row r="1524" spans="2:16" x14ac:dyDescent="0.25">
      <c r="B15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4" s="46"/>
      <c r="D1524" s="37"/>
      <c r="E1524" s="37"/>
      <c r="F1524" s="37"/>
      <c r="G1524" s="40" t="str">
        <f>IF(tblMovimientos[[#This Row],[Producto]]="","",TRIM(LEFT(tblMovimientos[[#This Row],[Producto]],FIND(" · ",tblMovimientos[[#This Row],[Producto]]&amp;" · ")-1)))</f>
        <v/>
      </c>
      <c r="H1524" s="40" t="str">
        <f>IF(tblMovimientos[[#This Row],[SKU]]="","",IFERROR(INDEX(tblProductos[Unidad],MATCH(tblMovimientos[[#This Row],[SKU]],tblProductos[SKU],0)),"?"))</f>
        <v/>
      </c>
      <c r="I1524" s="39"/>
      <c r="J1524" s="47" t="str">
        <f>IF(tblMovimientos[[#This Row],[Tipo]]="","",IFERROR(INDEX(tblTiposMov[FactorStock],MATCH(tblMovimientos[[#This Row],[Tipo]],tblTiposMov[Tipo],0)),0))</f>
        <v/>
      </c>
      <c r="K15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4" s="37"/>
      <c r="O1524" s="37"/>
      <c r="P1524" s="37"/>
    </row>
    <row r="1525" spans="2:16" x14ac:dyDescent="0.25">
      <c r="B15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5" s="46"/>
      <c r="D1525" s="37"/>
      <c r="E1525" s="37"/>
      <c r="F1525" s="37"/>
      <c r="G1525" s="40" t="str">
        <f>IF(tblMovimientos[[#This Row],[Producto]]="","",TRIM(LEFT(tblMovimientos[[#This Row],[Producto]],FIND(" · ",tblMovimientos[[#This Row],[Producto]]&amp;" · ")-1)))</f>
        <v/>
      </c>
      <c r="H1525" s="40" t="str">
        <f>IF(tblMovimientos[[#This Row],[SKU]]="","",IFERROR(INDEX(tblProductos[Unidad],MATCH(tblMovimientos[[#This Row],[SKU]],tblProductos[SKU],0)),"?"))</f>
        <v/>
      </c>
      <c r="I1525" s="39"/>
      <c r="J1525" s="47" t="str">
        <f>IF(tblMovimientos[[#This Row],[Tipo]]="","",IFERROR(INDEX(tblTiposMov[FactorStock],MATCH(tblMovimientos[[#This Row],[Tipo]],tblTiposMov[Tipo],0)),0))</f>
        <v/>
      </c>
      <c r="K15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5" s="37"/>
      <c r="O1525" s="37"/>
      <c r="P1525" s="37"/>
    </row>
    <row r="1526" spans="2:16" x14ac:dyDescent="0.25">
      <c r="B15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6" s="46"/>
      <c r="D1526" s="37"/>
      <c r="E1526" s="37"/>
      <c r="F1526" s="37"/>
      <c r="G1526" s="40" t="str">
        <f>IF(tblMovimientos[[#This Row],[Producto]]="","",TRIM(LEFT(tblMovimientos[[#This Row],[Producto]],FIND(" · ",tblMovimientos[[#This Row],[Producto]]&amp;" · ")-1)))</f>
        <v/>
      </c>
      <c r="H1526" s="40" t="str">
        <f>IF(tblMovimientos[[#This Row],[SKU]]="","",IFERROR(INDEX(tblProductos[Unidad],MATCH(tblMovimientos[[#This Row],[SKU]],tblProductos[SKU],0)),"?"))</f>
        <v/>
      </c>
      <c r="I1526" s="39"/>
      <c r="J1526" s="47" t="str">
        <f>IF(tblMovimientos[[#This Row],[Tipo]]="","",IFERROR(INDEX(tblTiposMov[FactorStock],MATCH(tblMovimientos[[#This Row],[Tipo]],tblTiposMov[Tipo],0)),0))</f>
        <v/>
      </c>
      <c r="K15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6" s="37"/>
      <c r="O1526" s="37"/>
      <c r="P1526" s="37"/>
    </row>
    <row r="1527" spans="2:16" x14ac:dyDescent="0.25">
      <c r="B15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7" s="46"/>
      <c r="D1527" s="37"/>
      <c r="E1527" s="37"/>
      <c r="F1527" s="37"/>
      <c r="G1527" s="40" t="str">
        <f>IF(tblMovimientos[[#This Row],[Producto]]="","",TRIM(LEFT(tblMovimientos[[#This Row],[Producto]],FIND(" · ",tblMovimientos[[#This Row],[Producto]]&amp;" · ")-1)))</f>
        <v/>
      </c>
      <c r="H1527" s="40" t="str">
        <f>IF(tblMovimientos[[#This Row],[SKU]]="","",IFERROR(INDEX(tblProductos[Unidad],MATCH(tblMovimientos[[#This Row],[SKU]],tblProductos[SKU],0)),"?"))</f>
        <v/>
      </c>
      <c r="I1527" s="39"/>
      <c r="J1527" s="47" t="str">
        <f>IF(tblMovimientos[[#This Row],[Tipo]]="","",IFERROR(INDEX(tblTiposMov[FactorStock],MATCH(tblMovimientos[[#This Row],[Tipo]],tblTiposMov[Tipo],0)),0))</f>
        <v/>
      </c>
      <c r="K15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7" s="37"/>
      <c r="O1527" s="37"/>
      <c r="P1527" s="37"/>
    </row>
    <row r="1528" spans="2:16" x14ac:dyDescent="0.25">
      <c r="B15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8" s="46"/>
      <c r="D1528" s="37"/>
      <c r="E1528" s="37"/>
      <c r="F1528" s="37"/>
      <c r="G1528" s="40" t="str">
        <f>IF(tblMovimientos[[#This Row],[Producto]]="","",TRIM(LEFT(tblMovimientos[[#This Row],[Producto]],FIND(" · ",tblMovimientos[[#This Row],[Producto]]&amp;" · ")-1)))</f>
        <v/>
      </c>
      <c r="H1528" s="40" t="str">
        <f>IF(tblMovimientos[[#This Row],[SKU]]="","",IFERROR(INDEX(tblProductos[Unidad],MATCH(tblMovimientos[[#This Row],[SKU]],tblProductos[SKU],0)),"?"))</f>
        <v/>
      </c>
      <c r="I1528" s="39"/>
      <c r="J1528" s="47" t="str">
        <f>IF(tblMovimientos[[#This Row],[Tipo]]="","",IFERROR(INDEX(tblTiposMov[FactorStock],MATCH(tblMovimientos[[#This Row],[Tipo]],tblTiposMov[Tipo],0)),0))</f>
        <v/>
      </c>
      <c r="K15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8" s="37"/>
      <c r="O1528" s="37"/>
      <c r="P1528" s="37"/>
    </row>
    <row r="1529" spans="2:16" x14ac:dyDescent="0.25">
      <c r="B15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29" s="46"/>
      <c r="D1529" s="37"/>
      <c r="E1529" s="37"/>
      <c r="F1529" s="37"/>
      <c r="G1529" s="40" t="str">
        <f>IF(tblMovimientos[[#This Row],[Producto]]="","",TRIM(LEFT(tblMovimientos[[#This Row],[Producto]],FIND(" · ",tblMovimientos[[#This Row],[Producto]]&amp;" · ")-1)))</f>
        <v/>
      </c>
      <c r="H1529" s="40" t="str">
        <f>IF(tblMovimientos[[#This Row],[SKU]]="","",IFERROR(INDEX(tblProductos[Unidad],MATCH(tblMovimientos[[#This Row],[SKU]],tblProductos[SKU],0)),"?"))</f>
        <v/>
      </c>
      <c r="I1529" s="39"/>
      <c r="J1529" s="47" t="str">
        <f>IF(tblMovimientos[[#This Row],[Tipo]]="","",IFERROR(INDEX(tblTiposMov[FactorStock],MATCH(tblMovimientos[[#This Row],[Tipo]],tblTiposMov[Tipo],0)),0))</f>
        <v/>
      </c>
      <c r="K15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29" s="37"/>
      <c r="O1529" s="37"/>
      <c r="P1529" s="37"/>
    </row>
    <row r="1530" spans="2:16" x14ac:dyDescent="0.25">
      <c r="B15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0" s="46"/>
      <c r="D1530" s="37"/>
      <c r="E1530" s="37"/>
      <c r="F1530" s="37"/>
      <c r="G1530" s="40" t="str">
        <f>IF(tblMovimientos[[#This Row],[Producto]]="","",TRIM(LEFT(tblMovimientos[[#This Row],[Producto]],FIND(" · ",tblMovimientos[[#This Row],[Producto]]&amp;" · ")-1)))</f>
        <v/>
      </c>
      <c r="H1530" s="40" t="str">
        <f>IF(tblMovimientos[[#This Row],[SKU]]="","",IFERROR(INDEX(tblProductos[Unidad],MATCH(tblMovimientos[[#This Row],[SKU]],tblProductos[SKU],0)),"?"))</f>
        <v/>
      </c>
      <c r="I1530" s="39"/>
      <c r="J1530" s="47" t="str">
        <f>IF(tblMovimientos[[#This Row],[Tipo]]="","",IFERROR(INDEX(tblTiposMov[FactorStock],MATCH(tblMovimientos[[#This Row],[Tipo]],tblTiposMov[Tipo],0)),0))</f>
        <v/>
      </c>
      <c r="K15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0" s="37"/>
      <c r="O1530" s="37"/>
      <c r="P1530" s="37"/>
    </row>
    <row r="1531" spans="2:16" x14ac:dyDescent="0.25">
      <c r="B15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1" s="46"/>
      <c r="D1531" s="37"/>
      <c r="E1531" s="37"/>
      <c r="F1531" s="37"/>
      <c r="G1531" s="40" t="str">
        <f>IF(tblMovimientos[[#This Row],[Producto]]="","",TRIM(LEFT(tblMovimientos[[#This Row],[Producto]],FIND(" · ",tblMovimientos[[#This Row],[Producto]]&amp;" · ")-1)))</f>
        <v/>
      </c>
      <c r="H1531" s="40" t="str">
        <f>IF(tblMovimientos[[#This Row],[SKU]]="","",IFERROR(INDEX(tblProductos[Unidad],MATCH(tblMovimientos[[#This Row],[SKU]],tblProductos[SKU],0)),"?"))</f>
        <v/>
      </c>
      <c r="I1531" s="39"/>
      <c r="J1531" s="47" t="str">
        <f>IF(tblMovimientos[[#This Row],[Tipo]]="","",IFERROR(INDEX(tblTiposMov[FactorStock],MATCH(tblMovimientos[[#This Row],[Tipo]],tblTiposMov[Tipo],0)),0))</f>
        <v/>
      </c>
      <c r="K15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1" s="37"/>
      <c r="O1531" s="37"/>
      <c r="P1531" s="37"/>
    </row>
    <row r="1532" spans="2:16" x14ac:dyDescent="0.25">
      <c r="B15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2" s="46"/>
      <c r="D1532" s="37"/>
      <c r="E1532" s="37"/>
      <c r="F1532" s="37"/>
      <c r="G1532" s="40" t="str">
        <f>IF(tblMovimientos[[#This Row],[Producto]]="","",TRIM(LEFT(tblMovimientos[[#This Row],[Producto]],FIND(" · ",tblMovimientos[[#This Row],[Producto]]&amp;" · ")-1)))</f>
        <v/>
      </c>
      <c r="H1532" s="40" t="str">
        <f>IF(tblMovimientos[[#This Row],[SKU]]="","",IFERROR(INDEX(tblProductos[Unidad],MATCH(tblMovimientos[[#This Row],[SKU]],tblProductos[SKU],0)),"?"))</f>
        <v/>
      </c>
      <c r="I1532" s="39"/>
      <c r="J1532" s="47" t="str">
        <f>IF(tblMovimientos[[#This Row],[Tipo]]="","",IFERROR(INDEX(tblTiposMov[FactorStock],MATCH(tblMovimientos[[#This Row],[Tipo]],tblTiposMov[Tipo],0)),0))</f>
        <v/>
      </c>
      <c r="K15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2" s="37"/>
      <c r="O1532" s="37"/>
      <c r="P1532" s="37"/>
    </row>
    <row r="1533" spans="2:16" x14ac:dyDescent="0.25">
      <c r="B15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3" s="46"/>
      <c r="D1533" s="37"/>
      <c r="E1533" s="37"/>
      <c r="F1533" s="37"/>
      <c r="G1533" s="40" t="str">
        <f>IF(tblMovimientos[[#This Row],[Producto]]="","",TRIM(LEFT(tblMovimientos[[#This Row],[Producto]],FIND(" · ",tblMovimientos[[#This Row],[Producto]]&amp;" · ")-1)))</f>
        <v/>
      </c>
      <c r="H1533" s="40" t="str">
        <f>IF(tblMovimientos[[#This Row],[SKU]]="","",IFERROR(INDEX(tblProductos[Unidad],MATCH(tblMovimientos[[#This Row],[SKU]],tblProductos[SKU],0)),"?"))</f>
        <v/>
      </c>
      <c r="I1533" s="39"/>
      <c r="J1533" s="47" t="str">
        <f>IF(tblMovimientos[[#This Row],[Tipo]]="","",IFERROR(INDEX(tblTiposMov[FactorStock],MATCH(tblMovimientos[[#This Row],[Tipo]],tblTiposMov[Tipo],0)),0))</f>
        <v/>
      </c>
      <c r="K15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3" s="37"/>
      <c r="O1533" s="37"/>
      <c r="P1533" s="37"/>
    </row>
    <row r="1534" spans="2:16" x14ac:dyDescent="0.25">
      <c r="B15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4" s="46"/>
      <c r="D1534" s="37"/>
      <c r="E1534" s="37"/>
      <c r="F1534" s="37"/>
      <c r="G1534" s="40" t="str">
        <f>IF(tblMovimientos[[#This Row],[Producto]]="","",TRIM(LEFT(tblMovimientos[[#This Row],[Producto]],FIND(" · ",tblMovimientos[[#This Row],[Producto]]&amp;" · ")-1)))</f>
        <v/>
      </c>
      <c r="H1534" s="40" t="str">
        <f>IF(tblMovimientos[[#This Row],[SKU]]="","",IFERROR(INDEX(tblProductos[Unidad],MATCH(tblMovimientos[[#This Row],[SKU]],tblProductos[SKU],0)),"?"))</f>
        <v/>
      </c>
      <c r="I1534" s="39"/>
      <c r="J1534" s="47" t="str">
        <f>IF(tblMovimientos[[#This Row],[Tipo]]="","",IFERROR(INDEX(tblTiposMov[FactorStock],MATCH(tblMovimientos[[#This Row],[Tipo]],tblTiposMov[Tipo],0)),0))</f>
        <v/>
      </c>
      <c r="K15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4" s="37"/>
      <c r="O1534" s="37"/>
      <c r="P1534" s="37"/>
    </row>
    <row r="1535" spans="2:16" x14ac:dyDescent="0.25">
      <c r="B15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5" s="46"/>
      <c r="D1535" s="37"/>
      <c r="E1535" s="37"/>
      <c r="F1535" s="37"/>
      <c r="G1535" s="40" t="str">
        <f>IF(tblMovimientos[[#This Row],[Producto]]="","",TRIM(LEFT(tblMovimientos[[#This Row],[Producto]],FIND(" · ",tblMovimientos[[#This Row],[Producto]]&amp;" · ")-1)))</f>
        <v/>
      </c>
      <c r="H1535" s="40" t="str">
        <f>IF(tblMovimientos[[#This Row],[SKU]]="","",IFERROR(INDEX(tblProductos[Unidad],MATCH(tblMovimientos[[#This Row],[SKU]],tblProductos[SKU],0)),"?"))</f>
        <v/>
      </c>
      <c r="I1535" s="39"/>
      <c r="J1535" s="47" t="str">
        <f>IF(tblMovimientos[[#This Row],[Tipo]]="","",IFERROR(INDEX(tblTiposMov[FactorStock],MATCH(tblMovimientos[[#This Row],[Tipo]],tblTiposMov[Tipo],0)),0))</f>
        <v/>
      </c>
      <c r="K15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5" s="37"/>
      <c r="O1535" s="37"/>
      <c r="P1535" s="37"/>
    </row>
    <row r="1536" spans="2:16" x14ac:dyDescent="0.25">
      <c r="B15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6" s="46"/>
      <c r="D1536" s="37"/>
      <c r="E1536" s="37"/>
      <c r="F1536" s="37"/>
      <c r="G1536" s="40" t="str">
        <f>IF(tblMovimientos[[#This Row],[Producto]]="","",TRIM(LEFT(tblMovimientos[[#This Row],[Producto]],FIND(" · ",tblMovimientos[[#This Row],[Producto]]&amp;" · ")-1)))</f>
        <v/>
      </c>
      <c r="H1536" s="40" t="str">
        <f>IF(tblMovimientos[[#This Row],[SKU]]="","",IFERROR(INDEX(tblProductos[Unidad],MATCH(tblMovimientos[[#This Row],[SKU]],tblProductos[SKU],0)),"?"))</f>
        <v/>
      </c>
      <c r="I1536" s="39"/>
      <c r="J1536" s="47" t="str">
        <f>IF(tblMovimientos[[#This Row],[Tipo]]="","",IFERROR(INDEX(tblTiposMov[FactorStock],MATCH(tblMovimientos[[#This Row],[Tipo]],tblTiposMov[Tipo],0)),0))</f>
        <v/>
      </c>
      <c r="K15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6" s="37"/>
      <c r="O1536" s="37"/>
      <c r="P1536" s="37"/>
    </row>
    <row r="1537" spans="2:16" x14ac:dyDescent="0.25">
      <c r="B15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7" s="46"/>
      <c r="D1537" s="37"/>
      <c r="E1537" s="37"/>
      <c r="F1537" s="37"/>
      <c r="G1537" s="40" t="str">
        <f>IF(tblMovimientos[[#This Row],[Producto]]="","",TRIM(LEFT(tblMovimientos[[#This Row],[Producto]],FIND(" · ",tblMovimientos[[#This Row],[Producto]]&amp;" · ")-1)))</f>
        <v/>
      </c>
      <c r="H1537" s="40" t="str">
        <f>IF(tblMovimientos[[#This Row],[SKU]]="","",IFERROR(INDEX(tblProductos[Unidad],MATCH(tblMovimientos[[#This Row],[SKU]],tblProductos[SKU],0)),"?"))</f>
        <v/>
      </c>
      <c r="I1537" s="39"/>
      <c r="J1537" s="47" t="str">
        <f>IF(tblMovimientos[[#This Row],[Tipo]]="","",IFERROR(INDEX(tblTiposMov[FactorStock],MATCH(tblMovimientos[[#This Row],[Tipo]],tblTiposMov[Tipo],0)),0))</f>
        <v/>
      </c>
      <c r="K15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7" s="37"/>
      <c r="O1537" s="37"/>
      <c r="P1537" s="37"/>
    </row>
    <row r="1538" spans="2:16" x14ac:dyDescent="0.25">
      <c r="B15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8" s="46"/>
      <c r="D1538" s="37"/>
      <c r="E1538" s="37"/>
      <c r="F1538" s="37"/>
      <c r="G1538" s="40" t="str">
        <f>IF(tblMovimientos[[#This Row],[Producto]]="","",TRIM(LEFT(tblMovimientos[[#This Row],[Producto]],FIND(" · ",tblMovimientos[[#This Row],[Producto]]&amp;" · ")-1)))</f>
        <v/>
      </c>
      <c r="H1538" s="40" t="str">
        <f>IF(tblMovimientos[[#This Row],[SKU]]="","",IFERROR(INDEX(tblProductos[Unidad],MATCH(tblMovimientos[[#This Row],[SKU]],tblProductos[SKU],0)),"?"))</f>
        <v/>
      </c>
      <c r="I1538" s="39"/>
      <c r="J1538" s="47" t="str">
        <f>IF(tblMovimientos[[#This Row],[Tipo]]="","",IFERROR(INDEX(tblTiposMov[FactorStock],MATCH(tblMovimientos[[#This Row],[Tipo]],tblTiposMov[Tipo],0)),0))</f>
        <v/>
      </c>
      <c r="K15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8" s="37"/>
      <c r="O1538" s="37"/>
      <c r="P1538" s="37"/>
    </row>
    <row r="1539" spans="2:16" x14ac:dyDescent="0.25">
      <c r="B15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39" s="46"/>
      <c r="D1539" s="37"/>
      <c r="E1539" s="37"/>
      <c r="F1539" s="37"/>
      <c r="G1539" s="40" t="str">
        <f>IF(tblMovimientos[[#This Row],[Producto]]="","",TRIM(LEFT(tblMovimientos[[#This Row],[Producto]],FIND(" · ",tblMovimientos[[#This Row],[Producto]]&amp;" · ")-1)))</f>
        <v/>
      </c>
      <c r="H1539" s="40" t="str">
        <f>IF(tblMovimientos[[#This Row],[SKU]]="","",IFERROR(INDEX(tblProductos[Unidad],MATCH(tblMovimientos[[#This Row],[SKU]],tblProductos[SKU],0)),"?"))</f>
        <v/>
      </c>
      <c r="I1539" s="39"/>
      <c r="J1539" s="47" t="str">
        <f>IF(tblMovimientos[[#This Row],[Tipo]]="","",IFERROR(INDEX(tblTiposMov[FactorStock],MATCH(tblMovimientos[[#This Row],[Tipo]],tblTiposMov[Tipo],0)),0))</f>
        <v/>
      </c>
      <c r="K15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39" s="37"/>
      <c r="O1539" s="37"/>
      <c r="P1539" s="37"/>
    </row>
    <row r="1540" spans="2:16" x14ac:dyDescent="0.25">
      <c r="B15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0" s="46"/>
      <c r="D1540" s="37"/>
      <c r="E1540" s="37"/>
      <c r="F1540" s="37"/>
      <c r="G1540" s="40" t="str">
        <f>IF(tblMovimientos[[#This Row],[Producto]]="","",TRIM(LEFT(tblMovimientos[[#This Row],[Producto]],FIND(" · ",tblMovimientos[[#This Row],[Producto]]&amp;" · ")-1)))</f>
        <v/>
      </c>
      <c r="H1540" s="40" t="str">
        <f>IF(tblMovimientos[[#This Row],[SKU]]="","",IFERROR(INDEX(tblProductos[Unidad],MATCH(tblMovimientos[[#This Row],[SKU]],tblProductos[SKU],0)),"?"))</f>
        <v/>
      </c>
      <c r="I1540" s="39"/>
      <c r="J1540" s="47" t="str">
        <f>IF(tblMovimientos[[#This Row],[Tipo]]="","",IFERROR(INDEX(tblTiposMov[FactorStock],MATCH(tblMovimientos[[#This Row],[Tipo]],tblTiposMov[Tipo],0)),0))</f>
        <v/>
      </c>
      <c r="K15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0" s="37"/>
      <c r="O1540" s="37"/>
      <c r="P1540" s="37"/>
    </row>
    <row r="1541" spans="2:16" x14ac:dyDescent="0.25">
      <c r="B15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1" s="46"/>
      <c r="D1541" s="37"/>
      <c r="E1541" s="37"/>
      <c r="F1541" s="37"/>
      <c r="G1541" s="40" t="str">
        <f>IF(tblMovimientos[[#This Row],[Producto]]="","",TRIM(LEFT(tblMovimientos[[#This Row],[Producto]],FIND(" · ",tblMovimientos[[#This Row],[Producto]]&amp;" · ")-1)))</f>
        <v/>
      </c>
      <c r="H1541" s="40" t="str">
        <f>IF(tblMovimientos[[#This Row],[SKU]]="","",IFERROR(INDEX(tblProductos[Unidad],MATCH(tblMovimientos[[#This Row],[SKU]],tblProductos[SKU],0)),"?"))</f>
        <v/>
      </c>
      <c r="I1541" s="39"/>
      <c r="J1541" s="47" t="str">
        <f>IF(tblMovimientos[[#This Row],[Tipo]]="","",IFERROR(INDEX(tblTiposMov[FactorStock],MATCH(tblMovimientos[[#This Row],[Tipo]],tblTiposMov[Tipo],0)),0))</f>
        <v/>
      </c>
      <c r="K15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1" s="37"/>
      <c r="O1541" s="37"/>
      <c r="P1541" s="37"/>
    </row>
    <row r="1542" spans="2:16" x14ac:dyDescent="0.25">
      <c r="B15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2" s="46"/>
      <c r="D1542" s="37"/>
      <c r="E1542" s="37"/>
      <c r="F1542" s="37"/>
      <c r="G1542" s="40" t="str">
        <f>IF(tblMovimientos[[#This Row],[Producto]]="","",TRIM(LEFT(tblMovimientos[[#This Row],[Producto]],FIND(" · ",tblMovimientos[[#This Row],[Producto]]&amp;" · ")-1)))</f>
        <v/>
      </c>
      <c r="H1542" s="40" t="str">
        <f>IF(tblMovimientos[[#This Row],[SKU]]="","",IFERROR(INDEX(tblProductos[Unidad],MATCH(tblMovimientos[[#This Row],[SKU]],tblProductos[SKU],0)),"?"))</f>
        <v/>
      </c>
      <c r="I1542" s="39"/>
      <c r="J1542" s="47" t="str">
        <f>IF(tblMovimientos[[#This Row],[Tipo]]="","",IFERROR(INDEX(tblTiposMov[FactorStock],MATCH(tblMovimientos[[#This Row],[Tipo]],tblTiposMov[Tipo],0)),0))</f>
        <v/>
      </c>
      <c r="K15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2" s="37"/>
      <c r="O1542" s="37"/>
      <c r="P1542" s="37"/>
    </row>
    <row r="1543" spans="2:16" x14ac:dyDescent="0.25">
      <c r="B15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3" s="46"/>
      <c r="D1543" s="37"/>
      <c r="E1543" s="37"/>
      <c r="F1543" s="37"/>
      <c r="G1543" s="40" t="str">
        <f>IF(tblMovimientos[[#This Row],[Producto]]="","",TRIM(LEFT(tblMovimientos[[#This Row],[Producto]],FIND(" · ",tblMovimientos[[#This Row],[Producto]]&amp;" · ")-1)))</f>
        <v/>
      </c>
      <c r="H1543" s="40" t="str">
        <f>IF(tblMovimientos[[#This Row],[SKU]]="","",IFERROR(INDEX(tblProductos[Unidad],MATCH(tblMovimientos[[#This Row],[SKU]],tblProductos[SKU],0)),"?"))</f>
        <v/>
      </c>
      <c r="I1543" s="39"/>
      <c r="J1543" s="47" t="str">
        <f>IF(tblMovimientos[[#This Row],[Tipo]]="","",IFERROR(INDEX(tblTiposMov[FactorStock],MATCH(tblMovimientos[[#This Row],[Tipo]],tblTiposMov[Tipo],0)),0))</f>
        <v/>
      </c>
      <c r="K15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3" s="37"/>
      <c r="O1543" s="37"/>
      <c r="P1543" s="37"/>
    </row>
    <row r="1544" spans="2:16" x14ac:dyDescent="0.25">
      <c r="B15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4" s="46"/>
      <c r="D1544" s="37"/>
      <c r="E1544" s="37"/>
      <c r="F1544" s="37"/>
      <c r="G1544" s="40" t="str">
        <f>IF(tblMovimientos[[#This Row],[Producto]]="","",TRIM(LEFT(tblMovimientos[[#This Row],[Producto]],FIND(" · ",tblMovimientos[[#This Row],[Producto]]&amp;" · ")-1)))</f>
        <v/>
      </c>
      <c r="H1544" s="40" t="str">
        <f>IF(tblMovimientos[[#This Row],[SKU]]="","",IFERROR(INDEX(tblProductos[Unidad],MATCH(tblMovimientos[[#This Row],[SKU]],tblProductos[SKU],0)),"?"))</f>
        <v/>
      </c>
      <c r="I1544" s="39"/>
      <c r="J1544" s="47" t="str">
        <f>IF(tblMovimientos[[#This Row],[Tipo]]="","",IFERROR(INDEX(tblTiposMov[FactorStock],MATCH(tblMovimientos[[#This Row],[Tipo]],tblTiposMov[Tipo],0)),0))</f>
        <v/>
      </c>
      <c r="K15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4" s="37"/>
      <c r="O1544" s="37"/>
      <c r="P1544" s="37"/>
    </row>
    <row r="1545" spans="2:16" x14ac:dyDescent="0.25">
      <c r="B15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5" s="46"/>
      <c r="D1545" s="37"/>
      <c r="E1545" s="37"/>
      <c r="F1545" s="37"/>
      <c r="G1545" s="40" t="str">
        <f>IF(tblMovimientos[[#This Row],[Producto]]="","",TRIM(LEFT(tblMovimientos[[#This Row],[Producto]],FIND(" · ",tblMovimientos[[#This Row],[Producto]]&amp;" · ")-1)))</f>
        <v/>
      </c>
      <c r="H1545" s="40" t="str">
        <f>IF(tblMovimientos[[#This Row],[SKU]]="","",IFERROR(INDEX(tblProductos[Unidad],MATCH(tblMovimientos[[#This Row],[SKU]],tblProductos[SKU],0)),"?"))</f>
        <v/>
      </c>
      <c r="I1545" s="39"/>
      <c r="J1545" s="47" t="str">
        <f>IF(tblMovimientos[[#This Row],[Tipo]]="","",IFERROR(INDEX(tblTiposMov[FactorStock],MATCH(tblMovimientos[[#This Row],[Tipo]],tblTiposMov[Tipo],0)),0))</f>
        <v/>
      </c>
      <c r="K15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5" s="37"/>
      <c r="O1545" s="37"/>
      <c r="P1545" s="37"/>
    </row>
    <row r="1546" spans="2:16" x14ac:dyDescent="0.25">
      <c r="B15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6" s="46"/>
      <c r="D1546" s="37"/>
      <c r="E1546" s="37"/>
      <c r="F1546" s="37"/>
      <c r="G1546" s="40" t="str">
        <f>IF(tblMovimientos[[#This Row],[Producto]]="","",TRIM(LEFT(tblMovimientos[[#This Row],[Producto]],FIND(" · ",tblMovimientos[[#This Row],[Producto]]&amp;" · ")-1)))</f>
        <v/>
      </c>
      <c r="H1546" s="40" t="str">
        <f>IF(tblMovimientos[[#This Row],[SKU]]="","",IFERROR(INDEX(tblProductos[Unidad],MATCH(tblMovimientos[[#This Row],[SKU]],tblProductos[SKU],0)),"?"))</f>
        <v/>
      </c>
      <c r="I1546" s="39"/>
      <c r="J1546" s="47" t="str">
        <f>IF(tblMovimientos[[#This Row],[Tipo]]="","",IFERROR(INDEX(tblTiposMov[FactorStock],MATCH(tblMovimientos[[#This Row],[Tipo]],tblTiposMov[Tipo],0)),0))</f>
        <v/>
      </c>
      <c r="K15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6" s="37"/>
      <c r="O1546" s="37"/>
      <c r="P1546" s="37"/>
    </row>
    <row r="1547" spans="2:16" x14ac:dyDescent="0.25">
      <c r="B15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7" s="46"/>
      <c r="D1547" s="37"/>
      <c r="E1547" s="37"/>
      <c r="F1547" s="37"/>
      <c r="G1547" s="40" t="str">
        <f>IF(tblMovimientos[[#This Row],[Producto]]="","",TRIM(LEFT(tblMovimientos[[#This Row],[Producto]],FIND(" · ",tblMovimientos[[#This Row],[Producto]]&amp;" · ")-1)))</f>
        <v/>
      </c>
      <c r="H1547" s="40" t="str">
        <f>IF(tblMovimientos[[#This Row],[SKU]]="","",IFERROR(INDEX(tblProductos[Unidad],MATCH(tblMovimientos[[#This Row],[SKU]],tblProductos[SKU],0)),"?"))</f>
        <v/>
      </c>
      <c r="I1547" s="39"/>
      <c r="J1547" s="47" t="str">
        <f>IF(tblMovimientos[[#This Row],[Tipo]]="","",IFERROR(INDEX(tblTiposMov[FactorStock],MATCH(tblMovimientos[[#This Row],[Tipo]],tblTiposMov[Tipo],0)),0))</f>
        <v/>
      </c>
      <c r="K15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7" s="37"/>
      <c r="O1547" s="37"/>
      <c r="P1547" s="37"/>
    </row>
    <row r="1548" spans="2:16" x14ac:dyDescent="0.25">
      <c r="B15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8" s="46"/>
      <c r="D1548" s="37"/>
      <c r="E1548" s="37"/>
      <c r="F1548" s="37"/>
      <c r="G1548" s="40" t="str">
        <f>IF(tblMovimientos[[#This Row],[Producto]]="","",TRIM(LEFT(tblMovimientos[[#This Row],[Producto]],FIND(" · ",tblMovimientos[[#This Row],[Producto]]&amp;" · ")-1)))</f>
        <v/>
      </c>
      <c r="H1548" s="40" t="str">
        <f>IF(tblMovimientos[[#This Row],[SKU]]="","",IFERROR(INDEX(tblProductos[Unidad],MATCH(tblMovimientos[[#This Row],[SKU]],tblProductos[SKU],0)),"?"))</f>
        <v/>
      </c>
      <c r="I1548" s="39"/>
      <c r="J1548" s="47" t="str">
        <f>IF(tblMovimientos[[#This Row],[Tipo]]="","",IFERROR(INDEX(tblTiposMov[FactorStock],MATCH(tblMovimientos[[#This Row],[Tipo]],tblTiposMov[Tipo],0)),0))</f>
        <v/>
      </c>
      <c r="K15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8" s="37"/>
      <c r="O1548" s="37"/>
      <c r="P1548" s="37"/>
    </row>
    <row r="1549" spans="2:16" x14ac:dyDescent="0.25">
      <c r="B15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49" s="46"/>
      <c r="D1549" s="37"/>
      <c r="E1549" s="37"/>
      <c r="F1549" s="37"/>
      <c r="G1549" s="40" t="str">
        <f>IF(tblMovimientos[[#This Row],[Producto]]="","",TRIM(LEFT(tblMovimientos[[#This Row],[Producto]],FIND(" · ",tblMovimientos[[#This Row],[Producto]]&amp;" · ")-1)))</f>
        <v/>
      </c>
      <c r="H1549" s="40" t="str">
        <f>IF(tblMovimientos[[#This Row],[SKU]]="","",IFERROR(INDEX(tblProductos[Unidad],MATCH(tblMovimientos[[#This Row],[SKU]],tblProductos[SKU],0)),"?"))</f>
        <v/>
      </c>
      <c r="I1549" s="39"/>
      <c r="J1549" s="47" t="str">
        <f>IF(tblMovimientos[[#This Row],[Tipo]]="","",IFERROR(INDEX(tblTiposMov[FactorStock],MATCH(tblMovimientos[[#This Row],[Tipo]],tblTiposMov[Tipo],0)),0))</f>
        <v/>
      </c>
      <c r="K15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49" s="37"/>
      <c r="O1549" s="37"/>
      <c r="P1549" s="37"/>
    </row>
    <row r="1550" spans="2:16" x14ac:dyDescent="0.25">
      <c r="B15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0" s="46"/>
      <c r="D1550" s="37"/>
      <c r="E1550" s="37"/>
      <c r="F1550" s="37"/>
      <c r="G1550" s="40" t="str">
        <f>IF(tblMovimientos[[#This Row],[Producto]]="","",TRIM(LEFT(tblMovimientos[[#This Row],[Producto]],FIND(" · ",tblMovimientos[[#This Row],[Producto]]&amp;" · ")-1)))</f>
        <v/>
      </c>
      <c r="H1550" s="40" t="str">
        <f>IF(tblMovimientos[[#This Row],[SKU]]="","",IFERROR(INDEX(tblProductos[Unidad],MATCH(tblMovimientos[[#This Row],[SKU]],tblProductos[SKU],0)),"?"))</f>
        <v/>
      </c>
      <c r="I1550" s="39"/>
      <c r="J1550" s="47" t="str">
        <f>IF(tblMovimientos[[#This Row],[Tipo]]="","",IFERROR(INDEX(tblTiposMov[FactorStock],MATCH(tblMovimientos[[#This Row],[Tipo]],tblTiposMov[Tipo],0)),0))</f>
        <v/>
      </c>
      <c r="K15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0" s="37"/>
      <c r="O1550" s="37"/>
      <c r="P1550" s="37"/>
    </row>
    <row r="1551" spans="2:16" x14ac:dyDescent="0.25">
      <c r="B15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1" s="46"/>
      <c r="D1551" s="37"/>
      <c r="E1551" s="37"/>
      <c r="F1551" s="37"/>
      <c r="G1551" s="40" t="str">
        <f>IF(tblMovimientos[[#This Row],[Producto]]="","",TRIM(LEFT(tblMovimientos[[#This Row],[Producto]],FIND(" · ",tblMovimientos[[#This Row],[Producto]]&amp;" · ")-1)))</f>
        <v/>
      </c>
      <c r="H1551" s="40" t="str">
        <f>IF(tblMovimientos[[#This Row],[SKU]]="","",IFERROR(INDEX(tblProductos[Unidad],MATCH(tblMovimientos[[#This Row],[SKU]],tblProductos[SKU],0)),"?"))</f>
        <v/>
      </c>
      <c r="I1551" s="39"/>
      <c r="J1551" s="47" t="str">
        <f>IF(tblMovimientos[[#This Row],[Tipo]]="","",IFERROR(INDEX(tblTiposMov[FactorStock],MATCH(tblMovimientos[[#This Row],[Tipo]],tblTiposMov[Tipo],0)),0))</f>
        <v/>
      </c>
      <c r="K15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1" s="37"/>
      <c r="O1551" s="37"/>
      <c r="P1551" s="37"/>
    </row>
    <row r="1552" spans="2:16" x14ac:dyDescent="0.25">
      <c r="B15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2" s="46"/>
      <c r="D1552" s="37"/>
      <c r="E1552" s="37"/>
      <c r="F1552" s="37"/>
      <c r="G1552" s="40" t="str">
        <f>IF(tblMovimientos[[#This Row],[Producto]]="","",TRIM(LEFT(tblMovimientos[[#This Row],[Producto]],FIND(" · ",tblMovimientos[[#This Row],[Producto]]&amp;" · ")-1)))</f>
        <v/>
      </c>
      <c r="H1552" s="40" t="str">
        <f>IF(tblMovimientos[[#This Row],[SKU]]="","",IFERROR(INDEX(tblProductos[Unidad],MATCH(tblMovimientos[[#This Row],[SKU]],tblProductos[SKU],0)),"?"))</f>
        <v/>
      </c>
      <c r="I1552" s="39"/>
      <c r="J1552" s="47" t="str">
        <f>IF(tblMovimientos[[#This Row],[Tipo]]="","",IFERROR(INDEX(tblTiposMov[FactorStock],MATCH(tblMovimientos[[#This Row],[Tipo]],tblTiposMov[Tipo],0)),0))</f>
        <v/>
      </c>
      <c r="K15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2" s="37"/>
      <c r="O1552" s="37"/>
      <c r="P1552" s="37"/>
    </row>
    <row r="1553" spans="2:16" x14ac:dyDescent="0.25">
      <c r="B15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3" s="46"/>
      <c r="D1553" s="37"/>
      <c r="E1553" s="37"/>
      <c r="F1553" s="37"/>
      <c r="G1553" s="40" t="str">
        <f>IF(tblMovimientos[[#This Row],[Producto]]="","",TRIM(LEFT(tblMovimientos[[#This Row],[Producto]],FIND(" · ",tblMovimientos[[#This Row],[Producto]]&amp;" · ")-1)))</f>
        <v/>
      </c>
      <c r="H1553" s="40" t="str">
        <f>IF(tblMovimientos[[#This Row],[SKU]]="","",IFERROR(INDEX(tblProductos[Unidad],MATCH(tblMovimientos[[#This Row],[SKU]],tblProductos[SKU],0)),"?"))</f>
        <v/>
      </c>
      <c r="I1553" s="39"/>
      <c r="J1553" s="47" t="str">
        <f>IF(tblMovimientos[[#This Row],[Tipo]]="","",IFERROR(INDEX(tblTiposMov[FactorStock],MATCH(tblMovimientos[[#This Row],[Tipo]],tblTiposMov[Tipo],0)),0))</f>
        <v/>
      </c>
      <c r="K15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3" s="37"/>
      <c r="O1553" s="37"/>
      <c r="P1553" s="37"/>
    </row>
    <row r="1554" spans="2:16" x14ac:dyDescent="0.25">
      <c r="B15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4" s="46"/>
      <c r="D1554" s="37"/>
      <c r="E1554" s="37"/>
      <c r="F1554" s="37"/>
      <c r="G1554" s="40" t="str">
        <f>IF(tblMovimientos[[#This Row],[Producto]]="","",TRIM(LEFT(tblMovimientos[[#This Row],[Producto]],FIND(" · ",tblMovimientos[[#This Row],[Producto]]&amp;" · ")-1)))</f>
        <v/>
      </c>
      <c r="H1554" s="40" t="str">
        <f>IF(tblMovimientos[[#This Row],[SKU]]="","",IFERROR(INDEX(tblProductos[Unidad],MATCH(tblMovimientos[[#This Row],[SKU]],tblProductos[SKU],0)),"?"))</f>
        <v/>
      </c>
      <c r="I1554" s="39"/>
      <c r="J1554" s="47" t="str">
        <f>IF(tblMovimientos[[#This Row],[Tipo]]="","",IFERROR(INDEX(tblTiposMov[FactorStock],MATCH(tblMovimientos[[#This Row],[Tipo]],tblTiposMov[Tipo],0)),0))</f>
        <v/>
      </c>
      <c r="K15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4" s="37"/>
      <c r="O1554" s="37"/>
      <c r="P1554" s="37"/>
    </row>
    <row r="1555" spans="2:16" x14ac:dyDescent="0.25">
      <c r="B15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5" s="46"/>
      <c r="D1555" s="37"/>
      <c r="E1555" s="37"/>
      <c r="F1555" s="37"/>
      <c r="G1555" s="40" t="str">
        <f>IF(tblMovimientos[[#This Row],[Producto]]="","",TRIM(LEFT(tblMovimientos[[#This Row],[Producto]],FIND(" · ",tblMovimientos[[#This Row],[Producto]]&amp;" · ")-1)))</f>
        <v/>
      </c>
      <c r="H1555" s="40" t="str">
        <f>IF(tblMovimientos[[#This Row],[SKU]]="","",IFERROR(INDEX(tblProductos[Unidad],MATCH(tblMovimientos[[#This Row],[SKU]],tblProductos[SKU],0)),"?"))</f>
        <v/>
      </c>
      <c r="I1555" s="39"/>
      <c r="J1555" s="47" t="str">
        <f>IF(tblMovimientos[[#This Row],[Tipo]]="","",IFERROR(INDEX(tblTiposMov[FactorStock],MATCH(tblMovimientos[[#This Row],[Tipo]],tblTiposMov[Tipo],0)),0))</f>
        <v/>
      </c>
      <c r="K15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5" s="37"/>
      <c r="O1555" s="37"/>
      <c r="P1555" s="37"/>
    </row>
    <row r="1556" spans="2:16" x14ac:dyDescent="0.25">
      <c r="B15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6" s="46"/>
      <c r="D1556" s="37"/>
      <c r="E1556" s="37"/>
      <c r="F1556" s="37"/>
      <c r="G1556" s="40" t="str">
        <f>IF(tblMovimientos[[#This Row],[Producto]]="","",TRIM(LEFT(tblMovimientos[[#This Row],[Producto]],FIND(" · ",tblMovimientos[[#This Row],[Producto]]&amp;" · ")-1)))</f>
        <v/>
      </c>
      <c r="H1556" s="40" t="str">
        <f>IF(tblMovimientos[[#This Row],[SKU]]="","",IFERROR(INDEX(tblProductos[Unidad],MATCH(tblMovimientos[[#This Row],[SKU]],tblProductos[SKU],0)),"?"))</f>
        <v/>
      </c>
      <c r="I1556" s="39"/>
      <c r="J1556" s="47" t="str">
        <f>IF(tblMovimientos[[#This Row],[Tipo]]="","",IFERROR(INDEX(tblTiposMov[FactorStock],MATCH(tblMovimientos[[#This Row],[Tipo]],tblTiposMov[Tipo],0)),0))</f>
        <v/>
      </c>
      <c r="K15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6" s="37"/>
      <c r="O1556" s="37"/>
      <c r="P1556" s="37"/>
    </row>
    <row r="1557" spans="2:16" x14ac:dyDescent="0.25">
      <c r="B15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7" s="46"/>
      <c r="D1557" s="37"/>
      <c r="E1557" s="37"/>
      <c r="F1557" s="37"/>
      <c r="G1557" s="40" t="str">
        <f>IF(tblMovimientos[[#This Row],[Producto]]="","",TRIM(LEFT(tblMovimientos[[#This Row],[Producto]],FIND(" · ",tblMovimientos[[#This Row],[Producto]]&amp;" · ")-1)))</f>
        <v/>
      </c>
      <c r="H1557" s="40" t="str">
        <f>IF(tblMovimientos[[#This Row],[SKU]]="","",IFERROR(INDEX(tblProductos[Unidad],MATCH(tblMovimientos[[#This Row],[SKU]],tblProductos[SKU],0)),"?"))</f>
        <v/>
      </c>
      <c r="I1557" s="39"/>
      <c r="J1557" s="47" t="str">
        <f>IF(tblMovimientos[[#This Row],[Tipo]]="","",IFERROR(INDEX(tblTiposMov[FactorStock],MATCH(tblMovimientos[[#This Row],[Tipo]],tblTiposMov[Tipo],0)),0))</f>
        <v/>
      </c>
      <c r="K15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7" s="37"/>
      <c r="O1557" s="37"/>
      <c r="P1557" s="37"/>
    </row>
    <row r="1558" spans="2:16" x14ac:dyDescent="0.25">
      <c r="B15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8" s="46"/>
      <c r="D1558" s="37"/>
      <c r="E1558" s="37"/>
      <c r="F1558" s="37"/>
      <c r="G1558" s="40" t="str">
        <f>IF(tblMovimientos[[#This Row],[Producto]]="","",TRIM(LEFT(tblMovimientos[[#This Row],[Producto]],FIND(" · ",tblMovimientos[[#This Row],[Producto]]&amp;" · ")-1)))</f>
        <v/>
      </c>
      <c r="H1558" s="40" t="str">
        <f>IF(tblMovimientos[[#This Row],[SKU]]="","",IFERROR(INDEX(tblProductos[Unidad],MATCH(tblMovimientos[[#This Row],[SKU]],tblProductos[SKU],0)),"?"))</f>
        <v/>
      </c>
      <c r="I1558" s="39"/>
      <c r="J1558" s="47" t="str">
        <f>IF(tblMovimientos[[#This Row],[Tipo]]="","",IFERROR(INDEX(tblTiposMov[FactorStock],MATCH(tblMovimientos[[#This Row],[Tipo]],tblTiposMov[Tipo],0)),0))</f>
        <v/>
      </c>
      <c r="K15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8" s="37"/>
      <c r="O1558" s="37"/>
      <c r="P1558" s="37"/>
    </row>
    <row r="1559" spans="2:16" x14ac:dyDescent="0.25">
      <c r="B15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59" s="46"/>
      <c r="D1559" s="37"/>
      <c r="E1559" s="37"/>
      <c r="F1559" s="37"/>
      <c r="G1559" s="40" t="str">
        <f>IF(tblMovimientos[[#This Row],[Producto]]="","",TRIM(LEFT(tblMovimientos[[#This Row],[Producto]],FIND(" · ",tblMovimientos[[#This Row],[Producto]]&amp;" · ")-1)))</f>
        <v/>
      </c>
      <c r="H1559" s="40" t="str">
        <f>IF(tblMovimientos[[#This Row],[SKU]]="","",IFERROR(INDEX(tblProductos[Unidad],MATCH(tblMovimientos[[#This Row],[SKU]],tblProductos[SKU],0)),"?"))</f>
        <v/>
      </c>
      <c r="I1559" s="39"/>
      <c r="J1559" s="47" t="str">
        <f>IF(tblMovimientos[[#This Row],[Tipo]]="","",IFERROR(INDEX(tblTiposMov[FactorStock],MATCH(tblMovimientos[[#This Row],[Tipo]],tblTiposMov[Tipo],0)),0))</f>
        <v/>
      </c>
      <c r="K15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59" s="37"/>
      <c r="O1559" s="37"/>
      <c r="P1559" s="37"/>
    </row>
    <row r="1560" spans="2:16" x14ac:dyDescent="0.25">
      <c r="B15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0" s="46"/>
      <c r="D1560" s="37"/>
      <c r="E1560" s="37"/>
      <c r="F1560" s="37"/>
      <c r="G1560" s="40" t="str">
        <f>IF(tblMovimientos[[#This Row],[Producto]]="","",TRIM(LEFT(tblMovimientos[[#This Row],[Producto]],FIND(" · ",tblMovimientos[[#This Row],[Producto]]&amp;" · ")-1)))</f>
        <v/>
      </c>
      <c r="H1560" s="40" t="str">
        <f>IF(tblMovimientos[[#This Row],[SKU]]="","",IFERROR(INDEX(tblProductos[Unidad],MATCH(tblMovimientos[[#This Row],[SKU]],tblProductos[SKU],0)),"?"))</f>
        <v/>
      </c>
      <c r="I1560" s="39"/>
      <c r="J1560" s="47" t="str">
        <f>IF(tblMovimientos[[#This Row],[Tipo]]="","",IFERROR(INDEX(tblTiposMov[FactorStock],MATCH(tblMovimientos[[#This Row],[Tipo]],tblTiposMov[Tipo],0)),0))</f>
        <v/>
      </c>
      <c r="K15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0" s="37"/>
      <c r="O1560" s="37"/>
      <c r="P1560" s="37"/>
    </row>
    <row r="1561" spans="2:16" x14ac:dyDescent="0.25">
      <c r="B15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1" s="46"/>
      <c r="D1561" s="37"/>
      <c r="E1561" s="37"/>
      <c r="F1561" s="37"/>
      <c r="G1561" s="40" t="str">
        <f>IF(tblMovimientos[[#This Row],[Producto]]="","",TRIM(LEFT(tblMovimientos[[#This Row],[Producto]],FIND(" · ",tblMovimientos[[#This Row],[Producto]]&amp;" · ")-1)))</f>
        <v/>
      </c>
      <c r="H1561" s="40" t="str">
        <f>IF(tblMovimientos[[#This Row],[SKU]]="","",IFERROR(INDEX(tblProductos[Unidad],MATCH(tblMovimientos[[#This Row],[SKU]],tblProductos[SKU],0)),"?"))</f>
        <v/>
      </c>
      <c r="I1561" s="39"/>
      <c r="J1561" s="47" t="str">
        <f>IF(tblMovimientos[[#This Row],[Tipo]]="","",IFERROR(INDEX(tblTiposMov[FactorStock],MATCH(tblMovimientos[[#This Row],[Tipo]],tblTiposMov[Tipo],0)),0))</f>
        <v/>
      </c>
      <c r="K15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1" s="37"/>
      <c r="O1561" s="37"/>
      <c r="P1561" s="37"/>
    </row>
    <row r="1562" spans="2:16" x14ac:dyDescent="0.25">
      <c r="B15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2" s="46"/>
      <c r="D1562" s="37"/>
      <c r="E1562" s="37"/>
      <c r="F1562" s="37"/>
      <c r="G1562" s="40" t="str">
        <f>IF(tblMovimientos[[#This Row],[Producto]]="","",TRIM(LEFT(tblMovimientos[[#This Row],[Producto]],FIND(" · ",tblMovimientos[[#This Row],[Producto]]&amp;" · ")-1)))</f>
        <v/>
      </c>
      <c r="H1562" s="40" t="str">
        <f>IF(tblMovimientos[[#This Row],[SKU]]="","",IFERROR(INDEX(tblProductos[Unidad],MATCH(tblMovimientos[[#This Row],[SKU]],tblProductos[SKU],0)),"?"))</f>
        <v/>
      </c>
      <c r="I1562" s="39"/>
      <c r="J1562" s="47" t="str">
        <f>IF(tblMovimientos[[#This Row],[Tipo]]="","",IFERROR(INDEX(tblTiposMov[FactorStock],MATCH(tblMovimientos[[#This Row],[Tipo]],tblTiposMov[Tipo],0)),0))</f>
        <v/>
      </c>
      <c r="K15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2" s="37"/>
      <c r="O1562" s="37"/>
      <c r="P1562" s="37"/>
    </row>
    <row r="1563" spans="2:16" x14ac:dyDescent="0.25">
      <c r="B15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3" s="46"/>
      <c r="D1563" s="37"/>
      <c r="E1563" s="37"/>
      <c r="F1563" s="37"/>
      <c r="G1563" s="40" t="str">
        <f>IF(tblMovimientos[[#This Row],[Producto]]="","",TRIM(LEFT(tblMovimientos[[#This Row],[Producto]],FIND(" · ",tblMovimientos[[#This Row],[Producto]]&amp;" · ")-1)))</f>
        <v/>
      </c>
      <c r="H1563" s="40" t="str">
        <f>IF(tblMovimientos[[#This Row],[SKU]]="","",IFERROR(INDEX(tblProductos[Unidad],MATCH(tblMovimientos[[#This Row],[SKU]],tblProductos[SKU],0)),"?"))</f>
        <v/>
      </c>
      <c r="I1563" s="39"/>
      <c r="J1563" s="47" t="str">
        <f>IF(tblMovimientos[[#This Row],[Tipo]]="","",IFERROR(INDEX(tblTiposMov[FactorStock],MATCH(tblMovimientos[[#This Row],[Tipo]],tblTiposMov[Tipo],0)),0))</f>
        <v/>
      </c>
      <c r="K15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3" s="37"/>
      <c r="O1563" s="37"/>
      <c r="P1563" s="37"/>
    </row>
    <row r="1564" spans="2:16" x14ac:dyDescent="0.25">
      <c r="B15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4" s="46"/>
      <c r="D1564" s="37"/>
      <c r="E1564" s="37"/>
      <c r="F1564" s="37"/>
      <c r="G1564" s="40" t="str">
        <f>IF(tblMovimientos[[#This Row],[Producto]]="","",TRIM(LEFT(tblMovimientos[[#This Row],[Producto]],FIND(" · ",tblMovimientos[[#This Row],[Producto]]&amp;" · ")-1)))</f>
        <v/>
      </c>
      <c r="H1564" s="40" t="str">
        <f>IF(tblMovimientos[[#This Row],[SKU]]="","",IFERROR(INDEX(tblProductos[Unidad],MATCH(tblMovimientos[[#This Row],[SKU]],tblProductos[SKU],0)),"?"))</f>
        <v/>
      </c>
      <c r="I1564" s="39"/>
      <c r="J1564" s="47" t="str">
        <f>IF(tblMovimientos[[#This Row],[Tipo]]="","",IFERROR(INDEX(tblTiposMov[FactorStock],MATCH(tblMovimientos[[#This Row],[Tipo]],tblTiposMov[Tipo],0)),0))</f>
        <v/>
      </c>
      <c r="K15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4" s="37"/>
      <c r="O1564" s="37"/>
      <c r="P1564" s="37"/>
    </row>
    <row r="1565" spans="2:16" x14ac:dyDescent="0.25">
      <c r="B15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5" s="46"/>
      <c r="D1565" s="37"/>
      <c r="E1565" s="37"/>
      <c r="F1565" s="37"/>
      <c r="G1565" s="40" t="str">
        <f>IF(tblMovimientos[[#This Row],[Producto]]="","",TRIM(LEFT(tblMovimientos[[#This Row],[Producto]],FIND(" · ",tblMovimientos[[#This Row],[Producto]]&amp;" · ")-1)))</f>
        <v/>
      </c>
      <c r="H1565" s="40" t="str">
        <f>IF(tblMovimientos[[#This Row],[SKU]]="","",IFERROR(INDEX(tblProductos[Unidad],MATCH(tblMovimientos[[#This Row],[SKU]],tblProductos[SKU],0)),"?"))</f>
        <v/>
      </c>
      <c r="I1565" s="39"/>
      <c r="J1565" s="47" t="str">
        <f>IF(tblMovimientos[[#This Row],[Tipo]]="","",IFERROR(INDEX(tblTiposMov[FactorStock],MATCH(tblMovimientos[[#This Row],[Tipo]],tblTiposMov[Tipo],0)),0))</f>
        <v/>
      </c>
      <c r="K15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5" s="37"/>
      <c r="O1565" s="37"/>
      <c r="P1565" s="37"/>
    </row>
    <row r="1566" spans="2:16" x14ac:dyDescent="0.25">
      <c r="B15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6" s="46"/>
      <c r="D1566" s="37"/>
      <c r="E1566" s="37"/>
      <c r="F1566" s="37"/>
      <c r="G1566" s="40" t="str">
        <f>IF(tblMovimientos[[#This Row],[Producto]]="","",TRIM(LEFT(tblMovimientos[[#This Row],[Producto]],FIND(" · ",tblMovimientos[[#This Row],[Producto]]&amp;" · ")-1)))</f>
        <v/>
      </c>
      <c r="H1566" s="40" t="str">
        <f>IF(tblMovimientos[[#This Row],[SKU]]="","",IFERROR(INDEX(tblProductos[Unidad],MATCH(tblMovimientos[[#This Row],[SKU]],tblProductos[SKU],0)),"?"))</f>
        <v/>
      </c>
      <c r="I1566" s="39"/>
      <c r="J1566" s="47" t="str">
        <f>IF(tblMovimientos[[#This Row],[Tipo]]="","",IFERROR(INDEX(tblTiposMov[FactorStock],MATCH(tblMovimientos[[#This Row],[Tipo]],tblTiposMov[Tipo],0)),0))</f>
        <v/>
      </c>
      <c r="K15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6" s="37"/>
      <c r="O1566" s="37"/>
      <c r="P1566" s="37"/>
    </row>
    <row r="1567" spans="2:16" x14ac:dyDescent="0.25">
      <c r="B15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7" s="46"/>
      <c r="D1567" s="37"/>
      <c r="E1567" s="37"/>
      <c r="F1567" s="37"/>
      <c r="G1567" s="40" t="str">
        <f>IF(tblMovimientos[[#This Row],[Producto]]="","",TRIM(LEFT(tblMovimientos[[#This Row],[Producto]],FIND(" · ",tblMovimientos[[#This Row],[Producto]]&amp;" · ")-1)))</f>
        <v/>
      </c>
      <c r="H1567" s="40" t="str">
        <f>IF(tblMovimientos[[#This Row],[SKU]]="","",IFERROR(INDEX(tblProductos[Unidad],MATCH(tblMovimientos[[#This Row],[SKU]],tblProductos[SKU],0)),"?"))</f>
        <v/>
      </c>
      <c r="I1567" s="39"/>
      <c r="J1567" s="47" t="str">
        <f>IF(tblMovimientos[[#This Row],[Tipo]]="","",IFERROR(INDEX(tblTiposMov[FactorStock],MATCH(tblMovimientos[[#This Row],[Tipo]],tblTiposMov[Tipo],0)),0))</f>
        <v/>
      </c>
      <c r="K15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7" s="37"/>
      <c r="O1567" s="37"/>
      <c r="P1567" s="37"/>
    </row>
    <row r="1568" spans="2:16" x14ac:dyDescent="0.25">
      <c r="B15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8" s="46"/>
      <c r="D1568" s="37"/>
      <c r="E1568" s="37"/>
      <c r="F1568" s="37"/>
      <c r="G1568" s="40" t="str">
        <f>IF(tblMovimientos[[#This Row],[Producto]]="","",TRIM(LEFT(tblMovimientos[[#This Row],[Producto]],FIND(" · ",tblMovimientos[[#This Row],[Producto]]&amp;" · ")-1)))</f>
        <v/>
      </c>
      <c r="H1568" s="40" t="str">
        <f>IF(tblMovimientos[[#This Row],[SKU]]="","",IFERROR(INDEX(tblProductos[Unidad],MATCH(tblMovimientos[[#This Row],[SKU]],tblProductos[SKU],0)),"?"))</f>
        <v/>
      </c>
      <c r="I1568" s="39"/>
      <c r="J1568" s="47" t="str">
        <f>IF(tblMovimientos[[#This Row],[Tipo]]="","",IFERROR(INDEX(tblTiposMov[FactorStock],MATCH(tblMovimientos[[#This Row],[Tipo]],tblTiposMov[Tipo],0)),0))</f>
        <v/>
      </c>
      <c r="K15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8" s="37"/>
      <c r="O1568" s="37"/>
      <c r="P1568" s="37"/>
    </row>
    <row r="1569" spans="2:16" x14ac:dyDescent="0.25">
      <c r="B15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69" s="46"/>
      <c r="D1569" s="37"/>
      <c r="E1569" s="37"/>
      <c r="F1569" s="37"/>
      <c r="G1569" s="40" t="str">
        <f>IF(tblMovimientos[[#This Row],[Producto]]="","",TRIM(LEFT(tblMovimientos[[#This Row],[Producto]],FIND(" · ",tblMovimientos[[#This Row],[Producto]]&amp;" · ")-1)))</f>
        <v/>
      </c>
      <c r="H1569" s="40" t="str">
        <f>IF(tblMovimientos[[#This Row],[SKU]]="","",IFERROR(INDEX(tblProductos[Unidad],MATCH(tblMovimientos[[#This Row],[SKU]],tblProductos[SKU],0)),"?"))</f>
        <v/>
      </c>
      <c r="I1569" s="39"/>
      <c r="J1569" s="47" t="str">
        <f>IF(tblMovimientos[[#This Row],[Tipo]]="","",IFERROR(INDEX(tblTiposMov[FactorStock],MATCH(tblMovimientos[[#This Row],[Tipo]],tblTiposMov[Tipo],0)),0))</f>
        <v/>
      </c>
      <c r="K15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69" s="37"/>
      <c r="O1569" s="37"/>
      <c r="P1569" s="37"/>
    </row>
    <row r="1570" spans="2:16" x14ac:dyDescent="0.25">
      <c r="B15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0" s="46"/>
      <c r="D1570" s="37"/>
      <c r="E1570" s="37"/>
      <c r="F1570" s="37"/>
      <c r="G1570" s="40" t="str">
        <f>IF(tblMovimientos[[#This Row],[Producto]]="","",TRIM(LEFT(tblMovimientos[[#This Row],[Producto]],FIND(" · ",tblMovimientos[[#This Row],[Producto]]&amp;" · ")-1)))</f>
        <v/>
      </c>
      <c r="H1570" s="40" t="str">
        <f>IF(tblMovimientos[[#This Row],[SKU]]="","",IFERROR(INDEX(tblProductos[Unidad],MATCH(tblMovimientos[[#This Row],[SKU]],tblProductos[SKU],0)),"?"))</f>
        <v/>
      </c>
      <c r="I1570" s="39"/>
      <c r="J1570" s="47" t="str">
        <f>IF(tblMovimientos[[#This Row],[Tipo]]="","",IFERROR(INDEX(tblTiposMov[FactorStock],MATCH(tblMovimientos[[#This Row],[Tipo]],tblTiposMov[Tipo],0)),0))</f>
        <v/>
      </c>
      <c r="K15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0" s="37"/>
      <c r="O1570" s="37"/>
      <c r="P1570" s="37"/>
    </row>
    <row r="1571" spans="2:16" x14ac:dyDescent="0.25">
      <c r="B15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1" s="46"/>
      <c r="D1571" s="37"/>
      <c r="E1571" s="37"/>
      <c r="F1571" s="37"/>
      <c r="G1571" s="40" t="str">
        <f>IF(tblMovimientos[[#This Row],[Producto]]="","",TRIM(LEFT(tblMovimientos[[#This Row],[Producto]],FIND(" · ",tblMovimientos[[#This Row],[Producto]]&amp;" · ")-1)))</f>
        <v/>
      </c>
      <c r="H1571" s="40" t="str">
        <f>IF(tblMovimientos[[#This Row],[SKU]]="","",IFERROR(INDEX(tblProductos[Unidad],MATCH(tblMovimientos[[#This Row],[SKU]],tblProductos[SKU],0)),"?"))</f>
        <v/>
      </c>
      <c r="I1571" s="39"/>
      <c r="J1571" s="47" t="str">
        <f>IF(tblMovimientos[[#This Row],[Tipo]]="","",IFERROR(INDEX(tblTiposMov[FactorStock],MATCH(tblMovimientos[[#This Row],[Tipo]],tblTiposMov[Tipo],0)),0))</f>
        <v/>
      </c>
      <c r="K15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1" s="37"/>
      <c r="O1571" s="37"/>
      <c r="P1571" s="37"/>
    </row>
    <row r="1572" spans="2:16" x14ac:dyDescent="0.25">
      <c r="B15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2" s="46"/>
      <c r="D1572" s="37"/>
      <c r="E1572" s="37"/>
      <c r="F1572" s="37"/>
      <c r="G1572" s="40" t="str">
        <f>IF(tblMovimientos[[#This Row],[Producto]]="","",TRIM(LEFT(tblMovimientos[[#This Row],[Producto]],FIND(" · ",tblMovimientos[[#This Row],[Producto]]&amp;" · ")-1)))</f>
        <v/>
      </c>
      <c r="H1572" s="40" t="str">
        <f>IF(tblMovimientos[[#This Row],[SKU]]="","",IFERROR(INDEX(tblProductos[Unidad],MATCH(tblMovimientos[[#This Row],[SKU]],tblProductos[SKU],0)),"?"))</f>
        <v/>
      </c>
      <c r="I1572" s="39"/>
      <c r="J1572" s="47" t="str">
        <f>IF(tblMovimientos[[#This Row],[Tipo]]="","",IFERROR(INDEX(tblTiposMov[FactorStock],MATCH(tblMovimientos[[#This Row],[Tipo]],tblTiposMov[Tipo],0)),0))</f>
        <v/>
      </c>
      <c r="K15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2" s="37"/>
      <c r="O1572" s="37"/>
      <c r="P1572" s="37"/>
    </row>
    <row r="1573" spans="2:16" x14ac:dyDescent="0.25">
      <c r="B15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3" s="46"/>
      <c r="D1573" s="37"/>
      <c r="E1573" s="37"/>
      <c r="F1573" s="37"/>
      <c r="G1573" s="40" t="str">
        <f>IF(tblMovimientos[[#This Row],[Producto]]="","",TRIM(LEFT(tblMovimientos[[#This Row],[Producto]],FIND(" · ",tblMovimientos[[#This Row],[Producto]]&amp;" · ")-1)))</f>
        <v/>
      </c>
      <c r="H1573" s="40" t="str">
        <f>IF(tblMovimientos[[#This Row],[SKU]]="","",IFERROR(INDEX(tblProductos[Unidad],MATCH(tblMovimientos[[#This Row],[SKU]],tblProductos[SKU],0)),"?"))</f>
        <v/>
      </c>
      <c r="I1573" s="39"/>
      <c r="J1573" s="47" t="str">
        <f>IF(tblMovimientos[[#This Row],[Tipo]]="","",IFERROR(INDEX(tblTiposMov[FactorStock],MATCH(tblMovimientos[[#This Row],[Tipo]],tblTiposMov[Tipo],0)),0))</f>
        <v/>
      </c>
      <c r="K15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3" s="37"/>
      <c r="O1573" s="37"/>
      <c r="P1573" s="37"/>
    </row>
    <row r="1574" spans="2:16" x14ac:dyDescent="0.25">
      <c r="B15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4" s="46"/>
      <c r="D1574" s="37"/>
      <c r="E1574" s="37"/>
      <c r="F1574" s="37"/>
      <c r="G1574" s="40" t="str">
        <f>IF(tblMovimientos[[#This Row],[Producto]]="","",TRIM(LEFT(tblMovimientos[[#This Row],[Producto]],FIND(" · ",tblMovimientos[[#This Row],[Producto]]&amp;" · ")-1)))</f>
        <v/>
      </c>
      <c r="H1574" s="40" t="str">
        <f>IF(tblMovimientos[[#This Row],[SKU]]="","",IFERROR(INDEX(tblProductos[Unidad],MATCH(tblMovimientos[[#This Row],[SKU]],tblProductos[SKU],0)),"?"))</f>
        <v/>
      </c>
      <c r="I1574" s="39"/>
      <c r="J1574" s="47" t="str">
        <f>IF(tblMovimientos[[#This Row],[Tipo]]="","",IFERROR(INDEX(tblTiposMov[FactorStock],MATCH(tblMovimientos[[#This Row],[Tipo]],tblTiposMov[Tipo],0)),0))</f>
        <v/>
      </c>
      <c r="K15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4" s="37"/>
      <c r="O1574" s="37"/>
      <c r="P1574" s="37"/>
    </row>
    <row r="1575" spans="2:16" x14ac:dyDescent="0.25">
      <c r="B15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5" s="46"/>
      <c r="D1575" s="37"/>
      <c r="E1575" s="37"/>
      <c r="F1575" s="37"/>
      <c r="G1575" s="40" t="str">
        <f>IF(tblMovimientos[[#This Row],[Producto]]="","",TRIM(LEFT(tblMovimientos[[#This Row],[Producto]],FIND(" · ",tblMovimientos[[#This Row],[Producto]]&amp;" · ")-1)))</f>
        <v/>
      </c>
      <c r="H1575" s="40" t="str">
        <f>IF(tblMovimientos[[#This Row],[SKU]]="","",IFERROR(INDEX(tblProductos[Unidad],MATCH(tblMovimientos[[#This Row],[SKU]],tblProductos[SKU],0)),"?"))</f>
        <v/>
      </c>
      <c r="I1575" s="39"/>
      <c r="J1575" s="47" t="str">
        <f>IF(tblMovimientos[[#This Row],[Tipo]]="","",IFERROR(INDEX(tblTiposMov[FactorStock],MATCH(tblMovimientos[[#This Row],[Tipo]],tblTiposMov[Tipo],0)),0))</f>
        <v/>
      </c>
      <c r="K15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5" s="37"/>
      <c r="O1575" s="37"/>
      <c r="P1575" s="37"/>
    </row>
    <row r="1576" spans="2:16" x14ac:dyDescent="0.25">
      <c r="B15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6" s="46"/>
      <c r="D1576" s="37"/>
      <c r="E1576" s="37"/>
      <c r="F1576" s="37"/>
      <c r="G1576" s="40" t="str">
        <f>IF(tblMovimientos[[#This Row],[Producto]]="","",TRIM(LEFT(tblMovimientos[[#This Row],[Producto]],FIND(" · ",tblMovimientos[[#This Row],[Producto]]&amp;" · ")-1)))</f>
        <v/>
      </c>
      <c r="H1576" s="40" t="str">
        <f>IF(tblMovimientos[[#This Row],[SKU]]="","",IFERROR(INDEX(tblProductos[Unidad],MATCH(tblMovimientos[[#This Row],[SKU]],tblProductos[SKU],0)),"?"))</f>
        <v/>
      </c>
      <c r="I1576" s="39"/>
      <c r="J1576" s="47" t="str">
        <f>IF(tblMovimientos[[#This Row],[Tipo]]="","",IFERROR(INDEX(tblTiposMov[FactorStock],MATCH(tblMovimientos[[#This Row],[Tipo]],tblTiposMov[Tipo],0)),0))</f>
        <v/>
      </c>
      <c r="K15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6" s="37"/>
      <c r="O1576" s="37"/>
      <c r="P1576" s="37"/>
    </row>
    <row r="1577" spans="2:16" x14ac:dyDescent="0.25">
      <c r="B15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7" s="46"/>
      <c r="D1577" s="37"/>
      <c r="E1577" s="37"/>
      <c r="F1577" s="37"/>
      <c r="G1577" s="40" t="str">
        <f>IF(tblMovimientos[[#This Row],[Producto]]="","",TRIM(LEFT(tblMovimientos[[#This Row],[Producto]],FIND(" · ",tblMovimientos[[#This Row],[Producto]]&amp;" · ")-1)))</f>
        <v/>
      </c>
      <c r="H1577" s="40" t="str">
        <f>IF(tblMovimientos[[#This Row],[SKU]]="","",IFERROR(INDEX(tblProductos[Unidad],MATCH(tblMovimientos[[#This Row],[SKU]],tblProductos[SKU],0)),"?"))</f>
        <v/>
      </c>
      <c r="I1577" s="39"/>
      <c r="J1577" s="47" t="str">
        <f>IF(tblMovimientos[[#This Row],[Tipo]]="","",IFERROR(INDEX(tblTiposMov[FactorStock],MATCH(tblMovimientos[[#This Row],[Tipo]],tblTiposMov[Tipo],0)),0))</f>
        <v/>
      </c>
      <c r="K15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7" s="37"/>
      <c r="O1577" s="37"/>
      <c r="P1577" s="37"/>
    </row>
    <row r="1578" spans="2:16" x14ac:dyDescent="0.25">
      <c r="B15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8" s="46"/>
      <c r="D1578" s="37"/>
      <c r="E1578" s="37"/>
      <c r="F1578" s="37"/>
      <c r="G1578" s="40" t="str">
        <f>IF(tblMovimientos[[#This Row],[Producto]]="","",TRIM(LEFT(tblMovimientos[[#This Row],[Producto]],FIND(" · ",tblMovimientos[[#This Row],[Producto]]&amp;" · ")-1)))</f>
        <v/>
      </c>
      <c r="H1578" s="40" t="str">
        <f>IF(tblMovimientos[[#This Row],[SKU]]="","",IFERROR(INDEX(tblProductos[Unidad],MATCH(tblMovimientos[[#This Row],[SKU]],tblProductos[SKU],0)),"?"))</f>
        <v/>
      </c>
      <c r="I1578" s="39"/>
      <c r="J1578" s="47" t="str">
        <f>IF(tblMovimientos[[#This Row],[Tipo]]="","",IFERROR(INDEX(tblTiposMov[FactorStock],MATCH(tblMovimientos[[#This Row],[Tipo]],tblTiposMov[Tipo],0)),0))</f>
        <v/>
      </c>
      <c r="K15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8" s="37"/>
      <c r="O1578" s="37"/>
      <c r="P1578" s="37"/>
    </row>
    <row r="1579" spans="2:16" x14ac:dyDescent="0.25">
      <c r="B15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79" s="46"/>
      <c r="D1579" s="37"/>
      <c r="E1579" s="37"/>
      <c r="F1579" s="37"/>
      <c r="G1579" s="40" t="str">
        <f>IF(tblMovimientos[[#This Row],[Producto]]="","",TRIM(LEFT(tblMovimientos[[#This Row],[Producto]],FIND(" · ",tblMovimientos[[#This Row],[Producto]]&amp;" · ")-1)))</f>
        <v/>
      </c>
      <c r="H1579" s="40" t="str">
        <f>IF(tblMovimientos[[#This Row],[SKU]]="","",IFERROR(INDEX(tblProductos[Unidad],MATCH(tblMovimientos[[#This Row],[SKU]],tblProductos[SKU],0)),"?"))</f>
        <v/>
      </c>
      <c r="I1579" s="39"/>
      <c r="J1579" s="47" t="str">
        <f>IF(tblMovimientos[[#This Row],[Tipo]]="","",IFERROR(INDEX(tblTiposMov[FactorStock],MATCH(tblMovimientos[[#This Row],[Tipo]],tblTiposMov[Tipo],0)),0))</f>
        <v/>
      </c>
      <c r="K15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79" s="37"/>
      <c r="O1579" s="37"/>
      <c r="P1579" s="37"/>
    </row>
    <row r="1580" spans="2:16" x14ac:dyDescent="0.25">
      <c r="B15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0" s="46"/>
      <c r="D1580" s="37"/>
      <c r="E1580" s="37"/>
      <c r="F1580" s="37"/>
      <c r="G1580" s="40" t="str">
        <f>IF(tblMovimientos[[#This Row],[Producto]]="","",TRIM(LEFT(tblMovimientos[[#This Row],[Producto]],FIND(" · ",tblMovimientos[[#This Row],[Producto]]&amp;" · ")-1)))</f>
        <v/>
      </c>
      <c r="H1580" s="40" t="str">
        <f>IF(tblMovimientos[[#This Row],[SKU]]="","",IFERROR(INDEX(tblProductos[Unidad],MATCH(tblMovimientos[[#This Row],[SKU]],tblProductos[SKU],0)),"?"))</f>
        <v/>
      </c>
      <c r="I1580" s="39"/>
      <c r="J1580" s="47" t="str">
        <f>IF(tblMovimientos[[#This Row],[Tipo]]="","",IFERROR(INDEX(tblTiposMov[FactorStock],MATCH(tblMovimientos[[#This Row],[Tipo]],tblTiposMov[Tipo],0)),0))</f>
        <v/>
      </c>
      <c r="K15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0" s="37"/>
      <c r="O1580" s="37"/>
      <c r="P1580" s="37"/>
    </row>
    <row r="1581" spans="2:16" x14ac:dyDescent="0.25">
      <c r="B15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1" s="46"/>
      <c r="D1581" s="37"/>
      <c r="E1581" s="37"/>
      <c r="F1581" s="37"/>
      <c r="G1581" s="40" t="str">
        <f>IF(tblMovimientos[[#This Row],[Producto]]="","",TRIM(LEFT(tblMovimientos[[#This Row],[Producto]],FIND(" · ",tblMovimientos[[#This Row],[Producto]]&amp;" · ")-1)))</f>
        <v/>
      </c>
      <c r="H1581" s="40" t="str">
        <f>IF(tblMovimientos[[#This Row],[SKU]]="","",IFERROR(INDEX(tblProductos[Unidad],MATCH(tblMovimientos[[#This Row],[SKU]],tblProductos[SKU],0)),"?"))</f>
        <v/>
      </c>
      <c r="I1581" s="39"/>
      <c r="J1581" s="47" t="str">
        <f>IF(tblMovimientos[[#This Row],[Tipo]]="","",IFERROR(INDEX(tblTiposMov[FactorStock],MATCH(tblMovimientos[[#This Row],[Tipo]],tblTiposMov[Tipo],0)),0))</f>
        <v/>
      </c>
      <c r="K15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1" s="37"/>
      <c r="O1581" s="37"/>
      <c r="P1581" s="37"/>
    </row>
    <row r="1582" spans="2:16" x14ac:dyDescent="0.25">
      <c r="B15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2" s="46"/>
      <c r="D1582" s="37"/>
      <c r="E1582" s="37"/>
      <c r="F1582" s="37"/>
      <c r="G1582" s="40" t="str">
        <f>IF(tblMovimientos[[#This Row],[Producto]]="","",TRIM(LEFT(tblMovimientos[[#This Row],[Producto]],FIND(" · ",tblMovimientos[[#This Row],[Producto]]&amp;" · ")-1)))</f>
        <v/>
      </c>
      <c r="H1582" s="40" t="str">
        <f>IF(tblMovimientos[[#This Row],[SKU]]="","",IFERROR(INDEX(tblProductos[Unidad],MATCH(tblMovimientos[[#This Row],[SKU]],tblProductos[SKU],0)),"?"))</f>
        <v/>
      </c>
      <c r="I1582" s="39"/>
      <c r="J1582" s="47" t="str">
        <f>IF(tblMovimientos[[#This Row],[Tipo]]="","",IFERROR(INDEX(tblTiposMov[FactorStock],MATCH(tblMovimientos[[#This Row],[Tipo]],tblTiposMov[Tipo],0)),0))</f>
        <v/>
      </c>
      <c r="K15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2" s="37"/>
      <c r="O1582" s="37"/>
      <c r="P1582" s="37"/>
    </row>
    <row r="1583" spans="2:16" x14ac:dyDescent="0.25">
      <c r="B15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3" s="46"/>
      <c r="D1583" s="37"/>
      <c r="E1583" s="37"/>
      <c r="F1583" s="37"/>
      <c r="G1583" s="40" t="str">
        <f>IF(tblMovimientos[[#This Row],[Producto]]="","",TRIM(LEFT(tblMovimientos[[#This Row],[Producto]],FIND(" · ",tblMovimientos[[#This Row],[Producto]]&amp;" · ")-1)))</f>
        <v/>
      </c>
      <c r="H1583" s="40" t="str">
        <f>IF(tblMovimientos[[#This Row],[SKU]]="","",IFERROR(INDEX(tblProductos[Unidad],MATCH(tblMovimientos[[#This Row],[SKU]],tblProductos[SKU],0)),"?"))</f>
        <v/>
      </c>
      <c r="I1583" s="39"/>
      <c r="J1583" s="47" t="str">
        <f>IF(tblMovimientos[[#This Row],[Tipo]]="","",IFERROR(INDEX(tblTiposMov[FactorStock],MATCH(tblMovimientos[[#This Row],[Tipo]],tblTiposMov[Tipo],0)),0))</f>
        <v/>
      </c>
      <c r="K15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3" s="37"/>
      <c r="O1583" s="37"/>
      <c r="P1583" s="37"/>
    </row>
    <row r="1584" spans="2:16" x14ac:dyDescent="0.25">
      <c r="B15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4" s="46"/>
      <c r="D1584" s="37"/>
      <c r="E1584" s="37"/>
      <c r="F1584" s="37"/>
      <c r="G1584" s="40" t="str">
        <f>IF(tblMovimientos[[#This Row],[Producto]]="","",TRIM(LEFT(tblMovimientos[[#This Row],[Producto]],FIND(" · ",tblMovimientos[[#This Row],[Producto]]&amp;" · ")-1)))</f>
        <v/>
      </c>
      <c r="H1584" s="40" t="str">
        <f>IF(tblMovimientos[[#This Row],[SKU]]="","",IFERROR(INDEX(tblProductos[Unidad],MATCH(tblMovimientos[[#This Row],[SKU]],tblProductos[SKU],0)),"?"))</f>
        <v/>
      </c>
      <c r="I1584" s="39"/>
      <c r="J1584" s="47" t="str">
        <f>IF(tblMovimientos[[#This Row],[Tipo]]="","",IFERROR(INDEX(tblTiposMov[FactorStock],MATCH(tblMovimientos[[#This Row],[Tipo]],tblTiposMov[Tipo],0)),0))</f>
        <v/>
      </c>
      <c r="K15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4" s="37"/>
      <c r="O1584" s="37"/>
      <c r="P1584" s="37"/>
    </row>
    <row r="1585" spans="2:16" x14ac:dyDescent="0.25">
      <c r="B15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5" s="46"/>
      <c r="D1585" s="37"/>
      <c r="E1585" s="37"/>
      <c r="F1585" s="37"/>
      <c r="G1585" s="40" t="str">
        <f>IF(tblMovimientos[[#This Row],[Producto]]="","",TRIM(LEFT(tblMovimientos[[#This Row],[Producto]],FIND(" · ",tblMovimientos[[#This Row],[Producto]]&amp;" · ")-1)))</f>
        <v/>
      </c>
      <c r="H1585" s="40" t="str">
        <f>IF(tblMovimientos[[#This Row],[SKU]]="","",IFERROR(INDEX(tblProductos[Unidad],MATCH(tblMovimientos[[#This Row],[SKU]],tblProductos[SKU],0)),"?"))</f>
        <v/>
      </c>
      <c r="I1585" s="39"/>
      <c r="J1585" s="47" t="str">
        <f>IF(tblMovimientos[[#This Row],[Tipo]]="","",IFERROR(INDEX(tblTiposMov[FactorStock],MATCH(tblMovimientos[[#This Row],[Tipo]],tblTiposMov[Tipo],0)),0))</f>
        <v/>
      </c>
      <c r="K15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5" s="37"/>
      <c r="O1585" s="37"/>
      <c r="P1585" s="37"/>
    </row>
    <row r="1586" spans="2:16" x14ac:dyDescent="0.25">
      <c r="B15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6" s="46"/>
      <c r="D1586" s="37"/>
      <c r="E1586" s="37"/>
      <c r="F1586" s="37"/>
      <c r="G1586" s="40" t="str">
        <f>IF(tblMovimientos[[#This Row],[Producto]]="","",TRIM(LEFT(tblMovimientos[[#This Row],[Producto]],FIND(" · ",tblMovimientos[[#This Row],[Producto]]&amp;" · ")-1)))</f>
        <v/>
      </c>
      <c r="H1586" s="40" t="str">
        <f>IF(tblMovimientos[[#This Row],[SKU]]="","",IFERROR(INDEX(tblProductos[Unidad],MATCH(tblMovimientos[[#This Row],[SKU]],tblProductos[SKU],0)),"?"))</f>
        <v/>
      </c>
      <c r="I1586" s="39"/>
      <c r="J1586" s="47" t="str">
        <f>IF(tblMovimientos[[#This Row],[Tipo]]="","",IFERROR(INDEX(tblTiposMov[FactorStock],MATCH(tblMovimientos[[#This Row],[Tipo]],tblTiposMov[Tipo],0)),0))</f>
        <v/>
      </c>
      <c r="K15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6" s="37"/>
      <c r="O1586" s="37"/>
      <c r="P1586" s="37"/>
    </row>
    <row r="1587" spans="2:16" x14ac:dyDescent="0.25">
      <c r="B15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7" s="46"/>
      <c r="D1587" s="37"/>
      <c r="E1587" s="37"/>
      <c r="F1587" s="37"/>
      <c r="G1587" s="40" t="str">
        <f>IF(tblMovimientos[[#This Row],[Producto]]="","",TRIM(LEFT(tblMovimientos[[#This Row],[Producto]],FIND(" · ",tblMovimientos[[#This Row],[Producto]]&amp;" · ")-1)))</f>
        <v/>
      </c>
      <c r="H1587" s="40" t="str">
        <f>IF(tblMovimientos[[#This Row],[SKU]]="","",IFERROR(INDEX(tblProductos[Unidad],MATCH(tblMovimientos[[#This Row],[SKU]],tblProductos[SKU],0)),"?"))</f>
        <v/>
      </c>
      <c r="I1587" s="39"/>
      <c r="J1587" s="47" t="str">
        <f>IF(tblMovimientos[[#This Row],[Tipo]]="","",IFERROR(INDEX(tblTiposMov[FactorStock],MATCH(tblMovimientos[[#This Row],[Tipo]],tblTiposMov[Tipo],0)),0))</f>
        <v/>
      </c>
      <c r="K15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7" s="37"/>
      <c r="O1587" s="37"/>
      <c r="P1587" s="37"/>
    </row>
    <row r="1588" spans="2:16" x14ac:dyDescent="0.25">
      <c r="B15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8" s="46"/>
      <c r="D1588" s="37"/>
      <c r="E1588" s="37"/>
      <c r="F1588" s="37"/>
      <c r="G1588" s="40" t="str">
        <f>IF(tblMovimientos[[#This Row],[Producto]]="","",TRIM(LEFT(tblMovimientos[[#This Row],[Producto]],FIND(" · ",tblMovimientos[[#This Row],[Producto]]&amp;" · ")-1)))</f>
        <v/>
      </c>
      <c r="H1588" s="40" t="str">
        <f>IF(tblMovimientos[[#This Row],[SKU]]="","",IFERROR(INDEX(tblProductos[Unidad],MATCH(tblMovimientos[[#This Row],[SKU]],tblProductos[SKU],0)),"?"))</f>
        <v/>
      </c>
      <c r="I1588" s="39"/>
      <c r="J1588" s="47" t="str">
        <f>IF(tblMovimientos[[#This Row],[Tipo]]="","",IFERROR(INDEX(tblTiposMov[FactorStock],MATCH(tblMovimientos[[#This Row],[Tipo]],tblTiposMov[Tipo],0)),0))</f>
        <v/>
      </c>
      <c r="K15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8" s="37"/>
      <c r="O1588" s="37"/>
      <c r="P1588" s="37"/>
    </row>
    <row r="1589" spans="2:16" x14ac:dyDescent="0.25">
      <c r="B15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89" s="46"/>
      <c r="D1589" s="37"/>
      <c r="E1589" s="37"/>
      <c r="F1589" s="37"/>
      <c r="G1589" s="40" t="str">
        <f>IF(tblMovimientos[[#This Row],[Producto]]="","",TRIM(LEFT(tblMovimientos[[#This Row],[Producto]],FIND(" · ",tblMovimientos[[#This Row],[Producto]]&amp;" · ")-1)))</f>
        <v/>
      </c>
      <c r="H1589" s="40" t="str">
        <f>IF(tblMovimientos[[#This Row],[SKU]]="","",IFERROR(INDEX(tblProductos[Unidad],MATCH(tblMovimientos[[#This Row],[SKU]],tblProductos[SKU],0)),"?"))</f>
        <v/>
      </c>
      <c r="I1589" s="39"/>
      <c r="J1589" s="47" t="str">
        <f>IF(tblMovimientos[[#This Row],[Tipo]]="","",IFERROR(INDEX(tblTiposMov[FactorStock],MATCH(tblMovimientos[[#This Row],[Tipo]],tblTiposMov[Tipo],0)),0))</f>
        <v/>
      </c>
      <c r="K15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89" s="37"/>
      <c r="O1589" s="37"/>
      <c r="P1589" s="37"/>
    </row>
    <row r="1590" spans="2:16" x14ac:dyDescent="0.25">
      <c r="B15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0" s="46"/>
      <c r="D1590" s="37"/>
      <c r="E1590" s="37"/>
      <c r="F1590" s="37"/>
      <c r="G1590" s="40" t="str">
        <f>IF(tblMovimientos[[#This Row],[Producto]]="","",TRIM(LEFT(tblMovimientos[[#This Row],[Producto]],FIND(" · ",tblMovimientos[[#This Row],[Producto]]&amp;" · ")-1)))</f>
        <v/>
      </c>
      <c r="H1590" s="40" t="str">
        <f>IF(tblMovimientos[[#This Row],[SKU]]="","",IFERROR(INDEX(tblProductos[Unidad],MATCH(tblMovimientos[[#This Row],[SKU]],tblProductos[SKU],0)),"?"))</f>
        <v/>
      </c>
      <c r="I1590" s="39"/>
      <c r="J1590" s="47" t="str">
        <f>IF(tblMovimientos[[#This Row],[Tipo]]="","",IFERROR(INDEX(tblTiposMov[FactorStock],MATCH(tblMovimientos[[#This Row],[Tipo]],tblTiposMov[Tipo],0)),0))</f>
        <v/>
      </c>
      <c r="K15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0" s="37"/>
      <c r="O1590" s="37"/>
      <c r="P1590" s="37"/>
    </row>
    <row r="1591" spans="2:16" x14ac:dyDescent="0.25">
      <c r="B15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1" s="46"/>
      <c r="D1591" s="37"/>
      <c r="E1591" s="37"/>
      <c r="F1591" s="37"/>
      <c r="G1591" s="40" t="str">
        <f>IF(tblMovimientos[[#This Row],[Producto]]="","",TRIM(LEFT(tblMovimientos[[#This Row],[Producto]],FIND(" · ",tblMovimientos[[#This Row],[Producto]]&amp;" · ")-1)))</f>
        <v/>
      </c>
      <c r="H1591" s="40" t="str">
        <f>IF(tblMovimientos[[#This Row],[SKU]]="","",IFERROR(INDEX(tblProductos[Unidad],MATCH(tblMovimientos[[#This Row],[SKU]],tblProductos[SKU],0)),"?"))</f>
        <v/>
      </c>
      <c r="I1591" s="39"/>
      <c r="J1591" s="47" t="str">
        <f>IF(tblMovimientos[[#This Row],[Tipo]]="","",IFERROR(INDEX(tblTiposMov[FactorStock],MATCH(tblMovimientos[[#This Row],[Tipo]],tblTiposMov[Tipo],0)),0))</f>
        <v/>
      </c>
      <c r="K15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1" s="37"/>
      <c r="O1591" s="37"/>
      <c r="P1591" s="37"/>
    </row>
    <row r="1592" spans="2:16" x14ac:dyDescent="0.25">
      <c r="B15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2" s="46"/>
      <c r="D1592" s="37"/>
      <c r="E1592" s="37"/>
      <c r="F1592" s="37"/>
      <c r="G1592" s="40" t="str">
        <f>IF(tblMovimientos[[#This Row],[Producto]]="","",TRIM(LEFT(tblMovimientos[[#This Row],[Producto]],FIND(" · ",tblMovimientos[[#This Row],[Producto]]&amp;" · ")-1)))</f>
        <v/>
      </c>
      <c r="H1592" s="40" t="str">
        <f>IF(tblMovimientos[[#This Row],[SKU]]="","",IFERROR(INDEX(tblProductos[Unidad],MATCH(tblMovimientos[[#This Row],[SKU]],tblProductos[SKU],0)),"?"))</f>
        <v/>
      </c>
      <c r="I1592" s="39"/>
      <c r="J1592" s="47" t="str">
        <f>IF(tblMovimientos[[#This Row],[Tipo]]="","",IFERROR(INDEX(tblTiposMov[FactorStock],MATCH(tblMovimientos[[#This Row],[Tipo]],tblTiposMov[Tipo],0)),0))</f>
        <v/>
      </c>
      <c r="K15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2" s="37"/>
      <c r="O1592" s="37"/>
      <c r="P1592" s="37"/>
    </row>
    <row r="1593" spans="2:16" x14ac:dyDescent="0.25">
      <c r="B15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3" s="46"/>
      <c r="D1593" s="37"/>
      <c r="E1593" s="37"/>
      <c r="F1593" s="37"/>
      <c r="G1593" s="40" t="str">
        <f>IF(tblMovimientos[[#This Row],[Producto]]="","",TRIM(LEFT(tblMovimientos[[#This Row],[Producto]],FIND(" · ",tblMovimientos[[#This Row],[Producto]]&amp;" · ")-1)))</f>
        <v/>
      </c>
      <c r="H1593" s="40" t="str">
        <f>IF(tblMovimientos[[#This Row],[SKU]]="","",IFERROR(INDEX(tblProductos[Unidad],MATCH(tblMovimientos[[#This Row],[SKU]],tblProductos[SKU],0)),"?"))</f>
        <v/>
      </c>
      <c r="I1593" s="39"/>
      <c r="J1593" s="47" t="str">
        <f>IF(tblMovimientos[[#This Row],[Tipo]]="","",IFERROR(INDEX(tblTiposMov[FactorStock],MATCH(tblMovimientos[[#This Row],[Tipo]],tblTiposMov[Tipo],0)),0))</f>
        <v/>
      </c>
      <c r="K15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3" s="37"/>
      <c r="O1593" s="37"/>
      <c r="P1593" s="37"/>
    </row>
    <row r="1594" spans="2:16" x14ac:dyDescent="0.25">
      <c r="B15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4" s="46"/>
      <c r="D1594" s="37"/>
      <c r="E1594" s="37"/>
      <c r="F1594" s="37"/>
      <c r="G1594" s="40" t="str">
        <f>IF(tblMovimientos[[#This Row],[Producto]]="","",TRIM(LEFT(tblMovimientos[[#This Row],[Producto]],FIND(" · ",tblMovimientos[[#This Row],[Producto]]&amp;" · ")-1)))</f>
        <v/>
      </c>
      <c r="H1594" s="40" t="str">
        <f>IF(tblMovimientos[[#This Row],[SKU]]="","",IFERROR(INDEX(tblProductos[Unidad],MATCH(tblMovimientos[[#This Row],[SKU]],tblProductos[SKU],0)),"?"))</f>
        <v/>
      </c>
      <c r="I1594" s="39"/>
      <c r="J1594" s="47" t="str">
        <f>IF(tblMovimientos[[#This Row],[Tipo]]="","",IFERROR(INDEX(tblTiposMov[FactorStock],MATCH(tblMovimientos[[#This Row],[Tipo]],tblTiposMov[Tipo],0)),0))</f>
        <v/>
      </c>
      <c r="K15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4" s="37"/>
      <c r="O1594" s="37"/>
      <c r="P1594" s="37"/>
    </row>
    <row r="1595" spans="2:16" x14ac:dyDescent="0.25">
      <c r="B15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5" s="46"/>
      <c r="D1595" s="37"/>
      <c r="E1595" s="37"/>
      <c r="F1595" s="37"/>
      <c r="G1595" s="40" t="str">
        <f>IF(tblMovimientos[[#This Row],[Producto]]="","",TRIM(LEFT(tblMovimientos[[#This Row],[Producto]],FIND(" · ",tblMovimientos[[#This Row],[Producto]]&amp;" · ")-1)))</f>
        <v/>
      </c>
      <c r="H1595" s="40" t="str">
        <f>IF(tblMovimientos[[#This Row],[SKU]]="","",IFERROR(INDEX(tblProductos[Unidad],MATCH(tblMovimientos[[#This Row],[SKU]],tblProductos[SKU],0)),"?"))</f>
        <v/>
      </c>
      <c r="I1595" s="39"/>
      <c r="J1595" s="47" t="str">
        <f>IF(tblMovimientos[[#This Row],[Tipo]]="","",IFERROR(INDEX(tblTiposMov[FactorStock],MATCH(tblMovimientos[[#This Row],[Tipo]],tblTiposMov[Tipo],0)),0))</f>
        <v/>
      </c>
      <c r="K15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5" s="37"/>
      <c r="O1595" s="37"/>
      <c r="P1595" s="37"/>
    </row>
    <row r="1596" spans="2:16" x14ac:dyDescent="0.25">
      <c r="B15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6" s="46"/>
      <c r="D1596" s="37"/>
      <c r="E1596" s="37"/>
      <c r="F1596" s="37"/>
      <c r="G1596" s="40" t="str">
        <f>IF(tblMovimientos[[#This Row],[Producto]]="","",TRIM(LEFT(tblMovimientos[[#This Row],[Producto]],FIND(" · ",tblMovimientos[[#This Row],[Producto]]&amp;" · ")-1)))</f>
        <v/>
      </c>
      <c r="H1596" s="40" t="str">
        <f>IF(tblMovimientos[[#This Row],[SKU]]="","",IFERROR(INDEX(tblProductos[Unidad],MATCH(tblMovimientos[[#This Row],[SKU]],tblProductos[SKU],0)),"?"))</f>
        <v/>
      </c>
      <c r="I1596" s="39"/>
      <c r="J1596" s="47" t="str">
        <f>IF(tblMovimientos[[#This Row],[Tipo]]="","",IFERROR(INDEX(tblTiposMov[FactorStock],MATCH(tblMovimientos[[#This Row],[Tipo]],tblTiposMov[Tipo],0)),0))</f>
        <v/>
      </c>
      <c r="K15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6" s="37"/>
      <c r="O1596" s="37"/>
      <c r="P1596" s="37"/>
    </row>
    <row r="1597" spans="2:16" x14ac:dyDescent="0.25">
      <c r="B15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7" s="46"/>
      <c r="D1597" s="37"/>
      <c r="E1597" s="37"/>
      <c r="F1597" s="37"/>
      <c r="G1597" s="40" t="str">
        <f>IF(tblMovimientos[[#This Row],[Producto]]="","",TRIM(LEFT(tblMovimientos[[#This Row],[Producto]],FIND(" · ",tblMovimientos[[#This Row],[Producto]]&amp;" · ")-1)))</f>
        <v/>
      </c>
      <c r="H1597" s="40" t="str">
        <f>IF(tblMovimientos[[#This Row],[SKU]]="","",IFERROR(INDEX(tblProductos[Unidad],MATCH(tblMovimientos[[#This Row],[SKU]],tblProductos[SKU],0)),"?"))</f>
        <v/>
      </c>
      <c r="I1597" s="39"/>
      <c r="J1597" s="47" t="str">
        <f>IF(tblMovimientos[[#This Row],[Tipo]]="","",IFERROR(INDEX(tblTiposMov[FactorStock],MATCH(tblMovimientos[[#This Row],[Tipo]],tblTiposMov[Tipo],0)),0))</f>
        <v/>
      </c>
      <c r="K15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7" s="37"/>
      <c r="O1597" s="37"/>
      <c r="P1597" s="37"/>
    </row>
    <row r="1598" spans="2:16" x14ac:dyDescent="0.25">
      <c r="B15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8" s="46"/>
      <c r="D1598" s="37"/>
      <c r="E1598" s="37"/>
      <c r="F1598" s="37"/>
      <c r="G1598" s="40" t="str">
        <f>IF(tblMovimientos[[#This Row],[Producto]]="","",TRIM(LEFT(tblMovimientos[[#This Row],[Producto]],FIND(" · ",tblMovimientos[[#This Row],[Producto]]&amp;" · ")-1)))</f>
        <v/>
      </c>
      <c r="H1598" s="40" t="str">
        <f>IF(tblMovimientos[[#This Row],[SKU]]="","",IFERROR(INDEX(tblProductos[Unidad],MATCH(tblMovimientos[[#This Row],[SKU]],tblProductos[SKU],0)),"?"))</f>
        <v/>
      </c>
      <c r="I1598" s="39"/>
      <c r="J1598" s="47" t="str">
        <f>IF(tblMovimientos[[#This Row],[Tipo]]="","",IFERROR(INDEX(tblTiposMov[FactorStock],MATCH(tblMovimientos[[#This Row],[Tipo]],tblTiposMov[Tipo],0)),0))</f>
        <v/>
      </c>
      <c r="K15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8" s="37"/>
      <c r="O1598" s="37"/>
      <c r="P1598" s="37"/>
    </row>
    <row r="1599" spans="2:16" x14ac:dyDescent="0.25">
      <c r="B15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599" s="46"/>
      <c r="D1599" s="37"/>
      <c r="E1599" s="37"/>
      <c r="F1599" s="37"/>
      <c r="G1599" s="40" t="str">
        <f>IF(tblMovimientos[[#This Row],[Producto]]="","",TRIM(LEFT(tblMovimientos[[#This Row],[Producto]],FIND(" · ",tblMovimientos[[#This Row],[Producto]]&amp;" · ")-1)))</f>
        <v/>
      </c>
      <c r="H1599" s="40" t="str">
        <f>IF(tblMovimientos[[#This Row],[SKU]]="","",IFERROR(INDEX(tblProductos[Unidad],MATCH(tblMovimientos[[#This Row],[SKU]],tblProductos[SKU],0)),"?"))</f>
        <v/>
      </c>
      <c r="I1599" s="39"/>
      <c r="J1599" s="47" t="str">
        <f>IF(tblMovimientos[[#This Row],[Tipo]]="","",IFERROR(INDEX(tblTiposMov[FactorStock],MATCH(tblMovimientos[[#This Row],[Tipo]],tblTiposMov[Tipo],0)),0))</f>
        <v/>
      </c>
      <c r="K15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5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599" s="37"/>
      <c r="O1599" s="37"/>
      <c r="P1599" s="37"/>
    </row>
    <row r="1600" spans="2:16" x14ac:dyDescent="0.25">
      <c r="B16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0" s="46"/>
      <c r="D1600" s="37"/>
      <c r="E1600" s="37"/>
      <c r="F1600" s="37"/>
      <c r="G1600" s="40" t="str">
        <f>IF(tblMovimientos[[#This Row],[Producto]]="","",TRIM(LEFT(tblMovimientos[[#This Row],[Producto]],FIND(" · ",tblMovimientos[[#This Row],[Producto]]&amp;" · ")-1)))</f>
        <v/>
      </c>
      <c r="H1600" s="40" t="str">
        <f>IF(tblMovimientos[[#This Row],[SKU]]="","",IFERROR(INDEX(tblProductos[Unidad],MATCH(tblMovimientos[[#This Row],[SKU]],tblProductos[SKU],0)),"?"))</f>
        <v/>
      </c>
      <c r="I1600" s="39"/>
      <c r="J1600" s="47" t="str">
        <f>IF(tblMovimientos[[#This Row],[Tipo]]="","",IFERROR(INDEX(tblTiposMov[FactorStock],MATCH(tblMovimientos[[#This Row],[Tipo]],tblTiposMov[Tipo],0)),0))</f>
        <v/>
      </c>
      <c r="K16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0" s="37"/>
      <c r="O1600" s="37"/>
      <c r="P1600" s="37"/>
    </row>
    <row r="1601" spans="2:16" x14ac:dyDescent="0.25">
      <c r="B16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1" s="46"/>
      <c r="D1601" s="37"/>
      <c r="E1601" s="37"/>
      <c r="F1601" s="37"/>
      <c r="G1601" s="40" t="str">
        <f>IF(tblMovimientos[[#This Row],[Producto]]="","",TRIM(LEFT(tblMovimientos[[#This Row],[Producto]],FIND(" · ",tblMovimientos[[#This Row],[Producto]]&amp;" · ")-1)))</f>
        <v/>
      </c>
      <c r="H1601" s="40" t="str">
        <f>IF(tblMovimientos[[#This Row],[SKU]]="","",IFERROR(INDEX(tblProductos[Unidad],MATCH(tblMovimientos[[#This Row],[SKU]],tblProductos[SKU],0)),"?"))</f>
        <v/>
      </c>
      <c r="I1601" s="39"/>
      <c r="J1601" s="47" t="str">
        <f>IF(tblMovimientos[[#This Row],[Tipo]]="","",IFERROR(INDEX(tblTiposMov[FactorStock],MATCH(tblMovimientos[[#This Row],[Tipo]],tblTiposMov[Tipo],0)),0))</f>
        <v/>
      </c>
      <c r="K16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1" s="37"/>
      <c r="O1601" s="37"/>
      <c r="P1601" s="37"/>
    </row>
    <row r="1602" spans="2:16" x14ac:dyDescent="0.25">
      <c r="B16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2" s="46"/>
      <c r="D1602" s="37"/>
      <c r="E1602" s="37"/>
      <c r="F1602" s="37"/>
      <c r="G1602" s="40" t="str">
        <f>IF(tblMovimientos[[#This Row],[Producto]]="","",TRIM(LEFT(tblMovimientos[[#This Row],[Producto]],FIND(" · ",tblMovimientos[[#This Row],[Producto]]&amp;" · ")-1)))</f>
        <v/>
      </c>
      <c r="H1602" s="40" t="str">
        <f>IF(tblMovimientos[[#This Row],[SKU]]="","",IFERROR(INDEX(tblProductos[Unidad],MATCH(tblMovimientos[[#This Row],[SKU]],tblProductos[SKU],0)),"?"))</f>
        <v/>
      </c>
      <c r="I1602" s="39"/>
      <c r="J1602" s="47" t="str">
        <f>IF(tblMovimientos[[#This Row],[Tipo]]="","",IFERROR(INDEX(tblTiposMov[FactorStock],MATCH(tblMovimientos[[#This Row],[Tipo]],tblTiposMov[Tipo],0)),0))</f>
        <v/>
      </c>
      <c r="K16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2" s="37"/>
      <c r="O1602" s="37"/>
      <c r="P1602" s="37"/>
    </row>
    <row r="1603" spans="2:16" x14ac:dyDescent="0.25">
      <c r="B16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3" s="46"/>
      <c r="D1603" s="37"/>
      <c r="E1603" s="37"/>
      <c r="F1603" s="37"/>
      <c r="G1603" s="40" t="str">
        <f>IF(tblMovimientos[[#This Row],[Producto]]="","",TRIM(LEFT(tblMovimientos[[#This Row],[Producto]],FIND(" · ",tblMovimientos[[#This Row],[Producto]]&amp;" · ")-1)))</f>
        <v/>
      </c>
      <c r="H1603" s="40" t="str">
        <f>IF(tblMovimientos[[#This Row],[SKU]]="","",IFERROR(INDEX(tblProductos[Unidad],MATCH(tblMovimientos[[#This Row],[SKU]],tblProductos[SKU],0)),"?"))</f>
        <v/>
      </c>
      <c r="I1603" s="39"/>
      <c r="J1603" s="47" t="str">
        <f>IF(tblMovimientos[[#This Row],[Tipo]]="","",IFERROR(INDEX(tblTiposMov[FactorStock],MATCH(tblMovimientos[[#This Row],[Tipo]],tblTiposMov[Tipo],0)),0))</f>
        <v/>
      </c>
      <c r="K16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3" s="37"/>
      <c r="O1603" s="37"/>
      <c r="P1603" s="37"/>
    </row>
    <row r="1604" spans="2:16" x14ac:dyDescent="0.25">
      <c r="B16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4" s="46"/>
      <c r="D1604" s="37"/>
      <c r="E1604" s="37"/>
      <c r="F1604" s="37"/>
      <c r="G1604" s="40" t="str">
        <f>IF(tblMovimientos[[#This Row],[Producto]]="","",TRIM(LEFT(tblMovimientos[[#This Row],[Producto]],FIND(" · ",tblMovimientos[[#This Row],[Producto]]&amp;" · ")-1)))</f>
        <v/>
      </c>
      <c r="H1604" s="40" t="str">
        <f>IF(tblMovimientos[[#This Row],[SKU]]="","",IFERROR(INDEX(tblProductos[Unidad],MATCH(tblMovimientos[[#This Row],[SKU]],tblProductos[SKU],0)),"?"))</f>
        <v/>
      </c>
      <c r="I1604" s="39"/>
      <c r="J1604" s="47" t="str">
        <f>IF(tblMovimientos[[#This Row],[Tipo]]="","",IFERROR(INDEX(tblTiposMov[FactorStock],MATCH(tblMovimientos[[#This Row],[Tipo]],tblTiposMov[Tipo],0)),0))</f>
        <v/>
      </c>
      <c r="K16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4" s="37"/>
      <c r="O1604" s="37"/>
      <c r="P1604" s="37"/>
    </row>
    <row r="1605" spans="2:16" x14ac:dyDescent="0.25">
      <c r="B16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5" s="46"/>
      <c r="D1605" s="37"/>
      <c r="E1605" s="37"/>
      <c r="F1605" s="37"/>
      <c r="G1605" s="40" t="str">
        <f>IF(tblMovimientos[[#This Row],[Producto]]="","",TRIM(LEFT(tblMovimientos[[#This Row],[Producto]],FIND(" · ",tblMovimientos[[#This Row],[Producto]]&amp;" · ")-1)))</f>
        <v/>
      </c>
      <c r="H1605" s="40" t="str">
        <f>IF(tblMovimientos[[#This Row],[SKU]]="","",IFERROR(INDEX(tblProductos[Unidad],MATCH(tblMovimientos[[#This Row],[SKU]],tblProductos[SKU],0)),"?"))</f>
        <v/>
      </c>
      <c r="I1605" s="39"/>
      <c r="J1605" s="47" t="str">
        <f>IF(tblMovimientos[[#This Row],[Tipo]]="","",IFERROR(INDEX(tblTiposMov[FactorStock],MATCH(tblMovimientos[[#This Row],[Tipo]],tblTiposMov[Tipo],0)),0))</f>
        <v/>
      </c>
      <c r="K16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5" s="37"/>
      <c r="O1605" s="37"/>
      <c r="P1605" s="37"/>
    </row>
    <row r="1606" spans="2:16" x14ac:dyDescent="0.25">
      <c r="B16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6" s="46"/>
      <c r="D1606" s="37"/>
      <c r="E1606" s="37"/>
      <c r="F1606" s="37"/>
      <c r="G1606" s="40" t="str">
        <f>IF(tblMovimientos[[#This Row],[Producto]]="","",TRIM(LEFT(tblMovimientos[[#This Row],[Producto]],FIND(" · ",tblMovimientos[[#This Row],[Producto]]&amp;" · ")-1)))</f>
        <v/>
      </c>
      <c r="H1606" s="40" t="str">
        <f>IF(tblMovimientos[[#This Row],[SKU]]="","",IFERROR(INDEX(tblProductos[Unidad],MATCH(tblMovimientos[[#This Row],[SKU]],tblProductos[SKU],0)),"?"))</f>
        <v/>
      </c>
      <c r="I1606" s="39"/>
      <c r="J1606" s="47" t="str">
        <f>IF(tblMovimientos[[#This Row],[Tipo]]="","",IFERROR(INDEX(tblTiposMov[FactorStock],MATCH(tblMovimientos[[#This Row],[Tipo]],tblTiposMov[Tipo],0)),0))</f>
        <v/>
      </c>
      <c r="K16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6" s="37"/>
      <c r="O1606" s="37"/>
      <c r="P1606" s="37"/>
    </row>
    <row r="1607" spans="2:16" x14ac:dyDescent="0.25">
      <c r="B16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7" s="46"/>
      <c r="D1607" s="37"/>
      <c r="E1607" s="37"/>
      <c r="F1607" s="37"/>
      <c r="G1607" s="40" t="str">
        <f>IF(tblMovimientos[[#This Row],[Producto]]="","",TRIM(LEFT(tblMovimientos[[#This Row],[Producto]],FIND(" · ",tblMovimientos[[#This Row],[Producto]]&amp;" · ")-1)))</f>
        <v/>
      </c>
      <c r="H1607" s="40" t="str">
        <f>IF(tblMovimientos[[#This Row],[SKU]]="","",IFERROR(INDEX(tblProductos[Unidad],MATCH(tblMovimientos[[#This Row],[SKU]],tblProductos[SKU],0)),"?"))</f>
        <v/>
      </c>
      <c r="I1607" s="39"/>
      <c r="J1607" s="47" t="str">
        <f>IF(tblMovimientos[[#This Row],[Tipo]]="","",IFERROR(INDEX(tblTiposMov[FactorStock],MATCH(tblMovimientos[[#This Row],[Tipo]],tblTiposMov[Tipo],0)),0))</f>
        <v/>
      </c>
      <c r="K16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7" s="37"/>
      <c r="O1607" s="37"/>
      <c r="P1607" s="37"/>
    </row>
    <row r="1608" spans="2:16" x14ac:dyDescent="0.25">
      <c r="B16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8" s="46"/>
      <c r="D1608" s="37"/>
      <c r="E1608" s="37"/>
      <c r="F1608" s="37"/>
      <c r="G1608" s="40" t="str">
        <f>IF(tblMovimientos[[#This Row],[Producto]]="","",TRIM(LEFT(tblMovimientos[[#This Row],[Producto]],FIND(" · ",tblMovimientos[[#This Row],[Producto]]&amp;" · ")-1)))</f>
        <v/>
      </c>
      <c r="H1608" s="40" t="str">
        <f>IF(tblMovimientos[[#This Row],[SKU]]="","",IFERROR(INDEX(tblProductos[Unidad],MATCH(tblMovimientos[[#This Row],[SKU]],tblProductos[SKU],0)),"?"))</f>
        <v/>
      </c>
      <c r="I1608" s="39"/>
      <c r="J1608" s="47" t="str">
        <f>IF(tblMovimientos[[#This Row],[Tipo]]="","",IFERROR(INDEX(tblTiposMov[FactorStock],MATCH(tblMovimientos[[#This Row],[Tipo]],tblTiposMov[Tipo],0)),0))</f>
        <v/>
      </c>
      <c r="K16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8" s="37"/>
      <c r="O1608" s="37"/>
      <c r="P1608" s="37"/>
    </row>
    <row r="1609" spans="2:16" x14ac:dyDescent="0.25">
      <c r="B16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09" s="46"/>
      <c r="D1609" s="37"/>
      <c r="E1609" s="37"/>
      <c r="F1609" s="37"/>
      <c r="G1609" s="40" t="str">
        <f>IF(tblMovimientos[[#This Row],[Producto]]="","",TRIM(LEFT(tblMovimientos[[#This Row],[Producto]],FIND(" · ",tblMovimientos[[#This Row],[Producto]]&amp;" · ")-1)))</f>
        <v/>
      </c>
      <c r="H1609" s="40" t="str">
        <f>IF(tblMovimientos[[#This Row],[SKU]]="","",IFERROR(INDEX(tblProductos[Unidad],MATCH(tblMovimientos[[#This Row],[SKU]],tblProductos[SKU],0)),"?"))</f>
        <v/>
      </c>
      <c r="I1609" s="39"/>
      <c r="J1609" s="47" t="str">
        <f>IF(tblMovimientos[[#This Row],[Tipo]]="","",IFERROR(INDEX(tblTiposMov[FactorStock],MATCH(tblMovimientos[[#This Row],[Tipo]],tblTiposMov[Tipo],0)),0))</f>
        <v/>
      </c>
      <c r="K16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09" s="37"/>
      <c r="O1609" s="37"/>
      <c r="P1609" s="37"/>
    </row>
    <row r="1610" spans="2:16" x14ac:dyDescent="0.25">
      <c r="B16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0" s="46"/>
      <c r="D1610" s="37"/>
      <c r="E1610" s="37"/>
      <c r="F1610" s="37"/>
      <c r="G1610" s="40" t="str">
        <f>IF(tblMovimientos[[#This Row],[Producto]]="","",TRIM(LEFT(tblMovimientos[[#This Row],[Producto]],FIND(" · ",tblMovimientos[[#This Row],[Producto]]&amp;" · ")-1)))</f>
        <v/>
      </c>
      <c r="H1610" s="40" t="str">
        <f>IF(tblMovimientos[[#This Row],[SKU]]="","",IFERROR(INDEX(tblProductos[Unidad],MATCH(tblMovimientos[[#This Row],[SKU]],tblProductos[SKU],0)),"?"))</f>
        <v/>
      </c>
      <c r="I1610" s="39"/>
      <c r="J1610" s="47" t="str">
        <f>IF(tblMovimientos[[#This Row],[Tipo]]="","",IFERROR(INDEX(tblTiposMov[FactorStock],MATCH(tblMovimientos[[#This Row],[Tipo]],tblTiposMov[Tipo],0)),0))</f>
        <v/>
      </c>
      <c r="K16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0" s="37"/>
      <c r="O1610" s="37"/>
      <c r="P1610" s="37"/>
    </row>
    <row r="1611" spans="2:16" x14ac:dyDescent="0.25">
      <c r="B16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1" s="46"/>
      <c r="D1611" s="37"/>
      <c r="E1611" s="37"/>
      <c r="F1611" s="37"/>
      <c r="G1611" s="40" t="str">
        <f>IF(tblMovimientos[[#This Row],[Producto]]="","",TRIM(LEFT(tblMovimientos[[#This Row],[Producto]],FIND(" · ",tblMovimientos[[#This Row],[Producto]]&amp;" · ")-1)))</f>
        <v/>
      </c>
      <c r="H1611" s="40" t="str">
        <f>IF(tblMovimientos[[#This Row],[SKU]]="","",IFERROR(INDEX(tblProductos[Unidad],MATCH(tblMovimientos[[#This Row],[SKU]],tblProductos[SKU],0)),"?"))</f>
        <v/>
      </c>
      <c r="I1611" s="39"/>
      <c r="J1611" s="47" t="str">
        <f>IF(tblMovimientos[[#This Row],[Tipo]]="","",IFERROR(INDEX(tblTiposMov[FactorStock],MATCH(tblMovimientos[[#This Row],[Tipo]],tblTiposMov[Tipo],0)),0))</f>
        <v/>
      </c>
      <c r="K16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1" s="37"/>
      <c r="O1611" s="37"/>
      <c r="P1611" s="37"/>
    </row>
    <row r="1612" spans="2:16" x14ac:dyDescent="0.25">
      <c r="B16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2" s="46"/>
      <c r="D1612" s="37"/>
      <c r="E1612" s="37"/>
      <c r="F1612" s="37"/>
      <c r="G1612" s="40" t="str">
        <f>IF(tblMovimientos[[#This Row],[Producto]]="","",TRIM(LEFT(tblMovimientos[[#This Row],[Producto]],FIND(" · ",tblMovimientos[[#This Row],[Producto]]&amp;" · ")-1)))</f>
        <v/>
      </c>
      <c r="H1612" s="40" t="str">
        <f>IF(tblMovimientos[[#This Row],[SKU]]="","",IFERROR(INDEX(tblProductos[Unidad],MATCH(tblMovimientos[[#This Row],[SKU]],tblProductos[SKU],0)),"?"))</f>
        <v/>
      </c>
      <c r="I1612" s="39"/>
      <c r="J1612" s="47" t="str">
        <f>IF(tblMovimientos[[#This Row],[Tipo]]="","",IFERROR(INDEX(tblTiposMov[FactorStock],MATCH(tblMovimientos[[#This Row],[Tipo]],tblTiposMov[Tipo],0)),0))</f>
        <v/>
      </c>
      <c r="K16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2" s="37"/>
      <c r="O1612" s="37"/>
      <c r="P1612" s="37"/>
    </row>
    <row r="1613" spans="2:16" x14ac:dyDescent="0.25">
      <c r="B16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3" s="46"/>
      <c r="D1613" s="37"/>
      <c r="E1613" s="37"/>
      <c r="F1613" s="37"/>
      <c r="G1613" s="40" t="str">
        <f>IF(tblMovimientos[[#This Row],[Producto]]="","",TRIM(LEFT(tblMovimientos[[#This Row],[Producto]],FIND(" · ",tblMovimientos[[#This Row],[Producto]]&amp;" · ")-1)))</f>
        <v/>
      </c>
      <c r="H1613" s="40" t="str">
        <f>IF(tblMovimientos[[#This Row],[SKU]]="","",IFERROR(INDEX(tblProductos[Unidad],MATCH(tblMovimientos[[#This Row],[SKU]],tblProductos[SKU],0)),"?"))</f>
        <v/>
      </c>
      <c r="I1613" s="39"/>
      <c r="J1613" s="47" t="str">
        <f>IF(tblMovimientos[[#This Row],[Tipo]]="","",IFERROR(INDEX(tblTiposMov[FactorStock],MATCH(tblMovimientos[[#This Row],[Tipo]],tblTiposMov[Tipo],0)),0))</f>
        <v/>
      </c>
      <c r="K16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3" s="37"/>
      <c r="O1613" s="37"/>
      <c r="P1613" s="37"/>
    </row>
    <row r="1614" spans="2:16" x14ac:dyDescent="0.25">
      <c r="B16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4" s="46"/>
      <c r="D1614" s="37"/>
      <c r="E1614" s="37"/>
      <c r="F1614" s="37"/>
      <c r="G1614" s="40" t="str">
        <f>IF(tblMovimientos[[#This Row],[Producto]]="","",TRIM(LEFT(tblMovimientos[[#This Row],[Producto]],FIND(" · ",tblMovimientos[[#This Row],[Producto]]&amp;" · ")-1)))</f>
        <v/>
      </c>
      <c r="H1614" s="40" t="str">
        <f>IF(tblMovimientos[[#This Row],[SKU]]="","",IFERROR(INDEX(tblProductos[Unidad],MATCH(tblMovimientos[[#This Row],[SKU]],tblProductos[SKU],0)),"?"))</f>
        <v/>
      </c>
      <c r="I1614" s="39"/>
      <c r="J1614" s="47" t="str">
        <f>IF(tblMovimientos[[#This Row],[Tipo]]="","",IFERROR(INDEX(tblTiposMov[FactorStock],MATCH(tblMovimientos[[#This Row],[Tipo]],tblTiposMov[Tipo],0)),0))</f>
        <v/>
      </c>
      <c r="K16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4" s="37"/>
      <c r="O1614" s="37"/>
      <c r="P1614" s="37"/>
    </row>
    <row r="1615" spans="2:16" x14ac:dyDescent="0.25">
      <c r="B16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5" s="46"/>
      <c r="D1615" s="37"/>
      <c r="E1615" s="37"/>
      <c r="F1615" s="37"/>
      <c r="G1615" s="40" t="str">
        <f>IF(tblMovimientos[[#This Row],[Producto]]="","",TRIM(LEFT(tblMovimientos[[#This Row],[Producto]],FIND(" · ",tblMovimientos[[#This Row],[Producto]]&amp;" · ")-1)))</f>
        <v/>
      </c>
      <c r="H1615" s="40" t="str">
        <f>IF(tblMovimientos[[#This Row],[SKU]]="","",IFERROR(INDEX(tblProductos[Unidad],MATCH(tblMovimientos[[#This Row],[SKU]],tblProductos[SKU],0)),"?"))</f>
        <v/>
      </c>
      <c r="I1615" s="39"/>
      <c r="J1615" s="47" t="str">
        <f>IF(tblMovimientos[[#This Row],[Tipo]]="","",IFERROR(INDEX(tblTiposMov[FactorStock],MATCH(tblMovimientos[[#This Row],[Tipo]],tblTiposMov[Tipo],0)),0))</f>
        <v/>
      </c>
      <c r="K16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5" s="37"/>
      <c r="O1615" s="37"/>
      <c r="P1615" s="37"/>
    </row>
    <row r="1616" spans="2:16" x14ac:dyDescent="0.25">
      <c r="B16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6" s="46"/>
      <c r="D1616" s="37"/>
      <c r="E1616" s="37"/>
      <c r="F1616" s="37"/>
      <c r="G1616" s="40" t="str">
        <f>IF(tblMovimientos[[#This Row],[Producto]]="","",TRIM(LEFT(tblMovimientos[[#This Row],[Producto]],FIND(" · ",tblMovimientos[[#This Row],[Producto]]&amp;" · ")-1)))</f>
        <v/>
      </c>
      <c r="H1616" s="40" t="str">
        <f>IF(tblMovimientos[[#This Row],[SKU]]="","",IFERROR(INDEX(tblProductos[Unidad],MATCH(tblMovimientos[[#This Row],[SKU]],tblProductos[SKU],0)),"?"))</f>
        <v/>
      </c>
      <c r="I1616" s="39"/>
      <c r="J1616" s="47" t="str">
        <f>IF(tblMovimientos[[#This Row],[Tipo]]="","",IFERROR(INDEX(tblTiposMov[FactorStock],MATCH(tblMovimientos[[#This Row],[Tipo]],tblTiposMov[Tipo],0)),0))</f>
        <v/>
      </c>
      <c r="K16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6" s="37"/>
      <c r="O1616" s="37"/>
      <c r="P1616" s="37"/>
    </row>
    <row r="1617" spans="2:16" x14ac:dyDescent="0.25">
      <c r="B16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7" s="46"/>
      <c r="D1617" s="37"/>
      <c r="E1617" s="37"/>
      <c r="F1617" s="37"/>
      <c r="G1617" s="40" t="str">
        <f>IF(tblMovimientos[[#This Row],[Producto]]="","",TRIM(LEFT(tblMovimientos[[#This Row],[Producto]],FIND(" · ",tblMovimientos[[#This Row],[Producto]]&amp;" · ")-1)))</f>
        <v/>
      </c>
      <c r="H1617" s="40" t="str">
        <f>IF(tblMovimientos[[#This Row],[SKU]]="","",IFERROR(INDEX(tblProductos[Unidad],MATCH(tblMovimientos[[#This Row],[SKU]],tblProductos[SKU],0)),"?"))</f>
        <v/>
      </c>
      <c r="I1617" s="39"/>
      <c r="J1617" s="47" t="str">
        <f>IF(tblMovimientos[[#This Row],[Tipo]]="","",IFERROR(INDEX(tblTiposMov[FactorStock],MATCH(tblMovimientos[[#This Row],[Tipo]],tblTiposMov[Tipo],0)),0))</f>
        <v/>
      </c>
      <c r="K16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7" s="37"/>
      <c r="O1617" s="37"/>
      <c r="P1617" s="37"/>
    </row>
    <row r="1618" spans="2:16" x14ac:dyDescent="0.25">
      <c r="B16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8" s="46"/>
      <c r="D1618" s="37"/>
      <c r="E1618" s="37"/>
      <c r="F1618" s="37"/>
      <c r="G1618" s="40" t="str">
        <f>IF(tblMovimientos[[#This Row],[Producto]]="","",TRIM(LEFT(tblMovimientos[[#This Row],[Producto]],FIND(" · ",tblMovimientos[[#This Row],[Producto]]&amp;" · ")-1)))</f>
        <v/>
      </c>
      <c r="H1618" s="40" t="str">
        <f>IF(tblMovimientos[[#This Row],[SKU]]="","",IFERROR(INDEX(tblProductos[Unidad],MATCH(tblMovimientos[[#This Row],[SKU]],tblProductos[SKU],0)),"?"))</f>
        <v/>
      </c>
      <c r="I1618" s="39"/>
      <c r="J1618" s="47" t="str">
        <f>IF(tblMovimientos[[#This Row],[Tipo]]="","",IFERROR(INDEX(tblTiposMov[FactorStock],MATCH(tblMovimientos[[#This Row],[Tipo]],tblTiposMov[Tipo],0)),0))</f>
        <v/>
      </c>
      <c r="K16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8" s="37"/>
      <c r="O1618" s="37"/>
      <c r="P1618" s="37"/>
    </row>
    <row r="1619" spans="2:16" x14ac:dyDescent="0.25">
      <c r="B16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19" s="46"/>
      <c r="D1619" s="37"/>
      <c r="E1619" s="37"/>
      <c r="F1619" s="37"/>
      <c r="G1619" s="40" t="str">
        <f>IF(tblMovimientos[[#This Row],[Producto]]="","",TRIM(LEFT(tblMovimientos[[#This Row],[Producto]],FIND(" · ",tblMovimientos[[#This Row],[Producto]]&amp;" · ")-1)))</f>
        <v/>
      </c>
      <c r="H1619" s="40" t="str">
        <f>IF(tblMovimientos[[#This Row],[SKU]]="","",IFERROR(INDEX(tblProductos[Unidad],MATCH(tblMovimientos[[#This Row],[SKU]],tblProductos[SKU],0)),"?"))</f>
        <v/>
      </c>
      <c r="I1619" s="39"/>
      <c r="J1619" s="47" t="str">
        <f>IF(tblMovimientos[[#This Row],[Tipo]]="","",IFERROR(INDEX(tblTiposMov[FactorStock],MATCH(tblMovimientos[[#This Row],[Tipo]],tblTiposMov[Tipo],0)),0))</f>
        <v/>
      </c>
      <c r="K16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19" s="37"/>
      <c r="O1619" s="37"/>
      <c r="P1619" s="37"/>
    </row>
    <row r="1620" spans="2:16" x14ac:dyDescent="0.25">
      <c r="B16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0" s="46"/>
      <c r="D1620" s="37"/>
      <c r="E1620" s="37"/>
      <c r="F1620" s="37"/>
      <c r="G1620" s="40" t="str">
        <f>IF(tblMovimientos[[#This Row],[Producto]]="","",TRIM(LEFT(tblMovimientos[[#This Row],[Producto]],FIND(" · ",tblMovimientos[[#This Row],[Producto]]&amp;" · ")-1)))</f>
        <v/>
      </c>
      <c r="H1620" s="40" t="str">
        <f>IF(tblMovimientos[[#This Row],[SKU]]="","",IFERROR(INDEX(tblProductos[Unidad],MATCH(tblMovimientos[[#This Row],[SKU]],tblProductos[SKU],0)),"?"))</f>
        <v/>
      </c>
      <c r="I1620" s="39"/>
      <c r="J1620" s="47" t="str">
        <f>IF(tblMovimientos[[#This Row],[Tipo]]="","",IFERROR(INDEX(tblTiposMov[FactorStock],MATCH(tblMovimientos[[#This Row],[Tipo]],tblTiposMov[Tipo],0)),0))</f>
        <v/>
      </c>
      <c r="K16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0" s="37"/>
      <c r="O1620" s="37"/>
      <c r="P1620" s="37"/>
    </row>
    <row r="1621" spans="2:16" x14ac:dyDescent="0.25">
      <c r="B16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1" s="46"/>
      <c r="D1621" s="37"/>
      <c r="E1621" s="37"/>
      <c r="F1621" s="37"/>
      <c r="G1621" s="40" t="str">
        <f>IF(tblMovimientos[[#This Row],[Producto]]="","",TRIM(LEFT(tblMovimientos[[#This Row],[Producto]],FIND(" · ",tblMovimientos[[#This Row],[Producto]]&amp;" · ")-1)))</f>
        <v/>
      </c>
      <c r="H1621" s="40" t="str">
        <f>IF(tblMovimientos[[#This Row],[SKU]]="","",IFERROR(INDEX(tblProductos[Unidad],MATCH(tblMovimientos[[#This Row],[SKU]],tblProductos[SKU],0)),"?"))</f>
        <v/>
      </c>
      <c r="I1621" s="39"/>
      <c r="J1621" s="47" t="str">
        <f>IF(tblMovimientos[[#This Row],[Tipo]]="","",IFERROR(INDEX(tblTiposMov[FactorStock],MATCH(tblMovimientos[[#This Row],[Tipo]],tblTiposMov[Tipo],0)),0))</f>
        <v/>
      </c>
      <c r="K16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1" s="37"/>
      <c r="O1621" s="37"/>
      <c r="P1621" s="37"/>
    </row>
    <row r="1622" spans="2:16" x14ac:dyDescent="0.25">
      <c r="B16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2" s="46"/>
      <c r="D1622" s="37"/>
      <c r="E1622" s="37"/>
      <c r="F1622" s="37"/>
      <c r="G1622" s="40" t="str">
        <f>IF(tblMovimientos[[#This Row],[Producto]]="","",TRIM(LEFT(tblMovimientos[[#This Row],[Producto]],FIND(" · ",tblMovimientos[[#This Row],[Producto]]&amp;" · ")-1)))</f>
        <v/>
      </c>
      <c r="H1622" s="40" t="str">
        <f>IF(tblMovimientos[[#This Row],[SKU]]="","",IFERROR(INDEX(tblProductos[Unidad],MATCH(tblMovimientos[[#This Row],[SKU]],tblProductos[SKU],0)),"?"))</f>
        <v/>
      </c>
      <c r="I1622" s="39"/>
      <c r="J1622" s="47" t="str">
        <f>IF(tblMovimientos[[#This Row],[Tipo]]="","",IFERROR(INDEX(tblTiposMov[FactorStock],MATCH(tblMovimientos[[#This Row],[Tipo]],tblTiposMov[Tipo],0)),0))</f>
        <v/>
      </c>
      <c r="K16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2" s="37"/>
      <c r="O1622" s="37"/>
      <c r="P1622" s="37"/>
    </row>
    <row r="1623" spans="2:16" x14ac:dyDescent="0.25">
      <c r="B16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3" s="46"/>
      <c r="D1623" s="37"/>
      <c r="E1623" s="37"/>
      <c r="F1623" s="37"/>
      <c r="G1623" s="40" t="str">
        <f>IF(tblMovimientos[[#This Row],[Producto]]="","",TRIM(LEFT(tblMovimientos[[#This Row],[Producto]],FIND(" · ",tblMovimientos[[#This Row],[Producto]]&amp;" · ")-1)))</f>
        <v/>
      </c>
      <c r="H1623" s="40" t="str">
        <f>IF(tblMovimientos[[#This Row],[SKU]]="","",IFERROR(INDEX(tblProductos[Unidad],MATCH(tblMovimientos[[#This Row],[SKU]],tblProductos[SKU],0)),"?"))</f>
        <v/>
      </c>
      <c r="I1623" s="39"/>
      <c r="J1623" s="47" t="str">
        <f>IF(tblMovimientos[[#This Row],[Tipo]]="","",IFERROR(INDEX(tblTiposMov[FactorStock],MATCH(tblMovimientos[[#This Row],[Tipo]],tblTiposMov[Tipo],0)),0))</f>
        <v/>
      </c>
      <c r="K16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3" s="37"/>
      <c r="O1623" s="37"/>
      <c r="P1623" s="37"/>
    </row>
    <row r="1624" spans="2:16" x14ac:dyDescent="0.25">
      <c r="B16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4" s="46"/>
      <c r="D1624" s="37"/>
      <c r="E1624" s="37"/>
      <c r="F1624" s="37"/>
      <c r="G1624" s="40" t="str">
        <f>IF(tblMovimientos[[#This Row],[Producto]]="","",TRIM(LEFT(tblMovimientos[[#This Row],[Producto]],FIND(" · ",tblMovimientos[[#This Row],[Producto]]&amp;" · ")-1)))</f>
        <v/>
      </c>
      <c r="H1624" s="40" t="str">
        <f>IF(tblMovimientos[[#This Row],[SKU]]="","",IFERROR(INDEX(tblProductos[Unidad],MATCH(tblMovimientos[[#This Row],[SKU]],tblProductos[SKU],0)),"?"))</f>
        <v/>
      </c>
      <c r="I1624" s="39"/>
      <c r="J1624" s="47" t="str">
        <f>IF(tblMovimientos[[#This Row],[Tipo]]="","",IFERROR(INDEX(tblTiposMov[FactorStock],MATCH(tblMovimientos[[#This Row],[Tipo]],tblTiposMov[Tipo],0)),0))</f>
        <v/>
      </c>
      <c r="K16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4" s="37"/>
      <c r="O1624" s="37"/>
      <c r="P1624" s="37"/>
    </row>
    <row r="1625" spans="2:16" x14ac:dyDescent="0.25">
      <c r="B16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5" s="46"/>
      <c r="D1625" s="37"/>
      <c r="E1625" s="37"/>
      <c r="F1625" s="37"/>
      <c r="G1625" s="40" t="str">
        <f>IF(tblMovimientos[[#This Row],[Producto]]="","",TRIM(LEFT(tblMovimientos[[#This Row],[Producto]],FIND(" · ",tblMovimientos[[#This Row],[Producto]]&amp;" · ")-1)))</f>
        <v/>
      </c>
      <c r="H1625" s="40" t="str">
        <f>IF(tblMovimientos[[#This Row],[SKU]]="","",IFERROR(INDEX(tblProductos[Unidad],MATCH(tblMovimientos[[#This Row],[SKU]],tblProductos[SKU],0)),"?"))</f>
        <v/>
      </c>
      <c r="I1625" s="39"/>
      <c r="J1625" s="47" t="str">
        <f>IF(tblMovimientos[[#This Row],[Tipo]]="","",IFERROR(INDEX(tblTiposMov[FactorStock],MATCH(tblMovimientos[[#This Row],[Tipo]],tblTiposMov[Tipo],0)),0))</f>
        <v/>
      </c>
      <c r="K16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5" s="37"/>
      <c r="O1625" s="37"/>
      <c r="P1625" s="37"/>
    </row>
    <row r="1626" spans="2:16" x14ac:dyDescent="0.25">
      <c r="B16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6" s="46"/>
      <c r="D1626" s="37"/>
      <c r="E1626" s="37"/>
      <c r="F1626" s="37"/>
      <c r="G1626" s="40" t="str">
        <f>IF(tblMovimientos[[#This Row],[Producto]]="","",TRIM(LEFT(tblMovimientos[[#This Row],[Producto]],FIND(" · ",tblMovimientos[[#This Row],[Producto]]&amp;" · ")-1)))</f>
        <v/>
      </c>
      <c r="H1626" s="40" t="str">
        <f>IF(tblMovimientos[[#This Row],[SKU]]="","",IFERROR(INDEX(tblProductos[Unidad],MATCH(tblMovimientos[[#This Row],[SKU]],tblProductos[SKU],0)),"?"))</f>
        <v/>
      </c>
      <c r="I1626" s="39"/>
      <c r="J1626" s="47" t="str">
        <f>IF(tblMovimientos[[#This Row],[Tipo]]="","",IFERROR(INDEX(tblTiposMov[FactorStock],MATCH(tblMovimientos[[#This Row],[Tipo]],tblTiposMov[Tipo],0)),0))</f>
        <v/>
      </c>
      <c r="K16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6" s="37"/>
      <c r="O1626" s="37"/>
      <c r="P1626" s="37"/>
    </row>
    <row r="1627" spans="2:16" x14ac:dyDescent="0.25">
      <c r="B16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7" s="46"/>
      <c r="D1627" s="37"/>
      <c r="E1627" s="37"/>
      <c r="F1627" s="37"/>
      <c r="G1627" s="40" t="str">
        <f>IF(tblMovimientos[[#This Row],[Producto]]="","",TRIM(LEFT(tblMovimientos[[#This Row],[Producto]],FIND(" · ",tblMovimientos[[#This Row],[Producto]]&amp;" · ")-1)))</f>
        <v/>
      </c>
      <c r="H1627" s="40" t="str">
        <f>IF(tblMovimientos[[#This Row],[SKU]]="","",IFERROR(INDEX(tblProductos[Unidad],MATCH(tblMovimientos[[#This Row],[SKU]],tblProductos[SKU],0)),"?"))</f>
        <v/>
      </c>
      <c r="I1627" s="39"/>
      <c r="J1627" s="47" t="str">
        <f>IF(tblMovimientos[[#This Row],[Tipo]]="","",IFERROR(INDEX(tblTiposMov[FactorStock],MATCH(tblMovimientos[[#This Row],[Tipo]],tblTiposMov[Tipo],0)),0))</f>
        <v/>
      </c>
      <c r="K16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7" s="37"/>
      <c r="O1627" s="37"/>
      <c r="P1627" s="37"/>
    </row>
    <row r="1628" spans="2:16" x14ac:dyDescent="0.25">
      <c r="B16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8" s="46"/>
      <c r="D1628" s="37"/>
      <c r="E1628" s="37"/>
      <c r="F1628" s="37"/>
      <c r="G1628" s="40" t="str">
        <f>IF(tblMovimientos[[#This Row],[Producto]]="","",TRIM(LEFT(tblMovimientos[[#This Row],[Producto]],FIND(" · ",tblMovimientos[[#This Row],[Producto]]&amp;" · ")-1)))</f>
        <v/>
      </c>
      <c r="H1628" s="40" t="str">
        <f>IF(tblMovimientos[[#This Row],[SKU]]="","",IFERROR(INDEX(tblProductos[Unidad],MATCH(tblMovimientos[[#This Row],[SKU]],tblProductos[SKU],0)),"?"))</f>
        <v/>
      </c>
      <c r="I1628" s="39"/>
      <c r="J1628" s="47" t="str">
        <f>IF(tblMovimientos[[#This Row],[Tipo]]="","",IFERROR(INDEX(tblTiposMov[FactorStock],MATCH(tblMovimientos[[#This Row],[Tipo]],tblTiposMov[Tipo],0)),0))</f>
        <v/>
      </c>
      <c r="K16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8" s="37"/>
      <c r="O1628" s="37"/>
      <c r="P1628" s="37"/>
    </row>
    <row r="1629" spans="2:16" x14ac:dyDescent="0.25">
      <c r="B16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29" s="46"/>
      <c r="D1629" s="37"/>
      <c r="E1629" s="37"/>
      <c r="F1629" s="37"/>
      <c r="G1629" s="40" t="str">
        <f>IF(tblMovimientos[[#This Row],[Producto]]="","",TRIM(LEFT(tblMovimientos[[#This Row],[Producto]],FIND(" · ",tblMovimientos[[#This Row],[Producto]]&amp;" · ")-1)))</f>
        <v/>
      </c>
      <c r="H1629" s="40" t="str">
        <f>IF(tblMovimientos[[#This Row],[SKU]]="","",IFERROR(INDEX(tblProductos[Unidad],MATCH(tblMovimientos[[#This Row],[SKU]],tblProductos[SKU],0)),"?"))</f>
        <v/>
      </c>
      <c r="I1629" s="39"/>
      <c r="J1629" s="47" t="str">
        <f>IF(tblMovimientos[[#This Row],[Tipo]]="","",IFERROR(INDEX(tblTiposMov[FactorStock],MATCH(tblMovimientos[[#This Row],[Tipo]],tblTiposMov[Tipo],0)),0))</f>
        <v/>
      </c>
      <c r="K16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29" s="37"/>
      <c r="O1629" s="37"/>
      <c r="P1629" s="37"/>
    </row>
    <row r="1630" spans="2:16" x14ac:dyDescent="0.25">
      <c r="B16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0" s="46"/>
      <c r="D1630" s="37"/>
      <c r="E1630" s="37"/>
      <c r="F1630" s="37"/>
      <c r="G1630" s="40" t="str">
        <f>IF(tblMovimientos[[#This Row],[Producto]]="","",TRIM(LEFT(tblMovimientos[[#This Row],[Producto]],FIND(" · ",tblMovimientos[[#This Row],[Producto]]&amp;" · ")-1)))</f>
        <v/>
      </c>
      <c r="H1630" s="40" t="str">
        <f>IF(tblMovimientos[[#This Row],[SKU]]="","",IFERROR(INDEX(tblProductos[Unidad],MATCH(tblMovimientos[[#This Row],[SKU]],tblProductos[SKU],0)),"?"))</f>
        <v/>
      </c>
      <c r="I1630" s="39"/>
      <c r="J1630" s="47" t="str">
        <f>IF(tblMovimientos[[#This Row],[Tipo]]="","",IFERROR(INDEX(tblTiposMov[FactorStock],MATCH(tblMovimientos[[#This Row],[Tipo]],tblTiposMov[Tipo],0)),0))</f>
        <v/>
      </c>
      <c r="K16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0" s="37"/>
      <c r="O1630" s="37"/>
      <c r="P1630" s="37"/>
    </row>
    <row r="1631" spans="2:16" x14ac:dyDescent="0.25">
      <c r="B16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1" s="46"/>
      <c r="D1631" s="37"/>
      <c r="E1631" s="37"/>
      <c r="F1631" s="37"/>
      <c r="G1631" s="40" t="str">
        <f>IF(tblMovimientos[[#This Row],[Producto]]="","",TRIM(LEFT(tblMovimientos[[#This Row],[Producto]],FIND(" · ",tblMovimientos[[#This Row],[Producto]]&amp;" · ")-1)))</f>
        <v/>
      </c>
      <c r="H1631" s="40" t="str">
        <f>IF(tblMovimientos[[#This Row],[SKU]]="","",IFERROR(INDEX(tblProductos[Unidad],MATCH(tblMovimientos[[#This Row],[SKU]],tblProductos[SKU],0)),"?"))</f>
        <v/>
      </c>
      <c r="I1631" s="39"/>
      <c r="J1631" s="47" t="str">
        <f>IF(tblMovimientos[[#This Row],[Tipo]]="","",IFERROR(INDEX(tblTiposMov[FactorStock],MATCH(tblMovimientos[[#This Row],[Tipo]],tblTiposMov[Tipo],0)),0))</f>
        <v/>
      </c>
      <c r="K16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1" s="37"/>
      <c r="O1631" s="37"/>
      <c r="P1631" s="37"/>
    </row>
    <row r="1632" spans="2:16" x14ac:dyDescent="0.25">
      <c r="B16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2" s="46"/>
      <c r="D1632" s="37"/>
      <c r="E1632" s="37"/>
      <c r="F1632" s="37"/>
      <c r="G1632" s="40" t="str">
        <f>IF(tblMovimientos[[#This Row],[Producto]]="","",TRIM(LEFT(tblMovimientos[[#This Row],[Producto]],FIND(" · ",tblMovimientos[[#This Row],[Producto]]&amp;" · ")-1)))</f>
        <v/>
      </c>
      <c r="H1632" s="40" t="str">
        <f>IF(tblMovimientos[[#This Row],[SKU]]="","",IFERROR(INDEX(tblProductos[Unidad],MATCH(tblMovimientos[[#This Row],[SKU]],tblProductos[SKU],0)),"?"))</f>
        <v/>
      </c>
      <c r="I1632" s="39"/>
      <c r="J1632" s="47" t="str">
        <f>IF(tblMovimientos[[#This Row],[Tipo]]="","",IFERROR(INDEX(tblTiposMov[FactorStock],MATCH(tblMovimientos[[#This Row],[Tipo]],tblTiposMov[Tipo],0)),0))</f>
        <v/>
      </c>
      <c r="K16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2" s="37"/>
      <c r="O1632" s="37"/>
      <c r="P1632" s="37"/>
    </row>
    <row r="1633" spans="2:16" x14ac:dyDescent="0.25">
      <c r="B16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3" s="46"/>
      <c r="D1633" s="37"/>
      <c r="E1633" s="37"/>
      <c r="F1633" s="37"/>
      <c r="G1633" s="40" t="str">
        <f>IF(tblMovimientos[[#This Row],[Producto]]="","",TRIM(LEFT(tblMovimientos[[#This Row],[Producto]],FIND(" · ",tblMovimientos[[#This Row],[Producto]]&amp;" · ")-1)))</f>
        <v/>
      </c>
      <c r="H1633" s="40" t="str">
        <f>IF(tblMovimientos[[#This Row],[SKU]]="","",IFERROR(INDEX(tblProductos[Unidad],MATCH(tblMovimientos[[#This Row],[SKU]],tblProductos[SKU],0)),"?"))</f>
        <v/>
      </c>
      <c r="I1633" s="39"/>
      <c r="J1633" s="47" t="str">
        <f>IF(tblMovimientos[[#This Row],[Tipo]]="","",IFERROR(INDEX(tblTiposMov[FactorStock],MATCH(tblMovimientos[[#This Row],[Tipo]],tblTiposMov[Tipo],0)),0))</f>
        <v/>
      </c>
      <c r="K16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3" s="37"/>
      <c r="O1633" s="37"/>
      <c r="P1633" s="37"/>
    </row>
    <row r="1634" spans="2:16" x14ac:dyDescent="0.25">
      <c r="B16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4" s="46"/>
      <c r="D1634" s="37"/>
      <c r="E1634" s="37"/>
      <c r="F1634" s="37"/>
      <c r="G1634" s="40" t="str">
        <f>IF(tblMovimientos[[#This Row],[Producto]]="","",TRIM(LEFT(tblMovimientos[[#This Row],[Producto]],FIND(" · ",tblMovimientos[[#This Row],[Producto]]&amp;" · ")-1)))</f>
        <v/>
      </c>
      <c r="H1634" s="40" t="str">
        <f>IF(tblMovimientos[[#This Row],[SKU]]="","",IFERROR(INDEX(tblProductos[Unidad],MATCH(tblMovimientos[[#This Row],[SKU]],tblProductos[SKU],0)),"?"))</f>
        <v/>
      </c>
      <c r="I1634" s="39"/>
      <c r="J1634" s="47" t="str">
        <f>IF(tblMovimientos[[#This Row],[Tipo]]="","",IFERROR(INDEX(tblTiposMov[FactorStock],MATCH(tblMovimientos[[#This Row],[Tipo]],tblTiposMov[Tipo],0)),0))</f>
        <v/>
      </c>
      <c r="K16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4" s="37"/>
      <c r="O1634" s="37"/>
      <c r="P1634" s="37"/>
    </row>
    <row r="1635" spans="2:16" x14ac:dyDescent="0.25">
      <c r="B16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5" s="46"/>
      <c r="D1635" s="37"/>
      <c r="E1635" s="37"/>
      <c r="F1635" s="37"/>
      <c r="G1635" s="40" t="str">
        <f>IF(tblMovimientos[[#This Row],[Producto]]="","",TRIM(LEFT(tblMovimientos[[#This Row],[Producto]],FIND(" · ",tblMovimientos[[#This Row],[Producto]]&amp;" · ")-1)))</f>
        <v/>
      </c>
      <c r="H1635" s="40" t="str">
        <f>IF(tblMovimientos[[#This Row],[SKU]]="","",IFERROR(INDEX(tblProductos[Unidad],MATCH(tblMovimientos[[#This Row],[SKU]],tblProductos[SKU],0)),"?"))</f>
        <v/>
      </c>
      <c r="I1635" s="39"/>
      <c r="J1635" s="47" t="str">
        <f>IF(tblMovimientos[[#This Row],[Tipo]]="","",IFERROR(INDEX(tblTiposMov[FactorStock],MATCH(tblMovimientos[[#This Row],[Tipo]],tblTiposMov[Tipo],0)),0))</f>
        <v/>
      </c>
      <c r="K16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5" s="37"/>
      <c r="O1635" s="37"/>
      <c r="P1635" s="37"/>
    </row>
    <row r="1636" spans="2:16" x14ac:dyDescent="0.25">
      <c r="B16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6" s="46"/>
      <c r="D1636" s="37"/>
      <c r="E1636" s="37"/>
      <c r="F1636" s="37"/>
      <c r="G1636" s="40" t="str">
        <f>IF(tblMovimientos[[#This Row],[Producto]]="","",TRIM(LEFT(tblMovimientos[[#This Row],[Producto]],FIND(" · ",tblMovimientos[[#This Row],[Producto]]&amp;" · ")-1)))</f>
        <v/>
      </c>
      <c r="H1636" s="40" t="str">
        <f>IF(tblMovimientos[[#This Row],[SKU]]="","",IFERROR(INDEX(tblProductos[Unidad],MATCH(tblMovimientos[[#This Row],[SKU]],tblProductos[SKU],0)),"?"))</f>
        <v/>
      </c>
      <c r="I1636" s="39"/>
      <c r="J1636" s="47" t="str">
        <f>IF(tblMovimientos[[#This Row],[Tipo]]="","",IFERROR(INDEX(tblTiposMov[FactorStock],MATCH(tblMovimientos[[#This Row],[Tipo]],tblTiposMov[Tipo],0)),0))</f>
        <v/>
      </c>
      <c r="K16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6" s="37"/>
      <c r="O1636" s="37"/>
      <c r="P1636" s="37"/>
    </row>
    <row r="1637" spans="2:16" x14ac:dyDescent="0.25">
      <c r="B16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7" s="46"/>
      <c r="D1637" s="37"/>
      <c r="E1637" s="37"/>
      <c r="F1637" s="37"/>
      <c r="G1637" s="40" t="str">
        <f>IF(tblMovimientos[[#This Row],[Producto]]="","",TRIM(LEFT(tblMovimientos[[#This Row],[Producto]],FIND(" · ",tblMovimientos[[#This Row],[Producto]]&amp;" · ")-1)))</f>
        <v/>
      </c>
      <c r="H1637" s="40" t="str">
        <f>IF(tblMovimientos[[#This Row],[SKU]]="","",IFERROR(INDEX(tblProductos[Unidad],MATCH(tblMovimientos[[#This Row],[SKU]],tblProductos[SKU],0)),"?"))</f>
        <v/>
      </c>
      <c r="I1637" s="39"/>
      <c r="J1637" s="47" t="str">
        <f>IF(tblMovimientos[[#This Row],[Tipo]]="","",IFERROR(INDEX(tblTiposMov[FactorStock],MATCH(tblMovimientos[[#This Row],[Tipo]],tblTiposMov[Tipo],0)),0))</f>
        <v/>
      </c>
      <c r="K16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7" s="37"/>
      <c r="O1637" s="37"/>
      <c r="P1637" s="37"/>
    </row>
    <row r="1638" spans="2:16" x14ac:dyDescent="0.25">
      <c r="B16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8" s="46"/>
      <c r="D1638" s="37"/>
      <c r="E1638" s="37"/>
      <c r="F1638" s="37"/>
      <c r="G1638" s="40" t="str">
        <f>IF(tblMovimientos[[#This Row],[Producto]]="","",TRIM(LEFT(tblMovimientos[[#This Row],[Producto]],FIND(" · ",tblMovimientos[[#This Row],[Producto]]&amp;" · ")-1)))</f>
        <v/>
      </c>
      <c r="H1638" s="40" t="str">
        <f>IF(tblMovimientos[[#This Row],[SKU]]="","",IFERROR(INDEX(tblProductos[Unidad],MATCH(tblMovimientos[[#This Row],[SKU]],tblProductos[SKU],0)),"?"))</f>
        <v/>
      </c>
      <c r="I1638" s="39"/>
      <c r="J1638" s="47" t="str">
        <f>IF(tblMovimientos[[#This Row],[Tipo]]="","",IFERROR(INDEX(tblTiposMov[FactorStock],MATCH(tblMovimientos[[#This Row],[Tipo]],tblTiposMov[Tipo],0)),0))</f>
        <v/>
      </c>
      <c r="K16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8" s="37"/>
      <c r="O1638" s="37"/>
      <c r="P1638" s="37"/>
    </row>
    <row r="1639" spans="2:16" x14ac:dyDescent="0.25">
      <c r="B16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39" s="46"/>
      <c r="D1639" s="37"/>
      <c r="E1639" s="37"/>
      <c r="F1639" s="37"/>
      <c r="G1639" s="40" t="str">
        <f>IF(tblMovimientos[[#This Row],[Producto]]="","",TRIM(LEFT(tblMovimientos[[#This Row],[Producto]],FIND(" · ",tblMovimientos[[#This Row],[Producto]]&amp;" · ")-1)))</f>
        <v/>
      </c>
      <c r="H1639" s="40" t="str">
        <f>IF(tblMovimientos[[#This Row],[SKU]]="","",IFERROR(INDEX(tblProductos[Unidad],MATCH(tblMovimientos[[#This Row],[SKU]],tblProductos[SKU],0)),"?"))</f>
        <v/>
      </c>
      <c r="I1639" s="39"/>
      <c r="J1639" s="47" t="str">
        <f>IF(tblMovimientos[[#This Row],[Tipo]]="","",IFERROR(INDEX(tblTiposMov[FactorStock],MATCH(tblMovimientos[[#This Row],[Tipo]],tblTiposMov[Tipo],0)),0))</f>
        <v/>
      </c>
      <c r="K16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39" s="37"/>
      <c r="O1639" s="37"/>
      <c r="P1639" s="37"/>
    </row>
    <row r="1640" spans="2:16" x14ac:dyDescent="0.25">
      <c r="B16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0" s="46"/>
      <c r="D1640" s="37"/>
      <c r="E1640" s="37"/>
      <c r="F1640" s="37"/>
      <c r="G1640" s="40" t="str">
        <f>IF(tblMovimientos[[#This Row],[Producto]]="","",TRIM(LEFT(tblMovimientos[[#This Row],[Producto]],FIND(" · ",tblMovimientos[[#This Row],[Producto]]&amp;" · ")-1)))</f>
        <v/>
      </c>
      <c r="H1640" s="40" t="str">
        <f>IF(tblMovimientos[[#This Row],[SKU]]="","",IFERROR(INDEX(tblProductos[Unidad],MATCH(tblMovimientos[[#This Row],[SKU]],tblProductos[SKU],0)),"?"))</f>
        <v/>
      </c>
      <c r="I1640" s="39"/>
      <c r="J1640" s="47" t="str">
        <f>IF(tblMovimientos[[#This Row],[Tipo]]="","",IFERROR(INDEX(tblTiposMov[FactorStock],MATCH(tblMovimientos[[#This Row],[Tipo]],tblTiposMov[Tipo],0)),0))</f>
        <v/>
      </c>
      <c r="K16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0" s="37"/>
      <c r="O1640" s="37"/>
      <c r="P1640" s="37"/>
    </row>
    <row r="1641" spans="2:16" x14ac:dyDescent="0.25">
      <c r="B16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1" s="46"/>
      <c r="D1641" s="37"/>
      <c r="E1641" s="37"/>
      <c r="F1641" s="37"/>
      <c r="G1641" s="40" t="str">
        <f>IF(tblMovimientos[[#This Row],[Producto]]="","",TRIM(LEFT(tblMovimientos[[#This Row],[Producto]],FIND(" · ",tblMovimientos[[#This Row],[Producto]]&amp;" · ")-1)))</f>
        <v/>
      </c>
      <c r="H1641" s="40" t="str">
        <f>IF(tblMovimientos[[#This Row],[SKU]]="","",IFERROR(INDEX(tblProductos[Unidad],MATCH(tblMovimientos[[#This Row],[SKU]],tblProductos[SKU],0)),"?"))</f>
        <v/>
      </c>
      <c r="I1641" s="39"/>
      <c r="J1641" s="47" t="str">
        <f>IF(tblMovimientos[[#This Row],[Tipo]]="","",IFERROR(INDEX(tblTiposMov[FactorStock],MATCH(tblMovimientos[[#This Row],[Tipo]],tblTiposMov[Tipo],0)),0))</f>
        <v/>
      </c>
      <c r="K16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1" s="37"/>
      <c r="O1641" s="37"/>
      <c r="P1641" s="37"/>
    </row>
    <row r="1642" spans="2:16" x14ac:dyDescent="0.25">
      <c r="B16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2" s="46"/>
      <c r="D1642" s="37"/>
      <c r="E1642" s="37"/>
      <c r="F1642" s="37"/>
      <c r="G1642" s="40" t="str">
        <f>IF(tblMovimientos[[#This Row],[Producto]]="","",TRIM(LEFT(tblMovimientos[[#This Row],[Producto]],FIND(" · ",tblMovimientos[[#This Row],[Producto]]&amp;" · ")-1)))</f>
        <v/>
      </c>
      <c r="H1642" s="40" t="str">
        <f>IF(tblMovimientos[[#This Row],[SKU]]="","",IFERROR(INDEX(tblProductos[Unidad],MATCH(tblMovimientos[[#This Row],[SKU]],tblProductos[SKU],0)),"?"))</f>
        <v/>
      </c>
      <c r="I1642" s="39"/>
      <c r="J1642" s="47" t="str">
        <f>IF(tblMovimientos[[#This Row],[Tipo]]="","",IFERROR(INDEX(tblTiposMov[FactorStock],MATCH(tblMovimientos[[#This Row],[Tipo]],tblTiposMov[Tipo],0)),0))</f>
        <v/>
      </c>
      <c r="K16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2" s="37"/>
      <c r="O1642" s="37"/>
      <c r="P1642" s="37"/>
    </row>
    <row r="1643" spans="2:16" x14ac:dyDescent="0.25">
      <c r="B16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3" s="46"/>
      <c r="D1643" s="37"/>
      <c r="E1643" s="37"/>
      <c r="F1643" s="37"/>
      <c r="G1643" s="40" t="str">
        <f>IF(tblMovimientos[[#This Row],[Producto]]="","",TRIM(LEFT(tblMovimientos[[#This Row],[Producto]],FIND(" · ",tblMovimientos[[#This Row],[Producto]]&amp;" · ")-1)))</f>
        <v/>
      </c>
      <c r="H1643" s="40" t="str">
        <f>IF(tblMovimientos[[#This Row],[SKU]]="","",IFERROR(INDEX(tblProductos[Unidad],MATCH(tblMovimientos[[#This Row],[SKU]],tblProductos[SKU],0)),"?"))</f>
        <v/>
      </c>
      <c r="I1643" s="39"/>
      <c r="J1643" s="47" t="str">
        <f>IF(tblMovimientos[[#This Row],[Tipo]]="","",IFERROR(INDEX(tblTiposMov[FactorStock],MATCH(tblMovimientos[[#This Row],[Tipo]],tblTiposMov[Tipo],0)),0))</f>
        <v/>
      </c>
      <c r="K16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3" s="37"/>
      <c r="O1643" s="37"/>
      <c r="P1643" s="37"/>
    </row>
    <row r="1644" spans="2:16" x14ac:dyDescent="0.25">
      <c r="B16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4" s="46"/>
      <c r="D1644" s="37"/>
      <c r="E1644" s="37"/>
      <c r="F1644" s="37"/>
      <c r="G1644" s="40" t="str">
        <f>IF(tblMovimientos[[#This Row],[Producto]]="","",TRIM(LEFT(tblMovimientos[[#This Row],[Producto]],FIND(" · ",tblMovimientos[[#This Row],[Producto]]&amp;" · ")-1)))</f>
        <v/>
      </c>
      <c r="H1644" s="40" t="str">
        <f>IF(tblMovimientos[[#This Row],[SKU]]="","",IFERROR(INDEX(tblProductos[Unidad],MATCH(tblMovimientos[[#This Row],[SKU]],tblProductos[SKU],0)),"?"))</f>
        <v/>
      </c>
      <c r="I1644" s="39"/>
      <c r="J1644" s="47" t="str">
        <f>IF(tblMovimientos[[#This Row],[Tipo]]="","",IFERROR(INDEX(tblTiposMov[FactorStock],MATCH(tblMovimientos[[#This Row],[Tipo]],tblTiposMov[Tipo],0)),0))</f>
        <v/>
      </c>
      <c r="K16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4" s="37"/>
      <c r="O1644" s="37"/>
      <c r="P1644" s="37"/>
    </row>
    <row r="1645" spans="2:16" x14ac:dyDescent="0.25">
      <c r="B16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5" s="46"/>
      <c r="D1645" s="37"/>
      <c r="E1645" s="37"/>
      <c r="F1645" s="37"/>
      <c r="G1645" s="40" t="str">
        <f>IF(tblMovimientos[[#This Row],[Producto]]="","",TRIM(LEFT(tblMovimientos[[#This Row],[Producto]],FIND(" · ",tblMovimientos[[#This Row],[Producto]]&amp;" · ")-1)))</f>
        <v/>
      </c>
      <c r="H1645" s="40" t="str">
        <f>IF(tblMovimientos[[#This Row],[SKU]]="","",IFERROR(INDEX(tblProductos[Unidad],MATCH(tblMovimientos[[#This Row],[SKU]],tblProductos[SKU],0)),"?"))</f>
        <v/>
      </c>
      <c r="I1645" s="39"/>
      <c r="J1645" s="47" t="str">
        <f>IF(tblMovimientos[[#This Row],[Tipo]]="","",IFERROR(INDEX(tblTiposMov[FactorStock],MATCH(tblMovimientos[[#This Row],[Tipo]],tblTiposMov[Tipo],0)),0))</f>
        <v/>
      </c>
      <c r="K16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5" s="37"/>
      <c r="O1645" s="37"/>
      <c r="P1645" s="37"/>
    </row>
    <row r="1646" spans="2:16" x14ac:dyDescent="0.25">
      <c r="B16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6" s="46"/>
      <c r="D1646" s="37"/>
      <c r="E1646" s="37"/>
      <c r="F1646" s="37"/>
      <c r="G1646" s="40" t="str">
        <f>IF(tblMovimientos[[#This Row],[Producto]]="","",TRIM(LEFT(tblMovimientos[[#This Row],[Producto]],FIND(" · ",tblMovimientos[[#This Row],[Producto]]&amp;" · ")-1)))</f>
        <v/>
      </c>
      <c r="H1646" s="40" t="str">
        <f>IF(tblMovimientos[[#This Row],[SKU]]="","",IFERROR(INDEX(tblProductos[Unidad],MATCH(tblMovimientos[[#This Row],[SKU]],tblProductos[SKU],0)),"?"))</f>
        <v/>
      </c>
      <c r="I1646" s="39"/>
      <c r="J1646" s="47" t="str">
        <f>IF(tblMovimientos[[#This Row],[Tipo]]="","",IFERROR(INDEX(tblTiposMov[FactorStock],MATCH(tblMovimientos[[#This Row],[Tipo]],tblTiposMov[Tipo],0)),0))</f>
        <v/>
      </c>
      <c r="K16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6" s="37"/>
      <c r="O1646" s="37"/>
      <c r="P1646" s="37"/>
    </row>
    <row r="1647" spans="2:16" x14ac:dyDescent="0.25">
      <c r="B16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7" s="46"/>
      <c r="D1647" s="37"/>
      <c r="E1647" s="37"/>
      <c r="F1647" s="37"/>
      <c r="G1647" s="40" t="str">
        <f>IF(tblMovimientos[[#This Row],[Producto]]="","",TRIM(LEFT(tblMovimientos[[#This Row],[Producto]],FIND(" · ",tblMovimientos[[#This Row],[Producto]]&amp;" · ")-1)))</f>
        <v/>
      </c>
      <c r="H1647" s="40" t="str">
        <f>IF(tblMovimientos[[#This Row],[SKU]]="","",IFERROR(INDEX(tblProductos[Unidad],MATCH(tblMovimientos[[#This Row],[SKU]],tblProductos[SKU],0)),"?"))</f>
        <v/>
      </c>
      <c r="I1647" s="39"/>
      <c r="J1647" s="47" t="str">
        <f>IF(tblMovimientos[[#This Row],[Tipo]]="","",IFERROR(INDEX(tblTiposMov[FactorStock],MATCH(tblMovimientos[[#This Row],[Tipo]],tblTiposMov[Tipo],0)),0))</f>
        <v/>
      </c>
      <c r="K16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7" s="37"/>
      <c r="O1647" s="37"/>
      <c r="P1647" s="37"/>
    </row>
    <row r="1648" spans="2:16" x14ac:dyDescent="0.25">
      <c r="B16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8" s="46"/>
      <c r="D1648" s="37"/>
      <c r="E1648" s="37"/>
      <c r="F1648" s="37"/>
      <c r="G1648" s="40" t="str">
        <f>IF(tblMovimientos[[#This Row],[Producto]]="","",TRIM(LEFT(tblMovimientos[[#This Row],[Producto]],FIND(" · ",tblMovimientos[[#This Row],[Producto]]&amp;" · ")-1)))</f>
        <v/>
      </c>
      <c r="H1648" s="40" t="str">
        <f>IF(tblMovimientos[[#This Row],[SKU]]="","",IFERROR(INDEX(tblProductos[Unidad],MATCH(tblMovimientos[[#This Row],[SKU]],tblProductos[SKU],0)),"?"))</f>
        <v/>
      </c>
      <c r="I1648" s="39"/>
      <c r="J1648" s="47" t="str">
        <f>IF(tblMovimientos[[#This Row],[Tipo]]="","",IFERROR(INDEX(tblTiposMov[FactorStock],MATCH(tblMovimientos[[#This Row],[Tipo]],tblTiposMov[Tipo],0)),0))</f>
        <v/>
      </c>
      <c r="K16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8" s="37"/>
      <c r="O1648" s="37"/>
      <c r="P1648" s="37"/>
    </row>
    <row r="1649" spans="2:16" x14ac:dyDescent="0.25">
      <c r="B16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49" s="46"/>
      <c r="D1649" s="37"/>
      <c r="E1649" s="37"/>
      <c r="F1649" s="37"/>
      <c r="G1649" s="40" t="str">
        <f>IF(tblMovimientos[[#This Row],[Producto]]="","",TRIM(LEFT(tblMovimientos[[#This Row],[Producto]],FIND(" · ",tblMovimientos[[#This Row],[Producto]]&amp;" · ")-1)))</f>
        <v/>
      </c>
      <c r="H1649" s="40" t="str">
        <f>IF(tblMovimientos[[#This Row],[SKU]]="","",IFERROR(INDEX(tblProductos[Unidad],MATCH(tblMovimientos[[#This Row],[SKU]],tblProductos[SKU],0)),"?"))</f>
        <v/>
      </c>
      <c r="I1649" s="39"/>
      <c r="J1649" s="47" t="str">
        <f>IF(tblMovimientos[[#This Row],[Tipo]]="","",IFERROR(INDEX(tblTiposMov[FactorStock],MATCH(tblMovimientos[[#This Row],[Tipo]],tblTiposMov[Tipo],0)),0))</f>
        <v/>
      </c>
      <c r="K16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49" s="37"/>
      <c r="O1649" s="37"/>
      <c r="P1649" s="37"/>
    </row>
    <row r="1650" spans="2:16" x14ac:dyDescent="0.25">
      <c r="B16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0" s="46"/>
      <c r="D1650" s="37"/>
      <c r="E1650" s="37"/>
      <c r="F1650" s="37"/>
      <c r="G1650" s="40" t="str">
        <f>IF(tblMovimientos[[#This Row],[Producto]]="","",TRIM(LEFT(tblMovimientos[[#This Row],[Producto]],FIND(" · ",tblMovimientos[[#This Row],[Producto]]&amp;" · ")-1)))</f>
        <v/>
      </c>
      <c r="H1650" s="40" t="str">
        <f>IF(tblMovimientos[[#This Row],[SKU]]="","",IFERROR(INDEX(tblProductos[Unidad],MATCH(tblMovimientos[[#This Row],[SKU]],tblProductos[SKU],0)),"?"))</f>
        <v/>
      </c>
      <c r="I1650" s="39"/>
      <c r="J1650" s="47" t="str">
        <f>IF(tblMovimientos[[#This Row],[Tipo]]="","",IFERROR(INDEX(tblTiposMov[FactorStock],MATCH(tblMovimientos[[#This Row],[Tipo]],tblTiposMov[Tipo],0)),0))</f>
        <v/>
      </c>
      <c r="K16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0" s="37"/>
      <c r="O1650" s="37"/>
      <c r="P1650" s="37"/>
    </row>
    <row r="1651" spans="2:16" x14ac:dyDescent="0.25">
      <c r="B16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1" s="46"/>
      <c r="D1651" s="37"/>
      <c r="E1651" s="37"/>
      <c r="F1651" s="37"/>
      <c r="G1651" s="40" t="str">
        <f>IF(tblMovimientos[[#This Row],[Producto]]="","",TRIM(LEFT(tblMovimientos[[#This Row],[Producto]],FIND(" · ",tblMovimientos[[#This Row],[Producto]]&amp;" · ")-1)))</f>
        <v/>
      </c>
      <c r="H1651" s="40" t="str">
        <f>IF(tblMovimientos[[#This Row],[SKU]]="","",IFERROR(INDEX(tblProductos[Unidad],MATCH(tblMovimientos[[#This Row],[SKU]],tblProductos[SKU],0)),"?"))</f>
        <v/>
      </c>
      <c r="I1651" s="39"/>
      <c r="J1651" s="47" t="str">
        <f>IF(tblMovimientos[[#This Row],[Tipo]]="","",IFERROR(INDEX(tblTiposMov[FactorStock],MATCH(tblMovimientos[[#This Row],[Tipo]],tblTiposMov[Tipo],0)),0))</f>
        <v/>
      </c>
      <c r="K16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1" s="37"/>
      <c r="O1651" s="37"/>
      <c r="P1651" s="37"/>
    </row>
    <row r="1652" spans="2:16" x14ac:dyDescent="0.25">
      <c r="B16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2" s="46"/>
      <c r="D1652" s="37"/>
      <c r="E1652" s="37"/>
      <c r="F1652" s="37"/>
      <c r="G1652" s="40" t="str">
        <f>IF(tblMovimientos[[#This Row],[Producto]]="","",TRIM(LEFT(tblMovimientos[[#This Row],[Producto]],FIND(" · ",tblMovimientos[[#This Row],[Producto]]&amp;" · ")-1)))</f>
        <v/>
      </c>
      <c r="H1652" s="40" t="str">
        <f>IF(tblMovimientos[[#This Row],[SKU]]="","",IFERROR(INDEX(tblProductos[Unidad],MATCH(tblMovimientos[[#This Row],[SKU]],tblProductos[SKU],0)),"?"))</f>
        <v/>
      </c>
      <c r="I1652" s="39"/>
      <c r="J1652" s="47" t="str">
        <f>IF(tblMovimientos[[#This Row],[Tipo]]="","",IFERROR(INDEX(tblTiposMov[FactorStock],MATCH(tblMovimientos[[#This Row],[Tipo]],tblTiposMov[Tipo],0)),0))</f>
        <v/>
      </c>
      <c r="K16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2" s="37"/>
      <c r="O1652" s="37"/>
      <c r="P1652" s="37"/>
    </row>
    <row r="1653" spans="2:16" x14ac:dyDescent="0.25">
      <c r="B16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3" s="46"/>
      <c r="D1653" s="37"/>
      <c r="E1653" s="37"/>
      <c r="F1653" s="37"/>
      <c r="G1653" s="40" t="str">
        <f>IF(tblMovimientos[[#This Row],[Producto]]="","",TRIM(LEFT(tblMovimientos[[#This Row],[Producto]],FIND(" · ",tblMovimientos[[#This Row],[Producto]]&amp;" · ")-1)))</f>
        <v/>
      </c>
      <c r="H1653" s="40" t="str">
        <f>IF(tblMovimientos[[#This Row],[SKU]]="","",IFERROR(INDEX(tblProductos[Unidad],MATCH(tblMovimientos[[#This Row],[SKU]],tblProductos[SKU],0)),"?"))</f>
        <v/>
      </c>
      <c r="I1653" s="39"/>
      <c r="J1653" s="47" t="str">
        <f>IF(tblMovimientos[[#This Row],[Tipo]]="","",IFERROR(INDEX(tblTiposMov[FactorStock],MATCH(tblMovimientos[[#This Row],[Tipo]],tblTiposMov[Tipo],0)),0))</f>
        <v/>
      </c>
      <c r="K16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3" s="37"/>
      <c r="O1653" s="37"/>
      <c r="P1653" s="37"/>
    </row>
    <row r="1654" spans="2:16" x14ac:dyDescent="0.25">
      <c r="B16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4" s="46"/>
      <c r="D1654" s="37"/>
      <c r="E1654" s="37"/>
      <c r="F1654" s="37"/>
      <c r="G1654" s="40" t="str">
        <f>IF(tblMovimientos[[#This Row],[Producto]]="","",TRIM(LEFT(tblMovimientos[[#This Row],[Producto]],FIND(" · ",tblMovimientos[[#This Row],[Producto]]&amp;" · ")-1)))</f>
        <v/>
      </c>
      <c r="H1654" s="40" t="str">
        <f>IF(tblMovimientos[[#This Row],[SKU]]="","",IFERROR(INDEX(tblProductos[Unidad],MATCH(tblMovimientos[[#This Row],[SKU]],tblProductos[SKU],0)),"?"))</f>
        <v/>
      </c>
      <c r="I1654" s="39"/>
      <c r="J1654" s="47" t="str">
        <f>IF(tblMovimientos[[#This Row],[Tipo]]="","",IFERROR(INDEX(tblTiposMov[FactorStock],MATCH(tblMovimientos[[#This Row],[Tipo]],tblTiposMov[Tipo],0)),0))</f>
        <v/>
      </c>
      <c r="K16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4" s="37"/>
      <c r="O1654" s="37"/>
      <c r="P1654" s="37"/>
    </row>
    <row r="1655" spans="2:16" x14ac:dyDescent="0.25">
      <c r="B16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5" s="46"/>
      <c r="D1655" s="37"/>
      <c r="E1655" s="37"/>
      <c r="F1655" s="37"/>
      <c r="G1655" s="40" t="str">
        <f>IF(tblMovimientos[[#This Row],[Producto]]="","",TRIM(LEFT(tblMovimientos[[#This Row],[Producto]],FIND(" · ",tblMovimientos[[#This Row],[Producto]]&amp;" · ")-1)))</f>
        <v/>
      </c>
      <c r="H1655" s="40" t="str">
        <f>IF(tblMovimientos[[#This Row],[SKU]]="","",IFERROR(INDEX(tblProductos[Unidad],MATCH(tblMovimientos[[#This Row],[SKU]],tblProductos[SKU],0)),"?"))</f>
        <v/>
      </c>
      <c r="I1655" s="39"/>
      <c r="J1655" s="47" t="str">
        <f>IF(tblMovimientos[[#This Row],[Tipo]]="","",IFERROR(INDEX(tblTiposMov[FactorStock],MATCH(tblMovimientos[[#This Row],[Tipo]],tblTiposMov[Tipo],0)),0))</f>
        <v/>
      </c>
      <c r="K16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5" s="37"/>
      <c r="O1655" s="37"/>
      <c r="P1655" s="37"/>
    </row>
    <row r="1656" spans="2:16" x14ac:dyDescent="0.25">
      <c r="B16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6" s="46"/>
      <c r="D1656" s="37"/>
      <c r="E1656" s="37"/>
      <c r="F1656" s="37"/>
      <c r="G1656" s="40" t="str">
        <f>IF(tblMovimientos[[#This Row],[Producto]]="","",TRIM(LEFT(tblMovimientos[[#This Row],[Producto]],FIND(" · ",tblMovimientos[[#This Row],[Producto]]&amp;" · ")-1)))</f>
        <v/>
      </c>
      <c r="H1656" s="40" t="str">
        <f>IF(tblMovimientos[[#This Row],[SKU]]="","",IFERROR(INDEX(tblProductos[Unidad],MATCH(tblMovimientos[[#This Row],[SKU]],tblProductos[SKU],0)),"?"))</f>
        <v/>
      </c>
      <c r="I1656" s="39"/>
      <c r="J1656" s="47" t="str">
        <f>IF(tblMovimientos[[#This Row],[Tipo]]="","",IFERROR(INDEX(tblTiposMov[FactorStock],MATCH(tblMovimientos[[#This Row],[Tipo]],tblTiposMov[Tipo],0)),0))</f>
        <v/>
      </c>
      <c r="K16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6" s="37"/>
      <c r="O1656" s="37"/>
      <c r="P1656" s="37"/>
    </row>
    <row r="1657" spans="2:16" x14ac:dyDescent="0.25">
      <c r="B16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7" s="46"/>
      <c r="D1657" s="37"/>
      <c r="E1657" s="37"/>
      <c r="F1657" s="37"/>
      <c r="G1657" s="40" t="str">
        <f>IF(tblMovimientos[[#This Row],[Producto]]="","",TRIM(LEFT(tblMovimientos[[#This Row],[Producto]],FIND(" · ",tblMovimientos[[#This Row],[Producto]]&amp;" · ")-1)))</f>
        <v/>
      </c>
      <c r="H1657" s="40" t="str">
        <f>IF(tblMovimientos[[#This Row],[SKU]]="","",IFERROR(INDEX(tblProductos[Unidad],MATCH(tblMovimientos[[#This Row],[SKU]],tblProductos[SKU],0)),"?"))</f>
        <v/>
      </c>
      <c r="I1657" s="39"/>
      <c r="J1657" s="47" t="str">
        <f>IF(tblMovimientos[[#This Row],[Tipo]]="","",IFERROR(INDEX(tblTiposMov[FactorStock],MATCH(tblMovimientos[[#This Row],[Tipo]],tblTiposMov[Tipo],0)),0))</f>
        <v/>
      </c>
      <c r="K16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7" s="37"/>
      <c r="O1657" s="37"/>
      <c r="P1657" s="37"/>
    </row>
    <row r="1658" spans="2:16" x14ac:dyDescent="0.25">
      <c r="B16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8" s="46"/>
      <c r="D1658" s="37"/>
      <c r="E1658" s="37"/>
      <c r="F1658" s="37"/>
      <c r="G1658" s="40" t="str">
        <f>IF(tblMovimientos[[#This Row],[Producto]]="","",TRIM(LEFT(tblMovimientos[[#This Row],[Producto]],FIND(" · ",tblMovimientos[[#This Row],[Producto]]&amp;" · ")-1)))</f>
        <v/>
      </c>
      <c r="H1658" s="40" t="str">
        <f>IF(tblMovimientos[[#This Row],[SKU]]="","",IFERROR(INDEX(tblProductos[Unidad],MATCH(tblMovimientos[[#This Row],[SKU]],tblProductos[SKU],0)),"?"))</f>
        <v/>
      </c>
      <c r="I1658" s="39"/>
      <c r="J1658" s="47" t="str">
        <f>IF(tblMovimientos[[#This Row],[Tipo]]="","",IFERROR(INDEX(tblTiposMov[FactorStock],MATCH(tblMovimientos[[#This Row],[Tipo]],tblTiposMov[Tipo],0)),0))</f>
        <v/>
      </c>
      <c r="K16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8" s="37"/>
      <c r="O1658" s="37"/>
      <c r="P1658" s="37"/>
    </row>
    <row r="1659" spans="2:16" x14ac:dyDescent="0.25">
      <c r="B16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59" s="46"/>
      <c r="D1659" s="37"/>
      <c r="E1659" s="37"/>
      <c r="F1659" s="37"/>
      <c r="G1659" s="40" t="str">
        <f>IF(tblMovimientos[[#This Row],[Producto]]="","",TRIM(LEFT(tblMovimientos[[#This Row],[Producto]],FIND(" · ",tblMovimientos[[#This Row],[Producto]]&amp;" · ")-1)))</f>
        <v/>
      </c>
      <c r="H1659" s="40" t="str">
        <f>IF(tblMovimientos[[#This Row],[SKU]]="","",IFERROR(INDEX(tblProductos[Unidad],MATCH(tblMovimientos[[#This Row],[SKU]],tblProductos[SKU],0)),"?"))</f>
        <v/>
      </c>
      <c r="I1659" s="39"/>
      <c r="J1659" s="47" t="str">
        <f>IF(tblMovimientos[[#This Row],[Tipo]]="","",IFERROR(INDEX(tblTiposMov[FactorStock],MATCH(tblMovimientos[[#This Row],[Tipo]],tblTiposMov[Tipo],0)),0))</f>
        <v/>
      </c>
      <c r="K16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59" s="37"/>
      <c r="O1659" s="37"/>
      <c r="P1659" s="37"/>
    </row>
    <row r="1660" spans="2:16" x14ac:dyDescent="0.25">
      <c r="B16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0" s="46"/>
      <c r="D1660" s="37"/>
      <c r="E1660" s="37"/>
      <c r="F1660" s="37"/>
      <c r="G1660" s="40" t="str">
        <f>IF(tblMovimientos[[#This Row],[Producto]]="","",TRIM(LEFT(tblMovimientos[[#This Row],[Producto]],FIND(" · ",tblMovimientos[[#This Row],[Producto]]&amp;" · ")-1)))</f>
        <v/>
      </c>
      <c r="H1660" s="40" t="str">
        <f>IF(tblMovimientos[[#This Row],[SKU]]="","",IFERROR(INDEX(tblProductos[Unidad],MATCH(tblMovimientos[[#This Row],[SKU]],tblProductos[SKU],0)),"?"))</f>
        <v/>
      </c>
      <c r="I1660" s="39"/>
      <c r="J1660" s="47" t="str">
        <f>IF(tblMovimientos[[#This Row],[Tipo]]="","",IFERROR(INDEX(tblTiposMov[FactorStock],MATCH(tblMovimientos[[#This Row],[Tipo]],tblTiposMov[Tipo],0)),0))</f>
        <v/>
      </c>
      <c r="K16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0" s="37"/>
      <c r="O1660" s="37"/>
      <c r="P1660" s="37"/>
    </row>
    <row r="1661" spans="2:16" x14ac:dyDescent="0.25">
      <c r="B16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1" s="46"/>
      <c r="D1661" s="37"/>
      <c r="E1661" s="37"/>
      <c r="F1661" s="37"/>
      <c r="G1661" s="40" t="str">
        <f>IF(tblMovimientos[[#This Row],[Producto]]="","",TRIM(LEFT(tblMovimientos[[#This Row],[Producto]],FIND(" · ",tblMovimientos[[#This Row],[Producto]]&amp;" · ")-1)))</f>
        <v/>
      </c>
      <c r="H1661" s="40" t="str">
        <f>IF(tblMovimientos[[#This Row],[SKU]]="","",IFERROR(INDEX(tblProductos[Unidad],MATCH(tblMovimientos[[#This Row],[SKU]],tblProductos[SKU],0)),"?"))</f>
        <v/>
      </c>
      <c r="I1661" s="39"/>
      <c r="J1661" s="47" t="str">
        <f>IF(tblMovimientos[[#This Row],[Tipo]]="","",IFERROR(INDEX(tblTiposMov[FactorStock],MATCH(tblMovimientos[[#This Row],[Tipo]],tblTiposMov[Tipo],0)),0))</f>
        <v/>
      </c>
      <c r="K16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1" s="37"/>
      <c r="O1661" s="37"/>
      <c r="P1661" s="37"/>
    </row>
    <row r="1662" spans="2:16" x14ac:dyDescent="0.25">
      <c r="B16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2" s="46"/>
      <c r="D1662" s="37"/>
      <c r="E1662" s="37"/>
      <c r="F1662" s="37"/>
      <c r="G1662" s="40" t="str">
        <f>IF(tblMovimientos[[#This Row],[Producto]]="","",TRIM(LEFT(tblMovimientos[[#This Row],[Producto]],FIND(" · ",tblMovimientos[[#This Row],[Producto]]&amp;" · ")-1)))</f>
        <v/>
      </c>
      <c r="H1662" s="40" t="str">
        <f>IF(tblMovimientos[[#This Row],[SKU]]="","",IFERROR(INDEX(tblProductos[Unidad],MATCH(tblMovimientos[[#This Row],[SKU]],tblProductos[SKU],0)),"?"))</f>
        <v/>
      </c>
      <c r="I1662" s="39"/>
      <c r="J1662" s="47" t="str">
        <f>IF(tblMovimientos[[#This Row],[Tipo]]="","",IFERROR(INDEX(tblTiposMov[FactorStock],MATCH(tblMovimientos[[#This Row],[Tipo]],tblTiposMov[Tipo],0)),0))</f>
        <v/>
      </c>
      <c r="K16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2" s="37"/>
      <c r="O1662" s="37"/>
      <c r="P1662" s="37"/>
    </row>
    <row r="1663" spans="2:16" x14ac:dyDescent="0.25">
      <c r="B16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3" s="46"/>
      <c r="D1663" s="37"/>
      <c r="E1663" s="37"/>
      <c r="F1663" s="37"/>
      <c r="G1663" s="40" t="str">
        <f>IF(tblMovimientos[[#This Row],[Producto]]="","",TRIM(LEFT(tblMovimientos[[#This Row],[Producto]],FIND(" · ",tblMovimientos[[#This Row],[Producto]]&amp;" · ")-1)))</f>
        <v/>
      </c>
      <c r="H1663" s="40" t="str">
        <f>IF(tblMovimientos[[#This Row],[SKU]]="","",IFERROR(INDEX(tblProductos[Unidad],MATCH(tblMovimientos[[#This Row],[SKU]],tblProductos[SKU],0)),"?"))</f>
        <v/>
      </c>
      <c r="I1663" s="39"/>
      <c r="J1663" s="47" t="str">
        <f>IF(tblMovimientos[[#This Row],[Tipo]]="","",IFERROR(INDEX(tblTiposMov[FactorStock],MATCH(tblMovimientos[[#This Row],[Tipo]],tblTiposMov[Tipo],0)),0))</f>
        <v/>
      </c>
      <c r="K16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3" s="37"/>
      <c r="O1663" s="37"/>
      <c r="P1663" s="37"/>
    </row>
    <row r="1664" spans="2:16" x14ac:dyDescent="0.25">
      <c r="B16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4" s="46"/>
      <c r="D1664" s="37"/>
      <c r="E1664" s="37"/>
      <c r="F1664" s="37"/>
      <c r="G1664" s="40" t="str">
        <f>IF(tblMovimientos[[#This Row],[Producto]]="","",TRIM(LEFT(tblMovimientos[[#This Row],[Producto]],FIND(" · ",tblMovimientos[[#This Row],[Producto]]&amp;" · ")-1)))</f>
        <v/>
      </c>
      <c r="H1664" s="40" t="str">
        <f>IF(tblMovimientos[[#This Row],[SKU]]="","",IFERROR(INDEX(tblProductos[Unidad],MATCH(tblMovimientos[[#This Row],[SKU]],tblProductos[SKU],0)),"?"))</f>
        <v/>
      </c>
      <c r="I1664" s="39"/>
      <c r="J1664" s="47" t="str">
        <f>IF(tblMovimientos[[#This Row],[Tipo]]="","",IFERROR(INDEX(tblTiposMov[FactorStock],MATCH(tblMovimientos[[#This Row],[Tipo]],tblTiposMov[Tipo],0)),0))</f>
        <v/>
      </c>
      <c r="K16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4" s="37"/>
      <c r="O1664" s="37"/>
      <c r="P1664" s="37"/>
    </row>
    <row r="1665" spans="2:16" x14ac:dyDescent="0.25">
      <c r="B16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5" s="46"/>
      <c r="D1665" s="37"/>
      <c r="E1665" s="37"/>
      <c r="F1665" s="37"/>
      <c r="G1665" s="40" t="str">
        <f>IF(tblMovimientos[[#This Row],[Producto]]="","",TRIM(LEFT(tblMovimientos[[#This Row],[Producto]],FIND(" · ",tblMovimientos[[#This Row],[Producto]]&amp;" · ")-1)))</f>
        <v/>
      </c>
      <c r="H1665" s="40" t="str">
        <f>IF(tblMovimientos[[#This Row],[SKU]]="","",IFERROR(INDEX(tblProductos[Unidad],MATCH(tblMovimientos[[#This Row],[SKU]],tblProductos[SKU],0)),"?"))</f>
        <v/>
      </c>
      <c r="I1665" s="39"/>
      <c r="J1665" s="47" t="str">
        <f>IF(tblMovimientos[[#This Row],[Tipo]]="","",IFERROR(INDEX(tblTiposMov[FactorStock],MATCH(tblMovimientos[[#This Row],[Tipo]],tblTiposMov[Tipo],0)),0))</f>
        <v/>
      </c>
      <c r="K16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5" s="37"/>
      <c r="O1665" s="37"/>
      <c r="P1665" s="37"/>
    </row>
    <row r="1666" spans="2:16" x14ac:dyDescent="0.25">
      <c r="B16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6" s="46"/>
      <c r="D1666" s="37"/>
      <c r="E1666" s="37"/>
      <c r="F1666" s="37"/>
      <c r="G1666" s="40" t="str">
        <f>IF(tblMovimientos[[#This Row],[Producto]]="","",TRIM(LEFT(tblMovimientos[[#This Row],[Producto]],FIND(" · ",tblMovimientos[[#This Row],[Producto]]&amp;" · ")-1)))</f>
        <v/>
      </c>
      <c r="H1666" s="40" t="str">
        <f>IF(tblMovimientos[[#This Row],[SKU]]="","",IFERROR(INDEX(tblProductos[Unidad],MATCH(tblMovimientos[[#This Row],[SKU]],tblProductos[SKU],0)),"?"))</f>
        <v/>
      </c>
      <c r="I1666" s="39"/>
      <c r="J1666" s="47" t="str">
        <f>IF(tblMovimientos[[#This Row],[Tipo]]="","",IFERROR(INDEX(tblTiposMov[FactorStock],MATCH(tblMovimientos[[#This Row],[Tipo]],tblTiposMov[Tipo],0)),0))</f>
        <v/>
      </c>
      <c r="K16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6" s="37"/>
      <c r="O1666" s="37"/>
      <c r="P1666" s="37"/>
    </row>
    <row r="1667" spans="2:16" x14ac:dyDescent="0.25">
      <c r="B16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7" s="46"/>
      <c r="D1667" s="37"/>
      <c r="E1667" s="37"/>
      <c r="F1667" s="37"/>
      <c r="G1667" s="40" t="str">
        <f>IF(tblMovimientos[[#This Row],[Producto]]="","",TRIM(LEFT(tblMovimientos[[#This Row],[Producto]],FIND(" · ",tblMovimientos[[#This Row],[Producto]]&amp;" · ")-1)))</f>
        <v/>
      </c>
      <c r="H1667" s="40" t="str">
        <f>IF(tblMovimientos[[#This Row],[SKU]]="","",IFERROR(INDEX(tblProductos[Unidad],MATCH(tblMovimientos[[#This Row],[SKU]],tblProductos[SKU],0)),"?"))</f>
        <v/>
      </c>
      <c r="I1667" s="39"/>
      <c r="J1667" s="47" t="str">
        <f>IF(tblMovimientos[[#This Row],[Tipo]]="","",IFERROR(INDEX(tblTiposMov[FactorStock],MATCH(tblMovimientos[[#This Row],[Tipo]],tblTiposMov[Tipo],0)),0))</f>
        <v/>
      </c>
      <c r="K16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7" s="37"/>
      <c r="O1667" s="37"/>
      <c r="P1667" s="37"/>
    </row>
    <row r="1668" spans="2:16" x14ac:dyDescent="0.25">
      <c r="B16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8" s="46"/>
      <c r="D1668" s="37"/>
      <c r="E1668" s="37"/>
      <c r="F1668" s="37"/>
      <c r="G1668" s="40" t="str">
        <f>IF(tblMovimientos[[#This Row],[Producto]]="","",TRIM(LEFT(tblMovimientos[[#This Row],[Producto]],FIND(" · ",tblMovimientos[[#This Row],[Producto]]&amp;" · ")-1)))</f>
        <v/>
      </c>
      <c r="H1668" s="40" t="str">
        <f>IF(tblMovimientos[[#This Row],[SKU]]="","",IFERROR(INDEX(tblProductos[Unidad],MATCH(tblMovimientos[[#This Row],[SKU]],tblProductos[SKU],0)),"?"))</f>
        <v/>
      </c>
      <c r="I1668" s="39"/>
      <c r="J1668" s="47" t="str">
        <f>IF(tblMovimientos[[#This Row],[Tipo]]="","",IFERROR(INDEX(tblTiposMov[FactorStock],MATCH(tblMovimientos[[#This Row],[Tipo]],tblTiposMov[Tipo],0)),0))</f>
        <v/>
      </c>
      <c r="K16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8" s="37"/>
      <c r="O1668" s="37"/>
      <c r="P1668" s="37"/>
    </row>
    <row r="1669" spans="2:16" x14ac:dyDescent="0.25">
      <c r="B16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69" s="46"/>
      <c r="D1669" s="37"/>
      <c r="E1669" s="37"/>
      <c r="F1669" s="37"/>
      <c r="G1669" s="40" t="str">
        <f>IF(tblMovimientos[[#This Row],[Producto]]="","",TRIM(LEFT(tblMovimientos[[#This Row],[Producto]],FIND(" · ",tblMovimientos[[#This Row],[Producto]]&amp;" · ")-1)))</f>
        <v/>
      </c>
      <c r="H1669" s="40" t="str">
        <f>IF(tblMovimientos[[#This Row],[SKU]]="","",IFERROR(INDEX(tblProductos[Unidad],MATCH(tblMovimientos[[#This Row],[SKU]],tblProductos[SKU],0)),"?"))</f>
        <v/>
      </c>
      <c r="I1669" s="39"/>
      <c r="J1669" s="47" t="str">
        <f>IF(tblMovimientos[[#This Row],[Tipo]]="","",IFERROR(INDEX(tblTiposMov[FactorStock],MATCH(tblMovimientos[[#This Row],[Tipo]],tblTiposMov[Tipo],0)),0))</f>
        <v/>
      </c>
      <c r="K16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69" s="37"/>
      <c r="O1669" s="37"/>
      <c r="P1669" s="37"/>
    </row>
    <row r="1670" spans="2:16" x14ac:dyDescent="0.25">
      <c r="B16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0" s="46"/>
      <c r="D1670" s="37"/>
      <c r="E1670" s="37"/>
      <c r="F1670" s="37"/>
      <c r="G1670" s="40" t="str">
        <f>IF(tblMovimientos[[#This Row],[Producto]]="","",TRIM(LEFT(tblMovimientos[[#This Row],[Producto]],FIND(" · ",tblMovimientos[[#This Row],[Producto]]&amp;" · ")-1)))</f>
        <v/>
      </c>
      <c r="H1670" s="40" t="str">
        <f>IF(tblMovimientos[[#This Row],[SKU]]="","",IFERROR(INDEX(tblProductos[Unidad],MATCH(tblMovimientos[[#This Row],[SKU]],tblProductos[SKU],0)),"?"))</f>
        <v/>
      </c>
      <c r="I1670" s="39"/>
      <c r="J1670" s="47" t="str">
        <f>IF(tblMovimientos[[#This Row],[Tipo]]="","",IFERROR(INDEX(tblTiposMov[FactorStock],MATCH(tblMovimientos[[#This Row],[Tipo]],tblTiposMov[Tipo],0)),0))</f>
        <v/>
      </c>
      <c r="K16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0" s="37"/>
      <c r="O1670" s="37"/>
      <c r="P1670" s="37"/>
    </row>
    <row r="1671" spans="2:16" x14ac:dyDescent="0.25">
      <c r="B16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1" s="46"/>
      <c r="D1671" s="37"/>
      <c r="E1671" s="37"/>
      <c r="F1671" s="37"/>
      <c r="G1671" s="40" t="str">
        <f>IF(tblMovimientos[[#This Row],[Producto]]="","",TRIM(LEFT(tblMovimientos[[#This Row],[Producto]],FIND(" · ",tblMovimientos[[#This Row],[Producto]]&amp;" · ")-1)))</f>
        <v/>
      </c>
      <c r="H1671" s="40" t="str">
        <f>IF(tblMovimientos[[#This Row],[SKU]]="","",IFERROR(INDEX(tblProductos[Unidad],MATCH(tblMovimientos[[#This Row],[SKU]],tblProductos[SKU],0)),"?"))</f>
        <v/>
      </c>
      <c r="I1671" s="39"/>
      <c r="J1671" s="47" t="str">
        <f>IF(tblMovimientos[[#This Row],[Tipo]]="","",IFERROR(INDEX(tblTiposMov[FactorStock],MATCH(tblMovimientos[[#This Row],[Tipo]],tblTiposMov[Tipo],0)),0))</f>
        <v/>
      </c>
      <c r="K16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1" s="37"/>
      <c r="O1671" s="37"/>
      <c r="P1671" s="37"/>
    </row>
    <row r="1672" spans="2:16" x14ac:dyDescent="0.25">
      <c r="B16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2" s="46"/>
      <c r="D1672" s="37"/>
      <c r="E1672" s="37"/>
      <c r="F1672" s="37"/>
      <c r="G1672" s="40" t="str">
        <f>IF(tblMovimientos[[#This Row],[Producto]]="","",TRIM(LEFT(tblMovimientos[[#This Row],[Producto]],FIND(" · ",tblMovimientos[[#This Row],[Producto]]&amp;" · ")-1)))</f>
        <v/>
      </c>
      <c r="H1672" s="40" t="str">
        <f>IF(tblMovimientos[[#This Row],[SKU]]="","",IFERROR(INDEX(tblProductos[Unidad],MATCH(tblMovimientos[[#This Row],[SKU]],tblProductos[SKU],0)),"?"))</f>
        <v/>
      </c>
      <c r="I1672" s="39"/>
      <c r="J1672" s="47" t="str">
        <f>IF(tblMovimientos[[#This Row],[Tipo]]="","",IFERROR(INDEX(tblTiposMov[FactorStock],MATCH(tblMovimientos[[#This Row],[Tipo]],tblTiposMov[Tipo],0)),0))</f>
        <v/>
      </c>
      <c r="K16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2" s="37"/>
      <c r="O1672" s="37"/>
      <c r="P1672" s="37"/>
    </row>
    <row r="1673" spans="2:16" x14ac:dyDescent="0.25">
      <c r="B16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3" s="46"/>
      <c r="D1673" s="37"/>
      <c r="E1673" s="37"/>
      <c r="F1673" s="37"/>
      <c r="G1673" s="40" t="str">
        <f>IF(tblMovimientos[[#This Row],[Producto]]="","",TRIM(LEFT(tblMovimientos[[#This Row],[Producto]],FIND(" · ",tblMovimientos[[#This Row],[Producto]]&amp;" · ")-1)))</f>
        <v/>
      </c>
      <c r="H1673" s="40" t="str">
        <f>IF(tblMovimientos[[#This Row],[SKU]]="","",IFERROR(INDEX(tblProductos[Unidad],MATCH(tblMovimientos[[#This Row],[SKU]],tblProductos[SKU],0)),"?"))</f>
        <v/>
      </c>
      <c r="I1673" s="39"/>
      <c r="J1673" s="47" t="str">
        <f>IF(tblMovimientos[[#This Row],[Tipo]]="","",IFERROR(INDEX(tblTiposMov[FactorStock],MATCH(tblMovimientos[[#This Row],[Tipo]],tblTiposMov[Tipo],0)),0))</f>
        <v/>
      </c>
      <c r="K16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3" s="37"/>
      <c r="O1673" s="37"/>
      <c r="P1673" s="37"/>
    </row>
    <row r="1674" spans="2:16" x14ac:dyDescent="0.25">
      <c r="B16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4" s="46"/>
      <c r="D1674" s="37"/>
      <c r="E1674" s="37"/>
      <c r="F1674" s="37"/>
      <c r="G1674" s="40" t="str">
        <f>IF(tblMovimientos[[#This Row],[Producto]]="","",TRIM(LEFT(tblMovimientos[[#This Row],[Producto]],FIND(" · ",tblMovimientos[[#This Row],[Producto]]&amp;" · ")-1)))</f>
        <v/>
      </c>
      <c r="H1674" s="40" t="str">
        <f>IF(tblMovimientos[[#This Row],[SKU]]="","",IFERROR(INDEX(tblProductos[Unidad],MATCH(tblMovimientos[[#This Row],[SKU]],tblProductos[SKU],0)),"?"))</f>
        <v/>
      </c>
      <c r="I1674" s="39"/>
      <c r="J1674" s="47" t="str">
        <f>IF(tblMovimientos[[#This Row],[Tipo]]="","",IFERROR(INDEX(tblTiposMov[FactorStock],MATCH(tblMovimientos[[#This Row],[Tipo]],tblTiposMov[Tipo],0)),0))</f>
        <v/>
      </c>
      <c r="K16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4" s="37"/>
      <c r="O1674" s="37"/>
      <c r="P1674" s="37"/>
    </row>
    <row r="1675" spans="2:16" x14ac:dyDescent="0.25">
      <c r="B16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5" s="46"/>
      <c r="D1675" s="37"/>
      <c r="E1675" s="37"/>
      <c r="F1675" s="37"/>
      <c r="G1675" s="40" t="str">
        <f>IF(tblMovimientos[[#This Row],[Producto]]="","",TRIM(LEFT(tblMovimientos[[#This Row],[Producto]],FIND(" · ",tblMovimientos[[#This Row],[Producto]]&amp;" · ")-1)))</f>
        <v/>
      </c>
      <c r="H1675" s="40" t="str">
        <f>IF(tblMovimientos[[#This Row],[SKU]]="","",IFERROR(INDEX(tblProductos[Unidad],MATCH(tblMovimientos[[#This Row],[SKU]],tblProductos[SKU],0)),"?"))</f>
        <v/>
      </c>
      <c r="I1675" s="39"/>
      <c r="J1675" s="47" t="str">
        <f>IF(tblMovimientos[[#This Row],[Tipo]]="","",IFERROR(INDEX(tblTiposMov[FactorStock],MATCH(tblMovimientos[[#This Row],[Tipo]],tblTiposMov[Tipo],0)),0))</f>
        <v/>
      </c>
      <c r="K16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5" s="37"/>
      <c r="O1675" s="37"/>
      <c r="P1675" s="37"/>
    </row>
    <row r="1676" spans="2:16" x14ac:dyDescent="0.25">
      <c r="B16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6" s="46"/>
      <c r="D1676" s="37"/>
      <c r="E1676" s="37"/>
      <c r="F1676" s="37"/>
      <c r="G1676" s="40" t="str">
        <f>IF(tblMovimientos[[#This Row],[Producto]]="","",TRIM(LEFT(tblMovimientos[[#This Row],[Producto]],FIND(" · ",tblMovimientos[[#This Row],[Producto]]&amp;" · ")-1)))</f>
        <v/>
      </c>
      <c r="H1676" s="40" t="str">
        <f>IF(tblMovimientos[[#This Row],[SKU]]="","",IFERROR(INDEX(tblProductos[Unidad],MATCH(tblMovimientos[[#This Row],[SKU]],tblProductos[SKU],0)),"?"))</f>
        <v/>
      </c>
      <c r="I1676" s="39"/>
      <c r="J1676" s="47" t="str">
        <f>IF(tblMovimientos[[#This Row],[Tipo]]="","",IFERROR(INDEX(tblTiposMov[FactorStock],MATCH(tblMovimientos[[#This Row],[Tipo]],tblTiposMov[Tipo],0)),0))</f>
        <v/>
      </c>
      <c r="K16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6" s="37"/>
      <c r="O1676" s="37"/>
      <c r="P1676" s="37"/>
    </row>
    <row r="1677" spans="2:16" x14ac:dyDescent="0.25">
      <c r="B16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7" s="46"/>
      <c r="D1677" s="37"/>
      <c r="E1677" s="37"/>
      <c r="F1677" s="37"/>
      <c r="G1677" s="40" t="str">
        <f>IF(tblMovimientos[[#This Row],[Producto]]="","",TRIM(LEFT(tblMovimientos[[#This Row],[Producto]],FIND(" · ",tblMovimientos[[#This Row],[Producto]]&amp;" · ")-1)))</f>
        <v/>
      </c>
      <c r="H1677" s="40" t="str">
        <f>IF(tblMovimientos[[#This Row],[SKU]]="","",IFERROR(INDEX(tblProductos[Unidad],MATCH(tblMovimientos[[#This Row],[SKU]],tblProductos[SKU],0)),"?"))</f>
        <v/>
      </c>
      <c r="I1677" s="39"/>
      <c r="J1677" s="47" t="str">
        <f>IF(tblMovimientos[[#This Row],[Tipo]]="","",IFERROR(INDEX(tblTiposMov[FactorStock],MATCH(tblMovimientos[[#This Row],[Tipo]],tblTiposMov[Tipo],0)),0))</f>
        <v/>
      </c>
      <c r="K16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7" s="37"/>
      <c r="O1677" s="37"/>
      <c r="P1677" s="37"/>
    </row>
    <row r="1678" spans="2:16" x14ac:dyDescent="0.25">
      <c r="B16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8" s="46"/>
      <c r="D1678" s="37"/>
      <c r="E1678" s="37"/>
      <c r="F1678" s="37"/>
      <c r="G1678" s="40" t="str">
        <f>IF(tblMovimientos[[#This Row],[Producto]]="","",TRIM(LEFT(tblMovimientos[[#This Row],[Producto]],FIND(" · ",tblMovimientos[[#This Row],[Producto]]&amp;" · ")-1)))</f>
        <v/>
      </c>
      <c r="H1678" s="40" t="str">
        <f>IF(tblMovimientos[[#This Row],[SKU]]="","",IFERROR(INDEX(tblProductos[Unidad],MATCH(tblMovimientos[[#This Row],[SKU]],tblProductos[SKU],0)),"?"))</f>
        <v/>
      </c>
      <c r="I1678" s="39"/>
      <c r="J1678" s="47" t="str">
        <f>IF(tblMovimientos[[#This Row],[Tipo]]="","",IFERROR(INDEX(tblTiposMov[FactorStock],MATCH(tblMovimientos[[#This Row],[Tipo]],tblTiposMov[Tipo],0)),0))</f>
        <v/>
      </c>
      <c r="K16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8" s="37"/>
      <c r="O1678" s="37"/>
      <c r="P1678" s="37"/>
    </row>
    <row r="1679" spans="2:16" x14ac:dyDescent="0.25">
      <c r="B16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79" s="46"/>
      <c r="D1679" s="37"/>
      <c r="E1679" s="37"/>
      <c r="F1679" s="37"/>
      <c r="G1679" s="40" t="str">
        <f>IF(tblMovimientos[[#This Row],[Producto]]="","",TRIM(LEFT(tblMovimientos[[#This Row],[Producto]],FIND(" · ",tblMovimientos[[#This Row],[Producto]]&amp;" · ")-1)))</f>
        <v/>
      </c>
      <c r="H1679" s="40" t="str">
        <f>IF(tblMovimientos[[#This Row],[SKU]]="","",IFERROR(INDEX(tblProductos[Unidad],MATCH(tblMovimientos[[#This Row],[SKU]],tblProductos[SKU],0)),"?"))</f>
        <v/>
      </c>
      <c r="I1679" s="39"/>
      <c r="J1679" s="47" t="str">
        <f>IF(tblMovimientos[[#This Row],[Tipo]]="","",IFERROR(INDEX(tblTiposMov[FactorStock],MATCH(tblMovimientos[[#This Row],[Tipo]],tblTiposMov[Tipo],0)),0))</f>
        <v/>
      </c>
      <c r="K16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79" s="37"/>
      <c r="O1679" s="37"/>
      <c r="P1679" s="37"/>
    </row>
    <row r="1680" spans="2:16" x14ac:dyDescent="0.25">
      <c r="B16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0" s="46"/>
      <c r="D1680" s="37"/>
      <c r="E1680" s="37"/>
      <c r="F1680" s="37"/>
      <c r="G1680" s="40" t="str">
        <f>IF(tblMovimientos[[#This Row],[Producto]]="","",TRIM(LEFT(tblMovimientos[[#This Row],[Producto]],FIND(" · ",tblMovimientos[[#This Row],[Producto]]&amp;" · ")-1)))</f>
        <v/>
      </c>
      <c r="H1680" s="40" t="str">
        <f>IF(tblMovimientos[[#This Row],[SKU]]="","",IFERROR(INDEX(tblProductos[Unidad],MATCH(tblMovimientos[[#This Row],[SKU]],tblProductos[SKU],0)),"?"))</f>
        <v/>
      </c>
      <c r="I1680" s="39"/>
      <c r="J1680" s="47" t="str">
        <f>IF(tblMovimientos[[#This Row],[Tipo]]="","",IFERROR(INDEX(tblTiposMov[FactorStock],MATCH(tblMovimientos[[#This Row],[Tipo]],tblTiposMov[Tipo],0)),0))</f>
        <v/>
      </c>
      <c r="K16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0" s="37"/>
      <c r="O1680" s="37"/>
      <c r="P1680" s="37"/>
    </row>
    <row r="1681" spans="2:16" x14ac:dyDescent="0.25">
      <c r="B16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1" s="46"/>
      <c r="D1681" s="37"/>
      <c r="E1681" s="37"/>
      <c r="F1681" s="37"/>
      <c r="G1681" s="40" t="str">
        <f>IF(tblMovimientos[[#This Row],[Producto]]="","",TRIM(LEFT(tblMovimientos[[#This Row],[Producto]],FIND(" · ",tblMovimientos[[#This Row],[Producto]]&amp;" · ")-1)))</f>
        <v/>
      </c>
      <c r="H1681" s="40" t="str">
        <f>IF(tblMovimientos[[#This Row],[SKU]]="","",IFERROR(INDEX(tblProductos[Unidad],MATCH(tblMovimientos[[#This Row],[SKU]],tblProductos[SKU],0)),"?"))</f>
        <v/>
      </c>
      <c r="I1681" s="39"/>
      <c r="J1681" s="47" t="str">
        <f>IF(tblMovimientos[[#This Row],[Tipo]]="","",IFERROR(INDEX(tblTiposMov[FactorStock],MATCH(tblMovimientos[[#This Row],[Tipo]],tblTiposMov[Tipo],0)),0))</f>
        <v/>
      </c>
      <c r="K16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1" s="37"/>
      <c r="O1681" s="37"/>
      <c r="P1681" s="37"/>
    </row>
    <row r="1682" spans="2:16" x14ac:dyDescent="0.25">
      <c r="B16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2" s="46"/>
      <c r="D1682" s="37"/>
      <c r="E1682" s="37"/>
      <c r="F1682" s="37"/>
      <c r="G1682" s="40" t="str">
        <f>IF(tblMovimientos[[#This Row],[Producto]]="","",TRIM(LEFT(tblMovimientos[[#This Row],[Producto]],FIND(" · ",tblMovimientos[[#This Row],[Producto]]&amp;" · ")-1)))</f>
        <v/>
      </c>
      <c r="H1682" s="40" t="str">
        <f>IF(tblMovimientos[[#This Row],[SKU]]="","",IFERROR(INDEX(tblProductos[Unidad],MATCH(tblMovimientos[[#This Row],[SKU]],tblProductos[SKU],0)),"?"))</f>
        <v/>
      </c>
      <c r="I1682" s="39"/>
      <c r="J1682" s="47" t="str">
        <f>IF(tblMovimientos[[#This Row],[Tipo]]="","",IFERROR(INDEX(tblTiposMov[FactorStock],MATCH(tblMovimientos[[#This Row],[Tipo]],tblTiposMov[Tipo],0)),0))</f>
        <v/>
      </c>
      <c r="K16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2" s="37"/>
      <c r="O1682" s="37"/>
      <c r="P1682" s="37"/>
    </row>
    <row r="1683" spans="2:16" x14ac:dyDescent="0.25">
      <c r="B16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3" s="46"/>
      <c r="D1683" s="37"/>
      <c r="E1683" s="37"/>
      <c r="F1683" s="37"/>
      <c r="G1683" s="40" t="str">
        <f>IF(tblMovimientos[[#This Row],[Producto]]="","",TRIM(LEFT(tblMovimientos[[#This Row],[Producto]],FIND(" · ",tblMovimientos[[#This Row],[Producto]]&amp;" · ")-1)))</f>
        <v/>
      </c>
      <c r="H1683" s="40" t="str">
        <f>IF(tblMovimientos[[#This Row],[SKU]]="","",IFERROR(INDEX(tblProductos[Unidad],MATCH(tblMovimientos[[#This Row],[SKU]],tblProductos[SKU],0)),"?"))</f>
        <v/>
      </c>
      <c r="I1683" s="39"/>
      <c r="J1683" s="47" t="str">
        <f>IF(tblMovimientos[[#This Row],[Tipo]]="","",IFERROR(INDEX(tblTiposMov[FactorStock],MATCH(tblMovimientos[[#This Row],[Tipo]],tblTiposMov[Tipo],0)),0))</f>
        <v/>
      </c>
      <c r="K16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3" s="37"/>
      <c r="O1683" s="37"/>
      <c r="P1683" s="37"/>
    </row>
    <row r="1684" spans="2:16" x14ac:dyDescent="0.25">
      <c r="B16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4" s="46"/>
      <c r="D1684" s="37"/>
      <c r="E1684" s="37"/>
      <c r="F1684" s="37"/>
      <c r="G1684" s="40" t="str">
        <f>IF(tblMovimientos[[#This Row],[Producto]]="","",TRIM(LEFT(tblMovimientos[[#This Row],[Producto]],FIND(" · ",tblMovimientos[[#This Row],[Producto]]&amp;" · ")-1)))</f>
        <v/>
      </c>
      <c r="H1684" s="40" t="str">
        <f>IF(tblMovimientos[[#This Row],[SKU]]="","",IFERROR(INDEX(tblProductos[Unidad],MATCH(tblMovimientos[[#This Row],[SKU]],tblProductos[SKU],0)),"?"))</f>
        <v/>
      </c>
      <c r="I1684" s="39"/>
      <c r="J1684" s="47" t="str">
        <f>IF(tblMovimientos[[#This Row],[Tipo]]="","",IFERROR(INDEX(tblTiposMov[FactorStock],MATCH(tblMovimientos[[#This Row],[Tipo]],tblTiposMov[Tipo],0)),0))</f>
        <v/>
      </c>
      <c r="K16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4" s="37"/>
      <c r="O1684" s="37"/>
      <c r="P1684" s="37"/>
    </row>
    <row r="1685" spans="2:16" x14ac:dyDescent="0.25">
      <c r="B16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5" s="46"/>
      <c r="D1685" s="37"/>
      <c r="E1685" s="37"/>
      <c r="F1685" s="37"/>
      <c r="G1685" s="40" t="str">
        <f>IF(tblMovimientos[[#This Row],[Producto]]="","",TRIM(LEFT(tblMovimientos[[#This Row],[Producto]],FIND(" · ",tblMovimientos[[#This Row],[Producto]]&amp;" · ")-1)))</f>
        <v/>
      </c>
      <c r="H1685" s="40" t="str">
        <f>IF(tblMovimientos[[#This Row],[SKU]]="","",IFERROR(INDEX(tblProductos[Unidad],MATCH(tblMovimientos[[#This Row],[SKU]],tblProductos[SKU],0)),"?"))</f>
        <v/>
      </c>
      <c r="I1685" s="39"/>
      <c r="J1685" s="47" t="str">
        <f>IF(tblMovimientos[[#This Row],[Tipo]]="","",IFERROR(INDEX(tblTiposMov[FactorStock],MATCH(tblMovimientos[[#This Row],[Tipo]],tblTiposMov[Tipo],0)),0))</f>
        <v/>
      </c>
      <c r="K16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5" s="37"/>
      <c r="O1685" s="37"/>
      <c r="P1685" s="37"/>
    </row>
    <row r="1686" spans="2:16" x14ac:dyDescent="0.25">
      <c r="B16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6" s="46"/>
      <c r="D1686" s="37"/>
      <c r="E1686" s="37"/>
      <c r="F1686" s="37"/>
      <c r="G1686" s="40" t="str">
        <f>IF(tblMovimientos[[#This Row],[Producto]]="","",TRIM(LEFT(tblMovimientos[[#This Row],[Producto]],FIND(" · ",tblMovimientos[[#This Row],[Producto]]&amp;" · ")-1)))</f>
        <v/>
      </c>
      <c r="H1686" s="40" t="str">
        <f>IF(tblMovimientos[[#This Row],[SKU]]="","",IFERROR(INDEX(tblProductos[Unidad],MATCH(tblMovimientos[[#This Row],[SKU]],tblProductos[SKU],0)),"?"))</f>
        <v/>
      </c>
      <c r="I1686" s="39"/>
      <c r="J1686" s="47" t="str">
        <f>IF(tblMovimientos[[#This Row],[Tipo]]="","",IFERROR(INDEX(tblTiposMov[FactorStock],MATCH(tblMovimientos[[#This Row],[Tipo]],tblTiposMov[Tipo],0)),0))</f>
        <v/>
      </c>
      <c r="K16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6" s="37"/>
      <c r="O1686" s="37"/>
      <c r="P1686" s="37"/>
    </row>
    <row r="1687" spans="2:16" x14ac:dyDescent="0.25">
      <c r="B16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7" s="46"/>
      <c r="D1687" s="37"/>
      <c r="E1687" s="37"/>
      <c r="F1687" s="37"/>
      <c r="G1687" s="40" t="str">
        <f>IF(tblMovimientos[[#This Row],[Producto]]="","",TRIM(LEFT(tblMovimientos[[#This Row],[Producto]],FIND(" · ",tblMovimientos[[#This Row],[Producto]]&amp;" · ")-1)))</f>
        <v/>
      </c>
      <c r="H1687" s="40" t="str">
        <f>IF(tblMovimientos[[#This Row],[SKU]]="","",IFERROR(INDEX(tblProductos[Unidad],MATCH(tblMovimientos[[#This Row],[SKU]],tblProductos[SKU],0)),"?"))</f>
        <v/>
      </c>
      <c r="I1687" s="39"/>
      <c r="J1687" s="47" t="str">
        <f>IF(tblMovimientos[[#This Row],[Tipo]]="","",IFERROR(INDEX(tblTiposMov[FactorStock],MATCH(tblMovimientos[[#This Row],[Tipo]],tblTiposMov[Tipo],0)),0))</f>
        <v/>
      </c>
      <c r="K16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7" s="37"/>
      <c r="O1687" s="37"/>
      <c r="P1687" s="37"/>
    </row>
    <row r="1688" spans="2:16" x14ac:dyDescent="0.25">
      <c r="B16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8" s="46"/>
      <c r="D1688" s="37"/>
      <c r="E1688" s="37"/>
      <c r="F1688" s="37"/>
      <c r="G1688" s="40" t="str">
        <f>IF(tblMovimientos[[#This Row],[Producto]]="","",TRIM(LEFT(tblMovimientos[[#This Row],[Producto]],FIND(" · ",tblMovimientos[[#This Row],[Producto]]&amp;" · ")-1)))</f>
        <v/>
      </c>
      <c r="H1688" s="40" t="str">
        <f>IF(tblMovimientos[[#This Row],[SKU]]="","",IFERROR(INDEX(tblProductos[Unidad],MATCH(tblMovimientos[[#This Row],[SKU]],tblProductos[SKU],0)),"?"))</f>
        <v/>
      </c>
      <c r="I1688" s="39"/>
      <c r="J1688" s="47" t="str">
        <f>IF(tblMovimientos[[#This Row],[Tipo]]="","",IFERROR(INDEX(tblTiposMov[FactorStock],MATCH(tblMovimientos[[#This Row],[Tipo]],tblTiposMov[Tipo],0)),0))</f>
        <v/>
      </c>
      <c r="K16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8" s="37"/>
      <c r="O1688" s="37"/>
      <c r="P1688" s="37"/>
    </row>
    <row r="1689" spans="2:16" x14ac:dyDescent="0.25">
      <c r="B16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89" s="46"/>
      <c r="D1689" s="37"/>
      <c r="E1689" s="37"/>
      <c r="F1689" s="37"/>
      <c r="G1689" s="40" t="str">
        <f>IF(tblMovimientos[[#This Row],[Producto]]="","",TRIM(LEFT(tblMovimientos[[#This Row],[Producto]],FIND(" · ",tblMovimientos[[#This Row],[Producto]]&amp;" · ")-1)))</f>
        <v/>
      </c>
      <c r="H1689" s="40" t="str">
        <f>IF(tblMovimientos[[#This Row],[SKU]]="","",IFERROR(INDEX(tblProductos[Unidad],MATCH(tblMovimientos[[#This Row],[SKU]],tblProductos[SKU],0)),"?"))</f>
        <v/>
      </c>
      <c r="I1689" s="39"/>
      <c r="J1689" s="47" t="str">
        <f>IF(tblMovimientos[[#This Row],[Tipo]]="","",IFERROR(INDEX(tblTiposMov[FactorStock],MATCH(tblMovimientos[[#This Row],[Tipo]],tblTiposMov[Tipo],0)),0))</f>
        <v/>
      </c>
      <c r="K16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89" s="37"/>
      <c r="O1689" s="37"/>
      <c r="P1689" s="37"/>
    </row>
    <row r="1690" spans="2:16" x14ac:dyDescent="0.25">
      <c r="B16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0" s="46"/>
      <c r="D1690" s="37"/>
      <c r="E1690" s="37"/>
      <c r="F1690" s="37"/>
      <c r="G1690" s="40" t="str">
        <f>IF(tblMovimientos[[#This Row],[Producto]]="","",TRIM(LEFT(tblMovimientos[[#This Row],[Producto]],FIND(" · ",tblMovimientos[[#This Row],[Producto]]&amp;" · ")-1)))</f>
        <v/>
      </c>
      <c r="H1690" s="40" t="str">
        <f>IF(tblMovimientos[[#This Row],[SKU]]="","",IFERROR(INDEX(tblProductos[Unidad],MATCH(tblMovimientos[[#This Row],[SKU]],tblProductos[SKU],0)),"?"))</f>
        <v/>
      </c>
      <c r="I1690" s="39"/>
      <c r="J1690" s="47" t="str">
        <f>IF(tblMovimientos[[#This Row],[Tipo]]="","",IFERROR(INDEX(tblTiposMov[FactorStock],MATCH(tblMovimientos[[#This Row],[Tipo]],tblTiposMov[Tipo],0)),0))</f>
        <v/>
      </c>
      <c r="K16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0" s="37"/>
      <c r="O1690" s="37"/>
      <c r="P1690" s="37"/>
    </row>
    <row r="1691" spans="2:16" x14ac:dyDescent="0.25">
      <c r="B16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1" s="46"/>
      <c r="D1691" s="37"/>
      <c r="E1691" s="37"/>
      <c r="F1691" s="37"/>
      <c r="G1691" s="40" t="str">
        <f>IF(tblMovimientos[[#This Row],[Producto]]="","",TRIM(LEFT(tblMovimientos[[#This Row],[Producto]],FIND(" · ",tblMovimientos[[#This Row],[Producto]]&amp;" · ")-1)))</f>
        <v/>
      </c>
      <c r="H1691" s="40" t="str">
        <f>IF(tblMovimientos[[#This Row],[SKU]]="","",IFERROR(INDEX(tblProductos[Unidad],MATCH(tblMovimientos[[#This Row],[SKU]],tblProductos[SKU],0)),"?"))</f>
        <v/>
      </c>
      <c r="I1691" s="39"/>
      <c r="J1691" s="47" t="str">
        <f>IF(tblMovimientos[[#This Row],[Tipo]]="","",IFERROR(INDEX(tblTiposMov[FactorStock],MATCH(tblMovimientos[[#This Row],[Tipo]],tblTiposMov[Tipo],0)),0))</f>
        <v/>
      </c>
      <c r="K16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1" s="37"/>
      <c r="O1691" s="37"/>
      <c r="P1691" s="37"/>
    </row>
    <row r="1692" spans="2:16" x14ac:dyDescent="0.25">
      <c r="B16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2" s="46"/>
      <c r="D1692" s="37"/>
      <c r="E1692" s="37"/>
      <c r="F1692" s="37"/>
      <c r="G1692" s="40" t="str">
        <f>IF(tblMovimientos[[#This Row],[Producto]]="","",TRIM(LEFT(tblMovimientos[[#This Row],[Producto]],FIND(" · ",tblMovimientos[[#This Row],[Producto]]&amp;" · ")-1)))</f>
        <v/>
      </c>
      <c r="H1692" s="40" t="str">
        <f>IF(tblMovimientos[[#This Row],[SKU]]="","",IFERROR(INDEX(tblProductos[Unidad],MATCH(tblMovimientos[[#This Row],[SKU]],tblProductos[SKU],0)),"?"))</f>
        <v/>
      </c>
      <c r="I1692" s="39"/>
      <c r="J1692" s="47" t="str">
        <f>IF(tblMovimientos[[#This Row],[Tipo]]="","",IFERROR(INDEX(tblTiposMov[FactorStock],MATCH(tblMovimientos[[#This Row],[Tipo]],tblTiposMov[Tipo],0)),0))</f>
        <v/>
      </c>
      <c r="K16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2" s="37"/>
      <c r="O1692" s="37"/>
      <c r="P1692" s="37"/>
    </row>
    <row r="1693" spans="2:16" x14ac:dyDescent="0.25">
      <c r="B16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3" s="46"/>
      <c r="D1693" s="37"/>
      <c r="E1693" s="37"/>
      <c r="F1693" s="37"/>
      <c r="G1693" s="40" t="str">
        <f>IF(tblMovimientos[[#This Row],[Producto]]="","",TRIM(LEFT(tblMovimientos[[#This Row],[Producto]],FIND(" · ",tblMovimientos[[#This Row],[Producto]]&amp;" · ")-1)))</f>
        <v/>
      </c>
      <c r="H1693" s="40" t="str">
        <f>IF(tblMovimientos[[#This Row],[SKU]]="","",IFERROR(INDEX(tblProductos[Unidad],MATCH(tblMovimientos[[#This Row],[SKU]],tblProductos[SKU],0)),"?"))</f>
        <v/>
      </c>
      <c r="I1693" s="39"/>
      <c r="J1693" s="47" t="str">
        <f>IF(tblMovimientos[[#This Row],[Tipo]]="","",IFERROR(INDEX(tblTiposMov[FactorStock],MATCH(tblMovimientos[[#This Row],[Tipo]],tblTiposMov[Tipo],0)),0))</f>
        <v/>
      </c>
      <c r="K16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3" s="37"/>
      <c r="O1693" s="37"/>
      <c r="P1693" s="37"/>
    </row>
    <row r="1694" spans="2:16" x14ac:dyDescent="0.25">
      <c r="B16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4" s="46"/>
      <c r="D1694" s="37"/>
      <c r="E1694" s="37"/>
      <c r="F1694" s="37"/>
      <c r="G1694" s="40" t="str">
        <f>IF(tblMovimientos[[#This Row],[Producto]]="","",TRIM(LEFT(tblMovimientos[[#This Row],[Producto]],FIND(" · ",tblMovimientos[[#This Row],[Producto]]&amp;" · ")-1)))</f>
        <v/>
      </c>
      <c r="H1694" s="40" t="str">
        <f>IF(tblMovimientos[[#This Row],[SKU]]="","",IFERROR(INDEX(tblProductos[Unidad],MATCH(tblMovimientos[[#This Row],[SKU]],tblProductos[SKU],0)),"?"))</f>
        <v/>
      </c>
      <c r="I1694" s="39"/>
      <c r="J1694" s="47" t="str">
        <f>IF(tblMovimientos[[#This Row],[Tipo]]="","",IFERROR(INDEX(tblTiposMov[FactorStock],MATCH(tblMovimientos[[#This Row],[Tipo]],tblTiposMov[Tipo],0)),0))</f>
        <v/>
      </c>
      <c r="K16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4" s="37"/>
      <c r="O1694" s="37"/>
      <c r="P1694" s="37"/>
    </row>
    <row r="1695" spans="2:16" x14ac:dyDescent="0.25">
      <c r="B16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5" s="46"/>
      <c r="D1695" s="37"/>
      <c r="E1695" s="37"/>
      <c r="F1695" s="37"/>
      <c r="G1695" s="40" t="str">
        <f>IF(tblMovimientos[[#This Row],[Producto]]="","",TRIM(LEFT(tblMovimientos[[#This Row],[Producto]],FIND(" · ",tblMovimientos[[#This Row],[Producto]]&amp;" · ")-1)))</f>
        <v/>
      </c>
      <c r="H1695" s="40" t="str">
        <f>IF(tblMovimientos[[#This Row],[SKU]]="","",IFERROR(INDEX(tblProductos[Unidad],MATCH(tblMovimientos[[#This Row],[SKU]],tblProductos[SKU],0)),"?"))</f>
        <v/>
      </c>
      <c r="I1695" s="39"/>
      <c r="J1695" s="47" t="str">
        <f>IF(tblMovimientos[[#This Row],[Tipo]]="","",IFERROR(INDEX(tblTiposMov[FactorStock],MATCH(tblMovimientos[[#This Row],[Tipo]],tblTiposMov[Tipo],0)),0))</f>
        <v/>
      </c>
      <c r="K16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5" s="37"/>
      <c r="O1695" s="37"/>
      <c r="P1695" s="37"/>
    </row>
    <row r="1696" spans="2:16" x14ac:dyDescent="0.25">
      <c r="B16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6" s="46"/>
      <c r="D1696" s="37"/>
      <c r="E1696" s="37"/>
      <c r="F1696" s="37"/>
      <c r="G1696" s="40" t="str">
        <f>IF(tblMovimientos[[#This Row],[Producto]]="","",TRIM(LEFT(tblMovimientos[[#This Row],[Producto]],FIND(" · ",tblMovimientos[[#This Row],[Producto]]&amp;" · ")-1)))</f>
        <v/>
      </c>
      <c r="H1696" s="40" t="str">
        <f>IF(tblMovimientos[[#This Row],[SKU]]="","",IFERROR(INDEX(tblProductos[Unidad],MATCH(tblMovimientos[[#This Row],[SKU]],tblProductos[SKU],0)),"?"))</f>
        <v/>
      </c>
      <c r="I1696" s="39"/>
      <c r="J1696" s="47" t="str">
        <f>IF(tblMovimientos[[#This Row],[Tipo]]="","",IFERROR(INDEX(tblTiposMov[FactorStock],MATCH(tblMovimientos[[#This Row],[Tipo]],tblTiposMov[Tipo],0)),0))</f>
        <v/>
      </c>
      <c r="K16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6" s="37"/>
      <c r="O1696" s="37"/>
      <c r="P1696" s="37"/>
    </row>
    <row r="1697" spans="2:16" x14ac:dyDescent="0.25">
      <c r="B16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7" s="46"/>
      <c r="D1697" s="37"/>
      <c r="E1697" s="37"/>
      <c r="F1697" s="37"/>
      <c r="G1697" s="40" t="str">
        <f>IF(tblMovimientos[[#This Row],[Producto]]="","",TRIM(LEFT(tblMovimientos[[#This Row],[Producto]],FIND(" · ",tblMovimientos[[#This Row],[Producto]]&amp;" · ")-1)))</f>
        <v/>
      </c>
      <c r="H1697" s="40" t="str">
        <f>IF(tblMovimientos[[#This Row],[SKU]]="","",IFERROR(INDEX(tblProductos[Unidad],MATCH(tblMovimientos[[#This Row],[SKU]],tblProductos[SKU],0)),"?"))</f>
        <v/>
      </c>
      <c r="I1697" s="39"/>
      <c r="J1697" s="47" t="str">
        <f>IF(tblMovimientos[[#This Row],[Tipo]]="","",IFERROR(INDEX(tblTiposMov[FactorStock],MATCH(tblMovimientos[[#This Row],[Tipo]],tblTiposMov[Tipo],0)),0))</f>
        <v/>
      </c>
      <c r="K16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7" s="37"/>
      <c r="O1697" s="37"/>
      <c r="P1697" s="37"/>
    </row>
    <row r="1698" spans="2:16" x14ac:dyDescent="0.25">
      <c r="B16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8" s="46"/>
      <c r="D1698" s="37"/>
      <c r="E1698" s="37"/>
      <c r="F1698" s="37"/>
      <c r="G1698" s="40" t="str">
        <f>IF(tblMovimientos[[#This Row],[Producto]]="","",TRIM(LEFT(tblMovimientos[[#This Row],[Producto]],FIND(" · ",tblMovimientos[[#This Row],[Producto]]&amp;" · ")-1)))</f>
        <v/>
      </c>
      <c r="H1698" s="40" t="str">
        <f>IF(tblMovimientos[[#This Row],[SKU]]="","",IFERROR(INDEX(tblProductos[Unidad],MATCH(tblMovimientos[[#This Row],[SKU]],tblProductos[SKU],0)),"?"))</f>
        <v/>
      </c>
      <c r="I1698" s="39"/>
      <c r="J1698" s="47" t="str">
        <f>IF(tblMovimientos[[#This Row],[Tipo]]="","",IFERROR(INDEX(tblTiposMov[FactorStock],MATCH(tblMovimientos[[#This Row],[Tipo]],tblTiposMov[Tipo],0)),0))</f>
        <v/>
      </c>
      <c r="K16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8" s="37"/>
      <c r="O1698" s="37"/>
      <c r="P1698" s="37"/>
    </row>
    <row r="1699" spans="2:16" x14ac:dyDescent="0.25">
      <c r="B16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699" s="46"/>
      <c r="D1699" s="37"/>
      <c r="E1699" s="37"/>
      <c r="F1699" s="37"/>
      <c r="G1699" s="40" t="str">
        <f>IF(tblMovimientos[[#This Row],[Producto]]="","",TRIM(LEFT(tblMovimientos[[#This Row],[Producto]],FIND(" · ",tblMovimientos[[#This Row],[Producto]]&amp;" · ")-1)))</f>
        <v/>
      </c>
      <c r="H1699" s="40" t="str">
        <f>IF(tblMovimientos[[#This Row],[SKU]]="","",IFERROR(INDEX(tblProductos[Unidad],MATCH(tblMovimientos[[#This Row],[SKU]],tblProductos[SKU],0)),"?"))</f>
        <v/>
      </c>
      <c r="I1699" s="39"/>
      <c r="J1699" s="47" t="str">
        <f>IF(tblMovimientos[[#This Row],[Tipo]]="","",IFERROR(INDEX(tblTiposMov[FactorStock],MATCH(tblMovimientos[[#This Row],[Tipo]],tblTiposMov[Tipo],0)),0))</f>
        <v/>
      </c>
      <c r="K16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6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699" s="37"/>
      <c r="O1699" s="37"/>
      <c r="P1699" s="37"/>
    </row>
    <row r="1700" spans="2:16" x14ac:dyDescent="0.25">
      <c r="B17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0" s="46"/>
      <c r="D1700" s="37"/>
      <c r="E1700" s="37"/>
      <c r="F1700" s="37"/>
      <c r="G1700" s="40" t="str">
        <f>IF(tblMovimientos[[#This Row],[Producto]]="","",TRIM(LEFT(tblMovimientos[[#This Row],[Producto]],FIND(" · ",tblMovimientos[[#This Row],[Producto]]&amp;" · ")-1)))</f>
        <v/>
      </c>
      <c r="H1700" s="40" t="str">
        <f>IF(tblMovimientos[[#This Row],[SKU]]="","",IFERROR(INDEX(tblProductos[Unidad],MATCH(tblMovimientos[[#This Row],[SKU]],tblProductos[SKU],0)),"?"))</f>
        <v/>
      </c>
      <c r="I1700" s="39"/>
      <c r="J1700" s="47" t="str">
        <f>IF(tblMovimientos[[#This Row],[Tipo]]="","",IFERROR(INDEX(tblTiposMov[FactorStock],MATCH(tblMovimientos[[#This Row],[Tipo]],tblTiposMov[Tipo],0)),0))</f>
        <v/>
      </c>
      <c r="K17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0" s="37"/>
      <c r="O1700" s="37"/>
      <c r="P1700" s="37"/>
    </row>
    <row r="1701" spans="2:16" x14ac:dyDescent="0.25">
      <c r="B17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1" s="46"/>
      <c r="D1701" s="37"/>
      <c r="E1701" s="37"/>
      <c r="F1701" s="37"/>
      <c r="G1701" s="40" t="str">
        <f>IF(tblMovimientos[[#This Row],[Producto]]="","",TRIM(LEFT(tblMovimientos[[#This Row],[Producto]],FIND(" · ",tblMovimientos[[#This Row],[Producto]]&amp;" · ")-1)))</f>
        <v/>
      </c>
      <c r="H1701" s="40" t="str">
        <f>IF(tblMovimientos[[#This Row],[SKU]]="","",IFERROR(INDEX(tblProductos[Unidad],MATCH(tblMovimientos[[#This Row],[SKU]],tblProductos[SKU],0)),"?"))</f>
        <v/>
      </c>
      <c r="I1701" s="39"/>
      <c r="J1701" s="47" t="str">
        <f>IF(tblMovimientos[[#This Row],[Tipo]]="","",IFERROR(INDEX(tblTiposMov[FactorStock],MATCH(tblMovimientos[[#This Row],[Tipo]],tblTiposMov[Tipo],0)),0))</f>
        <v/>
      </c>
      <c r="K17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1" s="37"/>
      <c r="O1701" s="37"/>
      <c r="P1701" s="37"/>
    </row>
    <row r="1702" spans="2:16" x14ac:dyDescent="0.25">
      <c r="B17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2" s="46"/>
      <c r="D1702" s="37"/>
      <c r="E1702" s="37"/>
      <c r="F1702" s="37"/>
      <c r="G1702" s="40" t="str">
        <f>IF(tblMovimientos[[#This Row],[Producto]]="","",TRIM(LEFT(tblMovimientos[[#This Row],[Producto]],FIND(" · ",tblMovimientos[[#This Row],[Producto]]&amp;" · ")-1)))</f>
        <v/>
      </c>
      <c r="H1702" s="40" t="str">
        <f>IF(tblMovimientos[[#This Row],[SKU]]="","",IFERROR(INDEX(tblProductos[Unidad],MATCH(tblMovimientos[[#This Row],[SKU]],tblProductos[SKU],0)),"?"))</f>
        <v/>
      </c>
      <c r="I1702" s="39"/>
      <c r="J1702" s="47" t="str">
        <f>IF(tblMovimientos[[#This Row],[Tipo]]="","",IFERROR(INDEX(tblTiposMov[FactorStock],MATCH(tblMovimientos[[#This Row],[Tipo]],tblTiposMov[Tipo],0)),0))</f>
        <v/>
      </c>
      <c r="K17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2" s="37"/>
      <c r="O1702" s="37"/>
      <c r="P1702" s="37"/>
    </row>
    <row r="1703" spans="2:16" x14ac:dyDescent="0.25">
      <c r="B17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3" s="46"/>
      <c r="D1703" s="37"/>
      <c r="E1703" s="37"/>
      <c r="F1703" s="37"/>
      <c r="G1703" s="40" t="str">
        <f>IF(tblMovimientos[[#This Row],[Producto]]="","",TRIM(LEFT(tblMovimientos[[#This Row],[Producto]],FIND(" · ",tblMovimientos[[#This Row],[Producto]]&amp;" · ")-1)))</f>
        <v/>
      </c>
      <c r="H1703" s="40" t="str">
        <f>IF(tblMovimientos[[#This Row],[SKU]]="","",IFERROR(INDEX(tblProductos[Unidad],MATCH(tblMovimientos[[#This Row],[SKU]],tblProductos[SKU],0)),"?"))</f>
        <v/>
      </c>
      <c r="I1703" s="39"/>
      <c r="J1703" s="47" t="str">
        <f>IF(tblMovimientos[[#This Row],[Tipo]]="","",IFERROR(INDEX(tblTiposMov[FactorStock],MATCH(tblMovimientos[[#This Row],[Tipo]],tblTiposMov[Tipo],0)),0))</f>
        <v/>
      </c>
      <c r="K17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3" s="37"/>
      <c r="O1703" s="37"/>
      <c r="P1703" s="37"/>
    </row>
    <row r="1704" spans="2:16" x14ac:dyDescent="0.25">
      <c r="B17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4" s="46"/>
      <c r="D1704" s="37"/>
      <c r="E1704" s="37"/>
      <c r="F1704" s="37"/>
      <c r="G1704" s="40" t="str">
        <f>IF(tblMovimientos[[#This Row],[Producto]]="","",TRIM(LEFT(tblMovimientos[[#This Row],[Producto]],FIND(" · ",tblMovimientos[[#This Row],[Producto]]&amp;" · ")-1)))</f>
        <v/>
      </c>
      <c r="H1704" s="40" t="str">
        <f>IF(tblMovimientos[[#This Row],[SKU]]="","",IFERROR(INDEX(tblProductos[Unidad],MATCH(tblMovimientos[[#This Row],[SKU]],tblProductos[SKU],0)),"?"))</f>
        <v/>
      </c>
      <c r="I1704" s="39"/>
      <c r="J1704" s="47" t="str">
        <f>IF(tblMovimientos[[#This Row],[Tipo]]="","",IFERROR(INDEX(tblTiposMov[FactorStock],MATCH(tblMovimientos[[#This Row],[Tipo]],tblTiposMov[Tipo],0)),0))</f>
        <v/>
      </c>
      <c r="K17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4" s="37"/>
      <c r="O1704" s="37"/>
      <c r="P1704" s="37"/>
    </row>
    <row r="1705" spans="2:16" x14ac:dyDescent="0.25">
      <c r="B17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5" s="46"/>
      <c r="D1705" s="37"/>
      <c r="E1705" s="37"/>
      <c r="F1705" s="37"/>
      <c r="G1705" s="40" t="str">
        <f>IF(tblMovimientos[[#This Row],[Producto]]="","",TRIM(LEFT(tblMovimientos[[#This Row],[Producto]],FIND(" · ",tblMovimientos[[#This Row],[Producto]]&amp;" · ")-1)))</f>
        <v/>
      </c>
      <c r="H1705" s="40" t="str">
        <f>IF(tblMovimientos[[#This Row],[SKU]]="","",IFERROR(INDEX(tblProductos[Unidad],MATCH(tblMovimientos[[#This Row],[SKU]],tblProductos[SKU],0)),"?"))</f>
        <v/>
      </c>
      <c r="I1705" s="39"/>
      <c r="J1705" s="47" t="str">
        <f>IF(tblMovimientos[[#This Row],[Tipo]]="","",IFERROR(INDEX(tblTiposMov[FactorStock],MATCH(tblMovimientos[[#This Row],[Tipo]],tblTiposMov[Tipo],0)),0))</f>
        <v/>
      </c>
      <c r="K17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5" s="37"/>
      <c r="O1705" s="37"/>
      <c r="P1705" s="37"/>
    </row>
    <row r="1706" spans="2:16" x14ac:dyDescent="0.25">
      <c r="B17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6" s="46"/>
      <c r="D1706" s="37"/>
      <c r="E1706" s="37"/>
      <c r="F1706" s="37"/>
      <c r="G1706" s="40" t="str">
        <f>IF(tblMovimientos[[#This Row],[Producto]]="","",TRIM(LEFT(tblMovimientos[[#This Row],[Producto]],FIND(" · ",tblMovimientos[[#This Row],[Producto]]&amp;" · ")-1)))</f>
        <v/>
      </c>
      <c r="H1706" s="40" t="str">
        <f>IF(tblMovimientos[[#This Row],[SKU]]="","",IFERROR(INDEX(tblProductos[Unidad],MATCH(tblMovimientos[[#This Row],[SKU]],tblProductos[SKU],0)),"?"))</f>
        <v/>
      </c>
      <c r="I1706" s="39"/>
      <c r="J1706" s="47" t="str">
        <f>IF(tblMovimientos[[#This Row],[Tipo]]="","",IFERROR(INDEX(tblTiposMov[FactorStock],MATCH(tblMovimientos[[#This Row],[Tipo]],tblTiposMov[Tipo],0)),0))</f>
        <v/>
      </c>
      <c r="K17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6" s="37"/>
      <c r="O1706" s="37"/>
      <c r="P1706" s="37"/>
    </row>
    <row r="1707" spans="2:16" x14ac:dyDescent="0.25">
      <c r="B17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7" s="46"/>
      <c r="D1707" s="37"/>
      <c r="E1707" s="37"/>
      <c r="F1707" s="37"/>
      <c r="G1707" s="40" t="str">
        <f>IF(tblMovimientos[[#This Row],[Producto]]="","",TRIM(LEFT(tblMovimientos[[#This Row],[Producto]],FIND(" · ",tblMovimientos[[#This Row],[Producto]]&amp;" · ")-1)))</f>
        <v/>
      </c>
      <c r="H1707" s="40" t="str">
        <f>IF(tblMovimientos[[#This Row],[SKU]]="","",IFERROR(INDEX(tblProductos[Unidad],MATCH(tblMovimientos[[#This Row],[SKU]],tblProductos[SKU],0)),"?"))</f>
        <v/>
      </c>
      <c r="I1707" s="39"/>
      <c r="J1707" s="47" t="str">
        <f>IF(tblMovimientos[[#This Row],[Tipo]]="","",IFERROR(INDEX(tblTiposMov[FactorStock],MATCH(tblMovimientos[[#This Row],[Tipo]],tblTiposMov[Tipo],0)),0))</f>
        <v/>
      </c>
      <c r="K17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7" s="37"/>
      <c r="O1707" s="37"/>
      <c r="P1707" s="37"/>
    </row>
    <row r="1708" spans="2:16" x14ac:dyDescent="0.25">
      <c r="B17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8" s="46"/>
      <c r="D1708" s="37"/>
      <c r="E1708" s="37"/>
      <c r="F1708" s="37"/>
      <c r="G1708" s="40" t="str">
        <f>IF(tblMovimientos[[#This Row],[Producto]]="","",TRIM(LEFT(tblMovimientos[[#This Row],[Producto]],FIND(" · ",tblMovimientos[[#This Row],[Producto]]&amp;" · ")-1)))</f>
        <v/>
      </c>
      <c r="H1708" s="40" t="str">
        <f>IF(tblMovimientos[[#This Row],[SKU]]="","",IFERROR(INDEX(tblProductos[Unidad],MATCH(tblMovimientos[[#This Row],[SKU]],tblProductos[SKU],0)),"?"))</f>
        <v/>
      </c>
      <c r="I1708" s="39"/>
      <c r="J1708" s="47" t="str">
        <f>IF(tblMovimientos[[#This Row],[Tipo]]="","",IFERROR(INDEX(tblTiposMov[FactorStock],MATCH(tblMovimientos[[#This Row],[Tipo]],tblTiposMov[Tipo],0)),0))</f>
        <v/>
      </c>
      <c r="K17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8" s="37"/>
      <c r="O1708" s="37"/>
      <c r="P1708" s="37"/>
    </row>
    <row r="1709" spans="2:16" x14ac:dyDescent="0.25">
      <c r="B17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09" s="46"/>
      <c r="D1709" s="37"/>
      <c r="E1709" s="37"/>
      <c r="F1709" s="37"/>
      <c r="G1709" s="40" t="str">
        <f>IF(tblMovimientos[[#This Row],[Producto]]="","",TRIM(LEFT(tblMovimientos[[#This Row],[Producto]],FIND(" · ",tblMovimientos[[#This Row],[Producto]]&amp;" · ")-1)))</f>
        <v/>
      </c>
      <c r="H1709" s="40" t="str">
        <f>IF(tblMovimientos[[#This Row],[SKU]]="","",IFERROR(INDEX(tblProductos[Unidad],MATCH(tblMovimientos[[#This Row],[SKU]],tblProductos[SKU],0)),"?"))</f>
        <v/>
      </c>
      <c r="I1709" s="39"/>
      <c r="J1709" s="47" t="str">
        <f>IF(tblMovimientos[[#This Row],[Tipo]]="","",IFERROR(INDEX(tblTiposMov[FactorStock],MATCH(tblMovimientos[[#This Row],[Tipo]],tblTiposMov[Tipo],0)),0))</f>
        <v/>
      </c>
      <c r="K17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09" s="37"/>
      <c r="O1709" s="37"/>
      <c r="P1709" s="37"/>
    </row>
    <row r="1710" spans="2:16" x14ac:dyDescent="0.25">
      <c r="B17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0" s="46"/>
      <c r="D1710" s="37"/>
      <c r="E1710" s="37"/>
      <c r="F1710" s="37"/>
      <c r="G1710" s="40" t="str">
        <f>IF(tblMovimientos[[#This Row],[Producto]]="","",TRIM(LEFT(tblMovimientos[[#This Row],[Producto]],FIND(" · ",tblMovimientos[[#This Row],[Producto]]&amp;" · ")-1)))</f>
        <v/>
      </c>
      <c r="H1710" s="40" t="str">
        <f>IF(tblMovimientos[[#This Row],[SKU]]="","",IFERROR(INDEX(tblProductos[Unidad],MATCH(tblMovimientos[[#This Row],[SKU]],tblProductos[SKU],0)),"?"))</f>
        <v/>
      </c>
      <c r="I1710" s="39"/>
      <c r="J1710" s="47" t="str">
        <f>IF(tblMovimientos[[#This Row],[Tipo]]="","",IFERROR(INDEX(tblTiposMov[FactorStock],MATCH(tblMovimientos[[#This Row],[Tipo]],tblTiposMov[Tipo],0)),0))</f>
        <v/>
      </c>
      <c r="K17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0" s="37"/>
      <c r="O1710" s="37"/>
      <c r="P1710" s="37"/>
    </row>
    <row r="1711" spans="2:16" x14ac:dyDescent="0.25">
      <c r="B17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1" s="46"/>
      <c r="D1711" s="37"/>
      <c r="E1711" s="37"/>
      <c r="F1711" s="37"/>
      <c r="G1711" s="40" t="str">
        <f>IF(tblMovimientos[[#This Row],[Producto]]="","",TRIM(LEFT(tblMovimientos[[#This Row],[Producto]],FIND(" · ",tblMovimientos[[#This Row],[Producto]]&amp;" · ")-1)))</f>
        <v/>
      </c>
      <c r="H1711" s="40" t="str">
        <f>IF(tblMovimientos[[#This Row],[SKU]]="","",IFERROR(INDEX(tblProductos[Unidad],MATCH(tblMovimientos[[#This Row],[SKU]],tblProductos[SKU],0)),"?"))</f>
        <v/>
      </c>
      <c r="I1711" s="39"/>
      <c r="J1711" s="47" t="str">
        <f>IF(tblMovimientos[[#This Row],[Tipo]]="","",IFERROR(INDEX(tblTiposMov[FactorStock],MATCH(tblMovimientos[[#This Row],[Tipo]],tblTiposMov[Tipo],0)),0))</f>
        <v/>
      </c>
      <c r="K17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1" s="37"/>
      <c r="O1711" s="37"/>
      <c r="P1711" s="37"/>
    </row>
    <row r="1712" spans="2:16" x14ac:dyDescent="0.25">
      <c r="B17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2" s="46"/>
      <c r="D1712" s="37"/>
      <c r="E1712" s="37"/>
      <c r="F1712" s="37"/>
      <c r="G1712" s="40" t="str">
        <f>IF(tblMovimientos[[#This Row],[Producto]]="","",TRIM(LEFT(tblMovimientos[[#This Row],[Producto]],FIND(" · ",tblMovimientos[[#This Row],[Producto]]&amp;" · ")-1)))</f>
        <v/>
      </c>
      <c r="H1712" s="40" t="str">
        <f>IF(tblMovimientos[[#This Row],[SKU]]="","",IFERROR(INDEX(tblProductos[Unidad],MATCH(tblMovimientos[[#This Row],[SKU]],tblProductos[SKU],0)),"?"))</f>
        <v/>
      </c>
      <c r="I1712" s="39"/>
      <c r="J1712" s="47" t="str">
        <f>IF(tblMovimientos[[#This Row],[Tipo]]="","",IFERROR(INDEX(tblTiposMov[FactorStock],MATCH(tblMovimientos[[#This Row],[Tipo]],tblTiposMov[Tipo],0)),0))</f>
        <v/>
      </c>
      <c r="K17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2" s="37"/>
      <c r="O1712" s="37"/>
      <c r="P1712" s="37"/>
    </row>
    <row r="1713" spans="2:16" x14ac:dyDescent="0.25">
      <c r="B17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3" s="46"/>
      <c r="D1713" s="37"/>
      <c r="E1713" s="37"/>
      <c r="F1713" s="37"/>
      <c r="G1713" s="40" t="str">
        <f>IF(tblMovimientos[[#This Row],[Producto]]="","",TRIM(LEFT(tblMovimientos[[#This Row],[Producto]],FIND(" · ",tblMovimientos[[#This Row],[Producto]]&amp;" · ")-1)))</f>
        <v/>
      </c>
      <c r="H1713" s="40" t="str">
        <f>IF(tblMovimientos[[#This Row],[SKU]]="","",IFERROR(INDEX(tblProductos[Unidad],MATCH(tblMovimientos[[#This Row],[SKU]],tblProductos[SKU],0)),"?"))</f>
        <v/>
      </c>
      <c r="I1713" s="39"/>
      <c r="J1713" s="47" t="str">
        <f>IF(tblMovimientos[[#This Row],[Tipo]]="","",IFERROR(INDEX(tblTiposMov[FactorStock],MATCH(tblMovimientos[[#This Row],[Tipo]],tblTiposMov[Tipo],0)),0))</f>
        <v/>
      </c>
      <c r="K17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3" s="37"/>
      <c r="O1713" s="37"/>
      <c r="P1713" s="37"/>
    </row>
    <row r="1714" spans="2:16" x14ac:dyDescent="0.25">
      <c r="B17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4" s="46"/>
      <c r="D1714" s="37"/>
      <c r="E1714" s="37"/>
      <c r="F1714" s="37"/>
      <c r="G1714" s="40" t="str">
        <f>IF(tblMovimientos[[#This Row],[Producto]]="","",TRIM(LEFT(tblMovimientos[[#This Row],[Producto]],FIND(" · ",tblMovimientos[[#This Row],[Producto]]&amp;" · ")-1)))</f>
        <v/>
      </c>
      <c r="H1714" s="40" t="str">
        <f>IF(tblMovimientos[[#This Row],[SKU]]="","",IFERROR(INDEX(tblProductos[Unidad],MATCH(tblMovimientos[[#This Row],[SKU]],tblProductos[SKU],0)),"?"))</f>
        <v/>
      </c>
      <c r="I1714" s="39"/>
      <c r="J1714" s="47" t="str">
        <f>IF(tblMovimientos[[#This Row],[Tipo]]="","",IFERROR(INDEX(tblTiposMov[FactorStock],MATCH(tblMovimientos[[#This Row],[Tipo]],tblTiposMov[Tipo],0)),0))</f>
        <v/>
      </c>
      <c r="K17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4" s="37"/>
      <c r="O1714" s="37"/>
      <c r="P1714" s="37"/>
    </row>
    <row r="1715" spans="2:16" x14ac:dyDescent="0.25">
      <c r="B17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5" s="46"/>
      <c r="D1715" s="37"/>
      <c r="E1715" s="37"/>
      <c r="F1715" s="37"/>
      <c r="G1715" s="40" t="str">
        <f>IF(tblMovimientos[[#This Row],[Producto]]="","",TRIM(LEFT(tblMovimientos[[#This Row],[Producto]],FIND(" · ",tblMovimientos[[#This Row],[Producto]]&amp;" · ")-1)))</f>
        <v/>
      </c>
      <c r="H1715" s="40" t="str">
        <f>IF(tblMovimientos[[#This Row],[SKU]]="","",IFERROR(INDEX(tblProductos[Unidad],MATCH(tblMovimientos[[#This Row],[SKU]],tblProductos[SKU],0)),"?"))</f>
        <v/>
      </c>
      <c r="I1715" s="39"/>
      <c r="J1715" s="47" t="str">
        <f>IF(tblMovimientos[[#This Row],[Tipo]]="","",IFERROR(INDEX(tblTiposMov[FactorStock],MATCH(tblMovimientos[[#This Row],[Tipo]],tblTiposMov[Tipo],0)),0))</f>
        <v/>
      </c>
      <c r="K17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5" s="37"/>
      <c r="O1715" s="37"/>
      <c r="P1715" s="37"/>
    </row>
    <row r="1716" spans="2:16" x14ac:dyDescent="0.25">
      <c r="B17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6" s="46"/>
      <c r="D1716" s="37"/>
      <c r="E1716" s="37"/>
      <c r="F1716" s="37"/>
      <c r="G1716" s="40" t="str">
        <f>IF(tblMovimientos[[#This Row],[Producto]]="","",TRIM(LEFT(tblMovimientos[[#This Row],[Producto]],FIND(" · ",tblMovimientos[[#This Row],[Producto]]&amp;" · ")-1)))</f>
        <v/>
      </c>
      <c r="H1716" s="40" t="str">
        <f>IF(tblMovimientos[[#This Row],[SKU]]="","",IFERROR(INDEX(tblProductos[Unidad],MATCH(tblMovimientos[[#This Row],[SKU]],tblProductos[SKU],0)),"?"))</f>
        <v/>
      </c>
      <c r="I1716" s="39"/>
      <c r="J1716" s="47" t="str">
        <f>IF(tblMovimientos[[#This Row],[Tipo]]="","",IFERROR(INDEX(tblTiposMov[FactorStock],MATCH(tblMovimientos[[#This Row],[Tipo]],tblTiposMov[Tipo],0)),0))</f>
        <v/>
      </c>
      <c r="K17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6" s="37"/>
      <c r="O1716" s="37"/>
      <c r="P1716" s="37"/>
    </row>
    <row r="1717" spans="2:16" x14ac:dyDescent="0.25">
      <c r="B17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7" s="46"/>
      <c r="D1717" s="37"/>
      <c r="E1717" s="37"/>
      <c r="F1717" s="37"/>
      <c r="G1717" s="40" t="str">
        <f>IF(tblMovimientos[[#This Row],[Producto]]="","",TRIM(LEFT(tblMovimientos[[#This Row],[Producto]],FIND(" · ",tblMovimientos[[#This Row],[Producto]]&amp;" · ")-1)))</f>
        <v/>
      </c>
      <c r="H1717" s="40" t="str">
        <f>IF(tblMovimientos[[#This Row],[SKU]]="","",IFERROR(INDEX(tblProductos[Unidad],MATCH(tblMovimientos[[#This Row],[SKU]],tblProductos[SKU],0)),"?"))</f>
        <v/>
      </c>
      <c r="I1717" s="39"/>
      <c r="J1717" s="47" t="str">
        <f>IF(tblMovimientos[[#This Row],[Tipo]]="","",IFERROR(INDEX(tblTiposMov[FactorStock],MATCH(tblMovimientos[[#This Row],[Tipo]],tblTiposMov[Tipo],0)),0))</f>
        <v/>
      </c>
      <c r="K17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7" s="37"/>
      <c r="O1717" s="37"/>
      <c r="P1717" s="37"/>
    </row>
    <row r="1718" spans="2:16" x14ac:dyDescent="0.25">
      <c r="B17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8" s="46"/>
      <c r="D1718" s="37"/>
      <c r="E1718" s="37"/>
      <c r="F1718" s="37"/>
      <c r="G1718" s="40" t="str">
        <f>IF(tblMovimientos[[#This Row],[Producto]]="","",TRIM(LEFT(tblMovimientos[[#This Row],[Producto]],FIND(" · ",tblMovimientos[[#This Row],[Producto]]&amp;" · ")-1)))</f>
        <v/>
      </c>
      <c r="H1718" s="40" t="str">
        <f>IF(tblMovimientos[[#This Row],[SKU]]="","",IFERROR(INDEX(tblProductos[Unidad],MATCH(tblMovimientos[[#This Row],[SKU]],tblProductos[SKU],0)),"?"))</f>
        <v/>
      </c>
      <c r="I1718" s="39"/>
      <c r="J1718" s="47" t="str">
        <f>IF(tblMovimientos[[#This Row],[Tipo]]="","",IFERROR(INDEX(tblTiposMov[FactorStock],MATCH(tblMovimientos[[#This Row],[Tipo]],tblTiposMov[Tipo],0)),0))</f>
        <v/>
      </c>
      <c r="K17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8" s="37"/>
      <c r="O1718" s="37"/>
      <c r="P1718" s="37"/>
    </row>
    <row r="1719" spans="2:16" x14ac:dyDescent="0.25">
      <c r="B17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19" s="46"/>
      <c r="D1719" s="37"/>
      <c r="E1719" s="37"/>
      <c r="F1719" s="37"/>
      <c r="G1719" s="40" t="str">
        <f>IF(tblMovimientos[[#This Row],[Producto]]="","",TRIM(LEFT(tblMovimientos[[#This Row],[Producto]],FIND(" · ",tblMovimientos[[#This Row],[Producto]]&amp;" · ")-1)))</f>
        <v/>
      </c>
      <c r="H1719" s="40" t="str">
        <f>IF(tblMovimientos[[#This Row],[SKU]]="","",IFERROR(INDEX(tblProductos[Unidad],MATCH(tblMovimientos[[#This Row],[SKU]],tblProductos[SKU],0)),"?"))</f>
        <v/>
      </c>
      <c r="I1719" s="39"/>
      <c r="J1719" s="47" t="str">
        <f>IF(tblMovimientos[[#This Row],[Tipo]]="","",IFERROR(INDEX(tblTiposMov[FactorStock],MATCH(tblMovimientos[[#This Row],[Tipo]],tblTiposMov[Tipo],0)),0))</f>
        <v/>
      </c>
      <c r="K17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19" s="37"/>
      <c r="O1719" s="37"/>
      <c r="P1719" s="37"/>
    </row>
    <row r="1720" spans="2:16" x14ac:dyDescent="0.25">
      <c r="B17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0" s="46"/>
      <c r="D1720" s="37"/>
      <c r="E1720" s="37"/>
      <c r="F1720" s="37"/>
      <c r="G1720" s="40" t="str">
        <f>IF(tblMovimientos[[#This Row],[Producto]]="","",TRIM(LEFT(tblMovimientos[[#This Row],[Producto]],FIND(" · ",tblMovimientos[[#This Row],[Producto]]&amp;" · ")-1)))</f>
        <v/>
      </c>
      <c r="H1720" s="40" t="str">
        <f>IF(tblMovimientos[[#This Row],[SKU]]="","",IFERROR(INDEX(tblProductos[Unidad],MATCH(tblMovimientos[[#This Row],[SKU]],tblProductos[SKU],0)),"?"))</f>
        <v/>
      </c>
      <c r="I1720" s="39"/>
      <c r="J1720" s="47" t="str">
        <f>IF(tblMovimientos[[#This Row],[Tipo]]="","",IFERROR(INDEX(tblTiposMov[FactorStock],MATCH(tblMovimientos[[#This Row],[Tipo]],tblTiposMov[Tipo],0)),0))</f>
        <v/>
      </c>
      <c r="K17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0" s="37"/>
      <c r="O1720" s="37"/>
      <c r="P1720" s="37"/>
    </row>
    <row r="1721" spans="2:16" x14ac:dyDescent="0.25">
      <c r="B17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1" s="46"/>
      <c r="D1721" s="37"/>
      <c r="E1721" s="37"/>
      <c r="F1721" s="37"/>
      <c r="G1721" s="40" t="str">
        <f>IF(tblMovimientos[[#This Row],[Producto]]="","",TRIM(LEFT(tblMovimientos[[#This Row],[Producto]],FIND(" · ",tblMovimientos[[#This Row],[Producto]]&amp;" · ")-1)))</f>
        <v/>
      </c>
      <c r="H1721" s="40" t="str">
        <f>IF(tblMovimientos[[#This Row],[SKU]]="","",IFERROR(INDEX(tblProductos[Unidad],MATCH(tblMovimientos[[#This Row],[SKU]],tblProductos[SKU],0)),"?"))</f>
        <v/>
      </c>
      <c r="I1721" s="39"/>
      <c r="J1721" s="47" t="str">
        <f>IF(tblMovimientos[[#This Row],[Tipo]]="","",IFERROR(INDEX(tblTiposMov[FactorStock],MATCH(tblMovimientos[[#This Row],[Tipo]],tblTiposMov[Tipo],0)),0))</f>
        <v/>
      </c>
      <c r="K17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1" s="37"/>
      <c r="O1721" s="37"/>
      <c r="P1721" s="37"/>
    </row>
    <row r="1722" spans="2:16" x14ac:dyDescent="0.25">
      <c r="B17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2" s="46"/>
      <c r="D1722" s="37"/>
      <c r="E1722" s="37"/>
      <c r="F1722" s="37"/>
      <c r="G1722" s="40" t="str">
        <f>IF(tblMovimientos[[#This Row],[Producto]]="","",TRIM(LEFT(tblMovimientos[[#This Row],[Producto]],FIND(" · ",tblMovimientos[[#This Row],[Producto]]&amp;" · ")-1)))</f>
        <v/>
      </c>
      <c r="H1722" s="40" t="str">
        <f>IF(tblMovimientos[[#This Row],[SKU]]="","",IFERROR(INDEX(tblProductos[Unidad],MATCH(tblMovimientos[[#This Row],[SKU]],tblProductos[SKU],0)),"?"))</f>
        <v/>
      </c>
      <c r="I1722" s="39"/>
      <c r="J1722" s="47" t="str">
        <f>IF(tblMovimientos[[#This Row],[Tipo]]="","",IFERROR(INDEX(tblTiposMov[FactorStock],MATCH(tblMovimientos[[#This Row],[Tipo]],tblTiposMov[Tipo],0)),0))</f>
        <v/>
      </c>
      <c r="K17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2" s="37"/>
      <c r="O1722" s="37"/>
      <c r="P1722" s="37"/>
    </row>
    <row r="1723" spans="2:16" x14ac:dyDescent="0.25">
      <c r="B17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3" s="46"/>
      <c r="D1723" s="37"/>
      <c r="E1723" s="37"/>
      <c r="F1723" s="37"/>
      <c r="G1723" s="40" t="str">
        <f>IF(tblMovimientos[[#This Row],[Producto]]="","",TRIM(LEFT(tblMovimientos[[#This Row],[Producto]],FIND(" · ",tblMovimientos[[#This Row],[Producto]]&amp;" · ")-1)))</f>
        <v/>
      </c>
      <c r="H1723" s="40" t="str">
        <f>IF(tblMovimientos[[#This Row],[SKU]]="","",IFERROR(INDEX(tblProductos[Unidad],MATCH(tblMovimientos[[#This Row],[SKU]],tblProductos[SKU],0)),"?"))</f>
        <v/>
      </c>
      <c r="I1723" s="39"/>
      <c r="J1723" s="47" t="str">
        <f>IF(tblMovimientos[[#This Row],[Tipo]]="","",IFERROR(INDEX(tblTiposMov[FactorStock],MATCH(tblMovimientos[[#This Row],[Tipo]],tblTiposMov[Tipo],0)),0))</f>
        <v/>
      </c>
      <c r="K17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3" s="37"/>
      <c r="O1723" s="37"/>
      <c r="P1723" s="37"/>
    </row>
    <row r="1724" spans="2:16" x14ac:dyDescent="0.25">
      <c r="B17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4" s="46"/>
      <c r="D1724" s="37"/>
      <c r="E1724" s="37"/>
      <c r="F1724" s="37"/>
      <c r="G1724" s="40" t="str">
        <f>IF(tblMovimientos[[#This Row],[Producto]]="","",TRIM(LEFT(tblMovimientos[[#This Row],[Producto]],FIND(" · ",tblMovimientos[[#This Row],[Producto]]&amp;" · ")-1)))</f>
        <v/>
      </c>
      <c r="H1724" s="40" t="str">
        <f>IF(tblMovimientos[[#This Row],[SKU]]="","",IFERROR(INDEX(tblProductos[Unidad],MATCH(tblMovimientos[[#This Row],[SKU]],tblProductos[SKU],0)),"?"))</f>
        <v/>
      </c>
      <c r="I1724" s="39"/>
      <c r="J1724" s="47" t="str">
        <f>IF(tblMovimientos[[#This Row],[Tipo]]="","",IFERROR(INDEX(tblTiposMov[FactorStock],MATCH(tblMovimientos[[#This Row],[Tipo]],tblTiposMov[Tipo],0)),0))</f>
        <v/>
      </c>
      <c r="K17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4" s="37"/>
      <c r="O1724" s="37"/>
      <c r="P1724" s="37"/>
    </row>
    <row r="1725" spans="2:16" x14ac:dyDescent="0.25">
      <c r="B17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5" s="46"/>
      <c r="D1725" s="37"/>
      <c r="E1725" s="37"/>
      <c r="F1725" s="37"/>
      <c r="G1725" s="40" t="str">
        <f>IF(tblMovimientos[[#This Row],[Producto]]="","",TRIM(LEFT(tblMovimientos[[#This Row],[Producto]],FIND(" · ",tblMovimientos[[#This Row],[Producto]]&amp;" · ")-1)))</f>
        <v/>
      </c>
      <c r="H1725" s="40" t="str">
        <f>IF(tblMovimientos[[#This Row],[SKU]]="","",IFERROR(INDEX(tblProductos[Unidad],MATCH(tblMovimientos[[#This Row],[SKU]],tblProductos[SKU],0)),"?"))</f>
        <v/>
      </c>
      <c r="I1725" s="39"/>
      <c r="J1725" s="47" t="str">
        <f>IF(tblMovimientos[[#This Row],[Tipo]]="","",IFERROR(INDEX(tblTiposMov[FactorStock],MATCH(tblMovimientos[[#This Row],[Tipo]],tblTiposMov[Tipo],0)),0))</f>
        <v/>
      </c>
      <c r="K17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5" s="37"/>
      <c r="O1725" s="37"/>
      <c r="P1725" s="37"/>
    </row>
    <row r="1726" spans="2:16" x14ac:dyDescent="0.25">
      <c r="B17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6" s="46"/>
      <c r="D1726" s="37"/>
      <c r="E1726" s="37"/>
      <c r="F1726" s="37"/>
      <c r="G1726" s="40" t="str">
        <f>IF(tblMovimientos[[#This Row],[Producto]]="","",TRIM(LEFT(tblMovimientos[[#This Row],[Producto]],FIND(" · ",tblMovimientos[[#This Row],[Producto]]&amp;" · ")-1)))</f>
        <v/>
      </c>
      <c r="H1726" s="40" t="str">
        <f>IF(tblMovimientos[[#This Row],[SKU]]="","",IFERROR(INDEX(tblProductos[Unidad],MATCH(tblMovimientos[[#This Row],[SKU]],tblProductos[SKU],0)),"?"))</f>
        <v/>
      </c>
      <c r="I1726" s="39"/>
      <c r="J1726" s="47" t="str">
        <f>IF(tblMovimientos[[#This Row],[Tipo]]="","",IFERROR(INDEX(tblTiposMov[FactorStock],MATCH(tblMovimientos[[#This Row],[Tipo]],tblTiposMov[Tipo],0)),0))</f>
        <v/>
      </c>
      <c r="K17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6" s="37"/>
      <c r="O1726" s="37"/>
      <c r="P1726" s="37"/>
    </row>
    <row r="1727" spans="2:16" x14ac:dyDescent="0.25">
      <c r="B17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7" s="46"/>
      <c r="D1727" s="37"/>
      <c r="E1727" s="37"/>
      <c r="F1727" s="37"/>
      <c r="G1727" s="40" t="str">
        <f>IF(tblMovimientos[[#This Row],[Producto]]="","",TRIM(LEFT(tblMovimientos[[#This Row],[Producto]],FIND(" · ",tblMovimientos[[#This Row],[Producto]]&amp;" · ")-1)))</f>
        <v/>
      </c>
      <c r="H1727" s="40" t="str">
        <f>IF(tblMovimientos[[#This Row],[SKU]]="","",IFERROR(INDEX(tblProductos[Unidad],MATCH(tblMovimientos[[#This Row],[SKU]],tblProductos[SKU],0)),"?"))</f>
        <v/>
      </c>
      <c r="I1727" s="39"/>
      <c r="J1727" s="47" t="str">
        <f>IF(tblMovimientos[[#This Row],[Tipo]]="","",IFERROR(INDEX(tblTiposMov[FactorStock],MATCH(tblMovimientos[[#This Row],[Tipo]],tblTiposMov[Tipo],0)),0))</f>
        <v/>
      </c>
      <c r="K17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7" s="37"/>
      <c r="O1727" s="37"/>
      <c r="P1727" s="37"/>
    </row>
    <row r="1728" spans="2:16" x14ac:dyDescent="0.25">
      <c r="B17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8" s="46"/>
      <c r="D1728" s="37"/>
      <c r="E1728" s="37"/>
      <c r="F1728" s="37"/>
      <c r="G1728" s="40" t="str">
        <f>IF(tblMovimientos[[#This Row],[Producto]]="","",TRIM(LEFT(tblMovimientos[[#This Row],[Producto]],FIND(" · ",tblMovimientos[[#This Row],[Producto]]&amp;" · ")-1)))</f>
        <v/>
      </c>
      <c r="H1728" s="40" t="str">
        <f>IF(tblMovimientos[[#This Row],[SKU]]="","",IFERROR(INDEX(tblProductos[Unidad],MATCH(tblMovimientos[[#This Row],[SKU]],tblProductos[SKU],0)),"?"))</f>
        <v/>
      </c>
      <c r="I1728" s="39"/>
      <c r="J1728" s="47" t="str">
        <f>IF(tblMovimientos[[#This Row],[Tipo]]="","",IFERROR(INDEX(tblTiposMov[FactorStock],MATCH(tblMovimientos[[#This Row],[Tipo]],tblTiposMov[Tipo],0)),0))</f>
        <v/>
      </c>
      <c r="K17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8" s="37"/>
      <c r="O1728" s="37"/>
      <c r="P1728" s="37"/>
    </row>
    <row r="1729" spans="2:16" x14ac:dyDescent="0.25">
      <c r="B17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29" s="46"/>
      <c r="D1729" s="37"/>
      <c r="E1729" s="37"/>
      <c r="F1729" s="37"/>
      <c r="G1729" s="40" t="str">
        <f>IF(tblMovimientos[[#This Row],[Producto]]="","",TRIM(LEFT(tblMovimientos[[#This Row],[Producto]],FIND(" · ",tblMovimientos[[#This Row],[Producto]]&amp;" · ")-1)))</f>
        <v/>
      </c>
      <c r="H1729" s="40" t="str">
        <f>IF(tblMovimientos[[#This Row],[SKU]]="","",IFERROR(INDEX(tblProductos[Unidad],MATCH(tblMovimientos[[#This Row],[SKU]],tblProductos[SKU],0)),"?"))</f>
        <v/>
      </c>
      <c r="I1729" s="39"/>
      <c r="J1729" s="47" t="str">
        <f>IF(tblMovimientos[[#This Row],[Tipo]]="","",IFERROR(INDEX(tblTiposMov[FactorStock],MATCH(tblMovimientos[[#This Row],[Tipo]],tblTiposMov[Tipo],0)),0))</f>
        <v/>
      </c>
      <c r="K17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29" s="37"/>
      <c r="O1729" s="37"/>
      <c r="P1729" s="37"/>
    </row>
    <row r="1730" spans="2:16" x14ac:dyDescent="0.25">
      <c r="B17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0" s="46"/>
      <c r="D1730" s="37"/>
      <c r="E1730" s="37"/>
      <c r="F1730" s="37"/>
      <c r="G1730" s="40" t="str">
        <f>IF(tblMovimientos[[#This Row],[Producto]]="","",TRIM(LEFT(tblMovimientos[[#This Row],[Producto]],FIND(" · ",tblMovimientos[[#This Row],[Producto]]&amp;" · ")-1)))</f>
        <v/>
      </c>
      <c r="H1730" s="40" t="str">
        <f>IF(tblMovimientos[[#This Row],[SKU]]="","",IFERROR(INDEX(tblProductos[Unidad],MATCH(tblMovimientos[[#This Row],[SKU]],tblProductos[SKU],0)),"?"))</f>
        <v/>
      </c>
      <c r="I1730" s="39"/>
      <c r="J1730" s="47" t="str">
        <f>IF(tblMovimientos[[#This Row],[Tipo]]="","",IFERROR(INDEX(tblTiposMov[FactorStock],MATCH(tblMovimientos[[#This Row],[Tipo]],tblTiposMov[Tipo],0)),0))</f>
        <v/>
      </c>
      <c r="K17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0" s="37"/>
      <c r="O1730" s="37"/>
      <c r="P1730" s="37"/>
    </row>
    <row r="1731" spans="2:16" x14ac:dyDescent="0.25">
      <c r="B17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1" s="46"/>
      <c r="D1731" s="37"/>
      <c r="E1731" s="37"/>
      <c r="F1731" s="37"/>
      <c r="G1731" s="40" t="str">
        <f>IF(tblMovimientos[[#This Row],[Producto]]="","",TRIM(LEFT(tblMovimientos[[#This Row],[Producto]],FIND(" · ",tblMovimientos[[#This Row],[Producto]]&amp;" · ")-1)))</f>
        <v/>
      </c>
      <c r="H1731" s="40" t="str">
        <f>IF(tblMovimientos[[#This Row],[SKU]]="","",IFERROR(INDEX(tblProductos[Unidad],MATCH(tblMovimientos[[#This Row],[SKU]],tblProductos[SKU],0)),"?"))</f>
        <v/>
      </c>
      <c r="I1731" s="39"/>
      <c r="J1731" s="47" t="str">
        <f>IF(tblMovimientos[[#This Row],[Tipo]]="","",IFERROR(INDEX(tblTiposMov[FactorStock],MATCH(tblMovimientos[[#This Row],[Tipo]],tblTiposMov[Tipo],0)),0))</f>
        <v/>
      </c>
      <c r="K17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1" s="37"/>
      <c r="O1731" s="37"/>
      <c r="P1731" s="37"/>
    </row>
    <row r="1732" spans="2:16" x14ac:dyDescent="0.25">
      <c r="B17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2" s="46"/>
      <c r="D1732" s="37"/>
      <c r="E1732" s="37"/>
      <c r="F1732" s="37"/>
      <c r="G1732" s="40" t="str">
        <f>IF(tblMovimientos[[#This Row],[Producto]]="","",TRIM(LEFT(tblMovimientos[[#This Row],[Producto]],FIND(" · ",tblMovimientos[[#This Row],[Producto]]&amp;" · ")-1)))</f>
        <v/>
      </c>
      <c r="H1732" s="40" t="str">
        <f>IF(tblMovimientos[[#This Row],[SKU]]="","",IFERROR(INDEX(tblProductos[Unidad],MATCH(tblMovimientos[[#This Row],[SKU]],tblProductos[SKU],0)),"?"))</f>
        <v/>
      </c>
      <c r="I1732" s="39"/>
      <c r="J1732" s="47" t="str">
        <f>IF(tblMovimientos[[#This Row],[Tipo]]="","",IFERROR(INDEX(tblTiposMov[FactorStock],MATCH(tblMovimientos[[#This Row],[Tipo]],tblTiposMov[Tipo],0)),0))</f>
        <v/>
      </c>
      <c r="K17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2" s="37"/>
      <c r="O1732" s="37"/>
      <c r="P1732" s="37"/>
    </row>
    <row r="1733" spans="2:16" x14ac:dyDescent="0.25">
      <c r="B17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3" s="46"/>
      <c r="D1733" s="37"/>
      <c r="E1733" s="37"/>
      <c r="F1733" s="37"/>
      <c r="G1733" s="40" t="str">
        <f>IF(tblMovimientos[[#This Row],[Producto]]="","",TRIM(LEFT(tblMovimientos[[#This Row],[Producto]],FIND(" · ",tblMovimientos[[#This Row],[Producto]]&amp;" · ")-1)))</f>
        <v/>
      </c>
      <c r="H1733" s="40" t="str">
        <f>IF(tblMovimientos[[#This Row],[SKU]]="","",IFERROR(INDEX(tblProductos[Unidad],MATCH(tblMovimientos[[#This Row],[SKU]],tblProductos[SKU],0)),"?"))</f>
        <v/>
      </c>
      <c r="I1733" s="39"/>
      <c r="J1733" s="47" t="str">
        <f>IF(tblMovimientos[[#This Row],[Tipo]]="","",IFERROR(INDEX(tblTiposMov[FactorStock],MATCH(tblMovimientos[[#This Row],[Tipo]],tblTiposMov[Tipo],0)),0))</f>
        <v/>
      </c>
      <c r="K17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3" s="37"/>
      <c r="O1733" s="37"/>
      <c r="P1733" s="37"/>
    </row>
    <row r="1734" spans="2:16" x14ac:dyDescent="0.25">
      <c r="B17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4" s="46"/>
      <c r="D1734" s="37"/>
      <c r="E1734" s="37"/>
      <c r="F1734" s="37"/>
      <c r="G1734" s="40" t="str">
        <f>IF(tblMovimientos[[#This Row],[Producto]]="","",TRIM(LEFT(tblMovimientos[[#This Row],[Producto]],FIND(" · ",tblMovimientos[[#This Row],[Producto]]&amp;" · ")-1)))</f>
        <v/>
      </c>
      <c r="H1734" s="40" t="str">
        <f>IF(tblMovimientos[[#This Row],[SKU]]="","",IFERROR(INDEX(tblProductos[Unidad],MATCH(tblMovimientos[[#This Row],[SKU]],tblProductos[SKU],0)),"?"))</f>
        <v/>
      </c>
      <c r="I1734" s="39"/>
      <c r="J1734" s="47" t="str">
        <f>IF(tblMovimientos[[#This Row],[Tipo]]="","",IFERROR(INDEX(tblTiposMov[FactorStock],MATCH(tblMovimientos[[#This Row],[Tipo]],tblTiposMov[Tipo],0)),0))</f>
        <v/>
      </c>
      <c r="K17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4" s="37"/>
      <c r="O1734" s="37"/>
      <c r="P1734" s="37"/>
    </row>
    <row r="1735" spans="2:16" x14ac:dyDescent="0.25">
      <c r="B17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5" s="46"/>
      <c r="D1735" s="37"/>
      <c r="E1735" s="37"/>
      <c r="F1735" s="37"/>
      <c r="G1735" s="40" t="str">
        <f>IF(tblMovimientos[[#This Row],[Producto]]="","",TRIM(LEFT(tblMovimientos[[#This Row],[Producto]],FIND(" · ",tblMovimientos[[#This Row],[Producto]]&amp;" · ")-1)))</f>
        <v/>
      </c>
      <c r="H1735" s="40" t="str">
        <f>IF(tblMovimientos[[#This Row],[SKU]]="","",IFERROR(INDEX(tblProductos[Unidad],MATCH(tblMovimientos[[#This Row],[SKU]],tblProductos[SKU],0)),"?"))</f>
        <v/>
      </c>
      <c r="I1735" s="39"/>
      <c r="J1735" s="47" t="str">
        <f>IF(tblMovimientos[[#This Row],[Tipo]]="","",IFERROR(INDEX(tblTiposMov[FactorStock],MATCH(tblMovimientos[[#This Row],[Tipo]],tblTiposMov[Tipo],0)),0))</f>
        <v/>
      </c>
      <c r="K17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5" s="37"/>
      <c r="O1735" s="37"/>
      <c r="P1735" s="37"/>
    </row>
    <row r="1736" spans="2:16" x14ac:dyDescent="0.25">
      <c r="B17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6" s="46"/>
      <c r="D1736" s="37"/>
      <c r="E1736" s="37"/>
      <c r="F1736" s="37"/>
      <c r="G1736" s="40" t="str">
        <f>IF(tblMovimientos[[#This Row],[Producto]]="","",TRIM(LEFT(tblMovimientos[[#This Row],[Producto]],FIND(" · ",tblMovimientos[[#This Row],[Producto]]&amp;" · ")-1)))</f>
        <v/>
      </c>
      <c r="H1736" s="40" t="str">
        <f>IF(tblMovimientos[[#This Row],[SKU]]="","",IFERROR(INDEX(tblProductos[Unidad],MATCH(tblMovimientos[[#This Row],[SKU]],tblProductos[SKU],0)),"?"))</f>
        <v/>
      </c>
      <c r="I1736" s="39"/>
      <c r="J1736" s="47" t="str">
        <f>IF(tblMovimientos[[#This Row],[Tipo]]="","",IFERROR(INDEX(tblTiposMov[FactorStock],MATCH(tblMovimientos[[#This Row],[Tipo]],tblTiposMov[Tipo],0)),0))</f>
        <v/>
      </c>
      <c r="K17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6" s="37"/>
      <c r="O1736" s="37"/>
      <c r="P1736" s="37"/>
    </row>
    <row r="1737" spans="2:16" x14ac:dyDescent="0.25">
      <c r="B17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7" s="46"/>
      <c r="D1737" s="37"/>
      <c r="E1737" s="37"/>
      <c r="F1737" s="37"/>
      <c r="G1737" s="40" t="str">
        <f>IF(tblMovimientos[[#This Row],[Producto]]="","",TRIM(LEFT(tblMovimientos[[#This Row],[Producto]],FIND(" · ",tblMovimientos[[#This Row],[Producto]]&amp;" · ")-1)))</f>
        <v/>
      </c>
      <c r="H1737" s="40" t="str">
        <f>IF(tblMovimientos[[#This Row],[SKU]]="","",IFERROR(INDEX(tblProductos[Unidad],MATCH(tblMovimientos[[#This Row],[SKU]],tblProductos[SKU],0)),"?"))</f>
        <v/>
      </c>
      <c r="I1737" s="39"/>
      <c r="J1737" s="47" t="str">
        <f>IF(tblMovimientos[[#This Row],[Tipo]]="","",IFERROR(INDEX(tblTiposMov[FactorStock],MATCH(tblMovimientos[[#This Row],[Tipo]],tblTiposMov[Tipo],0)),0))</f>
        <v/>
      </c>
      <c r="K17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7" s="37"/>
      <c r="O1737" s="37"/>
      <c r="P1737" s="37"/>
    </row>
    <row r="1738" spans="2:16" x14ac:dyDescent="0.25">
      <c r="B17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8" s="46"/>
      <c r="D1738" s="37"/>
      <c r="E1738" s="37"/>
      <c r="F1738" s="37"/>
      <c r="G1738" s="40" t="str">
        <f>IF(tblMovimientos[[#This Row],[Producto]]="","",TRIM(LEFT(tblMovimientos[[#This Row],[Producto]],FIND(" · ",tblMovimientos[[#This Row],[Producto]]&amp;" · ")-1)))</f>
        <v/>
      </c>
      <c r="H1738" s="40" t="str">
        <f>IF(tblMovimientos[[#This Row],[SKU]]="","",IFERROR(INDEX(tblProductos[Unidad],MATCH(tblMovimientos[[#This Row],[SKU]],tblProductos[SKU],0)),"?"))</f>
        <v/>
      </c>
      <c r="I1738" s="39"/>
      <c r="J1738" s="47" t="str">
        <f>IF(tblMovimientos[[#This Row],[Tipo]]="","",IFERROR(INDEX(tblTiposMov[FactorStock],MATCH(tblMovimientos[[#This Row],[Tipo]],tblTiposMov[Tipo],0)),0))</f>
        <v/>
      </c>
      <c r="K17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8" s="37"/>
      <c r="O1738" s="37"/>
      <c r="P1738" s="37"/>
    </row>
    <row r="1739" spans="2:16" x14ac:dyDescent="0.25">
      <c r="B17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39" s="46"/>
      <c r="D1739" s="37"/>
      <c r="E1739" s="37"/>
      <c r="F1739" s="37"/>
      <c r="G1739" s="40" t="str">
        <f>IF(tblMovimientos[[#This Row],[Producto]]="","",TRIM(LEFT(tblMovimientos[[#This Row],[Producto]],FIND(" · ",tblMovimientos[[#This Row],[Producto]]&amp;" · ")-1)))</f>
        <v/>
      </c>
      <c r="H1739" s="40" t="str">
        <f>IF(tblMovimientos[[#This Row],[SKU]]="","",IFERROR(INDEX(tblProductos[Unidad],MATCH(tblMovimientos[[#This Row],[SKU]],tblProductos[SKU],0)),"?"))</f>
        <v/>
      </c>
      <c r="I1739" s="39"/>
      <c r="J1739" s="47" t="str">
        <f>IF(tblMovimientos[[#This Row],[Tipo]]="","",IFERROR(INDEX(tblTiposMov[FactorStock],MATCH(tblMovimientos[[#This Row],[Tipo]],tblTiposMov[Tipo],0)),0))</f>
        <v/>
      </c>
      <c r="K17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39" s="37"/>
      <c r="O1739" s="37"/>
      <c r="P1739" s="37"/>
    </row>
    <row r="1740" spans="2:16" x14ac:dyDescent="0.25">
      <c r="B17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0" s="46"/>
      <c r="D1740" s="37"/>
      <c r="E1740" s="37"/>
      <c r="F1740" s="37"/>
      <c r="G1740" s="40" t="str">
        <f>IF(tblMovimientos[[#This Row],[Producto]]="","",TRIM(LEFT(tblMovimientos[[#This Row],[Producto]],FIND(" · ",tblMovimientos[[#This Row],[Producto]]&amp;" · ")-1)))</f>
        <v/>
      </c>
      <c r="H1740" s="40" t="str">
        <f>IF(tblMovimientos[[#This Row],[SKU]]="","",IFERROR(INDEX(tblProductos[Unidad],MATCH(tblMovimientos[[#This Row],[SKU]],tblProductos[SKU],0)),"?"))</f>
        <v/>
      </c>
      <c r="I1740" s="39"/>
      <c r="J1740" s="47" t="str">
        <f>IF(tblMovimientos[[#This Row],[Tipo]]="","",IFERROR(INDEX(tblTiposMov[FactorStock],MATCH(tblMovimientos[[#This Row],[Tipo]],tblTiposMov[Tipo],0)),0))</f>
        <v/>
      </c>
      <c r="K17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0" s="37"/>
      <c r="O1740" s="37"/>
      <c r="P1740" s="37"/>
    </row>
    <row r="1741" spans="2:16" x14ac:dyDescent="0.25">
      <c r="B17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1" s="46"/>
      <c r="D1741" s="37"/>
      <c r="E1741" s="37"/>
      <c r="F1741" s="37"/>
      <c r="G1741" s="40" t="str">
        <f>IF(tblMovimientos[[#This Row],[Producto]]="","",TRIM(LEFT(tblMovimientos[[#This Row],[Producto]],FIND(" · ",tblMovimientos[[#This Row],[Producto]]&amp;" · ")-1)))</f>
        <v/>
      </c>
      <c r="H1741" s="40" t="str">
        <f>IF(tblMovimientos[[#This Row],[SKU]]="","",IFERROR(INDEX(tblProductos[Unidad],MATCH(tblMovimientos[[#This Row],[SKU]],tblProductos[SKU],0)),"?"))</f>
        <v/>
      </c>
      <c r="I1741" s="39"/>
      <c r="J1741" s="47" t="str">
        <f>IF(tblMovimientos[[#This Row],[Tipo]]="","",IFERROR(INDEX(tblTiposMov[FactorStock],MATCH(tblMovimientos[[#This Row],[Tipo]],tblTiposMov[Tipo],0)),0))</f>
        <v/>
      </c>
      <c r="K17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1" s="37"/>
      <c r="O1741" s="37"/>
      <c r="P1741" s="37"/>
    </row>
    <row r="1742" spans="2:16" x14ac:dyDescent="0.25">
      <c r="B17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2" s="46"/>
      <c r="D1742" s="37"/>
      <c r="E1742" s="37"/>
      <c r="F1742" s="37"/>
      <c r="G1742" s="40" t="str">
        <f>IF(tblMovimientos[[#This Row],[Producto]]="","",TRIM(LEFT(tblMovimientos[[#This Row],[Producto]],FIND(" · ",tblMovimientos[[#This Row],[Producto]]&amp;" · ")-1)))</f>
        <v/>
      </c>
      <c r="H1742" s="40" t="str">
        <f>IF(tblMovimientos[[#This Row],[SKU]]="","",IFERROR(INDEX(tblProductos[Unidad],MATCH(tblMovimientos[[#This Row],[SKU]],tblProductos[SKU],0)),"?"))</f>
        <v/>
      </c>
      <c r="I1742" s="39"/>
      <c r="J1742" s="47" t="str">
        <f>IF(tblMovimientos[[#This Row],[Tipo]]="","",IFERROR(INDEX(tblTiposMov[FactorStock],MATCH(tblMovimientos[[#This Row],[Tipo]],tblTiposMov[Tipo],0)),0))</f>
        <v/>
      </c>
      <c r="K17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2" s="37"/>
      <c r="O1742" s="37"/>
      <c r="P1742" s="37"/>
    </row>
    <row r="1743" spans="2:16" x14ac:dyDescent="0.25">
      <c r="B17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3" s="46"/>
      <c r="D1743" s="37"/>
      <c r="E1743" s="37"/>
      <c r="F1743" s="37"/>
      <c r="G1743" s="40" t="str">
        <f>IF(tblMovimientos[[#This Row],[Producto]]="","",TRIM(LEFT(tblMovimientos[[#This Row],[Producto]],FIND(" · ",tblMovimientos[[#This Row],[Producto]]&amp;" · ")-1)))</f>
        <v/>
      </c>
      <c r="H1743" s="40" t="str">
        <f>IF(tblMovimientos[[#This Row],[SKU]]="","",IFERROR(INDEX(tblProductos[Unidad],MATCH(tblMovimientos[[#This Row],[SKU]],tblProductos[SKU],0)),"?"))</f>
        <v/>
      </c>
      <c r="I1743" s="39"/>
      <c r="J1743" s="47" t="str">
        <f>IF(tblMovimientos[[#This Row],[Tipo]]="","",IFERROR(INDEX(tblTiposMov[FactorStock],MATCH(tblMovimientos[[#This Row],[Tipo]],tblTiposMov[Tipo],0)),0))</f>
        <v/>
      </c>
      <c r="K17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3" s="37"/>
      <c r="O1743" s="37"/>
      <c r="P1743" s="37"/>
    </row>
    <row r="1744" spans="2:16" x14ac:dyDescent="0.25">
      <c r="B17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4" s="46"/>
      <c r="D1744" s="37"/>
      <c r="E1744" s="37"/>
      <c r="F1744" s="37"/>
      <c r="G1744" s="40" t="str">
        <f>IF(tblMovimientos[[#This Row],[Producto]]="","",TRIM(LEFT(tblMovimientos[[#This Row],[Producto]],FIND(" · ",tblMovimientos[[#This Row],[Producto]]&amp;" · ")-1)))</f>
        <v/>
      </c>
      <c r="H1744" s="40" t="str">
        <f>IF(tblMovimientos[[#This Row],[SKU]]="","",IFERROR(INDEX(tblProductos[Unidad],MATCH(tblMovimientos[[#This Row],[SKU]],tblProductos[SKU],0)),"?"))</f>
        <v/>
      </c>
      <c r="I1744" s="39"/>
      <c r="J1744" s="47" t="str">
        <f>IF(tblMovimientos[[#This Row],[Tipo]]="","",IFERROR(INDEX(tblTiposMov[FactorStock],MATCH(tblMovimientos[[#This Row],[Tipo]],tblTiposMov[Tipo],0)),0))</f>
        <v/>
      </c>
      <c r="K17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4" s="37"/>
      <c r="O1744" s="37"/>
      <c r="P1744" s="37"/>
    </row>
    <row r="1745" spans="2:16" x14ac:dyDescent="0.25">
      <c r="B17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5" s="46"/>
      <c r="D1745" s="37"/>
      <c r="E1745" s="37"/>
      <c r="F1745" s="37"/>
      <c r="G1745" s="40" t="str">
        <f>IF(tblMovimientos[[#This Row],[Producto]]="","",TRIM(LEFT(tblMovimientos[[#This Row],[Producto]],FIND(" · ",tblMovimientos[[#This Row],[Producto]]&amp;" · ")-1)))</f>
        <v/>
      </c>
      <c r="H1745" s="40" t="str">
        <f>IF(tblMovimientos[[#This Row],[SKU]]="","",IFERROR(INDEX(tblProductos[Unidad],MATCH(tblMovimientos[[#This Row],[SKU]],tblProductos[SKU],0)),"?"))</f>
        <v/>
      </c>
      <c r="I1745" s="39"/>
      <c r="J1745" s="47" t="str">
        <f>IF(tblMovimientos[[#This Row],[Tipo]]="","",IFERROR(INDEX(tblTiposMov[FactorStock],MATCH(tblMovimientos[[#This Row],[Tipo]],tblTiposMov[Tipo],0)),0))</f>
        <v/>
      </c>
      <c r="K17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5" s="37"/>
      <c r="O1745" s="37"/>
      <c r="P1745" s="37"/>
    </row>
    <row r="1746" spans="2:16" x14ac:dyDescent="0.25">
      <c r="B17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6" s="46"/>
      <c r="D1746" s="37"/>
      <c r="E1746" s="37"/>
      <c r="F1746" s="37"/>
      <c r="G1746" s="40" t="str">
        <f>IF(tblMovimientos[[#This Row],[Producto]]="","",TRIM(LEFT(tblMovimientos[[#This Row],[Producto]],FIND(" · ",tblMovimientos[[#This Row],[Producto]]&amp;" · ")-1)))</f>
        <v/>
      </c>
      <c r="H1746" s="40" t="str">
        <f>IF(tblMovimientos[[#This Row],[SKU]]="","",IFERROR(INDEX(tblProductos[Unidad],MATCH(tblMovimientos[[#This Row],[SKU]],tblProductos[SKU],0)),"?"))</f>
        <v/>
      </c>
      <c r="I1746" s="39"/>
      <c r="J1746" s="47" t="str">
        <f>IF(tblMovimientos[[#This Row],[Tipo]]="","",IFERROR(INDEX(tblTiposMov[FactorStock],MATCH(tblMovimientos[[#This Row],[Tipo]],tblTiposMov[Tipo],0)),0))</f>
        <v/>
      </c>
      <c r="K17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6" s="37"/>
      <c r="O1746" s="37"/>
      <c r="P1746" s="37"/>
    </row>
    <row r="1747" spans="2:16" x14ac:dyDescent="0.25">
      <c r="B17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7" s="46"/>
      <c r="D1747" s="37"/>
      <c r="E1747" s="37"/>
      <c r="F1747" s="37"/>
      <c r="G1747" s="40" t="str">
        <f>IF(tblMovimientos[[#This Row],[Producto]]="","",TRIM(LEFT(tblMovimientos[[#This Row],[Producto]],FIND(" · ",tblMovimientos[[#This Row],[Producto]]&amp;" · ")-1)))</f>
        <v/>
      </c>
      <c r="H1747" s="40" t="str">
        <f>IF(tblMovimientos[[#This Row],[SKU]]="","",IFERROR(INDEX(tblProductos[Unidad],MATCH(tblMovimientos[[#This Row],[SKU]],tblProductos[SKU],0)),"?"))</f>
        <v/>
      </c>
      <c r="I1747" s="39"/>
      <c r="J1747" s="47" t="str">
        <f>IF(tblMovimientos[[#This Row],[Tipo]]="","",IFERROR(INDEX(tblTiposMov[FactorStock],MATCH(tblMovimientos[[#This Row],[Tipo]],tblTiposMov[Tipo],0)),0))</f>
        <v/>
      </c>
      <c r="K17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7" s="37"/>
      <c r="O1747" s="37"/>
      <c r="P1747" s="37"/>
    </row>
    <row r="1748" spans="2:16" x14ac:dyDescent="0.25">
      <c r="B17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8" s="46"/>
      <c r="D1748" s="37"/>
      <c r="E1748" s="37"/>
      <c r="F1748" s="37"/>
      <c r="G1748" s="40" t="str">
        <f>IF(tblMovimientos[[#This Row],[Producto]]="","",TRIM(LEFT(tblMovimientos[[#This Row],[Producto]],FIND(" · ",tblMovimientos[[#This Row],[Producto]]&amp;" · ")-1)))</f>
        <v/>
      </c>
      <c r="H1748" s="40" t="str">
        <f>IF(tblMovimientos[[#This Row],[SKU]]="","",IFERROR(INDEX(tblProductos[Unidad],MATCH(tblMovimientos[[#This Row],[SKU]],tblProductos[SKU],0)),"?"))</f>
        <v/>
      </c>
      <c r="I1748" s="39"/>
      <c r="J1748" s="47" t="str">
        <f>IF(tblMovimientos[[#This Row],[Tipo]]="","",IFERROR(INDEX(tblTiposMov[FactorStock],MATCH(tblMovimientos[[#This Row],[Tipo]],tblTiposMov[Tipo],0)),0))</f>
        <v/>
      </c>
      <c r="K17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8" s="37"/>
      <c r="O1748" s="37"/>
      <c r="P1748" s="37"/>
    </row>
    <row r="1749" spans="2:16" x14ac:dyDescent="0.25">
      <c r="B17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49" s="46"/>
      <c r="D1749" s="37"/>
      <c r="E1749" s="37"/>
      <c r="F1749" s="37"/>
      <c r="G1749" s="40" t="str">
        <f>IF(tblMovimientos[[#This Row],[Producto]]="","",TRIM(LEFT(tblMovimientos[[#This Row],[Producto]],FIND(" · ",tblMovimientos[[#This Row],[Producto]]&amp;" · ")-1)))</f>
        <v/>
      </c>
      <c r="H1749" s="40" t="str">
        <f>IF(tblMovimientos[[#This Row],[SKU]]="","",IFERROR(INDEX(tblProductos[Unidad],MATCH(tblMovimientos[[#This Row],[SKU]],tblProductos[SKU],0)),"?"))</f>
        <v/>
      </c>
      <c r="I1749" s="39"/>
      <c r="J1749" s="47" t="str">
        <f>IF(tblMovimientos[[#This Row],[Tipo]]="","",IFERROR(INDEX(tblTiposMov[FactorStock],MATCH(tblMovimientos[[#This Row],[Tipo]],tblTiposMov[Tipo],0)),0))</f>
        <v/>
      </c>
      <c r="K17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49" s="37"/>
      <c r="O1749" s="37"/>
      <c r="P1749" s="37"/>
    </row>
    <row r="1750" spans="2:16" x14ac:dyDescent="0.25">
      <c r="B17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0" s="46"/>
      <c r="D1750" s="37"/>
      <c r="E1750" s="37"/>
      <c r="F1750" s="37"/>
      <c r="G1750" s="40" t="str">
        <f>IF(tblMovimientos[[#This Row],[Producto]]="","",TRIM(LEFT(tblMovimientos[[#This Row],[Producto]],FIND(" · ",tblMovimientos[[#This Row],[Producto]]&amp;" · ")-1)))</f>
        <v/>
      </c>
      <c r="H1750" s="40" t="str">
        <f>IF(tblMovimientos[[#This Row],[SKU]]="","",IFERROR(INDEX(tblProductos[Unidad],MATCH(tblMovimientos[[#This Row],[SKU]],tblProductos[SKU],0)),"?"))</f>
        <v/>
      </c>
      <c r="I1750" s="39"/>
      <c r="J1750" s="47" t="str">
        <f>IF(tblMovimientos[[#This Row],[Tipo]]="","",IFERROR(INDEX(tblTiposMov[FactorStock],MATCH(tblMovimientos[[#This Row],[Tipo]],tblTiposMov[Tipo],0)),0))</f>
        <v/>
      </c>
      <c r="K17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0" s="37"/>
      <c r="O1750" s="37"/>
      <c r="P1750" s="37"/>
    </row>
    <row r="1751" spans="2:16" x14ac:dyDescent="0.25">
      <c r="B17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1" s="46"/>
      <c r="D1751" s="37"/>
      <c r="E1751" s="37"/>
      <c r="F1751" s="37"/>
      <c r="G1751" s="40" t="str">
        <f>IF(tblMovimientos[[#This Row],[Producto]]="","",TRIM(LEFT(tblMovimientos[[#This Row],[Producto]],FIND(" · ",tblMovimientos[[#This Row],[Producto]]&amp;" · ")-1)))</f>
        <v/>
      </c>
      <c r="H1751" s="40" t="str">
        <f>IF(tblMovimientos[[#This Row],[SKU]]="","",IFERROR(INDEX(tblProductos[Unidad],MATCH(tblMovimientos[[#This Row],[SKU]],tblProductos[SKU],0)),"?"))</f>
        <v/>
      </c>
      <c r="I1751" s="39"/>
      <c r="J1751" s="47" t="str">
        <f>IF(tblMovimientos[[#This Row],[Tipo]]="","",IFERROR(INDEX(tblTiposMov[FactorStock],MATCH(tblMovimientos[[#This Row],[Tipo]],tblTiposMov[Tipo],0)),0))</f>
        <v/>
      </c>
      <c r="K17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1" s="37"/>
      <c r="O1751" s="37"/>
      <c r="P1751" s="37"/>
    </row>
    <row r="1752" spans="2:16" x14ac:dyDescent="0.25">
      <c r="B17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2" s="46"/>
      <c r="D1752" s="37"/>
      <c r="E1752" s="37"/>
      <c r="F1752" s="37"/>
      <c r="G1752" s="40" t="str">
        <f>IF(tblMovimientos[[#This Row],[Producto]]="","",TRIM(LEFT(tblMovimientos[[#This Row],[Producto]],FIND(" · ",tblMovimientos[[#This Row],[Producto]]&amp;" · ")-1)))</f>
        <v/>
      </c>
      <c r="H1752" s="40" t="str">
        <f>IF(tblMovimientos[[#This Row],[SKU]]="","",IFERROR(INDEX(tblProductos[Unidad],MATCH(tblMovimientos[[#This Row],[SKU]],tblProductos[SKU],0)),"?"))</f>
        <v/>
      </c>
      <c r="I1752" s="39"/>
      <c r="J1752" s="47" t="str">
        <f>IF(tblMovimientos[[#This Row],[Tipo]]="","",IFERROR(INDEX(tblTiposMov[FactorStock],MATCH(tblMovimientos[[#This Row],[Tipo]],tblTiposMov[Tipo],0)),0))</f>
        <v/>
      </c>
      <c r="K17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2" s="37"/>
      <c r="O1752" s="37"/>
      <c r="P1752" s="37"/>
    </row>
    <row r="1753" spans="2:16" x14ac:dyDescent="0.25">
      <c r="B17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3" s="46"/>
      <c r="D1753" s="37"/>
      <c r="E1753" s="37"/>
      <c r="F1753" s="37"/>
      <c r="G1753" s="40" t="str">
        <f>IF(tblMovimientos[[#This Row],[Producto]]="","",TRIM(LEFT(tblMovimientos[[#This Row],[Producto]],FIND(" · ",tblMovimientos[[#This Row],[Producto]]&amp;" · ")-1)))</f>
        <v/>
      </c>
      <c r="H1753" s="40" t="str">
        <f>IF(tblMovimientos[[#This Row],[SKU]]="","",IFERROR(INDEX(tblProductos[Unidad],MATCH(tblMovimientos[[#This Row],[SKU]],tblProductos[SKU],0)),"?"))</f>
        <v/>
      </c>
      <c r="I1753" s="39"/>
      <c r="J1753" s="47" t="str">
        <f>IF(tblMovimientos[[#This Row],[Tipo]]="","",IFERROR(INDEX(tblTiposMov[FactorStock],MATCH(tblMovimientos[[#This Row],[Tipo]],tblTiposMov[Tipo],0)),0))</f>
        <v/>
      </c>
      <c r="K17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3" s="37"/>
      <c r="O1753" s="37"/>
      <c r="P1753" s="37"/>
    </row>
    <row r="1754" spans="2:16" x14ac:dyDescent="0.25">
      <c r="B17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4" s="46"/>
      <c r="D1754" s="37"/>
      <c r="E1754" s="37"/>
      <c r="F1754" s="37"/>
      <c r="G1754" s="40" t="str">
        <f>IF(tblMovimientos[[#This Row],[Producto]]="","",TRIM(LEFT(tblMovimientos[[#This Row],[Producto]],FIND(" · ",tblMovimientos[[#This Row],[Producto]]&amp;" · ")-1)))</f>
        <v/>
      </c>
      <c r="H1754" s="40" t="str">
        <f>IF(tblMovimientos[[#This Row],[SKU]]="","",IFERROR(INDEX(tblProductos[Unidad],MATCH(tblMovimientos[[#This Row],[SKU]],tblProductos[SKU],0)),"?"))</f>
        <v/>
      </c>
      <c r="I1754" s="39"/>
      <c r="J1754" s="47" t="str">
        <f>IF(tblMovimientos[[#This Row],[Tipo]]="","",IFERROR(INDEX(tblTiposMov[FactorStock],MATCH(tblMovimientos[[#This Row],[Tipo]],tblTiposMov[Tipo],0)),0))</f>
        <v/>
      </c>
      <c r="K17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4" s="37"/>
      <c r="O1754" s="37"/>
      <c r="P1754" s="37"/>
    </row>
    <row r="1755" spans="2:16" x14ac:dyDescent="0.25">
      <c r="B17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5" s="46"/>
      <c r="D1755" s="37"/>
      <c r="E1755" s="37"/>
      <c r="F1755" s="37"/>
      <c r="G1755" s="40" t="str">
        <f>IF(tblMovimientos[[#This Row],[Producto]]="","",TRIM(LEFT(tblMovimientos[[#This Row],[Producto]],FIND(" · ",tblMovimientos[[#This Row],[Producto]]&amp;" · ")-1)))</f>
        <v/>
      </c>
      <c r="H1755" s="40" t="str">
        <f>IF(tblMovimientos[[#This Row],[SKU]]="","",IFERROR(INDEX(tblProductos[Unidad],MATCH(tblMovimientos[[#This Row],[SKU]],tblProductos[SKU],0)),"?"))</f>
        <v/>
      </c>
      <c r="I1755" s="39"/>
      <c r="J1755" s="47" t="str">
        <f>IF(tblMovimientos[[#This Row],[Tipo]]="","",IFERROR(INDEX(tblTiposMov[FactorStock],MATCH(tblMovimientos[[#This Row],[Tipo]],tblTiposMov[Tipo],0)),0))</f>
        <v/>
      </c>
      <c r="K17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5" s="37"/>
      <c r="O1755" s="37"/>
      <c r="P1755" s="37"/>
    </row>
    <row r="1756" spans="2:16" x14ac:dyDescent="0.25">
      <c r="B17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6" s="46"/>
      <c r="D1756" s="37"/>
      <c r="E1756" s="37"/>
      <c r="F1756" s="37"/>
      <c r="G1756" s="40" t="str">
        <f>IF(tblMovimientos[[#This Row],[Producto]]="","",TRIM(LEFT(tblMovimientos[[#This Row],[Producto]],FIND(" · ",tblMovimientos[[#This Row],[Producto]]&amp;" · ")-1)))</f>
        <v/>
      </c>
      <c r="H1756" s="40" t="str">
        <f>IF(tblMovimientos[[#This Row],[SKU]]="","",IFERROR(INDEX(tblProductos[Unidad],MATCH(tblMovimientos[[#This Row],[SKU]],tblProductos[SKU],0)),"?"))</f>
        <v/>
      </c>
      <c r="I1756" s="39"/>
      <c r="J1756" s="47" t="str">
        <f>IF(tblMovimientos[[#This Row],[Tipo]]="","",IFERROR(INDEX(tblTiposMov[FactorStock],MATCH(tblMovimientos[[#This Row],[Tipo]],tblTiposMov[Tipo],0)),0))</f>
        <v/>
      </c>
      <c r="K17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6" s="37"/>
      <c r="O1756" s="37"/>
      <c r="P1756" s="37"/>
    </row>
    <row r="1757" spans="2:16" x14ac:dyDescent="0.25">
      <c r="B17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7" s="46"/>
      <c r="D1757" s="37"/>
      <c r="E1757" s="37"/>
      <c r="F1757" s="37"/>
      <c r="G1757" s="40" t="str">
        <f>IF(tblMovimientos[[#This Row],[Producto]]="","",TRIM(LEFT(tblMovimientos[[#This Row],[Producto]],FIND(" · ",tblMovimientos[[#This Row],[Producto]]&amp;" · ")-1)))</f>
        <v/>
      </c>
      <c r="H1757" s="40" t="str">
        <f>IF(tblMovimientos[[#This Row],[SKU]]="","",IFERROR(INDEX(tblProductos[Unidad],MATCH(tblMovimientos[[#This Row],[SKU]],tblProductos[SKU],0)),"?"))</f>
        <v/>
      </c>
      <c r="I1757" s="39"/>
      <c r="J1757" s="47" t="str">
        <f>IF(tblMovimientos[[#This Row],[Tipo]]="","",IFERROR(INDEX(tblTiposMov[FactorStock],MATCH(tblMovimientos[[#This Row],[Tipo]],tblTiposMov[Tipo],0)),0))</f>
        <v/>
      </c>
      <c r="K17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7" s="37"/>
      <c r="O1757" s="37"/>
      <c r="P1757" s="37"/>
    </row>
    <row r="1758" spans="2:16" x14ac:dyDescent="0.25">
      <c r="B17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8" s="46"/>
      <c r="D1758" s="37"/>
      <c r="E1758" s="37"/>
      <c r="F1758" s="37"/>
      <c r="G1758" s="40" t="str">
        <f>IF(tblMovimientos[[#This Row],[Producto]]="","",TRIM(LEFT(tblMovimientos[[#This Row],[Producto]],FIND(" · ",tblMovimientos[[#This Row],[Producto]]&amp;" · ")-1)))</f>
        <v/>
      </c>
      <c r="H1758" s="40" t="str">
        <f>IF(tblMovimientos[[#This Row],[SKU]]="","",IFERROR(INDEX(tblProductos[Unidad],MATCH(tblMovimientos[[#This Row],[SKU]],tblProductos[SKU],0)),"?"))</f>
        <v/>
      </c>
      <c r="I1758" s="39"/>
      <c r="J1758" s="47" t="str">
        <f>IF(tblMovimientos[[#This Row],[Tipo]]="","",IFERROR(INDEX(tblTiposMov[FactorStock],MATCH(tblMovimientos[[#This Row],[Tipo]],tblTiposMov[Tipo],0)),0))</f>
        <v/>
      </c>
      <c r="K17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8" s="37"/>
      <c r="O1758" s="37"/>
      <c r="P1758" s="37"/>
    </row>
    <row r="1759" spans="2:16" x14ac:dyDescent="0.25">
      <c r="B17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59" s="46"/>
      <c r="D1759" s="37"/>
      <c r="E1759" s="37"/>
      <c r="F1759" s="37"/>
      <c r="G1759" s="40" t="str">
        <f>IF(tblMovimientos[[#This Row],[Producto]]="","",TRIM(LEFT(tblMovimientos[[#This Row],[Producto]],FIND(" · ",tblMovimientos[[#This Row],[Producto]]&amp;" · ")-1)))</f>
        <v/>
      </c>
      <c r="H1759" s="40" t="str">
        <f>IF(tblMovimientos[[#This Row],[SKU]]="","",IFERROR(INDEX(tblProductos[Unidad],MATCH(tblMovimientos[[#This Row],[SKU]],tblProductos[SKU],0)),"?"))</f>
        <v/>
      </c>
      <c r="I1759" s="39"/>
      <c r="J1759" s="47" t="str">
        <f>IF(tblMovimientos[[#This Row],[Tipo]]="","",IFERROR(INDEX(tblTiposMov[FactorStock],MATCH(tblMovimientos[[#This Row],[Tipo]],tblTiposMov[Tipo],0)),0))</f>
        <v/>
      </c>
      <c r="K17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59" s="37"/>
      <c r="O1759" s="37"/>
      <c r="P1759" s="37"/>
    </row>
    <row r="1760" spans="2:16" x14ac:dyDescent="0.25">
      <c r="B17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0" s="46"/>
      <c r="D1760" s="37"/>
      <c r="E1760" s="37"/>
      <c r="F1760" s="37"/>
      <c r="G1760" s="40" t="str">
        <f>IF(tblMovimientos[[#This Row],[Producto]]="","",TRIM(LEFT(tblMovimientos[[#This Row],[Producto]],FIND(" · ",tblMovimientos[[#This Row],[Producto]]&amp;" · ")-1)))</f>
        <v/>
      </c>
      <c r="H1760" s="40" t="str">
        <f>IF(tblMovimientos[[#This Row],[SKU]]="","",IFERROR(INDEX(tblProductos[Unidad],MATCH(tblMovimientos[[#This Row],[SKU]],tblProductos[SKU],0)),"?"))</f>
        <v/>
      </c>
      <c r="I1760" s="39"/>
      <c r="J1760" s="47" t="str">
        <f>IF(tblMovimientos[[#This Row],[Tipo]]="","",IFERROR(INDEX(tblTiposMov[FactorStock],MATCH(tblMovimientos[[#This Row],[Tipo]],tblTiposMov[Tipo],0)),0))</f>
        <v/>
      </c>
      <c r="K17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0" s="37"/>
      <c r="O1760" s="37"/>
      <c r="P1760" s="37"/>
    </row>
    <row r="1761" spans="2:16" x14ac:dyDescent="0.25">
      <c r="B17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1" s="46"/>
      <c r="D1761" s="37"/>
      <c r="E1761" s="37"/>
      <c r="F1761" s="37"/>
      <c r="G1761" s="40" t="str">
        <f>IF(tblMovimientos[[#This Row],[Producto]]="","",TRIM(LEFT(tblMovimientos[[#This Row],[Producto]],FIND(" · ",tblMovimientos[[#This Row],[Producto]]&amp;" · ")-1)))</f>
        <v/>
      </c>
      <c r="H1761" s="40" t="str">
        <f>IF(tblMovimientos[[#This Row],[SKU]]="","",IFERROR(INDEX(tblProductos[Unidad],MATCH(tblMovimientos[[#This Row],[SKU]],tblProductos[SKU],0)),"?"))</f>
        <v/>
      </c>
      <c r="I1761" s="39"/>
      <c r="J1761" s="47" t="str">
        <f>IF(tblMovimientos[[#This Row],[Tipo]]="","",IFERROR(INDEX(tblTiposMov[FactorStock],MATCH(tblMovimientos[[#This Row],[Tipo]],tblTiposMov[Tipo],0)),0))</f>
        <v/>
      </c>
      <c r="K17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1" s="37"/>
      <c r="O1761" s="37"/>
      <c r="P1761" s="37"/>
    </row>
    <row r="1762" spans="2:16" x14ac:dyDescent="0.25">
      <c r="B17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2" s="46"/>
      <c r="D1762" s="37"/>
      <c r="E1762" s="37"/>
      <c r="F1762" s="37"/>
      <c r="G1762" s="40" t="str">
        <f>IF(tblMovimientos[[#This Row],[Producto]]="","",TRIM(LEFT(tblMovimientos[[#This Row],[Producto]],FIND(" · ",tblMovimientos[[#This Row],[Producto]]&amp;" · ")-1)))</f>
        <v/>
      </c>
      <c r="H1762" s="40" t="str">
        <f>IF(tblMovimientos[[#This Row],[SKU]]="","",IFERROR(INDEX(tblProductos[Unidad],MATCH(tblMovimientos[[#This Row],[SKU]],tblProductos[SKU],0)),"?"))</f>
        <v/>
      </c>
      <c r="I1762" s="39"/>
      <c r="J1762" s="47" t="str">
        <f>IF(tblMovimientos[[#This Row],[Tipo]]="","",IFERROR(INDEX(tblTiposMov[FactorStock],MATCH(tblMovimientos[[#This Row],[Tipo]],tblTiposMov[Tipo],0)),0))</f>
        <v/>
      </c>
      <c r="K17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2" s="37"/>
      <c r="O1762" s="37"/>
      <c r="P1762" s="37"/>
    </row>
    <row r="1763" spans="2:16" x14ac:dyDescent="0.25">
      <c r="B17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3" s="46"/>
      <c r="D1763" s="37"/>
      <c r="E1763" s="37"/>
      <c r="F1763" s="37"/>
      <c r="G1763" s="40" t="str">
        <f>IF(tblMovimientos[[#This Row],[Producto]]="","",TRIM(LEFT(tblMovimientos[[#This Row],[Producto]],FIND(" · ",tblMovimientos[[#This Row],[Producto]]&amp;" · ")-1)))</f>
        <v/>
      </c>
      <c r="H1763" s="40" t="str">
        <f>IF(tblMovimientos[[#This Row],[SKU]]="","",IFERROR(INDEX(tblProductos[Unidad],MATCH(tblMovimientos[[#This Row],[SKU]],tblProductos[SKU],0)),"?"))</f>
        <v/>
      </c>
      <c r="I1763" s="39"/>
      <c r="J1763" s="47" t="str">
        <f>IF(tblMovimientos[[#This Row],[Tipo]]="","",IFERROR(INDEX(tblTiposMov[FactorStock],MATCH(tblMovimientos[[#This Row],[Tipo]],tblTiposMov[Tipo],0)),0))</f>
        <v/>
      </c>
      <c r="K17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3" s="37"/>
      <c r="O1763" s="37"/>
      <c r="P1763" s="37"/>
    </row>
    <row r="1764" spans="2:16" x14ac:dyDescent="0.25">
      <c r="B17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4" s="46"/>
      <c r="D1764" s="37"/>
      <c r="E1764" s="37"/>
      <c r="F1764" s="37"/>
      <c r="G1764" s="40" t="str">
        <f>IF(tblMovimientos[[#This Row],[Producto]]="","",TRIM(LEFT(tblMovimientos[[#This Row],[Producto]],FIND(" · ",tblMovimientos[[#This Row],[Producto]]&amp;" · ")-1)))</f>
        <v/>
      </c>
      <c r="H1764" s="40" t="str">
        <f>IF(tblMovimientos[[#This Row],[SKU]]="","",IFERROR(INDEX(tblProductos[Unidad],MATCH(tblMovimientos[[#This Row],[SKU]],tblProductos[SKU],0)),"?"))</f>
        <v/>
      </c>
      <c r="I1764" s="39"/>
      <c r="J1764" s="47" t="str">
        <f>IF(tblMovimientos[[#This Row],[Tipo]]="","",IFERROR(INDEX(tblTiposMov[FactorStock],MATCH(tblMovimientos[[#This Row],[Tipo]],tblTiposMov[Tipo],0)),0))</f>
        <v/>
      </c>
      <c r="K17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4" s="37"/>
      <c r="O1764" s="37"/>
      <c r="P1764" s="37"/>
    </row>
    <row r="1765" spans="2:16" x14ac:dyDescent="0.25">
      <c r="B17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5" s="46"/>
      <c r="D1765" s="37"/>
      <c r="E1765" s="37"/>
      <c r="F1765" s="37"/>
      <c r="G1765" s="40" t="str">
        <f>IF(tblMovimientos[[#This Row],[Producto]]="","",TRIM(LEFT(tblMovimientos[[#This Row],[Producto]],FIND(" · ",tblMovimientos[[#This Row],[Producto]]&amp;" · ")-1)))</f>
        <v/>
      </c>
      <c r="H1765" s="40" t="str">
        <f>IF(tblMovimientos[[#This Row],[SKU]]="","",IFERROR(INDEX(tblProductos[Unidad],MATCH(tblMovimientos[[#This Row],[SKU]],tblProductos[SKU],0)),"?"))</f>
        <v/>
      </c>
      <c r="I1765" s="39"/>
      <c r="J1765" s="47" t="str">
        <f>IF(tblMovimientos[[#This Row],[Tipo]]="","",IFERROR(INDEX(tblTiposMov[FactorStock],MATCH(tblMovimientos[[#This Row],[Tipo]],tblTiposMov[Tipo],0)),0))</f>
        <v/>
      </c>
      <c r="K17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5" s="37"/>
      <c r="O1765" s="37"/>
      <c r="P1765" s="37"/>
    </row>
    <row r="1766" spans="2:16" x14ac:dyDescent="0.25">
      <c r="B17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6" s="46"/>
      <c r="D1766" s="37"/>
      <c r="E1766" s="37"/>
      <c r="F1766" s="37"/>
      <c r="G1766" s="40" t="str">
        <f>IF(tblMovimientos[[#This Row],[Producto]]="","",TRIM(LEFT(tblMovimientos[[#This Row],[Producto]],FIND(" · ",tblMovimientos[[#This Row],[Producto]]&amp;" · ")-1)))</f>
        <v/>
      </c>
      <c r="H1766" s="40" t="str">
        <f>IF(tblMovimientos[[#This Row],[SKU]]="","",IFERROR(INDEX(tblProductos[Unidad],MATCH(tblMovimientos[[#This Row],[SKU]],tblProductos[SKU],0)),"?"))</f>
        <v/>
      </c>
      <c r="I1766" s="39"/>
      <c r="J1766" s="47" t="str">
        <f>IF(tblMovimientos[[#This Row],[Tipo]]="","",IFERROR(INDEX(tblTiposMov[FactorStock],MATCH(tblMovimientos[[#This Row],[Tipo]],tblTiposMov[Tipo],0)),0))</f>
        <v/>
      </c>
      <c r="K17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6" s="37"/>
      <c r="O1766" s="37"/>
      <c r="P1766" s="37"/>
    </row>
    <row r="1767" spans="2:16" x14ac:dyDescent="0.25">
      <c r="B17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7" s="46"/>
      <c r="D1767" s="37"/>
      <c r="E1767" s="37"/>
      <c r="F1767" s="37"/>
      <c r="G1767" s="40" t="str">
        <f>IF(tblMovimientos[[#This Row],[Producto]]="","",TRIM(LEFT(tblMovimientos[[#This Row],[Producto]],FIND(" · ",tblMovimientos[[#This Row],[Producto]]&amp;" · ")-1)))</f>
        <v/>
      </c>
      <c r="H1767" s="40" t="str">
        <f>IF(tblMovimientos[[#This Row],[SKU]]="","",IFERROR(INDEX(tblProductos[Unidad],MATCH(tblMovimientos[[#This Row],[SKU]],tblProductos[SKU],0)),"?"))</f>
        <v/>
      </c>
      <c r="I1767" s="39"/>
      <c r="J1767" s="47" t="str">
        <f>IF(tblMovimientos[[#This Row],[Tipo]]="","",IFERROR(INDEX(tblTiposMov[FactorStock],MATCH(tblMovimientos[[#This Row],[Tipo]],tblTiposMov[Tipo],0)),0))</f>
        <v/>
      </c>
      <c r="K17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7" s="37"/>
      <c r="O1767" s="37"/>
      <c r="P1767" s="37"/>
    </row>
    <row r="1768" spans="2:16" x14ac:dyDescent="0.25">
      <c r="B17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8" s="46"/>
      <c r="D1768" s="37"/>
      <c r="E1768" s="37"/>
      <c r="F1768" s="37"/>
      <c r="G1768" s="40" t="str">
        <f>IF(tblMovimientos[[#This Row],[Producto]]="","",TRIM(LEFT(tblMovimientos[[#This Row],[Producto]],FIND(" · ",tblMovimientos[[#This Row],[Producto]]&amp;" · ")-1)))</f>
        <v/>
      </c>
      <c r="H1768" s="40" t="str">
        <f>IF(tblMovimientos[[#This Row],[SKU]]="","",IFERROR(INDEX(tblProductos[Unidad],MATCH(tblMovimientos[[#This Row],[SKU]],tblProductos[SKU],0)),"?"))</f>
        <v/>
      </c>
      <c r="I1768" s="39"/>
      <c r="J1768" s="47" t="str">
        <f>IF(tblMovimientos[[#This Row],[Tipo]]="","",IFERROR(INDEX(tblTiposMov[FactorStock],MATCH(tblMovimientos[[#This Row],[Tipo]],tblTiposMov[Tipo],0)),0))</f>
        <v/>
      </c>
      <c r="K17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8" s="37"/>
      <c r="O1768" s="37"/>
      <c r="P1768" s="37"/>
    </row>
    <row r="1769" spans="2:16" x14ac:dyDescent="0.25">
      <c r="B17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69" s="46"/>
      <c r="D1769" s="37"/>
      <c r="E1769" s="37"/>
      <c r="F1769" s="37"/>
      <c r="G1769" s="40" t="str">
        <f>IF(tblMovimientos[[#This Row],[Producto]]="","",TRIM(LEFT(tblMovimientos[[#This Row],[Producto]],FIND(" · ",tblMovimientos[[#This Row],[Producto]]&amp;" · ")-1)))</f>
        <v/>
      </c>
      <c r="H1769" s="40" t="str">
        <f>IF(tblMovimientos[[#This Row],[SKU]]="","",IFERROR(INDEX(tblProductos[Unidad],MATCH(tblMovimientos[[#This Row],[SKU]],tblProductos[SKU],0)),"?"))</f>
        <v/>
      </c>
      <c r="I1769" s="39"/>
      <c r="J1769" s="47" t="str">
        <f>IF(tblMovimientos[[#This Row],[Tipo]]="","",IFERROR(INDEX(tblTiposMov[FactorStock],MATCH(tblMovimientos[[#This Row],[Tipo]],tblTiposMov[Tipo],0)),0))</f>
        <v/>
      </c>
      <c r="K17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69" s="37"/>
      <c r="O1769" s="37"/>
      <c r="P1769" s="37"/>
    </row>
    <row r="1770" spans="2:16" x14ac:dyDescent="0.25">
      <c r="B17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0" s="46"/>
      <c r="D1770" s="37"/>
      <c r="E1770" s="37"/>
      <c r="F1770" s="37"/>
      <c r="G1770" s="40" t="str">
        <f>IF(tblMovimientos[[#This Row],[Producto]]="","",TRIM(LEFT(tblMovimientos[[#This Row],[Producto]],FIND(" · ",tblMovimientos[[#This Row],[Producto]]&amp;" · ")-1)))</f>
        <v/>
      </c>
      <c r="H1770" s="40" t="str">
        <f>IF(tblMovimientos[[#This Row],[SKU]]="","",IFERROR(INDEX(tblProductos[Unidad],MATCH(tblMovimientos[[#This Row],[SKU]],tblProductos[SKU],0)),"?"))</f>
        <v/>
      </c>
      <c r="I1770" s="39"/>
      <c r="J1770" s="47" t="str">
        <f>IF(tblMovimientos[[#This Row],[Tipo]]="","",IFERROR(INDEX(tblTiposMov[FactorStock],MATCH(tblMovimientos[[#This Row],[Tipo]],tblTiposMov[Tipo],0)),0))</f>
        <v/>
      </c>
      <c r="K17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0" s="37"/>
      <c r="O1770" s="37"/>
      <c r="P1770" s="37"/>
    </row>
    <row r="1771" spans="2:16" x14ac:dyDescent="0.25">
      <c r="B17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1" s="46"/>
      <c r="D1771" s="37"/>
      <c r="E1771" s="37"/>
      <c r="F1771" s="37"/>
      <c r="G1771" s="40" t="str">
        <f>IF(tblMovimientos[[#This Row],[Producto]]="","",TRIM(LEFT(tblMovimientos[[#This Row],[Producto]],FIND(" · ",tblMovimientos[[#This Row],[Producto]]&amp;" · ")-1)))</f>
        <v/>
      </c>
      <c r="H1771" s="40" t="str">
        <f>IF(tblMovimientos[[#This Row],[SKU]]="","",IFERROR(INDEX(tblProductos[Unidad],MATCH(tblMovimientos[[#This Row],[SKU]],tblProductos[SKU],0)),"?"))</f>
        <v/>
      </c>
      <c r="I1771" s="39"/>
      <c r="J1771" s="47" t="str">
        <f>IF(tblMovimientos[[#This Row],[Tipo]]="","",IFERROR(INDEX(tblTiposMov[FactorStock],MATCH(tblMovimientos[[#This Row],[Tipo]],tblTiposMov[Tipo],0)),0))</f>
        <v/>
      </c>
      <c r="K17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1" s="37"/>
      <c r="O1771" s="37"/>
      <c r="P1771" s="37"/>
    </row>
    <row r="1772" spans="2:16" x14ac:dyDescent="0.25">
      <c r="B17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2" s="46"/>
      <c r="D1772" s="37"/>
      <c r="E1772" s="37"/>
      <c r="F1772" s="37"/>
      <c r="G1772" s="40" t="str">
        <f>IF(tblMovimientos[[#This Row],[Producto]]="","",TRIM(LEFT(tblMovimientos[[#This Row],[Producto]],FIND(" · ",tblMovimientos[[#This Row],[Producto]]&amp;" · ")-1)))</f>
        <v/>
      </c>
      <c r="H1772" s="40" t="str">
        <f>IF(tblMovimientos[[#This Row],[SKU]]="","",IFERROR(INDEX(tblProductos[Unidad],MATCH(tblMovimientos[[#This Row],[SKU]],tblProductos[SKU],0)),"?"))</f>
        <v/>
      </c>
      <c r="I1772" s="39"/>
      <c r="J1772" s="47" t="str">
        <f>IF(tblMovimientos[[#This Row],[Tipo]]="","",IFERROR(INDEX(tblTiposMov[FactorStock],MATCH(tblMovimientos[[#This Row],[Tipo]],tblTiposMov[Tipo],0)),0))</f>
        <v/>
      </c>
      <c r="K17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2" s="37"/>
      <c r="O1772" s="37"/>
      <c r="P1772" s="37"/>
    </row>
    <row r="1773" spans="2:16" x14ac:dyDescent="0.25">
      <c r="B17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3" s="46"/>
      <c r="D1773" s="37"/>
      <c r="E1773" s="37"/>
      <c r="F1773" s="37"/>
      <c r="G1773" s="40" t="str">
        <f>IF(tblMovimientos[[#This Row],[Producto]]="","",TRIM(LEFT(tblMovimientos[[#This Row],[Producto]],FIND(" · ",tblMovimientos[[#This Row],[Producto]]&amp;" · ")-1)))</f>
        <v/>
      </c>
      <c r="H1773" s="40" t="str">
        <f>IF(tblMovimientos[[#This Row],[SKU]]="","",IFERROR(INDEX(tblProductos[Unidad],MATCH(tblMovimientos[[#This Row],[SKU]],tblProductos[SKU],0)),"?"))</f>
        <v/>
      </c>
      <c r="I1773" s="39"/>
      <c r="J1773" s="47" t="str">
        <f>IF(tblMovimientos[[#This Row],[Tipo]]="","",IFERROR(INDEX(tblTiposMov[FactorStock],MATCH(tblMovimientos[[#This Row],[Tipo]],tblTiposMov[Tipo],0)),0))</f>
        <v/>
      </c>
      <c r="K17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3" s="37"/>
      <c r="O1773" s="37"/>
      <c r="P1773" s="37"/>
    </row>
    <row r="1774" spans="2:16" x14ac:dyDescent="0.25">
      <c r="B17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4" s="46"/>
      <c r="D1774" s="37"/>
      <c r="E1774" s="37"/>
      <c r="F1774" s="37"/>
      <c r="G1774" s="40" t="str">
        <f>IF(tblMovimientos[[#This Row],[Producto]]="","",TRIM(LEFT(tblMovimientos[[#This Row],[Producto]],FIND(" · ",tblMovimientos[[#This Row],[Producto]]&amp;" · ")-1)))</f>
        <v/>
      </c>
      <c r="H1774" s="40" t="str">
        <f>IF(tblMovimientos[[#This Row],[SKU]]="","",IFERROR(INDEX(tblProductos[Unidad],MATCH(tblMovimientos[[#This Row],[SKU]],tblProductos[SKU],0)),"?"))</f>
        <v/>
      </c>
      <c r="I1774" s="39"/>
      <c r="J1774" s="47" t="str">
        <f>IF(tblMovimientos[[#This Row],[Tipo]]="","",IFERROR(INDEX(tblTiposMov[FactorStock],MATCH(tblMovimientos[[#This Row],[Tipo]],tblTiposMov[Tipo],0)),0))</f>
        <v/>
      </c>
      <c r="K17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4" s="37"/>
      <c r="O1774" s="37"/>
      <c r="P1774" s="37"/>
    </row>
    <row r="1775" spans="2:16" x14ac:dyDescent="0.25">
      <c r="B17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5" s="46"/>
      <c r="D1775" s="37"/>
      <c r="E1775" s="37"/>
      <c r="F1775" s="37"/>
      <c r="G1775" s="40" t="str">
        <f>IF(tblMovimientos[[#This Row],[Producto]]="","",TRIM(LEFT(tblMovimientos[[#This Row],[Producto]],FIND(" · ",tblMovimientos[[#This Row],[Producto]]&amp;" · ")-1)))</f>
        <v/>
      </c>
      <c r="H1775" s="40" t="str">
        <f>IF(tblMovimientos[[#This Row],[SKU]]="","",IFERROR(INDEX(tblProductos[Unidad],MATCH(tblMovimientos[[#This Row],[SKU]],tblProductos[SKU],0)),"?"))</f>
        <v/>
      </c>
      <c r="I1775" s="39"/>
      <c r="J1775" s="47" t="str">
        <f>IF(tblMovimientos[[#This Row],[Tipo]]="","",IFERROR(INDEX(tblTiposMov[FactorStock],MATCH(tblMovimientos[[#This Row],[Tipo]],tblTiposMov[Tipo],0)),0))</f>
        <v/>
      </c>
      <c r="K17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5" s="37"/>
      <c r="O1775" s="37"/>
      <c r="P1775" s="37"/>
    </row>
    <row r="1776" spans="2:16" x14ac:dyDescent="0.25">
      <c r="B17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6" s="46"/>
      <c r="D1776" s="37"/>
      <c r="E1776" s="37"/>
      <c r="F1776" s="37"/>
      <c r="G1776" s="40" t="str">
        <f>IF(tblMovimientos[[#This Row],[Producto]]="","",TRIM(LEFT(tblMovimientos[[#This Row],[Producto]],FIND(" · ",tblMovimientos[[#This Row],[Producto]]&amp;" · ")-1)))</f>
        <v/>
      </c>
      <c r="H1776" s="40" t="str">
        <f>IF(tblMovimientos[[#This Row],[SKU]]="","",IFERROR(INDEX(tblProductos[Unidad],MATCH(tblMovimientos[[#This Row],[SKU]],tblProductos[SKU],0)),"?"))</f>
        <v/>
      </c>
      <c r="I1776" s="39"/>
      <c r="J1776" s="47" t="str">
        <f>IF(tblMovimientos[[#This Row],[Tipo]]="","",IFERROR(INDEX(tblTiposMov[FactorStock],MATCH(tblMovimientos[[#This Row],[Tipo]],tblTiposMov[Tipo],0)),0))</f>
        <v/>
      </c>
      <c r="K17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6" s="37"/>
      <c r="O1776" s="37"/>
      <c r="P1776" s="37"/>
    </row>
    <row r="1777" spans="2:16" x14ac:dyDescent="0.25">
      <c r="B17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7" s="46"/>
      <c r="D1777" s="37"/>
      <c r="E1777" s="37"/>
      <c r="F1777" s="37"/>
      <c r="G1777" s="40" t="str">
        <f>IF(tblMovimientos[[#This Row],[Producto]]="","",TRIM(LEFT(tblMovimientos[[#This Row],[Producto]],FIND(" · ",tblMovimientos[[#This Row],[Producto]]&amp;" · ")-1)))</f>
        <v/>
      </c>
      <c r="H1777" s="40" t="str">
        <f>IF(tblMovimientos[[#This Row],[SKU]]="","",IFERROR(INDEX(tblProductos[Unidad],MATCH(tblMovimientos[[#This Row],[SKU]],tblProductos[SKU],0)),"?"))</f>
        <v/>
      </c>
      <c r="I1777" s="39"/>
      <c r="J1777" s="47" t="str">
        <f>IF(tblMovimientos[[#This Row],[Tipo]]="","",IFERROR(INDEX(tblTiposMov[FactorStock],MATCH(tblMovimientos[[#This Row],[Tipo]],tblTiposMov[Tipo],0)),0))</f>
        <v/>
      </c>
      <c r="K17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7" s="37"/>
      <c r="O1777" s="37"/>
      <c r="P1777" s="37"/>
    </row>
    <row r="1778" spans="2:16" x14ac:dyDescent="0.25">
      <c r="B17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8" s="46"/>
      <c r="D1778" s="37"/>
      <c r="E1778" s="37"/>
      <c r="F1778" s="37"/>
      <c r="G1778" s="40" t="str">
        <f>IF(tblMovimientos[[#This Row],[Producto]]="","",TRIM(LEFT(tblMovimientos[[#This Row],[Producto]],FIND(" · ",tblMovimientos[[#This Row],[Producto]]&amp;" · ")-1)))</f>
        <v/>
      </c>
      <c r="H1778" s="40" t="str">
        <f>IF(tblMovimientos[[#This Row],[SKU]]="","",IFERROR(INDEX(tblProductos[Unidad],MATCH(tblMovimientos[[#This Row],[SKU]],tblProductos[SKU],0)),"?"))</f>
        <v/>
      </c>
      <c r="I1778" s="39"/>
      <c r="J1778" s="47" t="str">
        <f>IF(tblMovimientos[[#This Row],[Tipo]]="","",IFERROR(INDEX(tblTiposMov[FactorStock],MATCH(tblMovimientos[[#This Row],[Tipo]],tblTiposMov[Tipo],0)),0))</f>
        <v/>
      </c>
      <c r="K17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8" s="37"/>
      <c r="O1778" s="37"/>
      <c r="P1778" s="37"/>
    </row>
    <row r="1779" spans="2:16" x14ac:dyDescent="0.25">
      <c r="B17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79" s="46"/>
      <c r="D1779" s="37"/>
      <c r="E1779" s="37"/>
      <c r="F1779" s="37"/>
      <c r="G1779" s="40" t="str">
        <f>IF(tblMovimientos[[#This Row],[Producto]]="","",TRIM(LEFT(tblMovimientos[[#This Row],[Producto]],FIND(" · ",tblMovimientos[[#This Row],[Producto]]&amp;" · ")-1)))</f>
        <v/>
      </c>
      <c r="H1779" s="40" t="str">
        <f>IF(tblMovimientos[[#This Row],[SKU]]="","",IFERROR(INDEX(tblProductos[Unidad],MATCH(tblMovimientos[[#This Row],[SKU]],tblProductos[SKU],0)),"?"))</f>
        <v/>
      </c>
      <c r="I1779" s="39"/>
      <c r="J1779" s="47" t="str">
        <f>IF(tblMovimientos[[#This Row],[Tipo]]="","",IFERROR(INDEX(tblTiposMov[FactorStock],MATCH(tblMovimientos[[#This Row],[Tipo]],tblTiposMov[Tipo],0)),0))</f>
        <v/>
      </c>
      <c r="K17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79" s="37"/>
      <c r="O1779" s="37"/>
      <c r="P1779" s="37"/>
    </row>
    <row r="1780" spans="2:16" x14ac:dyDescent="0.25">
      <c r="B17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0" s="46"/>
      <c r="D1780" s="37"/>
      <c r="E1780" s="37"/>
      <c r="F1780" s="37"/>
      <c r="G1780" s="40" t="str">
        <f>IF(tblMovimientos[[#This Row],[Producto]]="","",TRIM(LEFT(tblMovimientos[[#This Row],[Producto]],FIND(" · ",tblMovimientos[[#This Row],[Producto]]&amp;" · ")-1)))</f>
        <v/>
      </c>
      <c r="H1780" s="40" t="str">
        <f>IF(tblMovimientos[[#This Row],[SKU]]="","",IFERROR(INDEX(tblProductos[Unidad],MATCH(tblMovimientos[[#This Row],[SKU]],tblProductos[SKU],0)),"?"))</f>
        <v/>
      </c>
      <c r="I1780" s="39"/>
      <c r="J1780" s="47" t="str">
        <f>IF(tblMovimientos[[#This Row],[Tipo]]="","",IFERROR(INDEX(tblTiposMov[FactorStock],MATCH(tblMovimientos[[#This Row],[Tipo]],tblTiposMov[Tipo],0)),0))</f>
        <v/>
      </c>
      <c r="K17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0" s="37"/>
      <c r="O1780" s="37"/>
      <c r="P1780" s="37"/>
    </row>
    <row r="1781" spans="2:16" x14ac:dyDescent="0.25">
      <c r="B17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1" s="46"/>
      <c r="D1781" s="37"/>
      <c r="E1781" s="37"/>
      <c r="F1781" s="37"/>
      <c r="G1781" s="40" t="str">
        <f>IF(tblMovimientos[[#This Row],[Producto]]="","",TRIM(LEFT(tblMovimientos[[#This Row],[Producto]],FIND(" · ",tblMovimientos[[#This Row],[Producto]]&amp;" · ")-1)))</f>
        <v/>
      </c>
      <c r="H1781" s="40" t="str">
        <f>IF(tblMovimientos[[#This Row],[SKU]]="","",IFERROR(INDEX(tblProductos[Unidad],MATCH(tblMovimientos[[#This Row],[SKU]],tblProductos[SKU],0)),"?"))</f>
        <v/>
      </c>
      <c r="I1781" s="39"/>
      <c r="J1781" s="47" t="str">
        <f>IF(tblMovimientos[[#This Row],[Tipo]]="","",IFERROR(INDEX(tblTiposMov[FactorStock],MATCH(tblMovimientos[[#This Row],[Tipo]],tblTiposMov[Tipo],0)),0))</f>
        <v/>
      </c>
      <c r="K17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1" s="37"/>
      <c r="O1781" s="37"/>
      <c r="P1781" s="37"/>
    </row>
    <row r="1782" spans="2:16" x14ac:dyDescent="0.25">
      <c r="B17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2" s="46"/>
      <c r="D1782" s="37"/>
      <c r="E1782" s="37"/>
      <c r="F1782" s="37"/>
      <c r="G1782" s="40" t="str">
        <f>IF(tblMovimientos[[#This Row],[Producto]]="","",TRIM(LEFT(tblMovimientos[[#This Row],[Producto]],FIND(" · ",tblMovimientos[[#This Row],[Producto]]&amp;" · ")-1)))</f>
        <v/>
      </c>
      <c r="H1782" s="40" t="str">
        <f>IF(tblMovimientos[[#This Row],[SKU]]="","",IFERROR(INDEX(tblProductos[Unidad],MATCH(tblMovimientos[[#This Row],[SKU]],tblProductos[SKU],0)),"?"))</f>
        <v/>
      </c>
      <c r="I1782" s="39"/>
      <c r="J1782" s="47" t="str">
        <f>IF(tblMovimientos[[#This Row],[Tipo]]="","",IFERROR(INDEX(tblTiposMov[FactorStock],MATCH(tblMovimientos[[#This Row],[Tipo]],tblTiposMov[Tipo],0)),0))</f>
        <v/>
      </c>
      <c r="K17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2" s="37"/>
      <c r="O1782" s="37"/>
      <c r="P1782" s="37"/>
    </row>
    <row r="1783" spans="2:16" x14ac:dyDescent="0.25">
      <c r="B17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3" s="46"/>
      <c r="D1783" s="37"/>
      <c r="E1783" s="37"/>
      <c r="F1783" s="37"/>
      <c r="G1783" s="40" t="str">
        <f>IF(tblMovimientos[[#This Row],[Producto]]="","",TRIM(LEFT(tblMovimientos[[#This Row],[Producto]],FIND(" · ",tblMovimientos[[#This Row],[Producto]]&amp;" · ")-1)))</f>
        <v/>
      </c>
      <c r="H1783" s="40" t="str">
        <f>IF(tblMovimientos[[#This Row],[SKU]]="","",IFERROR(INDEX(tblProductos[Unidad],MATCH(tblMovimientos[[#This Row],[SKU]],tblProductos[SKU],0)),"?"))</f>
        <v/>
      </c>
      <c r="I1783" s="39"/>
      <c r="J1783" s="47" t="str">
        <f>IF(tblMovimientos[[#This Row],[Tipo]]="","",IFERROR(INDEX(tblTiposMov[FactorStock],MATCH(tblMovimientos[[#This Row],[Tipo]],tblTiposMov[Tipo],0)),0))</f>
        <v/>
      </c>
      <c r="K17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3" s="37"/>
      <c r="O1783" s="37"/>
      <c r="P1783" s="37"/>
    </row>
    <row r="1784" spans="2:16" x14ac:dyDescent="0.25">
      <c r="B17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4" s="46"/>
      <c r="D1784" s="37"/>
      <c r="E1784" s="37"/>
      <c r="F1784" s="37"/>
      <c r="G1784" s="40" t="str">
        <f>IF(tblMovimientos[[#This Row],[Producto]]="","",TRIM(LEFT(tblMovimientos[[#This Row],[Producto]],FIND(" · ",tblMovimientos[[#This Row],[Producto]]&amp;" · ")-1)))</f>
        <v/>
      </c>
      <c r="H1784" s="40" t="str">
        <f>IF(tblMovimientos[[#This Row],[SKU]]="","",IFERROR(INDEX(tblProductos[Unidad],MATCH(tblMovimientos[[#This Row],[SKU]],tblProductos[SKU],0)),"?"))</f>
        <v/>
      </c>
      <c r="I1784" s="39"/>
      <c r="J1784" s="47" t="str">
        <f>IF(tblMovimientos[[#This Row],[Tipo]]="","",IFERROR(INDEX(tblTiposMov[FactorStock],MATCH(tblMovimientos[[#This Row],[Tipo]],tblTiposMov[Tipo],0)),0))</f>
        <v/>
      </c>
      <c r="K17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4" s="37"/>
      <c r="O1784" s="37"/>
      <c r="P1784" s="37"/>
    </row>
    <row r="1785" spans="2:16" x14ac:dyDescent="0.25">
      <c r="B17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5" s="46"/>
      <c r="D1785" s="37"/>
      <c r="E1785" s="37"/>
      <c r="F1785" s="37"/>
      <c r="G1785" s="40" t="str">
        <f>IF(tblMovimientos[[#This Row],[Producto]]="","",TRIM(LEFT(tblMovimientos[[#This Row],[Producto]],FIND(" · ",tblMovimientos[[#This Row],[Producto]]&amp;" · ")-1)))</f>
        <v/>
      </c>
      <c r="H1785" s="40" t="str">
        <f>IF(tblMovimientos[[#This Row],[SKU]]="","",IFERROR(INDEX(tblProductos[Unidad],MATCH(tblMovimientos[[#This Row],[SKU]],tblProductos[SKU],0)),"?"))</f>
        <v/>
      </c>
      <c r="I1785" s="39"/>
      <c r="J1785" s="47" t="str">
        <f>IF(tblMovimientos[[#This Row],[Tipo]]="","",IFERROR(INDEX(tblTiposMov[FactorStock],MATCH(tblMovimientos[[#This Row],[Tipo]],tblTiposMov[Tipo],0)),0))</f>
        <v/>
      </c>
      <c r="K17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5" s="37"/>
      <c r="O1785" s="37"/>
      <c r="P1785" s="37"/>
    </row>
    <row r="1786" spans="2:16" x14ac:dyDescent="0.25">
      <c r="B17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6" s="46"/>
      <c r="D1786" s="37"/>
      <c r="E1786" s="37"/>
      <c r="F1786" s="37"/>
      <c r="G1786" s="40" t="str">
        <f>IF(tblMovimientos[[#This Row],[Producto]]="","",TRIM(LEFT(tblMovimientos[[#This Row],[Producto]],FIND(" · ",tblMovimientos[[#This Row],[Producto]]&amp;" · ")-1)))</f>
        <v/>
      </c>
      <c r="H1786" s="40" t="str">
        <f>IF(tblMovimientos[[#This Row],[SKU]]="","",IFERROR(INDEX(tblProductos[Unidad],MATCH(tblMovimientos[[#This Row],[SKU]],tblProductos[SKU],0)),"?"))</f>
        <v/>
      </c>
      <c r="I1786" s="39"/>
      <c r="J1786" s="47" t="str">
        <f>IF(tblMovimientos[[#This Row],[Tipo]]="","",IFERROR(INDEX(tblTiposMov[FactorStock],MATCH(tblMovimientos[[#This Row],[Tipo]],tblTiposMov[Tipo],0)),0))</f>
        <v/>
      </c>
      <c r="K17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6" s="37"/>
      <c r="O1786" s="37"/>
      <c r="P1786" s="37"/>
    </row>
    <row r="1787" spans="2:16" x14ac:dyDescent="0.25">
      <c r="B17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7" s="46"/>
      <c r="D1787" s="37"/>
      <c r="E1787" s="37"/>
      <c r="F1787" s="37"/>
      <c r="G1787" s="40" t="str">
        <f>IF(tblMovimientos[[#This Row],[Producto]]="","",TRIM(LEFT(tblMovimientos[[#This Row],[Producto]],FIND(" · ",tblMovimientos[[#This Row],[Producto]]&amp;" · ")-1)))</f>
        <v/>
      </c>
      <c r="H1787" s="40" t="str">
        <f>IF(tblMovimientos[[#This Row],[SKU]]="","",IFERROR(INDEX(tblProductos[Unidad],MATCH(tblMovimientos[[#This Row],[SKU]],tblProductos[SKU],0)),"?"))</f>
        <v/>
      </c>
      <c r="I1787" s="39"/>
      <c r="J1787" s="47" t="str">
        <f>IF(tblMovimientos[[#This Row],[Tipo]]="","",IFERROR(INDEX(tblTiposMov[FactorStock],MATCH(tblMovimientos[[#This Row],[Tipo]],tblTiposMov[Tipo],0)),0))</f>
        <v/>
      </c>
      <c r="K17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7" s="37"/>
      <c r="O1787" s="37"/>
      <c r="P1787" s="37"/>
    </row>
    <row r="1788" spans="2:16" x14ac:dyDescent="0.25">
      <c r="B17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8" s="46"/>
      <c r="D1788" s="37"/>
      <c r="E1788" s="37"/>
      <c r="F1788" s="37"/>
      <c r="G1788" s="40" t="str">
        <f>IF(tblMovimientos[[#This Row],[Producto]]="","",TRIM(LEFT(tblMovimientos[[#This Row],[Producto]],FIND(" · ",tblMovimientos[[#This Row],[Producto]]&amp;" · ")-1)))</f>
        <v/>
      </c>
      <c r="H1788" s="40" t="str">
        <f>IF(tblMovimientos[[#This Row],[SKU]]="","",IFERROR(INDEX(tblProductos[Unidad],MATCH(tblMovimientos[[#This Row],[SKU]],tblProductos[SKU],0)),"?"))</f>
        <v/>
      </c>
      <c r="I1788" s="39"/>
      <c r="J1788" s="47" t="str">
        <f>IF(tblMovimientos[[#This Row],[Tipo]]="","",IFERROR(INDEX(tblTiposMov[FactorStock],MATCH(tblMovimientos[[#This Row],[Tipo]],tblTiposMov[Tipo],0)),0))</f>
        <v/>
      </c>
      <c r="K17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8" s="37"/>
      <c r="O1788" s="37"/>
      <c r="P1788" s="37"/>
    </row>
    <row r="1789" spans="2:16" x14ac:dyDescent="0.25">
      <c r="B17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89" s="46"/>
      <c r="D1789" s="37"/>
      <c r="E1789" s="37"/>
      <c r="F1789" s="37"/>
      <c r="G1789" s="40" t="str">
        <f>IF(tblMovimientos[[#This Row],[Producto]]="","",TRIM(LEFT(tblMovimientos[[#This Row],[Producto]],FIND(" · ",tblMovimientos[[#This Row],[Producto]]&amp;" · ")-1)))</f>
        <v/>
      </c>
      <c r="H1789" s="40" t="str">
        <f>IF(tblMovimientos[[#This Row],[SKU]]="","",IFERROR(INDEX(tblProductos[Unidad],MATCH(tblMovimientos[[#This Row],[SKU]],tblProductos[SKU],0)),"?"))</f>
        <v/>
      </c>
      <c r="I1789" s="39"/>
      <c r="J1789" s="47" t="str">
        <f>IF(tblMovimientos[[#This Row],[Tipo]]="","",IFERROR(INDEX(tblTiposMov[FactorStock],MATCH(tblMovimientos[[#This Row],[Tipo]],tblTiposMov[Tipo],0)),0))</f>
        <v/>
      </c>
      <c r="K17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89" s="37"/>
      <c r="O1789" s="37"/>
      <c r="P1789" s="37"/>
    </row>
    <row r="1790" spans="2:16" x14ac:dyDescent="0.25">
      <c r="B17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0" s="46"/>
      <c r="D1790" s="37"/>
      <c r="E1790" s="37"/>
      <c r="F1790" s="37"/>
      <c r="G1790" s="40" t="str">
        <f>IF(tblMovimientos[[#This Row],[Producto]]="","",TRIM(LEFT(tblMovimientos[[#This Row],[Producto]],FIND(" · ",tblMovimientos[[#This Row],[Producto]]&amp;" · ")-1)))</f>
        <v/>
      </c>
      <c r="H1790" s="40" t="str">
        <f>IF(tblMovimientos[[#This Row],[SKU]]="","",IFERROR(INDEX(tblProductos[Unidad],MATCH(tblMovimientos[[#This Row],[SKU]],tblProductos[SKU],0)),"?"))</f>
        <v/>
      </c>
      <c r="I1790" s="39"/>
      <c r="J1790" s="47" t="str">
        <f>IF(tblMovimientos[[#This Row],[Tipo]]="","",IFERROR(INDEX(tblTiposMov[FactorStock],MATCH(tblMovimientos[[#This Row],[Tipo]],tblTiposMov[Tipo],0)),0))</f>
        <v/>
      </c>
      <c r="K17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0" s="37"/>
      <c r="O1790" s="37"/>
      <c r="P1790" s="37"/>
    </row>
    <row r="1791" spans="2:16" x14ac:dyDescent="0.25">
      <c r="B17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1" s="46"/>
      <c r="D1791" s="37"/>
      <c r="E1791" s="37"/>
      <c r="F1791" s="37"/>
      <c r="G1791" s="40" t="str">
        <f>IF(tblMovimientos[[#This Row],[Producto]]="","",TRIM(LEFT(tblMovimientos[[#This Row],[Producto]],FIND(" · ",tblMovimientos[[#This Row],[Producto]]&amp;" · ")-1)))</f>
        <v/>
      </c>
      <c r="H1791" s="40" t="str">
        <f>IF(tblMovimientos[[#This Row],[SKU]]="","",IFERROR(INDEX(tblProductos[Unidad],MATCH(tblMovimientos[[#This Row],[SKU]],tblProductos[SKU],0)),"?"))</f>
        <v/>
      </c>
      <c r="I1791" s="39"/>
      <c r="J1791" s="47" t="str">
        <f>IF(tblMovimientos[[#This Row],[Tipo]]="","",IFERROR(INDEX(tblTiposMov[FactorStock],MATCH(tblMovimientos[[#This Row],[Tipo]],tblTiposMov[Tipo],0)),0))</f>
        <v/>
      </c>
      <c r="K17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1" s="37"/>
      <c r="O1791" s="37"/>
      <c r="P1791" s="37"/>
    </row>
    <row r="1792" spans="2:16" x14ac:dyDescent="0.25">
      <c r="B17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2" s="46"/>
      <c r="D1792" s="37"/>
      <c r="E1792" s="37"/>
      <c r="F1792" s="37"/>
      <c r="G1792" s="40" t="str">
        <f>IF(tblMovimientos[[#This Row],[Producto]]="","",TRIM(LEFT(tblMovimientos[[#This Row],[Producto]],FIND(" · ",tblMovimientos[[#This Row],[Producto]]&amp;" · ")-1)))</f>
        <v/>
      </c>
      <c r="H1792" s="40" t="str">
        <f>IF(tblMovimientos[[#This Row],[SKU]]="","",IFERROR(INDEX(tblProductos[Unidad],MATCH(tblMovimientos[[#This Row],[SKU]],tblProductos[SKU],0)),"?"))</f>
        <v/>
      </c>
      <c r="I1792" s="39"/>
      <c r="J1792" s="47" t="str">
        <f>IF(tblMovimientos[[#This Row],[Tipo]]="","",IFERROR(INDEX(tblTiposMov[FactorStock],MATCH(tblMovimientos[[#This Row],[Tipo]],tblTiposMov[Tipo],0)),0))</f>
        <v/>
      </c>
      <c r="K17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2" s="37"/>
      <c r="O1792" s="37"/>
      <c r="P1792" s="37"/>
    </row>
    <row r="1793" spans="2:16" x14ac:dyDescent="0.25">
      <c r="B17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3" s="46"/>
      <c r="D1793" s="37"/>
      <c r="E1793" s="37"/>
      <c r="F1793" s="37"/>
      <c r="G1793" s="40" t="str">
        <f>IF(tblMovimientos[[#This Row],[Producto]]="","",TRIM(LEFT(tblMovimientos[[#This Row],[Producto]],FIND(" · ",tblMovimientos[[#This Row],[Producto]]&amp;" · ")-1)))</f>
        <v/>
      </c>
      <c r="H1793" s="40" t="str">
        <f>IF(tblMovimientos[[#This Row],[SKU]]="","",IFERROR(INDEX(tblProductos[Unidad],MATCH(tblMovimientos[[#This Row],[SKU]],tblProductos[SKU],0)),"?"))</f>
        <v/>
      </c>
      <c r="I1793" s="39"/>
      <c r="J1793" s="47" t="str">
        <f>IF(tblMovimientos[[#This Row],[Tipo]]="","",IFERROR(INDEX(tblTiposMov[FactorStock],MATCH(tblMovimientos[[#This Row],[Tipo]],tblTiposMov[Tipo],0)),0))</f>
        <v/>
      </c>
      <c r="K17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3" s="37"/>
      <c r="O1793" s="37"/>
      <c r="P1793" s="37"/>
    </row>
    <row r="1794" spans="2:16" x14ac:dyDescent="0.25">
      <c r="B17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4" s="46"/>
      <c r="D1794" s="37"/>
      <c r="E1794" s="37"/>
      <c r="F1794" s="37"/>
      <c r="G1794" s="40" t="str">
        <f>IF(tblMovimientos[[#This Row],[Producto]]="","",TRIM(LEFT(tblMovimientos[[#This Row],[Producto]],FIND(" · ",tblMovimientos[[#This Row],[Producto]]&amp;" · ")-1)))</f>
        <v/>
      </c>
      <c r="H1794" s="40" t="str">
        <f>IF(tblMovimientos[[#This Row],[SKU]]="","",IFERROR(INDEX(tblProductos[Unidad],MATCH(tblMovimientos[[#This Row],[SKU]],tblProductos[SKU],0)),"?"))</f>
        <v/>
      </c>
      <c r="I1794" s="39"/>
      <c r="J1794" s="47" t="str">
        <f>IF(tblMovimientos[[#This Row],[Tipo]]="","",IFERROR(INDEX(tblTiposMov[FactorStock],MATCH(tblMovimientos[[#This Row],[Tipo]],tblTiposMov[Tipo],0)),0))</f>
        <v/>
      </c>
      <c r="K17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4" s="37"/>
      <c r="O1794" s="37"/>
      <c r="P1794" s="37"/>
    </row>
    <row r="1795" spans="2:16" x14ac:dyDescent="0.25">
      <c r="B17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5" s="46"/>
      <c r="D1795" s="37"/>
      <c r="E1795" s="37"/>
      <c r="F1795" s="37"/>
      <c r="G1795" s="40" t="str">
        <f>IF(tblMovimientos[[#This Row],[Producto]]="","",TRIM(LEFT(tblMovimientos[[#This Row],[Producto]],FIND(" · ",tblMovimientos[[#This Row],[Producto]]&amp;" · ")-1)))</f>
        <v/>
      </c>
      <c r="H1795" s="40" t="str">
        <f>IF(tblMovimientos[[#This Row],[SKU]]="","",IFERROR(INDEX(tblProductos[Unidad],MATCH(tblMovimientos[[#This Row],[SKU]],tblProductos[SKU],0)),"?"))</f>
        <v/>
      </c>
      <c r="I1795" s="39"/>
      <c r="J1795" s="47" t="str">
        <f>IF(tblMovimientos[[#This Row],[Tipo]]="","",IFERROR(INDEX(tblTiposMov[FactorStock],MATCH(tblMovimientos[[#This Row],[Tipo]],tblTiposMov[Tipo],0)),0))</f>
        <v/>
      </c>
      <c r="K17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5" s="37"/>
      <c r="O1795" s="37"/>
      <c r="P1795" s="37"/>
    </row>
    <row r="1796" spans="2:16" x14ac:dyDescent="0.25">
      <c r="B17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6" s="46"/>
      <c r="D1796" s="37"/>
      <c r="E1796" s="37"/>
      <c r="F1796" s="37"/>
      <c r="G1796" s="40" t="str">
        <f>IF(tblMovimientos[[#This Row],[Producto]]="","",TRIM(LEFT(tblMovimientos[[#This Row],[Producto]],FIND(" · ",tblMovimientos[[#This Row],[Producto]]&amp;" · ")-1)))</f>
        <v/>
      </c>
      <c r="H1796" s="40" t="str">
        <f>IF(tblMovimientos[[#This Row],[SKU]]="","",IFERROR(INDEX(tblProductos[Unidad],MATCH(tblMovimientos[[#This Row],[SKU]],tblProductos[SKU],0)),"?"))</f>
        <v/>
      </c>
      <c r="I1796" s="39"/>
      <c r="J1796" s="47" t="str">
        <f>IF(tblMovimientos[[#This Row],[Tipo]]="","",IFERROR(INDEX(tblTiposMov[FactorStock],MATCH(tblMovimientos[[#This Row],[Tipo]],tblTiposMov[Tipo],0)),0))</f>
        <v/>
      </c>
      <c r="K17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6" s="37"/>
      <c r="O1796" s="37"/>
      <c r="P1796" s="37"/>
    </row>
    <row r="1797" spans="2:16" x14ac:dyDescent="0.25">
      <c r="B17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7" s="46"/>
      <c r="D1797" s="37"/>
      <c r="E1797" s="37"/>
      <c r="F1797" s="37"/>
      <c r="G1797" s="40" t="str">
        <f>IF(tblMovimientos[[#This Row],[Producto]]="","",TRIM(LEFT(tblMovimientos[[#This Row],[Producto]],FIND(" · ",tblMovimientos[[#This Row],[Producto]]&amp;" · ")-1)))</f>
        <v/>
      </c>
      <c r="H1797" s="40" t="str">
        <f>IF(tblMovimientos[[#This Row],[SKU]]="","",IFERROR(INDEX(tblProductos[Unidad],MATCH(tblMovimientos[[#This Row],[SKU]],tblProductos[SKU],0)),"?"))</f>
        <v/>
      </c>
      <c r="I1797" s="39"/>
      <c r="J1797" s="47" t="str">
        <f>IF(tblMovimientos[[#This Row],[Tipo]]="","",IFERROR(INDEX(tblTiposMov[FactorStock],MATCH(tblMovimientos[[#This Row],[Tipo]],tblTiposMov[Tipo],0)),0))</f>
        <v/>
      </c>
      <c r="K17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7" s="37"/>
      <c r="O1797" s="37"/>
      <c r="P1797" s="37"/>
    </row>
    <row r="1798" spans="2:16" x14ac:dyDescent="0.25">
      <c r="B17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8" s="46"/>
      <c r="D1798" s="37"/>
      <c r="E1798" s="37"/>
      <c r="F1798" s="37"/>
      <c r="G1798" s="40" t="str">
        <f>IF(tblMovimientos[[#This Row],[Producto]]="","",TRIM(LEFT(tblMovimientos[[#This Row],[Producto]],FIND(" · ",tblMovimientos[[#This Row],[Producto]]&amp;" · ")-1)))</f>
        <v/>
      </c>
      <c r="H1798" s="40" t="str">
        <f>IF(tblMovimientos[[#This Row],[SKU]]="","",IFERROR(INDEX(tblProductos[Unidad],MATCH(tblMovimientos[[#This Row],[SKU]],tblProductos[SKU],0)),"?"))</f>
        <v/>
      </c>
      <c r="I1798" s="39"/>
      <c r="J1798" s="47" t="str">
        <f>IF(tblMovimientos[[#This Row],[Tipo]]="","",IFERROR(INDEX(tblTiposMov[FactorStock],MATCH(tblMovimientos[[#This Row],[Tipo]],tblTiposMov[Tipo],0)),0))</f>
        <v/>
      </c>
      <c r="K17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8" s="37"/>
      <c r="O1798" s="37"/>
      <c r="P1798" s="37"/>
    </row>
    <row r="1799" spans="2:16" x14ac:dyDescent="0.25">
      <c r="B17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799" s="46"/>
      <c r="D1799" s="37"/>
      <c r="E1799" s="37"/>
      <c r="F1799" s="37"/>
      <c r="G1799" s="40" t="str">
        <f>IF(tblMovimientos[[#This Row],[Producto]]="","",TRIM(LEFT(tblMovimientos[[#This Row],[Producto]],FIND(" · ",tblMovimientos[[#This Row],[Producto]]&amp;" · ")-1)))</f>
        <v/>
      </c>
      <c r="H1799" s="40" t="str">
        <f>IF(tblMovimientos[[#This Row],[SKU]]="","",IFERROR(INDEX(tblProductos[Unidad],MATCH(tblMovimientos[[#This Row],[SKU]],tblProductos[SKU],0)),"?"))</f>
        <v/>
      </c>
      <c r="I1799" s="39"/>
      <c r="J1799" s="47" t="str">
        <f>IF(tblMovimientos[[#This Row],[Tipo]]="","",IFERROR(INDEX(tblTiposMov[FactorStock],MATCH(tblMovimientos[[#This Row],[Tipo]],tblTiposMov[Tipo],0)),0))</f>
        <v/>
      </c>
      <c r="K17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7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799" s="37"/>
      <c r="O1799" s="37"/>
      <c r="P1799" s="37"/>
    </row>
    <row r="1800" spans="2:16" x14ac:dyDescent="0.25">
      <c r="B18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0" s="46"/>
      <c r="D1800" s="37"/>
      <c r="E1800" s="37"/>
      <c r="F1800" s="37"/>
      <c r="G1800" s="40" t="str">
        <f>IF(tblMovimientos[[#This Row],[Producto]]="","",TRIM(LEFT(tblMovimientos[[#This Row],[Producto]],FIND(" · ",tblMovimientos[[#This Row],[Producto]]&amp;" · ")-1)))</f>
        <v/>
      </c>
      <c r="H1800" s="40" t="str">
        <f>IF(tblMovimientos[[#This Row],[SKU]]="","",IFERROR(INDEX(tblProductos[Unidad],MATCH(tblMovimientos[[#This Row],[SKU]],tblProductos[SKU],0)),"?"))</f>
        <v/>
      </c>
      <c r="I1800" s="39"/>
      <c r="J1800" s="47" t="str">
        <f>IF(tblMovimientos[[#This Row],[Tipo]]="","",IFERROR(INDEX(tblTiposMov[FactorStock],MATCH(tblMovimientos[[#This Row],[Tipo]],tblTiposMov[Tipo],0)),0))</f>
        <v/>
      </c>
      <c r="K18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0" s="37"/>
      <c r="O1800" s="37"/>
      <c r="P1800" s="37"/>
    </row>
    <row r="1801" spans="2:16" x14ac:dyDescent="0.25">
      <c r="B18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1" s="46"/>
      <c r="D1801" s="37"/>
      <c r="E1801" s="37"/>
      <c r="F1801" s="37"/>
      <c r="G1801" s="40" t="str">
        <f>IF(tblMovimientos[[#This Row],[Producto]]="","",TRIM(LEFT(tblMovimientos[[#This Row],[Producto]],FIND(" · ",tblMovimientos[[#This Row],[Producto]]&amp;" · ")-1)))</f>
        <v/>
      </c>
      <c r="H1801" s="40" t="str">
        <f>IF(tblMovimientos[[#This Row],[SKU]]="","",IFERROR(INDEX(tblProductos[Unidad],MATCH(tblMovimientos[[#This Row],[SKU]],tblProductos[SKU],0)),"?"))</f>
        <v/>
      </c>
      <c r="I1801" s="39"/>
      <c r="J1801" s="47" t="str">
        <f>IF(tblMovimientos[[#This Row],[Tipo]]="","",IFERROR(INDEX(tblTiposMov[FactorStock],MATCH(tblMovimientos[[#This Row],[Tipo]],tblTiposMov[Tipo],0)),0))</f>
        <v/>
      </c>
      <c r="K18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1" s="37"/>
      <c r="O1801" s="37"/>
      <c r="P1801" s="37"/>
    </row>
    <row r="1802" spans="2:16" x14ac:dyDescent="0.25">
      <c r="B18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2" s="46"/>
      <c r="D1802" s="37"/>
      <c r="E1802" s="37"/>
      <c r="F1802" s="37"/>
      <c r="G1802" s="40" t="str">
        <f>IF(tblMovimientos[[#This Row],[Producto]]="","",TRIM(LEFT(tblMovimientos[[#This Row],[Producto]],FIND(" · ",tblMovimientos[[#This Row],[Producto]]&amp;" · ")-1)))</f>
        <v/>
      </c>
      <c r="H1802" s="40" t="str">
        <f>IF(tblMovimientos[[#This Row],[SKU]]="","",IFERROR(INDEX(tblProductos[Unidad],MATCH(tblMovimientos[[#This Row],[SKU]],tblProductos[SKU],0)),"?"))</f>
        <v/>
      </c>
      <c r="I1802" s="39"/>
      <c r="J1802" s="47" t="str">
        <f>IF(tblMovimientos[[#This Row],[Tipo]]="","",IFERROR(INDEX(tblTiposMov[FactorStock],MATCH(tblMovimientos[[#This Row],[Tipo]],tblTiposMov[Tipo],0)),0))</f>
        <v/>
      </c>
      <c r="K18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2" s="37"/>
      <c r="O1802" s="37"/>
      <c r="P1802" s="37"/>
    </row>
    <row r="1803" spans="2:16" x14ac:dyDescent="0.25">
      <c r="B18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3" s="46"/>
      <c r="D1803" s="37"/>
      <c r="E1803" s="37"/>
      <c r="F1803" s="37"/>
      <c r="G1803" s="40" t="str">
        <f>IF(tblMovimientos[[#This Row],[Producto]]="","",TRIM(LEFT(tblMovimientos[[#This Row],[Producto]],FIND(" · ",tblMovimientos[[#This Row],[Producto]]&amp;" · ")-1)))</f>
        <v/>
      </c>
      <c r="H1803" s="40" t="str">
        <f>IF(tblMovimientos[[#This Row],[SKU]]="","",IFERROR(INDEX(tblProductos[Unidad],MATCH(tblMovimientos[[#This Row],[SKU]],tblProductos[SKU],0)),"?"))</f>
        <v/>
      </c>
      <c r="I1803" s="39"/>
      <c r="J1803" s="47" t="str">
        <f>IF(tblMovimientos[[#This Row],[Tipo]]="","",IFERROR(INDEX(tblTiposMov[FactorStock],MATCH(tblMovimientos[[#This Row],[Tipo]],tblTiposMov[Tipo],0)),0))</f>
        <v/>
      </c>
      <c r="K18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3" s="37"/>
      <c r="O1803" s="37"/>
      <c r="P1803" s="37"/>
    </row>
    <row r="1804" spans="2:16" x14ac:dyDescent="0.25">
      <c r="B18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4" s="46"/>
      <c r="D1804" s="37"/>
      <c r="E1804" s="37"/>
      <c r="F1804" s="37"/>
      <c r="G1804" s="40" t="str">
        <f>IF(tblMovimientos[[#This Row],[Producto]]="","",TRIM(LEFT(tblMovimientos[[#This Row],[Producto]],FIND(" · ",tblMovimientos[[#This Row],[Producto]]&amp;" · ")-1)))</f>
        <v/>
      </c>
      <c r="H1804" s="40" t="str">
        <f>IF(tblMovimientos[[#This Row],[SKU]]="","",IFERROR(INDEX(tblProductos[Unidad],MATCH(tblMovimientos[[#This Row],[SKU]],tblProductos[SKU],0)),"?"))</f>
        <v/>
      </c>
      <c r="I1804" s="39"/>
      <c r="J1804" s="47" t="str">
        <f>IF(tblMovimientos[[#This Row],[Tipo]]="","",IFERROR(INDEX(tblTiposMov[FactorStock],MATCH(tblMovimientos[[#This Row],[Tipo]],tblTiposMov[Tipo],0)),0))</f>
        <v/>
      </c>
      <c r="K18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4" s="37"/>
      <c r="O1804" s="37"/>
      <c r="P1804" s="37"/>
    </row>
    <row r="1805" spans="2:16" x14ac:dyDescent="0.25">
      <c r="B18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5" s="46"/>
      <c r="D1805" s="37"/>
      <c r="E1805" s="37"/>
      <c r="F1805" s="37"/>
      <c r="G1805" s="40" t="str">
        <f>IF(tblMovimientos[[#This Row],[Producto]]="","",TRIM(LEFT(tblMovimientos[[#This Row],[Producto]],FIND(" · ",tblMovimientos[[#This Row],[Producto]]&amp;" · ")-1)))</f>
        <v/>
      </c>
      <c r="H1805" s="40" t="str">
        <f>IF(tblMovimientos[[#This Row],[SKU]]="","",IFERROR(INDEX(tblProductos[Unidad],MATCH(tblMovimientos[[#This Row],[SKU]],tblProductos[SKU],0)),"?"))</f>
        <v/>
      </c>
      <c r="I1805" s="39"/>
      <c r="J1805" s="47" t="str">
        <f>IF(tblMovimientos[[#This Row],[Tipo]]="","",IFERROR(INDEX(tblTiposMov[FactorStock],MATCH(tblMovimientos[[#This Row],[Tipo]],tblTiposMov[Tipo],0)),0))</f>
        <v/>
      </c>
      <c r="K18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5" s="37"/>
      <c r="O1805" s="37"/>
      <c r="P1805" s="37"/>
    </row>
    <row r="1806" spans="2:16" x14ac:dyDescent="0.25">
      <c r="B18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6" s="46"/>
      <c r="D1806" s="37"/>
      <c r="E1806" s="37"/>
      <c r="F1806" s="37"/>
      <c r="G1806" s="40" t="str">
        <f>IF(tblMovimientos[[#This Row],[Producto]]="","",TRIM(LEFT(tblMovimientos[[#This Row],[Producto]],FIND(" · ",tblMovimientos[[#This Row],[Producto]]&amp;" · ")-1)))</f>
        <v/>
      </c>
      <c r="H1806" s="40" t="str">
        <f>IF(tblMovimientos[[#This Row],[SKU]]="","",IFERROR(INDEX(tblProductos[Unidad],MATCH(tblMovimientos[[#This Row],[SKU]],tblProductos[SKU],0)),"?"))</f>
        <v/>
      </c>
      <c r="I1806" s="39"/>
      <c r="J1806" s="47" t="str">
        <f>IF(tblMovimientos[[#This Row],[Tipo]]="","",IFERROR(INDEX(tblTiposMov[FactorStock],MATCH(tblMovimientos[[#This Row],[Tipo]],tblTiposMov[Tipo],0)),0))</f>
        <v/>
      </c>
      <c r="K18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6" s="37"/>
      <c r="O1806" s="37"/>
      <c r="P1806" s="37"/>
    </row>
    <row r="1807" spans="2:16" x14ac:dyDescent="0.25">
      <c r="B18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7" s="46"/>
      <c r="D1807" s="37"/>
      <c r="E1807" s="37"/>
      <c r="F1807" s="37"/>
      <c r="G1807" s="40" t="str">
        <f>IF(tblMovimientos[[#This Row],[Producto]]="","",TRIM(LEFT(tblMovimientos[[#This Row],[Producto]],FIND(" · ",tblMovimientos[[#This Row],[Producto]]&amp;" · ")-1)))</f>
        <v/>
      </c>
      <c r="H1807" s="40" t="str">
        <f>IF(tblMovimientos[[#This Row],[SKU]]="","",IFERROR(INDEX(tblProductos[Unidad],MATCH(tblMovimientos[[#This Row],[SKU]],tblProductos[SKU],0)),"?"))</f>
        <v/>
      </c>
      <c r="I1807" s="39"/>
      <c r="J1807" s="47" t="str">
        <f>IF(tblMovimientos[[#This Row],[Tipo]]="","",IFERROR(INDEX(tblTiposMov[FactorStock],MATCH(tblMovimientos[[#This Row],[Tipo]],tblTiposMov[Tipo],0)),0))</f>
        <v/>
      </c>
      <c r="K18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7" s="37"/>
      <c r="O1807" s="37"/>
      <c r="P1807" s="37"/>
    </row>
    <row r="1808" spans="2:16" x14ac:dyDescent="0.25">
      <c r="B18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8" s="46"/>
      <c r="D1808" s="37"/>
      <c r="E1808" s="37"/>
      <c r="F1808" s="37"/>
      <c r="G1808" s="40" t="str">
        <f>IF(tblMovimientos[[#This Row],[Producto]]="","",TRIM(LEFT(tblMovimientos[[#This Row],[Producto]],FIND(" · ",tblMovimientos[[#This Row],[Producto]]&amp;" · ")-1)))</f>
        <v/>
      </c>
      <c r="H1808" s="40" t="str">
        <f>IF(tblMovimientos[[#This Row],[SKU]]="","",IFERROR(INDEX(tblProductos[Unidad],MATCH(tblMovimientos[[#This Row],[SKU]],tblProductos[SKU],0)),"?"))</f>
        <v/>
      </c>
      <c r="I1808" s="39"/>
      <c r="J1808" s="47" t="str">
        <f>IF(tblMovimientos[[#This Row],[Tipo]]="","",IFERROR(INDEX(tblTiposMov[FactorStock],MATCH(tblMovimientos[[#This Row],[Tipo]],tblTiposMov[Tipo],0)),0))</f>
        <v/>
      </c>
      <c r="K18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8" s="37"/>
      <c r="O1808" s="37"/>
      <c r="P1808" s="37"/>
    </row>
    <row r="1809" spans="2:16" x14ac:dyDescent="0.25">
      <c r="B18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09" s="46"/>
      <c r="D1809" s="37"/>
      <c r="E1809" s="37"/>
      <c r="F1809" s="37"/>
      <c r="G1809" s="40" t="str">
        <f>IF(tblMovimientos[[#This Row],[Producto]]="","",TRIM(LEFT(tblMovimientos[[#This Row],[Producto]],FIND(" · ",tblMovimientos[[#This Row],[Producto]]&amp;" · ")-1)))</f>
        <v/>
      </c>
      <c r="H1809" s="40" t="str">
        <f>IF(tblMovimientos[[#This Row],[SKU]]="","",IFERROR(INDEX(tblProductos[Unidad],MATCH(tblMovimientos[[#This Row],[SKU]],tblProductos[SKU],0)),"?"))</f>
        <v/>
      </c>
      <c r="I1809" s="39"/>
      <c r="J1809" s="47" t="str">
        <f>IF(tblMovimientos[[#This Row],[Tipo]]="","",IFERROR(INDEX(tblTiposMov[FactorStock],MATCH(tblMovimientos[[#This Row],[Tipo]],tblTiposMov[Tipo],0)),0))</f>
        <v/>
      </c>
      <c r="K18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09" s="37"/>
      <c r="O1809" s="37"/>
      <c r="P1809" s="37"/>
    </row>
    <row r="1810" spans="2:16" x14ac:dyDescent="0.25">
      <c r="B18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0" s="46"/>
      <c r="D1810" s="37"/>
      <c r="E1810" s="37"/>
      <c r="F1810" s="37"/>
      <c r="G1810" s="40" t="str">
        <f>IF(tblMovimientos[[#This Row],[Producto]]="","",TRIM(LEFT(tblMovimientos[[#This Row],[Producto]],FIND(" · ",tblMovimientos[[#This Row],[Producto]]&amp;" · ")-1)))</f>
        <v/>
      </c>
      <c r="H1810" s="40" t="str">
        <f>IF(tblMovimientos[[#This Row],[SKU]]="","",IFERROR(INDEX(tblProductos[Unidad],MATCH(tblMovimientos[[#This Row],[SKU]],tblProductos[SKU],0)),"?"))</f>
        <v/>
      </c>
      <c r="I1810" s="39"/>
      <c r="J1810" s="47" t="str">
        <f>IF(tblMovimientos[[#This Row],[Tipo]]="","",IFERROR(INDEX(tblTiposMov[FactorStock],MATCH(tblMovimientos[[#This Row],[Tipo]],tblTiposMov[Tipo],0)),0))</f>
        <v/>
      </c>
      <c r="K18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0" s="37"/>
      <c r="O1810" s="37"/>
      <c r="P1810" s="37"/>
    </row>
    <row r="1811" spans="2:16" x14ac:dyDescent="0.25">
      <c r="B18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1" s="46"/>
      <c r="D1811" s="37"/>
      <c r="E1811" s="37"/>
      <c r="F1811" s="37"/>
      <c r="G1811" s="40" t="str">
        <f>IF(tblMovimientos[[#This Row],[Producto]]="","",TRIM(LEFT(tblMovimientos[[#This Row],[Producto]],FIND(" · ",tblMovimientos[[#This Row],[Producto]]&amp;" · ")-1)))</f>
        <v/>
      </c>
      <c r="H1811" s="40" t="str">
        <f>IF(tblMovimientos[[#This Row],[SKU]]="","",IFERROR(INDEX(tblProductos[Unidad],MATCH(tblMovimientos[[#This Row],[SKU]],tblProductos[SKU],0)),"?"))</f>
        <v/>
      </c>
      <c r="I1811" s="39"/>
      <c r="J1811" s="47" t="str">
        <f>IF(tblMovimientos[[#This Row],[Tipo]]="","",IFERROR(INDEX(tblTiposMov[FactorStock],MATCH(tblMovimientos[[#This Row],[Tipo]],tblTiposMov[Tipo],0)),0))</f>
        <v/>
      </c>
      <c r="K18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1" s="37"/>
      <c r="O1811" s="37"/>
      <c r="P1811" s="37"/>
    </row>
    <row r="1812" spans="2:16" x14ac:dyDescent="0.25">
      <c r="B18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2" s="46"/>
      <c r="D1812" s="37"/>
      <c r="E1812" s="37"/>
      <c r="F1812" s="37"/>
      <c r="G1812" s="40" t="str">
        <f>IF(tblMovimientos[[#This Row],[Producto]]="","",TRIM(LEFT(tblMovimientos[[#This Row],[Producto]],FIND(" · ",tblMovimientos[[#This Row],[Producto]]&amp;" · ")-1)))</f>
        <v/>
      </c>
      <c r="H1812" s="40" t="str">
        <f>IF(tblMovimientos[[#This Row],[SKU]]="","",IFERROR(INDEX(tblProductos[Unidad],MATCH(tblMovimientos[[#This Row],[SKU]],tblProductos[SKU],0)),"?"))</f>
        <v/>
      </c>
      <c r="I1812" s="39"/>
      <c r="J1812" s="47" t="str">
        <f>IF(tblMovimientos[[#This Row],[Tipo]]="","",IFERROR(INDEX(tblTiposMov[FactorStock],MATCH(tblMovimientos[[#This Row],[Tipo]],tblTiposMov[Tipo],0)),0))</f>
        <v/>
      </c>
      <c r="K18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2" s="37"/>
      <c r="O1812" s="37"/>
      <c r="P1812" s="37"/>
    </row>
    <row r="1813" spans="2:16" x14ac:dyDescent="0.25">
      <c r="B18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3" s="46"/>
      <c r="D1813" s="37"/>
      <c r="E1813" s="37"/>
      <c r="F1813" s="37"/>
      <c r="G1813" s="40" t="str">
        <f>IF(tblMovimientos[[#This Row],[Producto]]="","",TRIM(LEFT(tblMovimientos[[#This Row],[Producto]],FIND(" · ",tblMovimientos[[#This Row],[Producto]]&amp;" · ")-1)))</f>
        <v/>
      </c>
      <c r="H1813" s="40" t="str">
        <f>IF(tblMovimientos[[#This Row],[SKU]]="","",IFERROR(INDEX(tblProductos[Unidad],MATCH(tblMovimientos[[#This Row],[SKU]],tblProductos[SKU],0)),"?"))</f>
        <v/>
      </c>
      <c r="I1813" s="39"/>
      <c r="J1813" s="47" t="str">
        <f>IF(tblMovimientos[[#This Row],[Tipo]]="","",IFERROR(INDEX(tblTiposMov[FactorStock],MATCH(tblMovimientos[[#This Row],[Tipo]],tblTiposMov[Tipo],0)),0))</f>
        <v/>
      </c>
      <c r="K18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3" s="37"/>
      <c r="O1813" s="37"/>
      <c r="P1813" s="37"/>
    </row>
    <row r="1814" spans="2:16" x14ac:dyDescent="0.25">
      <c r="B18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4" s="46"/>
      <c r="D1814" s="37"/>
      <c r="E1814" s="37"/>
      <c r="F1814" s="37"/>
      <c r="G1814" s="40" t="str">
        <f>IF(tblMovimientos[[#This Row],[Producto]]="","",TRIM(LEFT(tblMovimientos[[#This Row],[Producto]],FIND(" · ",tblMovimientos[[#This Row],[Producto]]&amp;" · ")-1)))</f>
        <v/>
      </c>
      <c r="H1814" s="40" t="str">
        <f>IF(tblMovimientos[[#This Row],[SKU]]="","",IFERROR(INDEX(tblProductos[Unidad],MATCH(tblMovimientos[[#This Row],[SKU]],tblProductos[SKU],0)),"?"))</f>
        <v/>
      </c>
      <c r="I1814" s="39"/>
      <c r="J1814" s="47" t="str">
        <f>IF(tblMovimientos[[#This Row],[Tipo]]="","",IFERROR(INDEX(tblTiposMov[FactorStock],MATCH(tblMovimientos[[#This Row],[Tipo]],tblTiposMov[Tipo],0)),0))</f>
        <v/>
      </c>
      <c r="K18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4" s="37"/>
      <c r="O1814" s="37"/>
      <c r="P1814" s="37"/>
    </row>
    <row r="1815" spans="2:16" x14ac:dyDescent="0.25">
      <c r="B18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5" s="46"/>
      <c r="D1815" s="37"/>
      <c r="E1815" s="37"/>
      <c r="F1815" s="37"/>
      <c r="G1815" s="40" t="str">
        <f>IF(tblMovimientos[[#This Row],[Producto]]="","",TRIM(LEFT(tblMovimientos[[#This Row],[Producto]],FIND(" · ",tblMovimientos[[#This Row],[Producto]]&amp;" · ")-1)))</f>
        <v/>
      </c>
      <c r="H1815" s="40" t="str">
        <f>IF(tblMovimientos[[#This Row],[SKU]]="","",IFERROR(INDEX(tblProductos[Unidad],MATCH(tblMovimientos[[#This Row],[SKU]],tblProductos[SKU],0)),"?"))</f>
        <v/>
      </c>
      <c r="I1815" s="39"/>
      <c r="J1815" s="47" t="str">
        <f>IF(tblMovimientos[[#This Row],[Tipo]]="","",IFERROR(INDEX(tblTiposMov[FactorStock],MATCH(tblMovimientos[[#This Row],[Tipo]],tblTiposMov[Tipo],0)),0))</f>
        <v/>
      </c>
      <c r="K18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5" s="37"/>
      <c r="O1815" s="37"/>
      <c r="P1815" s="37"/>
    </row>
    <row r="1816" spans="2:16" x14ac:dyDescent="0.25">
      <c r="B18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6" s="46"/>
      <c r="D1816" s="37"/>
      <c r="E1816" s="37"/>
      <c r="F1816" s="37"/>
      <c r="G1816" s="40" t="str">
        <f>IF(tblMovimientos[[#This Row],[Producto]]="","",TRIM(LEFT(tblMovimientos[[#This Row],[Producto]],FIND(" · ",tblMovimientos[[#This Row],[Producto]]&amp;" · ")-1)))</f>
        <v/>
      </c>
      <c r="H1816" s="40" t="str">
        <f>IF(tblMovimientos[[#This Row],[SKU]]="","",IFERROR(INDEX(tblProductos[Unidad],MATCH(tblMovimientos[[#This Row],[SKU]],tblProductos[SKU],0)),"?"))</f>
        <v/>
      </c>
      <c r="I1816" s="39"/>
      <c r="J1816" s="47" t="str">
        <f>IF(tblMovimientos[[#This Row],[Tipo]]="","",IFERROR(INDEX(tblTiposMov[FactorStock],MATCH(tblMovimientos[[#This Row],[Tipo]],tblTiposMov[Tipo],0)),0))</f>
        <v/>
      </c>
      <c r="K18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6" s="37"/>
      <c r="O1816" s="37"/>
      <c r="P1816" s="37"/>
    </row>
    <row r="1817" spans="2:16" x14ac:dyDescent="0.25">
      <c r="B18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7" s="46"/>
      <c r="D1817" s="37"/>
      <c r="E1817" s="37"/>
      <c r="F1817" s="37"/>
      <c r="G1817" s="40" t="str">
        <f>IF(tblMovimientos[[#This Row],[Producto]]="","",TRIM(LEFT(tblMovimientos[[#This Row],[Producto]],FIND(" · ",tblMovimientos[[#This Row],[Producto]]&amp;" · ")-1)))</f>
        <v/>
      </c>
      <c r="H1817" s="40" t="str">
        <f>IF(tblMovimientos[[#This Row],[SKU]]="","",IFERROR(INDEX(tblProductos[Unidad],MATCH(tblMovimientos[[#This Row],[SKU]],tblProductos[SKU],0)),"?"))</f>
        <v/>
      </c>
      <c r="I1817" s="39"/>
      <c r="J1817" s="47" t="str">
        <f>IF(tblMovimientos[[#This Row],[Tipo]]="","",IFERROR(INDEX(tblTiposMov[FactorStock],MATCH(tblMovimientos[[#This Row],[Tipo]],tblTiposMov[Tipo],0)),0))</f>
        <v/>
      </c>
      <c r="K18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7" s="37"/>
      <c r="O1817" s="37"/>
      <c r="P1817" s="37"/>
    </row>
    <row r="1818" spans="2:16" x14ac:dyDescent="0.25">
      <c r="B18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8" s="46"/>
      <c r="D1818" s="37"/>
      <c r="E1818" s="37"/>
      <c r="F1818" s="37"/>
      <c r="G1818" s="40" t="str">
        <f>IF(tblMovimientos[[#This Row],[Producto]]="","",TRIM(LEFT(tblMovimientos[[#This Row],[Producto]],FIND(" · ",tblMovimientos[[#This Row],[Producto]]&amp;" · ")-1)))</f>
        <v/>
      </c>
      <c r="H1818" s="40" t="str">
        <f>IF(tblMovimientos[[#This Row],[SKU]]="","",IFERROR(INDEX(tblProductos[Unidad],MATCH(tblMovimientos[[#This Row],[SKU]],tblProductos[SKU],0)),"?"))</f>
        <v/>
      </c>
      <c r="I1818" s="39"/>
      <c r="J1818" s="47" t="str">
        <f>IF(tblMovimientos[[#This Row],[Tipo]]="","",IFERROR(INDEX(tblTiposMov[FactorStock],MATCH(tblMovimientos[[#This Row],[Tipo]],tblTiposMov[Tipo],0)),0))</f>
        <v/>
      </c>
      <c r="K18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8" s="37"/>
      <c r="O1818" s="37"/>
      <c r="P1818" s="37"/>
    </row>
    <row r="1819" spans="2:16" x14ac:dyDescent="0.25">
      <c r="B18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19" s="46"/>
      <c r="D1819" s="37"/>
      <c r="E1819" s="37"/>
      <c r="F1819" s="37"/>
      <c r="G1819" s="40" t="str">
        <f>IF(tblMovimientos[[#This Row],[Producto]]="","",TRIM(LEFT(tblMovimientos[[#This Row],[Producto]],FIND(" · ",tblMovimientos[[#This Row],[Producto]]&amp;" · ")-1)))</f>
        <v/>
      </c>
      <c r="H1819" s="40" t="str">
        <f>IF(tblMovimientos[[#This Row],[SKU]]="","",IFERROR(INDEX(tblProductos[Unidad],MATCH(tblMovimientos[[#This Row],[SKU]],tblProductos[SKU],0)),"?"))</f>
        <v/>
      </c>
      <c r="I1819" s="39"/>
      <c r="J1819" s="47" t="str">
        <f>IF(tblMovimientos[[#This Row],[Tipo]]="","",IFERROR(INDEX(tblTiposMov[FactorStock],MATCH(tblMovimientos[[#This Row],[Tipo]],tblTiposMov[Tipo],0)),0))</f>
        <v/>
      </c>
      <c r="K18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19" s="37"/>
      <c r="O1819" s="37"/>
      <c r="P1819" s="37"/>
    </row>
    <row r="1820" spans="2:16" x14ac:dyDescent="0.25">
      <c r="B18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0" s="46"/>
      <c r="D1820" s="37"/>
      <c r="E1820" s="37"/>
      <c r="F1820" s="37"/>
      <c r="G1820" s="40" t="str">
        <f>IF(tblMovimientos[[#This Row],[Producto]]="","",TRIM(LEFT(tblMovimientos[[#This Row],[Producto]],FIND(" · ",tblMovimientos[[#This Row],[Producto]]&amp;" · ")-1)))</f>
        <v/>
      </c>
      <c r="H1820" s="40" t="str">
        <f>IF(tblMovimientos[[#This Row],[SKU]]="","",IFERROR(INDEX(tblProductos[Unidad],MATCH(tblMovimientos[[#This Row],[SKU]],tblProductos[SKU],0)),"?"))</f>
        <v/>
      </c>
      <c r="I1820" s="39"/>
      <c r="J1820" s="47" t="str">
        <f>IF(tblMovimientos[[#This Row],[Tipo]]="","",IFERROR(INDEX(tblTiposMov[FactorStock],MATCH(tblMovimientos[[#This Row],[Tipo]],tblTiposMov[Tipo],0)),0))</f>
        <v/>
      </c>
      <c r="K18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0" s="37"/>
      <c r="O1820" s="37"/>
      <c r="P1820" s="37"/>
    </row>
    <row r="1821" spans="2:16" x14ac:dyDescent="0.25">
      <c r="B18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1" s="46"/>
      <c r="D1821" s="37"/>
      <c r="E1821" s="37"/>
      <c r="F1821" s="37"/>
      <c r="G1821" s="40" t="str">
        <f>IF(tblMovimientos[[#This Row],[Producto]]="","",TRIM(LEFT(tblMovimientos[[#This Row],[Producto]],FIND(" · ",tblMovimientos[[#This Row],[Producto]]&amp;" · ")-1)))</f>
        <v/>
      </c>
      <c r="H1821" s="40" t="str">
        <f>IF(tblMovimientos[[#This Row],[SKU]]="","",IFERROR(INDEX(tblProductos[Unidad],MATCH(tblMovimientos[[#This Row],[SKU]],tblProductos[SKU],0)),"?"))</f>
        <v/>
      </c>
      <c r="I1821" s="39"/>
      <c r="J1821" s="47" t="str">
        <f>IF(tblMovimientos[[#This Row],[Tipo]]="","",IFERROR(INDEX(tblTiposMov[FactorStock],MATCH(tblMovimientos[[#This Row],[Tipo]],tblTiposMov[Tipo],0)),0))</f>
        <v/>
      </c>
      <c r="K18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1" s="37"/>
      <c r="O1821" s="37"/>
      <c r="P1821" s="37"/>
    </row>
    <row r="1822" spans="2:16" x14ac:dyDescent="0.25">
      <c r="B18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2" s="46"/>
      <c r="D1822" s="37"/>
      <c r="E1822" s="37"/>
      <c r="F1822" s="37"/>
      <c r="G1822" s="40" t="str">
        <f>IF(tblMovimientos[[#This Row],[Producto]]="","",TRIM(LEFT(tblMovimientos[[#This Row],[Producto]],FIND(" · ",tblMovimientos[[#This Row],[Producto]]&amp;" · ")-1)))</f>
        <v/>
      </c>
      <c r="H1822" s="40" t="str">
        <f>IF(tblMovimientos[[#This Row],[SKU]]="","",IFERROR(INDEX(tblProductos[Unidad],MATCH(tblMovimientos[[#This Row],[SKU]],tblProductos[SKU],0)),"?"))</f>
        <v/>
      </c>
      <c r="I1822" s="39"/>
      <c r="J1822" s="47" t="str">
        <f>IF(tblMovimientos[[#This Row],[Tipo]]="","",IFERROR(INDEX(tblTiposMov[FactorStock],MATCH(tblMovimientos[[#This Row],[Tipo]],tblTiposMov[Tipo],0)),0))</f>
        <v/>
      </c>
      <c r="K18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2" s="37"/>
      <c r="O1822" s="37"/>
      <c r="P1822" s="37"/>
    </row>
    <row r="1823" spans="2:16" x14ac:dyDescent="0.25">
      <c r="B18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3" s="46"/>
      <c r="D1823" s="37"/>
      <c r="E1823" s="37"/>
      <c r="F1823" s="37"/>
      <c r="G1823" s="40" t="str">
        <f>IF(tblMovimientos[[#This Row],[Producto]]="","",TRIM(LEFT(tblMovimientos[[#This Row],[Producto]],FIND(" · ",tblMovimientos[[#This Row],[Producto]]&amp;" · ")-1)))</f>
        <v/>
      </c>
      <c r="H1823" s="40" t="str">
        <f>IF(tblMovimientos[[#This Row],[SKU]]="","",IFERROR(INDEX(tblProductos[Unidad],MATCH(tblMovimientos[[#This Row],[SKU]],tblProductos[SKU],0)),"?"))</f>
        <v/>
      </c>
      <c r="I1823" s="39"/>
      <c r="J1823" s="47" t="str">
        <f>IF(tblMovimientos[[#This Row],[Tipo]]="","",IFERROR(INDEX(tblTiposMov[FactorStock],MATCH(tblMovimientos[[#This Row],[Tipo]],tblTiposMov[Tipo],0)),0))</f>
        <v/>
      </c>
      <c r="K18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3" s="37"/>
      <c r="O1823" s="37"/>
      <c r="P1823" s="37"/>
    </row>
    <row r="1824" spans="2:16" x14ac:dyDescent="0.25">
      <c r="B18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4" s="46"/>
      <c r="D1824" s="37"/>
      <c r="E1824" s="37"/>
      <c r="F1824" s="37"/>
      <c r="G1824" s="40" t="str">
        <f>IF(tblMovimientos[[#This Row],[Producto]]="","",TRIM(LEFT(tblMovimientos[[#This Row],[Producto]],FIND(" · ",tblMovimientos[[#This Row],[Producto]]&amp;" · ")-1)))</f>
        <v/>
      </c>
      <c r="H1824" s="40" t="str">
        <f>IF(tblMovimientos[[#This Row],[SKU]]="","",IFERROR(INDEX(tblProductos[Unidad],MATCH(tblMovimientos[[#This Row],[SKU]],tblProductos[SKU],0)),"?"))</f>
        <v/>
      </c>
      <c r="I1824" s="39"/>
      <c r="J1824" s="47" t="str">
        <f>IF(tblMovimientos[[#This Row],[Tipo]]="","",IFERROR(INDEX(tblTiposMov[FactorStock],MATCH(tblMovimientos[[#This Row],[Tipo]],tblTiposMov[Tipo],0)),0))</f>
        <v/>
      </c>
      <c r="K18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4" s="37"/>
      <c r="O1824" s="37"/>
      <c r="P1824" s="37"/>
    </row>
    <row r="1825" spans="2:16" x14ac:dyDescent="0.25">
      <c r="B18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5" s="46"/>
      <c r="D1825" s="37"/>
      <c r="E1825" s="37"/>
      <c r="F1825" s="37"/>
      <c r="G1825" s="40" t="str">
        <f>IF(tblMovimientos[[#This Row],[Producto]]="","",TRIM(LEFT(tblMovimientos[[#This Row],[Producto]],FIND(" · ",tblMovimientos[[#This Row],[Producto]]&amp;" · ")-1)))</f>
        <v/>
      </c>
      <c r="H1825" s="40" t="str">
        <f>IF(tblMovimientos[[#This Row],[SKU]]="","",IFERROR(INDEX(tblProductos[Unidad],MATCH(tblMovimientos[[#This Row],[SKU]],tblProductos[SKU],0)),"?"))</f>
        <v/>
      </c>
      <c r="I1825" s="39"/>
      <c r="J1825" s="47" t="str">
        <f>IF(tblMovimientos[[#This Row],[Tipo]]="","",IFERROR(INDEX(tblTiposMov[FactorStock],MATCH(tblMovimientos[[#This Row],[Tipo]],tblTiposMov[Tipo],0)),0))</f>
        <v/>
      </c>
      <c r="K18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5" s="37"/>
      <c r="O1825" s="37"/>
      <c r="P1825" s="37"/>
    </row>
    <row r="1826" spans="2:16" x14ac:dyDescent="0.25">
      <c r="B18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6" s="46"/>
      <c r="D1826" s="37"/>
      <c r="E1826" s="37"/>
      <c r="F1826" s="37"/>
      <c r="G1826" s="40" t="str">
        <f>IF(tblMovimientos[[#This Row],[Producto]]="","",TRIM(LEFT(tblMovimientos[[#This Row],[Producto]],FIND(" · ",tblMovimientos[[#This Row],[Producto]]&amp;" · ")-1)))</f>
        <v/>
      </c>
      <c r="H1826" s="40" t="str">
        <f>IF(tblMovimientos[[#This Row],[SKU]]="","",IFERROR(INDEX(tblProductos[Unidad],MATCH(tblMovimientos[[#This Row],[SKU]],tblProductos[SKU],0)),"?"))</f>
        <v/>
      </c>
      <c r="I1826" s="39"/>
      <c r="J1826" s="47" t="str">
        <f>IF(tblMovimientos[[#This Row],[Tipo]]="","",IFERROR(INDEX(tblTiposMov[FactorStock],MATCH(tblMovimientos[[#This Row],[Tipo]],tblTiposMov[Tipo],0)),0))</f>
        <v/>
      </c>
      <c r="K18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6" s="37"/>
      <c r="O1826" s="37"/>
      <c r="P1826" s="37"/>
    </row>
    <row r="1827" spans="2:16" x14ac:dyDescent="0.25">
      <c r="B18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7" s="46"/>
      <c r="D1827" s="37"/>
      <c r="E1827" s="37"/>
      <c r="F1827" s="37"/>
      <c r="G1827" s="40" t="str">
        <f>IF(tblMovimientos[[#This Row],[Producto]]="","",TRIM(LEFT(tblMovimientos[[#This Row],[Producto]],FIND(" · ",tblMovimientos[[#This Row],[Producto]]&amp;" · ")-1)))</f>
        <v/>
      </c>
      <c r="H1827" s="40" t="str">
        <f>IF(tblMovimientos[[#This Row],[SKU]]="","",IFERROR(INDEX(tblProductos[Unidad],MATCH(tblMovimientos[[#This Row],[SKU]],tblProductos[SKU],0)),"?"))</f>
        <v/>
      </c>
      <c r="I1827" s="39"/>
      <c r="J1827" s="47" t="str">
        <f>IF(tblMovimientos[[#This Row],[Tipo]]="","",IFERROR(INDEX(tblTiposMov[FactorStock],MATCH(tblMovimientos[[#This Row],[Tipo]],tblTiposMov[Tipo],0)),0))</f>
        <v/>
      </c>
      <c r="K18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7" s="37"/>
      <c r="O1827" s="37"/>
      <c r="P1827" s="37"/>
    </row>
    <row r="1828" spans="2:16" x14ac:dyDescent="0.25">
      <c r="B18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8" s="46"/>
      <c r="D1828" s="37"/>
      <c r="E1828" s="37"/>
      <c r="F1828" s="37"/>
      <c r="G1828" s="40" t="str">
        <f>IF(tblMovimientos[[#This Row],[Producto]]="","",TRIM(LEFT(tblMovimientos[[#This Row],[Producto]],FIND(" · ",tblMovimientos[[#This Row],[Producto]]&amp;" · ")-1)))</f>
        <v/>
      </c>
      <c r="H1828" s="40" t="str">
        <f>IF(tblMovimientos[[#This Row],[SKU]]="","",IFERROR(INDEX(tblProductos[Unidad],MATCH(tblMovimientos[[#This Row],[SKU]],tblProductos[SKU],0)),"?"))</f>
        <v/>
      </c>
      <c r="I1828" s="39"/>
      <c r="J1828" s="47" t="str">
        <f>IF(tblMovimientos[[#This Row],[Tipo]]="","",IFERROR(INDEX(tblTiposMov[FactorStock],MATCH(tblMovimientos[[#This Row],[Tipo]],tblTiposMov[Tipo],0)),0))</f>
        <v/>
      </c>
      <c r="K18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8" s="37"/>
      <c r="O1828" s="37"/>
      <c r="P1828" s="37"/>
    </row>
    <row r="1829" spans="2:16" x14ac:dyDescent="0.25">
      <c r="B18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29" s="46"/>
      <c r="D1829" s="37"/>
      <c r="E1829" s="37"/>
      <c r="F1829" s="37"/>
      <c r="G1829" s="40" t="str">
        <f>IF(tblMovimientos[[#This Row],[Producto]]="","",TRIM(LEFT(tblMovimientos[[#This Row],[Producto]],FIND(" · ",tblMovimientos[[#This Row],[Producto]]&amp;" · ")-1)))</f>
        <v/>
      </c>
      <c r="H1829" s="40" t="str">
        <f>IF(tblMovimientos[[#This Row],[SKU]]="","",IFERROR(INDEX(tblProductos[Unidad],MATCH(tblMovimientos[[#This Row],[SKU]],tblProductos[SKU],0)),"?"))</f>
        <v/>
      </c>
      <c r="I1829" s="39"/>
      <c r="J1829" s="47" t="str">
        <f>IF(tblMovimientos[[#This Row],[Tipo]]="","",IFERROR(INDEX(tblTiposMov[FactorStock],MATCH(tblMovimientos[[#This Row],[Tipo]],tblTiposMov[Tipo],0)),0))</f>
        <v/>
      </c>
      <c r="K18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29" s="37"/>
      <c r="O1829" s="37"/>
      <c r="P1829" s="37"/>
    </row>
    <row r="1830" spans="2:16" x14ac:dyDescent="0.25">
      <c r="B18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0" s="46"/>
      <c r="D1830" s="37"/>
      <c r="E1830" s="37"/>
      <c r="F1830" s="37"/>
      <c r="G1830" s="40" t="str">
        <f>IF(tblMovimientos[[#This Row],[Producto]]="","",TRIM(LEFT(tblMovimientos[[#This Row],[Producto]],FIND(" · ",tblMovimientos[[#This Row],[Producto]]&amp;" · ")-1)))</f>
        <v/>
      </c>
      <c r="H1830" s="40" t="str">
        <f>IF(tblMovimientos[[#This Row],[SKU]]="","",IFERROR(INDEX(tblProductos[Unidad],MATCH(tblMovimientos[[#This Row],[SKU]],tblProductos[SKU],0)),"?"))</f>
        <v/>
      </c>
      <c r="I1830" s="39"/>
      <c r="J1830" s="47" t="str">
        <f>IF(tblMovimientos[[#This Row],[Tipo]]="","",IFERROR(INDEX(tblTiposMov[FactorStock],MATCH(tblMovimientos[[#This Row],[Tipo]],tblTiposMov[Tipo],0)),0))</f>
        <v/>
      </c>
      <c r="K18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0" s="37"/>
      <c r="O1830" s="37"/>
      <c r="P1830" s="37"/>
    </row>
    <row r="1831" spans="2:16" x14ac:dyDescent="0.25">
      <c r="B18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1" s="46"/>
      <c r="D1831" s="37"/>
      <c r="E1831" s="37"/>
      <c r="F1831" s="37"/>
      <c r="G1831" s="40" t="str">
        <f>IF(tblMovimientos[[#This Row],[Producto]]="","",TRIM(LEFT(tblMovimientos[[#This Row],[Producto]],FIND(" · ",tblMovimientos[[#This Row],[Producto]]&amp;" · ")-1)))</f>
        <v/>
      </c>
      <c r="H1831" s="40" t="str">
        <f>IF(tblMovimientos[[#This Row],[SKU]]="","",IFERROR(INDEX(tblProductos[Unidad],MATCH(tblMovimientos[[#This Row],[SKU]],tblProductos[SKU],0)),"?"))</f>
        <v/>
      </c>
      <c r="I1831" s="39"/>
      <c r="J1831" s="47" t="str">
        <f>IF(tblMovimientos[[#This Row],[Tipo]]="","",IFERROR(INDEX(tblTiposMov[FactorStock],MATCH(tblMovimientos[[#This Row],[Tipo]],tblTiposMov[Tipo],0)),0))</f>
        <v/>
      </c>
      <c r="K18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1" s="37"/>
      <c r="O1831" s="37"/>
      <c r="P1831" s="37"/>
    </row>
    <row r="1832" spans="2:16" x14ac:dyDescent="0.25">
      <c r="B18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2" s="46"/>
      <c r="D1832" s="37"/>
      <c r="E1832" s="37"/>
      <c r="F1832" s="37"/>
      <c r="G1832" s="40" t="str">
        <f>IF(tblMovimientos[[#This Row],[Producto]]="","",TRIM(LEFT(tblMovimientos[[#This Row],[Producto]],FIND(" · ",tblMovimientos[[#This Row],[Producto]]&amp;" · ")-1)))</f>
        <v/>
      </c>
      <c r="H1832" s="40" t="str">
        <f>IF(tblMovimientos[[#This Row],[SKU]]="","",IFERROR(INDEX(tblProductos[Unidad],MATCH(tblMovimientos[[#This Row],[SKU]],tblProductos[SKU],0)),"?"))</f>
        <v/>
      </c>
      <c r="I1832" s="39"/>
      <c r="J1832" s="47" t="str">
        <f>IF(tblMovimientos[[#This Row],[Tipo]]="","",IFERROR(INDEX(tblTiposMov[FactorStock],MATCH(tblMovimientos[[#This Row],[Tipo]],tblTiposMov[Tipo],0)),0))</f>
        <v/>
      </c>
      <c r="K18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2" s="37"/>
      <c r="O1832" s="37"/>
      <c r="P1832" s="37"/>
    </row>
    <row r="1833" spans="2:16" x14ac:dyDescent="0.25">
      <c r="B18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3" s="46"/>
      <c r="D1833" s="37"/>
      <c r="E1833" s="37"/>
      <c r="F1833" s="37"/>
      <c r="G1833" s="40" t="str">
        <f>IF(tblMovimientos[[#This Row],[Producto]]="","",TRIM(LEFT(tblMovimientos[[#This Row],[Producto]],FIND(" · ",tblMovimientos[[#This Row],[Producto]]&amp;" · ")-1)))</f>
        <v/>
      </c>
      <c r="H1833" s="40" t="str">
        <f>IF(tblMovimientos[[#This Row],[SKU]]="","",IFERROR(INDEX(tblProductos[Unidad],MATCH(tblMovimientos[[#This Row],[SKU]],tblProductos[SKU],0)),"?"))</f>
        <v/>
      </c>
      <c r="I1833" s="39"/>
      <c r="J1833" s="47" t="str">
        <f>IF(tblMovimientos[[#This Row],[Tipo]]="","",IFERROR(INDEX(tblTiposMov[FactorStock],MATCH(tblMovimientos[[#This Row],[Tipo]],tblTiposMov[Tipo],0)),0))</f>
        <v/>
      </c>
      <c r="K18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3" s="37"/>
      <c r="O1833" s="37"/>
      <c r="P1833" s="37"/>
    </row>
    <row r="1834" spans="2:16" x14ac:dyDescent="0.25">
      <c r="B18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4" s="46"/>
      <c r="D1834" s="37"/>
      <c r="E1834" s="37"/>
      <c r="F1834" s="37"/>
      <c r="G1834" s="40" t="str">
        <f>IF(tblMovimientos[[#This Row],[Producto]]="","",TRIM(LEFT(tblMovimientos[[#This Row],[Producto]],FIND(" · ",tblMovimientos[[#This Row],[Producto]]&amp;" · ")-1)))</f>
        <v/>
      </c>
      <c r="H1834" s="40" t="str">
        <f>IF(tblMovimientos[[#This Row],[SKU]]="","",IFERROR(INDEX(tblProductos[Unidad],MATCH(tblMovimientos[[#This Row],[SKU]],tblProductos[SKU],0)),"?"))</f>
        <v/>
      </c>
      <c r="I1834" s="39"/>
      <c r="J1834" s="47" t="str">
        <f>IF(tblMovimientos[[#This Row],[Tipo]]="","",IFERROR(INDEX(tblTiposMov[FactorStock],MATCH(tblMovimientos[[#This Row],[Tipo]],tblTiposMov[Tipo],0)),0))</f>
        <v/>
      </c>
      <c r="K18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4" s="37"/>
      <c r="O1834" s="37"/>
      <c r="P1834" s="37"/>
    </row>
    <row r="1835" spans="2:16" x14ac:dyDescent="0.25">
      <c r="B18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5" s="46"/>
      <c r="D1835" s="37"/>
      <c r="E1835" s="37"/>
      <c r="F1835" s="37"/>
      <c r="G1835" s="40" t="str">
        <f>IF(tblMovimientos[[#This Row],[Producto]]="","",TRIM(LEFT(tblMovimientos[[#This Row],[Producto]],FIND(" · ",tblMovimientos[[#This Row],[Producto]]&amp;" · ")-1)))</f>
        <v/>
      </c>
      <c r="H1835" s="40" t="str">
        <f>IF(tblMovimientos[[#This Row],[SKU]]="","",IFERROR(INDEX(tblProductos[Unidad],MATCH(tblMovimientos[[#This Row],[SKU]],tblProductos[SKU],0)),"?"))</f>
        <v/>
      </c>
      <c r="I1835" s="39"/>
      <c r="J1835" s="47" t="str">
        <f>IF(tblMovimientos[[#This Row],[Tipo]]="","",IFERROR(INDEX(tblTiposMov[FactorStock],MATCH(tblMovimientos[[#This Row],[Tipo]],tblTiposMov[Tipo],0)),0))</f>
        <v/>
      </c>
      <c r="K18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5" s="37"/>
      <c r="O1835" s="37"/>
      <c r="P1835" s="37"/>
    </row>
    <row r="1836" spans="2:16" x14ac:dyDescent="0.25">
      <c r="B18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6" s="46"/>
      <c r="D1836" s="37"/>
      <c r="E1836" s="37"/>
      <c r="F1836" s="37"/>
      <c r="G1836" s="40" t="str">
        <f>IF(tblMovimientos[[#This Row],[Producto]]="","",TRIM(LEFT(tblMovimientos[[#This Row],[Producto]],FIND(" · ",tblMovimientos[[#This Row],[Producto]]&amp;" · ")-1)))</f>
        <v/>
      </c>
      <c r="H1836" s="40" t="str">
        <f>IF(tblMovimientos[[#This Row],[SKU]]="","",IFERROR(INDEX(tblProductos[Unidad],MATCH(tblMovimientos[[#This Row],[SKU]],tblProductos[SKU],0)),"?"))</f>
        <v/>
      </c>
      <c r="I1836" s="39"/>
      <c r="J1836" s="47" t="str">
        <f>IF(tblMovimientos[[#This Row],[Tipo]]="","",IFERROR(INDEX(tblTiposMov[FactorStock],MATCH(tblMovimientos[[#This Row],[Tipo]],tblTiposMov[Tipo],0)),0))</f>
        <v/>
      </c>
      <c r="K18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6" s="37"/>
      <c r="O1836" s="37"/>
      <c r="P1836" s="37"/>
    </row>
    <row r="1837" spans="2:16" x14ac:dyDescent="0.25">
      <c r="B18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7" s="46"/>
      <c r="D1837" s="37"/>
      <c r="E1837" s="37"/>
      <c r="F1837" s="37"/>
      <c r="G1837" s="40" t="str">
        <f>IF(tblMovimientos[[#This Row],[Producto]]="","",TRIM(LEFT(tblMovimientos[[#This Row],[Producto]],FIND(" · ",tblMovimientos[[#This Row],[Producto]]&amp;" · ")-1)))</f>
        <v/>
      </c>
      <c r="H1837" s="40" t="str">
        <f>IF(tblMovimientos[[#This Row],[SKU]]="","",IFERROR(INDEX(tblProductos[Unidad],MATCH(tblMovimientos[[#This Row],[SKU]],tblProductos[SKU],0)),"?"))</f>
        <v/>
      </c>
      <c r="I1837" s="39"/>
      <c r="J1837" s="47" t="str">
        <f>IF(tblMovimientos[[#This Row],[Tipo]]="","",IFERROR(INDEX(tblTiposMov[FactorStock],MATCH(tblMovimientos[[#This Row],[Tipo]],tblTiposMov[Tipo],0)),0))</f>
        <v/>
      </c>
      <c r="K18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7" s="37"/>
      <c r="O1837" s="37"/>
      <c r="P1837" s="37"/>
    </row>
    <row r="1838" spans="2:16" x14ac:dyDescent="0.25">
      <c r="B18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8" s="46"/>
      <c r="D1838" s="37"/>
      <c r="E1838" s="37"/>
      <c r="F1838" s="37"/>
      <c r="G1838" s="40" t="str">
        <f>IF(tblMovimientos[[#This Row],[Producto]]="","",TRIM(LEFT(tblMovimientos[[#This Row],[Producto]],FIND(" · ",tblMovimientos[[#This Row],[Producto]]&amp;" · ")-1)))</f>
        <v/>
      </c>
      <c r="H1838" s="40" t="str">
        <f>IF(tblMovimientos[[#This Row],[SKU]]="","",IFERROR(INDEX(tblProductos[Unidad],MATCH(tblMovimientos[[#This Row],[SKU]],tblProductos[SKU],0)),"?"))</f>
        <v/>
      </c>
      <c r="I1838" s="39"/>
      <c r="J1838" s="47" t="str">
        <f>IF(tblMovimientos[[#This Row],[Tipo]]="","",IFERROR(INDEX(tblTiposMov[FactorStock],MATCH(tblMovimientos[[#This Row],[Tipo]],tblTiposMov[Tipo],0)),0))</f>
        <v/>
      </c>
      <c r="K18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8" s="37"/>
      <c r="O1838" s="37"/>
      <c r="P1838" s="37"/>
    </row>
    <row r="1839" spans="2:16" x14ac:dyDescent="0.25">
      <c r="B18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39" s="46"/>
      <c r="D1839" s="37"/>
      <c r="E1839" s="37"/>
      <c r="F1839" s="37"/>
      <c r="G1839" s="40" t="str">
        <f>IF(tblMovimientos[[#This Row],[Producto]]="","",TRIM(LEFT(tblMovimientos[[#This Row],[Producto]],FIND(" · ",tblMovimientos[[#This Row],[Producto]]&amp;" · ")-1)))</f>
        <v/>
      </c>
      <c r="H1839" s="40" t="str">
        <f>IF(tblMovimientos[[#This Row],[SKU]]="","",IFERROR(INDEX(tblProductos[Unidad],MATCH(tblMovimientos[[#This Row],[SKU]],tblProductos[SKU],0)),"?"))</f>
        <v/>
      </c>
      <c r="I1839" s="39"/>
      <c r="J1839" s="47" t="str">
        <f>IF(tblMovimientos[[#This Row],[Tipo]]="","",IFERROR(INDEX(tblTiposMov[FactorStock],MATCH(tblMovimientos[[#This Row],[Tipo]],tblTiposMov[Tipo],0)),0))</f>
        <v/>
      </c>
      <c r="K18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39" s="37"/>
      <c r="O1839" s="37"/>
      <c r="P1839" s="37"/>
    </row>
    <row r="1840" spans="2:16" x14ac:dyDescent="0.25">
      <c r="B18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0" s="46"/>
      <c r="D1840" s="37"/>
      <c r="E1840" s="37"/>
      <c r="F1840" s="37"/>
      <c r="G1840" s="40" t="str">
        <f>IF(tblMovimientos[[#This Row],[Producto]]="","",TRIM(LEFT(tblMovimientos[[#This Row],[Producto]],FIND(" · ",tblMovimientos[[#This Row],[Producto]]&amp;" · ")-1)))</f>
        <v/>
      </c>
      <c r="H1840" s="40" t="str">
        <f>IF(tblMovimientos[[#This Row],[SKU]]="","",IFERROR(INDEX(tblProductos[Unidad],MATCH(tblMovimientos[[#This Row],[SKU]],tblProductos[SKU],0)),"?"))</f>
        <v/>
      </c>
      <c r="I1840" s="39"/>
      <c r="J1840" s="47" t="str">
        <f>IF(tblMovimientos[[#This Row],[Tipo]]="","",IFERROR(INDEX(tblTiposMov[FactorStock],MATCH(tblMovimientos[[#This Row],[Tipo]],tblTiposMov[Tipo],0)),0))</f>
        <v/>
      </c>
      <c r="K18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0" s="37"/>
      <c r="O1840" s="37"/>
      <c r="P1840" s="37"/>
    </row>
    <row r="1841" spans="2:16" x14ac:dyDescent="0.25">
      <c r="B18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1" s="46"/>
      <c r="D1841" s="37"/>
      <c r="E1841" s="37"/>
      <c r="F1841" s="37"/>
      <c r="G1841" s="40" t="str">
        <f>IF(tblMovimientos[[#This Row],[Producto]]="","",TRIM(LEFT(tblMovimientos[[#This Row],[Producto]],FIND(" · ",tblMovimientos[[#This Row],[Producto]]&amp;" · ")-1)))</f>
        <v/>
      </c>
      <c r="H1841" s="40" t="str">
        <f>IF(tblMovimientos[[#This Row],[SKU]]="","",IFERROR(INDEX(tblProductos[Unidad],MATCH(tblMovimientos[[#This Row],[SKU]],tblProductos[SKU],0)),"?"))</f>
        <v/>
      </c>
      <c r="I1841" s="39"/>
      <c r="J1841" s="47" t="str">
        <f>IF(tblMovimientos[[#This Row],[Tipo]]="","",IFERROR(INDEX(tblTiposMov[FactorStock],MATCH(tblMovimientos[[#This Row],[Tipo]],tblTiposMov[Tipo],0)),0))</f>
        <v/>
      </c>
      <c r="K18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1" s="37"/>
      <c r="O1841" s="37"/>
      <c r="P1841" s="37"/>
    </row>
    <row r="1842" spans="2:16" x14ac:dyDescent="0.25">
      <c r="B18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2" s="46"/>
      <c r="D1842" s="37"/>
      <c r="E1842" s="37"/>
      <c r="F1842" s="37"/>
      <c r="G1842" s="40" t="str">
        <f>IF(tblMovimientos[[#This Row],[Producto]]="","",TRIM(LEFT(tblMovimientos[[#This Row],[Producto]],FIND(" · ",tblMovimientos[[#This Row],[Producto]]&amp;" · ")-1)))</f>
        <v/>
      </c>
      <c r="H1842" s="40" t="str">
        <f>IF(tblMovimientos[[#This Row],[SKU]]="","",IFERROR(INDEX(tblProductos[Unidad],MATCH(tblMovimientos[[#This Row],[SKU]],tblProductos[SKU],0)),"?"))</f>
        <v/>
      </c>
      <c r="I1842" s="39"/>
      <c r="J1842" s="47" t="str">
        <f>IF(tblMovimientos[[#This Row],[Tipo]]="","",IFERROR(INDEX(tblTiposMov[FactorStock],MATCH(tblMovimientos[[#This Row],[Tipo]],tblTiposMov[Tipo],0)),0))</f>
        <v/>
      </c>
      <c r="K18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2" s="37"/>
      <c r="O1842" s="37"/>
      <c r="P1842" s="37"/>
    </row>
    <row r="1843" spans="2:16" x14ac:dyDescent="0.25">
      <c r="B18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3" s="46"/>
      <c r="D1843" s="37"/>
      <c r="E1843" s="37"/>
      <c r="F1843" s="37"/>
      <c r="G1843" s="40" t="str">
        <f>IF(tblMovimientos[[#This Row],[Producto]]="","",TRIM(LEFT(tblMovimientos[[#This Row],[Producto]],FIND(" · ",tblMovimientos[[#This Row],[Producto]]&amp;" · ")-1)))</f>
        <v/>
      </c>
      <c r="H1843" s="40" t="str">
        <f>IF(tblMovimientos[[#This Row],[SKU]]="","",IFERROR(INDEX(tblProductos[Unidad],MATCH(tblMovimientos[[#This Row],[SKU]],tblProductos[SKU],0)),"?"))</f>
        <v/>
      </c>
      <c r="I1843" s="39"/>
      <c r="J1843" s="47" t="str">
        <f>IF(tblMovimientos[[#This Row],[Tipo]]="","",IFERROR(INDEX(tblTiposMov[FactorStock],MATCH(tblMovimientos[[#This Row],[Tipo]],tblTiposMov[Tipo],0)),0))</f>
        <v/>
      </c>
      <c r="K18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3" s="37"/>
      <c r="O1843" s="37"/>
      <c r="P1843" s="37"/>
    </row>
    <row r="1844" spans="2:16" x14ac:dyDescent="0.25">
      <c r="B18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4" s="46"/>
      <c r="D1844" s="37"/>
      <c r="E1844" s="37"/>
      <c r="F1844" s="37"/>
      <c r="G1844" s="40" t="str">
        <f>IF(tblMovimientos[[#This Row],[Producto]]="","",TRIM(LEFT(tblMovimientos[[#This Row],[Producto]],FIND(" · ",tblMovimientos[[#This Row],[Producto]]&amp;" · ")-1)))</f>
        <v/>
      </c>
      <c r="H1844" s="40" t="str">
        <f>IF(tblMovimientos[[#This Row],[SKU]]="","",IFERROR(INDEX(tblProductos[Unidad],MATCH(tblMovimientos[[#This Row],[SKU]],tblProductos[SKU],0)),"?"))</f>
        <v/>
      </c>
      <c r="I1844" s="39"/>
      <c r="J1844" s="47" t="str">
        <f>IF(tblMovimientos[[#This Row],[Tipo]]="","",IFERROR(INDEX(tblTiposMov[FactorStock],MATCH(tblMovimientos[[#This Row],[Tipo]],tblTiposMov[Tipo],0)),0))</f>
        <v/>
      </c>
      <c r="K18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4" s="37"/>
      <c r="O1844" s="37"/>
      <c r="P1844" s="37"/>
    </row>
    <row r="1845" spans="2:16" x14ac:dyDescent="0.25">
      <c r="B18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5" s="46"/>
      <c r="D1845" s="37"/>
      <c r="E1845" s="37"/>
      <c r="F1845" s="37"/>
      <c r="G1845" s="40" t="str">
        <f>IF(tblMovimientos[[#This Row],[Producto]]="","",TRIM(LEFT(tblMovimientos[[#This Row],[Producto]],FIND(" · ",tblMovimientos[[#This Row],[Producto]]&amp;" · ")-1)))</f>
        <v/>
      </c>
      <c r="H1845" s="40" t="str">
        <f>IF(tblMovimientos[[#This Row],[SKU]]="","",IFERROR(INDEX(tblProductos[Unidad],MATCH(tblMovimientos[[#This Row],[SKU]],tblProductos[SKU],0)),"?"))</f>
        <v/>
      </c>
      <c r="I1845" s="39"/>
      <c r="J1845" s="47" t="str">
        <f>IF(tblMovimientos[[#This Row],[Tipo]]="","",IFERROR(INDEX(tblTiposMov[FactorStock],MATCH(tblMovimientos[[#This Row],[Tipo]],tblTiposMov[Tipo],0)),0))</f>
        <v/>
      </c>
      <c r="K18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5" s="37"/>
      <c r="O1845" s="37"/>
      <c r="P1845" s="37"/>
    </row>
    <row r="1846" spans="2:16" x14ac:dyDescent="0.25">
      <c r="B18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6" s="46"/>
      <c r="D1846" s="37"/>
      <c r="E1846" s="37"/>
      <c r="F1846" s="37"/>
      <c r="G1846" s="40" t="str">
        <f>IF(tblMovimientos[[#This Row],[Producto]]="","",TRIM(LEFT(tblMovimientos[[#This Row],[Producto]],FIND(" · ",tblMovimientos[[#This Row],[Producto]]&amp;" · ")-1)))</f>
        <v/>
      </c>
      <c r="H1846" s="40" t="str">
        <f>IF(tblMovimientos[[#This Row],[SKU]]="","",IFERROR(INDEX(tblProductos[Unidad],MATCH(tblMovimientos[[#This Row],[SKU]],tblProductos[SKU],0)),"?"))</f>
        <v/>
      </c>
      <c r="I1846" s="39"/>
      <c r="J1846" s="47" t="str">
        <f>IF(tblMovimientos[[#This Row],[Tipo]]="","",IFERROR(INDEX(tblTiposMov[FactorStock],MATCH(tblMovimientos[[#This Row],[Tipo]],tblTiposMov[Tipo],0)),0))</f>
        <v/>
      </c>
      <c r="K18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6" s="37"/>
      <c r="O1846" s="37"/>
      <c r="P1846" s="37"/>
    </row>
    <row r="1847" spans="2:16" x14ac:dyDescent="0.25">
      <c r="B18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7" s="46"/>
      <c r="D1847" s="37"/>
      <c r="E1847" s="37"/>
      <c r="F1847" s="37"/>
      <c r="G1847" s="40" t="str">
        <f>IF(tblMovimientos[[#This Row],[Producto]]="","",TRIM(LEFT(tblMovimientos[[#This Row],[Producto]],FIND(" · ",tblMovimientos[[#This Row],[Producto]]&amp;" · ")-1)))</f>
        <v/>
      </c>
      <c r="H1847" s="40" t="str">
        <f>IF(tblMovimientos[[#This Row],[SKU]]="","",IFERROR(INDEX(tblProductos[Unidad],MATCH(tblMovimientos[[#This Row],[SKU]],tblProductos[SKU],0)),"?"))</f>
        <v/>
      </c>
      <c r="I1847" s="39"/>
      <c r="J1847" s="47" t="str">
        <f>IF(tblMovimientos[[#This Row],[Tipo]]="","",IFERROR(INDEX(tblTiposMov[FactorStock],MATCH(tblMovimientos[[#This Row],[Tipo]],tblTiposMov[Tipo],0)),0))</f>
        <v/>
      </c>
      <c r="K18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7" s="37"/>
      <c r="O1847" s="37"/>
      <c r="P1847" s="37"/>
    </row>
    <row r="1848" spans="2:16" x14ac:dyDescent="0.25">
      <c r="B18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8" s="46"/>
      <c r="D1848" s="37"/>
      <c r="E1848" s="37"/>
      <c r="F1848" s="37"/>
      <c r="G1848" s="40" t="str">
        <f>IF(tblMovimientos[[#This Row],[Producto]]="","",TRIM(LEFT(tblMovimientos[[#This Row],[Producto]],FIND(" · ",tblMovimientos[[#This Row],[Producto]]&amp;" · ")-1)))</f>
        <v/>
      </c>
      <c r="H1848" s="40" t="str">
        <f>IF(tblMovimientos[[#This Row],[SKU]]="","",IFERROR(INDEX(tblProductos[Unidad],MATCH(tblMovimientos[[#This Row],[SKU]],tblProductos[SKU],0)),"?"))</f>
        <v/>
      </c>
      <c r="I1848" s="39"/>
      <c r="J1848" s="47" t="str">
        <f>IF(tblMovimientos[[#This Row],[Tipo]]="","",IFERROR(INDEX(tblTiposMov[FactorStock],MATCH(tblMovimientos[[#This Row],[Tipo]],tblTiposMov[Tipo],0)),0))</f>
        <v/>
      </c>
      <c r="K18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8" s="37"/>
      <c r="O1848" s="37"/>
      <c r="P1848" s="37"/>
    </row>
    <row r="1849" spans="2:16" x14ac:dyDescent="0.25">
      <c r="B18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49" s="46"/>
      <c r="D1849" s="37"/>
      <c r="E1849" s="37"/>
      <c r="F1849" s="37"/>
      <c r="G1849" s="40" t="str">
        <f>IF(tblMovimientos[[#This Row],[Producto]]="","",TRIM(LEFT(tblMovimientos[[#This Row],[Producto]],FIND(" · ",tblMovimientos[[#This Row],[Producto]]&amp;" · ")-1)))</f>
        <v/>
      </c>
      <c r="H1849" s="40" t="str">
        <f>IF(tblMovimientos[[#This Row],[SKU]]="","",IFERROR(INDEX(tblProductos[Unidad],MATCH(tblMovimientos[[#This Row],[SKU]],tblProductos[SKU],0)),"?"))</f>
        <v/>
      </c>
      <c r="I1849" s="39"/>
      <c r="J1849" s="47" t="str">
        <f>IF(tblMovimientos[[#This Row],[Tipo]]="","",IFERROR(INDEX(tblTiposMov[FactorStock],MATCH(tblMovimientos[[#This Row],[Tipo]],tblTiposMov[Tipo],0)),0))</f>
        <v/>
      </c>
      <c r="K18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49" s="37"/>
      <c r="O1849" s="37"/>
      <c r="P1849" s="37"/>
    </row>
    <row r="1850" spans="2:16" x14ac:dyDescent="0.25">
      <c r="B18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0" s="46"/>
      <c r="D1850" s="37"/>
      <c r="E1850" s="37"/>
      <c r="F1850" s="37"/>
      <c r="G1850" s="40" t="str">
        <f>IF(tblMovimientos[[#This Row],[Producto]]="","",TRIM(LEFT(tblMovimientos[[#This Row],[Producto]],FIND(" · ",tblMovimientos[[#This Row],[Producto]]&amp;" · ")-1)))</f>
        <v/>
      </c>
      <c r="H1850" s="40" t="str">
        <f>IF(tblMovimientos[[#This Row],[SKU]]="","",IFERROR(INDEX(tblProductos[Unidad],MATCH(tblMovimientos[[#This Row],[SKU]],tblProductos[SKU],0)),"?"))</f>
        <v/>
      </c>
      <c r="I1850" s="39"/>
      <c r="J1850" s="47" t="str">
        <f>IF(tblMovimientos[[#This Row],[Tipo]]="","",IFERROR(INDEX(tblTiposMov[FactorStock],MATCH(tblMovimientos[[#This Row],[Tipo]],tblTiposMov[Tipo],0)),0))</f>
        <v/>
      </c>
      <c r="K18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0" s="37"/>
      <c r="O1850" s="37"/>
      <c r="P1850" s="37"/>
    </row>
    <row r="1851" spans="2:16" x14ac:dyDescent="0.25">
      <c r="B18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1" s="46"/>
      <c r="D1851" s="37"/>
      <c r="E1851" s="37"/>
      <c r="F1851" s="37"/>
      <c r="G1851" s="40" t="str">
        <f>IF(tblMovimientos[[#This Row],[Producto]]="","",TRIM(LEFT(tblMovimientos[[#This Row],[Producto]],FIND(" · ",tblMovimientos[[#This Row],[Producto]]&amp;" · ")-1)))</f>
        <v/>
      </c>
      <c r="H1851" s="40" t="str">
        <f>IF(tblMovimientos[[#This Row],[SKU]]="","",IFERROR(INDEX(tblProductos[Unidad],MATCH(tblMovimientos[[#This Row],[SKU]],tblProductos[SKU],0)),"?"))</f>
        <v/>
      </c>
      <c r="I1851" s="39"/>
      <c r="J1851" s="47" t="str">
        <f>IF(tblMovimientos[[#This Row],[Tipo]]="","",IFERROR(INDEX(tblTiposMov[FactorStock],MATCH(tblMovimientos[[#This Row],[Tipo]],tblTiposMov[Tipo],0)),0))</f>
        <v/>
      </c>
      <c r="K18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1" s="37"/>
      <c r="O1851" s="37"/>
      <c r="P1851" s="37"/>
    </row>
    <row r="1852" spans="2:16" x14ac:dyDescent="0.25">
      <c r="B18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2" s="46"/>
      <c r="D1852" s="37"/>
      <c r="E1852" s="37"/>
      <c r="F1852" s="37"/>
      <c r="G1852" s="40" t="str">
        <f>IF(tblMovimientos[[#This Row],[Producto]]="","",TRIM(LEFT(tblMovimientos[[#This Row],[Producto]],FIND(" · ",tblMovimientos[[#This Row],[Producto]]&amp;" · ")-1)))</f>
        <v/>
      </c>
      <c r="H1852" s="40" t="str">
        <f>IF(tblMovimientos[[#This Row],[SKU]]="","",IFERROR(INDEX(tblProductos[Unidad],MATCH(tblMovimientos[[#This Row],[SKU]],tblProductos[SKU],0)),"?"))</f>
        <v/>
      </c>
      <c r="I1852" s="39"/>
      <c r="J1852" s="47" t="str">
        <f>IF(tblMovimientos[[#This Row],[Tipo]]="","",IFERROR(INDEX(tblTiposMov[FactorStock],MATCH(tblMovimientos[[#This Row],[Tipo]],tblTiposMov[Tipo],0)),0))</f>
        <v/>
      </c>
      <c r="K18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2" s="37"/>
      <c r="O1852" s="37"/>
      <c r="P1852" s="37"/>
    </row>
    <row r="1853" spans="2:16" x14ac:dyDescent="0.25">
      <c r="B18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3" s="46"/>
      <c r="D1853" s="37"/>
      <c r="E1853" s="37"/>
      <c r="F1853" s="37"/>
      <c r="G1853" s="40" t="str">
        <f>IF(tblMovimientos[[#This Row],[Producto]]="","",TRIM(LEFT(tblMovimientos[[#This Row],[Producto]],FIND(" · ",tblMovimientos[[#This Row],[Producto]]&amp;" · ")-1)))</f>
        <v/>
      </c>
      <c r="H1853" s="40" t="str">
        <f>IF(tblMovimientos[[#This Row],[SKU]]="","",IFERROR(INDEX(tblProductos[Unidad],MATCH(tblMovimientos[[#This Row],[SKU]],tblProductos[SKU],0)),"?"))</f>
        <v/>
      </c>
      <c r="I1853" s="39"/>
      <c r="J1853" s="47" t="str">
        <f>IF(tblMovimientos[[#This Row],[Tipo]]="","",IFERROR(INDEX(tblTiposMov[FactorStock],MATCH(tblMovimientos[[#This Row],[Tipo]],tblTiposMov[Tipo],0)),0))</f>
        <v/>
      </c>
      <c r="K18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3" s="37"/>
      <c r="O1853" s="37"/>
      <c r="P1853" s="37"/>
    </row>
    <row r="1854" spans="2:16" x14ac:dyDescent="0.25">
      <c r="B18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4" s="46"/>
      <c r="D1854" s="37"/>
      <c r="E1854" s="37"/>
      <c r="F1854" s="37"/>
      <c r="G1854" s="40" t="str">
        <f>IF(tblMovimientos[[#This Row],[Producto]]="","",TRIM(LEFT(tblMovimientos[[#This Row],[Producto]],FIND(" · ",tblMovimientos[[#This Row],[Producto]]&amp;" · ")-1)))</f>
        <v/>
      </c>
      <c r="H1854" s="40" t="str">
        <f>IF(tblMovimientos[[#This Row],[SKU]]="","",IFERROR(INDEX(tblProductos[Unidad],MATCH(tblMovimientos[[#This Row],[SKU]],tblProductos[SKU],0)),"?"))</f>
        <v/>
      </c>
      <c r="I1854" s="39"/>
      <c r="J1854" s="47" t="str">
        <f>IF(tblMovimientos[[#This Row],[Tipo]]="","",IFERROR(INDEX(tblTiposMov[FactorStock],MATCH(tblMovimientos[[#This Row],[Tipo]],tblTiposMov[Tipo],0)),0))</f>
        <v/>
      </c>
      <c r="K18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4" s="37"/>
      <c r="O1854" s="37"/>
      <c r="P1854" s="37"/>
    </row>
    <row r="1855" spans="2:16" x14ac:dyDescent="0.25">
      <c r="B18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5" s="46"/>
      <c r="D1855" s="37"/>
      <c r="E1855" s="37"/>
      <c r="F1855" s="37"/>
      <c r="G1855" s="40" t="str">
        <f>IF(tblMovimientos[[#This Row],[Producto]]="","",TRIM(LEFT(tblMovimientos[[#This Row],[Producto]],FIND(" · ",tblMovimientos[[#This Row],[Producto]]&amp;" · ")-1)))</f>
        <v/>
      </c>
      <c r="H1855" s="40" t="str">
        <f>IF(tblMovimientos[[#This Row],[SKU]]="","",IFERROR(INDEX(tblProductos[Unidad],MATCH(tblMovimientos[[#This Row],[SKU]],tblProductos[SKU],0)),"?"))</f>
        <v/>
      </c>
      <c r="I1855" s="39"/>
      <c r="J1855" s="47" t="str">
        <f>IF(tblMovimientos[[#This Row],[Tipo]]="","",IFERROR(INDEX(tblTiposMov[FactorStock],MATCH(tblMovimientos[[#This Row],[Tipo]],tblTiposMov[Tipo],0)),0))</f>
        <v/>
      </c>
      <c r="K18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5" s="37"/>
      <c r="O1855" s="37"/>
      <c r="P1855" s="37"/>
    </row>
    <row r="1856" spans="2:16" x14ac:dyDescent="0.25">
      <c r="B18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6" s="46"/>
      <c r="D1856" s="37"/>
      <c r="E1856" s="37"/>
      <c r="F1856" s="37"/>
      <c r="G1856" s="40" t="str">
        <f>IF(tblMovimientos[[#This Row],[Producto]]="","",TRIM(LEFT(tblMovimientos[[#This Row],[Producto]],FIND(" · ",tblMovimientos[[#This Row],[Producto]]&amp;" · ")-1)))</f>
        <v/>
      </c>
      <c r="H1856" s="40" t="str">
        <f>IF(tblMovimientos[[#This Row],[SKU]]="","",IFERROR(INDEX(tblProductos[Unidad],MATCH(tblMovimientos[[#This Row],[SKU]],tblProductos[SKU],0)),"?"))</f>
        <v/>
      </c>
      <c r="I1856" s="39"/>
      <c r="J1856" s="47" t="str">
        <f>IF(tblMovimientos[[#This Row],[Tipo]]="","",IFERROR(INDEX(tblTiposMov[FactorStock],MATCH(tblMovimientos[[#This Row],[Tipo]],tblTiposMov[Tipo],0)),0))</f>
        <v/>
      </c>
      <c r="K18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6" s="37"/>
      <c r="O1856" s="37"/>
      <c r="P1856" s="37"/>
    </row>
    <row r="1857" spans="2:16" x14ac:dyDescent="0.25">
      <c r="B18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7" s="46"/>
      <c r="D1857" s="37"/>
      <c r="E1857" s="37"/>
      <c r="F1857" s="37"/>
      <c r="G1857" s="40" t="str">
        <f>IF(tblMovimientos[[#This Row],[Producto]]="","",TRIM(LEFT(tblMovimientos[[#This Row],[Producto]],FIND(" · ",tblMovimientos[[#This Row],[Producto]]&amp;" · ")-1)))</f>
        <v/>
      </c>
      <c r="H1857" s="40" t="str">
        <f>IF(tblMovimientos[[#This Row],[SKU]]="","",IFERROR(INDEX(tblProductos[Unidad],MATCH(tblMovimientos[[#This Row],[SKU]],tblProductos[SKU],0)),"?"))</f>
        <v/>
      </c>
      <c r="I1857" s="39"/>
      <c r="J1857" s="47" t="str">
        <f>IF(tblMovimientos[[#This Row],[Tipo]]="","",IFERROR(INDEX(tblTiposMov[FactorStock],MATCH(tblMovimientos[[#This Row],[Tipo]],tblTiposMov[Tipo],0)),0))</f>
        <v/>
      </c>
      <c r="K18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7" s="37"/>
      <c r="O1857" s="37"/>
      <c r="P1857" s="37"/>
    </row>
    <row r="1858" spans="2:16" x14ac:dyDescent="0.25">
      <c r="B18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8" s="46"/>
      <c r="D1858" s="37"/>
      <c r="E1858" s="37"/>
      <c r="F1858" s="37"/>
      <c r="G1858" s="40" t="str">
        <f>IF(tblMovimientos[[#This Row],[Producto]]="","",TRIM(LEFT(tblMovimientos[[#This Row],[Producto]],FIND(" · ",tblMovimientos[[#This Row],[Producto]]&amp;" · ")-1)))</f>
        <v/>
      </c>
      <c r="H1858" s="40" t="str">
        <f>IF(tblMovimientos[[#This Row],[SKU]]="","",IFERROR(INDEX(tblProductos[Unidad],MATCH(tblMovimientos[[#This Row],[SKU]],tblProductos[SKU],0)),"?"))</f>
        <v/>
      </c>
      <c r="I1858" s="39"/>
      <c r="J1858" s="47" t="str">
        <f>IF(tblMovimientos[[#This Row],[Tipo]]="","",IFERROR(INDEX(tblTiposMov[FactorStock],MATCH(tblMovimientos[[#This Row],[Tipo]],tblTiposMov[Tipo],0)),0))</f>
        <v/>
      </c>
      <c r="K18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8" s="37"/>
      <c r="O1858" s="37"/>
      <c r="P1858" s="37"/>
    </row>
    <row r="1859" spans="2:16" x14ac:dyDescent="0.25">
      <c r="B18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59" s="46"/>
      <c r="D1859" s="37"/>
      <c r="E1859" s="37"/>
      <c r="F1859" s="37"/>
      <c r="G1859" s="40" t="str">
        <f>IF(tblMovimientos[[#This Row],[Producto]]="","",TRIM(LEFT(tblMovimientos[[#This Row],[Producto]],FIND(" · ",tblMovimientos[[#This Row],[Producto]]&amp;" · ")-1)))</f>
        <v/>
      </c>
      <c r="H1859" s="40" t="str">
        <f>IF(tblMovimientos[[#This Row],[SKU]]="","",IFERROR(INDEX(tblProductos[Unidad],MATCH(tblMovimientos[[#This Row],[SKU]],tblProductos[SKU],0)),"?"))</f>
        <v/>
      </c>
      <c r="I1859" s="39"/>
      <c r="J1859" s="47" t="str">
        <f>IF(tblMovimientos[[#This Row],[Tipo]]="","",IFERROR(INDEX(tblTiposMov[FactorStock],MATCH(tblMovimientos[[#This Row],[Tipo]],tblTiposMov[Tipo],0)),0))</f>
        <v/>
      </c>
      <c r="K18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59" s="37"/>
      <c r="O1859" s="37"/>
      <c r="P1859" s="37"/>
    </row>
    <row r="1860" spans="2:16" x14ac:dyDescent="0.25">
      <c r="B18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0" s="46"/>
      <c r="D1860" s="37"/>
      <c r="E1860" s="37"/>
      <c r="F1860" s="37"/>
      <c r="G1860" s="40" t="str">
        <f>IF(tblMovimientos[[#This Row],[Producto]]="","",TRIM(LEFT(tblMovimientos[[#This Row],[Producto]],FIND(" · ",tblMovimientos[[#This Row],[Producto]]&amp;" · ")-1)))</f>
        <v/>
      </c>
      <c r="H1860" s="40" t="str">
        <f>IF(tblMovimientos[[#This Row],[SKU]]="","",IFERROR(INDEX(tblProductos[Unidad],MATCH(tblMovimientos[[#This Row],[SKU]],tblProductos[SKU],0)),"?"))</f>
        <v/>
      </c>
      <c r="I1860" s="39"/>
      <c r="J1860" s="47" t="str">
        <f>IF(tblMovimientos[[#This Row],[Tipo]]="","",IFERROR(INDEX(tblTiposMov[FactorStock],MATCH(tblMovimientos[[#This Row],[Tipo]],tblTiposMov[Tipo],0)),0))</f>
        <v/>
      </c>
      <c r="K18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0" s="37"/>
      <c r="O1860" s="37"/>
      <c r="P1860" s="37"/>
    </row>
    <row r="1861" spans="2:16" x14ac:dyDescent="0.25">
      <c r="B18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1" s="46"/>
      <c r="D1861" s="37"/>
      <c r="E1861" s="37"/>
      <c r="F1861" s="37"/>
      <c r="G1861" s="40" t="str">
        <f>IF(tblMovimientos[[#This Row],[Producto]]="","",TRIM(LEFT(tblMovimientos[[#This Row],[Producto]],FIND(" · ",tblMovimientos[[#This Row],[Producto]]&amp;" · ")-1)))</f>
        <v/>
      </c>
      <c r="H1861" s="40" t="str">
        <f>IF(tblMovimientos[[#This Row],[SKU]]="","",IFERROR(INDEX(tblProductos[Unidad],MATCH(tblMovimientos[[#This Row],[SKU]],tblProductos[SKU],0)),"?"))</f>
        <v/>
      </c>
      <c r="I1861" s="39"/>
      <c r="J1861" s="47" t="str">
        <f>IF(tblMovimientos[[#This Row],[Tipo]]="","",IFERROR(INDEX(tblTiposMov[FactorStock],MATCH(tblMovimientos[[#This Row],[Tipo]],tblTiposMov[Tipo],0)),0))</f>
        <v/>
      </c>
      <c r="K18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1" s="37"/>
      <c r="O1861" s="37"/>
      <c r="P1861" s="37"/>
    </row>
    <row r="1862" spans="2:16" x14ac:dyDescent="0.25">
      <c r="B18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2" s="46"/>
      <c r="D1862" s="37"/>
      <c r="E1862" s="37"/>
      <c r="F1862" s="37"/>
      <c r="G1862" s="40" t="str">
        <f>IF(tblMovimientos[[#This Row],[Producto]]="","",TRIM(LEFT(tblMovimientos[[#This Row],[Producto]],FIND(" · ",tblMovimientos[[#This Row],[Producto]]&amp;" · ")-1)))</f>
        <v/>
      </c>
      <c r="H1862" s="40" t="str">
        <f>IF(tblMovimientos[[#This Row],[SKU]]="","",IFERROR(INDEX(tblProductos[Unidad],MATCH(tblMovimientos[[#This Row],[SKU]],tblProductos[SKU],0)),"?"))</f>
        <v/>
      </c>
      <c r="I1862" s="39"/>
      <c r="J1862" s="47" t="str">
        <f>IF(tblMovimientos[[#This Row],[Tipo]]="","",IFERROR(INDEX(tblTiposMov[FactorStock],MATCH(tblMovimientos[[#This Row],[Tipo]],tblTiposMov[Tipo],0)),0))</f>
        <v/>
      </c>
      <c r="K18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2" s="37"/>
      <c r="O1862" s="37"/>
      <c r="P1862" s="37"/>
    </row>
    <row r="1863" spans="2:16" x14ac:dyDescent="0.25">
      <c r="B18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3" s="46"/>
      <c r="D1863" s="37"/>
      <c r="E1863" s="37"/>
      <c r="F1863" s="37"/>
      <c r="G1863" s="40" t="str">
        <f>IF(tblMovimientos[[#This Row],[Producto]]="","",TRIM(LEFT(tblMovimientos[[#This Row],[Producto]],FIND(" · ",tblMovimientos[[#This Row],[Producto]]&amp;" · ")-1)))</f>
        <v/>
      </c>
      <c r="H1863" s="40" t="str">
        <f>IF(tblMovimientos[[#This Row],[SKU]]="","",IFERROR(INDEX(tblProductos[Unidad],MATCH(tblMovimientos[[#This Row],[SKU]],tblProductos[SKU],0)),"?"))</f>
        <v/>
      </c>
      <c r="I1863" s="39"/>
      <c r="J1863" s="47" t="str">
        <f>IF(tblMovimientos[[#This Row],[Tipo]]="","",IFERROR(INDEX(tblTiposMov[FactorStock],MATCH(tblMovimientos[[#This Row],[Tipo]],tblTiposMov[Tipo],0)),0))</f>
        <v/>
      </c>
      <c r="K18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3" s="37"/>
      <c r="O1863" s="37"/>
      <c r="P1863" s="37"/>
    </row>
    <row r="1864" spans="2:16" x14ac:dyDescent="0.25">
      <c r="B18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4" s="46"/>
      <c r="D1864" s="37"/>
      <c r="E1864" s="37"/>
      <c r="F1864" s="37"/>
      <c r="G1864" s="40" t="str">
        <f>IF(tblMovimientos[[#This Row],[Producto]]="","",TRIM(LEFT(tblMovimientos[[#This Row],[Producto]],FIND(" · ",tblMovimientos[[#This Row],[Producto]]&amp;" · ")-1)))</f>
        <v/>
      </c>
      <c r="H1864" s="40" t="str">
        <f>IF(tblMovimientos[[#This Row],[SKU]]="","",IFERROR(INDEX(tblProductos[Unidad],MATCH(tblMovimientos[[#This Row],[SKU]],tblProductos[SKU],0)),"?"))</f>
        <v/>
      </c>
      <c r="I1864" s="39"/>
      <c r="J1864" s="47" t="str">
        <f>IF(tblMovimientos[[#This Row],[Tipo]]="","",IFERROR(INDEX(tblTiposMov[FactorStock],MATCH(tblMovimientos[[#This Row],[Tipo]],tblTiposMov[Tipo],0)),0))</f>
        <v/>
      </c>
      <c r="K18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4" s="37"/>
      <c r="O1864" s="37"/>
      <c r="P1864" s="37"/>
    </row>
    <row r="1865" spans="2:16" x14ac:dyDescent="0.25">
      <c r="B18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5" s="46"/>
      <c r="D1865" s="37"/>
      <c r="E1865" s="37"/>
      <c r="F1865" s="37"/>
      <c r="G1865" s="40" t="str">
        <f>IF(tblMovimientos[[#This Row],[Producto]]="","",TRIM(LEFT(tblMovimientos[[#This Row],[Producto]],FIND(" · ",tblMovimientos[[#This Row],[Producto]]&amp;" · ")-1)))</f>
        <v/>
      </c>
      <c r="H1865" s="40" t="str">
        <f>IF(tblMovimientos[[#This Row],[SKU]]="","",IFERROR(INDEX(tblProductos[Unidad],MATCH(tblMovimientos[[#This Row],[SKU]],tblProductos[SKU],0)),"?"))</f>
        <v/>
      </c>
      <c r="I1865" s="39"/>
      <c r="J1865" s="47" t="str">
        <f>IF(tblMovimientos[[#This Row],[Tipo]]="","",IFERROR(INDEX(tblTiposMov[FactorStock],MATCH(tblMovimientos[[#This Row],[Tipo]],tblTiposMov[Tipo],0)),0))</f>
        <v/>
      </c>
      <c r="K18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5" s="37"/>
      <c r="O1865" s="37"/>
      <c r="P1865" s="37"/>
    </row>
    <row r="1866" spans="2:16" x14ac:dyDescent="0.25">
      <c r="B18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6" s="46"/>
      <c r="D1866" s="37"/>
      <c r="E1866" s="37"/>
      <c r="F1866" s="37"/>
      <c r="G1866" s="40" t="str">
        <f>IF(tblMovimientos[[#This Row],[Producto]]="","",TRIM(LEFT(tblMovimientos[[#This Row],[Producto]],FIND(" · ",tblMovimientos[[#This Row],[Producto]]&amp;" · ")-1)))</f>
        <v/>
      </c>
      <c r="H1866" s="40" t="str">
        <f>IF(tblMovimientos[[#This Row],[SKU]]="","",IFERROR(INDEX(tblProductos[Unidad],MATCH(tblMovimientos[[#This Row],[SKU]],tblProductos[SKU],0)),"?"))</f>
        <v/>
      </c>
      <c r="I1866" s="39"/>
      <c r="J1866" s="47" t="str">
        <f>IF(tblMovimientos[[#This Row],[Tipo]]="","",IFERROR(INDEX(tblTiposMov[FactorStock],MATCH(tblMovimientos[[#This Row],[Tipo]],tblTiposMov[Tipo],0)),0))</f>
        <v/>
      </c>
      <c r="K18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6" s="37"/>
      <c r="O1866" s="37"/>
      <c r="P1866" s="37"/>
    </row>
    <row r="1867" spans="2:16" x14ac:dyDescent="0.25">
      <c r="B18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7" s="46"/>
      <c r="D1867" s="37"/>
      <c r="E1867" s="37"/>
      <c r="F1867" s="37"/>
      <c r="G1867" s="40" t="str">
        <f>IF(tblMovimientos[[#This Row],[Producto]]="","",TRIM(LEFT(tblMovimientos[[#This Row],[Producto]],FIND(" · ",tblMovimientos[[#This Row],[Producto]]&amp;" · ")-1)))</f>
        <v/>
      </c>
      <c r="H1867" s="40" t="str">
        <f>IF(tblMovimientos[[#This Row],[SKU]]="","",IFERROR(INDEX(tblProductos[Unidad],MATCH(tblMovimientos[[#This Row],[SKU]],tblProductos[SKU],0)),"?"))</f>
        <v/>
      </c>
      <c r="I1867" s="39"/>
      <c r="J1867" s="47" t="str">
        <f>IF(tblMovimientos[[#This Row],[Tipo]]="","",IFERROR(INDEX(tblTiposMov[FactorStock],MATCH(tblMovimientos[[#This Row],[Tipo]],tblTiposMov[Tipo],0)),0))</f>
        <v/>
      </c>
      <c r="K18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7" s="37"/>
      <c r="O1867" s="37"/>
      <c r="P1867" s="37"/>
    </row>
    <row r="1868" spans="2:16" x14ac:dyDescent="0.25">
      <c r="B18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8" s="46"/>
      <c r="D1868" s="37"/>
      <c r="E1868" s="37"/>
      <c r="F1868" s="37"/>
      <c r="G1868" s="40" t="str">
        <f>IF(tblMovimientos[[#This Row],[Producto]]="","",TRIM(LEFT(tblMovimientos[[#This Row],[Producto]],FIND(" · ",tblMovimientos[[#This Row],[Producto]]&amp;" · ")-1)))</f>
        <v/>
      </c>
      <c r="H1868" s="40" t="str">
        <f>IF(tblMovimientos[[#This Row],[SKU]]="","",IFERROR(INDEX(tblProductos[Unidad],MATCH(tblMovimientos[[#This Row],[SKU]],tblProductos[SKU],0)),"?"))</f>
        <v/>
      </c>
      <c r="I1868" s="39"/>
      <c r="J1868" s="47" t="str">
        <f>IF(tblMovimientos[[#This Row],[Tipo]]="","",IFERROR(INDEX(tblTiposMov[FactorStock],MATCH(tblMovimientos[[#This Row],[Tipo]],tblTiposMov[Tipo],0)),0))</f>
        <v/>
      </c>
      <c r="K18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8" s="37"/>
      <c r="O1868" s="37"/>
      <c r="P1868" s="37"/>
    </row>
    <row r="1869" spans="2:16" x14ac:dyDescent="0.25">
      <c r="B18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69" s="46"/>
      <c r="D1869" s="37"/>
      <c r="E1869" s="37"/>
      <c r="F1869" s="37"/>
      <c r="G1869" s="40" t="str">
        <f>IF(tblMovimientos[[#This Row],[Producto]]="","",TRIM(LEFT(tblMovimientos[[#This Row],[Producto]],FIND(" · ",tblMovimientos[[#This Row],[Producto]]&amp;" · ")-1)))</f>
        <v/>
      </c>
      <c r="H1869" s="40" t="str">
        <f>IF(tblMovimientos[[#This Row],[SKU]]="","",IFERROR(INDEX(tblProductos[Unidad],MATCH(tblMovimientos[[#This Row],[SKU]],tblProductos[SKU],0)),"?"))</f>
        <v/>
      </c>
      <c r="I1869" s="39"/>
      <c r="J1869" s="47" t="str">
        <f>IF(tblMovimientos[[#This Row],[Tipo]]="","",IFERROR(INDEX(tblTiposMov[FactorStock],MATCH(tblMovimientos[[#This Row],[Tipo]],tblTiposMov[Tipo],0)),0))</f>
        <v/>
      </c>
      <c r="K18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69" s="37"/>
      <c r="O1869" s="37"/>
      <c r="P1869" s="37"/>
    </row>
    <row r="1870" spans="2:16" x14ac:dyDescent="0.25">
      <c r="B18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0" s="46"/>
      <c r="D1870" s="37"/>
      <c r="E1870" s="37"/>
      <c r="F1870" s="37"/>
      <c r="G1870" s="40" t="str">
        <f>IF(tblMovimientos[[#This Row],[Producto]]="","",TRIM(LEFT(tblMovimientos[[#This Row],[Producto]],FIND(" · ",tblMovimientos[[#This Row],[Producto]]&amp;" · ")-1)))</f>
        <v/>
      </c>
      <c r="H1870" s="40" t="str">
        <f>IF(tblMovimientos[[#This Row],[SKU]]="","",IFERROR(INDEX(tblProductos[Unidad],MATCH(tblMovimientos[[#This Row],[SKU]],tblProductos[SKU],0)),"?"))</f>
        <v/>
      </c>
      <c r="I1870" s="39"/>
      <c r="J1870" s="47" t="str">
        <f>IF(tblMovimientos[[#This Row],[Tipo]]="","",IFERROR(INDEX(tblTiposMov[FactorStock],MATCH(tblMovimientos[[#This Row],[Tipo]],tblTiposMov[Tipo],0)),0))</f>
        <v/>
      </c>
      <c r="K18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0" s="37"/>
      <c r="O1870" s="37"/>
      <c r="P1870" s="37"/>
    </row>
    <row r="1871" spans="2:16" x14ac:dyDescent="0.25">
      <c r="B18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1" s="46"/>
      <c r="D1871" s="37"/>
      <c r="E1871" s="37"/>
      <c r="F1871" s="37"/>
      <c r="G1871" s="40" t="str">
        <f>IF(tblMovimientos[[#This Row],[Producto]]="","",TRIM(LEFT(tblMovimientos[[#This Row],[Producto]],FIND(" · ",tblMovimientos[[#This Row],[Producto]]&amp;" · ")-1)))</f>
        <v/>
      </c>
      <c r="H1871" s="40" t="str">
        <f>IF(tblMovimientos[[#This Row],[SKU]]="","",IFERROR(INDEX(tblProductos[Unidad],MATCH(tblMovimientos[[#This Row],[SKU]],tblProductos[SKU],0)),"?"))</f>
        <v/>
      </c>
      <c r="I1871" s="39"/>
      <c r="J1871" s="47" t="str">
        <f>IF(tblMovimientos[[#This Row],[Tipo]]="","",IFERROR(INDEX(tblTiposMov[FactorStock],MATCH(tblMovimientos[[#This Row],[Tipo]],tblTiposMov[Tipo],0)),0))</f>
        <v/>
      </c>
      <c r="K18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1" s="37"/>
      <c r="O1871" s="37"/>
      <c r="P1871" s="37"/>
    </row>
    <row r="1872" spans="2:16" x14ac:dyDescent="0.25">
      <c r="B18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2" s="46"/>
      <c r="D1872" s="37"/>
      <c r="E1872" s="37"/>
      <c r="F1872" s="37"/>
      <c r="G1872" s="40" t="str">
        <f>IF(tblMovimientos[[#This Row],[Producto]]="","",TRIM(LEFT(tblMovimientos[[#This Row],[Producto]],FIND(" · ",tblMovimientos[[#This Row],[Producto]]&amp;" · ")-1)))</f>
        <v/>
      </c>
      <c r="H1872" s="40" t="str">
        <f>IF(tblMovimientos[[#This Row],[SKU]]="","",IFERROR(INDEX(tblProductos[Unidad],MATCH(tblMovimientos[[#This Row],[SKU]],tblProductos[SKU],0)),"?"))</f>
        <v/>
      </c>
      <c r="I1872" s="39"/>
      <c r="J1872" s="47" t="str">
        <f>IF(tblMovimientos[[#This Row],[Tipo]]="","",IFERROR(INDEX(tblTiposMov[FactorStock],MATCH(tblMovimientos[[#This Row],[Tipo]],tblTiposMov[Tipo],0)),0))</f>
        <v/>
      </c>
      <c r="K18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2" s="37"/>
      <c r="O1872" s="37"/>
      <c r="P1872" s="37"/>
    </row>
    <row r="1873" spans="2:16" x14ac:dyDescent="0.25">
      <c r="B18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3" s="46"/>
      <c r="D1873" s="37"/>
      <c r="E1873" s="37"/>
      <c r="F1873" s="37"/>
      <c r="G1873" s="40" t="str">
        <f>IF(tblMovimientos[[#This Row],[Producto]]="","",TRIM(LEFT(tblMovimientos[[#This Row],[Producto]],FIND(" · ",tblMovimientos[[#This Row],[Producto]]&amp;" · ")-1)))</f>
        <v/>
      </c>
      <c r="H1873" s="40" t="str">
        <f>IF(tblMovimientos[[#This Row],[SKU]]="","",IFERROR(INDEX(tblProductos[Unidad],MATCH(tblMovimientos[[#This Row],[SKU]],tblProductos[SKU],0)),"?"))</f>
        <v/>
      </c>
      <c r="I1873" s="39"/>
      <c r="J1873" s="47" t="str">
        <f>IF(tblMovimientos[[#This Row],[Tipo]]="","",IFERROR(INDEX(tblTiposMov[FactorStock],MATCH(tblMovimientos[[#This Row],[Tipo]],tblTiposMov[Tipo],0)),0))</f>
        <v/>
      </c>
      <c r="K18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3" s="37"/>
      <c r="O1873" s="37"/>
      <c r="P1873" s="37"/>
    </row>
    <row r="1874" spans="2:16" x14ac:dyDescent="0.25">
      <c r="B18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4" s="46"/>
      <c r="D1874" s="37"/>
      <c r="E1874" s="37"/>
      <c r="F1874" s="37"/>
      <c r="G1874" s="40" t="str">
        <f>IF(tblMovimientos[[#This Row],[Producto]]="","",TRIM(LEFT(tblMovimientos[[#This Row],[Producto]],FIND(" · ",tblMovimientos[[#This Row],[Producto]]&amp;" · ")-1)))</f>
        <v/>
      </c>
      <c r="H1874" s="40" t="str">
        <f>IF(tblMovimientos[[#This Row],[SKU]]="","",IFERROR(INDEX(tblProductos[Unidad],MATCH(tblMovimientos[[#This Row],[SKU]],tblProductos[SKU],0)),"?"))</f>
        <v/>
      </c>
      <c r="I1874" s="39"/>
      <c r="J1874" s="47" t="str">
        <f>IF(tblMovimientos[[#This Row],[Tipo]]="","",IFERROR(INDEX(tblTiposMov[FactorStock],MATCH(tblMovimientos[[#This Row],[Tipo]],tblTiposMov[Tipo],0)),0))</f>
        <v/>
      </c>
      <c r="K18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4" s="37"/>
      <c r="O1874" s="37"/>
      <c r="P1874" s="37"/>
    </row>
    <row r="1875" spans="2:16" x14ac:dyDescent="0.25">
      <c r="B18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5" s="46"/>
      <c r="D1875" s="37"/>
      <c r="E1875" s="37"/>
      <c r="F1875" s="37"/>
      <c r="G1875" s="40" t="str">
        <f>IF(tblMovimientos[[#This Row],[Producto]]="","",TRIM(LEFT(tblMovimientos[[#This Row],[Producto]],FIND(" · ",tblMovimientos[[#This Row],[Producto]]&amp;" · ")-1)))</f>
        <v/>
      </c>
      <c r="H1875" s="40" t="str">
        <f>IF(tblMovimientos[[#This Row],[SKU]]="","",IFERROR(INDEX(tblProductos[Unidad],MATCH(tblMovimientos[[#This Row],[SKU]],tblProductos[SKU],0)),"?"))</f>
        <v/>
      </c>
      <c r="I1875" s="39"/>
      <c r="J1875" s="47" t="str">
        <f>IF(tblMovimientos[[#This Row],[Tipo]]="","",IFERROR(INDEX(tblTiposMov[FactorStock],MATCH(tblMovimientos[[#This Row],[Tipo]],tblTiposMov[Tipo],0)),0))</f>
        <v/>
      </c>
      <c r="K18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5" s="37"/>
      <c r="O1875" s="37"/>
      <c r="P1875" s="37"/>
    </row>
    <row r="1876" spans="2:16" x14ac:dyDescent="0.25">
      <c r="B18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6" s="46"/>
      <c r="D1876" s="37"/>
      <c r="E1876" s="37"/>
      <c r="F1876" s="37"/>
      <c r="G1876" s="40" t="str">
        <f>IF(tblMovimientos[[#This Row],[Producto]]="","",TRIM(LEFT(tblMovimientos[[#This Row],[Producto]],FIND(" · ",tblMovimientos[[#This Row],[Producto]]&amp;" · ")-1)))</f>
        <v/>
      </c>
      <c r="H1876" s="40" t="str">
        <f>IF(tblMovimientos[[#This Row],[SKU]]="","",IFERROR(INDEX(tblProductos[Unidad],MATCH(tblMovimientos[[#This Row],[SKU]],tblProductos[SKU],0)),"?"))</f>
        <v/>
      </c>
      <c r="I1876" s="39"/>
      <c r="J1876" s="47" t="str">
        <f>IF(tblMovimientos[[#This Row],[Tipo]]="","",IFERROR(INDEX(tblTiposMov[FactorStock],MATCH(tblMovimientos[[#This Row],[Tipo]],tblTiposMov[Tipo],0)),0))</f>
        <v/>
      </c>
      <c r="K18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6" s="37"/>
      <c r="O1876" s="37"/>
      <c r="P1876" s="37"/>
    </row>
    <row r="1877" spans="2:16" x14ac:dyDescent="0.25">
      <c r="B18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7" s="46"/>
      <c r="D1877" s="37"/>
      <c r="E1877" s="37"/>
      <c r="F1877" s="37"/>
      <c r="G1877" s="40" t="str">
        <f>IF(tblMovimientos[[#This Row],[Producto]]="","",TRIM(LEFT(tblMovimientos[[#This Row],[Producto]],FIND(" · ",tblMovimientos[[#This Row],[Producto]]&amp;" · ")-1)))</f>
        <v/>
      </c>
      <c r="H1877" s="40" t="str">
        <f>IF(tblMovimientos[[#This Row],[SKU]]="","",IFERROR(INDEX(tblProductos[Unidad],MATCH(tblMovimientos[[#This Row],[SKU]],tblProductos[SKU],0)),"?"))</f>
        <v/>
      </c>
      <c r="I1877" s="39"/>
      <c r="J1877" s="47" t="str">
        <f>IF(tblMovimientos[[#This Row],[Tipo]]="","",IFERROR(INDEX(tblTiposMov[FactorStock],MATCH(tblMovimientos[[#This Row],[Tipo]],tblTiposMov[Tipo],0)),0))</f>
        <v/>
      </c>
      <c r="K18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7" s="37"/>
      <c r="O1877" s="37"/>
      <c r="P1877" s="37"/>
    </row>
    <row r="1878" spans="2:16" x14ac:dyDescent="0.25">
      <c r="B18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8" s="46"/>
      <c r="D1878" s="37"/>
      <c r="E1878" s="37"/>
      <c r="F1878" s="37"/>
      <c r="G1878" s="40" t="str">
        <f>IF(tblMovimientos[[#This Row],[Producto]]="","",TRIM(LEFT(tblMovimientos[[#This Row],[Producto]],FIND(" · ",tblMovimientos[[#This Row],[Producto]]&amp;" · ")-1)))</f>
        <v/>
      </c>
      <c r="H1878" s="40" t="str">
        <f>IF(tblMovimientos[[#This Row],[SKU]]="","",IFERROR(INDEX(tblProductos[Unidad],MATCH(tblMovimientos[[#This Row],[SKU]],tblProductos[SKU],0)),"?"))</f>
        <v/>
      </c>
      <c r="I1878" s="39"/>
      <c r="J1878" s="47" t="str">
        <f>IF(tblMovimientos[[#This Row],[Tipo]]="","",IFERROR(INDEX(tblTiposMov[FactorStock],MATCH(tblMovimientos[[#This Row],[Tipo]],tblTiposMov[Tipo],0)),0))</f>
        <v/>
      </c>
      <c r="K18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8" s="37"/>
      <c r="O1878" s="37"/>
      <c r="P1878" s="37"/>
    </row>
    <row r="1879" spans="2:16" x14ac:dyDescent="0.25">
      <c r="B18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79" s="46"/>
      <c r="D1879" s="37"/>
      <c r="E1879" s="37"/>
      <c r="F1879" s="37"/>
      <c r="G1879" s="40" t="str">
        <f>IF(tblMovimientos[[#This Row],[Producto]]="","",TRIM(LEFT(tblMovimientos[[#This Row],[Producto]],FIND(" · ",tblMovimientos[[#This Row],[Producto]]&amp;" · ")-1)))</f>
        <v/>
      </c>
      <c r="H1879" s="40" t="str">
        <f>IF(tblMovimientos[[#This Row],[SKU]]="","",IFERROR(INDEX(tblProductos[Unidad],MATCH(tblMovimientos[[#This Row],[SKU]],tblProductos[SKU],0)),"?"))</f>
        <v/>
      </c>
      <c r="I1879" s="39"/>
      <c r="J1879" s="47" t="str">
        <f>IF(tblMovimientos[[#This Row],[Tipo]]="","",IFERROR(INDEX(tblTiposMov[FactorStock],MATCH(tblMovimientos[[#This Row],[Tipo]],tblTiposMov[Tipo],0)),0))</f>
        <v/>
      </c>
      <c r="K18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79" s="37"/>
      <c r="O1879" s="37"/>
      <c r="P1879" s="37"/>
    </row>
    <row r="1880" spans="2:16" x14ac:dyDescent="0.25">
      <c r="B18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0" s="46"/>
      <c r="D1880" s="37"/>
      <c r="E1880" s="37"/>
      <c r="F1880" s="37"/>
      <c r="G1880" s="40" t="str">
        <f>IF(tblMovimientos[[#This Row],[Producto]]="","",TRIM(LEFT(tblMovimientos[[#This Row],[Producto]],FIND(" · ",tblMovimientos[[#This Row],[Producto]]&amp;" · ")-1)))</f>
        <v/>
      </c>
      <c r="H1880" s="40" t="str">
        <f>IF(tblMovimientos[[#This Row],[SKU]]="","",IFERROR(INDEX(tblProductos[Unidad],MATCH(tblMovimientos[[#This Row],[SKU]],tblProductos[SKU],0)),"?"))</f>
        <v/>
      </c>
      <c r="I1880" s="39"/>
      <c r="J1880" s="47" t="str">
        <f>IF(tblMovimientos[[#This Row],[Tipo]]="","",IFERROR(INDEX(tblTiposMov[FactorStock],MATCH(tblMovimientos[[#This Row],[Tipo]],tblTiposMov[Tipo],0)),0))</f>
        <v/>
      </c>
      <c r="K18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0" s="37"/>
      <c r="O1880" s="37"/>
      <c r="P1880" s="37"/>
    </row>
    <row r="1881" spans="2:16" x14ac:dyDescent="0.25">
      <c r="B18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1" s="46"/>
      <c r="D1881" s="37"/>
      <c r="E1881" s="37"/>
      <c r="F1881" s="37"/>
      <c r="G1881" s="40" t="str">
        <f>IF(tblMovimientos[[#This Row],[Producto]]="","",TRIM(LEFT(tblMovimientos[[#This Row],[Producto]],FIND(" · ",tblMovimientos[[#This Row],[Producto]]&amp;" · ")-1)))</f>
        <v/>
      </c>
      <c r="H1881" s="40" t="str">
        <f>IF(tblMovimientos[[#This Row],[SKU]]="","",IFERROR(INDEX(tblProductos[Unidad],MATCH(tblMovimientos[[#This Row],[SKU]],tblProductos[SKU],0)),"?"))</f>
        <v/>
      </c>
      <c r="I1881" s="39"/>
      <c r="J1881" s="47" t="str">
        <f>IF(tblMovimientos[[#This Row],[Tipo]]="","",IFERROR(INDEX(tblTiposMov[FactorStock],MATCH(tblMovimientos[[#This Row],[Tipo]],tblTiposMov[Tipo],0)),0))</f>
        <v/>
      </c>
      <c r="K18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1" s="37"/>
      <c r="O1881" s="37"/>
      <c r="P1881" s="37"/>
    </row>
    <row r="1882" spans="2:16" x14ac:dyDescent="0.25">
      <c r="B18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2" s="46"/>
      <c r="D1882" s="37"/>
      <c r="E1882" s="37"/>
      <c r="F1882" s="37"/>
      <c r="G1882" s="40" t="str">
        <f>IF(tblMovimientos[[#This Row],[Producto]]="","",TRIM(LEFT(tblMovimientos[[#This Row],[Producto]],FIND(" · ",tblMovimientos[[#This Row],[Producto]]&amp;" · ")-1)))</f>
        <v/>
      </c>
      <c r="H1882" s="40" t="str">
        <f>IF(tblMovimientos[[#This Row],[SKU]]="","",IFERROR(INDEX(tblProductos[Unidad],MATCH(tblMovimientos[[#This Row],[SKU]],tblProductos[SKU],0)),"?"))</f>
        <v/>
      </c>
      <c r="I1882" s="39"/>
      <c r="J1882" s="47" t="str">
        <f>IF(tblMovimientos[[#This Row],[Tipo]]="","",IFERROR(INDEX(tblTiposMov[FactorStock],MATCH(tblMovimientos[[#This Row],[Tipo]],tblTiposMov[Tipo],0)),0))</f>
        <v/>
      </c>
      <c r="K18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2" s="37"/>
      <c r="O1882" s="37"/>
      <c r="P1882" s="37"/>
    </row>
    <row r="1883" spans="2:16" x14ac:dyDescent="0.25">
      <c r="B18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3" s="46"/>
      <c r="D1883" s="37"/>
      <c r="E1883" s="37"/>
      <c r="F1883" s="37"/>
      <c r="G1883" s="40" t="str">
        <f>IF(tblMovimientos[[#This Row],[Producto]]="","",TRIM(LEFT(tblMovimientos[[#This Row],[Producto]],FIND(" · ",tblMovimientos[[#This Row],[Producto]]&amp;" · ")-1)))</f>
        <v/>
      </c>
      <c r="H1883" s="40" t="str">
        <f>IF(tblMovimientos[[#This Row],[SKU]]="","",IFERROR(INDEX(tblProductos[Unidad],MATCH(tblMovimientos[[#This Row],[SKU]],tblProductos[SKU],0)),"?"))</f>
        <v/>
      </c>
      <c r="I1883" s="39"/>
      <c r="J1883" s="47" t="str">
        <f>IF(tblMovimientos[[#This Row],[Tipo]]="","",IFERROR(INDEX(tblTiposMov[FactorStock],MATCH(tblMovimientos[[#This Row],[Tipo]],tblTiposMov[Tipo],0)),0))</f>
        <v/>
      </c>
      <c r="K18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3" s="37"/>
      <c r="O1883" s="37"/>
      <c r="P1883" s="37"/>
    </row>
    <row r="1884" spans="2:16" x14ac:dyDescent="0.25">
      <c r="B18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4" s="46"/>
      <c r="D1884" s="37"/>
      <c r="E1884" s="37"/>
      <c r="F1884" s="37"/>
      <c r="G1884" s="40" t="str">
        <f>IF(tblMovimientos[[#This Row],[Producto]]="","",TRIM(LEFT(tblMovimientos[[#This Row],[Producto]],FIND(" · ",tblMovimientos[[#This Row],[Producto]]&amp;" · ")-1)))</f>
        <v/>
      </c>
      <c r="H1884" s="40" t="str">
        <f>IF(tblMovimientos[[#This Row],[SKU]]="","",IFERROR(INDEX(tblProductos[Unidad],MATCH(tblMovimientos[[#This Row],[SKU]],tblProductos[SKU],0)),"?"))</f>
        <v/>
      </c>
      <c r="I1884" s="39"/>
      <c r="J1884" s="47" t="str">
        <f>IF(tblMovimientos[[#This Row],[Tipo]]="","",IFERROR(INDEX(tblTiposMov[FactorStock],MATCH(tblMovimientos[[#This Row],[Tipo]],tblTiposMov[Tipo],0)),0))</f>
        <v/>
      </c>
      <c r="K18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4" s="37"/>
      <c r="O1884" s="37"/>
      <c r="P1884" s="37"/>
    </row>
    <row r="1885" spans="2:16" x14ac:dyDescent="0.25">
      <c r="B18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5" s="46"/>
      <c r="D1885" s="37"/>
      <c r="E1885" s="37"/>
      <c r="F1885" s="37"/>
      <c r="G1885" s="40" t="str">
        <f>IF(tblMovimientos[[#This Row],[Producto]]="","",TRIM(LEFT(tblMovimientos[[#This Row],[Producto]],FIND(" · ",tblMovimientos[[#This Row],[Producto]]&amp;" · ")-1)))</f>
        <v/>
      </c>
      <c r="H1885" s="40" t="str">
        <f>IF(tblMovimientos[[#This Row],[SKU]]="","",IFERROR(INDEX(tblProductos[Unidad],MATCH(tblMovimientos[[#This Row],[SKU]],tblProductos[SKU],0)),"?"))</f>
        <v/>
      </c>
      <c r="I1885" s="39"/>
      <c r="J1885" s="47" t="str">
        <f>IF(tblMovimientos[[#This Row],[Tipo]]="","",IFERROR(INDEX(tblTiposMov[FactorStock],MATCH(tblMovimientos[[#This Row],[Tipo]],tblTiposMov[Tipo],0)),0))</f>
        <v/>
      </c>
      <c r="K18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5" s="37"/>
      <c r="O1885" s="37"/>
      <c r="P1885" s="37"/>
    </row>
    <row r="1886" spans="2:16" x14ac:dyDescent="0.25">
      <c r="B18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6" s="46"/>
      <c r="D1886" s="37"/>
      <c r="E1886" s="37"/>
      <c r="F1886" s="37"/>
      <c r="G1886" s="40" t="str">
        <f>IF(tblMovimientos[[#This Row],[Producto]]="","",TRIM(LEFT(tblMovimientos[[#This Row],[Producto]],FIND(" · ",tblMovimientos[[#This Row],[Producto]]&amp;" · ")-1)))</f>
        <v/>
      </c>
      <c r="H1886" s="40" t="str">
        <f>IF(tblMovimientos[[#This Row],[SKU]]="","",IFERROR(INDEX(tblProductos[Unidad],MATCH(tblMovimientos[[#This Row],[SKU]],tblProductos[SKU],0)),"?"))</f>
        <v/>
      </c>
      <c r="I1886" s="39"/>
      <c r="J1886" s="47" t="str">
        <f>IF(tblMovimientos[[#This Row],[Tipo]]="","",IFERROR(INDEX(tblTiposMov[FactorStock],MATCH(tblMovimientos[[#This Row],[Tipo]],tblTiposMov[Tipo],0)),0))</f>
        <v/>
      </c>
      <c r="K18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6" s="37"/>
      <c r="O1886" s="37"/>
      <c r="P1886" s="37"/>
    </row>
    <row r="1887" spans="2:16" x14ac:dyDescent="0.25">
      <c r="B18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7" s="46"/>
      <c r="D1887" s="37"/>
      <c r="E1887" s="37"/>
      <c r="F1887" s="37"/>
      <c r="G1887" s="40" t="str">
        <f>IF(tblMovimientos[[#This Row],[Producto]]="","",TRIM(LEFT(tblMovimientos[[#This Row],[Producto]],FIND(" · ",tblMovimientos[[#This Row],[Producto]]&amp;" · ")-1)))</f>
        <v/>
      </c>
      <c r="H1887" s="40" t="str">
        <f>IF(tblMovimientos[[#This Row],[SKU]]="","",IFERROR(INDEX(tblProductos[Unidad],MATCH(tblMovimientos[[#This Row],[SKU]],tblProductos[SKU],0)),"?"))</f>
        <v/>
      </c>
      <c r="I1887" s="39"/>
      <c r="J1887" s="47" t="str">
        <f>IF(tblMovimientos[[#This Row],[Tipo]]="","",IFERROR(INDEX(tblTiposMov[FactorStock],MATCH(tblMovimientos[[#This Row],[Tipo]],tblTiposMov[Tipo],0)),0))</f>
        <v/>
      </c>
      <c r="K18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7" s="37"/>
      <c r="O1887" s="37"/>
      <c r="P1887" s="37"/>
    </row>
    <row r="1888" spans="2:16" x14ac:dyDescent="0.25">
      <c r="B18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8" s="46"/>
      <c r="D1888" s="37"/>
      <c r="E1888" s="37"/>
      <c r="F1888" s="37"/>
      <c r="G1888" s="40" t="str">
        <f>IF(tblMovimientos[[#This Row],[Producto]]="","",TRIM(LEFT(tblMovimientos[[#This Row],[Producto]],FIND(" · ",tblMovimientos[[#This Row],[Producto]]&amp;" · ")-1)))</f>
        <v/>
      </c>
      <c r="H1888" s="40" t="str">
        <f>IF(tblMovimientos[[#This Row],[SKU]]="","",IFERROR(INDEX(tblProductos[Unidad],MATCH(tblMovimientos[[#This Row],[SKU]],tblProductos[SKU],0)),"?"))</f>
        <v/>
      </c>
      <c r="I1888" s="39"/>
      <c r="J1888" s="47" t="str">
        <f>IF(tblMovimientos[[#This Row],[Tipo]]="","",IFERROR(INDEX(tblTiposMov[FactorStock],MATCH(tblMovimientos[[#This Row],[Tipo]],tblTiposMov[Tipo],0)),0))</f>
        <v/>
      </c>
      <c r="K18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8" s="37"/>
      <c r="O1888" s="37"/>
      <c r="P1888" s="37"/>
    </row>
    <row r="1889" spans="2:16" x14ac:dyDescent="0.25">
      <c r="B18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89" s="46"/>
      <c r="D1889" s="37"/>
      <c r="E1889" s="37"/>
      <c r="F1889" s="37"/>
      <c r="G1889" s="40" t="str">
        <f>IF(tblMovimientos[[#This Row],[Producto]]="","",TRIM(LEFT(tblMovimientos[[#This Row],[Producto]],FIND(" · ",tblMovimientos[[#This Row],[Producto]]&amp;" · ")-1)))</f>
        <v/>
      </c>
      <c r="H1889" s="40" t="str">
        <f>IF(tblMovimientos[[#This Row],[SKU]]="","",IFERROR(INDEX(tblProductos[Unidad],MATCH(tblMovimientos[[#This Row],[SKU]],tblProductos[SKU],0)),"?"))</f>
        <v/>
      </c>
      <c r="I1889" s="39"/>
      <c r="J1889" s="47" t="str">
        <f>IF(tblMovimientos[[#This Row],[Tipo]]="","",IFERROR(INDEX(tblTiposMov[FactorStock],MATCH(tblMovimientos[[#This Row],[Tipo]],tblTiposMov[Tipo],0)),0))</f>
        <v/>
      </c>
      <c r="K18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89" s="37"/>
      <c r="O1889" s="37"/>
      <c r="P1889" s="37"/>
    </row>
    <row r="1890" spans="2:16" x14ac:dyDescent="0.25">
      <c r="B18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0" s="46"/>
      <c r="D1890" s="37"/>
      <c r="E1890" s="37"/>
      <c r="F1890" s="37"/>
      <c r="G1890" s="40" t="str">
        <f>IF(tblMovimientos[[#This Row],[Producto]]="","",TRIM(LEFT(tblMovimientos[[#This Row],[Producto]],FIND(" · ",tblMovimientos[[#This Row],[Producto]]&amp;" · ")-1)))</f>
        <v/>
      </c>
      <c r="H1890" s="40" t="str">
        <f>IF(tblMovimientos[[#This Row],[SKU]]="","",IFERROR(INDEX(tblProductos[Unidad],MATCH(tblMovimientos[[#This Row],[SKU]],tblProductos[SKU],0)),"?"))</f>
        <v/>
      </c>
      <c r="I1890" s="39"/>
      <c r="J1890" s="47" t="str">
        <f>IF(tblMovimientos[[#This Row],[Tipo]]="","",IFERROR(INDEX(tblTiposMov[FactorStock],MATCH(tblMovimientos[[#This Row],[Tipo]],tblTiposMov[Tipo],0)),0))</f>
        <v/>
      </c>
      <c r="K18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0" s="37"/>
      <c r="O1890" s="37"/>
      <c r="P1890" s="37"/>
    </row>
    <row r="1891" spans="2:16" x14ac:dyDescent="0.25">
      <c r="B18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1" s="46"/>
      <c r="D1891" s="37"/>
      <c r="E1891" s="37"/>
      <c r="F1891" s="37"/>
      <c r="G1891" s="40" t="str">
        <f>IF(tblMovimientos[[#This Row],[Producto]]="","",TRIM(LEFT(tblMovimientos[[#This Row],[Producto]],FIND(" · ",tblMovimientos[[#This Row],[Producto]]&amp;" · ")-1)))</f>
        <v/>
      </c>
      <c r="H1891" s="40" t="str">
        <f>IF(tblMovimientos[[#This Row],[SKU]]="","",IFERROR(INDEX(tblProductos[Unidad],MATCH(tblMovimientos[[#This Row],[SKU]],tblProductos[SKU],0)),"?"))</f>
        <v/>
      </c>
      <c r="I1891" s="39"/>
      <c r="J1891" s="47" t="str">
        <f>IF(tblMovimientos[[#This Row],[Tipo]]="","",IFERROR(INDEX(tblTiposMov[FactorStock],MATCH(tblMovimientos[[#This Row],[Tipo]],tblTiposMov[Tipo],0)),0))</f>
        <v/>
      </c>
      <c r="K18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1" s="37"/>
      <c r="O1891" s="37"/>
      <c r="P1891" s="37"/>
    </row>
    <row r="1892" spans="2:16" x14ac:dyDescent="0.25">
      <c r="B18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2" s="46"/>
      <c r="D1892" s="37"/>
      <c r="E1892" s="37"/>
      <c r="F1892" s="37"/>
      <c r="G1892" s="40" t="str">
        <f>IF(tblMovimientos[[#This Row],[Producto]]="","",TRIM(LEFT(tblMovimientos[[#This Row],[Producto]],FIND(" · ",tblMovimientos[[#This Row],[Producto]]&amp;" · ")-1)))</f>
        <v/>
      </c>
      <c r="H1892" s="40" t="str">
        <f>IF(tblMovimientos[[#This Row],[SKU]]="","",IFERROR(INDEX(tblProductos[Unidad],MATCH(tblMovimientos[[#This Row],[SKU]],tblProductos[SKU],0)),"?"))</f>
        <v/>
      </c>
      <c r="I1892" s="39"/>
      <c r="J1892" s="47" t="str">
        <f>IF(tblMovimientos[[#This Row],[Tipo]]="","",IFERROR(INDEX(tblTiposMov[FactorStock],MATCH(tblMovimientos[[#This Row],[Tipo]],tblTiposMov[Tipo],0)),0))</f>
        <v/>
      </c>
      <c r="K18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2" s="37"/>
      <c r="O1892" s="37"/>
      <c r="P1892" s="37"/>
    </row>
    <row r="1893" spans="2:16" x14ac:dyDescent="0.25">
      <c r="B18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3" s="46"/>
      <c r="D1893" s="37"/>
      <c r="E1893" s="37"/>
      <c r="F1893" s="37"/>
      <c r="G1893" s="40" t="str">
        <f>IF(tblMovimientos[[#This Row],[Producto]]="","",TRIM(LEFT(tblMovimientos[[#This Row],[Producto]],FIND(" · ",tblMovimientos[[#This Row],[Producto]]&amp;" · ")-1)))</f>
        <v/>
      </c>
      <c r="H1893" s="40" t="str">
        <f>IF(tblMovimientos[[#This Row],[SKU]]="","",IFERROR(INDEX(tblProductos[Unidad],MATCH(tblMovimientos[[#This Row],[SKU]],tblProductos[SKU],0)),"?"))</f>
        <v/>
      </c>
      <c r="I1893" s="39"/>
      <c r="J1893" s="47" t="str">
        <f>IF(tblMovimientos[[#This Row],[Tipo]]="","",IFERROR(INDEX(tblTiposMov[FactorStock],MATCH(tblMovimientos[[#This Row],[Tipo]],tblTiposMov[Tipo],0)),0))</f>
        <v/>
      </c>
      <c r="K18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3" s="37"/>
      <c r="O1893" s="37"/>
      <c r="P1893" s="37"/>
    </row>
    <row r="1894" spans="2:16" x14ac:dyDescent="0.25">
      <c r="B18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4" s="46"/>
      <c r="D1894" s="37"/>
      <c r="E1894" s="37"/>
      <c r="F1894" s="37"/>
      <c r="G1894" s="40" t="str">
        <f>IF(tblMovimientos[[#This Row],[Producto]]="","",TRIM(LEFT(tblMovimientos[[#This Row],[Producto]],FIND(" · ",tblMovimientos[[#This Row],[Producto]]&amp;" · ")-1)))</f>
        <v/>
      </c>
      <c r="H1894" s="40" t="str">
        <f>IF(tblMovimientos[[#This Row],[SKU]]="","",IFERROR(INDEX(tblProductos[Unidad],MATCH(tblMovimientos[[#This Row],[SKU]],tblProductos[SKU],0)),"?"))</f>
        <v/>
      </c>
      <c r="I1894" s="39"/>
      <c r="J1894" s="47" t="str">
        <f>IF(tblMovimientos[[#This Row],[Tipo]]="","",IFERROR(INDEX(tblTiposMov[FactorStock],MATCH(tblMovimientos[[#This Row],[Tipo]],tblTiposMov[Tipo],0)),0))</f>
        <v/>
      </c>
      <c r="K18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4" s="37"/>
      <c r="O1894" s="37"/>
      <c r="P1894" s="37"/>
    </row>
    <row r="1895" spans="2:16" x14ac:dyDescent="0.25">
      <c r="B18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5" s="46"/>
      <c r="D1895" s="37"/>
      <c r="E1895" s="37"/>
      <c r="F1895" s="37"/>
      <c r="G1895" s="40" t="str">
        <f>IF(tblMovimientos[[#This Row],[Producto]]="","",TRIM(LEFT(tblMovimientos[[#This Row],[Producto]],FIND(" · ",tblMovimientos[[#This Row],[Producto]]&amp;" · ")-1)))</f>
        <v/>
      </c>
      <c r="H1895" s="40" t="str">
        <f>IF(tblMovimientos[[#This Row],[SKU]]="","",IFERROR(INDEX(tblProductos[Unidad],MATCH(tblMovimientos[[#This Row],[SKU]],tblProductos[SKU],0)),"?"))</f>
        <v/>
      </c>
      <c r="I1895" s="39"/>
      <c r="J1895" s="47" t="str">
        <f>IF(tblMovimientos[[#This Row],[Tipo]]="","",IFERROR(INDEX(tblTiposMov[FactorStock],MATCH(tblMovimientos[[#This Row],[Tipo]],tblTiposMov[Tipo],0)),0))</f>
        <v/>
      </c>
      <c r="K18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5" s="37"/>
      <c r="O1895" s="37"/>
      <c r="P1895" s="37"/>
    </row>
    <row r="1896" spans="2:16" x14ac:dyDescent="0.25">
      <c r="B18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6" s="46"/>
      <c r="D1896" s="37"/>
      <c r="E1896" s="37"/>
      <c r="F1896" s="37"/>
      <c r="G1896" s="40" t="str">
        <f>IF(tblMovimientos[[#This Row],[Producto]]="","",TRIM(LEFT(tblMovimientos[[#This Row],[Producto]],FIND(" · ",tblMovimientos[[#This Row],[Producto]]&amp;" · ")-1)))</f>
        <v/>
      </c>
      <c r="H1896" s="40" t="str">
        <f>IF(tblMovimientos[[#This Row],[SKU]]="","",IFERROR(INDEX(tblProductos[Unidad],MATCH(tblMovimientos[[#This Row],[SKU]],tblProductos[SKU],0)),"?"))</f>
        <v/>
      </c>
      <c r="I1896" s="39"/>
      <c r="J1896" s="47" t="str">
        <f>IF(tblMovimientos[[#This Row],[Tipo]]="","",IFERROR(INDEX(tblTiposMov[FactorStock],MATCH(tblMovimientos[[#This Row],[Tipo]],tblTiposMov[Tipo],0)),0))</f>
        <v/>
      </c>
      <c r="K18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6" s="37"/>
      <c r="O1896" s="37"/>
      <c r="P1896" s="37"/>
    </row>
    <row r="1897" spans="2:16" x14ac:dyDescent="0.25">
      <c r="B18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7" s="46"/>
      <c r="D1897" s="37"/>
      <c r="E1897" s="37"/>
      <c r="F1897" s="37"/>
      <c r="G1897" s="40" t="str">
        <f>IF(tblMovimientos[[#This Row],[Producto]]="","",TRIM(LEFT(tblMovimientos[[#This Row],[Producto]],FIND(" · ",tblMovimientos[[#This Row],[Producto]]&amp;" · ")-1)))</f>
        <v/>
      </c>
      <c r="H1897" s="40" t="str">
        <f>IF(tblMovimientos[[#This Row],[SKU]]="","",IFERROR(INDEX(tblProductos[Unidad],MATCH(tblMovimientos[[#This Row],[SKU]],tblProductos[SKU],0)),"?"))</f>
        <v/>
      </c>
      <c r="I1897" s="39"/>
      <c r="J1897" s="47" t="str">
        <f>IF(tblMovimientos[[#This Row],[Tipo]]="","",IFERROR(INDEX(tblTiposMov[FactorStock],MATCH(tblMovimientos[[#This Row],[Tipo]],tblTiposMov[Tipo],0)),0))</f>
        <v/>
      </c>
      <c r="K18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7" s="37"/>
      <c r="O1897" s="37"/>
      <c r="P1897" s="37"/>
    </row>
    <row r="1898" spans="2:16" x14ac:dyDescent="0.25">
      <c r="B18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8" s="46"/>
      <c r="D1898" s="37"/>
      <c r="E1898" s="37"/>
      <c r="F1898" s="37"/>
      <c r="G1898" s="40" t="str">
        <f>IF(tblMovimientos[[#This Row],[Producto]]="","",TRIM(LEFT(tblMovimientos[[#This Row],[Producto]],FIND(" · ",tblMovimientos[[#This Row],[Producto]]&amp;" · ")-1)))</f>
        <v/>
      </c>
      <c r="H1898" s="40" t="str">
        <f>IF(tblMovimientos[[#This Row],[SKU]]="","",IFERROR(INDEX(tblProductos[Unidad],MATCH(tblMovimientos[[#This Row],[SKU]],tblProductos[SKU],0)),"?"))</f>
        <v/>
      </c>
      <c r="I1898" s="39"/>
      <c r="J1898" s="47" t="str">
        <f>IF(tblMovimientos[[#This Row],[Tipo]]="","",IFERROR(INDEX(tblTiposMov[FactorStock],MATCH(tblMovimientos[[#This Row],[Tipo]],tblTiposMov[Tipo],0)),0))</f>
        <v/>
      </c>
      <c r="K18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8" s="37"/>
      <c r="O1898" s="37"/>
      <c r="P1898" s="37"/>
    </row>
    <row r="1899" spans="2:16" x14ac:dyDescent="0.25">
      <c r="B18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899" s="46"/>
      <c r="D1899" s="37"/>
      <c r="E1899" s="37"/>
      <c r="F1899" s="37"/>
      <c r="G1899" s="40" t="str">
        <f>IF(tblMovimientos[[#This Row],[Producto]]="","",TRIM(LEFT(tblMovimientos[[#This Row],[Producto]],FIND(" · ",tblMovimientos[[#This Row],[Producto]]&amp;" · ")-1)))</f>
        <v/>
      </c>
      <c r="H1899" s="40" t="str">
        <f>IF(tblMovimientos[[#This Row],[SKU]]="","",IFERROR(INDEX(tblProductos[Unidad],MATCH(tblMovimientos[[#This Row],[SKU]],tblProductos[SKU],0)),"?"))</f>
        <v/>
      </c>
      <c r="I1899" s="39"/>
      <c r="J1899" s="47" t="str">
        <f>IF(tblMovimientos[[#This Row],[Tipo]]="","",IFERROR(INDEX(tblTiposMov[FactorStock],MATCH(tblMovimientos[[#This Row],[Tipo]],tblTiposMov[Tipo],0)),0))</f>
        <v/>
      </c>
      <c r="K18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8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899" s="37"/>
      <c r="O1899" s="37"/>
      <c r="P1899" s="37"/>
    </row>
    <row r="1900" spans="2:16" x14ac:dyDescent="0.25">
      <c r="B19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0" s="46"/>
      <c r="D1900" s="37"/>
      <c r="E1900" s="37"/>
      <c r="F1900" s="37"/>
      <c r="G1900" s="40" t="str">
        <f>IF(tblMovimientos[[#This Row],[Producto]]="","",TRIM(LEFT(tblMovimientos[[#This Row],[Producto]],FIND(" · ",tblMovimientos[[#This Row],[Producto]]&amp;" · ")-1)))</f>
        <v/>
      </c>
      <c r="H1900" s="40" t="str">
        <f>IF(tblMovimientos[[#This Row],[SKU]]="","",IFERROR(INDEX(tblProductos[Unidad],MATCH(tblMovimientos[[#This Row],[SKU]],tblProductos[SKU],0)),"?"))</f>
        <v/>
      </c>
      <c r="I1900" s="39"/>
      <c r="J1900" s="47" t="str">
        <f>IF(tblMovimientos[[#This Row],[Tipo]]="","",IFERROR(INDEX(tblTiposMov[FactorStock],MATCH(tblMovimientos[[#This Row],[Tipo]],tblTiposMov[Tipo],0)),0))</f>
        <v/>
      </c>
      <c r="K19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0" s="37"/>
      <c r="O1900" s="37"/>
      <c r="P1900" s="37"/>
    </row>
    <row r="1901" spans="2:16" x14ac:dyDescent="0.25">
      <c r="B19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1" s="46"/>
      <c r="D1901" s="37"/>
      <c r="E1901" s="37"/>
      <c r="F1901" s="37"/>
      <c r="G1901" s="40" t="str">
        <f>IF(tblMovimientos[[#This Row],[Producto]]="","",TRIM(LEFT(tblMovimientos[[#This Row],[Producto]],FIND(" · ",tblMovimientos[[#This Row],[Producto]]&amp;" · ")-1)))</f>
        <v/>
      </c>
      <c r="H1901" s="40" t="str">
        <f>IF(tblMovimientos[[#This Row],[SKU]]="","",IFERROR(INDEX(tblProductos[Unidad],MATCH(tblMovimientos[[#This Row],[SKU]],tblProductos[SKU],0)),"?"))</f>
        <v/>
      </c>
      <c r="I1901" s="39"/>
      <c r="J1901" s="47" t="str">
        <f>IF(tblMovimientos[[#This Row],[Tipo]]="","",IFERROR(INDEX(tblTiposMov[FactorStock],MATCH(tblMovimientos[[#This Row],[Tipo]],tblTiposMov[Tipo],0)),0))</f>
        <v/>
      </c>
      <c r="K19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1" s="37"/>
      <c r="O1901" s="37"/>
      <c r="P1901" s="37"/>
    </row>
    <row r="1902" spans="2:16" x14ac:dyDescent="0.25">
      <c r="B19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2" s="46"/>
      <c r="D1902" s="37"/>
      <c r="E1902" s="37"/>
      <c r="F1902" s="37"/>
      <c r="G1902" s="40" t="str">
        <f>IF(tblMovimientos[[#This Row],[Producto]]="","",TRIM(LEFT(tblMovimientos[[#This Row],[Producto]],FIND(" · ",tblMovimientos[[#This Row],[Producto]]&amp;" · ")-1)))</f>
        <v/>
      </c>
      <c r="H1902" s="40" t="str">
        <f>IF(tblMovimientos[[#This Row],[SKU]]="","",IFERROR(INDEX(tblProductos[Unidad],MATCH(tblMovimientos[[#This Row],[SKU]],tblProductos[SKU],0)),"?"))</f>
        <v/>
      </c>
      <c r="I1902" s="39"/>
      <c r="J1902" s="47" t="str">
        <f>IF(tblMovimientos[[#This Row],[Tipo]]="","",IFERROR(INDEX(tblTiposMov[FactorStock],MATCH(tblMovimientos[[#This Row],[Tipo]],tblTiposMov[Tipo],0)),0))</f>
        <v/>
      </c>
      <c r="K19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2" s="37"/>
      <c r="O1902" s="37"/>
      <c r="P1902" s="37"/>
    </row>
    <row r="1903" spans="2:16" x14ac:dyDescent="0.25">
      <c r="B19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3" s="46"/>
      <c r="D1903" s="37"/>
      <c r="E1903" s="37"/>
      <c r="F1903" s="37"/>
      <c r="G1903" s="40" t="str">
        <f>IF(tblMovimientos[[#This Row],[Producto]]="","",TRIM(LEFT(tblMovimientos[[#This Row],[Producto]],FIND(" · ",tblMovimientos[[#This Row],[Producto]]&amp;" · ")-1)))</f>
        <v/>
      </c>
      <c r="H1903" s="40" t="str">
        <f>IF(tblMovimientos[[#This Row],[SKU]]="","",IFERROR(INDEX(tblProductos[Unidad],MATCH(tblMovimientos[[#This Row],[SKU]],tblProductos[SKU],0)),"?"))</f>
        <v/>
      </c>
      <c r="I1903" s="39"/>
      <c r="J1903" s="47" t="str">
        <f>IF(tblMovimientos[[#This Row],[Tipo]]="","",IFERROR(INDEX(tblTiposMov[FactorStock],MATCH(tblMovimientos[[#This Row],[Tipo]],tblTiposMov[Tipo],0)),0))</f>
        <v/>
      </c>
      <c r="K19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3" s="37"/>
      <c r="O1903" s="37"/>
      <c r="P1903" s="37"/>
    </row>
    <row r="1904" spans="2:16" x14ac:dyDescent="0.25">
      <c r="B19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4" s="46"/>
      <c r="D1904" s="37"/>
      <c r="E1904" s="37"/>
      <c r="F1904" s="37"/>
      <c r="G1904" s="40" t="str">
        <f>IF(tblMovimientos[[#This Row],[Producto]]="","",TRIM(LEFT(tblMovimientos[[#This Row],[Producto]],FIND(" · ",tblMovimientos[[#This Row],[Producto]]&amp;" · ")-1)))</f>
        <v/>
      </c>
      <c r="H1904" s="40" t="str">
        <f>IF(tblMovimientos[[#This Row],[SKU]]="","",IFERROR(INDEX(tblProductos[Unidad],MATCH(tblMovimientos[[#This Row],[SKU]],tblProductos[SKU],0)),"?"))</f>
        <v/>
      </c>
      <c r="I1904" s="39"/>
      <c r="J1904" s="47" t="str">
        <f>IF(tblMovimientos[[#This Row],[Tipo]]="","",IFERROR(INDEX(tblTiposMov[FactorStock],MATCH(tblMovimientos[[#This Row],[Tipo]],tblTiposMov[Tipo],0)),0))</f>
        <v/>
      </c>
      <c r="K19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4" s="37"/>
      <c r="O1904" s="37"/>
      <c r="P1904" s="37"/>
    </row>
    <row r="1905" spans="2:16" x14ac:dyDescent="0.25">
      <c r="B19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5" s="46"/>
      <c r="D1905" s="37"/>
      <c r="E1905" s="37"/>
      <c r="F1905" s="37"/>
      <c r="G1905" s="40" t="str">
        <f>IF(tblMovimientos[[#This Row],[Producto]]="","",TRIM(LEFT(tblMovimientos[[#This Row],[Producto]],FIND(" · ",tblMovimientos[[#This Row],[Producto]]&amp;" · ")-1)))</f>
        <v/>
      </c>
      <c r="H1905" s="40" t="str">
        <f>IF(tblMovimientos[[#This Row],[SKU]]="","",IFERROR(INDEX(tblProductos[Unidad],MATCH(tblMovimientos[[#This Row],[SKU]],tblProductos[SKU],0)),"?"))</f>
        <v/>
      </c>
      <c r="I1905" s="39"/>
      <c r="J1905" s="47" t="str">
        <f>IF(tblMovimientos[[#This Row],[Tipo]]="","",IFERROR(INDEX(tblTiposMov[FactorStock],MATCH(tblMovimientos[[#This Row],[Tipo]],tblTiposMov[Tipo],0)),0))</f>
        <v/>
      </c>
      <c r="K19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5" s="37"/>
      <c r="O1905" s="37"/>
      <c r="P1905" s="37"/>
    </row>
    <row r="1906" spans="2:16" x14ac:dyDescent="0.25">
      <c r="B19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6" s="46"/>
      <c r="D1906" s="37"/>
      <c r="E1906" s="37"/>
      <c r="F1906" s="37"/>
      <c r="G1906" s="40" t="str">
        <f>IF(tblMovimientos[[#This Row],[Producto]]="","",TRIM(LEFT(tblMovimientos[[#This Row],[Producto]],FIND(" · ",tblMovimientos[[#This Row],[Producto]]&amp;" · ")-1)))</f>
        <v/>
      </c>
      <c r="H1906" s="40" t="str">
        <f>IF(tblMovimientos[[#This Row],[SKU]]="","",IFERROR(INDEX(tblProductos[Unidad],MATCH(tblMovimientos[[#This Row],[SKU]],tblProductos[SKU],0)),"?"))</f>
        <v/>
      </c>
      <c r="I1906" s="39"/>
      <c r="J1906" s="47" t="str">
        <f>IF(tblMovimientos[[#This Row],[Tipo]]="","",IFERROR(INDEX(tblTiposMov[FactorStock],MATCH(tblMovimientos[[#This Row],[Tipo]],tblTiposMov[Tipo],0)),0))</f>
        <v/>
      </c>
      <c r="K19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6" s="37"/>
      <c r="O1906" s="37"/>
      <c r="P1906" s="37"/>
    </row>
    <row r="1907" spans="2:16" x14ac:dyDescent="0.25">
      <c r="B19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7" s="46"/>
      <c r="D1907" s="37"/>
      <c r="E1907" s="37"/>
      <c r="F1907" s="37"/>
      <c r="G1907" s="40" t="str">
        <f>IF(tblMovimientos[[#This Row],[Producto]]="","",TRIM(LEFT(tblMovimientos[[#This Row],[Producto]],FIND(" · ",tblMovimientos[[#This Row],[Producto]]&amp;" · ")-1)))</f>
        <v/>
      </c>
      <c r="H1907" s="40" t="str">
        <f>IF(tblMovimientos[[#This Row],[SKU]]="","",IFERROR(INDEX(tblProductos[Unidad],MATCH(tblMovimientos[[#This Row],[SKU]],tblProductos[SKU],0)),"?"))</f>
        <v/>
      </c>
      <c r="I1907" s="39"/>
      <c r="J1907" s="47" t="str">
        <f>IF(tblMovimientos[[#This Row],[Tipo]]="","",IFERROR(INDEX(tblTiposMov[FactorStock],MATCH(tblMovimientos[[#This Row],[Tipo]],tblTiposMov[Tipo],0)),0))</f>
        <v/>
      </c>
      <c r="K19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7" s="37"/>
      <c r="O1907" s="37"/>
      <c r="P1907" s="37"/>
    </row>
    <row r="1908" spans="2:16" x14ac:dyDescent="0.25">
      <c r="B19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8" s="46"/>
      <c r="D1908" s="37"/>
      <c r="E1908" s="37"/>
      <c r="F1908" s="37"/>
      <c r="G1908" s="40" t="str">
        <f>IF(tblMovimientos[[#This Row],[Producto]]="","",TRIM(LEFT(tblMovimientos[[#This Row],[Producto]],FIND(" · ",tblMovimientos[[#This Row],[Producto]]&amp;" · ")-1)))</f>
        <v/>
      </c>
      <c r="H1908" s="40" t="str">
        <f>IF(tblMovimientos[[#This Row],[SKU]]="","",IFERROR(INDEX(tblProductos[Unidad],MATCH(tblMovimientos[[#This Row],[SKU]],tblProductos[SKU],0)),"?"))</f>
        <v/>
      </c>
      <c r="I1908" s="39"/>
      <c r="J1908" s="47" t="str">
        <f>IF(tblMovimientos[[#This Row],[Tipo]]="","",IFERROR(INDEX(tblTiposMov[FactorStock],MATCH(tblMovimientos[[#This Row],[Tipo]],tblTiposMov[Tipo],0)),0))</f>
        <v/>
      </c>
      <c r="K19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8" s="37"/>
      <c r="O1908" s="37"/>
      <c r="P1908" s="37"/>
    </row>
    <row r="1909" spans="2:16" x14ac:dyDescent="0.25">
      <c r="B19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09" s="46"/>
      <c r="D1909" s="37"/>
      <c r="E1909" s="37"/>
      <c r="F1909" s="37"/>
      <c r="G1909" s="40" t="str">
        <f>IF(tblMovimientos[[#This Row],[Producto]]="","",TRIM(LEFT(tblMovimientos[[#This Row],[Producto]],FIND(" · ",tblMovimientos[[#This Row],[Producto]]&amp;" · ")-1)))</f>
        <v/>
      </c>
      <c r="H1909" s="40" t="str">
        <f>IF(tblMovimientos[[#This Row],[SKU]]="","",IFERROR(INDEX(tblProductos[Unidad],MATCH(tblMovimientos[[#This Row],[SKU]],tblProductos[SKU],0)),"?"))</f>
        <v/>
      </c>
      <c r="I1909" s="39"/>
      <c r="J1909" s="47" t="str">
        <f>IF(tblMovimientos[[#This Row],[Tipo]]="","",IFERROR(INDEX(tblTiposMov[FactorStock],MATCH(tblMovimientos[[#This Row],[Tipo]],tblTiposMov[Tipo],0)),0))</f>
        <v/>
      </c>
      <c r="K19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09" s="37"/>
      <c r="O1909" s="37"/>
      <c r="P1909" s="37"/>
    </row>
    <row r="1910" spans="2:16" x14ac:dyDescent="0.25">
      <c r="B19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0" s="46"/>
      <c r="D1910" s="37"/>
      <c r="E1910" s="37"/>
      <c r="F1910" s="37"/>
      <c r="G1910" s="40" t="str">
        <f>IF(tblMovimientos[[#This Row],[Producto]]="","",TRIM(LEFT(tblMovimientos[[#This Row],[Producto]],FIND(" · ",tblMovimientos[[#This Row],[Producto]]&amp;" · ")-1)))</f>
        <v/>
      </c>
      <c r="H1910" s="40" t="str">
        <f>IF(tblMovimientos[[#This Row],[SKU]]="","",IFERROR(INDEX(tblProductos[Unidad],MATCH(tblMovimientos[[#This Row],[SKU]],tblProductos[SKU],0)),"?"))</f>
        <v/>
      </c>
      <c r="I1910" s="39"/>
      <c r="J1910" s="47" t="str">
        <f>IF(tblMovimientos[[#This Row],[Tipo]]="","",IFERROR(INDEX(tblTiposMov[FactorStock],MATCH(tblMovimientos[[#This Row],[Tipo]],tblTiposMov[Tipo],0)),0))</f>
        <v/>
      </c>
      <c r="K19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0" s="37"/>
      <c r="O1910" s="37"/>
      <c r="P1910" s="37"/>
    </row>
    <row r="1911" spans="2:16" x14ac:dyDescent="0.25">
      <c r="B19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1" s="46"/>
      <c r="D1911" s="37"/>
      <c r="E1911" s="37"/>
      <c r="F1911" s="37"/>
      <c r="G1911" s="40" t="str">
        <f>IF(tblMovimientos[[#This Row],[Producto]]="","",TRIM(LEFT(tblMovimientos[[#This Row],[Producto]],FIND(" · ",tblMovimientos[[#This Row],[Producto]]&amp;" · ")-1)))</f>
        <v/>
      </c>
      <c r="H1911" s="40" t="str">
        <f>IF(tblMovimientos[[#This Row],[SKU]]="","",IFERROR(INDEX(tblProductos[Unidad],MATCH(tblMovimientos[[#This Row],[SKU]],tblProductos[SKU],0)),"?"))</f>
        <v/>
      </c>
      <c r="I1911" s="39"/>
      <c r="J1911" s="47" t="str">
        <f>IF(tblMovimientos[[#This Row],[Tipo]]="","",IFERROR(INDEX(tblTiposMov[FactorStock],MATCH(tblMovimientos[[#This Row],[Tipo]],tblTiposMov[Tipo],0)),0))</f>
        <v/>
      </c>
      <c r="K19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1" s="37"/>
      <c r="O1911" s="37"/>
      <c r="P1911" s="37"/>
    </row>
    <row r="1912" spans="2:16" x14ac:dyDescent="0.25">
      <c r="B19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2" s="46"/>
      <c r="D1912" s="37"/>
      <c r="E1912" s="37"/>
      <c r="F1912" s="37"/>
      <c r="G1912" s="40" t="str">
        <f>IF(tblMovimientos[[#This Row],[Producto]]="","",TRIM(LEFT(tblMovimientos[[#This Row],[Producto]],FIND(" · ",tblMovimientos[[#This Row],[Producto]]&amp;" · ")-1)))</f>
        <v/>
      </c>
      <c r="H1912" s="40" t="str">
        <f>IF(tblMovimientos[[#This Row],[SKU]]="","",IFERROR(INDEX(tblProductos[Unidad],MATCH(tblMovimientos[[#This Row],[SKU]],tblProductos[SKU],0)),"?"))</f>
        <v/>
      </c>
      <c r="I1912" s="39"/>
      <c r="J1912" s="47" t="str">
        <f>IF(tblMovimientos[[#This Row],[Tipo]]="","",IFERROR(INDEX(tblTiposMov[FactorStock],MATCH(tblMovimientos[[#This Row],[Tipo]],tblTiposMov[Tipo],0)),0))</f>
        <v/>
      </c>
      <c r="K19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2" s="37"/>
      <c r="O1912" s="37"/>
      <c r="P1912" s="37"/>
    </row>
    <row r="1913" spans="2:16" x14ac:dyDescent="0.25">
      <c r="B19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3" s="46"/>
      <c r="D1913" s="37"/>
      <c r="E1913" s="37"/>
      <c r="F1913" s="37"/>
      <c r="G1913" s="40" t="str">
        <f>IF(tblMovimientos[[#This Row],[Producto]]="","",TRIM(LEFT(tblMovimientos[[#This Row],[Producto]],FIND(" · ",tblMovimientos[[#This Row],[Producto]]&amp;" · ")-1)))</f>
        <v/>
      </c>
      <c r="H1913" s="40" t="str">
        <f>IF(tblMovimientos[[#This Row],[SKU]]="","",IFERROR(INDEX(tblProductos[Unidad],MATCH(tblMovimientos[[#This Row],[SKU]],tblProductos[SKU],0)),"?"))</f>
        <v/>
      </c>
      <c r="I1913" s="39"/>
      <c r="J1913" s="47" t="str">
        <f>IF(tblMovimientos[[#This Row],[Tipo]]="","",IFERROR(INDEX(tblTiposMov[FactorStock],MATCH(tblMovimientos[[#This Row],[Tipo]],tblTiposMov[Tipo],0)),0))</f>
        <v/>
      </c>
      <c r="K19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3" s="37"/>
      <c r="O1913" s="37"/>
      <c r="P1913" s="37"/>
    </row>
    <row r="1914" spans="2:16" x14ac:dyDescent="0.25">
      <c r="B19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4" s="46"/>
      <c r="D1914" s="37"/>
      <c r="E1914" s="37"/>
      <c r="F1914" s="37"/>
      <c r="G1914" s="40" t="str">
        <f>IF(tblMovimientos[[#This Row],[Producto]]="","",TRIM(LEFT(tblMovimientos[[#This Row],[Producto]],FIND(" · ",tblMovimientos[[#This Row],[Producto]]&amp;" · ")-1)))</f>
        <v/>
      </c>
      <c r="H1914" s="40" t="str">
        <f>IF(tblMovimientos[[#This Row],[SKU]]="","",IFERROR(INDEX(tblProductos[Unidad],MATCH(tblMovimientos[[#This Row],[SKU]],tblProductos[SKU],0)),"?"))</f>
        <v/>
      </c>
      <c r="I1914" s="39"/>
      <c r="J1914" s="47" t="str">
        <f>IF(tblMovimientos[[#This Row],[Tipo]]="","",IFERROR(INDEX(tblTiposMov[FactorStock],MATCH(tblMovimientos[[#This Row],[Tipo]],tblTiposMov[Tipo],0)),0))</f>
        <v/>
      </c>
      <c r="K19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4" s="37"/>
      <c r="O1914" s="37"/>
      <c r="P1914" s="37"/>
    </row>
    <row r="1915" spans="2:16" x14ac:dyDescent="0.25">
      <c r="B19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5" s="46"/>
      <c r="D1915" s="37"/>
      <c r="E1915" s="37"/>
      <c r="F1915" s="37"/>
      <c r="G1915" s="40" t="str">
        <f>IF(tblMovimientos[[#This Row],[Producto]]="","",TRIM(LEFT(tblMovimientos[[#This Row],[Producto]],FIND(" · ",tblMovimientos[[#This Row],[Producto]]&amp;" · ")-1)))</f>
        <v/>
      </c>
      <c r="H1915" s="40" t="str">
        <f>IF(tblMovimientos[[#This Row],[SKU]]="","",IFERROR(INDEX(tblProductos[Unidad],MATCH(tblMovimientos[[#This Row],[SKU]],tblProductos[SKU],0)),"?"))</f>
        <v/>
      </c>
      <c r="I1915" s="39"/>
      <c r="J1915" s="47" t="str">
        <f>IF(tblMovimientos[[#This Row],[Tipo]]="","",IFERROR(INDEX(tblTiposMov[FactorStock],MATCH(tblMovimientos[[#This Row],[Tipo]],tblTiposMov[Tipo],0)),0))</f>
        <v/>
      </c>
      <c r="K19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5" s="37"/>
      <c r="O1915" s="37"/>
      <c r="P1915" s="37"/>
    </row>
    <row r="1916" spans="2:16" x14ac:dyDescent="0.25">
      <c r="B19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6" s="46"/>
      <c r="D1916" s="37"/>
      <c r="E1916" s="37"/>
      <c r="F1916" s="37"/>
      <c r="G1916" s="40" t="str">
        <f>IF(tblMovimientos[[#This Row],[Producto]]="","",TRIM(LEFT(tblMovimientos[[#This Row],[Producto]],FIND(" · ",tblMovimientos[[#This Row],[Producto]]&amp;" · ")-1)))</f>
        <v/>
      </c>
      <c r="H1916" s="40" t="str">
        <f>IF(tblMovimientos[[#This Row],[SKU]]="","",IFERROR(INDEX(tblProductos[Unidad],MATCH(tblMovimientos[[#This Row],[SKU]],tblProductos[SKU],0)),"?"))</f>
        <v/>
      </c>
      <c r="I1916" s="39"/>
      <c r="J1916" s="47" t="str">
        <f>IF(tblMovimientos[[#This Row],[Tipo]]="","",IFERROR(INDEX(tblTiposMov[FactorStock],MATCH(tblMovimientos[[#This Row],[Tipo]],tblTiposMov[Tipo],0)),0))</f>
        <v/>
      </c>
      <c r="K19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6" s="37"/>
      <c r="O1916" s="37"/>
      <c r="P1916" s="37"/>
    </row>
    <row r="1917" spans="2:16" x14ac:dyDescent="0.25">
      <c r="B19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7" s="46"/>
      <c r="D1917" s="37"/>
      <c r="E1917" s="37"/>
      <c r="F1917" s="37"/>
      <c r="G1917" s="40" t="str">
        <f>IF(tblMovimientos[[#This Row],[Producto]]="","",TRIM(LEFT(tblMovimientos[[#This Row],[Producto]],FIND(" · ",tblMovimientos[[#This Row],[Producto]]&amp;" · ")-1)))</f>
        <v/>
      </c>
      <c r="H1917" s="40" t="str">
        <f>IF(tblMovimientos[[#This Row],[SKU]]="","",IFERROR(INDEX(tblProductos[Unidad],MATCH(tblMovimientos[[#This Row],[SKU]],tblProductos[SKU],0)),"?"))</f>
        <v/>
      </c>
      <c r="I1917" s="39"/>
      <c r="J1917" s="47" t="str">
        <f>IF(tblMovimientos[[#This Row],[Tipo]]="","",IFERROR(INDEX(tblTiposMov[FactorStock],MATCH(tblMovimientos[[#This Row],[Tipo]],tblTiposMov[Tipo],0)),0))</f>
        <v/>
      </c>
      <c r="K19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7" s="37"/>
      <c r="O1917" s="37"/>
      <c r="P1917" s="37"/>
    </row>
    <row r="1918" spans="2:16" x14ac:dyDescent="0.25">
      <c r="B19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8" s="46"/>
      <c r="D1918" s="37"/>
      <c r="E1918" s="37"/>
      <c r="F1918" s="37"/>
      <c r="G1918" s="40" t="str">
        <f>IF(tblMovimientos[[#This Row],[Producto]]="","",TRIM(LEFT(tblMovimientos[[#This Row],[Producto]],FIND(" · ",tblMovimientos[[#This Row],[Producto]]&amp;" · ")-1)))</f>
        <v/>
      </c>
      <c r="H1918" s="40" t="str">
        <f>IF(tblMovimientos[[#This Row],[SKU]]="","",IFERROR(INDEX(tblProductos[Unidad],MATCH(tblMovimientos[[#This Row],[SKU]],tblProductos[SKU],0)),"?"))</f>
        <v/>
      </c>
      <c r="I1918" s="39"/>
      <c r="J1918" s="47" t="str">
        <f>IF(tblMovimientos[[#This Row],[Tipo]]="","",IFERROR(INDEX(tblTiposMov[FactorStock],MATCH(tblMovimientos[[#This Row],[Tipo]],tblTiposMov[Tipo],0)),0))</f>
        <v/>
      </c>
      <c r="K19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8" s="37"/>
      <c r="O1918" s="37"/>
      <c r="P1918" s="37"/>
    </row>
    <row r="1919" spans="2:16" x14ac:dyDescent="0.25">
      <c r="B19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19" s="46"/>
      <c r="D1919" s="37"/>
      <c r="E1919" s="37"/>
      <c r="F1919" s="37"/>
      <c r="G1919" s="40" t="str">
        <f>IF(tblMovimientos[[#This Row],[Producto]]="","",TRIM(LEFT(tblMovimientos[[#This Row],[Producto]],FIND(" · ",tblMovimientos[[#This Row],[Producto]]&amp;" · ")-1)))</f>
        <v/>
      </c>
      <c r="H1919" s="40" t="str">
        <f>IF(tblMovimientos[[#This Row],[SKU]]="","",IFERROR(INDEX(tblProductos[Unidad],MATCH(tblMovimientos[[#This Row],[SKU]],tblProductos[SKU],0)),"?"))</f>
        <v/>
      </c>
      <c r="I1919" s="39"/>
      <c r="J1919" s="47" t="str">
        <f>IF(tblMovimientos[[#This Row],[Tipo]]="","",IFERROR(INDEX(tblTiposMov[FactorStock],MATCH(tblMovimientos[[#This Row],[Tipo]],tblTiposMov[Tipo],0)),0))</f>
        <v/>
      </c>
      <c r="K19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19" s="37"/>
      <c r="O1919" s="37"/>
      <c r="P1919" s="37"/>
    </row>
    <row r="1920" spans="2:16" x14ac:dyDescent="0.25">
      <c r="B19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0" s="46"/>
      <c r="D1920" s="37"/>
      <c r="E1920" s="37"/>
      <c r="F1920" s="37"/>
      <c r="G1920" s="40" t="str">
        <f>IF(tblMovimientos[[#This Row],[Producto]]="","",TRIM(LEFT(tblMovimientos[[#This Row],[Producto]],FIND(" · ",tblMovimientos[[#This Row],[Producto]]&amp;" · ")-1)))</f>
        <v/>
      </c>
      <c r="H1920" s="40" t="str">
        <f>IF(tblMovimientos[[#This Row],[SKU]]="","",IFERROR(INDEX(tblProductos[Unidad],MATCH(tblMovimientos[[#This Row],[SKU]],tblProductos[SKU],0)),"?"))</f>
        <v/>
      </c>
      <c r="I1920" s="39"/>
      <c r="J1920" s="47" t="str">
        <f>IF(tblMovimientos[[#This Row],[Tipo]]="","",IFERROR(INDEX(tblTiposMov[FactorStock],MATCH(tblMovimientos[[#This Row],[Tipo]],tblTiposMov[Tipo],0)),0))</f>
        <v/>
      </c>
      <c r="K19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0" s="37"/>
      <c r="O1920" s="37"/>
      <c r="P1920" s="37"/>
    </row>
    <row r="1921" spans="2:16" x14ac:dyDescent="0.25">
      <c r="B19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1" s="46"/>
      <c r="D1921" s="37"/>
      <c r="E1921" s="37"/>
      <c r="F1921" s="37"/>
      <c r="G1921" s="40" t="str">
        <f>IF(tblMovimientos[[#This Row],[Producto]]="","",TRIM(LEFT(tblMovimientos[[#This Row],[Producto]],FIND(" · ",tblMovimientos[[#This Row],[Producto]]&amp;" · ")-1)))</f>
        <v/>
      </c>
      <c r="H1921" s="40" t="str">
        <f>IF(tblMovimientos[[#This Row],[SKU]]="","",IFERROR(INDEX(tblProductos[Unidad],MATCH(tblMovimientos[[#This Row],[SKU]],tblProductos[SKU],0)),"?"))</f>
        <v/>
      </c>
      <c r="I1921" s="39"/>
      <c r="J1921" s="47" t="str">
        <f>IF(tblMovimientos[[#This Row],[Tipo]]="","",IFERROR(INDEX(tblTiposMov[FactorStock],MATCH(tblMovimientos[[#This Row],[Tipo]],tblTiposMov[Tipo],0)),0))</f>
        <v/>
      </c>
      <c r="K19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1" s="37"/>
      <c r="O1921" s="37"/>
      <c r="P1921" s="37"/>
    </row>
    <row r="1922" spans="2:16" x14ac:dyDescent="0.25">
      <c r="B19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2" s="46"/>
      <c r="D1922" s="37"/>
      <c r="E1922" s="37"/>
      <c r="F1922" s="37"/>
      <c r="G1922" s="40" t="str">
        <f>IF(tblMovimientos[[#This Row],[Producto]]="","",TRIM(LEFT(tblMovimientos[[#This Row],[Producto]],FIND(" · ",tblMovimientos[[#This Row],[Producto]]&amp;" · ")-1)))</f>
        <v/>
      </c>
      <c r="H1922" s="40" t="str">
        <f>IF(tblMovimientos[[#This Row],[SKU]]="","",IFERROR(INDEX(tblProductos[Unidad],MATCH(tblMovimientos[[#This Row],[SKU]],tblProductos[SKU],0)),"?"))</f>
        <v/>
      </c>
      <c r="I1922" s="39"/>
      <c r="J1922" s="47" t="str">
        <f>IF(tblMovimientos[[#This Row],[Tipo]]="","",IFERROR(INDEX(tblTiposMov[FactorStock],MATCH(tblMovimientos[[#This Row],[Tipo]],tblTiposMov[Tipo],0)),0))</f>
        <v/>
      </c>
      <c r="K19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2" s="37"/>
      <c r="O1922" s="37"/>
      <c r="P1922" s="37"/>
    </row>
    <row r="1923" spans="2:16" x14ac:dyDescent="0.25">
      <c r="B19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3" s="46"/>
      <c r="D1923" s="37"/>
      <c r="E1923" s="37"/>
      <c r="F1923" s="37"/>
      <c r="G1923" s="40" t="str">
        <f>IF(tblMovimientos[[#This Row],[Producto]]="","",TRIM(LEFT(tblMovimientos[[#This Row],[Producto]],FIND(" · ",tblMovimientos[[#This Row],[Producto]]&amp;" · ")-1)))</f>
        <v/>
      </c>
      <c r="H1923" s="40" t="str">
        <f>IF(tblMovimientos[[#This Row],[SKU]]="","",IFERROR(INDEX(tblProductos[Unidad],MATCH(tblMovimientos[[#This Row],[SKU]],tblProductos[SKU],0)),"?"))</f>
        <v/>
      </c>
      <c r="I1923" s="39"/>
      <c r="J1923" s="47" t="str">
        <f>IF(tblMovimientos[[#This Row],[Tipo]]="","",IFERROR(INDEX(tblTiposMov[FactorStock],MATCH(tblMovimientos[[#This Row],[Tipo]],tblTiposMov[Tipo],0)),0))</f>
        <v/>
      </c>
      <c r="K19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3" s="37"/>
      <c r="O1923" s="37"/>
      <c r="P1923" s="37"/>
    </row>
    <row r="1924" spans="2:16" x14ac:dyDescent="0.25">
      <c r="B19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4" s="46"/>
      <c r="D1924" s="37"/>
      <c r="E1924" s="37"/>
      <c r="F1924" s="37"/>
      <c r="G1924" s="40" t="str">
        <f>IF(tblMovimientos[[#This Row],[Producto]]="","",TRIM(LEFT(tblMovimientos[[#This Row],[Producto]],FIND(" · ",tblMovimientos[[#This Row],[Producto]]&amp;" · ")-1)))</f>
        <v/>
      </c>
      <c r="H1924" s="40" t="str">
        <f>IF(tblMovimientos[[#This Row],[SKU]]="","",IFERROR(INDEX(tblProductos[Unidad],MATCH(tblMovimientos[[#This Row],[SKU]],tblProductos[SKU],0)),"?"))</f>
        <v/>
      </c>
      <c r="I1924" s="39"/>
      <c r="J1924" s="47" t="str">
        <f>IF(tblMovimientos[[#This Row],[Tipo]]="","",IFERROR(INDEX(tblTiposMov[FactorStock],MATCH(tblMovimientos[[#This Row],[Tipo]],tblTiposMov[Tipo],0)),0))</f>
        <v/>
      </c>
      <c r="K19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4" s="37"/>
      <c r="O1924" s="37"/>
      <c r="P1924" s="37"/>
    </row>
    <row r="1925" spans="2:16" x14ac:dyDescent="0.25">
      <c r="B19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5" s="46"/>
      <c r="D1925" s="37"/>
      <c r="E1925" s="37"/>
      <c r="F1925" s="37"/>
      <c r="G1925" s="40" t="str">
        <f>IF(tblMovimientos[[#This Row],[Producto]]="","",TRIM(LEFT(tblMovimientos[[#This Row],[Producto]],FIND(" · ",tblMovimientos[[#This Row],[Producto]]&amp;" · ")-1)))</f>
        <v/>
      </c>
      <c r="H1925" s="40" t="str">
        <f>IF(tblMovimientos[[#This Row],[SKU]]="","",IFERROR(INDEX(tblProductos[Unidad],MATCH(tblMovimientos[[#This Row],[SKU]],tblProductos[SKU],0)),"?"))</f>
        <v/>
      </c>
      <c r="I1925" s="39"/>
      <c r="J1925" s="47" t="str">
        <f>IF(tblMovimientos[[#This Row],[Tipo]]="","",IFERROR(INDEX(tblTiposMov[FactorStock],MATCH(tblMovimientos[[#This Row],[Tipo]],tblTiposMov[Tipo],0)),0))</f>
        <v/>
      </c>
      <c r="K19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5" s="37"/>
      <c r="O1925" s="37"/>
      <c r="P1925" s="37"/>
    </row>
    <row r="1926" spans="2:16" x14ac:dyDescent="0.25">
      <c r="B19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6" s="46"/>
      <c r="D1926" s="37"/>
      <c r="E1926" s="37"/>
      <c r="F1926" s="37"/>
      <c r="G1926" s="40" t="str">
        <f>IF(tblMovimientos[[#This Row],[Producto]]="","",TRIM(LEFT(tblMovimientos[[#This Row],[Producto]],FIND(" · ",tblMovimientos[[#This Row],[Producto]]&amp;" · ")-1)))</f>
        <v/>
      </c>
      <c r="H1926" s="40" t="str">
        <f>IF(tblMovimientos[[#This Row],[SKU]]="","",IFERROR(INDEX(tblProductos[Unidad],MATCH(tblMovimientos[[#This Row],[SKU]],tblProductos[SKU],0)),"?"))</f>
        <v/>
      </c>
      <c r="I1926" s="39"/>
      <c r="J1926" s="47" t="str">
        <f>IF(tblMovimientos[[#This Row],[Tipo]]="","",IFERROR(INDEX(tblTiposMov[FactorStock],MATCH(tblMovimientos[[#This Row],[Tipo]],tblTiposMov[Tipo],0)),0))</f>
        <v/>
      </c>
      <c r="K19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6" s="37"/>
      <c r="O1926" s="37"/>
      <c r="P1926" s="37"/>
    </row>
    <row r="1927" spans="2:16" x14ac:dyDescent="0.25">
      <c r="B19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7" s="46"/>
      <c r="D1927" s="37"/>
      <c r="E1927" s="37"/>
      <c r="F1927" s="37"/>
      <c r="G1927" s="40" t="str">
        <f>IF(tblMovimientos[[#This Row],[Producto]]="","",TRIM(LEFT(tblMovimientos[[#This Row],[Producto]],FIND(" · ",tblMovimientos[[#This Row],[Producto]]&amp;" · ")-1)))</f>
        <v/>
      </c>
      <c r="H1927" s="40" t="str">
        <f>IF(tblMovimientos[[#This Row],[SKU]]="","",IFERROR(INDEX(tblProductos[Unidad],MATCH(tblMovimientos[[#This Row],[SKU]],tblProductos[SKU],0)),"?"))</f>
        <v/>
      </c>
      <c r="I1927" s="39"/>
      <c r="J1927" s="47" t="str">
        <f>IF(tblMovimientos[[#This Row],[Tipo]]="","",IFERROR(INDEX(tblTiposMov[FactorStock],MATCH(tblMovimientos[[#This Row],[Tipo]],tblTiposMov[Tipo],0)),0))</f>
        <v/>
      </c>
      <c r="K19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7" s="37"/>
      <c r="O1927" s="37"/>
      <c r="P1927" s="37"/>
    </row>
    <row r="1928" spans="2:16" x14ac:dyDescent="0.25">
      <c r="B19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8" s="46"/>
      <c r="D1928" s="37"/>
      <c r="E1928" s="37"/>
      <c r="F1928" s="37"/>
      <c r="G1928" s="40" t="str">
        <f>IF(tblMovimientos[[#This Row],[Producto]]="","",TRIM(LEFT(tblMovimientos[[#This Row],[Producto]],FIND(" · ",tblMovimientos[[#This Row],[Producto]]&amp;" · ")-1)))</f>
        <v/>
      </c>
      <c r="H1928" s="40" t="str">
        <f>IF(tblMovimientos[[#This Row],[SKU]]="","",IFERROR(INDEX(tblProductos[Unidad],MATCH(tblMovimientos[[#This Row],[SKU]],tblProductos[SKU],0)),"?"))</f>
        <v/>
      </c>
      <c r="I1928" s="39"/>
      <c r="J1928" s="47" t="str">
        <f>IF(tblMovimientos[[#This Row],[Tipo]]="","",IFERROR(INDEX(tblTiposMov[FactorStock],MATCH(tblMovimientos[[#This Row],[Tipo]],tblTiposMov[Tipo],0)),0))</f>
        <v/>
      </c>
      <c r="K19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8" s="37"/>
      <c r="O1928" s="37"/>
      <c r="P1928" s="37"/>
    </row>
    <row r="1929" spans="2:16" x14ac:dyDescent="0.25">
      <c r="B19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29" s="46"/>
      <c r="D1929" s="37"/>
      <c r="E1929" s="37"/>
      <c r="F1929" s="37"/>
      <c r="G1929" s="40" t="str">
        <f>IF(tblMovimientos[[#This Row],[Producto]]="","",TRIM(LEFT(tblMovimientos[[#This Row],[Producto]],FIND(" · ",tblMovimientos[[#This Row],[Producto]]&amp;" · ")-1)))</f>
        <v/>
      </c>
      <c r="H1929" s="40" t="str">
        <f>IF(tblMovimientos[[#This Row],[SKU]]="","",IFERROR(INDEX(tblProductos[Unidad],MATCH(tblMovimientos[[#This Row],[SKU]],tblProductos[SKU],0)),"?"))</f>
        <v/>
      </c>
      <c r="I1929" s="39"/>
      <c r="J1929" s="47" t="str">
        <f>IF(tblMovimientos[[#This Row],[Tipo]]="","",IFERROR(INDEX(tblTiposMov[FactorStock],MATCH(tblMovimientos[[#This Row],[Tipo]],tblTiposMov[Tipo],0)),0))</f>
        <v/>
      </c>
      <c r="K19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29" s="37"/>
      <c r="O1929" s="37"/>
      <c r="P1929" s="37"/>
    </row>
    <row r="1930" spans="2:16" x14ac:dyDescent="0.25">
      <c r="B19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0" s="46"/>
      <c r="D1930" s="37"/>
      <c r="E1930" s="37"/>
      <c r="F1930" s="37"/>
      <c r="G1930" s="40" t="str">
        <f>IF(tblMovimientos[[#This Row],[Producto]]="","",TRIM(LEFT(tblMovimientos[[#This Row],[Producto]],FIND(" · ",tblMovimientos[[#This Row],[Producto]]&amp;" · ")-1)))</f>
        <v/>
      </c>
      <c r="H1930" s="40" t="str">
        <f>IF(tblMovimientos[[#This Row],[SKU]]="","",IFERROR(INDEX(tblProductos[Unidad],MATCH(tblMovimientos[[#This Row],[SKU]],tblProductos[SKU],0)),"?"))</f>
        <v/>
      </c>
      <c r="I1930" s="39"/>
      <c r="J1930" s="47" t="str">
        <f>IF(tblMovimientos[[#This Row],[Tipo]]="","",IFERROR(INDEX(tblTiposMov[FactorStock],MATCH(tblMovimientos[[#This Row],[Tipo]],tblTiposMov[Tipo],0)),0))</f>
        <v/>
      </c>
      <c r="K19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0" s="37"/>
      <c r="O1930" s="37"/>
      <c r="P1930" s="37"/>
    </row>
    <row r="1931" spans="2:16" x14ac:dyDescent="0.25">
      <c r="B19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1" s="46"/>
      <c r="D1931" s="37"/>
      <c r="E1931" s="37"/>
      <c r="F1931" s="37"/>
      <c r="G1931" s="40" t="str">
        <f>IF(tblMovimientos[[#This Row],[Producto]]="","",TRIM(LEFT(tblMovimientos[[#This Row],[Producto]],FIND(" · ",tblMovimientos[[#This Row],[Producto]]&amp;" · ")-1)))</f>
        <v/>
      </c>
      <c r="H1931" s="40" t="str">
        <f>IF(tblMovimientos[[#This Row],[SKU]]="","",IFERROR(INDEX(tblProductos[Unidad],MATCH(tblMovimientos[[#This Row],[SKU]],tblProductos[SKU],0)),"?"))</f>
        <v/>
      </c>
      <c r="I1931" s="39"/>
      <c r="J1931" s="47" t="str">
        <f>IF(tblMovimientos[[#This Row],[Tipo]]="","",IFERROR(INDEX(tblTiposMov[FactorStock],MATCH(tblMovimientos[[#This Row],[Tipo]],tblTiposMov[Tipo],0)),0))</f>
        <v/>
      </c>
      <c r="K19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1" s="37"/>
      <c r="O1931" s="37"/>
      <c r="P1931" s="37"/>
    </row>
    <row r="1932" spans="2:16" x14ac:dyDescent="0.25">
      <c r="B19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2" s="46"/>
      <c r="D1932" s="37"/>
      <c r="E1932" s="37"/>
      <c r="F1932" s="37"/>
      <c r="G1932" s="40" t="str">
        <f>IF(tblMovimientos[[#This Row],[Producto]]="","",TRIM(LEFT(tblMovimientos[[#This Row],[Producto]],FIND(" · ",tblMovimientos[[#This Row],[Producto]]&amp;" · ")-1)))</f>
        <v/>
      </c>
      <c r="H1932" s="40" t="str">
        <f>IF(tblMovimientos[[#This Row],[SKU]]="","",IFERROR(INDEX(tblProductos[Unidad],MATCH(tblMovimientos[[#This Row],[SKU]],tblProductos[SKU],0)),"?"))</f>
        <v/>
      </c>
      <c r="I1932" s="39"/>
      <c r="J1932" s="47" t="str">
        <f>IF(tblMovimientos[[#This Row],[Tipo]]="","",IFERROR(INDEX(tblTiposMov[FactorStock],MATCH(tblMovimientos[[#This Row],[Tipo]],tblTiposMov[Tipo],0)),0))</f>
        <v/>
      </c>
      <c r="K19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2" s="37"/>
      <c r="O1932" s="37"/>
      <c r="P1932" s="37"/>
    </row>
    <row r="1933" spans="2:16" x14ac:dyDescent="0.25">
      <c r="B19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3" s="46"/>
      <c r="D1933" s="37"/>
      <c r="E1933" s="37"/>
      <c r="F1933" s="37"/>
      <c r="G1933" s="40" t="str">
        <f>IF(tblMovimientos[[#This Row],[Producto]]="","",TRIM(LEFT(tblMovimientos[[#This Row],[Producto]],FIND(" · ",tblMovimientos[[#This Row],[Producto]]&amp;" · ")-1)))</f>
        <v/>
      </c>
      <c r="H1933" s="40" t="str">
        <f>IF(tblMovimientos[[#This Row],[SKU]]="","",IFERROR(INDEX(tblProductos[Unidad],MATCH(tblMovimientos[[#This Row],[SKU]],tblProductos[SKU],0)),"?"))</f>
        <v/>
      </c>
      <c r="I1933" s="39"/>
      <c r="J1933" s="47" t="str">
        <f>IF(tblMovimientos[[#This Row],[Tipo]]="","",IFERROR(INDEX(tblTiposMov[FactorStock],MATCH(tblMovimientos[[#This Row],[Tipo]],tblTiposMov[Tipo],0)),0))</f>
        <v/>
      </c>
      <c r="K19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3" s="37"/>
      <c r="O1933" s="37"/>
      <c r="P1933" s="37"/>
    </row>
    <row r="1934" spans="2:16" x14ac:dyDescent="0.25">
      <c r="B19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4" s="46"/>
      <c r="D1934" s="37"/>
      <c r="E1934" s="37"/>
      <c r="F1934" s="37"/>
      <c r="G1934" s="40" t="str">
        <f>IF(tblMovimientos[[#This Row],[Producto]]="","",TRIM(LEFT(tblMovimientos[[#This Row],[Producto]],FIND(" · ",tblMovimientos[[#This Row],[Producto]]&amp;" · ")-1)))</f>
        <v/>
      </c>
      <c r="H1934" s="40" t="str">
        <f>IF(tblMovimientos[[#This Row],[SKU]]="","",IFERROR(INDEX(tblProductos[Unidad],MATCH(tblMovimientos[[#This Row],[SKU]],tblProductos[SKU],0)),"?"))</f>
        <v/>
      </c>
      <c r="I1934" s="39"/>
      <c r="J1934" s="47" t="str">
        <f>IF(tblMovimientos[[#This Row],[Tipo]]="","",IFERROR(INDEX(tblTiposMov[FactorStock],MATCH(tblMovimientos[[#This Row],[Tipo]],tblTiposMov[Tipo],0)),0))</f>
        <v/>
      </c>
      <c r="K19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4" s="37"/>
      <c r="O1934" s="37"/>
      <c r="P1934" s="37"/>
    </row>
    <row r="1935" spans="2:16" x14ac:dyDescent="0.25">
      <c r="B19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5" s="46"/>
      <c r="D1935" s="37"/>
      <c r="E1935" s="37"/>
      <c r="F1935" s="37"/>
      <c r="G1935" s="40" t="str">
        <f>IF(tblMovimientos[[#This Row],[Producto]]="","",TRIM(LEFT(tblMovimientos[[#This Row],[Producto]],FIND(" · ",tblMovimientos[[#This Row],[Producto]]&amp;" · ")-1)))</f>
        <v/>
      </c>
      <c r="H1935" s="40" t="str">
        <f>IF(tblMovimientos[[#This Row],[SKU]]="","",IFERROR(INDEX(tblProductos[Unidad],MATCH(tblMovimientos[[#This Row],[SKU]],tblProductos[SKU],0)),"?"))</f>
        <v/>
      </c>
      <c r="I1935" s="39"/>
      <c r="J1935" s="47" t="str">
        <f>IF(tblMovimientos[[#This Row],[Tipo]]="","",IFERROR(INDEX(tblTiposMov[FactorStock],MATCH(tblMovimientos[[#This Row],[Tipo]],tblTiposMov[Tipo],0)),0))</f>
        <v/>
      </c>
      <c r="K19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5" s="37"/>
      <c r="O1935" s="37"/>
      <c r="P1935" s="37"/>
    </row>
    <row r="1936" spans="2:16" x14ac:dyDescent="0.25">
      <c r="B19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6" s="46"/>
      <c r="D1936" s="37"/>
      <c r="E1936" s="37"/>
      <c r="F1936" s="37"/>
      <c r="G1936" s="40" t="str">
        <f>IF(tblMovimientos[[#This Row],[Producto]]="","",TRIM(LEFT(tblMovimientos[[#This Row],[Producto]],FIND(" · ",tblMovimientos[[#This Row],[Producto]]&amp;" · ")-1)))</f>
        <v/>
      </c>
      <c r="H1936" s="40" t="str">
        <f>IF(tblMovimientos[[#This Row],[SKU]]="","",IFERROR(INDEX(tblProductos[Unidad],MATCH(tblMovimientos[[#This Row],[SKU]],tblProductos[SKU],0)),"?"))</f>
        <v/>
      </c>
      <c r="I1936" s="39"/>
      <c r="J1936" s="47" t="str">
        <f>IF(tblMovimientos[[#This Row],[Tipo]]="","",IFERROR(INDEX(tblTiposMov[FactorStock],MATCH(tblMovimientos[[#This Row],[Tipo]],tblTiposMov[Tipo],0)),0))</f>
        <v/>
      </c>
      <c r="K19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6" s="37"/>
      <c r="O1936" s="37"/>
      <c r="P1936" s="37"/>
    </row>
    <row r="1937" spans="2:16" x14ac:dyDescent="0.25">
      <c r="B19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7" s="46"/>
      <c r="D1937" s="37"/>
      <c r="E1937" s="37"/>
      <c r="F1937" s="37"/>
      <c r="G1937" s="40" t="str">
        <f>IF(tblMovimientos[[#This Row],[Producto]]="","",TRIM(LEFT(tblMovimientos[[#This Row],[Producto]],FIND(" · ",tblMovimientos[[#This Row],[Producto]]&amp;" · ")-1)))</f>
        <v/>
      </c>
      <c r="H1937" s="40" t="str">
        <f>IF(tblMovimientos[[#This Row],[SKU]]="","",IFERROR(INDEX(tblProductos[Unidad],MATCH(tblMovimientos[[#This Row],[SKU]],tblProductos[SKU],0)),"?"))</f>
        <v/>
      </c>
      <c r="I1937" s="39"/>
      <c r="J1937" s="47" t="str">
        <f>IF(tblMovimientos[[#This Row],[Tipo]]="","",IFERROR(INDEX(tblTiposMov[FactorStock],MATCH(tblMovimientos[[#This Row],[Tipo]],tblTiposMov[Tipo],0)),0))</f>
        <v/>
      </c>
      <c r="K19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7" s="37"/>
      <c r="O1937" s="37"/>
      <c r="P1937" s="37"/>
    </row>
    <row r="1938" spans="2:16" x14ac:dyDescent="0.25">
      <c r="B19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8" s="46"/>
      <c r="D1938" s="37"/>
      <c r="E1938" s="37"/>
      <c r="F1938" s="37"/>
      <c r="G1938" s="40" t="str">
        <f>IF(tblMovimientos[[#This Row],[Producto]]="","",TRIM(LEFT(tblMovimientos[[#This Row],[Producto]],FIND(" · ",tblMovimientos[[#This Row],[Producto]]&amp;" · ")-1)))</f>
        <v/>
      </c>
      <c r="H1938" s="40" t="str">
        <f>IF(tblMovimientos[[#This Row],[SKU]]="","",IFERROR(INDEX(tblProductos[Unidad],MATCH(tblMovimientos[[#This Row],[SKU]],tblProductos[SKU],0)),"?"))</f>
        <v/>
      </c>
      <c r="I1938" s="39"/>
      <c r="J1938" s="47" t="str">
        <f>IF(tblMovimientos[[#This Row],[Tipo]]="","",IFERROR(INDEX(tblTiposMov[FactorStock],MATCH(tblMovimientos[[#This Row],[Tipo]],tblTiposMov[Tipo],0)),0))</f>
        <v/>
      </c>
      <c r="K19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8" s="37"/>
      <c r="O1938" s="37"/>
      <c r="P1938" s="37"/>
    </row>
    <row r="1939" spans="2:16" x14ac:dyDescent="0.25">
      <c r="B19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39" s="46"/>
      <c r="D1939" s="37"/>
      <c r="E1939" s="37"/>
      <c r="F1939" s="37"/>
      <c r="G1939" s="40" t="str">
        <f>IF(tblMovimientos[[#This Row],[Producto]]="","",TRIM(LEFT(tblMovimientos[[#This Row],[Producto]],FIND(" · ",tblMovimientos[[#This Row],[Producto]]&amp;" · ")-1)))</f>
        <v/>
      </c>
      <c r="H1939" s="40" t="str">
        <f>IF(tblMovimientos[[#This Row],[SKU]]="","",IFERROR(INDEX(tblProductos[Unidad],MATCH(tblMovimientos[[#This Row],[SKU]],tblProductos[SKU],0)),"?"))</f>
        <v/>
      </c>
      <c r="I1939" s="39"/>
      <c r="J1939" s="47" t="str">
        <f>IF(tblMovimientos[[#This Row],[Tipo]]="","",IFERROR(INDEX(tblTiposMov[FactorStock],MATCH(tblMovimientos[[#This Row],[Tipo]],tblTiposMov[Tipo],0)),0))</f>
        <v/>
      </c>
      <c r="K19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39" s="37"/>
      <c r="O1939" s="37"/>
      <c r="P1939" s="37"/>
    </row>
    <row r="1940" spans="2:16" x14ac:dyDescent="0.25">
      <c r="B19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0" s="46"/>
      <c r="D1940" s="37"/>
      <c r="E1940" s="37"/>
      <c r="F1940" s="37"/>
      <c r="G1940" s="40" t="str">
        <f>IF(tblMovimientos[[#This Row],[Producto]]="","",TRIM(LEFT(tblMovimientos[[#This Row],[Producto]],FIND(" · ",tblMovimientos[[#This Row],[Producto]]&amp;" · ")-1)))</f>
        <v/>
      </c>
      <c r="H1940" s="40" t="str">
        <f>IF(tblMovimientos[[#This Row],[SKU]]="","",IFERROR(INDEX(tblProductos[Unidad],MATCH(tblMovimientos[[#This Row],[SKU]],tblProductos[SKU],0)),"?"))</f>
        <v/>
      </c>
      <c r="I1940" s="39"/>
      <c r="J1940" s="47" t="str">
        <f>IF(tblMovimientos[[#This Row],[Tipo]]="","",IFERROR(INDEX(tblTiposMov[FactorStock],MATCH(tblMovimientos[[#This Row],[Tipo]],tblTiposMov[Tipo],0)),0))</f>
        <v/>
      </c>
      <c r="K19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0" s="37"/>
      <c r="O1940" s="37"/>
      <c r="P1940" s="37"/>
    </row>
    <row r="1941" spans="2:16" x14ac:dyDescent="0.25">
      <c r="B19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1" s="46"/>
      <c r="D1941" s="37"/>
      <c r="E1941" s="37"/>
      <c r="F1941" s="37"/>
      <c r="G1941" s="40" t="str">
        <f>IF(tblMovimientos[[#This Row],[Producto]]="","",TRIM(LEFT(tblMovimientos[[#This Row],[Producto]],FIND(" · ",tblMovimientos[[#This Row],[Producto]]&amp;" · ")-1)))</f>
        <v/>
      </c>
      <c r="H1941" s="40" t="str">
        <f>IF(tblMovimientos[[#This Row],[SKU]]="","",IFERROR(INDEX(tblProductos[Unidad],MATCH(tblMovimientos[[#This Row],[SKU]],tblProductos[SKU],0)),"?"))</f>
        <v/>
      </c>
      <c r="I1941" s="39"/>
      <c r="J1941" s="47" t="str">
        <f>IF(tblMovimientos[[#This Row],[Tipo]]="","",IFERROR(INDEX(tblTiposMov[FactorStock],MATCH(tblMovimientos[[#This Row],[Tipo]],tblTiposMov[Tipo],0)),0))</f>
        <v/>
      </c>
      <c r="K19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1" s="37"/>
      <c r="O1941" s="37"/>
      <c r="P1941" s="37"/>
    </row>
    <row r="1942" spans="2:16" x14ac:dyDescent="0.25">
      <c r="B19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2" s="46"/>
      <c r="D1942" s="37"/>
      <c r="E1942" s="37"/>
      <c r="F1942" s="37"/>
      <c r="G1942" s="40" t="str">
        <f>IF(tblMovimientos[[#This Row],[Producto]]="","",TRIM(LEFT(tblMovimientos[[#This Row],[Producto]],FIND(" · ",tblMovimientos[[#This Row],[Producto]]&amp;" · ")-1)))</f>
        <v/>
      </c>
      <c r="H1942" s="40" t="str">
        <f>IF(tblMovimientos[[#This Row],[SKU]]="","",IFERROR(INDEX(tblProductos[Unidad],MATCH(tblMovimientos[[#This Row],[SKU]],tblProductos[SKU],0)),"?"))</f>
        <v/>
      </c>
      <c r="I1942" s="39"/>
      <c r="J1942" s="47" t="str">
        <f>IF(tblMovimientos[[#This Row],[Tipo]]="","",IFERROR(INDEX(tblTiposMov[FactorStock],MATCH(tblMovimientos[[#This Row],[Tipo]],tblTiposMov[Tipo],0)),0))</f>
        <v/>
      </c>
      <c r="K19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2" s="37"/>
      <c r="O1942" s="37"/>
      <c r="P1942" s="37"/>
    </row>
    <row r="1943" spans="2:16" x14ac:dyDescent="0.25">
      <c r="B19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3" s="46"/>
      <c r="D1943" s="37"/>
      <c r="E1943" s="37"/>
      <c r="F1943" s="37"/>
      <c r="G1943" s="40" t="str">
        <f>IF(tblMovimientos[[#This Row],[Producto]]="","",TRIM(LEFT(tblMovimientos[[#This Row],[Producto]],FIND(" · ",tblMovimientos[[#This Row],[Producto]]&amp;" · ")-1)))</f>
        <v/>
      </c>
      <c r="H1943" s="40" t="str">
        <f>IF(tblMovimientos[[#This Row],[SKU]]="","",IFERROR(INDEX(tblProductos[Unidad],MATCH(tblMovimientos[[#This Row],[SKU]],tblProductos[SKU],0)),"?"))</f>
        <v/>
      </c>
      <c r="I1943" s="39"/>
      <c r="J1943" s="47" t="str">
        <f>IF(tblMovimientos[[#This Row],[Tipo]]="","",IFERROR(INDEX(tblTiposMov[FactorStock],MATCH(tblMovimientos[[#This Row],[Tipo]],tblTiposMov[Tipo],0)),0))</f>
        <v/>
      </c>
      <c r="K19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3" s="37"/>
      <c r="O1943" s="37"/>
      <c r="P1943" s="37"/>
    </row>
    <row r="1944" spans="2:16" x14ac:dyDescent="0.25">
      <c r="B19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4" s="46"/>
      <c r="D1944" s="37"/>
      <c r="E1944" s="37"/>
      <c r="F1944" s="37"/>
      <c r="G1944" s="40" t="str">
        <f>IF(tblMovimientos[[#This Row],[Producto]]="","",TRIM(LEFT(tblMovimientos[[#This Row],[Producto]],FIND(" · ",tblMovimientos[[#This Row],[Producto]]&amp;" · ")-1)))</f>
        <v/>
      </c>
      <c r="H1944" s="40" t="str">
        <f>IF(tblMovimientos[[#This Row],[SKU]]="","",IFERROR(INDEX(tblProductos[Unidad],MATCH(tblMovimientos[[#This Row],[SKU]],tblProductos[SKU],0)),"?"))</f>
        <v/>
      </c>
      <c r="I1944" s="39"/>
      <c r="J1944" s="47" t="str">
        <f>IF(tblMovimientos[[#This Row],[Tipo]]="","",IFERROR(INDEX(tblTiposMov[FactorStock],MATCH(tblMovimientos[[#This Row],[Tipo]],tblTiposMov[Tipo],0)),0))</f>
        <v/>
      </c>
      <c r="K19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4" s="37"/>
      <c r="O1944" s="37"/>
      <c r="P1944" s="37"/>
    </row>
    <row r="1945" spans="2:16" x14ac:dyDescent="0.25">
      <c r="B19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5" s="46"/>
      <c r="D1945" s="37"/>
      <c r="E1945" s="37"/>
      <c r="F1945" s="37"/>
      <c r="G1945" s="40" t="str">
        <f>IF(tblMovimientos[[#This Row],[Producto]]="","",TRIM(LEFT(tblMovimientos[[#This Row],[Producto]],FIND(" · ",tblMovimientos[[#This Row],[Producto]]&amp;" · ")-1)))</f>
        <v/>
      </c>
      <c r="H1945" s="40" t="str">
        <f>IF(tblMovimientos[[#This Row],[SKU]]="","",IFERROR(INDEX(tblProductos[Unidad],MATCH(tblMovimientos[[#This Row],[SKU]],tblProductos[SKU],0)),"?"))</f>
        <v/>
      </c>
      <c r="I1945" s="39"/>
      <c r="J1945" s="47" t="str">
        <f>IF(tblMovimientos[[#This Row],[Tipo]]="","",IFERROR(INDEX(tblTiposMov[FactorStock],MATCH(tblMovimientos[[#This Row],[Tipo]],tblTiposMov[Tipo],0)),0))</f>
        <v/>
      </c>
      <c r="K19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5" s="37"/>
      <c r="O1945" s="37"/>
      <c r="P1945" s="37"/>
    </row>
    <row r="1946" spans="2:16" x14ac:dyDescent="0.25">
      <c r="B19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6" s="46"/>
      <c r="D1946" s="37"/>
      <c r="E1946" s="37"/>
      <c r="F1946" s="37"/>
      <c r="G1946" s="40" t="str">
        <f>IF(tblMovimientos[[#This Row],[Producto]]="","",TRIM(LEFT(tblMovimientos[[#This Row],[Producto]],FIND(" · ",tblMovimientos[[#This Row],[Producto]]&amp;" · ")-1)))</f>
        <v/>
      </c>
      <c r="H1946" s="40" t="str">
        <f>IF(tblMovimientos[[#This Row],[SKU]]="","",IFERROR(INDEX(tblProductos[Unidad],MATCH(tblMovimientos[[#This Row],[SKU]],tblProductos[SKU],0)),"?"))</f>
        <v/>
      </c>
      <c r="I1946" s="39"/>
      <c r="J1946" s="47" t="str">
        <f>IF(tblMovimientos[[#This Row],[Tipo]]="","",IFERROR(INDEX(tblTiposMov[FactorStock],MATCH(tblMovimientos[[#This Row],[Tipo]],tblTiposMov[Tipo],0)),0))</f>
        <v/>
      </c>
      <c r="K19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6" s="37"/>
      <c r="O1946" s="37"/>
      <c r="P1946" s="37"/>
    </row>
    <row r="1947" spans="2:16" x14ac:dyDescent="0.25">
      <c r="B19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7" s="46"/>
      <c r="D1947" s="37"/>
      <c r="E1947" s="37"/>
      <c r="F1947" s="37"/>
      <c r="G1947" s="40" t="str">
        <f>IF(tblMovimientos[[#This Row],[Producto]]="","",TRIM(LEFT(tblMovimientos[[#This Row],[Producto]],FIND(" · ",tblMovimientos[[#This Row],[Producto]]&amp;" · ")-1)))</f>
        <v/>
      </c>
      <c r="H1947" s="40" t="str">
        <f>IF(tblMovimientos[[#This Row],[SKU]]="","",IFERROR(INDEX(tblProductos[Unidad],MATCH(tblMovimientos[[#This Row],[SKU]],tblProductos[SKU],0)),"?"))</f>
        <v/>
      </c>
      <c r="I1947" s="39"/>
      <c r="J1947" s="47" t="str">
        <f>IF(tblMovimientos[[#This Row],[Tipo]]="","",IFERROR(INDEX(tblTiposMov[FactorStock],MATCH(tblMovimientos[[#This Row],[Tipo]],tblTiposMov[Tipo],0)),0))</f>
        <v/>
      </c>
      <c r="K19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7" s="37"/>
      <c r="O1947" s="37"/>
      <c r="P1947" s="37"/>
    </row>
    <row r="1948" spans="2:16" x14ac:dyDescent="0.25">
      <c r="B19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8" s="46"/>
      <c r="D1948" s="37"/>
      <c r="E1948" s="37"/>
      <c r="F1948" s="37"/>
      <c r="G1948" s="40" t="str">
        <f>IF(tblMovimientos[[#This Row],[Producto]]="","",TRIM(LEFT(tblMovimientos[[#This Row],[Producto]],FIND(" · ",tblMovimientos[[#This Row],[Producto]]&amp;" · ")-1)))</f>
        <v/>
      </c>
      <c r="H1948" s="40" t="str">
        <f>IF(tblMovimientos[[#This Row],[SKU]]="","",IFERROR(INDEX(tblProductos[Unidad],MATCH(tblMovimientos[[#This Row],[SKU]],tblProductos[SKU],0)),"?"))</f>
        <v/>
      </c>
      <c r="I1948" s="39"/>
      <c r="J1948" s="47" t="str">
        <f>IF(tblMovimientos[[#This Row],[Tipo]]="","",IFERROR(INDEX(tblTiposMov[FactorStock],MATCH(tblMovimientos[[#This Row],[Tipo]],tblTiposMov[Tipo],0)),0))</f>
        <v/>
      </c>
      <c r="K19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8" s="37"/>
      <c r="O1948" s="37"/>
      <c r="P1948" s="37"/>
    </row>
    <row r="1949" spans="2:16" x14ac:dyDescent="0.25">
      <c r="B19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49" s="46"/>
      <c r="D1949" s="37"/>
      <c r="E1949" s="37"/>
      <c r="F1949" s="37"/>
      <c r="G1949" s="40" t="str">
        <f>IF(tblMovimientos[[#This Row],[Producto]]="","",TRIM(LEFT(tblMovimientos[[#This Row],[Producto]],FIND(" · ",tblMovimientos[[#This Row],[Producto]]&amp;" · ")-1)))</f>
        <v/>
      </c>
      <c r="H1949" s="40" t="str">
        <f>IF(tblMovimientos[[#This Row],[SKU]]="","",IFERROR(INDEX(tblProductos[Unidad],MATCH(tblMovimientos[[#This Row],[SKU]],tblProductos[SKU],0)),"?"))</f>
        <v/>
      </c>
      <c r="I1949" s="39"/>
      <c r="J1949" s="47" t="str">
        <f>IF(tblMovimientos[[#This Row],[Tipo]]="","",IFERROR(INDEX(tblTiposMov[FactorStock],MATCH(tblMovimientos[[#This Row],[Tipo]],tblTiposMov[Tipo],0)),0))</f>
        <v/>
      </c>
      <c r="K19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49" s="37"/>
      <c r="O1949" s="37"/>
      <c r="P1949" s="37"/>
    </row>
    <row r="1950" spans="2:16" x14ac:dyDescent="0.25">
      <c r="B19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0" s="46"/>
      <c r="D1950" s="37"/>
      <c r="E1950" s="37"/>
      <c r="F1950" s="37"/>
      <c r="G1950" s="40" t="str">
        <f>IF(tblMovimientos[[#This Row],[Producto]]="","",TRIM(LEFT(tblMovimientos[[#This Row],[Producto]],FIND(" · ",tblMovimientos[[#This Row],[Producto]]&amp;" · ")-1)))</f>
        <v/>
      </c>
      <c r="H1950" s="40" t="str">
        <f>IF(tblMovimientos[[#This Row],[SKU]]="","",IFERROR(INDEX(tblProductos[Unidad],MATCH(tblMovimientos[[#This Row],[SKU]],tblProductos[SKU],0)),"?"))</f>
        <v/>
      </c>
      <c r="I1950" s="39"/>
      <c r="J1950" s="47" t="str">
        <f>IF(tblMovimientos[[#This Row],[Tipo]]="","",IFERROR(INDEX(tblTiposMov[FactorStock],MATCH(tblMovimientos[[#This Row],[Tipo]],tblTiposMov[Tipo],0)),0))</f>
        <v/>
      </c>
      <c r="K19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0" s="37"/>
      <c r="O1950" s="37"/>
      <c r="P1950" s="37"/>
    </row>
    <row r="1951" spans="2:16" x14ac:dyDescent="0.25">
      <c r="B19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1" s="46"/>
      <c r="D1951" s="37"/>
      <c r="E1951" s="37"/>
      <c r="F1951" s="37"/>
      <c r="G1951" s="40" t="str">
        <f>IF(tblMovimientos[[#This Row],[Producto]]="","",TRIM(LEFT(tblMovimientos[[#This Row],[Producto]],FIND(" · ",tblMovimientos[[#This Row],[Producto]]&amp;" · ")-1)))</f>
        <v/>
      </c>
      <c r="H1951" s="40" t="str">
        <f>IF(tblMovimientos[[#This Row],[SKU]]="","",IFERROR(INDEX(tblProductos[Unidad],MATCH(tblMovimientos[[#This Row],[SKU]],tblProductos[SKU],0)),"?"))</f>
        <v/>
      </c>
      <c r="I1951" s="39"/>
      <c r="J1951" s="47" t="str">
        <f>IF(tblMovimientos[[#This Row],[Tipo]]="","",IFERROR(INDEX(tblTiposMov[FactorStock],MATCH(tblMovimientos[[#This Row],[Tipo]],tblTiposMov[Tipo],0)),0))</f>
        <v/>
      </c>
      <c r="K19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1" s="37"/>
      <c r="O1951" s="37"/>
      <c r="P1951" s="37"/>
    </row>
    <row r="1952" spans="2:16" x14ac:dyDescent="0.25">
      <c r="B19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2" s="46"/>
      <c r="D1952" s="37"/>
      <c r="E1952" s="37"/>
      <c r="F1952" s="37"/>
      <c r="G1952" s="40" t="str">
        <f>IF(tblMovimientos[[#This Row],[Producto]]="","",TRIM(LEFT(tblMovimientos[[#This Row],[Producto]],FIND(" · ",tblMovimientos[[#This Row],[Producto]]&amp;" · ")-1)))</f>
        <v/>
      </c>
      <c r="H1952" s="40" t="str">
        <f>IF(tblMovimientos[[#This Row],[SKU]]="","",IFERROR(INDEX(tblProductos[Unidad],MATCH(tblMovimientos[[#This Row],[SKU]],tblProductos[SKU],0)),"?"))</f>
        <v/>
      </c>
      <c r="I1952" s="39"/>
      <c r="J1952" s="47" t="str">
        <f>IF(tblMovimientos[[#This Row],[Tipo]]="","",IFERROR(INDEX(tblTiposMov[FactorStock],MATCH(tblMovimientos[[#This Row],[Tipo]],tblTiposMov[Tipo],0)),0))</f>
        <v/>
      </c>
      <c r="K19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2" s="37"/>
      <c r="O1952" s="37"/>
      <c r="P1952" s="37"/>
    </row>
    <row r="1953" spans="2:16" x14ac:dyDescent="0.25">
      <c r="B19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3" s="46"/>
      <c r="D1953" s="37"/>
      <c r="E1953" s="37"/>
      <c r="F1953" s="37"/>
      <c r="G1953" s="40" t="str">
        <f>IF(tblMovimientos[[#This Row],[Producto]]="","",TRIM(LEFT(tblMovimientos[[#This Row],[Producto]],FIND(" · ",tblMovimientos[[#This Row],[Producto]]&amp;" · ")-1)))</f>
        <v/>
      </c>
      <c r="H1953" s="40" t="str">
        <f>IF(tblMovimientos[[#This Row],[SKU]]="","",IFERROR(INDEX(tblProductos[Unidad],MATCH(tblMovimientos[[#This Row],[SKU]],tblProductos[SKU],0)),"?"))</f>
        <v/>
      </c>
      <c r="I1953" s="39"/>
      <c r="J1953" s="47" t="str">
        <f>IF(tblMovimientos[[#This Row],[Tipo]]="","",IFERROR(INDEX(tblTiposMov[FactorStock],MATCH(tblMovimientos[[#This Row],[Tipo]],tblTiposMov[Tipo],0)),0))</f>
        <v/>
      </c>
      <c r="K19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3" s="37"/>
      <c r="O1953" s="37"/>
      <c r="P1953" s="37"/>
    </row>
    <row r="1954" spans="2:16" x14ac:dyDescent="0.25">
      <c r="B19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4" s="46"/>
      <c r="D1954" s="37"/>
      <c r="E1954" s="37"/>
      <c r="F1954" s="37"/>
      <c r="G1954" s="40" t="str">
        <f>IF(tblMovimientos[[#This Row],[Producto]]="","",TRIM(LEFT(tblMovimientos[[#This Row],[Producto]],FIND(" · ",tblMovimientos[[#This Row],[Producto]]&amp;" · ")-1)))</f>
        <v/>
      </c>
      <c r="H1954" s="40" t="str">
        <f>IF(tblMovimientos[[#This Row],[SKU]]="","",IFERROR(INDEX(tblProductos[Unidad],MATCH(tblMovimientos[[#This Row],[SKU]],tblProductos[SKU],0)),"?"))</f>
        <v/>
      </c>
      <c r="I1954" s="39"/>
      <c r="J1954" s="47" t="str">
        <f>IF(tblMovimientos[[#This Row],[Tipo]]="","",IFERROR(INDEX(tblTiposMov[FactorStock],MATCH(tblMovimientos[[#This Row],[Tipo]],tblTiposMov[Tipo],0)),0))</f>
        <v/>
      </c>
      <c r="K19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4" s="37"/>
      <c r="O1954" s="37"/>
      <c r="P1954" s="37"/>
    </row>
    <row r="1955" spans="2:16" x14ac:dyDescent="0.25">
      <c r="B19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5" s="46"/>
      <c r="D1955" s="37"/>
      <c r="E1955" s="37"/>
      <c r="F1955" s="37"/>
      <c r="G1955" s="40" t="str">
        <f>IF(tblMovimientos[[#This Row],[Producto]]="","",TRIM(LEFT(tblMovimientos[[#This Row],[Producto]],FIND(" · ",tblMovimientos[[#This Row],[Producto]]&amp;" · ")-1)))</f>
        <v/>
      </c>
      <c r="H1955" s="40" t="str">
        <f>IF(tblMovimientos[[#This Row],[SKU]]="","",IFERROR(INDEX(tblProductos[Unidad],MATCH(tblMovimientos[[#This Row],[SKU]],tblProductos[SKU],0)),"?"))</f>
        <v/>
      </c>
      <c r="I1955" s="39"/>
      <c r="J1955" s="47" t="str">
        <f>IF(tblMovimientos[[#This Row],[Tipo]]="","",IFERROR(INDEX(tblTiposMov[FactorStock],MATCH(tblMovimientos[[#This Row],[Tipo]],tblTiposMov[Tipo],0)),0))</f>
        <v/>
      </c>
      <c r="K19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5" s="37"/>
      <c r="O1955" s="37"/>
      <c r="P1955" s="37"/>
    </row>
    <row r="1956" spans="2:16" x14ac:dyDescent="0.25">
      <c r="B19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6" s="46"/>
      <c r="D1956" s="37"/>
      <c r="E1956" s="37"/>
      <c r="F1956" s="37"/>
      <c r="G1956" s="40" t="str">
        <f>IF(tblMovimientos[[#This Row],[Producto]]="","",TRIM(LEFT(tblMovimientos[[#This Row],[Producto]],FIND(" · ",tblMovimientos[[#This Row],[Producto]]&amp;" · ")-1)))</f>
        <v/>
      </c>
      <c r="H1956" s="40" t="str">
        <f>IF(tblMovimientos[[#This Row],[SKU]]="","",IFERROR(INDEX(tblProductos[Unidad],MATCH(tblMovimientos[[#This Row],[SKU]],tblProductos[SKU],0)),"?"))</f>
        <v/>
      </c>
      <c r="I1956" s="39"/>
      <c r="J1956" s="47" t="str">
        <f>IF(tblMovimientos[[#This Row],[Tipo]]="","",IFERROR(INDEX(tblTiposMov[FactorStock],MATCH(tblMovimientos[[#This Row],[Tipo]],tblTiposMov[Tipo],0)),0))</f>
        <v/>
      </c>
      <c r="K19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6" s="37"/>
      <c r="O1956" s="37"/>
      <c r="P1956" s="37"/>
    </row>
    <row r="1957" spans="2:16" x14ac:dyDescent="0.25">
      <c r="B19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7" s="46"/>
      <c r="D1957" s="37"/>
      <c r="E1957" s="37"/>
      <c r="F1957" s="37"/>
      <c r="G1957" s="40" t="str">
        <f>IF(tblMovimientos[[#This Row],[Producto]]="","",TRIM(LEFT(tblMovimientos[[#This Row],[Producto]],FIND(" · ",tblMovimientos[[#This Row],[Producto]]&amp;" · ")-1)))</f>
        <v/>
      </c>
      <c r="H1957" s="40" t="str">
        <f>IF(tblMovimientos[[#This Row],[SKU]]="","",IFERROR(INDEX(tblProductos[Unidad],MATCH(tblMovimientos[[#This Row],[SKU]],tblProductos[SKU],0)),"?"))</f>
        <v/>
      </c>
      <c r="I1957" s="39"/>
      <c r="J1957" s="47" t="str">
        <f>IF(tblMovimientos[[#This Row],[Tipo]]="","",IFERROR(INDEX(tblTiposMov[FactorStock],MATCH(tblMovimientos[[#This Row],[Tipo]],tblTiposMov[Tipo],0)),0))</f>
        <v/>
      </c>
      <c r="K19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7" s="37"/>
      <c r="O1957" s="37"/>
      <c r="P1957" s="37"/>
    </row>
    <row r="1958" spans="2:16" x14ac:dyDescent="0.25">
      <c r="B19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8" s="46"/>
      <c r="D1958" s="37"/>
      <c r="E1958" s="37"/>
      <c r="F1958" s="37"/>
      <c r="G1958" s="40" t="str">
        <f>IF(tblMovimientos[[#This Row],[Producto]]="","",TRIM(LEFT(tblMovimientos[[#This Row],[Producto]],FIND(" · ",tblMovimientos[[#This Row],[Producto]]&amp;" · ")-1)))</f>
        <v/>
      </c>
      <c r="H1958" s="40" t="str">
        <f>IF(tblMovimientos[[#This Row],[SKU]]="","",IFERROR(INDEX(tblProductos[Unidad],MATCH(tblMovimientos[[#This Row],[SKU]],tblProductos[SKU],0)),"?"))</f>
        <v/>
      </c>
      <c r="I1958" s="39"/>
      <c r="J1958" s="47" t="str">
        <f>IF(tblMovimientos[[#This Row],[Tipo]]="","",IFERROR(INDEX(tblTiposMov[FactorStock],MATCH(tblMovimientos[[#This Row],[Tipo]],tblTiposMov[Tipo],0)),0))</f>
        <v/>
      </c>
      <c r="K19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8" s="37"/>
      <c r="O1958" s="37"/>
      <c r="P1958" s="37"/>
    </row>
    <row r="1959" spans="2:16" x14ac:dyDescent="0.25">
      <c r="B19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59" s="46"/>
      <c r="D1959" s="37"/>
      <c r="E1959" s="37"/>
      <c r="F1959" s="37"/>
      <c r="G1959" s="40" t="str">
        <f>IF(tblMovimientos[[#This Row],[Producto]]="","",TRIM(LEFT(tblMovimientos[[#This Row],[Producto]],FIND(" · ",tblMovimientos[[#This Row],[Producto]]&amp;" · ")-1)))</f>
        <v/>
      </c>
      <c r="H1959" s="40" t="str">
        <f>IF(tblMovimientos[[#This Row],[SKU]]="","",IFERROR(INDEX(tblProductos[Unidad],MATCH(tblMovimientos[[#This Row],[SKU]],tblProductos[SKU],0)),"?"))</f>
        <v/>
      </c>
      <c r="I1959" s="39"/>
      <c r="J1959" s="47" t="str">
        <f>IF(tblMovimientos[[#This Row],[Tipo]]="","",IFERROR(INDEX(tblTiposMov[FactorStock],MATCH(tblMovimientos[[#This Row],[Tipo]],tblTiposMov[Tipo],0)),0))</f>
        <v/>
      </c>
      <c r="K19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59" s="37"/>
      <c r="O1959" s="37"/>
      <c r="P1959" s="37"/>
    </row>
    <row r="1960" spans="2:16" x14ac:dyDescent="0.25">
      <c r="B19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0" s="46"/>
      <c r="D1960" s="37"/>
      <c r="E1960" s="37"/>
      <c r="F1960" s="37"/>
      <c r="G1960" s="40" t="str">
        <f>IF(tblMovimientos[[#This Row],[Producto]]="","",TRIM(LEFT(tblMovimientos[[#This Row],[Producto]],FIND(" · ",tblMovimientos[[#This Row],[Producto]]&amp;" · ")-1)))</f>
        <v/>
      </c>
      <c r="H1960" s="40" t="str">
        <f>IF(tblMovimientos[[#This Row],[SKU]]="","",IFERROR(INDEX(tblProductos[Unidad],MATCH(tblMovimientos[[#This Row],[SKU]],tblProductos[SKU],0)),"?"))</f>
        <v/>
      </c>
      <c r="I1960" s="39"/>
      <c r="J1960" s="47" t="str">
        <f>IF(tblMovimientos[[#This Row],[Tipo]]="","",IFERROR(INDEX(tblTiposMov[FactorStock],MATCH(tblMovimientos[[#This Row],[Tipo]],tblTiposMov[Tipo],0)),0))</f>
        <v/>
      </c>
      <c r="K19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0" s="37"/>
      <c r="O1960" s="37"/>
      <c r="P1960" s="37"/>
    </row>
    <row r="1961" spans="2:16" x14ac:dyDescent="0.25">
      <c r="B19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1" s="46"/>
      <c r="D1961" s="37"/>
      <c r="E1961" s="37"/>
      <c r="F1961" s="37"/>
      <c r="G1961" s="40" t="str">
        <f>IF(tblMovimientos[[#This Row],[Producto]]="","",TRIM(LEFT(tblMovimientos[[#This Row],[Producto]],FIND(" · ",tblMovimientos[[#This Row],[Producto]]&amp;" · ")-1)))</f>
        <v/>
      </c>
      <c r="H1961" s="40" t="str">
        <f>IF(tblMovimientos[[#This Row],[SKU]]="","",IFERROR(INDEX(tblProductos[Unidad],MATCH(tblMovimientos[[#This Row],[SKU]],tblProductos[SKU],0)),"?"))</f>
        <v/>
      </c>
      <c r="I1961" s="39"/>
      <c r="J1961" s="47" t="str">
        <f>IF(tblMovimientos[[#This Row],[Tipo]]="","",IFERROR(INDEX(tblTiposMov[FactorStock],MATCH(tblMovimientos[[#This Row],[Tipo]],tblTiposMov[Tipo],0)),0))</f>
        <v/>
      </c>
      <c r="K19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1" s="37"/>
      <c r="O1961" s="37"/>
      <c r="P1961" s="37"/>
    </row>
    <row r="1962" spans="2:16" x14ac:dyDescent="0.25">
      <c r="B19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2" s="46"/>
      <c r="D1962" s="37"/>
      <c r="E1962" s="37"/>
      <c r="F1962" s="37"/>
      <c r="G1962" s="40" t="str">
        <f>IF(tblMovimientos[[#This Row],[Producto]]="","",TRIM(LEFT(tblMovimientos[[#This Row],[Producto]],FIND(" · ",tblMovimientos[[#This Row],[Producto]]&amp;" · ")-1)))</f>
        <v/>
      </c>
      <c r="H1962" s="40" t="str">
        <f>IF(tblMovimientos[[#This Row],[SKU]]="","",IFERROR(INDEX(tblProductos[Unidad],MATCH(tblMovimientos[[#This Row],[SKU]],tblProductos[SKU],0)),"?"))</f>
        <v/>
      </c>
      <c r="I1962" s="39"/>
      <c r="J1962" s="47" t="str">
        <f>IF(tblMovimientos[[#This Row],[Tipo]]="","",IFERROR(INDEX(tblTiposMov[FactorStock],MATCH(tblMovimientos[[#This Row],[Tipo]],tblTiposMov[Tipo],0)),0))</f>
        <v/>
      </c>
      <c r="K19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2" s="37"/>
      <c r="O1962" s="37"/>
      <c r="P1962" s="37"/>
    </row>
    <row r="1963" spans="2:16" x14ac:dyDescent="0.25">
      <c r="B19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3" s="46"/>
      <c r="D1963" s="37"/>
      <c r="E1963" s="37"/>
      <c r="F1963" s="37"/>
      <c r="G1963" s="40" t="str">
        <f>IF(tblMovimientos[[#This Row],[Producto]]="","",TRIM(LEFT(tblMovimientos[[#This Row],[Producto]],FIND(" · ",tblMovimientos[[#This Row],[Producto]]&amp;" · ")-1)))</f>
        <v/>
      </c>
      <c r="H1963" s="40" t="str">
        <f>IF(tblMovimientos[[#This Row],[SKU]]="","",IFERROR(INDEX(tblProductos[Unidad],MATCH(tblMovimientos[[#This Row],[SKU]],tblProductos[SKU],0)),"?"))</f>
        <v/>
      </c>
      <c r="I1963" s="39"/>
      <c r="J1963" s="47" t="str">
        <f>IF(tblMovimientos[[#This Row],[Tipo]]="","",IFERROR(INDEX(tblTiposMov[FactorStock],MATCH(tblMovimientos[[#This Row],[Tipo]],tblTiposMov[Tipo],0)),0))</f>
        <v/>
      </c>
      <c r="K19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3" s="37"/>
      <c r="O1963" s="37"/>
      <c r="P1963" s="37"/>
    </row>
    <row r="1964" spans="2:16" x14ac:dyDescent="0.25">
      <c r="B19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4" s="46"/>
      <c r="D1964" s="37"/>
      <c r="E1964" s="37"/>
      <c r="F1964" s="37"/>
      <c r="G1964" s="40" t="str">
        <f>IF(tblMovimientos[[#This Row],[Producto]]="","",TRIM(LEFT(tblMovimientos[[#This Row],[Producto]],FIND(" · ",tblMovimientos[[#This Row],[Producto]]&amp;" · ")-1)))</f>
        <v/>
      </c>
      <c r="H1964" s="40" t="str">
        <f>IF(tblMovimientos[[#This Row],[SKU]]="","",IFERROR(INDEX(tblProductos[Unidad],MATCH(tblMovimientos[[#This Row],[SKU]],tblProductos[SKU],0)),"?"))</f>
        <v/>
      </c>
      <c r="I1964" s="39"/>
      <c r="J1964" s="47" t="str">
        <f>IF(tblMovimientos[[#This Row],[Tipo]]="","",IFERROR(INDEX(tblTiposMov[FactorStock],MATCH(tblMovimientos[[#This Row],[Tipo]],tblTiposMov[Tipo],0)),0))</f>
        <v/>
      </c>
      <c r="K19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4" s="37"/>
      <c r="O1964" s="37"/>
      <c r="P1964" s="37"/>
    </row>
    <row r="1965" spans="2:16" x14ac:dyDescent="0.25">
      <c r="B19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5" s="46"/>
      <c r="D1965" s="37"/>
      <c r="E1965" s="37"/>
      <c r="F1965" s="37"/>
      <c r="G1965" s="40" t="str">
        <f>IF(tblMovimientos[[#This Row],[Producto]]="","",TRIM(LEFT(tblMovimientos[[#This Row],[Producto]],FIND(" · ",tblMovimientos[[#This Row],[Producto]]&amp;" · ")-1)))</f>
        <v/>
      </c>
      <c r="H1965" s="40" t="str">
        <f>IF(tblMovimientos[[#This Row],[SKU]]="","",IFERROR(INDEX(tblProductos[Unidad],MATCH(tblMovimientos[[#This Row],[SKU]],tblProductos[SKU],0)),"?"))</f>
        <v/>
      </c>
      <c r="I1965" s="39"/>
      <c r="J1965" s="47" t="str">
        <f>IF(tblMovimientos[[#This Row],[Tipo]]="","",IFERROR(INDEX(tblTiposMov[FactorStock],MATCH(tblMovimientos[[#This Row],[Tipo]],tblTiposMov[Tipo],0)),0))</f>
        <v/>
      </c>
      <c r="K19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5" s="37"/>
      <c r="O1965" s="37"/>
      <c r="P1965" s="37"/>
    </row>
    <row r="1966" spans="2:16" x14ac:dyDescent="0.25">
      <c r="B19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6" s="46"/>
      <c r="D1966" s="37"/>
      <c r="E1966" s="37"/>
      <c r="F1966" s="37"/>
      <c r="G1966" s="40" t="str">
        <f>IF(tblMovimientos[[#This Row],[Producto]]="","",TRIM(LEFT(tblMovimientos[[#This Row],[Producto]],FIND(" · ",tblMovimientos[[#This Row],[Producto]]&amp;" · ")-1)))</f>
        <v/>
      </c>
      <c r="H1966" s="40" t="str">
        <f>IF(tblMovimientos[[#This Row],[SKU]]="","",IFERROR(INDEX(tblProductos[Unidad],MATCH(tblMovimientos[[#This Row],[SKU]],tblProductos[SKU],0)),"?"))</f>
        <v/>
      </c>
      <c r="I1966" s="39"/>
      <c r="J1966" s="47" t="str">
        <f>IF(tblMovimientos[[#This Row],[Tipo]]="","",IFERROR(INDEX(tblTiposMov[FactorStock],MATCH(tblMovimientos[[#This Row],[Tipo]],tblTiposMov[Tipo],0)),0))</f>
        <v/>
      </c>
      <c r="K19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6" s="37"/>
      <c r="O1966" s="37"/>
      <c r="P1966" s="37"/>
    </row>
    <row r="1967" spans="2:16" x14ac:dyDescent="0.25">
      <c r="B19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7" s="46"/>
      <c r="D1967" s="37"/>
      <c r="E1967" s="37"/>
      <c r="F1967" s="37"/>
      <c r="G1967" s="40" t="str">
        <f>IF(tblMovimientos[[#This Row],[Producto]]="","",TRIM(LEFT(tblMovimientos[[#This Row],[Producto]],FIND(" · ",tblMovimientos[[#This Row],[Producto]]&amp;" · ")-1)))</f>
        <v/>
      </c>
      <c r="H1967" s="40" t="str">
        <f>IF(tblMovimientos[[#This Row],[SKU]]="","",IFERROR(INDEX(tblProductos[Unidad],MATCH(tblMovimientos[[#This Row],[SKU]],tblProductos[SKU],0)),"?"))</f>
        <v/>
      </c>
      <c r="I1967" s="39"/>
      <c r="J1967" s="47" t="str">
        <f>IF(tblMovimientos[[#This Row],[Tipo]]="","",IFERROR(INDEX(tblTiposMov[FactorStock],MATCH(tblMovimientos[[#This Row],[Tipo]],tblTiposMov[Tipo],0)),0))</f>
        <v/>
      </c>
      <c r="K19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7" s="37"/>
      <c r="O1967" s="37"/>
      <c r="P1967" s="37"/>
    </row>
    <row r="1968" spans="2:16" x14ac:dyDescent="0.25">
      <c r="B19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8" s="46"/>
      <c r="D1968" s="37"/>
      <c r="E1968" s="37"/>
      <c r="F1968" s="37"/>
      <c r="G1968" s="40" t="str">
        <f>IF(tblMovimientos[[#This Row],[Producto]]="","",TRIM(LEFT(tblMovimientos[[#This Row],[Producto]],FIND(" · ",tblMovimientos[[#This Row],[Producto]]&amp;" · ")-1)))</f>
        <v/>
      </c>
      <c r="H1968" s="40" t="str">
        <f>IF(tblMovimientos[[#This Row],[SKU]]="","",IFERROR(INDEX(tblProductos[Unidad],MATCH(tblMovimientos[[#This Row],[SKU]],tblProductos[SKU],0)),"?"))</f>
        <v/>
      </c>
      <c r="I1968" s="39"/>
      <c r="J1968" s="47" t="str">
        <f>IF(tblMovimientos[[#This Row],[Tipo]]="","",IFERROR(INDEX(tblTiposMov[FactorStock],MATCH(tblMovimientos[[#This Row],[Tipo]],tblTiposMov[Tipo],0)),0))</f>
        <v/>
      </c>
      <c r="K19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8" s="37"/>
      <c r="O1968" s="37"/>
      <c r="P1968" s="37"/>
    </row>
    <row r="1969" spans="2:16" x14ac:dyDescent="0.25">
      <c r="B19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69" s="46"/>
      <c r="D1969" s="37"/>
      <c r="E1969" s="37"/>
      <c r="F1969" s="37"/>
      <c r="G1969" s="40" t="str">
        <f>IF(tblMovimientos[[#This Row],[Producto]]="","",TRIM(LEFT(tblMovimientos[[#This Row],[Producto]],FIND(" · ",tblMovimientos[[#This Row],[Producto]]&amp;" · ")-1)))</f>
        <v/>
      </c>
      <c r="H1969" s="40" t="str">
        <f>IF(tblMovimientos[[#This Row],[SKU]]="","",IFERROR(INDEX(tblProductos[Unidad],MATCH(tblMovimientos[[#This Row],[SKU]],tblProductos[SKU],0)),"?"))</f>
        <v/>
      </c>
      <c r="I1969" s="39"/>
      <c r="J1969" s="47" t="str">
        <f>IF(tblMovimientos[[#This Row],[Tipo]]="","",IFERROR(INDEX(tblTiposMov[FactorStock],MATCH(tblMovimientos[[#This Row],[Tipo]],tblTiposMov[Tipo],0)),0))</f>
        <v/>
      </c>
      <c r="K19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69" s="37"/>
      <c r="O1969" s="37"/>
      <c r="P1969" s="37"/>
    </row>
    <row r="1970" spans="2:16" x14ac:dyDescent="0.25">
      <c r="B19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0" s="46"/>
      <c r="D1970" s="37"/>
      <c r="E1970" s="37"/>
      <c r="F1970" s="37"/>
      <c r="G1970" s="40" t="str">
        <f>IF(tblMovimientos[[#This Row],[Producto]]="","",TRIM(LEFT(tblMovimientos[[#This Row],[Producto]],FIND(" · ",tblMovimientos[[#This Row],[Producto]]&amp;" · ")-1)))</f>
        <v/>
      </c>
      <c r="H1970" s="40" t="str">
        <f>IF(tblMovimientos[[#This Row],[SKU]]="","",IFERROR(INDEX(tblProductos[Unidad],MATCH(tblMovimientos[[#This Row],[SKU]],tblProductos[SKU],0)),"?"))</f>
        <v/>
      </c>
      <c r="I1970" s="39"/>
      <c r="J1970" s="47" t="str">
        <f>IF(tblMovimientos[[#This Row],[Tipo]]="","",IFERROR(INDEX(tblTiposMov[FactorStock],MATCH(tblMovimientos[[#This Row],[Tipo]],tblTiposMov[Tipo],0)),0))</f>
        <v/>
      </c>
      <c r="K19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0" s="37"/>
      <c r="O1970" s="37"/>
      <c r="P1970" s="37"/>
    </row>
    <row r="1971" spans="2:16" x14ac:dyDescent="0.25">
      <c r="B19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1" s="46"/>
      <c r="D1971" s="37"/>
      <c r="E1971" s="37"/>
      <c r="F1971" s="37"/>
      <c r="G1971" s="40" t="str">
        <f>IF(tblMovimientos[[#This Row],[Producto]]="","",TRIM(LEFT(tblMovimientos[[#This Row],[Producto]],FIND(" · ",tblMovimientos[[#This Row],[Producto]]&amp;" · ")-1)))</f>
        <v/>
      </c>
      <c r="H1971" s="40" t="str">
        <f>IF(tblMovimientos[[#This Row],[SKU]]="","",IFERROR(INDEX(tblProductos[Unidad],MATCH(tblMovimientos[[#This Row],[SKU]],tblProductos[SKU],0)),"?"))</f>
        <v/>
      </c>
      <c r="I1971" s="39"/>
      <c r="J1971" s="47" t="str">
        <f>IF(tblMovimientos[[#This Row],[Tipo]]="","",IFERROR(INDEX(tblTiposMov[FactorStock],MATCH(tblMovimientos[[#This Row],[Tipo]],tblTiposMov[Tipo],0)),0))</f>
        <v/>
      </c>
      <c r="K19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1" s="37"/>
      <c r="O1971" s="37"/>
      <c r="P1971" s="37"/>
    </row>
    <row r="1972" spans="2:16" x14ac:dyDescent="0.25">
      <c r="B19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2" s="46"/>
      <c r="D1972" s="37"/>
      <c r="E1972" s="37"/>
      <c r="F1972" s="37"/>
      <c r="G1972" s="40" t="str">
        <f>IF(tblMovimientos[[#This Row],[Producto]]="","",TRIM(LEFT(tblMovimientos[[#This Row],[Producto]],FIND(" · ",tblMovimientos[[#This Row],[Producto]]&amp;" · ")-1)))</f>
        <v/>
      </c>
      <c r="H1972" s="40" t="str">
        <f>IF(tblMovimientos[[#This Row],[SKU]]="","",IFERROR(INDEX(tblProductos[Unidad],MATCH(tblMovimientos[[#This Row],[SKU]],tblProductos[SKU],0)),"?"))</f>
        <v/>
      </c>
      <c r="I1972" s="39"/>
      <c r="J1972" s="47" t="str">
        <f>IF(tblMovimientos[[#This Row],[Tipo]]="","",IFERROR(INDEX(tblTiposMov[FactorStock],MATCH(tblMovimientos[[#This Row],[Tipo]],tblTiposMov[Tipo],0)),0))</f>
        <v/>
      </c>
      <c r="K19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2" s="37"/>
      <c r="O1972" s="37"/>
      <c r="P1972" s="37"/>
    </row>
    <row r="1973" spans="2:16" x14ac:dyDescent="0.25">
      <c r="B19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3" s="46"/>
      <c r="D1973" s="37"/>
      <c r="E1973" s="37"/>
      <c r="F1973" s="37"/>
      <c r="G1973" s="40" t="str">
        <f>IF(tblMovimientos[[#This Row],[Producto]]="","",TRIM(LEFT(tblMovimientos[[#This Row],[Producto]],FIND(" · ",tblMovimientos[[#This Row],[Producto]]&amp;" · ")-1)))</f>
        <v/>
      </c>
      <c r="H1973" s="40" t="str">
        <f>IF(tblMovimientos[[#This Row],[SKU]]="","",IFERROR(INDEX(tblProductos[Unidad],MATCH(tblMovimientos[[#This Row],[SKU]],tblProductos[SKU],0)),"?"))</f>
        <v/>
      </c>
      <c r="I1973" s="39"/>
      <c r="J1973" s="47" t="str">
        <f>IF(tblMovimientos[[#This Row],[Tipo]]="","",IFERROR(INDEX(tblTiposMov[FactorStock],MATCH(tblMovimientos[[#This Row],[Tipo]],tblTiposMov[Tipo],0)),0))</f>
        <v/>
      </c>
      <c r="K19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3" s="37"/>
      <c r="O1973" s="37"/>
      <c r="P1973" s="37"/>
    </row>
    <row r="1974" spans="2:16" x14ac:dyDescent="0.25">
      <c r="B19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4" s="46"/>
      <c r="D1974" s="37"/>
      <c r="E1974" s="37"/>
      <c r="F1974" s="37"/>
      <c r="G1974" s="40" t="str">
        <f>IF(tblMovimientos[[#This Row],[Producto]]="","",TRIM(LEFT(tblMovimientos[[#This Row],[Producto]],FIND(" · ",tblMovimientos[[#This Row],[Producto]]&amp;" · ")-1)))</f>
        <v/>
      </c>
      <c r="H1974" s="40" t="str">
        <f>IF(tblMovimientos[[#This Row],[SKU]]="","",IFERROR(INDEX(tblProductos[Unidad],MATCH(tblMovimientos[[#This Row],[SKU]],tblProductos[SKU],0)),"?"))</f>
        <v/>
      </c>
      <c r="I1974" s="39"/>
      <c r="J1974" s="47" t="str">
        <f>IF(tblMovimientos[[#This Row],[Tipo]]="","",IFERROR(INDEX(tblTiposMov[FactorStock],MATCH(tblMovimientos[[#This Row],[Tipo]],tblTiposMov[Tipo],0)),0))</f>
        <v/>
      </c>
      <c r="K19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4" s="37"/>
      <c r="O1974" s="37"/>
      <c r="P1974" s="37"/>
    </row>
    <row r="1975" spans="2:16" x14ac:dyDescent="0.25">
      <c r="B19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5" s="46"/>
      <c r="D1975" s="37"/>
      <c r="E1975" s="37"/>
      <c r="F1975" s="37"/>
      <c r="G1975" s="40" t="str">
        <f>IF(tblMovimientos[[#This Row],[Producto]]="","",TRIM(LEFT(tblMovimientos[[#This Row],[Producto]],FIND(" · ",tblMovimientos[[#This Row],[Producto]]&amp;" · ")-1)))</f>
        <v/>
      </c>
      <c r="H1975" s="40" t="str">
        <f>IF(tblMovimientos[[#This Row],[SKU]]="","",IFERROR(INDEX(tblProductos[Unidad],MATCH(tblMovimientos[[#This Row],[SKU]],tblProductos[SKU],0)),"?"))</f>
        <v/>
      </c>
      <c r="I1975" s="39"/>
      <c r="J1975" s="47" t="str">
        <f>IF(tblMovimientos[[#This Row],[Tipo]]="","",IFERROR(INDEX(tblTiposMov[FactorStock],MATCH(tblMovimientos[[#This Row],[Tipo]],tblTiposMov[Tipo],0)),0))</f>
        <v/>
      </c>
      <c r="K19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5" s="37"/>
      <c r="O1975" s="37"/>
      <c r="P1975" s="37"/>
    </row>
    <row r="1976" spans="2:16" x14ac:dyDescent="0.25">
      <c r="B19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6" s="46"/>
      <c r="D1976" s="37"/>
      <c r="E1976" s="37"/>
      <c r="F1976" s="37"/>
      <c r="G1976" s="40" t="str">
        <f>IF(tblMovimientos[[#This Row],[Producto]]="","",TRIM(LEFT(tblMovimientos[[#This Row],[Producto]],FIND(" · ",tblMovimientos[[#This Row],[Producto]]&amp;" · ")-1)))</f>
        <v/>
      </c>
      <c r="H1976" s="40" t="str">
        <f>IF(tblMovimientos[[#This Row],[SKU]]="","",IFERROR(INDEX(tblProductos[Unidad],MATCH(tblMovimientos[[#This Row],[SKU]],tblProductos[SKU],0)),"?"))</f>
        <v/>
      </c>
      <c r="I1976" s="39"/>
      <c r="J1976" s="47" t="str">
        <f>IF(tblMovimientos[[#This Row],[Tipo]]="","",IFERROR(INDEX(tblTiposMov[FactorStock],MATCH(tblMovimientos[[#This Row],[Tipo]],tblTiposMov[Tipo],0)),0))</f>
        <v/>
      </c>
      <c r="K19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6" s="37"/>
      <c r="O1976" s="37"/>
      <c r="P1976" s="37"/>
    </row>
    <row r="1977" spans="2:16" x14ac:dyDescent="0.25">
      <c r="B19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7" s="46"/>
      <c r="D1977" s="37"/>
      <c r="E1977" s="37"/>
      <c r="F1977" s="37"/>
      <c r="G1977" s="40" t="str">
        <f>IF(tblMovimientos[[#This Row],[Producto]]="","",TRIM(LEFT(tblMovimientos[[#This Row],[Producto]],FIND(" · ",tblMovimientos[[#This Row],[Producto]]&amp;" · ")-1)))</f>
        <v/>
      </c>
      <c r="H1977" s="40" t="str">
        <f>IF(tblMovimientos[[#This Row],[SKU]]="","",IFERROR(INDEX(tblProductos[Unidad],MATCH(tblMovimientos[[#This Row],[SKU]],tblProductos[SKU],0)),"?"))</f>
        <v/>
      </c>
      <c r="I1977" s="39"/>
      <c r="J1977" s="47" t="str">
        <f>IF(tblMovimientos[[#This Row],[Tipo]]="","",IFERROR(INDEX(tblTiposMov[FactorStock],MATCH(tblMovimientos[[#This Row],[Tipo]],tblTiposMov[Tipo],0)),0))</f>
        <v/>
      </c>
      <c r="K19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7" s="37"/>
      <c r="O1977" s="37"/>
      <c r="P1977" s="37"/>
    </row>
    <row r="1978" spans="2:16" x14ac:dyDescent="0.25">
      <c r="B19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8" s="46"/>
      <c r="D1978" s="37"/>
      <c r="E1978" s="37"/>
      <c r="F1978" s="37"/>
      <c r="G1978" s="40" t="str">
        <f>IF(tblMovimientos[[#This Row],[Producto]]="","",TRIM(LEFT(tblMovimientos[[#This Row],[Producto]],FIND(" · ",tblMovimientos[[#This Row],[Producto]]&amp;" · ")-1)))</f>
        <v/>
      </c>
      <c r="H1978" s="40" t="str">
        <f>IF(tblMovimientos[[#This Row],[SKU]]="","",IFERROR(INDEX(tblProductos[Unidad],MATCH(tblMovimientos[[#This Row],[SKU]],tblProductos[SKU],0)),"?"))</f>
        <v/>
      </c>
      <c r="I1978" s="39"/>
      <c r="J1978" s="47" t="str">
        <f>IF(tblMovimientos[[#This Row],[Tipo]]="","",IFERROR(INDEX(tblTiposMov[FactorStock],MATCH(tblMovimientos[[#This Row],[Tipo]],tblTiposMov[Tipo],0)),0))</f>
        <v/>
      </c>
      <c r="K19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8" s="37"/>
      <c r="O1978" s="37"/>
      <c r="P1978" s="37"/>
    </row>
    <row r="1979" spans="2:16" x14ac:dyDescent="0.25">
      <c r="B19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79" s="46"/>
      <c r="D1979" s="37"/>
      <c r="E1979" s="37"/>
      <c r="F1979" s="37"/>
      <c r="G1979" s="40" t="str">
        <f>IF(tblMovimientos[[#This Row],[Producto]]="","",TRIM(LEFT(tblMovimientos[[#This Row],[Producto]],FIND(" · ",tblMovimientos[[#This Row],[Producto]]&amp;" · ")-1)))</f>
        <v/>
      </c>
      <c r="H1979" s="40" t="str">
        <f>IF(tblMovimientos[[#This Row],[SKU]]="","",IFERROR(INDEX(tblProductos[Unidad],MATCH(tblMovimientos[[#This Row],[SKU]],tblProductos[SKU],0)),"?"))</f>
        <v/>
      </c>
      <c r="I1979" s="39"/>
      <c r="J1979" s="47" t="str">
        <f>IF(tblMovimientos[[#This Row],[Tipo]]="","",IFERROR(INDEX(tblTiposMov[FactorStock],MATCH(tblMovimientos[[#This Row],[Tipo]],tblTiposMov[Tipo],0)),0))</f>
        <v/>
      </c>
      <c r="K19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79" s="37"/>
      <c r="O1979" s="37"/>
      <c r="P1979" s="37"/>
    </row>
    <row r="1980" spans="2:16" x14ac:dyDescent="0.25">
      <c r="B19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0" s="46"/>
      <c r="D1980" s="37"/>
      <c r="E1980" s="37"/>
      <c r="F1980" s="37"/>
      <c r="G1980" s="40" t="str">
        <f>IF(tblMovimientos[[#This Row],[Producto]]="","",TRIM(LEFT(tblMovimientos[[#This Row],[Producto]],FIND(" · ",tblMovimientos[[#This Row],[Producto]]&amp;" · ")-1)))</f>
        <v/>
      </c>
      <c r="H1980" s="40" t="str">
        <f>IF(tblMovimientos[[#This Row],[SKU]]="","",IFERROR(INDEX(tblProductos[Unidad],MATCH(tblMovimientos[[#This Row],[SKU]],tblProductos[SKU],0)),"?"))</f>
        <v/>
      </c>
      <c r="I1980" s="39"/>
      <c r="J1980" s="47" t="str">
        <f>IF(tblMovimientos[[#This Row],[Tipo]]="","",IFERROR(INDEX(tblTiposMov[FactorStock],MATCH(tblMovimientos[[#This Row],[Tipo]],tblTiposMov[Tipo],0)),0))</f>
        <v/>
      </c>
      <c r="K19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0" s="37"/>
      <c r="O1980" s="37"/>
      <c r="P1980" s="37"/>
    </row>
    <row r="1981" spans="2:16" x14ac:dyDescent="0.25">
      <c r="B19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1" s="46"/>
      <c r="D1981" s="37"/>
      <c r="E1981" s="37"/>
      <c r="F1981" s="37"/>
      <c r="G1981" s="40" t="str">
        <f>IF(tblMovimientos[[#This Row],[Producto]]="","",TRIM(LEFT(tblMovimientos[[#This Row],[Producto]],FIND(" · ",tblMovimientos[[#This Row],[Producto]]&amp;" · ")-1)))</f>
        <v/>
      </c>
      <c r="H1981" s="40" t="str">
        <f>IF(tblMovimientos[[#This Row],[SKU]]="","",IFERROR(INDEX(tblProductos[Unidad],MATCH(tblMovimientos[[#This Row],[SKU]],tblProductos[SKU],0)),"?"))</f>
        <v/>
      </c>
      <c r="I1981" s="39"/>
      <c r="J1981" s="47" t="str">
        <f>IF(tblMovimientos[[#This Row],[Tipo]]="","",IFERROR(INDEX(tblTiposMov[FactorStock],MATCH(tblMovimientos[[#This Row],[Tipo]],tblTiposMov[Tipo],0)),0))</f>
        <v/>
      </c>
      <c r="K19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1" s="37"/>
      <c r="O1981" s="37"/>
      <c r="P1981" s="37"/>
    </row>
    <row r="1982" spans="2:16" x14ac:dyDescent="0.25">
      <c r="B19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2" s="46"/>
      <c r="D1982" s="37"/>
      <c r="E1982" s="37"/>
      <c r="F1982" s="37"/>
      <c r="G1982" s="40" t="str">
        <f>IF(tblMovimientos[[#This Row],[Producto]]="","",TRIM(LEFT(tblMovimientos[[#This Row],[Producto]],FIND(" · ",tblMovimientos[[#This Row],[Producto]]&amp;" · ")-1)))</f>
        <v/>
      </c>
      <c r="H1982" s="40" t="str">
        <f>IF(tblMovimientos[[#This Row],[SKU]]="","",IFERROR(INDEX(tblProductos[Unidad],MATCH(tblMovimientos[[#This Row],[SKU]],tblProductos[SKU],0)),"?"))</f>
        <v/>
      </c>
      <c r="I1982" s="39"/>
      <c r="J1982" s="47" t="str">
        <f>IF(tblMovimientos[[#This Row],[Tipo]]="","",IFERROR(INDEX(tblTiposMov[FactorStock],MATCH(tblMovimientos[[#This Row],[Tipo]],tblTiposMov[Tipo],0)),0))</f>
        <v/>
      </c>
      <c r="K19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2" s="37"/>
      <c r="O1982" s="37"/>
      <c r="P1982" s="37"/>
    </row>
    <row r="1983" spans="2:16" x14ac:dyDescent="0.25">
      <c r="B19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3" s="46"/>
      <c r="D1983" s="37"/>
      <c r="E1983" s="37"/>
      <c r="F1983" s="37"/>
      <c r="G1983" s="40" t="str">
        <f>IF(tblMovimientos[[#This Row],[Producto]]="","",TRIM(LEFT(tblMovimientos[[#This Row],[Producto]],FIND(" · ",tblMovimientos[[#This Row],[Producto]]&amp;" · ")-1)))</f>
        <v/>
      </c>
      <c r="H1983" s="40" t="str">
        <f>IF(tblMovimientos[[#This Row],[SKU]]="","",IFERROR(INDEX(tblProductos[Unidad],MATCH(tblMovimientos[[#This Row],[SKU]],tblProductos[SKU],0)),"?"))</f>
        <v/>
      </c>
      <c r="I1983" s="39"/>
      <c r="J1983" s="47" t="str">
        <f>IF(tblMovimientos[[#This Row],[Tipo]]="","",IFERROR(INDEX(tblTiposMov[FactorStock],MATCH(tblMovimientos[[#This Row],[Tipo]],tblTiposMov[Tipo],0)),0))</f>
        <v/>
      </c>
      <c r="K19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3" s="37"/>
      <c r="O1983" s="37"/>
      <c r="P1983" s="37"/>
    </row>
    <row r="1984" spans="2:16" x14ac:dyDescent="0.25">
      <c r="B19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4" s="46"/>
      <c r="D1984" s="37"/>
      <c r="E1984" s="37"/>
      <c r="F1984" s="37"/>
      <c r="G1984" s="40" t="str">
        <f>IF(tblMovimientos[[#This Row],[Producto]]="","",TRIM(LEFT(tblMovimientos[[#This Row],[Producto]],FIND(" · ",tblMovimientos[[#This Row],[Producto]]&amp;" · ")-1)))</f>
        <v/>
      </c>
      <c r="H1984" s="40" t="str">
        <f>IF(tblMovimientos[[#This Row],[SKU]]="","",IFERROR(INDEX(tblProductos[Unidad],MATCH(tblMovimientos[[#This Row],[SKU]],tblProductos[SKU],0)),"?"))</f>
        <v/>
      </c>
      <c r="I1984" s="39"/>
      <c r="J1984" s="47" t="str">
        <f>IF(tblMovimientos[[#This Row],[Tipo]]="","",IFERROR(INDEX(tblTiposMov[FactorStock],MATCH(tblMovimientos[[#This Row],[Tipo]],tblTiposMov[Tipo],0)),0))</f>
        <v/>
      </c>
      <c r="K19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4" s="37"/>
      <c r="O1984" s="37"/>
      <c r="P1984" s="37"/>
    </row>
    <row r="1985" spans="2:16" x14ac:dyDescent="0.25">
      <c r="B19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5" s="46"/>
      <c r="D1985" s="37"/>
      <c r="E1985" s="37"/>
      <c r="F1985" s="37"/>
      <c r="G1985" s="40" t="str">
        <f>IF(tblMovimientos[[#This Row],[Producto]]="","",TRIM(LEFT(tblMovimientos[[#This Row],[Producto]],FIND(" · ",tblMovimientos[[#This Row],[Producto]]&amp;" · ")-1)))</f>
        <v/>
      </c>
      <c r="H1985" s="40" t="str">
        <f>IF(tblMovimientos[[#This Row],[SKU]]="","",IFERROR(INDEX(tblProductos[Unidad],MATCH(tblMovimientos[[#This Row],[SKU]],tblProductos[SKU],0)),"?"))</f>
        <v/>
      </c>
      <c r="I1985" s="39"/>
      <c r="J1985" s="47" t="str">
        <f>IF(tblMovimientos[[#This Row],[Tipo]]="","",IFERROR(INDEX(tblTiposMov[FactorStock],MATCH(tblMovimientos[[#This Row],[Tipo]],tblTiposMov[Tipo],0)),0))</f>
        <v/>
      </c>
      <c r="K19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5" s="37"/>
      <c r="O1985" s="37"/>
      <c r="P1985" s="37"/>
    </row>
    <row r="1986" spans="2:16" x14ac:dyDescent="0.25">
      <c r="B19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6" s="46"/>
      <c r="D1986" s="37"/>
      <c r="E1986" s="37"/>
      <c r="F1986" s="37"/>
      <c r="G1986" s="40" t="str">
        <f>IF(tblMovimientos[[#This Row],[Producto]]="","",TRIM(LEFT(tblMovimientos[[#This Row],[Producto]],FIND(" · ",tblMovimientos[[#This Row],[Producto]]&amp;" · ")-1)))</f>
        <v/>
      </c>
      <c r="H1986" s="40" t="str">
        <f>IF(tblMovimientos[[#This Row],[SKU]]="","",IFERROR(INDEX(tblProductos[Unidad],MATCH(tblMovimientos[[#This Row],[SKU]],tblProductos[SKU],0)),"?"))</f>
        <v/>
      </c>
      <c r="I1986" s="39"/>
      <c r="J1986" s="47" t="str">
        <f>IF(tblMovimientos[[#This Row],[Tipo]]="","",IFERROR(INDEX(tblTiposMov[FactorStock],MATCH(tblMovimientos[[#This Row],[Tipo]],tblTiposMov[Tipo],0)),0))</f>
        <v/>
      </c>
      <c r="K19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6" s="37"/>
      <c r="O1986" s="37"/>
      <c r="P1986" s="37"/>
    </row>
    <row r="1987" spans="2:16" x14ac:dyDescent="0.25">
      <c r="B19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7" s="46"/>
      <c r="D1987" s="37"/>
      <c r="E1987" s="37"/>
      <c r="F1987" s="37"/>
      <c r="G1987" s="40" t="str">
        <f>IF(tblMovimientos[[#This Row],[Producto]]="","",TRIM(LEFT(tblMovimientos[[#This Row],[Producto]],FIND(" · ",tblMovimientos[[#This Row],[Producto]]&amp;" · ")-1)))</f>
        <v/>
      </c>
      <c r="H1987" s="40" t="str">
        <f>IF(tblMovimientos[[#This Row],[SKU]]="","",IFERROR(INDEX(tblProductos[Unidad],MATCH(tblMovimientos[[#This Row],[SKU]],tblProductos[SKU],0)),"?"))</f>
        <v/>
      </c>
      <c r="I1987" s="39"/>
      <c r="J1987" s="47" t="str">
        <f>IF(tblMovimientos[[#This Row],[Tipo]]="","",IFERROR(INDEX(tblTiposMov[FactorStock],MATCH(tblMovimientos[[#This Row],[Tipo]],tblTiposMov[Tipo],0)),0))</f>
        <v/>
      </c>
      <c r="K19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7" s="37"/>
      <c r="O1987" s="37"/>
      <c r="P1987" s="37"/>
    </row>
    <row r="1988" spans="2:16" x14ac:dyDescent="0.25">
      <c r="B19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8" s="46"/>
      <c r="D1988" s="37"/>
      <c r="E1988" s="37"/>
      <c r="F1988" s="37"/>
      <c r="G1988" s="40" t="str">
        <f>IF(tblMovimientos[[#This Row],[Producto]]="","",TRIM(LEFT(tblMovimientos[[#This Row],[Producto]],FIND(" · ",tblMovimientos[[#This Row],[Producto]]&amp;" · ")-1)))</f>
        <v/>
      </c>
      <c r="H1988" s="40" t="str">
        <f>IF(tblMovimientos[[#This Row],[SKU]]="","",IFERROR(INDEX(tblProductos[Unidad],MATCH(tblMovimientos[[#This Row],[SKU]],tblProductos[SKU],0)),"?"))</f>
        <v/>
      </c>
      <c r="I1988" s="39"/>
      <c r="J1988" s="47" t="str">
        <f>IF(tblMovimientos[[#This Row],[Tipo]]="","",IFERROR(INDEX(tblTiposMov[FactorStock],MATCH(tblMovimientos[[#This Row],[Tipo]],tblTiposMov[Tipo],0)),0))</f>
        <v/>
      </c>
      <c r="K19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8" s="37"/>
      <c r="O1988" s="37"/>
      <c r="P1988" s="37"/>
    </row>
    <row r="1989" spans="2:16" x14ac:dyDescent="0.25">
      <c r="B19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89" s="46"/>
      <c r="D1989" s="37"/>
      <c r="E1989" s="37"/>
      <c r="F1989" s="37"/>
      <c r="G1989" s="40" t="str">
        <f>IF(tblMovimientos[[#This Row],[Producto]]="","",TRIM(LEFT(tblMovimientos[[#This Row],[Producto]],FIND(" · ",tblMovimientos[[#This Row],[Producto]]&amp;" · ")-1)))</f>
        <v/>
      </c>
      <c r="H1989" s="40" t="str">
        <f>IF(tblMovimientos[[#This Row],[SKU]]="","",IFERROR(INDEX(tblProductos[Unidad],MATCH(tblMovimientos[[#This Row],[SKU]],tblProductos[SKU],0)),"?"))</f>
        <v/>
      </c>
      <c r="I1989" s="39"/>
      <c r="J1989" s="47" t="str">
        <f>IF(tblMovimientos[[#This Row],[Tipo]]="","",IFERROR(INDEX(tblTiposMov[FactorStock],MATCH(tblMovimientos[[#This Row],[Tipo]],tblTiposMov[Tipo],0)),0))</f>
        <v/>
      </c>
      <c r="K19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89" s="37"/>
      <c r="O1989" s="37"/>
      <c r="P1989" s="37"/>
    </row>
    <row r="1990" spans="2:16" x14ac:dyDescent="0.25">
      <c r="B19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0" s="46"/>
      <c r="D1990" s="37"/>
      <c r="E1990" s="37"/>
      <c r="F1990" s="37"/>
      <c r="G1990" s="40" t="str">
        <f>IF(tblMovimientos[[#This Row],[Producto]]="","",TRIM(LEFT(tblMovimientos[[#This Row],[Producto]],FIND(" · ",tblMovimientos[[#This Row],[Producto]]&amp;" · ")-1)))</f>
        <v/>
      </c>
      <c r="H1990" s="40" t="str">
        <f>IF(tblMovimientos[[#This Row],[SKU]]="","",IFERROR(INDEX(tblProductos[Unidad],MATCH(tblMovimientos[[#This Row],[SKU]],tblProductos[SKU],0)),"?"))</f>
        <v/>
      </c>
      <c r="I1990" s="39"/>
      <c r="J1990" s="47" t="str">
        <f>IF(tblMovimientos[[#This Row],[Tipo]]="","",IFERROR(INDEX(tblTiposMov[FactorStock],MATCH(tblMovimientos[[#This Row],[Tipo]],tblTiposMov[Tipo],0)),0))</f>
        <v/>
      </c>
      <c r="K19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0" s="37"/>
      <c r="O1990" s="37"/>
      <c r="P1990" s="37"/>
    </row>
    <row r="1991" spans="2:16" x14ac:dyDescent="0.25">
      <c r="B19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1" s="46"/>
      <c r="D1991" s="37"/>
      <c r="E1991" s="37"/>
      <c r="F1991" s="37"/>
      <c r="G1991" s="40" t="str">
        <f>IF(tblMovimientos[[#This Row],[Producto]]="","",TRIM(LEFT(tblMovimientos[[#This Row],[Producto]],FIND(" · ",tblMovimientos[[#This Row],[Producto]]&amp;" · ")-1)))</f>
        <v/>
      </c>
      <c r="H1991" s="40" t="str">
        <f>IF(tblMovimientos[[#This Row],[SKU]]="","",IFERROR(INDEX(tblProductos[Unidad],MATCH(tblMovimientos[[#This Row],[SKU]],tblProductos[SKU],0)),"?"))</f>
        <v/>
      </c>
      <c r="I1991" s="39"/>
      <c r="J1991" s="47" t="str">
        <f>IF(tblMovimientos[[#This Row],[Tipo]]="","",IFERROR(INDEX(tblTiposMov[FactorStock],MATCH(tblMovimientos[[#This Row],[Tipo]],tblTiposMov[Tipo],0)),0))</f>
        <v/>
      </c>
      <c r="K19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1" s="37"/>
      <c r="O1991" s="37"/>
      <c r="P1991" s="37"/>
    </row>
    <row r="1992" spans="2:16" x14ac:dyDescent="0.25">
      <c r="B19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2" s="46"/>
      <c r="D1992" s="37"/>
      <c r="E1992" s="37"/>
      <c r="F1992" s="37"/>
      <c r="G1992" s="40" t="str">
        <f>IF(tblMovimientos[[#This Row],[Producto]]="","",TRIM(LEFT(tblMovimientos[[#This Row],[Producto]],FIND(" · ",tblMovimientos[[#This Row],[Producto]]&amp;" · ")-1)))</f>
        <v/>
      </c>
      <c r="H1992" s="40" t="str">
        <f>IF(tblMovimientos[[#This Row],[SKU]]="","",IFERROR(INDEX(tblProductos[Unidad],MATCH(tblMovimientos[[#This Row],[SKU]],tblProductos[SKU],0)),"?"))</f>
        <v/>
      </c>
      <c r="I1992" s="39"/>
      <c r="J1992" s="47" t="str">
        <f>IF(tblMovimientos[[#This Row],[Tipo]]="","",IFERROR(INDEX(tblTiposMov[FactorStock],MATCH(tblMovimientos[[#This Row],[Tipo]],tblTiposMov[Tipo],0)),0))</f>
        <v/>
      </c>
      <c r="K19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2" s="37"/>
      <c r="O1992" s="37"/>
      <c r="P1992" s="37"/>
    </row>
    <row r="1993" spans="2:16" x14ac:dyDescent="0.25">
      <c r="B19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3" s="46"/>
      <c r="D1993" s="37"/>
      <c r="E1993" s="37"/>
      <c r="F1993" s="37"/>
      <c r="G1993" s="40" t="str">
        <f>IF(tblMovimientos[[#This Row],[Producto]]="","",TRIM(LEFT(tblMovimientos[[#This Row],[Producto]],FIND(" · ",tblMovimientos[[#This Row],[Producto]]&amp;" · ")-1)))</f>
        <v/>
      </c>
      <c r="H1993" s="40" t="str">
        <f>IF(tblMovimientos[[#This Row],[SKU]]="","",IFERROR(INDEX(tblProductos[Unidad],MATCH(tblMovimientos[[#This Row],[SKU]],tblProductos[SKU],0)),"?"))</f>
        <v/>
      </c>
      <c r="I1993" s="39"/>
      <c r="J1993" s="47" t="str">
        <f>IF(tblMovimientos[[#This Row],[Tipo]]="","",IFERROR(INDEX(tblTiposMov[FactorStock],MATCH(tblMovimientos[[#This Row],[Tipo]],tblTiposMov[Tipo],0)),0))</f>
        <v/>
      </c>
      <c r="K19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3" s="37"/>
      <c r="O1993" s="37"/>
      <c r="P1993" s="37"/>
    </row>
    <row r="1994" spans="2:16" x14ac:dyDescent="0.25">
      <c r="B19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4" s="46"/>
      <c r="D1994" s="37"/>
      <c r="E1994" s="37"/>
      <c r="F1994" s="37"/>
      <c r="G1994" s="40" t="str">
        <f>IF(tblMovimientos[[#This Row],[Producto]]="","",TRIM(LEFT(tblMovimientos[[#This Row],[Producto]],FIND(" · ",tblMovimientos[[#This Row],[Producto]]&amp;" · ")-1)))</f>
        <v/>
      </c>
      <c r="H1994" s="40" t="str">
        <f>IF(tblMovimientos[[#This Row],[SKU]]="","",IFERROR(INDEX(tblProductos[Unidad],MATCH(tblMovimientos[[#This Row],[SKU]],tblProductos[SKU],0)),"?"))</f>
        <v/>
      </c>
      <c r="I1994" s="39"/>
      <c r="J1994" s="47" t="str">
        <f>IF(tblMovimientos[[#This Row],[Tipo]]="","",IFERROR(INDEX(tblTiposMov[FactorStock],MATCH(tblMovimientos[[#This Row],[Tipo]],tblTiposMov[Tipo],0)),0))</f>
        <v/>
      </c>
      <c r="K19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4" s="37"/>
      <c r="O1994" s="37"/>
      <c r="P1994" s="37"/>
    </row>
    <row r="1995" spans="2:16" x14ac:dyDescent="0.25">
      <c r="B19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5" s="46"/>
      <c r="D1995" s="37"/>
      <c r="E1995" s="37"/>
      <c r="F1995" s="37"/>
      <c r="G1995" s="40" t="str">
        <f>IF(tblMovimientos[[#This Row],[Producto]]="","",TRIM(LEFT(tblMovimientos[[#This Row],[Producto]],FIND(" · ",tblMovimientos[[#This Row],[Producto]]&amp;" · ")-1)))</f>
        <v/>
      </c>
      <c r="H1995" s="40" t="str">
        <f>IF(tblMovimientos[[#This Row],[SKU]]="","",IFERROR(INDEX(tblProductos[Unidad],MATCH(tblMovimientos[[#This Row],[SKU]],tblProductos[SKU],0)),"?"))</f>
        <v/>
      </c>
      <c r="I1995" s="39"/>
      <c r="J1995" s="47" t="str">
        <f>IF(tblMovimientos[[#This Row],[Tipo]]="","",IFERROR(INDEX(tblTiposMov[FactorStock],MATCH(tblMovimientos[[#This Row],[Tipo]],tblTiposMov[Tipo],0)),0))</f>
        <v/>
      </c>
      <c r="K19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5" s="37"/>
      <c r="O1995" s="37"/>
      <c r="P1995" s="37"/>
    </row>
    <row r="1996" spans="2:16" x14ac:dyDescent="0.25">
      <c r="B19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6" s="46"/>
      <c r="D1996" s="37"/>
      <c r="E1996" s="37"/>
      <c r="F1996" s="37"/>
      <c r="G1996" s="40" t="str">
        <f>IF(tblMovimientos[[#This Row],[Producto]]="","",TRIM(LEFT(tblMovimientos[[#This Row],[Producto]],FIND(" · ",tblMovimientos[[#This Row],[Producto]]&amp;" · ")-1)))</f>
        <v/>
      </c>
      <c r="H1996" s="40" t="str">
        <f>IF(tblMovimientos[[#This Row],[SKU]]="","",IFERROR(INDEX(tblProductos[Unidad],MATCH(tblMovimientos[[#This Row],[SKU]],tblProductos[SKU],0)),"?"))</f>
        <v/>
      </c>
      <c r="I1996" s="39"/>
      <c r="J1996" s="47" t="str">
        <f>IF(tblMovimientos[[#This Row],[Tipo]]="","",IFERROR(INDEX(tblTiposMov[FactorStock],MATCH(tblMovimientos[[#This Row],[Tipo]],tblTiposMov[Tipo],0)),0))</f>
        <v/>
      </c>
      <c r="K19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6" s="37"/>
      <c r="O1996" s="37"/>
      <c r="P1996" s="37"/>
    </row>
    <row r="1997" spans="2:16" x14ac:dyDescent="0.25">
      <c r="B19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7" s="46"/>
      <c r="D1997" s="37"/>
      <c r="E1997" s="37"/>
      <c r="F1997" s="37"/>
      <c r="G1997" s="40" t="str">
        <f>IF(tblMovimientos[[#This Row],[Producto]]="","",TRIM(LEFT(tblMovimientos[[#This Row],[Producto]],FIND(" · ",tblMovimientos[[#This Row],[Producto]]&amp;" · ")-1)))</f>
        <v/>
      </c>
      <c r="H1997" s="40" t="str">
        <f>IF(tblMovimientos[[#This Row],[SKU]]="","",IFERROR(INDEX(tblProductos[Unidad],MATCH(tblMovimientos[[#This Row],[SKU]],tblProductos[SKU],0)),"?"))</f>
        <v/>
      </c>
      <c r="I1997" s="39"/>
      <c r="J1997" s="47" t="str">
        <f>IF(tblMovimientos[[#This Row],[Tipo]]="","",IFERROR(INDEX(tblTiposMov[FactorStock],MATCH(tblMovimientos[[#This Row],[Tipo]],tblTiposMov[Tipo],0)),0))</f>
        <v/>
      </c>
      <c r="K19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7" s="37"/>
      <c r="O1997" s="37"/>
      <c r="P1997" s="37"/>
    </row>
    <row r="1998" spans="2:16" x14ac:dyDescent="0.25">
      <c r="B19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8" s="46"/>
      <c r="D1998" s="37"/>
      <c r="E1998" s="37"/>
      <c r="F1998" s="37"/>
      <c r="G1998" s="40" t="str">
        <f>IF(tblMovimientos[[#This Row],[Producto]]="","",TRIM(LEFT(tblMovimientos[[#This Row],[Producto]],FIND(" · ",tblMovimientos[[#This Row],[Producto]]&amp;" · ")-1)))</f>
        <v/>
      </c>
      <c r="H1998" s="40" t="str">
        <f>IF(tblMovimientos[[#This Row],[SKU]]="","",IFERROR(INDEX(tblProductos[Unidad],MATCH(tblMovimientos[[#This Row],[SKU]],tblProductos[SKU],0)),"?"))</f>
        <v/>
      </c>
      <c r="I1998" s="39"/>
      <c r="J1998" s="47" t="str">
        <f>IF(tblMovimientos[[#This Row],[Tipo]]="","",IFERROR(INDEX(tblTiposMov[FactorStock],MATCH(tblMovimientos[[#This Row],[Tipo]],tblTiposMov[Tipo],0)),0))</f>
        <v/>
      </c>
      <c r="K19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8" s="37"/>
      <c r="O1998" s="37"/>
      <c r="P1998" s="37"/>
    </row>
    <row r="1999" spans="2:16" x14ac:dyDescent="0.25">
      <c r="B19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1999" s="46"/>
      <c r="D1999" s="37"/>
      <c r="E1999" s="37"/>
      <c r="F1999" s="37"/>
      <c r="G1999" s="40" t="str">
        <f>IF(tblMovimientos[[#This Row],[Producto]]="","",TRIM(LEFT(tblMovimientos[[#This Row],[Producto]],FIND(" · ",tblMovimientos[[#This Row],[Producto]]&amp;" · ")-1)))</f>
        <v/>
      </c>
      <c r="H1999" s="40" t="str">
        <f>IF(tblMovimientos[[#This Row],[SKU]]="","",IFERROR(INDEX(tblProductos[Unidad],MATCH(tblMovimientos[[#This Row],[SKU]],tblProductos[SKU],0)),"?"))</f>
        <v/>
      </c>
      <c r="I1999" s="39"/>
      <c r="J1999" s="47" t="str">
        <f>IF(tblMovimientos[[#This Row],[Tipo]]="","",IFERROR(INDEX(tblTiposMov[FactorStock],MATCH(tblMovimientos[[#This Row],[Tipo]],tblTiposMov[Tipo],0)),0))</f>
        <v/>
      </c>
      <c r="K19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19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1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1999" s="37"/>
      <c r="O1999" s="37"/>
      <c r="P1999" s="37"/>
    </row>
    <row r="2000" spans="2:16" x14ac:dyDescent="0.25">
      <c r="B20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0" s="46"/>
      <c r="D2000" s="37"/>
      <c r="E2000" s="37"/>
      <c r="F2000" s="37"/>
      <c r="G2000" s="40" t="str">
        <f>IF(tblMovimientos[[#This Row],[Producto]]="","",TRIM(LEFT(tblMovimientos[[#This Row],[Producto]],FIND(" · ",tblMovimientos[[#This Row],[Producto]]&amp;" · ")-1)))</f>
        <v/>
      </c>
      <c r="H2000" s="40" t="str">
        <f>IF(tblMovimientos[[#This Row],[SKU]]="","",IFERROR(INDEX(tblProductos[Unidad],MATCH(tblMovimientos[[#This Row],[SKU]],tblProductos[SKU],0)),"?"))</f>
        <v/>
      </c>
      <c r="I2000" s="39"/>
      <c r="J2000" s="47" t="str">
        <f>IF(tblMovimientos[[#This Row],[Tipo]]="","",IFERROR(INDEX(tblTiposMov[FactorStock],MATCH(tblMovimientos[[#This Row],[Tipo]],tblTiposMov[Tipo],0)),0))</f>
        <v/>
      </c>
      <c r="K20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0" s="37"/>
      <c r="O2000" s="37"/>
      <c r="P2000" s="37"/>
    </row>
    <row r="2001" spans="2:16" x14ac:dyDescent="0.25">
      <c r="B20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1" s="46"/>
      <c r="D2001" s="37"/>
      <c r="E2001" s="37"/>
      <c r="F2001" s="37"/>
      <c r="G2001" s="40" t="str">
        <f>IF(tblMovimientos[[#This Row],[Producto]]="","",TRIM(LEFT(tblMovimientos[[#This Row],[Producto]],FIND(" · ",tblMovimientos[[#This Row],[Producto]]&amp;" · ")-1)))</f>
        <v/>
      </c>
      <c r="H2001" s="40" t="str">
        <f>IF(tblMovimientos[[#This Row],[SKU]]="","",IFERROR(INDEX(tblProductos[Unidad],MATCH(tblMovimientos[[#This Row],[SKU]],tblProductos[SKU],0)),"?"))</f>
        <v/>
      </c>
      <c r="I2001" s="39"/>
      <c r="J2001" s="47" t="str">
        <f>IF(tblMovimientos[[#This Row],[Tipo]]="","",IFERROR(INDEX(tblTiposMov[FactorStock],MATCH(tblMovimientos[[#This Row],[Tipo]],tblTiposMov[Tipo],0)),0))</f>
        <v/>
      </c>
      <c r="K20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1" s="37"/>
      <c r="O2001" s="37"/>
      <c r="P2001" s="37"/>
    </row>
    <row r="2002" spans="2:16" x14ac:dyDescent="0.25">
      <c r="B20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2" s="46"/>
      <c r="D2002" s="37"/>
      <c r="E2002" s="37"/>
      <c r="F2002" s="37"/>
      <c r="G2002" s="40" t="str">
        <f>IF(tblMovimientos[[#This Row],[Producto]]="","",TRIM(LEFT(tblMovimientos[[#This Row],[Producto]],FIND(" · ",tblMovimientos[[#This Row],[Producto]]&amp;" · ")-1)))</f>
        <v/>
      </c>
      <c r="H2002" s="40" t="str">
        <f>IF(tblMovimientos[[#This Row],[SKU]]="","",IFERROR(INDEX(tblProductos[Unidad],MATCH(tblMovimientos[[#This Row],[SKU]],tblProductos[SKU],0)),"?"))</f>
        <v/>
      </c>
      <c r="I2002" s="39"/>
      <c r="J2002" s="47" t="str">
        <f>IF(tblMovimientos[[#This Row],[Tipo]]="","",IFERROR(INDEX(tblTiposMov[FactorStock],MATCH(tblMovimientos[[#This Row],[Tipo]],tblTiposMov[Tipo],0)),0))</f>
        <v/>
      </c>
      <c r="K20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2" s="37"/>
      <c r="O2002" s="37"/>
      <c r="P2002" s="37"/>
    </row>
    <row r="2003" spans="2:16" x14ac:dyDescent="0.25">
      <c r="B20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3" s="46"/>
      <c r="D2003" s="37"/>
      <c r="E2003" s="37"/>
      <c r="F2003" s="37"/>
      <c r="G2003" s="40" t="str">
        <f>IF(tblMovimientos[[#This Row],[Producto]]="","",TRIM(LEFT(tblMovimientos[[#This Row],[Producto]],FIND(" · ",tblMovimientos[[#This Row],[Producto]]&amp;" · ")-1)))</f>
        <v/>
      </c>
      <c r="H2003" s="40" t="str">
        <f>IF(tblMovimientos[[#This Row],[SKU]]="","",IFERROR(INDEX(tblProductos[Unidad],MATCH(tblMovimientos[[#This Row],[SKU]],tblProductos[SKU],0)),"?"))</f>
        <v/>
      </c>
      <c r="I2003" s="39"/>
      <c r="J2003" s="47" t="str">
        <f>IF(tblMovimientos[[#This Row],[Tipo]]="","",IFERROR(INDEX(tblTiposMov[FactorStock],MATCH(tblMovimientos[[#This Row],[Tipo]],tblTiposMov[Tipo],0)),0))</f>
        <v/>
      </c>
      <c r="K20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3" s="37"/>
      <c r="O2003" s="37"/>
      <c r="P2003" s="37"/>
    </row>
    <row r="2004" spans="2:16" x14ac:dyDescent="0.25">
      <c r="B20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4" s="46"/>
      <c r="D2004" s="37"/>
      <c r="E2004" s="37"/>
      <c r="F2004" s="37"/>
      <c r="G2004" s="40" t="str">
        <f>IF(tblMovimientos[[#This Row],[Producto]]="","",TRIM(LEFT(tblMovimientos[[#This Row],[Producto]],FIND(" · ",tblMovimientos[[#This Row],[Producto]]&amp;" · ")-1)))</f>
        <v/>
      </c>
      <c r="H2004" s="40" t="str">
        <f>IF(tblMovimientos[[#This Row],[SKU]]="","",IFERROR(INDEX(tblProductos[Unidad],MATCH(tblMovimientos[[#This Row],[SKU]],tblProductos[SKU],0)),"?"))</f>
        <v/>
      </c>
      <c r="I2004" s="39"/>
      <c r="J2004" s="47" t="str">
        <f>IF(tblMovimientos[[#This Row],[Tipo]]="","",IFERROR(INDEX(tblTiposMov[FactorStock],MATCH(tblMovimientos[[#This Row],[Tipo]],tblTiposMov[Tipo],0)),0))</f>
        <v/>
      </c>
      <c r="K20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4" s="37"/>
      <c r="O2004" s="37"/>
      <c r="P2004" s="37"/>
    </row>
    <row r="2005" spans="2:16" x14ac:dyDescent="0.25">
      <c r="B20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5" s="46"/>
      <c r="D2005" s="37"/>
      <c r="E2005" s="37"/>
      <c r="F2005" s="37"/>
      <c r="G2005" s="40" t="str">
        <f>IF(tblMovimientos[[#This Row],[Producto]]="","",TRIM(LEFT(tblMovimientos[[#This Row],[Producto]],FIND(" · ",tblMovimientos[[#This Row],[Producto]]&amp;" · ")-1)))</f>
        <v/>
      </c>
      <c r="H2005" s="40" t="str">
        <f>IF(tblMovimientos[[#This Row],[SKU]]="","",IFERROR(INDEX(tblProductos[Unidad],MATCH(tblMovimientos[[#This Row],[SKU]],tblProductos[SKU],0)),"?"))</f>
        <v/>
      </c>
      <c r="I2005" s="39"/>
      <c r="J2005" s="47" t="str">
        <f>IF(tblMovimientos[[#This Row],[Tipo]]="","",IFERROR(INDEX(tblTiposMov[FactorStock],MATCH(tblMovimientos[[#This Row],[Tipo]],tblTiposMov[Tipo],0)),0))</f>
        <v/>
      </c>
      <c r="K20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5" s="37"/>
      <c r="O2005" s="37"/>
      <c r="P2005" s="37"/>
    </row>
    <row r="2006" spans="2:16" x14ac:dyDescent="0.25">
      <c r="B20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6" s="46"/>
      <c r="D2006" s="37"/>
      <c r="E2006" s="37"/>
      <c r="F2006" s="37"/>
      <c r="G2006" s="40" t="str">
        <f>IF(tblMovimientos[[#This Row],[Producto]]="","",TRIM(LEFT(tblMovimientos[[#This Row],[Producto]],FIND(" · ",tblMovimientos[[#This Row],[Producto]]&amp;" · ")-1)))</f>
        <v/>
      </c>
      <c r="H2006" s="40" t="str">
        <f>IF(tblMovimientos[[#This Row],[SKU]]="","",IFERROR(INDEX(tblProductos[Unidad],MATCH(tblMovimientos[[#This Row],[SKU]],tblProductos[SKU],0)),"?"))</f>
        <v/>
      </c>
      <c r="I2006" s="39"/>
      <c r="J2006" s="47" t="str">
        <f>IF(tblMovimientos[[#This Row],[Tipo]]="","",IFERROR(INDEX(tblTiposMov[FactorStock],MATCH(tblMovimientos[[#This Row],[Tipo]],tblTiposMov[Tipo],0)),0))</f>
        <v/>
      </c>
      <c r="K20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6" s="37"/>
      <c r="O2006" s="37"/>
      <c r="P2006" s="37"/>
    </row>
    <row r="2007" spans="2:16" x14ac:dyDescent="0.25">
      <c r="B20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7" s="46"/>
      <c r="D2007" s="37"/>
      <c r="E2007" s="37"/>
      <c r="F2007" s="37"/>
      <c r="G2007" s="40" t="str">
        <f>IF(tblMovimientos[[#This Row],[Producto]]="","",TRIM(LEFT(tblMovimientos[[#This Row],[Producto]],FIND(" · ",tblMovimientos[[#This Row],[Producto]]&amp;" · ")-1)))</f>
        <v/>
      </c>
      <c r="H2007" s="40" t="str">
        <f>IF(tblMovimientos[[#This Row],[SKU]]="","",IFERROR(INDEX(tblProductos[Unidad],MATCH(tblMovimientos[[#This Row],[SKU]],tblProductos[SKU],0)),"?"))</f>
        <v/>
      </c>
      <c r="I2007" s="39"/>
      <c r="J2007" s="47" t="str">
        <f>IF(tblMovimientos[[#This Row],[Tipo]]="","",IFERROR(INDEX(tblTiposMov[FactorStock],MATCH(tblMovimientos[[#This Row],[Tipo]],tblTiposMov[Tipo],0)),0))</f>
        <v/>
      </c>
      <c r="K20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7" s="37"/>
      <c r="O2007" s="37"/>
      <c r="P2007" s="37"/>
    </row>
    <row r="2008" spans="2:16" x14ac:dyDescent="0.25">
      <c r="B20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8" s="46"/>
      <c r="D2008" s="37"/>
      <c r="E2008" s="37"/>
      <c r="F2008" s="37"/>
      <c r="G2008" s="40" t="str">
        <f>IF(tblMovimientos[[#This Row],[Producto]]="","",TRIM(LEFT(tblMovimientos[[#This Row],[Producto]],FIND(" · ",tblMovimientos[[#This Row],[Producto]]&amp;" · ")-1)))</f>
        <v/>
      </c>
      <c r="H2008" s="40" t="str">
        <f>IF(tblMovimientos[[#This Row],[SKU]]="","",IFERROR(INDEX(tblProductos[Unidad],MATCH(tblMovimientos[[#This Row],[SKU]],tblProductos[SKU],0)),"?"))</f>
        <v/>
      </c>
      <c r="I2008" s="39"/>
      <c r="J2008" s="47" t="str">
        <f>IF(tblMovimientos[[#This Row],[Tipo]]="","",IFERROR(INDEX(tblTiposMov[FactorStock],MATCH(tblMovimientos[[#This Row],[Tipo]],tblTiposMov[Tipo],0)),0))</f>
        <v/>
      </c>
      <c r="K20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8" s="37"/>
      <c r="O2008" s="37"/>
      <c r="P2008" s="37"/>
    </row>
    <row r="2009" spans="2:16" x14ac:dyDescent="0.25">
      <c r="B20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09" s="46"/>
      <c r="D2009" s="37"/>
      <c r="E2009" s="37"/>
      <c r="F2009" s="37"/>
      <c r="G2009" s="40" t="str">
        <f>IF(tblMovimientos[[#This Row],[Producto]]="","",TRIM(LEFT(tblMovimientos[[#This Row],[Producto]],FIND(" · ",tblMovimientos[[#This Row],[Producto]]&amp;" · ")-1)))</f>
        <v/>
      </c>
      <c r="H2009" s="40" t="str">
        <f>IF(tblMovimientos[[#This Row],[SKU]]="","",IFERROR(INDEX(tblProductos[Unidad],MATCH(tblMovimientos[[#This Row],[SKU]],tblProductos[SKU],0)),"?"))</f>
        <v/>
      </c>
      <c r="I2009" s="39"/>
      <c r="J2009" s="47" t="str">
        <f>IF(tblMovimientos[[#This Row],[Tipo]]="","",IFERROR(INDEX(tblTiposMov[FactorStock],MATCH(tblMovimientos[[#This Row],[Tipo]],tblTiposMov[Tipo],0)),0))</f>
        <v/>
      </c>
      <c r="K20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09" s="37"/>
      <c r="O2009" s="37"/>
      <c r="P2009" s="37"/>
    </row>
    <row r="2010" spans="2:16" x14ac:dyDescent="0.25">
      <c r="B20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0" s="46"/>
      <c r="D2010" s="37"/>
      <c r="E2010" s="37"/>
      <c r="F2010" s="37"/>
      <c r="G2010" s="40" t="str">
        <f>IF(tblMovimientos[[#This Row],[Producto]]="","",TRIM(LEFT(tblMovimientos[[#This Row],[Producto]],FIND(" · ",tblMovimientos[[#This Row],[Producto]]&amp;" · ")-1)))</f>
        <v/>
      </c>
      <c r="H2010" s="40" t="str">
        <f>IF(tblMovimientos[[#This Row],[SKU]]="","",IFERROR(INDEX(tblProductos[Unidad],MATCH(tblMovimientos[[#This Row],[SKU]],tblProductos[SKU],0)),"?"))</f>
        <v/>
      </c>
      <c r="I2010" s="39"/>
      <c r="J2010" s="47" t="str">
        <f>IF(tblMovimientos[[#This Row],[Tipo]]="","",IFERROR(INDEX(tblTiposMov[FactorStock],MATCH(tblMovimientos[[#This Row],[Tipo]],tblTiposMov[Tipo],0)),0))</f>
        <v/>
      </c>
      <c r="K20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0" s="37"/>
      <c r="O2010" s="37"/>
      <c r="P2010" s="37"/>
    </row>
    <row r="2011" spans="2:16" x14ac:dyDescent="0.25">
      <c r="B20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1" s="46"/>
      <c r="D2011" s="37"/>
      <c r="E2011" s="37"/>
      <c r="F2011" s="37"/>
      <c r="G2011" s="40" t="str">
        <f>IF(tblMovimientos[[#This Row],[Producto]]="","",TRIM(LEFT(tblMovimientos[[#This Row],[Producto]],FIND(" · ",tblMovimientos[[#This Row],[Producto]]&amp;" · ")-1)))</f>
        <v/>
      </c>
      <c r="H2011" s="40" t="str">
        <f>IF(tblMovimientos[[#This Row],[SKU]]="","",IFERROR(INDEX(tblProductos[Unidad],MATCH(tblMovimientos[[#This Row],[SKU]],tblProductos[SKU],0)),"?"))</f>
        <v/>
      </c>
      <c r="I2011" s="39"/>
      <c r="J2011" s="47" t="str">
        <f>IF(tblMovimientos[[#This Row],[Tipo]]="","",IFERROR(INDEX(tblTiposMov[FactorStock],MATCH(tblMovimientos[[#This Row],[Tipo]],tblTiposMov[Tipo],0)),0))</f>
        <v/>
      </c>
      <c r="K20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1" s="37"/>
      <c r="O2011" s="37"/>
      <c r="P2011" s="37"/>
    </row>
    <row r="2012" spans="2:16" x14ac:dyDescent="0.25">
      <c r="B20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2" s="46"/>
      <c r="D2012" s="37"/>
      <c r="E2012" s="37"/>
      <c r="F2012" s="37"/>
      <c r="G2012" s="40" t="str">
        <f>IF(tblMovimientos[[#This Row],[Producto]]="","",TRIM(LEFT(tblMovimientos[[#This Row],[Producto]],FIND(" · ",tblMovimientos[[#This Row],[Producto]]&amp;" · ")-1)))</f>
        <v/>
      </c>
      <c r="H2012" s="40" t="str">
        <f>IF(tblMovimientos[[#This Row],[SKU]]="","",IFERROR(INDEX(tblProductos[Unidad],MATCH(tblMovimientos[[#This Row],[SKU]],tblProductos[SKU],0)),"?"))</f>
        <v/>
      </c>
      <c r="I2012" s="39"/>
      <c r="J2012" s="47" t="str">
        <f>IF(tblMovimientos[[#This Row],[Tipo]]="","",IFERROR(INDEX(tblTiposMov[FactorStock],MATCH(tblMovimientos[[#This Row],[Tipo]],tblTiposMov[Tipo],0)),0))</f>
        <v/>
      </c>
      <c r="K20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2" s="37"/>
      <c r="O2012" s="37"/>
      <c r="P2012" s="37"/>
    </row>
    <row r="2013" spans="2:16" x14ac:dyDescent="0.25">
      <c r="B20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3" s="46"/>
      <c r="D2013" s="37"/>
      <c r="E2013" s="37"/>
      <c r="F2013" s="37"/>
      <c r="G2013" s="40" t="str">
        <f>IF(tblMovimientos[[#This Row],[Producto]]="","",TRIM(LEFT(tblMovimientos[[#This Row],[Producto]],FIND(" · ",tblMovimientos[[#This Row],[Producto]]&amp;" · ")-1)))</f>
        <v/>
      </c>
      <c r="H2013" s="40" t="str">
        <f>IF(tblMovimientos[[#This Row],[SKU]]="","",IFERROR(INDEX(tblProductos[Unidad],MATCH(tblMovimientos[[#This Row],[SKU]],tblProductos[SKU],0)),"?"))</f>
        <v/>
      </c>
      <c r="I2013" s="39"/>
      <c r="J2013" s="47" t="str">
        <f>IF(tblMovimientos[[#This Row],[Tipo]]="","",IFERROR(INDEX(tblTiposMov[FactorStock],MATCH(tblMovimientos[[#This Row],[Tipo]],tblTiposMov[Tipo],0)),0))</f>
        <v/>
      </c>
      <c r="K20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3" s="37"/>
      <c r="O2013" s="37"/>
      <c r="P2013" s="37"/>
    </row>
    <row r="2014" spans="2:16" x14ac:dyDescent="0.25">
      <c r="B20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4" s="46"/>
      <c r="D2014" s="37"/>
      <c r="E2014" s="37"/>
      <c r="F2014" s="37"/>
      <c r="G2014" s="40" t="str">
        <f>IF(tblMovimientos[[#This Row],[Producto]]="","",TRIM(LEFT(tblMovimientos[[#This Row],[Producto]],FIND(" · ",tblMovimientos[[#This Row],[Producto]]&amp;" · ")-1)))</f>
        <v/>
      </c>
      <c r="H2014" s="40" t="str">
        <f>IF(tblMovimientos[[#This Row],[SKU]]="","",IFERROR(INDEX(tblProductos[Unidad],MATCH(tblMovimientos[[#This Row],[SKU]],tblProductos[SKU],0)),"?"))</f>
        <v/>
      </c>
      <c r="I2014" s="39"/>
      <c r="J2014" s="47" t="str">
        <f>IF(tblMovimientos[[#This Row],[Tipo]]="","",IFERROR(INDEX(tblTiposMov[FactorStock],MATCH(tblMovimientos[[#This Row],[Tipo]],tblTiposMov[Tipo],0)),0))</f>
        <v/>
      </c>
      <c r="K20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4" s="37"/>
      <c r="O2014" s="37"/>
      <c r="P2014" s="37"/>
    </row>
    <row r="2015" spans="2:16" x14ac:dyDescent="0.25">
      <c r="B20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5" s="46"/>
      <c r="D2015" s="37"/>
      <c r="E2015" s="37"/>
      <c r="F2015" s="37"/>
      <c r="G2015" s="40" t="str">
        <f>IF(tblMovimientos[[#This Row],[Producto]]="","",TRIM(LEFT(tblMovimientos[[#This Row],[Producto]],FIND(" · ",tblMovimientos[[#This Row],[Producto]]&amp;" · ")-1)))</f>
        <v/>
      </c>
      <c r="H2015" s="40" t="str">
        <f>IF(tblMovimientos[[#This Row],[SKU]]="","",IFERROR(INDEX(tblProductos[Unidad],MATCH(tblMovimientos[[#This Row],[SKU]],tblProductos[SKU],0)),"?"))</f>
        <v/>
      </c>
      <c r="I2015" s="39"/>
      <c r="J2015" s="47" t="str">
        <f>IF(tblMovimientos[[#This Row],[Tipo]]="","",IFERROR(INDEX(tblTiposMov[FactorStock],MATCH(tblMovimientos[[#This Row],[Tipo]],tblTiposMov[Tipo],0)),0))</f>
        <v/>
      </c>
      <c r="K20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5" s="37"/>
      <c r="O2015" s="37"/>
      <c r="P2015" s="37"/>
    </row>
    <row r="2016" spans="2:16" x14ac:dyDescent="0.25">
      <c r="B20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6" s="46"/>
      <c r="D2016" s="37"/>
      <c r="E2016" s="37"/>
      <c r="F2016" s="37"/>
      <c r="G2016" s="40" t="str">
        <f>IF(tblMovimientos[[#This Row],[Producto]]="","",TRIM(LEFT(tblMovimientos[[#This Row],[Producto]],FIND(" · ",tblMovimientos[[#This Row],[Producto]]&amp;" · ")-1)))</f>
        <v/>
      </c>
      <c r="H2016" s="40" t="str">
        <f>IF(tblMovimientos[[#This Row],[SKU]]="","",IFERROR(INDEX(tblProductos[Unidad],MATCH(tblMovimientos[[#This Row],[SKU]],tblProductos[SKU],0)),"?"))</f>
        <v/>
      </c>
      <c r="I2016" s="39"/>
      <c r="J2016" s="47" t="str">
        <f>IF(tblMovimientos[[#This Row],[Tipo]]="","",IFERROR(INDEX(tblTiposMov[FactorStock],MATCH(tblMovimientos[[#This Row],[Tipo]],tblTiposMov[Tipo],0)),0))</f>
        <v/>
      </c>
      <c r="K20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6" s="37"/>
      <c r="O2016" s="37"/>
      <c r="P2016" s="37"/>
    </row>
    <row r="2017" spans="2:16" x14ac:dyDescent="0.25">
      <c r="B20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7" s="46"/>
      <c r="D2017" s="37"/>
      <c r="E2017" s="37"/>
      <c r="F2017" s="37"/>
      <c r="G2017" s="40" t="str">
        <f>IF(tblMovimientos[[#This Row],[Producto]]="","",TRIM(LEFT(tblMovimientos[[#This Row],[Producto]],FIND(" · ",tblMovimientos[[#This Row],[Producto]]&amp;" · ")-1)))</f>
        <v/>
      </c>
      <c r="H2017" s="40" t="str">
        <f>IF(tblMovimientos[[#This Row],[SKU]]="","",IFERROR(INDEX(tblProductos[Unidad],MATCH(tblMovimientos[[#This Row],[SKU]],tblProductos[SKU],0)),"?"))</f>
        <v/>
      </c>
      <c r="I2017" s="39"/>
      <c r="J2017" s="47" t="str">
        <f>IF(tblMovimientos[[#This Row],[Tipo]]="","",IFERROR(INDEX(tblTiposMov[FactorStock],MATCH(tblMovimientos[[#This Row],[Tipo]],tblTiposMov[Tipo],0)),0))</f>
        <v/>
      </c>
      <c r="K20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7" s="37"/>
      <c r="O2017" s="37"/>
      <c r="P2017" s="37"/>
    </row>
    <row r="2018" spans="2:16" x14ac:dyDescent="0.25">
      <c r="B20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8" s="46"/>
      <c r="D2018" s="37"/>
      <c r="E2018" s="37"/>
      <c r="F2018" s="37"/>
      <c r="G2018" s="40" t="str">
        <f>IF(tblMovimientos[[#This Row],[Producto]]="","",TRIM(LEFT(tblMovimientos[[#This Row],[Producto]],FIND(" · ",tblMovimientos[[#This Row],[Producto]]&amp;" · ")-1)))</f>
        <v/>
      </c>
      <c r="H2018" s="40" t="str">
        <f>IF(tblMovimientos[[#This Row],[SKU]]="","",IFERROR(INDEX(tblProductos[Unidad],MATCH(tblMovimientos[[#This Row],[SKU]],tblProductos[SKU],0)),"?"))</f>
        <v/>
      </c>
      <c r="I2018" s="39"/>
      <c r="J2018" s="47" t="str">
        <f>IF(tblMovimientos[[#This Row],[Tipo]]="","",IFERROR(INDEX(tblTiposMov[FactorStock],MATCH(tblMovimientos[[#This Row],[Tipo]],tblTiposMov[Tipo],0)),0))</f>
        <v/>
      </c>
      <c r="K20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8" s="37"/>
      <c r="O2018" s="37"/>
      <c r="P2018" s="37"/>
    </row>
    <row r="2019" spans="2:16" x14ac:dyDescent="0.25">
      <c r="B20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19" s="46"/>
      <c r="D2019" s="37"/>
      <c r="E2019" s="37"/>
      <c r="F2019" s="37"/>
      <c r="G2019" s="40" t="str">
        <f>IF(tblMovimientos[[#This Row],[Producto]]="","",TRIM(LEFT(tblMovimientos[[#This Row],[Producto]],FIND(" · ",tblMovimientos[[#This Row],[Producto]]&amp;" · ")-1)))</f>
        <v/>
      </c>
      <c r="H2019" s="40" t="str">
        <f>IF(tblMovimientos[[#This Row],[SKU]]="","",IFERROR(INDEX(tblProductos[Unidad],MATCH(tblMovimientos[[#This Row],[SKU]],tblProductos[SKU],0)),"?"))</f>
        <v/>
      </c>
      <c r="I2019" s="39"/>
      <c r="J2019" s="47" t="str">
        <f>IF(tblMovimientos[[#This Row],[Tipo]]="","",IFERROR(INDEX(tblTiposMov[FactorStock],MATCH(tblMovimientos[[#This Row],[Tipo]],tblTiposMov[Tipo],0)),0))</f>
        <v/>
      </c>
      <c r="K20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19" s="37"/>
      <c r="O2019" s="37"/>
      <c r="P2019" s="37"/>
    </row>
    <row r="2020" spans="2:16" x14ac:dyDescent="0.25">
      <c r="B20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0" s="46"/>
      <c r="D2020" s="37"/>
      <c r="E2020" s="37"/>
      <c r="F2020" s="37"/>
      <c r="G2020" s="40" t="str">
        <f>IF(tblMovimientos[[#This Row],[Producto]]="","",TRIM(LEFT(tblMovimientos[[#This Row],[Producto]],FIND(" · ",tblMovimientos[[#This Row],[Producto]]&amp;" · ")-1)))</f>
        <v/>
      </c>
      <c r="H2020" s="40" t="str">
        <f>IF(tblMovimientos[[#This Row],[SKU]]="","",IFERROR(INDEX(tblProductos[Unidad],MATCH(tblMovimientos[[#This Row],[SKU]],tblProductos[SKU],0)),"?"))</f>
        <v/>
      </c>
      <c r="I2020" s="39"/>
      <c r="J2020" s="47" t="str">
        <f>IF(tblMovimientos[[#This Row],[Tipo]]="","",IFERROR(INDEX(tblTiposMov[FactorStock],MATCH(tblMovimientos[[#This Row],[Tipo]],tblTiposMov[Tipo],0)),0))</f>
        <v/>
      </c>
      <c r="K20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0" s="37"/>
      <c r="O2020" s="37"/>
      <c r="P2020" s="37"/>
    </row>
    <row r="2021" spans="2:16" x14ac:dyDescent="0.25">
      <c r="B20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1" s="46"/>
      <c r="D2021" s="37"/>
      <c r="E2021" s="37"/>
      <c r="F2021" s="37"/>
      <c r="G2021" s="40" t="str">
        <f>IF(tblMovimientos[[#This Row],[Producto]]="","",TRIM(LEFT(tblMovimientos[[#This Row],[Producto]],FIND(" · ",tblMovimientos[[#This Row],[Producto]]&amp;" · ")-1)))</f>
        <v/>
      </c>
      <c r="H2021" s="40" t="str">
        <f>IF(tblMovimientos[[#This Row],[SKU]]="","",IFERROR(INDEX(tblProductos[Unidad],MATCH(tblMovimientos[[#This Row],[SKU]],tblProductos[SKU],0)),"?"))</f>
        <v/>
      </c>
      <c r="I2021" s="39"/>
      <c r="J2021" s="47" t="str">
        <f>IF(tblMovimientos[[#This Row],[Tipo]]="","",IFERROR(INDEX(tblTiposMov[FactorStock],MATCH(tblMovimientos[[#This Row],[Tipo]],tblTiposMov[Tipo],0)),0))</f>
        <v/>
      </c>
      <c r="K20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1" s="37"/>
      <c r="O2021" s="37"/>
      <c r="P2021" s="37"/>
    </row>
    <row r="2022" spans="2:16" x14ac:dyDescent="0.25">
      <c r="B20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2" s="46"/>
      <c r="D2022" s="37"/>
      <c r="E2022" s="37"/>
      <c r="F2022" s="37"/>
      <c r="G2022" s="40" t="str">
        <f>IF(tblMovimientos[[#This Row],[Producto]]="","",TRIM(LEFT(tblMovimientos[[#This Row],[Producto]],FIND(" · ",tblMovimientos[[#This Row],[Producto]]&amp;" · ")-1)))</f>
        <v/>
      </c>
      <c r="H2022" s="40" t="str">
        <f>IF(tblMovimientos[[#This Row],[SKU]]="","",IFERROR(INDEX(tblProductos[Unidad],MATCH(tblMovimientos[[#This Row],[SKU]],tblProductos[SKU],0)),"?"))</f>
        <v/>
      </c>
      <c r="I2022" s="39"/>
      <c r="J2022" s="47" t="str">
        <f>IF(tblMovimientos[[#This Row],[Tipo]]="","",IFERROR(INDEX(tblTiposMov[FactorStock],MATCH(tblMovimientos[[#This Row],[Tipo]],tblTiposMov[Tipo],0)),0))</f>
        <v/>
      </c>
      <c r="K20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2" s="37"/>
      <c r="O2022" s="37"/>
      <c r="P2022" s="37"/>
    </row>
    <row r="2023" spans="2:16" x14ac:dyDescent="0.25">
      <c r="B20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3" s="46"/>
      <c r="D2023" s="37"/>
      <c r="E2023" s="37"/>
      <c r="F2023" s="37"/>
      <c r="G2023" s="40" t="str">
        <f>IF(tblMovimientos[[#This Row],[Producto]]="","",TRIM(LEFT(tblMovimientos[[#This Row],[Producto]],FIND(" · ",tblMovimientos[[#This Row],[Producto]]&amp;" · ")-1)))</f>
        <v/>
      </c>
      <c r="H2023" s="40" t="str">
        <f>IF(tblMovimientos[[#This Row],[SKU]]="","",IFERROR(INDEX(tblProductos[Unidad],MATCH(tblMovimientos[[#This Row],[SKU]],tblProductos[SKU],0)),"?"))</f>
        <v/>
      </c>
      <c r="I2023" s="39"/>
      <c r="J2023" s="47" t="str">
        <f>IF(tblMovimientos[[#This Row],[Tipo]]="","",IFERROR(INDEX(tblTiposMov[FactorStock],MATCH(tblMovimientos[[#This Row],[Tipo]],tblTiposMov[Tipo],0)),0))</f>
        <v/>
      </c>
      <c r="K20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3" s="37"/>
      <c r="O2023" s="37"/>
      <c r="P2023" s="37"/>
    </row>
    <row r="2024" spans="2:16" x14ac:dyDescent="0.25">
      <c r="B20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4" s="46"/>
      <c r="D2024" s="37"/>
      <c r="E2024" s="37"/>
      <c r="F2024" s="37"/>
      <c r="G2024" s="40" t="str">
        <f>IF(tblMovimientos[[#This Row],[Producto]]="","",TRIM(LEFT(tblMovimientos[[#This Row],[Producto]],FIND(" · ",tblMovimientos[[#This Row],[Producto]]&amp;" · ")-1)))</f>
        <v/>
      </c>
      <c r="H2024" s="40" t="str">
        <f>IF(tblMovimientos[[#This Row],[SKU]]="","",IFERROR(INDEX(tblProductos[Unidad],MATCH(tblMovimientos[[#This Row],[SKU]],tblProductos[SKU],0)),"?"))</f>
        <v/>
      </c>
      <c r="I2024" s="39"/>
      <c r="J2024" s="47" t="str">
        <f>IF(tblMovimientos[[#This Row],[Tipo]]="","",IFERROR(INDEX(tblTiposMov[FactorStock],MATCH(tblMovimientos[[#This Row],[Tipo]],tblTiposMov[Tipo],0)),0))</f>
        <v/>
      </c>
      <c r="K20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4" s="37"/>
      <c r="O2024" s="37"/>
      <c r="P2024" s="37"/>
    </row>
    <row r="2025" spans="2:16" x14ac:dyDescent="0.25">
      <c r="B20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5" s="46"/>
      <c r="D2025" s="37"/>
      <c r="E2025" s="37"/>
      <c r="F2025" s="37"/>
      <c r="G2025" s="40" t="str">
        <f>IF(tblMovimientos[[#This Row],[Producto]]="","",TRIM(LEFT(tblMovimientos[[#This Row],[Producto]],FIND(" · ",tblMovimientos[[#This Row],[Producto]]&amp;" · ")-1)))</f>
        <v/>
      </c>
      <c r="H2025" s="40" t="str">
        <f>IF(tblMovimientos[[#This Row],[SKU]]="","",IFERROR(INDEX(tblProductos[Unidad],MATCH(tblMovimientos[[#This Row],[SKU]],tblProductos[SKU],0)),"?"))</f>
        <v/>
      </c>
      <c r="I2025" s="39"/>
      <c r="J2025" s="47" t="str">
        <f>IF(tblMovimientos[[#This Row],[Tipo]]="","",IFERROR(INDEX(tblTiposMov[FactorStock],MATCH(tblMovimientos[[#This Row],[Tipo]],tblTiposMov[Tipo],0)),0))</f>
        <v/>
      </c>
      <c r="K20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5" s="37"/>
      <c r="O2025" s="37"/>
      <c r="P2025" s="37"/>
    </row>
    <row r="2026" spans="2:16" x14ac:dyDescent="0.25">
      <c r="B20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6" s="46"/>
      <c r="D2026" s="37"/>
      <c r="E2026" s="37"/>
      <c r="F2026" s="37"/>
      <c r="G2026" s="40" t="str">
        <f>IF(tblMovimientos[[#This Row],[Producto]]="","",TRIM(LEFT(tblMovimientos[[#This Row],[Producto]],FIND(" · ",tblMovimientos[[#This Row],[Producto]]&amp;" · ")-1)))</f>
        <v/>
      </c>
      <c r="H2026" s="40" t="str">
        <f>IF(tblMovimientos[[#This Row],[SKU]]="","",IFERROR(INDEX(tblProductos[Unidad],MATCH(tblMovimientos[[#This Row],[SKU]],tblProductos[SKU],0)),"?"))</f>
        <v/>
      </c>
      <c r="I2026" s="39"/>
      <c r="J2026" s="47" t="str">
        <f>IF(tblMovimientos[[#This Row],[Tipo]]="","",IFERROR(INDEX(tblTiposMov[FactorStock],MATCH(tblMovimientos[[#This Row],[Tipo]],tblTiposMov[Tipo],0)),0))</f>
        <v/>
      </c>
      <c r="K20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6" s="37"/>
      <c r="O2026" s="37"/>
      <c r="P2026" s="37"/>
    </row>
    <row r="2027" spans="2:16" x14ac:dyDescent="0.25">
      <c r="B20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7" s="46"/>
      <c r="D2027" s="37"/>
      <c r="E2027" s="37"/>
      <c r="F2027" s="37"/>
      <c r="G2027" s="40" t="str">
        <f>IF(tblMovimientos[[#This Row],[Producto]]="","",TRIM(LEFT(tblMovimientos[[#This Row],[Producto]],FIND(" · ",tblMovimientos[[#This Row],[Producto]]&amp;" · ")-1)))</f>
        <v/>
      </c>
      <c r="H2027" s="40" t="str">
        <f>IF(tblMovimientos[[#This Row],[SKU]]="","",IFERROR(INDEX(tblProductos[Unidad],MATCH(tblMovimientos[[#This Row],[SKU]],tblProductos[SKU],0)),"?"))</f>
        <v/>
      </c>
      <c r="I2027" s="39"/>
      <c r="J2027" s="47" t="str">
        <f>IF(tblMovimientos[[#This Row],[Tipo]]="","",IFERROR(INDEX(tblTiposMov[FactorStock],MATCH(tblMovimientos[[#This Row],[Tipo]],tblTiposMov[Tipo],0)),0))</f>
        <v/>
      </c>
      <c r="K20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7" s="37"/>
      <c r="O2027" s="37"/>
      <c r="P2027" s="37"/>
    </row>
    <row r="2028" spans="2:16" x14ac:dyDescent="0.25">
      <c r="B20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8" s="46"/>
      <c r="D2028" s="37"/>
      <c r="E2028" s="37"/>
      <c r="F2028" s="37"/>
      <c r="G2028" s="40" t="str">
        <f>IF(tblMovimientos[[#This Row],[Producto]]="","",TRIM(LEFT(tblMovimientos[[#This Row],[Producto]],FIND(" · ",tblMovimientos[[#This Row],[Producto]]&amp;" · ")-1)))</f>
        <v/>
      </c>
      <c r="H2028" s="40" t="str">
        <f>IF(tblMovimientos[[#This Row],[SKU]]="","",IFERROR(INDEX(tblProductos[Unidad],MATCH(tblMovimientos[[#This Row],[SKU]],tblProductos[SKU],0)),"?"))</f>
        <v/>
      </c>
      <c r="I2028" s="39"/>
      <c r="J2028" s="47" t="str">
        <f>IF(tblMovimientos[[#This Row],[Tipo]]="","",IFERROR(INDEX(tblTiposMov[FactorStock],MATCH(tblMovimientos[[#This Row],[Tipo]],tblTiposMov[Tipo],0)),0))</f>
        <v/>
      </c>
      <c r="K20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8" s="37"/>
      <c r="O2028" s="37"/>
      <c r="P2028" s="37"/>
    </row>
    <row r="2029" spans="2:16" x14ac:dyDescent="0.25">
      <c r="B20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29" s="46"/>
      <c r="D2029" s="37"/>
      <c r="E2029" s="37"/>
      <c r="F2029" s="37"/>
      <c r="G2029" s="40" t="str">
        <f>IF(tblMovimientos[[#This Row],[Producto]]="","",TRIM(LEFT(tblMovimientos[[#This Row],[Producto]],FIND(" · ",tblMovimientos[[#This Row],[Producto]]&amp;" · ")-1)))</f>
        <v/>
      </c>
      <c r="H2029" s="40" t="str">
        <f>IF(tblMovimientos[[#This Row],[SKU]]="","",IFERROR(INDEX(tblProductos[Unidad],MATCH(tblMovimientos[[#This Row],[SKU]],tblProductos[SKU],0)),"?"))</f>
        <v/>
      </c>
      <c r="I2029" s="39"/>
      <c r="J2029" s="47" t="str">
        <f>IF(tblMovimientos[[#This Row],[Tipo]]="","",IFERROR(INDEX(tblTiposMov[FactorStock],MATCH(tblMovimientos[[#This Row],[Tipo]],tblTiposMov[Tipo],0)),0))</f>
        <v/>
      </c>
      <c r="K20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29" s="37"/>
      <c r="O2029" s="37"/>
      <c r="P2029" s="37"/>
    </row>
    <row r="2030" spans="2:16" x14ac:dyDescent="0.25">
      <c r="B20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0" s="46"/>
      <c r="D2030" s="37"/>
      <c r="E2030" s="37"/>
      <c r="F2030" s="37"/>
      <c r="G2030" s="40" t="str">
        <f>IF(tblMovimientos[[#This Row],[Producto]]="","",TRIM(LEFT(tblMovimientos[[#This Row],[Producto]],FIND(" · ",tblMovimientos[[#This Row],[Producto]]&amp;" · ")-1)))</f>
        <v/>
      </c>
      <c r="H2030" s="40" t="str">
        <f>IF(tblMovimientos[[#This Row],[SKU]]="","",IFERROR(INDEX(tblProductos[Unidad],MATCH(tblMovimientos[[#This Row],[SKU]],tblProductos[SKU],0)),"?"))</f>
        <v/>
      </c>
      <c r="I2030" s="39"/>
      <c r="J2030" s="47" t="str">
        <f>IF(tblMovimientos[[#This Row],[Tipo]]="","",IFERROR(INDEX(tblTiposMov[FactorStock],MATCH(tblMovimientos[[#This Row],[Tipo]],tblTiposMov[Tipo],0)),0))</f>
        <v/>
      </c>
      <c r="K20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0" s="37"/>
      <c r="O2030" s="37"/>
      <c r="P2030" s="37"/>
    </row>
    <row r="2031" spans="2:16" x14ac:dyDescent="0.25">
      <c r="B20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1" s="46"/>
      <c r="D2031" s="37"/>
      <c r="E2031" s="37"/>
      <c r="F2031" s="37"/>
      <c r="G2031" s="40" t="str">
        <f>IF(tblMovimientos[[#This Row],[Producto]]="","",TRIM(LEFT(tblMovimientos[[#This Row],[Producto]],FIND(" · ",tblMovimientos[[#This Row],[Producto]]&amp;" · ")-1)))</f>
        <v/>
      </c>
      <c r="H2031" s="40" t="str">
        <f>IF(tblMovimientos[[#This Row],[SKU]]="","",IFERROR(INDEX(tblProductos[Unidad],MATCH(tblMovimientos[[#This Row],[SKU]],tblProductos[SKU],0)),"?"))</f>
        <v/>
      </c>
      <c r="I2031" s="39"/>
      <c r="J2031" s="47" t="str">
        <f>IF(tblMovimientos[[#This Row],[Tipo]]="","",IFERROR(INDEX(tblTiposMov[FactorStock],MATCH(tblMovimientos[[#This Row],[Tipo]],tblTiposMov[Tipo],0)),0))</f>
        <v/>
      </c>
      <c r="K20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1" s="37"/>
      <c r="O2031" s="37"/>
      <c r="P2031" s="37"/>
    </row>
    <row r="2032" spans="2:16" x14ac:dyDescent="0.25">
      <c r="B20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2" s="46"/>
      <c r="D2032" s="37"/>
      <c r="E2032" s="37"/>
      <c r="F2032" s="37"/>
      <c r="G2032" s="40" t="str">
        <f>IF(tblMovimientos[[#This Row],[Producto]]="","",TRIM(LEFT(tblMovimientos[[#This Row],[Producto]],FIND(" · ",tblMovimientos[[#This Row],[Producto]]&amp;" · ")-1)))</f>
        <v/>
      </c>
      <c r="H2032" s="40" t="str">
        <f>IF(tblMovimientos[[#This Row],[SKU]]="","",IFERROR(INDEX(tblProductos[Unidad],MATCH(tblMovimientos[[#This Row],[SKU]],tblProductos[SKU],0)),"?"))</f>
        <v/>
      </c>
      <c r="I2032" s="39"/>
      <c r="J2032" s="47" t="str">
        <f>IF(tblMovimientos[[#This Row],[Tipo]]="","",IFERROR(INDEX(tblTiposMov[FactorStock],MATCH(tblMovimientos[[#This Row],[Tipo]],tblTiposMov[Tipo],0)),0))</f>
        <v/>
      </c>
      <c r="K20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2" s="37"/>
      <c r="O2032" s="37"/>
      <c r="P2032" s="37"/>
    </row>
    <row r="2033" spans="2:16" x14ac:dyDescent="0.25">
      <c r="B20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3" s="46"/>
      <c r="D2033" s="37"/>
      <c r="E2033" s="37"/>
      <c r="F2033" s="37"/>
      <c r="G2033" s="40" t="str">
        <f>IF(tblMovimientos[[#This Row],[Producto]]="","",TRIM(LEFT(tblMovimientos[[#This Row],[Producto]],FIND(" · ",tblMovimientos[[#This Row],[Producto]]&amp;" · ")-1)))</f>
        <v/>
      </c>
      <c r="H2033" s="40" t="str">
        <f>IF(tblMovimientos[[#This Row],[SKU]]="","",IFERROR(INDEX(tblProductos[Unidad],MATCH(tblMovimientos[[#This Row],[SKU]],tblProductos[SKU],0)),"?"))</f>
        <v/>
      </c>
      <c r="I2033" s="39"/>
      <c r="J2033" s="47" t="str">
        <f>IF(tblMovimientos[[#This Row],[Tipo]]="","",IFERROR(INDEX(tblTiposMov[FactorStock],MATCH(tblMovimientos[[#This Row],[Tipo]],tblTiposMov[Tipo],0)),0))</f>
        <v/>
      </c>
      <c r="K20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3" s="37"/>
      <c r="O2033" s="37"/>
      <c r="P2033" s="37"/>
    </row>
    <row r="2034" spans="2:16" x14ac:dyDescent="0.25">
      <c r="B20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4" s="46"/>
      <c r="D2034" s="37"/>
      <c r="E2034" s="37"/>
      <c r="F2034" s="37"/>
      <c r="G2034" s="40" t="str">
        <f>IF(tblMovimientos[[#This Row],[Producto]]="","",TRIM(LEFT(tblMovimientos[[#This Row],[Producto]],FIND(" · ",tblMovimientos[[#This Row],[Producto]]&amp;" · ")-1)))</f>
        <v/>
      </c>
      <c r="H2034" s="40" t="str">
        <f>IF(tblMovimientos[[#This Row],[SKU]]="","",IFERROR(INDEX(tblProductos[Unidad],MATCH(tblMovimientos[[#This Row],[SKU]],tblProductos[SKU],0)),"?"))</f>
        <v/>
      </c>
      <c r="I2034" s="39"/>
      <c r="J2034" s="47" t="str">
        <f>IF(tblMovimientos[[#This Row],[Tipo]]="","",IFERROR(INDEX(tblTiposMov[FactorStock],MATCH(tblMovimientos[[#This Row],[Tipo]],tblTiposMov[Tipo],0)),0))</f>
        <v/>
      </c>
      <c r="K20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4" s="37"/>
      <c r="O2034" s="37"/>
      <c r="P2034" s="37"/>
    </row>
    <row r="2035" spans="2:16" x14ac:dyDescent="0.25">
      <c r="B20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5" s="46"/>
      <c r="D2035" s="37"/>
      <c r="E2035" s="37"/>
      <c r="F2035" s="37"/>
      <c r="G2035" s="40" t="str">
        <f>IF(tblMovimientos[[#This Row],[Producto]]="","",TRIM(LEFT(tblMovimientos[[#This Row],[Producto]],FIND(" · ",tblMovimientos[[#This Row],[Producto]]&amp;" · ")-1)))</f>
        <v/>
      </c>
      <c r="H2035" s="40" t="str">
        <f>IF(tblMovimientos[[#This Row],[SKU]]="","",IFERROR(INDEX(tblProductos[Unidad],MATCH(tblMovimientos[[#This Row],[SKU]],tblProductos[SKU],0)),"?"))</f>
        <v/>
      </c>
      <c r="I2035" s="39"/>
      <c r="J2035" s="47" t="str">
        <f>IF(tblMovimientos[[#This Row],[Tipo]]="","",IFERROR(INDEX(tblTiposMov[FactorStock],MATCH(tblMovimientos[[#This Row],[Tipo]],tblTiposMov[Tipo],0)),0))</f>
        <v/>
      </c>
      <c r="K20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5" s="37"/>
      <c r="O2035" s="37"/>
      <c r="P2035" s="37"/>
    </row>
    <row r="2036" spans="2:16" x14ac:dyDescent="0.25">
      <c r="B20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6" s="46"/>
      <c r="D2036" s="37"/>
      <c r="E2036" s="37"/>
      <c r="F2036" s="37"/>
      <c r="G2036" s="40" t="str">
        <f>IF(tblMovimientos[[#This Row],[Producto]]="","",TRIM(LEFT(tblMovimientos[[#This Row],[Producto]],FIND(" · ",tblMovimientos[[#This Row],[Producto]]&amp;" · ")-1)))</f>
        <v/>
      </c>
      <c r="H2036" s="40" t="str">
        <f>IF(tblMovimientos[[#This Row],[SKU]]="","",IFERROR(INDEX(tblProductos[Unidad],MATCH(tblMovimientos[[#This Row],[SKU]],tblProductos[SKU],0)),"?"))</f>
        <v/>
      </c>
      <c r="I2036" s="39"/>
      <c r="J2036" s="47" t="str">
        <f>IF(tblMovimientos[[#This Row],[Tipo]]="","",IFERROR(INDEX(tblTiposMov[FactorStock],MATCH(tblMovimientos[[#This Row],[Tipo]],tblTiposMov[Tipo],0)),0))</f>
        <v/>
      </c>
      <c r="K20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6" s="37"/>
      <c r="O2036" s="37"/>
      <c r="P2036" s="37"/>
    </row>
    <row r="2037" spans="2:16" x14ac:dyDescent="0.25">
      <c r="B20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7" s="46"/>
      <c r="D2037" s="37"/>
      <c r="E2037" s="37"/>
      <c r="F2037" s="37"/>
      <c r="G2037" s="40" t="str">
        <f>IF(tblMovimientos[[#This Row],[Producto]]="","",TRIM(LEFT(tblMovimientos[[#This Row],[Producto]],FIND(" · ",tblMovimientos[[#This Row],[Producto]]&amp;" · ")-1)))</f>
        <v/>
      </c>
      <c r="H2037" s="40" t="str">
        <f>IF(tblMovimientos[[#This Row],[SKU]]="","",IFERROR(INDEX(tblProductos[Unidad],MATCH(tblMovimientos[[#This Row],[SKU]],tblProductos[SKU],0)),"?"))</f>
        <v/>
      </c>
      <c r="I2037" s="39"/>
      <c r="J2037" s="47" t="str">
        <f>IF(tblMovimientos[[#This Row],[Tipo]]="","",IFERROR(INDEX(tblTiposMov[FactorStock],MATCH(tblMovimientos[[#This Row],[Tipo]],tblTiposMov[Tipo],0)),0))</f>
        <v/>
      </c>
      <c r="K20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7" s="37"/>
      <c r="O2037" s="37"/>
      <c r="P2037" s="37"/>
    </row>
    <row r="2038" spans="2:16" x14ac:dyDescent="0.25">
      <c r="B20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8" s="46"/>
      <c r="D2038" s="37"/>
      <c r="E2038" s="37"/>
      <c r="F2038" s="37"/>
      <c r="G2038" s="40" t="str">
        <f>IF(tblMovimientos[[#This Row],[Producto]]="","",TRIM(LEFT(tblMovimientos[[#This Row],[Producto]],FIND(" · ",tblMovimientos[[#This Row],[Producto]]&amp;" · ")-1)))</f>
        <v/>
      </c>
      <c r="H2038" s="40" t="str">
        <f>IF(tblMovimientos[[#This Row],[SKU]]="","",IFERROR(INDEX(tblProductos[Unidad],MATCH(tblMovimientos[[#This Row],[SKU]],tblProductos[SKU],0)),"?"))</f>
        <v/>
      </c>
      <c r="I2038" s="39"/>
      <c r="J2038" s="47" t="str">
        <f>IF(tblMovimientos[[#This Row],[Tipo]]="","",IFERROR(INDEX(tblTiposMov[FactorStock],MATCH(tblMovimientos[[#This Row],[Tipo]],tblTiposMov[Tipo],0)),0))</f>
        <v/>
      </c>
      <c r="K20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8" s="37"/>
      <c r="O2038" s="37"/>
      <c r="P2038" s="37"/>
    </row>
    <row r="2039" spans="2:16" x14ac:dyDescent="0.25">
      <c r="B20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39" s="46"/>
      <c r="D2039" s="37"/>
      <c r="E2039" s="37"/>
      <c r="F2039" s="37"/>
      <c r="G2039" s="40" t="str">
        <f>IF(tblMovimientos[[#This Row],[Producto]]="","",TRIM(LEFT(tblMovimientos[[#This Row],[Producto]],FIND(" · ",tblMovimientos[[#This Row],[Producto]]&amp;" · ")-1)))</f>
        <v/>
      </c>
      <c r="H2039" s="40" t="str">
        <f>IF(tblMovimientos[[#This Row],[SKU]]="","",IFERROR(INDEX(tblProductos[Unidad],MATCH(tblMovimientos[[#This Row],[SKU]],tblProductos[SKU],0)),"?"))</f>
        <v/>
      </c>
      <c r="I2039" s="39"/>
      <c r="J2039" s="47" t="str">
        <f>IF(tblMovimientos[[#This Row],[Tipo]]="","",IFERROR(INDEX(tblTiposMov[FactorStock],MATCH(tblMovimientos[[#This Row],[Tipo]],tblTiposMov[Tipo],0)),0))</f>
        <v/>
      </c>
      <c r="K20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39" s="37"/>
      <c r="O2039" s="37"/>
      <c r="P2039" s="37"/>
    </row>
    <row r="2040" spans="2:16" x14ac:dyDescent="0.25">
      <c r="B20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0" s="46"/>
      <c r="D2040" s="37"/>
      <c r="E2040" s="37"/>
      <c r="F2040" s="37"/>
      <c r="G2040" s="40" t="str">
        <f>IF(tblMovimientos[[#This Row],[Producto]]="","",TRIM(LEFT(tblMovimientos[[#This Row],[Producto]],FIND(" · ",tblMovimientos[[#This Row],[Producto]]&amp;" · ")-1)))</f>
        <v/>
      </c>
      <c r="H2040" s="40" t="str">
        <f>IF(tblMovimientos[[#This Row],[SKU]]="","",IFERROR(INDEX(tblProductos[Unidad],MATCH(tblMovimientos[[#This Row],[SKU]],tblProductos[SKU],0)),"?"))</f>
        <v/>
      </c>
      <c r="I2040" s="39"/>
      <c r="J2040" s="47" t="str">
        <f>IF(tblMovimientos[[#This Row],[Tipo]]="","",IFERROR(INDEX(tblTiposMov[FactorStock],MATCH(tblMovimientos[[#This Row],[Tipo]],tblTiposMov[Tipo],0)),0))</f>
        <v/>
      </c>
      <c r="K20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0" s="37"/>
      <c r="O2040" s="37"/>
      <c r="P2040" s="37"/>
    </row>
    <row r="2041" spans="2:16" x14ac:dyDescent="0.25">
      <c r="B20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1" s="46"/>
      <c r="D2041" s="37"/>
      <c r="E2041" s="37"/>
      <c r="F2041" s="37"/>
      <c r="G2041" s="40" t="str">
        <f>IF(tblMovimientos[[#This Row],[Producto]]="","",TRIM(LEFT(tblMovimientos[[#This Row],[Producto]],FIND(" · ",tblMovimientos[[#This Row],[Producto]]&amp;" · ")-1)))</f>
        <v/>
      </c>
      <c r="H2041" s="40" t="str">
        <f>IF(tblMovimientos[[#This Row],[SKU]]="","",IFERROR(INDEX(tblProductos[Unidad],MATCH(tblMovimientos[[#This Row],[SKU]],tblProductos[SKU],0)),"?"))</f>
        <v/>
      </c>
      <c r="I2041" s="39"/>
      <c r="J2041" s="47" t="str">
        <f>IF(tblMovimientos[[#This Row],[Tipo]]="","",IFERROR(INDEX(tblTiposMov[FactorStock],MATCH(tblMovimientos[[#This Row],[Tipo]],tblTiposMov[Tipo],0)),0))</f>
        <v/>
      </c>
      <c r="K20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1" s="37"/>
      <c r="O2041" s="37"/>
      <c r="P2041" s="37"/>
    </row>
    <row r="2042" spans="2:16" x14ac:dyDescent="0.25">
      <c r="B20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2" s="46"/>
      <c r="D2042" s="37"/>
      <c r="E2042" s="37"/>
      <c r="F2042" s="37"/>
      <c r="G2042" s="40" t="str">
        <f>IF(tblMovimientos[[#This Row],[Producto]]="","",TRIM(LEFT(tblMovimientos[[#This Row],[Producto]],FIND(" · ",tblMovimientos[[#This Row],[Producto]]&amp;" · ")-1)))</f>
        <v/>
      </c>
      <c r="H2042" s="40" t="str">
        <f>IF(tblMovimientos[[#This Row],[SKU]]="","",IFERROR(INDEX(tblProductos[Unidad],MATCH(tblMovimientos[[#This Row],[SKU]],tblProductos[SKU],0)),"?"))</f>
        <v/>
      </c>
      <c r="I2042" s="39"/>
      <c r="J2042" s="47" t="str">
        <f>IF(tblMovimientos[[#This Row],[Tipo]]="","",IFERROR(INDEX(tblTiposMov[FactorStock],MATCH(tblMovimientos[[#This Row],[Tipo]],tblTiposMov[Tipo],0)),0))</f>
        <v/>
      </c>
      <c r="K20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2" s="37"/>
      <c r="O2042" s="37"/>
      <c r="P2042" s="37"/>
    </row>
    <row r="2043" spans="2:16" x14ac:dyDescent="0.25">
      <c r="B20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3" s="46"/>
      <c r="D2043" s="37"/>
      <c r="E2043" s="37"/>
      <c r="F2043" s="37"/>
      <c r="G2043" s="40" t="str">
        <f>IF(tblMovimientos[[#This Row],[Producto]]="","",TRIM(LEFT(tblMovimientos[[#This Row],[Producto]],FIND(" · ",tblMovimientos[[#This Row],[Producto]]&amp;" · ")-1)))</f>
        <v/>
      </c>
      <c r="H2043" s="40" t="str">
        <f>IF(tblMovimientos[[#This Row],[SKU]]="","",IFERROR(INDEX(tblProductos[Unidad],MATCH(tblMovimientos[[#This Row],[SKU]],tblProductos[SKU],0)),"?"))</f>
        <v/>
      </c>
      <c r="I2043" s="39"/>
      <c r="J2043" s="47" t="str">
        <f>IF(tblMovimientos[[#This Row],[Tipo]]="","",IFERROR(INDEX(tblTiposMov[FactorStock],MATCH(tblMovimientos[[#This Row],[Tipo]],tblTiposMov[Tipo],0)),0))</f>
        <v/>
      </c>
      <c r="K20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3" s="37"/>
      <c r="O2043" s="37"/>
      <c r="P2043" s="37"/>
    </row>
    <row r="2044" spans="2:16" x14ac:dyDescent="0.25">
      <c r="B20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4" s="46"/>
      <c r="D2044" s="37"/>
      <c r="E2044" s="37"/>
      <c r="F2044" s="37"/>
      <c r="G2044" s="40" t="str">
        <f>IF(tblMovimientos[[#This Row],[Producto]]="","",TRIM(LEFT(tblMovimientos[[#This Row],[Producto]],FIND(" · ",tblMovimientos[[#This Row],[Producto]]&amp;" · ")-1)))</f>
        <v/>
      </c>
      <c r="H2044" s="40" t="str">
        <f>IF(tblMovimientos[[#This Row],[SKU]]="","",IFERROR(INDEX(tblProductos[Unidad],MATCH(tblMovimientos[[#This Row],[SKU]],tblProductos[SKU],0)),"?"))</f>
        <v/>
      </c>
      <c r="I2044" s="39"/>
      <c r="J2044" s="47" t="str">
        <f>IF(tblMovimientos[[#This Row],[Tipo]]="","",IFERROR(INDEX(tblTiposMov[FactorStock],MATCH(tblMovimientos[[#This Row],[Tipo]],tblTiposMov[Tipo],0)),0))</f>
        <v/>
      </c>
      <c r="K20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4" s="37"/>
      <c r="O2044" s="37"/>
      <c r="P2044" s="37"/>
    </row>
    <row r="2045" spans="2:16" x14ac:dyDescent="0.25">
      <c r="B20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5" s="46"/>
      <c r="D2045" s="37"/>
      <c r="E2045" s="37"/>
      <c r="F2045" s="37"/>
      <c r="G2045" s="40" t="str">
        <f>IF(tblMovimientos[[#This Row],[Producto]]="","",TRIM(LEFT(tblMovimientos[[#This Row],[Producto]],FIND(" · ",tblMovimientos[[#This Row],[Producto]]&amp;" · ")-1)))</f>
        <v/>
      </c>
      <c r="H2045" s="40" t="str">
        <f>IF(tblMovimientos[[#This Row],[SKU]]="","",IFERROR(INDEX(tblProductos[Unidad],MATCH(tblMovimientos[[#This Row],[SKU]],tblProductos[SKU],0)),"?"))</f>
        <v/>
      </c>
      <c r="I2045" s="39"/>
      <c r="J2045" s="47" t="str">
        <f>IF(tblMovimientos[[#This Row],[Tipo]]="","",IFERROR(INDEX(tblTiposMov[FactorStock],MATCH(tblMovimientos[[#This Row],[Tipo]],tblTiposMov[Tipo],0)),0))</f>
        <v/>
      </c>
      <c r="K20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5" s="37"/>
      <c r="O2045" s="37"/>
      <c r="P2045" s="37"/>
    </row>
    <row r="2046" spans="2:16" x14ac:dyDescent="0.25">
      <c r="B20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6" s="46"/>
      <c r="D2046" s="37"/>
      <c r="E2046" s="37"/>
      <c r="F2046" s="37"/>
      <c r="G2046" s="40" t="str">
        <f>IF(tblMovimientos[[#This Row],[Producto]]="","",TRIM(LEFT(tblMovimientos[[#This Row],[Producto]],FIND(" · ",tblMovimientos[[#This Row],[Producto]]&amp;" · ")-1)))</f>
        <v/>
      </c>
      <c r="H2046" s="40" t="str">
        <f>IF(tblMovimientos[[#This Row],[SKU]]="","",IFERROR(INDEX(tblProductos[Unidad],MATCH(tblMovimientos[[#This Row],[SKU]],tblProductos[SKU],0)),"?"))</f>
        <v/>
      </c>
      <c r="I2046" s="39"/>
      <c r="J2046" s="47" t="str">
        <f>IF(tblMovimientos[[#This Row],[Tipo]]="","",IFERROR(INDEX(tblTiposMov[FactorStock],MATCH(tblMovimientos[[#This Row],[Tipo]],tblTiposMov[Tipo],0)),0))</f>
        <v/>
      </c>
      <c r="K20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6" s="37"/>
      <c r="O2046" s="37"/>
      <c r="P2046" s="37"/>
    </row>
    <row r="2047" spans="2:16" x14ac:dyDescent="0.25">
      <c r="B20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7" s="46"/>
      <c r="D2047" s="37"/>
      <c r="E2047" s="37"/>
      <c r="F2047" s="37"/>
      <c r="G2047" s="40" t="str">
        <f>IF(tblMovimientos[[#This Row],[Producto]]="","",TRIM(LEFT(tblMovimientos[[#This Row],[Producto]],FIND(" · ",tblMovimientos[[#This Row],[Producto]]&amp;" · ")-1)))</f>
        <v/>
      </c>
      <c r="H2047" s="40" t="str">
        <f>IF(tblMovimientos[[#This Row],[SKU]]="","",IFERROR(INDEX(tblProductos[Unidad],MATCH(tblMovimientos[[#This Row],[SKU]],tblProductos[SKU],0)),"?"))</f>
        <v/>
      </c>
      <c r="I2047" s="39"/>
      <c r="J2047" s="47" t="str">
        <f>IF(tblMovimientos[[#This Row],[Tipo]]="","",IFERROR(INDEX(tblTiposMov[FactorStock],MATCH(tblMovimientos[[#This Row],[Tipo]],tblTiposMov[Tipo],0)),0))</f>
        <v/>
      </c>
      <c r="K20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7" s="37"/>
      <c r="O2047" s="37"/>
      <c r="P2047" s="37"/>
    </row>
    <row r="2048" spans="2:16" x14ac:dyDescent="0.25">
      <c r="B20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8" s="46"/>
      <c r="D2048" s="37"/>
      <c r="E2048" s="37"/>
      <c r="F2048" s="37"/>
      <c r="G2048" s="40" t="str">
        <f>IF(tblMovimientos[[#This Row],[Producto]]="","",TRIM(LEFT(tblMovimientos[[#This Row],[Producto]],FIND(" · ",tblMovimientos[[#This Row],[Producto]]&amp;" · ")-1)))</f>
        <v/>
      </c>
      <c r="H2048" s="40" t="str">
        <f>IF(tblMovimientos[[#This Row],[SKU]]="","",IFERROR(INDEX(tblProductos[Unidad],MATCH(tblMovimientos[[#This Row],[SKU]],tblProductos[SKU],0)),"?"))</f>
        <v/>
      </c>
      <c r="I2048" s="39"/>
      <c r="J2048" s="47" t="str">
        <f>IF(tblMovimientos[[#This Row],[Tipo]]="","",IFERROR(INDEX(tblTiposMov[FactorStock],MATCH(tblMovimientos[[#This Row],[Tipo]],tblTiposMov[Tipo],0)),0))</f>
        <v/>
      </c>
      <c r="K20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8" s="37"/>
      <c r="O2048" s="37"/>
      <c r="P2048" s="37"/>
    </row>
    <row r="2049" spans="2:16" x14ac:dyDescent="0.25">
      <c r="B20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49" s="46"/>
      <c r="D2049" s="37"/>
      <c r="E2049" s="37"/>
      <c r="F2049" s="37"/>
      <c r="G2049" s="40" t="str">
        <f>IF(tblMovimientos[[#This Row],[Producto]]="","",TRIM(LEFT(tblMovimientos[[#This Row],[Producto]],FIND(" · ",tblMovimientos[[#This Row],[Producto]]&amp;" · ")-1)))</f>
        <v/>
      </c>
      <c r="H2049" s="40" t="str">
        <f>IF(tblMovimientos[[#This Row],[SKU]]="","",IFERROR(INDEX(tblProductos[Unidad],MATCH(tblMovimientos[[#This Row],[SKU]],tblProductos[SKU],0)),"?"))</f>
        <v/>
      </c>
      <c r="I2049" s="39"/>
      <c r="J2049" s="47" t="str">
        <f>IF(tblMovimientos[[#This Row],[Tipo]]="","",IFERROR(INDEX(tblTiposMov[FactorStock],MATCH(tblMovimientos[[#This Row],[Tipo]],tblTiposMov[Tipo],0)),0))</f>
        <v/>
      </c>
      <c r="K20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49" s="37"/>
      <c r="O2049" s="37"/>
      <c r="P2049" s="37"/>
    </row>
    <row r="2050" spans="2:16" x14ac:dyDescent="0.25">
      <c r="B20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0" s="46"/>
      <c r="D2050" s="37"/>
      <c r="E2050" s="37"/>
      <c r="F2050" s="37"/>
      <c r="G2050" s="40" t="str">
        <f>IF(tblMovimientos[[#This Row],[Producto]]="","",TRIM(LEFT(tblMovimientos[[#This Row],[Producto]],FIND(" · ",tblMovimientos[[#This Row],[Producto]]&amp;" · ")-1)))</f>
        <v/>
      </c>
      <c r="H2050" s="40" t="str">
        <f>IF(tblMovimientos[[#This Row],[SKU]]="","",IFERROR(INDEX(tblProductos[Unidad],MATCH(tblMovimientos[[#This Row],[SKU]],tblProductos[SKU],0)),"?"))</f>
        <v/>
      </c>
      <c r="I2050" s="39"/>
      <c r="J2050" s="47" t="str">
        <f>IF(tblMovimientos[[#This Row],[Tipo]]="","",IFERROR(INDEX(tblTiposMov[FactorStock],MATCH(tblMovimientos[[#This Row],[Tipo]],tblTiposMov[Tipo],0)),0))</f>
        <v/>
      </c>
      <c r="K20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0" s="37"/>
      <c r="O2050" s="37"/>
      <c r="P2050" s="37"/>
    </row>
    <row r="2051" spans="2:16" x14ac:dyDescent="0.25">
      <c r="B20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1" s="46"/>
      <c r="D2051" s="37"/>
      <c r="E2051" s="37"/>
      <c r="F2051" s="37"/>
      <c r="G2051" s="40" t="str">
        <f>IF(tblMovimientos[[#This Row],[Producto]]="","",TRIM(LEFT(tblMovimientos[[#This Row],[Producto]],FIND(" · ",tblMovimientos[[#This Row],[Producto]]&amp;" · ")-1)))</f>
        <v/>
      </c>
      <c r="H2051" s="40" t="str">
        <f>IF(tblMovimientos[[#This Row],[SKU]]="","",IFERROR(INDEX(tblProductos[Unidad],MATCH(tblMovimientos[[#This Row],[SKU]],tblProductos[SKU],0)),"?"))</f>
        <v/>
      </c>
      <c r="I2051" s="39"/>
      <c r="J2051" s="47" t="str">
        <f>IF(tblMovimientos[[#This Row],[Tipo]]="","",IFERROR(INDEX(tblTiposMov[FactorStock],MATCH(tblMovimientos[[#This Row],[Tipo]],tblTiposMov[Tipo],0)),0))</f>
        <v/>
      </c>
      <c r="K20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1" s="37"/>
      <c r="O2051" s="37"/>
      <c r="P2051" s="37"/>
    </row>
    <row r="2052" spans="2:16" x14ac:dyDescent="0.25">
      <c r="B20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2" s="46"/>
      <c r="D2052" s="37"/>
      <c r="E2052" s="37"/>
      <c r="F2052" s="37"/>
      <c r="G2052" s="40" t="str">
        <f>IF(tblMovimientos[[#This Row],[Producto]]="","",TRIM(LEFT(tblMovimientos[[#This Row],[Producto]],FIND(" · ",tblMovimientos[[#This Row],[Producto]]&amp;" · ")-1)))</f>
        <v/>
      </c>
      <c r="H2052" s="40" t="str">
        <f>IF(tblMovimientos[[#This Row],[SKU]]="","",IFERROR(INDEX(tblProductos[Unidad],MATCH(tblMovimientos[[#This Row],[SKU]],tblProductos[SKU],0)),"?"))</f>
        <v/>
      </c>
      <c r="I2052" s="39"/>
      <c r="J2052" s="47" t="str">
        <f>IF(tblMovimientos[[#This Row],[Tipo]]="","",IFERROR(INDEX(tblTiposMov[FactorStock],MATCH(tblMovimientos[[#This Row],[Tipo]],tblTiposMov[Tipo],0)),0))</f>
        <v/>
      </c>
      <c r="K20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2" s="37"/>
      <c r="O2052" s="37"/>
      <c r="P2052" s="37"/>
    </row>
    <row r="2053" spans="2:16" x14ac:dyDescent="0.25">
      <c r="B20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3" s="46"/>
      <c r="D2053" s="37"/>
      <c r="E2053" s="37"/>
      <c r="F2053" s="37"/>
      <c r="G2053" s="40" t="str">
        <f>IF(tblMovimientos[[#This Row],[Producto]]="","",TRIM(LEFT(tblMovimientos[[#This Row],[Producto]],FIND(" · ",tblMovimientos[[#This Row],[Producto]]&amp;" · ")-1)))</f>
        <v/>
      </c>
      <c r="H2053" s="40" t="str">
        <f>IF(tblMovimientos[[#This Row],[SKU]]="","",IFERROR(INDEX(tblProductos[Unidad],MATCH(tblMovimientos[[#This Row],[SKU]],tblProductos[SKU],0)),"?"))</f>
        <v/>
      </c>
      <c r="I2053" s="39"/>
      <c r="J2053" s="47" t="str">
        <f>IF(tblMovimientos[[#This Row],[Tipo]]="","",IFERROR(INDEX(tblTiposMov[FactorStock],MATCH(tblMovimientos[[#This Row],[Tipo]],tblTiposMov[Tipo],0)),0))</f>
        <v/>
      </c>
      <c r="K20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3" s="37"/>
      <c r="O2053" s="37"/>
      <c r="P2053" s="37"/>
    </row>
    <row r="2054" spans="2:16" x14ac:dyDescent="0.25">
      <c r="B20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4" s="46"/>
      <c r="D2054" s="37"/>
      <c r="E2054" s="37"/>
      <c r="F2054" s="37"/>
      <c r="G2054" s="40" t="str">
        <f>IF(tblMovimientos[[#This Row],[Producto]]="","",TRIM(LEFT(tblMovimientos[[#This Row],[Producto]],FIND(" · ",tblMovimientos[[#This Row],[Producto]]&amp;" · ")-1)))</f>
        <v/>
      </c>
      <c r="H2054" s="40" t="str">
        <f>IF(tblMovimientos[[#This Row],[SKU]]="","",IFERROR(INDEX(tblProductos[Unidad],MATCH(tblMovimientos[[#This Row],[SKU]],tblProductos[SKU],0)),"?"))</f>
        <v/>
      </c>
      <c r="I2054" s="39"/>
      <c r="J2054" s="47" t="str">
        <f>IF(tblMovimientos[[#This Row],[Tipo]]="","",IFERROR(INDEX(tblTiposMov[FactorStock],MATCH(tblMovimientos[[#This Row],[Tipo]],tblTiposMov[Tipo],0)),0))</f>
        <v/>
      </c>
      <c r="K20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4" s="37"/>
      <c r="O2054" s="37"/>
      <c r="P2054" s="37"/>
    </row>
    <row r="2055" spans="2:16" x14ac:dyDescent="0.25">
      <c r="B20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5" s="46"/>
      <c r="D2055" s="37"/>
      <c r="E2055" s="37"/>
      <c r="F2055" s="37"/>
      <c r="G2055" s="40" t="str">
        <f>IF(tblMovimientos[[#This Row],[Producto]]="","",TRIM(LEFT(tblMovimientos[[#This Row],[Producto]],FIND(" · ",tblMovimientos[[#This Row],[Producto]]&amp;" · ")-1)))</f>
        <v/>
      </c>
      <c r="H2055" s="40" t="str">
        <f>IF(tblMovimientos[[#This Row],[SKU]]="","",IFERROR(INDEX(tblProductos[Unidad],MATCH(tblMovimientos[[#This Row],[SKU]],tblProductos[SKU],0)),"?"))</f>
        <v/>
      </c>
      <c r="I2055" s="39"/>
      <c r="J2055" s="47" t="str">
        <f>IF(tblMovimientos[[#This Row],[Tipo]]="","",IFERROR(INDEX(tblTiposMov[FactorStock],MATCH(tblMovimientos[[#This Row],[Tipo]],tblTiposMov[Tipo],0)),0))</f>
        <v/>
      </c>
      <c r="K20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5" s="37"/>
      <c r="O2055" s="37"/>
      <c r="P2055" s="37"/>
    </row>
    <row r="2056" spans="2:16" x14ac:dyDescent="0.25">
      <c r="B20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6" s="46"/>
      <c r="D2056" s="37"/>
      <c r="E2056" s="37"/>
      <c r="F2056" s="37"/>
      <c r="G2056" s="40" t="str">
        <f>IF(tblMovimientos[[#This Row],[Producto]]="","",TRIM(LEFT(tblMovimientos[[#This Row],[Producto]],FIND(" · ",tblMovimientos[[#This Row],[Producto]]&amp;" · ")-1)))</f>
        <v/>
      </c>
      <c r="H2056" s="40" t="str">
        <f>IF(tblMovimientos[[#This Row],[SKU]]="","",IFERROR(INDEX(tblProductos[Unidad],MATCH(tblMovimientos[[#This Row],[SKU]],tblProductos[SKU],0)),"?"))</f>
        <v/>
      </c>
      <c r="I2056" s="39"/>
      <c r="J2056" s="47" t="str">
        <f>IF(tblMovimientos[[#This Row],[Tipo]]="","",IFERROR(INDEX(tblTiposMov[FactorStock],MATCH(tblMovimientos[[#This Row],[Tipo]],tblTiposMov[Tipo],0)),0))</f>
        <v/>
      </c>
      <c r="K20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6" s="37"/>
      <c r="O2056" s="37"/>
      <c r="P2056" s="37"/>
    </row>
    <row r="2057" spans="2:16" x14ac:dyDescent="0.25">
      <c r="B20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7" s="46"/>
      <c r="D2057" s="37"/>
      <c r="E2057" s="37"/>
      <c r="F2057" s="37"/>
      <c r="G2057" s="40" t="str">
        <f>IF(tblMovimientos[[#This Row],[Producto]]="","",TRIM(LEFT(tblMovimientos[[#This Row],[Producto]],FIND(" · ",tblMovimientos[[#This Row],[Producto]]&amp;" · ")-1)))</f>
        <v/>
      </c>
      <c r="H2057" s="40" t="str">
        <f>IF(tblMovimientos[[#This Row],[SKU]]="","",IFERROR(INDEX(tblProductos[Unidad],MATCH(tblMovimientos[[#This Row],[SKU]],tblProductos[SKU],0)),"?"))</f>
        <v/>
      </c>
      <c r="I2057" s="39"/>
      <c r="J2057" s="47" t="str">
        <f>IF(tblMovimientos[[#This Row],[Tipo]]="","",IFERROR(INDEX(tblTiposMov[FactorStock],MATCH(tblMovimientos[[#This Row],[Tipo]],tblTiposMov[Tipo],0)),0))</f>
        <v/>
      </c>
      <c r="K20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7" s="37"/>
      <c r="O2057" s="37"/>
      <c r="P2057" s="37"/>
    </row>
    <row r="2058" spans="2:16" x14ac:dyDescent="0.25">
      <c r="B20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8" s="46"/>
      <c r="D2058" s="37"/>
      <c r="E2058" s="37"/>
      <c r="F2058" s="37"/>
      <c r="G2058" s="40" t="str">
        <f>IF(tblMovimientos[[#This Row],[Producto]]="","",TRIM(LEFT(tblMovimientos[[#This Row],[Producto]],FIND(" · ",tblMovimientos[[#This Row],[Producto]]&amp;" · ")-1)))</f>
        <v/>
      </c>
      <c r="H2058" s="40" t="str">
        <f>IF(tblMovimientos[[#This Row],[SKU]]="","",IFERROR(INDEX(tblProductos[Unidad],MATCH(tblMovimientos[[#This Row],[SKU]],tblProductos[SKU],0)),"?"))</f>
        <v/>
      </c>
      <c r="I2058" s="39"/>
      <c r="J2058" s="47" t="str">
        <f>IF(tblMovimientos[[#This Row],[Tipo]]="","",IFERROR(INDEX(tblTiposMov[FactorStock],MATCH(tblMovimientos[[#This Row],[Tipo]],tblTiposMov[Tipo],0)),0))</f>
        <v/>
      </c>
      <c r="K20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8" s="37"/>
      <c r="O2058" s="37"/>
      <c r="P2058" s="37"/>
    </row>
    <row r="2059" spans="2:16" x14ac:dyDescent="0.25">
      <c r="B20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59" s="46"/>
      <c r="D2059" s="37"/>
      <c r="E2059" s="37"/>
      <c r="F2059" s="37"/>
      <c r="G2059" s="40" t="str">
        <f>IF(tblMovimientos[[#This Row],[Producto]]="","",TRIM(LEFT(tblMovimientos[[#This Row],[Producto]],FIND(" · ",tblMovimientos[[#This Row],[Producto]]&amp;" · ")-1)))</f>
        <v/>
      </c>
      <c r="H2059" s="40" t="str">
        <f>IF(tblMovimientos[[#This Row],[SKU]]="","",IFERROR(INDEX(tblProductos[Unidad],MATCH(tblMovimientos[[#This Row],[SKU]],tblProductos[SKU],0)),"?"))</f>
        <v/>
      </c>
      <c r="I2059" s="39"/>
      <c r="J2059" s="47" t="str">
        <f>IF(tblMovimientos[[#This Row],[Tipo]]="","",IFERROR(INDEX(tblTiposMov[FactorStock],MATCH(tblMovimientos[[#This Row],[Tipo]],tblTiposMov[Tipo],0)),0))</f>
        <v/>
      </c>
      <c r="K20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59" s="37"/>
      <c r="O2059" s="37"/>
      <c r="P2059" s="37"/>
    </row>
    <row r="2060" spans="2:16" x14ac:dyDescent="0.25">
      <c r="B20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0" s="46"/>
      <c r="D2060" s="37"/>
      <c r="E2060" s="37"/>
      <c r="F2060" s="37"/>
      <c r="G2060" s="40" t="str">
        <f>IF(tblMovimientos[[#This Row],[Producto]]="","",TRIM(LEFT(tblMovimientos[[#This Row],[Producto]],FIND(" · ",tblMovimientos[[#This Row],[Producto]]&amp;" · ")-1)))</f>
        <v/>
      </c>
      <c r="H2060" s="40" t="str">
        <f>IF(tblMovimientos[[#This Row],[SKU]]="","",IFERROR(INDEX(tblProductos[Unidad],MATCH(tblMovimientos[[#This Row],[SKU]],tblProductos[SKU],0)),"?"))</f>
        <v/>
      </c>
      <c r="I2060" s="39"/>
      <c r="J2060" s="47" t="str">
        <f>IF(tblMovimientos[[#This Row],[Tipo]]="","",IFERROR(INDEX(tblTiposMov[FactorStock],MATCH(tblMovimientos[[#This Row],[Tipo]],tblTiposMov[Tipo],0)),0))</f>
        <v/>
      </c>
      <c r="K20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0" s="37"/>
      <c r="O2060" s="37"/>
      <c r="P2060" s="37"/>
    </row>
    <row r="2061" spans="2:16" x14ac:dyDescent="0.25">
      <c r="B20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1" s="46"/>
      <c r="D2061" s="37"/>
      <c r="E2061" s="37"/>
      <c r="F2061" s="37"/>
      <c r="G2061" s="40" t="str">
        <f>IF(tblMovimientos[[#This Row],[Producto]]="","",TRIM(LEFT(tblMovimientos[[#This Row],[Producto]],FIND(" · ",tblMovimientos[[#This Row],[Producto]]&amp;" · ")-1)))</f>
        <v/>
      </c>
      <c r="H2061" s="40" t="str">
        <f>IF(tblMovimientos[[#This Row],[SKU]]="","",IFERROR(INDEX(tblProductos[Unidad],MATCH(tblMovimientos[[#This Row],[SKU]],tblProductos[SKU],0)),"?"))</f>
        <v/>
      </c>
      <c r="I2061" s="39"/>
      <c r="J2061" s="47" t="str">
        <f>IF(tblMovimientos[[#This Row],[Tipo]]="","",IFERROR(INDEX(tblTiposMov[FactorStock],MATCH(tblMovimientos[[#This Row],[Tipo]],tblTiposMov[Tipo],0)),0))</f>
        <v/>
      </c>
      <c r="K20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1" s="37"/>
      <c r="O2061" s="37"/>
      <c r="P2061" s="37"/>
    </row>
    <row r="2062" spans="2:16" x14ac:dyDescent="0.25">
      <c r="B20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2" s="46"/>
      <c r="D2062" s="37"/>
      <c r="E2062" s="37"/>
      <c r="F2062" s="37"/>
      <c r="G2062" s="40" t="str">
        <f>IF(tblMovimientos[[#This Row],[Producto]]="","",TRIM(LEFT(tblMovimientos[[#This Row],[Producto]],FIND(" · ",tblMovimientos[[#This Row],[Producto]]&amp;" · ")-1)))</f>
        <v/>
      </c>
      <c r="H2062" s="40" t="str">
        <f>IF(tblMovimientos[[#This Row],[SKU]]="","",IFERROR(INDEX(tblProductos[Unidad],MATCH(tblMovimientos[[#This Row],[SKU]],tblProductos[SKU],0)),"?"))</f>
        <v/>
      </c>
      <c r="I2062" s="39"/>
      <c r="J2062" s="47" t="str">
        <f>IF(tblMovimientos[[#This Row],[Tipo]]="","",IFERROR(INDEX(tblTiposMov[FactorStock],MATCH(tblMovimientos[[#This Row],[Tipo]],tblTiposMov[Tipo],0)),0))</f>
        <v/>
      </c>
      <c r="K20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2" s="37"/>
      <c r="O2062" s="37"/>
      <c r="P2062" s="37"/>
    </row>
    <row r="2063" spans="2:16" x14ac:dyDescent="0.25">
      <c r="B20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3" s="46"/>
      <c r="D2063" s="37"/>
      <c r="E2063" s="37"/>
      <c r="F2063" s="37"/>
      <c r="G2063" s="40" t="str">
        <f>IF(tblMovimientos[[#This Row],[Producto]]="","",TRIM(LEFT(tblMovimientos[[#This Row],[Producto]],FIND(" · ",tblMovimientos[[#This Row],[Producto]]&amp;" · ")-1)))</f>
        <v/>
      </c>
      <c r="H2063" s="40" t="str">
        <f>IF(tblMovimientos[[#This Row],[SKU]]="","",IFERROR(INDEX(tblProductos[Unidad],MATCH(tblMovimientos[[#This Row],[SKU]],tblProductos[SKU],0)),"?"))</f>
        <v/>
      </c>
      <c r="I2063" s="39"/>
      <c r="J2063" s="47" t="str">
        <f>IF(tblMovimientos[[#This Row],[Tipo]]="","",IFERROR(INDEX(tblTiposMov[FactorStock],MATCH(tblMovimientos[[#This Row],[Tipo]],tblTiposMov[Tipo],0)),0))</f>
        <v/>
      </c>
      <c r="K20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3" s="37"/>
      <c r="O2063" s="37"/>
      <c r="P2063" s="37"/>
    </row>
    <row r="2064" spans="2:16" x14ac:dyDescent="0.25">
      <c r="B20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4" s="46"/>
      <c r="D2064" s="37"/>
      <c r="E2064" s="37"/>
      <c r="F2064" s="37"/>
      <c r="G2064" s="40" t="str">
        <f>IF(tblMovimientos[[#This Row],[Producto]]="","",TRIM(LEFT(tblMovimientos[[#This Row],[Producto]],FIND(" · ",tblMovimientos[[#This Row],[Producto]]&amp;" · ")-1)))</f>
        <v/>
      </c>
      <c r="H2064" s="40" t="str">
        <f>IF(tblMovimientos[[#This Row],[SKU]]="","",IFERROR(INDEX(tblProductos[Unidad],MATCH(tblMovimientos[[#This Row],[SKU]],tblProductos[SKU],0)),"?"))</f>
        <v/>
      </c>
      <c r="I2064" s="39"/>
      <c r="J2064" s="47" t="str">
        <f>IF(tblMovimientos[[#This Row],[Tipo]]="","",IFERROR(INDEX(tblTiposMov[FactorStock],MATCH(tblMovimientos[[#This Row],[Tipo]],tblTiposMov[Tipo],0)),0))</f>
        <v/>
      </c>
      <c r="K20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4" s="37"/>
      <c r="O2064" s="37"/>
      <c r="P2064" s="37"/>
    </row>
    <row r="2065" spans="2:16" x14ac:dyDescent="0.25">
      <c r="B20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5" s="46"/>
      <c r="D2065" s="37"/>
      <c r="E2065" s="37"/>
      <c r="F2065" s="37"/>
      <c r="G2065" s="40" t="str">
        <f>IF(tblMovimientos[[#This Row],[Producto]]="","",TRIM(LEFT(tblMovimientos[[#This Row],[Producto]],FIND(" · ",tblMovimientos[[#This Row],[Producto]]&amp;" · ")-1)))</f>
        <v/>
      </c>
      <c r="H2065" s="40" t="str">
        <f>IF(tblMovimientos[[#This Row],[SKU]]="","",IFERROR(INDEX(tblProductos[Unidad],MATCH(tblMovimientos[[#This Row],[SKU]],tblProductos[SKU],0)),"?"))</f>
        <v/>
      </c>
      <c r="I2065" s="39"/>
      <c r="J2065" s="47" t="str">
        <f>IF(tblMovimientos[[#This Row],[Tipo]]="","",IFERROR(INDEX(tblTiposMov[FactorStock],MATCH(tblMovimientos[[#This Row],[Tipo]],tblTiposMov[Tipo],0)),0))</f>
        <v/>
      </c>
      <c r="K20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5" s="37"/>
      <c r="O2065" s="37"/>
      <c r="P2065" s="37"/>
    </row>
    <row r="2066" spans="2:16" x14ac:dyDescent="0.25">
      <c r="B20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6" s="46"/>
      <c r="D2066" s="37"/>
      <c r="E2066" s="37"/>
      <c r="F2066" s="37"/>
      <c r="G2066" s="40" t="str">
        <f>IF(tblMovimientos[[#This Row],[Producto]]="","",TRIM(LEFT(tblMovimientos[[#This Row],[Producto]],FIND(" · ",tblMovimientos[[#This Row],[Producto]]&amp;" · ")-1)))</f>
        <v/>
      </c>
      <c r="H2066" s="40" t="str">
        <f>IF(tblMovimientos[[#This Row],[SKU]]="","",IFERROR(INDEX(tblProductos[Unidad],MATCH(tblMovimientos[[#This Row],[SKU]],tblProductos[SKU],0)),"?"))</f>
        <v/>
      </c>
      <c r="I2066" s="39"/>
      <c r="J2066" s="47" t="str">
        <f>IF(tblMovimientos[[#This Row],[Tipo]]="","",IFERROR(INDEX(tblTiposMov[FactorStock],MATCH(tblMovimientos[[#This Row],[Tipo]],tblTiposMov[Tipo],0)),0))</f>
        <v/>
      </c>
      <c r="K20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6" s="37"/>
      <c r="O2066" s="37"/>
      <c r="P2066" s="37"/>
    </row>
    <row r="2067" spans="2:16" x14ac:dyDescent="0.25">
      <c r="B20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7" s="46"/>
      <c r="D2067" s="37"/>
      <c r="E2067" s="37"/>
      <c r="F2067" s="37"/>
      <c r="G2067" s="40" t="str">
        <f>IF(tblMovimientos[[#This Row],[Producto]]="","",TRIM(LEFT(tblMovimientos[[#This Row],[Producto]],FIND(" · ",tblMovimientos[[#This Row],[Producto]]&amp;" · ")-1)))</f>
        <v/>
      </c>
      <c r="H2067" s="40" t="str">
        <f>IF(tblMovimientos[[#This Row],[SKU]]="","",IFERROR(INDEX(tblProductos[Unidad],MATCH(tblMovimientos[[#This Row],[SKU]],tblProductos[SKU],0)),"?"))</f>
        <v/>
      </c>
      <c r="I2067" s="39"/>
      <c r="J2067" s="47" t="str">
        <f>IF(tblMovimientos[[#This Row],[Tipo]]="","",IFERROR(INDEX(tblTiposMov[FactorStock],MATCH(tblMovimientos[[#This Row],[Tipo]],tblTiposMov[Tipo],0)),0))</f>
        <v/>
      </c>
      <c r="K20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7" s="37"/>
      <c r="O2067" s="37"/>
      <c r="P2067" s="37"/>
    </row>
    <row r="2068" spans="2:16" x14ac:dyDescent="0.25">
      <c r="B20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8" s="46"/>
      <c r="D2068" s="37"/>
      <c r="E2068" s="37"/>
      <c r="F2068" s="37"/>
      <c r="G2068" s="40" t="str">
        <f>IF(tblMovimientos[[#This Row],[Producto]]="","",TRIM(LEFT(tblMovimientos[[#This Row],[Producto]],FIND(" · ",tblMovimientos[[#This Row],[Producto]]&amp;" · ")-1)))</f>
        <v/>
      </c>
      <c r="H2068" s="40" t="str">
        <f>IF(tblMovimientos[[#This Row],[SKU]]="","",IFERROR(INDEX(tblProductos[Unidad],MATCH(tblMovimientos[[#This Row],[SKU]],tblProductos[SKU],0)),"?"))</f>
        <v/>
      </c>
      <c r="I2068" s="39"/>
      <c r="J2068" s="47" t="str">
        <f>IF(tblMovimientos[[#This Row],[Tipo]]="","",IFERROR(INDEX(tblTiposMov[FactorStock],MATCH(tblMovimientos[[#This Row],[Tipo]],tblTiposMov[Tipo],0)),0))</f>
        <v/>
      </c>
      <c r="K20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8" s="37"/>
      <c r="O2068" s="37"/>
      <c r="P2068" s="37"/>
    </row>
    <row r="2069" spans="2:16" x14ac:dyDescent="0.25">
      <c r="B20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69" s="46"/>
      <c r="D2069" s="37"/>
      <c r="E2069" s="37"/>
      <c r="F2069" s="37"/>
      <c r="G2069" s="40" t="str">
        <f>IF(tblMovimientos[[#This Row],[Producto]]="","",TRIM(LEFT(tblMovimientos[[#This Row],[Producto]],FIND(" · ",tblMovimientos[[#This Row],[Producto]]&amp;" · ")-1)))</f>
        <v/>
      </c>
      <c r="H2069" s="40" t="str">
        <f>IF(tblMovimientos[[#This Row],[SKU]]="","",IFERROR(INDEX(tblProductos[Unidad],MATCH(tblMovimientos[[#This Row],[SKU]],tblProductos[SKU],0)),"?"))</f>
        <v/>
      </c>
      <c r="I2069" s="39"/>
      <c r="J2069" s="47" t="str">
        <f>IF(tblMovimientos[[#This Row],[Tipo]]="","",IFERROR(INDEX(tblTiposMov[FactorStock],MATCH(tblMovimientos[[#This Row],[Tipo]],tblTiposMov[Tipo],0)),0))</f>
        <v/>
      </c>
      <c r="K20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69" s="37"/>
      <c r="O2069" s="37"/>
      <c r="P2069" s="37"/>
    </row>
    <row r="2070" spans="2:16" x14ac:dyDescent="0.25">
      <c r="B20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0" s="46"/>
      <c r="D2070" s="37"/>
      <c r="E2070" s="37"/>
      <c r="F2070" s="37"/>
      <c r="G2070" s="40" t="str">
        <f>IF(tblMovimientos[[#This Row],[Producto]]="","",TRIM(LEFT(tblMovimientos[[#This Row],[Producto]],FIND(" · ",tblMovimientos[[#This Row],[Producto]]&amp;" · ")-1)))</f>
        <v/>
      </c>
      <c r="H2070" s="40" t="str">
        <f>IF(tblMovimientos[[#This Row],[SKU]]="","",IFERROR(INDEX(tblProductos[Unidad],MATCH(tblMovimientos[[#This Row],[SKU]],tblProductos[SKU],0)),"?"))</f>
        <v/>
      </c>
      <c r="I2070" s="39"/>
      <c r="J2070" s="47" t="str">
        <f>IF(tblMovimientos[[#This Row],[Tipo]]="","",IFERROR(INDEX(tblTiposMov[FactorStock],MATCH(tblMovimientos[[#This Row],[Tipo]],tblTiposMov[Tipo],0)),0))</f>
        <v/>
      </c>
      <c r="K20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0" s="37"/>
      <c r="O2070" s="37"/>
      <c r="P2070" s="37"/>
    </row>
    <row r="2071" spans="2:16" x14ac:dyDescent="0.25">
      <c r="B20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1" s="46"/>
      <c r="D2071" s="37"/>
      <c r="E2071" s="37"/>
      <c r="F2071" s="37"/>
      <c r="G2071" s="40" t="str">
        <f>IF(tblMovimientos[[#This Row],[Producto]]="","",TRIM(LEFT(tblMovimientos[[#This Row],[Producto]],FIND(" · ",tblMovimientos[[#This Row],[Producto]]&amp;" · ")-1)))</f>
        <v/>
      </c>
      <c r="H2071" s="40" t="str">
        <f>IF(tblMovimientos[[#This Row],[SKU]]="","",IFERROR(INDEX(tblProductos[Unidad],MATCH(tblMovimientos[[#This Row],[SKU]],tblProductos[SKU],0)),"?"))</f>
        <v/>
      </c>
      <c r="I2071" s="39"/>
      <c r="J2071" s="47" t="str">
        <f>IF(tblMovimientos[[#This Row],[Tipo]]="","",IFERROR(INDEX(tblTiposMov[FactorStock],MATCH(tblMovimientos[[#This Row],[Tipo]],tblTiposMov[Tipo],0)),0))</f>
        <v/>
      </c>
      <c r="K20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1" s="37"/>
      <c r="O2071" s="37"/>
      <c r="P2071" s="37"/>
    </row>
    <row r="2072" spans="2:16" x14ac:dyDescent="0.25">
      <c r="B20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2" s="46"/>
      <c r="D2072" s="37"/>
      <c r="E2072" s="37"/>
      <c r="F2072" s="37"/>
      <c r="G2072" s="40" t="str">
        <f>IF(tblMovimientos[[#This Row],[Producto]]="","",TRIM(LEFT(tblMovimientos[[#This Row],[Producto]],FIND(" · ",tblMovimientos[[#This Row],[Producto]]&amp;" · ")-1)))</f>
        <v/>
      </c>
      <c r="H2072" s="40" t="str">
        <f>IF(tblMovimientos[[#This Row],[SKU]]="","",IFERROR(INDEX(tblProductos[Unidad],MATCH(tblMovimientos[[#This Row],[SKU]],tblProductos[SKU],0)),"?"))</f>
        <v/>
      </c>
      <c r="I2072" s="39"/>
      <c r="J2072" s="47" t="str">
        <f>IF(tblMovimientos[[#This Row],[Tipo]]="","",IFERROR(INDEX(tblTiposMov[FactorStock],MATCH(tblMovimientos[[#This Row],[Tipo]],tblTiposMov[Tipo],0)),0))</f>
        <v/>
      </c>
      <c r="K20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2" s="37"/>
      <c r="O2072" s="37"/>
      <c r="P2072" s="37"/>
    </row>
    <row r="2073" spans="2:16" x14ac:dyDescent="0.25">
      <c r="B20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3" s="46"/>
      <c r="D2073" s="37"/>
      <c r="E2073" s="37"/>
      <c r="F2073" s="37"/>
      <c r="G2073" s="40" t="str">
        <f>IF(tblMovimientos[[#This Row],[Producto]]="","",TRIM(LEFT(tblMovimientos[[#This Row],[Producto]],FIND(" · ",tblMovimientos[[#This Row],[Producto]]&amp;" · ")-1)))</f>
        <v/>
      </c>
      <c r="H2073" s="40" t="str">
        <f>IF(tblMovimientos[[#This Row],[SKU]]="","",IFERROR(INDEX(tblProductos[Unidad],MATCH(tblMovimientos[[#This Row],[SKU]],tblProductos[SKU],0)),"?"))</f>
        <v/>
      </c>
      <c r="I2073" s="39"/>
      <c r="J2073" s="47" t="str">
        <f>IF(tblMovimientos[[#This Row],[Tipo]]="","",IFERROR(INDEX(tblTiposMov[FactorStock],MATCH(tblMovimientos[[#This Row],[Tipo]],tblTiposMov[Tipo],0)),0))</f>
        <v/>
      </c>
      <c r="K20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3" s="37"/>
      <c r="O2073" s="37"/>
      <c r="P2073" s="37"/>
    </row>
    <row r="2074" spans="2:16" x14ac:dyDescent="0.25">
      <c r="B20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4" s="46"/>
      <c r="D2074" s="37"/>
      <c r="E2074" s="37"/>
      <c r="F2074" s="37"/>
      <c r="G2074" s="40" t="str">
        <f>IF(tblMovimientos[[#This Row],[Producto]]="","",TRIM(LEFT(tblMovimientos[[#This Row],[Producto]],FIND(" · ",tblMovimientos[[#This Row],[Producto]]&amp;" · ")-1)))</f>
        <v/>
      </c>
      <c r="H2074" s="40" t="str">
        <f>IF(tblMovimientos[[#This Row],[SKU]]="","",IFERROR(INDEX(tblProductos[Unidad],MATCH(tblMovimientos[[#This Row],[SKU]],tblProductos[SKU],0)),"?"))</f>
        <v/>
      </c>
      <c r="I2074" s="39"/>
      <c r="J2074" s="47" t="str">
        <f>IF(tblMovimientos[[#This Row],[Tipo]]="","",IFERROR(INDEX(tblTiposMov[FactorStock],MATCH(tblMovimientos[[#This Row],[Tipo]],tblTiposMov[Tipo],0)),0))</f>
        <v/>
      </c>
      <c r="K20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4" s="37"/>
      <c r="O2074" s="37"/>
      <c r="P2074" s="37"/>
    </row>
    <row r="2075" spans="2:16" x14ac:dyDescent="0.25">
      <c r="B20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5" s="46"/>
      <c r="D2075" s="37"/>
      <c r="E2075" s="37"/>
      <c r="F2075" s="37"/>
      <c r="G2075" s="40" t="str">
        <f>IF(tblMovimientos[[#This Row],[Producto]]="","",TRIM(LEFT(tblMovimientos[[#This Row],[Producto]],FIND(" · ",tblMovimientos[[#This Row],[Producto]]&amp;" · ")-1)))</f>
        <v/>
      </c>
      <c r="H2075" s="40" t="str">
        <f>IF(tblMovimientos[[#This Row],[SKU]]="","",IFERROR(INDEX(tblProductos[Unidad],MATCH(tblMovimientos[[#This Row],[SKU]],tblProductos[SKU],0)),"?"))</f>
        <v/>
      </c>
      <c r="I2075" s="39"/>
      <c r="J2075" s="47" t="str">
        <f>IF(tblMovimientos[[#This Row],[Tipo]]="","",IFERROR(INDEX(tblTiposMov[FactorStock],MATCH(tblMovimientos[[#This Row],[Tipo]],tblTiposMov[Tipo],0)),0))</f>
        <v/>
      </c>
      <c r="K20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5" s="37"/>
      <c r="O2075" s="37"/>
      <c r="P2075" s="37"/>
    </row>
    <row r="2076" spans="2:16" x14ac:dyDescent="0.25">
      <c r="B20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6" s="46"/>
      <c r="D2076" s="37"/>
      <c r="E2076" s="37"/>
      <c r="F2076" s="37"/>
      <c r="G2076" s="40" t="str">
        <f>IF(tblMovimientos[[#This Row],[Producto]]="","",TRIM(LEFT(tblMovimientos[[#This Row],[Producto]],FIND(" · ",tblMovimientos[[#This Row],[Producto]]&amp;" · ")-1)))</f>
        <v/>
      </c>
      <c r="H2076" s="40" t="str">
        <f>IF(tblMovimientos[[#This Row],[SKU]]="","",IFERROR(INDEX(tblProductos[Unidad],MATCH(tblMovimientos[[#This Row],[SKU]],tblProductos[SKU],0)),"?"))</f>
        <v/>
      </c>
      <c r="I2076" s="39"/>
      <c r="J2076" s="47" t="str">
        <f>IF(tblMovimientos[[#This Row],[Tipo]]="","",IFERROR(INDEX(tblTiposMov[FactorStock],MATCH(tblMovimientos[[#This Row],[Tipo]],tblTiposMov[Tipo],0)),0))</f>
        <v/>
      </c>
      <c r="K20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6" s="37"/>
      <c r="O2076" s="37"/>
      <c r="P2076" s="37"/>
    </row>
    <row r="2077" spans="2:16" x14ac:dyDescent="0.25">
      <c r="B20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7" s="46"/>
      <c r="D2077" s="37"/>
      <c r="E2077" s="37"/>
      <c r="F2077" s="37"/>
      <c r="G2077" s="40" t="str">
        <f>IF(tblMovimientos[[#This Row],[Producto]]="","",TRIM(LEFT(tblMovimientos[[#This Row],[Producto]],FIND(" · ",tblMovimientos[[#This Row],[Producto]]&amp;" · ")-1)))</f>
        <v/>
      </c>
      <c r="H2077" s="40" t="str">
        <f>IF(tblMovimientos[[#This Row],[SKU]]="","",IFERROR(INDEX(tblProductos[Unidad],MATCH(tblMovimientos[[#This Row],[SKU]],tblProductos[SKU],0)),"?"))</f>
        <v/>
      </c>
      <c r="I2077" s="39"/>
      <c r="J2077" s="47" t="str">
        <f>IF(tblMovimientos[[#This Row],[Tipo]]="","",IFERROR(INDEX(tblTiposMov[FactorStock],MATCH(tblMovimientos[[#This Row],[Tipo]],tblTiposMov[Tipo],0)),0))</f>
        <v/>
      </c>
      <c r="K20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7" s="37"/>
      <c r="O2077" s="37"/>
      <c r="P2077" s="37"/>
    </row>
    <row r="2078" spans="2:16" x14ac:dyDescent="0.25">
      <c r="B20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8" s="46"/>
      <c r="D2078" s="37"/>
      <c r="E2078" s="37"/>
      <c r="F2078" s="37"/>
      <c r="G2078" s="40" t="str">
        <f>IF(tblMovimientos[[#This Row],[Producto]]="","",TRIM(LEFT(tblMovimientos[[#This Row],[Producto]],FIND(" · ",tblMovimientos[[#This Row],[Producto]]&amp;" · ")-1)))</f>
        <v/>
      </c>
      <c r="H2078" s="40" t="str">
        <f>IF(tblMovimientos[[#This Row],[SKU]]="","",IFERROR(INDEX(tblProductos[Unidad],MATCH(tblMovimientos[[#This Row],[SKU]],tblProductos[SKU],0)),"?"))</f>
        <v/>
      </c>
      <c r="I2078" s="39"/>
      <c r="J2078" s="47" t="str">
        <f>IF(tblMovimientos[[#This Row],[Tipo]]="","",IFERROR(INDEX(tblTiposMov[FactorStock],MATCH(tblMovimientos[[#This Row],[Tipo]],tblTiposMov[Tipo],0)),0))</f>
        <v/>
      </c>
      <c r="K20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8" s="37"/>
      <c r="O2078" s="37"/>
      <c r="P2078" s="37"/>
    </row>
    <row r="2079" spans="2:16" x14ac:dyDescent="0.25">
      <c r="B20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79" s="46"/>
      <c r="D2079" s="37"/>
      <c r="E2079" s="37"/>
      <c r="F2079" s="37"/>
      <c r="G2079" s="40" t="str">
        <f>IF(tblMovimientos[[#This Row],[Producto]]="","",TRIM(LEFT(tblMovimientos[[#This Row],[Producto]],FIND(" · ",tblMovimientos[[#This Row],[Producto]]&amp;" · ")-1)))</f>
        <v/>
      </c>
      <c r="H2079" s="40" t="str">
        <f>IF(tblMovimientos[[#This Row],[SKU]]="","",IFERROR(INDEX(tblProductos[Unidad],MATCH(tblMovimientos[[#This Row],[SKU]],tblProductos[SKU],0)),"?"))</f>
        <v/>
      </c>
      <c r="I2079" s="39"/>
      <c r="J2079" s="47" t="str">
        <f>IF(tblMovimientos[[#This Row],[Tipo]]="","",IFERROR(INDEX(tblTiposMov[FactorStock],MATCH(tblMovimientos[[#This Row],[Tipo]],tblTiposMov[Tipo],0)),0))</f>
        <v/>
      </c>
      <c r="K20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79" s="37"/>
      <c r="O2079" s="37"/>
      <c r="P2079" s="37"/>
    </row>
    <row r="2080" spans="2:16" x14ac:dyDescent="0.25">
      <c r="B20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0" s="46"/>
      <c r="D2080" s="37"/>
      <c r="E2080" s="37"/>
      <c r="F2080" s="37"/>
      <c r="G2080" s="40" t="str">
        <f>IF(tblMovimientos[[#This Row],[Producto]]="","",TRIM(LEFT(tblMovimientos[[#This Row],[Producto]],FIND(" · ",tblMovimientos[[#This Row],[Producto]]&amp;" · ")-1)))</f>
        <v/>
      </c>
      <c r="H2080" s="40" t="str">
        <f>IF(tblMovimientos[[#This Row],[SKU]]="","",IFERROR(INDEX(tblProductos[Unidad],MATCH(tblMovimientos[[#This Row],[SKU]],tblProductos[SKU],0)),"?"))</f>
        <v/>
      </c>
      <c r="I2080" s="39"/>
      <c r="J2080" s="47" t="str">
        <f>IF(tblMovimientos[[#This Row],[Tipo]]="","",IFERROR(INDEX(tblTiposMov[FactorStock],MATCH(tblMovimientos[[#This Row],[Tipo]],tblTiposMov[Tipo],0)),0))</f>
        <v/>
      </c>
      <c r="K20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0" s="37"/>
      <c r="O2080" s="37"/>
      <c r="P2080" s="37"/>
    </row>
    <row r="2081" spans="2:16" x14ac:dyDescent="0.25">
      <c r="B20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1" s="46"/>
      <c r="D2081" s="37"/>
      <c r="E2081" s="37"/>
      <c r="F2081" s="37"/>
      <c r="G2081" s="40" t="str">
        <f>IF(tblMovimientos[[#This Row],[Producto]]="","",TRIM(LEFT(tblMovimientos[[#This Row],[Producto]],FIND(" · ",tblMovimientos[[#This Row],[Producto]]&amp;" · ")-1)))</f>
        <v/>
      </c>
      <c r="H2081" s="40" t="str">
        <f>IF(tblMovimientos[[#This Row],[SKU]]="","",IFERROR(INDEX(tblProductos[Unidad],MATCH(tblMovimientos[[#This Row],[SKU]],tblProductos[SKU],0)),"?"))</f>
        <v/>
      </c>
      <c r="I2081" s="39"/>
      <c r="J2081" s="47" t="str">
        <f>IF(tblMovimientos[[#This Row],[Tipo]]="","",IFERROR(INDEX(tblTiposMov[FactorStock],MATCH(tblMovimientos[[#This Row],[Tipo]],tblTiposMov[Tipo],0)),0))</f>
        <v/>
      </c>
      <c r="K20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1" s="37"/>
      <c r="O2081" s="37"/>
      <c r="P2081" s="37"/>
    </row>
    <row r="2082" spans="2:16" x14ac:dyDescent="0.25">
      <c r="B20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2" s="46"/>
      <c r="D2082" s="37"/>
      <c r="E2082" s="37"/>
      <c r="F2082" s="37"/>
      <c r="G2082" s="40" t="str">
        <f>IF(tblMovimientos[[#This Row],[Producto]]="","",TRIM(LEFT(tblMovimientos[[#This Row],[Producto]],FIND(" · ",tblMovimientos[[#This Row],[Producto]]&amp;" · ")-1)))</f>
        <v/>
      </c>
      <c r="H2082" s="40" t="str">
        <f>IF(tblMovimientos[[#This Row],[SKU]]="","",IFERROR(INDEX(tblProductos[Unidad],MATCH(tblMovimientos[[#This Row],[SKU]],tblProductos[SKU],0)),"?"))</f>
        <v/>
      </c>
      <c r="I2082" s="39"/>
      <c r="J2082" s="47" t="str">
        <f>IF(tblMovimientos[[#This Row],[Tipo]]="","",IFERROR(INDEX(tblTiposMov[FactorStock],MATCH(tblMovimientos[[#This Row],[Tipo]],tblTiposMov[Tipo],0)),0))</f>
        <v/>
      </c>
      <c r="K20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2" s="37"/>
      <c r="O2082" s="37"/>
      <c r="P2082" s="37"/>
    </row>
    <row r="2083" spans="2:16" x14ac:dyDescent="0.25">
      <c r="B20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3" s="46"/>
      <c r="D2083" s="37"/>
      <c r="E2083" s="37"/>
      <c r="F2083" s="37"/>
      <c r="G2083" s="40" t="str">
        <f>IF(tblMovimientos[[#This Row],[Producto]]="","",TRIM(LEFT(tblMovimientos[[#This Row],[Producto]],FIND(" · ",tblMovimientos[[#This Row],[Producto]]&amp;" · ")-1)))</f>
        <v/>
      </c>
      <c r="H2083" s="40" t="str">
        <f>IF(tblMovimientos[[#This Row],[SKU]]="","",IFERROR(INDEX(tblProductos[Unidad],MATCH(tblMovimientos[[#This Row],[SKU]],tblProductos[SKU],0)),"?"))</f>
        <v/>
      </c>
      <c r="I2083" s="39"/>
      <c r="J2083" s="47" t="str">
        <f>IF(tblMovimientos[[#This Row],[Tipo]]="","",IFERROR(INDEX(tblTiposMov[FactorStock],MATCH(tblMovimientos[[#This Row],[Tipo]],tblTiposMov[Tipo],0)),0))</f>
        <v/>
      </c>
      <c r="K20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3" s="37"/>
      <c r="O2083" s="37"/>
      <c r="P2083" s="37"/>
    </row>
    <row r="2084" spans="2:16" x14ac:dyDescent="0.25">
      <c r="B20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4" s="46"/>
      <c r="D2084" s="37"/>
      <c r="E2084" s="37"/>
      <c r="F2084" s="37"/>
      <c r="G2084" s="40" t="str">
        <f>IF(tblMovimientos[[#This Row],[Producto]]="","",TRIM(LEFT(tblMovimientos[[#This Row],[Producto]],FIND(" · ",tblMovimientos[[#This Row],[Producto]]&amp;" · ")-1)))</f>
        <v/>
      </c>
      <c r="H2084" s="40" t="str">
        <f>IF(tblMovimientos[[#This Row],[SKU]]="","",IFERROR(INDEX(tblProductos[Unidad],MATCH(tblMovimientos[[#This Row],[SKU]],tblProductos[SKU],0)),"?"))</f>
        <v/>
      </c>
      <c r="I2084" s="39"/>
      <c r="J2084" s="47" t="str">
        <f>IF(tblMovimientos[[#This Row],[Tipo]]="","",IFERROR(INDEX(tblTiposMov[FactorStock],MATCH(tblMovimientos[[#This Row],[Tipo]],tblTiposMov[Tipo],0)),0))</f>
        <v/>
      </c>
      <c r="K20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4" s="37"/>
      <c r="O2084" s="37"/>
      <c r="P2084" s="37"/>
    </row>
    <row r="2085" spans="2:16" x14ac:dyDescent="0.25">
      <c r="B20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5" s="46"/>
      <c r="D2085" s="37"/>
      <c r="E2085" s="37"/>
      <c r="F2085" s="37"/>
      <c r="G2085" s="40" t="str">
        <f>IF(tblMovimientos[[#This Row],[Producto]]="","",TRIM(LEFT(tblMovimientos[[#This Row],[Producto]],FIND(" · ",tblMovimientos[[#This Row],[Producto]]&amp;" · ")-1)))</f>
        <v/>
      </c>
      <c r="H2085" s="40" t="str">
        <f>IF(tblMovimientos[[#This Row],[SKU]]="","",IFERROR(INDEX(tblProductos[Unidad],MATCH(tblMovimientos[[#This Row],[SKU]],tblProductos[SKU],0)),"?"))</f>
        <v/>
      </c>
      <c r="I2085" s="39"/>
      <c r="J2085" s="47" t="str">
        <f>IF(tblMovimientos[[#This Row],[Tipo]]="","",IFERROR(INDEX(tblTiposMov[FactorStock],MATCH(tblMovimientos[[#This Row],[Tipo]],tblTiposMov[Tipo],0)),0))</f>
        <v/>
      </c>
      <c r="K20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5" s="37"/>
      <c r="O2085" s="37"/>
      <c r="P2085" s="37"/>
    </row>
    <row r="2086" spans="2:16" x14ac:dyDescent="0.25">
      <c r="B20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6" s="46"/>
      <c r="D2086" s="37"/>
      <c r="E2086" s="37"/>
      <c r="F2086" s="37"/>
      <c r="G2086" s="40" t="str">
        <f>IF(tblMovimientos[[#This Row],[Producto]]="","",TRIM(LEFT(tblMovimientos[[#This Row],[Producto]],FIND(" · ",tblMovimientos[[#This Row],[Producto]]&amp;" · ")-1)))</f>
        <v/>
      </c>
      <c r="H2086" s="40" t="str">
        <f>IF(tblMovimientos[[#This Row],[SKU]]="","",IFERROR(INDEX(tblProductos[Unidad],MATCH(tblMovimientos[[#This Row],[SKU]],tblProductos[SKU],0)),"?"))</f>
        <v/>
      </c>
      <c r="I2086" s="39"/>
      <c r="J2086" s="47" t="str">
        <f>IF(tblMovimientos[[#This Row],[Tipo]]="","",IFERROR(INDEX(tblTiposMov[FactorStock],MATCH(tblMovimientos[[#This Row],[Tipo]],tblTiposMov[Tipo],0)),0))</f>
        <v/>
      </c>
      <c r="K20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6" s="37"/>
      <c r="O2086" s="37"/>
      <c r="P2086" s="37"/>
    </row>
    <row r="2087" spans="2:16" x14ac:dyDescent="0.25">
      <c r="B20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7" s="46"/>
      <c r="D2087" s="37"/>
      <c r="E2087" s="37"/>
      <c r="F2087" s="37"/>
      <c r="G2087" s="40" t="str">
        <f>IF(tblMovimientos[[#This Row],[Producto]]="","",TRIM(LEFT(tblMovimientos[[#This Row],[Producto]],FIND(" · ",tblMovimientos[[#This Row],[Producto]]&amp;" · ")-1)))</f>
        <v/>
      </c>
      <c r="H2087" s="40" t="str">
        <f>IF(tblMovimientos[[#This Row],[SKU]]="","",IFERROR(INDEX(tblProductos[Unidad],MATCH(tblMovimientos[[#This Row],[SKU]],tblProductos[SKU],0)),"?"))</f>
        <v/>
      </c>
      <c r="I2087" s="39"/>
      <c r="J2087" s="47" t="str">
        <f>IF(tblMovimientos[[#This Row],[Tipo]]="","",IFERROR(INDEX(tblTiposMov[FactorStock],MATCH(tblMovimientos[[#This Row],[Tipo]],tblTiposMov[Tipo],0)),0))</f>
        <v/>
      </c>
      <c r="K20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7" s="37"/>
      <c r="O2087" s="37"/>
      <c r="P2087" s="37"/>
    </row>
    <row r="2088" spans="2:16" x14ac:dyDescent="0.25">
      <c r="B20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8" s="46"/>
      <c r="D2088" s="37"/>
      <c r="E2088" s="37"/>
      <c r="F2088" s="37"/>
      <c r="G2088" s="40" t="str">
        <f>IF(tblMovimientos[[#This Row],[Producto]]="","",TRIM(LEFT(tblMovimientos[[#This Row],[Producto]],FIND(" · ",tblMovimientos[[#This Row],[Producto]]&amp;" · ")-1)))</f>
        <v/>
      </c>
      <c r="H2088" s="40" t="str">
        <f>IF(tblMovimientos[[#This Row],[SKU]]="","",IFERROR(INDEX(tblProductos[Unidad],MATCH(tblMovimientos[[#This Row],[SKU]],tblProductos[SKU],0)),"?"))</f>
        <v/>
      </c>
      <c r="I2088" s="39"/>
      <c r="J2088" s="47" t="str">
        <f>IF(tblMovimientos[[#This Row],[Tipo]]="","",IFERROR(INDEX(tblTiposMov[FactorStock],MATCH(tblMovimientos[[#This Row],[Tipo]],tblTiposMov[Tipo],0)),0))</f>
        <v/>
      </c>
      <c r="K20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8" s="37"/>
      <c r="O2088" s="37"/>
      <c r="P2088" s="37"/>
    </row>
    <row r="2089" spans="2:16" x14ac:dyDescent="0.25">
      <c r="B20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89" s="46"/>
      <c r="D2089" s="37"/>
      <c r="E2089" s="37"/>
      <c r="F2089" s="37"/>
      <c r="G2089" s="40" t="str">
        <f>IF(tblMovimientos[[#This Row],[Producto]]="","",TRIM(LEFT(tblMovimientos[[#This Row],[Producto]],FIND(" · ",tblMovimientos[[#This Row],[Producto]]&amp;" · ")-1)))</f>
        <v/>
      </c>
      <c r="H2089" s="40" t="str">
        <f>IF(tblMovimientos[[#This Row],[SKU]]="","",IFERROR(INDEX(tblProductos[Unidad],MATCH(tblMovimientos[[#This Row],[SKU]],tblProductos[SKU],0)),"?"))</f>
        <v/>
      </c>
      <c r="I2089" s="39"/>
      <c r="J2089" s="47" t="str">
        <f>IF(tblMovimientos[[#This Row],[Tipo]]="","",IFERROR(INDEX(tblTiposMov[FactorStock],MATCH(tblMovimientos[[#This Row],[Tipo]],tblTiposMov[Tipo],0)),0))</f>
        <v/>
      </c>
      <c r="K20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89" s="37"/>
      <c r="O2089" s="37"/>
      <c r="P2089" s="37"/>
    </row>
    <row r="2090" spans="2:16" x14ac:dyDescent="0.25">
      <c r="B20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0" s="46"/>
      <c r="D2090" s="37"/>
      <c r="E2090" s="37"/>
      <c r="F2090" s="37"/>
      <c r="G2090" s="40" t="str">
        <f>IF(tblMovimientos[[#This Row],[Producto]]="","",TRIM(LEFT(tblMovimientos[[#This Row],[Producto]],FIND(" · ",tblMovimientos[[#This Row],[Producto]]&amp;" · ")-1)))</f>
        <v/>
      </c>
      <c r="H2090" s="40" t="str">
        <f>IF(tblMovimientos[[#This Row],[SKU]]="","",IFERROR(INDEX(tblProductos[Unidad],MATCH(tblMovimientos[[#This Row],[SKU]],tblProductos[SKU],0)),"?"))</f>
        <v/>
      </c>
      <c r="I2090" s="39"/>
      <c r="J2090" s="47" t="str">
        <f>IF(tblMovimientos[[#This Row],[Tipo]]="","",IFERROR(INDEX(tblTiposMov[FactorStock],MATCH(tblMovimientos[[#This Row],[Tipo]],tblTiposMov[Tipo],0)),0))</f>
        <v/>
      </c>
      <c r="K20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0" s="37"/>
      <c r="O2090" s="37"/>
      <c r="P2090" s="37"/>
    </row>
    <row r="2091" spans="2:16" x14ac:dyDescent="0.25">
      <c r="B20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1" s="46"/>
      <c r="D2091" s="37"/>
      <c r="E2091" s="37"/>
      <c r="F2091" s="37"/>
      <c r="G2091" s="40" t="str">
        <f>IF(tblMovimientos[[#This Row],[Producto]]="","",TRIM(LEFT(tblMovimientos[[#This Row],[Producto]],FIND(" · ",tblMovimientos[[#This Row],[Producto]]&amp;" · ")-1)))</f>
        <v/>
      </c>
      <c r="H2091" s="40" t="str">
        <f>IF(tblMovimientos[[#This Row],[SKU]]="","",IFERROR(INDEX(tblProductos[Unidad],MATCH(tblMovimientos[[#This Row],[SKU]],tblProductos[SKU],0)),"?"))</f>
        <v/>
      </c>
      <c r="I2091" s="39"/>
      <c r="J2091" s="47" t="str">
        <f>IF(tblMovimientos[[#This Row],[Tipo]]="","",IFERROR(INDEX(tblTiposMov[FactorStock],MATCH(tblMovimientos[[#This Row],[Tipo]],tblTiposMov[Tipo],0)),0))</f>
        <v/>
      </c>
      <c r="K20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1" s="37"/>
      <c r="O2091" s="37"/>
      <c r="P2091" s="37"/>
    </row>
    <row r="2092" spans="2:16" x14ac:dyDescent="0.25">
      <c r="B20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2" s="46"/>
      <c r="D2092" s="37"/>
      <c r="E2092" s="37"/>
      <c r="F2092" s="37"/>
      <c r="G2092" s="40" t="str">
        <f>IF(tblMovimientos[[#This Row],[Producto]]="","",TRIM(LEFT(tblMovimientos[[#This Row],[Producto]],FIND(" · ",tblMovimientos[[#This Row],[Producto]]&amp;" · ")-1)))</f>
        <v/>
      </c>
      <c r="H2092" s="40" t="str">
        <f>IF(tblMovimientos[[#This Row],[SKU]]="","",IFERROR(INDEX(tblProductos[Unidad],MATCH(tblMovimientos[[#This Row],[SKU]],tblProductos[SKU],0)),"?"))</f>
        <v/>
      </c>
      <c r="I2092" s="39"/>
      <c r="J2092" s="47" t="str">
        <f>IF(tblMovimientos[[#This Row],[Tipo]]="","",IFERROR(INDEX(tblTiposMov[FactorStock],MATCH(tblMovimientos[[#This Row],[Tipo]],tblTiposMov[Tipo],0)),0))</f>
        <v/>
      </c>
      <c r="K20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2" s="37"/>
      <c r="O2092" s="37"/>
      <c r="P2092" s="37"/>
    </row>
    <row r="2093" spans="2:16" x14ac:dyDescent="0.25">
      <c r="B20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3" s="46"/>
      <c r="D2093" s="37"/>
      <c r="E2093" s="37"/>
      <c r="F2093" s="37"/>
      <c r="G2093" s="40" t="str">
        <f>IF(tblMovimientos[[#This Row],[Producto]]="","",TRIM(LEFT(tblMovimientos[[#This Row],[Producto]],FIND(" · ",tblMovimientos[[#This Row],[Producto]]&amp;" · ")-1)))</f>
        <v/>
      </c>
      <c r="H2093" s="40" t="str">
        <f>IF(tblMovimientos[[#This Row],[SKU]]="","",IFERROR(INDEX(tblProductos[Unidad],MATCH(tblMovimientos[[#This Row],[SKU]],tblProductos[SKU],0)),"?"))</f>
        <v/>
      </c>
      <c r="I2093" s="39"/>
      <c r="J2093" s="47" t="str">
        <f>IF(tblMovimientos[[#This Row],[Tipo]]="","",IFERROR(INDEX(tblTiposMov[FactorStock],MATCH(tblMovimientos[[#This Row],[Tipo]],tblTiposMov[Tipo],0)),0))</f>
        <v/>
      </c>
      <c r="K20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3" s="37"/>
      <c r="O2093" s="37"/>
      <c r="P2093" s="37"/>
    </row>
    <row r="2094" spans="2:16" x14ac:dyDescent="0.25">
      <c r="B20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4" s="46"/>
      <c r="D2094" s="37"/>
      <c r="E2094" s="37"/>
      <c r="F2094" s="37"/>
      <c r="G2094" s="40" t="str">
        <f>IF(tblMovimientos[[#This Row],[Producto]]="","",TRIM(LEFT(tblMovimientos[[#This Row],[Producto]],FIND(" · ",tblMovimientos[[#This Row],[Producto]]&amp;" · ")-1)))</f>
        <v/>
      </c>
      <c r="H2094" s="40" t="str">
        <f>IF(tblMovimientos[[#This Row],[SKU]]="","",IFERROR(INDEX(tblProductos[Unidad],MATCH(tblMovimientos[[#This Row],[SKU]],tblProductos[SKU],0)),"?"))</f>
        <v/>
      </c>
      <c r="I2094" s="39"/>
      <c r="J2094" s="47" t="str">
        <f>IF(tblMovimientos[[#This Row],[Tipo]]="","",IFERROR(INDEX(tblTiposMov[FactorStock],MATCH(tblMovimientos[[#This Row],[Tipo]],tblTiposMov[Tipo],0)),0))</f>
        <v/>
      </c>
      <c r="K20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4" s="37"/>
      <c r="O2094" s="37"/>
      <c r="P2094" s="37"/>
    </row>
    <row r="2095" spans="2:16" x14ac:dyDescent="0.25">
      <c r="B20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5" s="46"/>
      <c r="D2095" s="37"/>
      <c r="E2095" s="37"/>
      <c r="F2095" s="37"/>
      <c r="G2095" s="40" t="str">
        <f>IF(tblMovimientos[[#This Row],[Producto]]="","",TRIM(LEFT(tblMovimientos[[#This Row],[Producto]],FIND(" · ",tblMovimientos[[#This Row],[Producto]]&amp;" · ")-1)))</f>
        <v/>
      </c>
      <c r="H2095" s="40" t="str">
        <f>IF(tblMovimientos[[#This Row],[SKU]]="","",IFERROR(INDEX(tblProductos[Unidad],MATCH(tblMovimientos[[#This Row],[SKU]],tblProductos[SKU],0)),"?"))</f>
        <v/>
      </c>
      <c r="I2095" s="39"/>
      <c r="J2095" s="47" t="str">
        <f>IF(tblMovimientos[[#This Row],[Tipo]]="","",IFERROR(INDEX(tblTiposMov[FactorStock],MATCH(tblMovimientos[[#This Row],[Tipo]],tblTiposMov[Tipo],0)),0))</f>
        <v/>
      </c>
      <c r="K20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5" s="37"/>
      <c r="O2095" s="37"/>
      <c r="P2095" s="37"/>
    </row>
    <row r="2096" spans="2:16" x14ac:dyDescent="0.25">
      <c r="B20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6" s="46"/>
      <c r="D2096" s="37"/>
      <c r="E2096" s="37"/>
      <c r="F2096" s="37"/>
      <c r="G2096" s="40" t="str">
        <f>IF(tblMovimientos[[#This Row],[Producto]]="","",TRIM(LEFT(tblMovimientos[[#This Row],[Producto]],FIND(" · ",tblMovimientos[[#This Row],[Producto]]&amp;" · ")-1)))</f>
        <v/>
      </c>
      <c r="H2096" s="40" t="str">
        <f>IF(tblMovimientos[[#This Row],[SKU]]="","",IFERROR(INDEX(tblProductos[Unidad],MATCH(tblMovimientos[[#This Row],[SKU]],tblProductos[SKU],0)),"?"))</f>
        <v/>
      </c>
      <c r="I2096" s="39"/>
      <c r="J2096" s="47" t="str">
        <f>IF(tblMovimientos[[#This Row],[Tipo]]="","",IFERROR(INDEX(tblTiposMov[FactorStock],MATCH(tblMovimientos[[#This Row],[Tipo]],tblTiposMov[Tipo],0)),0))</f>
        <v/>
      </c>
      <c r="K20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6" s="37"/>
      <c r="O2096" s="37"/>
      <c r="P2096" s="37"/>
    </row>
    <row r="2097" spans="2:16" x14ac:dyDescent="0.25">
      <c r="B20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7" s="46"/>
      <c r="D2097" s="37"/>
      <c r="E2097" s="37"/>
      <c r="F2097" s="37"/>
      <c r="G2097" s="40" t="str">
        <f>IF(tblMovimientos[[#This Row],[Producto]]="","",TRIM(LEFT(tblMovimientos[[#This Row],[Producto]],FIND(" · ",tblMovimientos[[#This Row],[Producto]]&amp;" · ")-1)))</f>
        <v/>
      </c>
      <c r="H2097" s="40" t="str">
        <f>IF(tblMovimientos[[#This Row],[SKU]]="","",IFERROR(INDEX(tblProductos[Unidad],MATCH(tblMovimientos[[#This Row],[SKU]],tblProductos[SKU],0)),"?"))</f>
        <v/>
      </c>
      <c r="I2097" s="39"/>
      <c r="J2097" s="47" t="str">
        <f>IF(tblMovimientos[[#This Row],[Tipo]]="","",IFERROR(INDEX(tblTiposMov[FactorStock],MATCH(tblMovimientos[[#This Row],[Tipo]],tblTiposMov[Tipo],0)),0))</f>
        <v/>
      </c>
      <c r="K20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7" s="37"/>
      <c r="O2097" s="37"/>
      <c r="P2097" s="37"/>
    </row>
    <row r="2098" spans="2:16" x14ac:dyDescent="0.25">
      <c r="B20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8" s="46"/>
      <c r="D2098" s="37"/>
      <c r="E2098" s="37"/>
      <c r="F2098" s="37"/>
      <c r="G2098" s="40" t="str">
        <f>IF(tblMovimientos[[#This Row],[Producto]]="","",TRIM(LEFT(tblMovimientos[[#This Row],[Producto]],FIND(" · ",tblMovimientos[[#This Row],[Producto]]&amp;" · ")-1)))</f>
        <v/>
      </c>
      <c r="H2098" s="40" t="str">
        <f>IF(tblMovimientos[[#This Row],[SKU]]="","",IFERROR(INDEX(tblProductos[Unidad],MATCH(tblMovimientos[[#This Row],[SKU]],tblProductos[SKU],0)),"?"))</f>
        <v/>
      </c>
      <c r="I2098" s="39"/>
      <c r="J2098" s="47" t="str">
        <f>IF(tblMovimientos[[#This Row],[Tipo]]="","",IFERROR(INDEX(tblTiposMov[FactorStock],MATCH(tblMovimientos[[#This Row],[Tipo]],tblTiposMov[Tipo],0)),0))</f>
        <v/>
      </c>
      <c r="K20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8" s="37"/>
      <c r="O2098" s="37"/>
      <c r="P2098" s="37"/>
    </row>
    <row r="2099" spans="2:16" x14ac:dyDescent="0.25">
      <c r="B20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099" s="46"/>
      <c r="D2099" s="37"/>
      <c r="E2099" s="37"/>
      <c r="F2099" s="37"/>
      <c r="G2099" s="40" t="str">
        <f>IF(tblMovimientos[[#This Row],[Producto]]="","",TRIM(LEFT(tblMovimientos[[#This Row],[Producto]],FIND(" · ",tblMovimientos[[#This Row],[Producto]]&amp;" · ")-1)))</f>
        <v/>
      </c>
      <c r="H2099" s="40" t="str">
        <f>IF(tblMovimientos[[#This Row],[SKU]]="","",IFERROR(INDEX(tblProductos[Unidad],MATCH(tblMovimientos[[#This Row],[SKU]],tblProductos[SKU],0)),"?"))</f>
        <v/>
      </c>
      <c r="I2099" s="39"/>
      <c r="J2099" s="47" t="str">
        <f>IF(tblMovimientos[[#This Row],[Tipo]]="","",IFERROR(INDEX(tblTiposMov[FactorStock],MATCH(tblMovimientos[[#This Row],[Tipo]],tblTiposMov[Tipo],0)),0))</f>
        <v/>
      </c>
      <c r="K20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0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099" s="37"/>
      <c r="O2099" s="37"/>
      <c r="P2099" s="37"/>
    </row>
    <row r="2100" spans="2:16" x14ac:dyDescent="0.25">
      <c r="B21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0" s="46"/>
      <c r="D2100" s="37"/>
      <c r="E2100" s="37"/>
      <c r="F2100" s="37"/>
      <c r="G2100" s="40" t="str">
        <f>IF(tblMovimientos[[#This Row],[Producto]]="","",TRIM(LEFT(tblMovimientos[[#This Row],[Producto]],FIND(" · ",tblMovimientos[[#This Row],[Producto]]&amp;" · ")-1)))</f>
        <v/>
      </c>
      <c r="H2100" s="40" t="str">
        <f>IF(tblMovimientos[[#This Row],[SKU]]="","",IFERROR(INDEX(tblProductos[Unidad],MATCH(tblMovimientos[[#This Row],[SKU]],tblProductos[SKU],0)),"?"))</f>
        <v/>
      </c>
      <c r="I2100" s="39"/>
      <c r="J2100" s="47" t="str">
        <f>IF(tblMovimientos[[#This Row],[Tipo]]="","",IFERROR(INDEX(tblTiposMov[FactorStock],MATCH(tblMovimientos[[#This Row],[Tipo]],tblTiposMov[Tipo],0)),0))</f>
        <v/>
      </c>
      <c r="K21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0" s="37"/>
      <c r="O2100" s="37"/>
      <c r="P2100" s="37"/>
    </row>
    <row r="2101" spans="2:16" x14ac:dyDescent="0.25">
      <c r="B21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1" s="46"/>
      <c r="D2101" s="37"/>
      <c r="E2101" s="37"/>
      <c r="F2101" s="37"/>
      <c r="G2101" s="40" t="str">
        <f>IF(tblMovimientos[[#This Row],[Producto]]="","",TRIM(LEFT(tblMovimientos[[#This Row],[Producto]],FIND(" · ",tblMovimientos[[#This Row],[Producto]]&amp;" · ")-1)))</f>
        <v/>
      </c>
      <c r="H2101" s="40" t="str">
        <f>IF(tblMovimientos[[#This Row],[SKU]]="","",IFERROR(INDEX(tblProductos[Unidad],MATCH(tblMovimientos[[#This Row],[SKU]],tblProductos[SKU],0)),"?"))</f>
        <v/>
      </c>
      <c r="I2101" s="39"/>
      <c r="J2101" s="47" t="str">
        <f>IF(tblMovimientos[[#This Row],[Tipo]]="","",IFERROR(INDEX(tblTiposMov[FactorStock],MATCH(tblMovimientos[[#This Row],[Tipo]],tblTiposMov[Tipo],0)),0))</f>
        <v/>
      </c>
      <c r="K21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1" s="37"/>
      <c r="O2101" s="37"/>
      <c r="P2101" s="37"/>
    </row>
    <row r="2102" spans="2:16" x14ac:dyDescent="0.25">
      <c r="B21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2" s="46"/>
      <c r="D2102" s="37"/>
      <c r="E2102" s="37"/>
      <c r="F2102" s="37"/>
      <c r="G2102" s="40" t="str">
        <f>IF(tblMovimientos[[#This Row],[Producto]]="","",TRIM(LEFT(tblMovimientos[[#This Row],[Producto]],FIND(" · ",tblMovimientos[[#This Row],[Producto]]&amp;" · ")-1)))</f>
        <v/>
      </c>
      <c r="H2102" s="40" t="str">
        <f>IF(tblMovimientos[[#This Row],[SKU]]="","",IFERROR(INDEX(tblProductos[Unidad],MATCH(tblMovimientos[[#This Row],[SKU]],tblProductos[SKU],0)),"?"))</f>
        <v/>
      </c>
      <c r="I2102" s="39"/>
      <c r="J2102" s="47" t="str">
        <f>IF(tblMovimientos[[#This Row],[Tipo]]="","",IFERROR(INDEX(tblTiposMov[FactorStock],MATCH(tblMovimientos[[#This Row],[Tipo]],tblTiposMov[Tipo],0)),0))</f>
        <v/>
      </c>
      <c r="K21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2" s="37"/>
      <c r="O2102" s="37"/>
      <c r="P2102" s="37"/>
    </row>
    <row r="2103" spans="2:16" x14ac:dyDescent="0.25">
      <c r="B21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3" s="46"/>
      <c r="D2103" s="37"/>
      <c r="E2103" s="37"/>
      <c r="F2103" s="37"/>
      <c r="G2103" s="40" t="str">
        <f>IF(tblMovimientos[[#This Row],[Producto]]="","",TRIM(LEFT(tblMovimientos[[#This Row],[Producto]],FIND(" · ",tblMovimientos[[#This Row],[Producto]]&amp;" · ")-1)))</f>
        <v/>
      </c>
      <c r="H2103" s="40" t="str">
        <f>IF(tblMovimientos[[#This Row],[SKU]]="","",IFERROR(INDEX(tblProductos[Unidad],MATCH(tblMovimientos[[#This Row],[SKU]],tblProductos[SKU],0)),"?"))</f>
        <v/>
      </c>
      <c r="I2103" s="39"/>
      <c r="J2103" s="47" t="str">
        <f>IF(tblMovimientos[[#This Row],[Tipo]]="","",IFERROR(INDEX(tblTiposMov[FactorStock],MATCH(tblMovimientos[[#This Row],[Tipo]],tblTiposMov[Tipo],0)),0))</f>
        <v/>
      </c>
      <c r="K21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3" s="37"/>
      <c r="O2103" s="37"/>
      <c r="P2103" s="37"/>
    </row>
    <row r="2104" spans="2:16" x14ac:dyDescent="0.25">
      <c r="B21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4" s="46"/>
      <c r="D2104" s="37"/>
      <c r="E2104" s="37"/>
      <c r="F2104" s="37"/>
      <c r="G2104" s="40" t="str">
        <f>IF(tblMovimientos[[#This Row],[Producto]]="","",TRIM(LEFT(tblMovimientos[[#This Row],[Producto]],FIND(" · ",tblMovimientos[[#This Row],[Producto]]&amp;" · ")-1)))</f>
        <v/>
      </c>
      <c r="H2104" s="40" t="str">
        <f>IF(tblMovimientos[[#This Row],[SKU]]="","",IFERROR(INDEX(tblProductos[Unidad],MATCH(tblMovimientos[[#This Row],[SKU]],tblProductos[SKU],0)),"?"))</f>
        <v/>
      </c>
      <c r="I2104" s="39"/>
      <c r="J2104" s="47" t="str">
        <f>IF(tblMovimientos[[#This Row],[Tipo]]="","",IFERROR(INDEX(tblTiposMov[FactorStock],MATCH(tblMovimientos[[#This Row],[Tipo]],tblTiposMov[Tipo],0)),0))</f>
        <v/>
      </c>
      <c r="K21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4" s="37"/>
      <c r="O2104" s="37"/>
      <c r="P2104" s="37"/>
    </row>
    <row r="2105" spans="2:16" x14ac:dyDescent="0.25">
      <c r="B21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5" s="46"/>
      <c r="D2105" s="37"/>
      <c r="E2105" s="37"/>
      <c r="F2105" s="37"/>
      <c r="G2105" s="40" t="str">
        <f>IF(tblMovimientos[[#This Row],[Producto]]="","",TRIM(LEFT(tblMovimientos[[#This Row],[Producto]],FIND(" · ",tblMovimientos[[#This Row],[Producto]]&amp;" · ")-1)))</f>
        <v/>
      </c>
      <c r="H2105" s="40" t="str">
        <f>IF(tblMovimientos[[#This Row],[SKU]]="","",IFERROR(INDEX(tblProductos[Unidad],MATCH(tblMovimientos[[#This Row],[SKU]],tblProductos[SKU],0)),"?"))</f>
        <v/>
      </c>
      <c r="I2105" s="39"/>
      <c r="J2105" s="47" t="str">
        <f>IF(tblMovimientos[[#This Row],[Tipo]]="","",IFERROR(INDEX(tblTiposMov[FactorStock],MATCH(tblMovimientos[[#This Row],[Tipo]],tblTiposMov[Tipo],0)),0))</f>
        <v/>
      </c>
      <c r="K21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5" s="37"/>
      <c r="O2105" s="37"/>
      <c r="P2105" s="37"/>
    </row>
    <row r="2106" spans="2:16" x14ac:dyDescent="0.25">
      <c r="B21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6" s="46"/>
      <c r="D2106" s="37"/>
      <c r="E2106" s="37"/>
      <c r="F2106" s="37"/>
      <c r="G2106" s="40" t="str">
        <f>IF(tblMovimientos[[#This Row],[Producto]]="","",TRIM(LEFT(tblMovimientos[[#This Row],[Producto]],FIND(" · ",tblMovimientos[[#This Row],[Producto]]&amp;" · ")-1)))</f>
        <v/>
      </c>
      <c r="H2106" s="40" t="str">
        <f>IF(tblMovimientos[[#This Row],[SKU]]="","",IFERROR(INDEX(tblProductos[Unidad],MATCH(tblMovimientos[[#This Row],[SKU]],tblProductos[SKU],0)),"?"))</f>
        <v/>
      </c>
      <c r="I2106" s="39"/>
      <c r="J2106" s="47" t="str">
        <f>IF(tblMovimientos[[#This Row],[Tipo]]="","",IFERROR(INDEX(tblTiposMov[FactorStock],MATCH(tblMovimientos[[#This Row],[Tipo]],tblTiposMov[Tipo],0)),0))</f>
        <v/>
      </c>
      <c r="K21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6" s="37"/>
      <c r="O2106" s="37"/>
      <c r="P2106" s="37"/>
    </row>
    <row r="2107" spans="2:16" x14ac:dyDescent="0.25">
      <c r="B21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7" s="46"/>
      <c r="D2107" s="37"/>
      <c r="E2107" s="37"/>
      <c r="F2107" s="37"/>
      <c r="G2107" s="40" t="str">
        <f>IF(tblMovimientos[[#This Row],[Producto]]="","",TRIM(LEFT(tblMovimientos[[#This Row],[Producto]],FIND(" · ",tblMovimientos[[#This Row],[Producto]]&amp;" · ")-1)))</f>
        <v/>
      </c>
      <c r="H2107" s="40" t="str">
        <f>IF(tblMovimientos[[#This Row],[SKU]]="","",IFERROR(INDEX(tblProductos[Unidad],MATCH(tblMovimientos[[#This Row],[SKU]],tblProductos[SKU],0)),"?"))</f>
        <v/>
      </c>
      <c r="I2107" s="39"/>
      <c r="J2107" s="47" t="str">
        <f>IF(tblMovimientos[[#This Row],[Tipo]]="","",IFERROR(INDEX(tblTiposMov[FactorStock],MATCH(tblMovimientos[[#This Row],[Tipo]],tblTiposMov[Tipo],0)),0))</f>
        <v/>
      </c>
      <c r="K21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7" s="37"/>
      <c r="O2107" s="37"/>
      <c r="P2107" s="37"/>
    </row>
    <row r="2108" spans="2:16" x14ac:dyDescent="0.25">
      <c r="B21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8" s="46"/>
      <c r="D2108" s="37"/>
      <c r="E2108" s="37"/>
      <c r="F2108" s="37"/>
      <c r="G2108" s="40" t="str">
        <f>IF(tblMovimientos[[#This Row],[Producto]]="","",TRIM(LEFT(tblMovimientos[[#This Row],[Producto]],FIND(" · ",tblMovimientos[[#This Row],[Producto]]&amp;" · ")-1)))</f>
        <v/>
      </c>
      <c r="H2108" s="40" t="str">
        <f>IF(tblMovimientos[[#This Row],[SKU]]="","",IFERROR(INDEX(tblProductos[Unidad],MATCH(tblMovimientos[[#This Row],[SKU]],tblProductos[SKU],0)),"?"))</f>
        <v/>
      </c>
      <c r="I2108" s="39"/>
      <c r="J2108" s="47" t="str">
        <f>IF(tblMovimientos[[#This Row],[Tipo]]="","",IFERROR(INDEX(tblTiposMov[FactorStock],MATCH(tblMovimientos[[#This Row],[Tipo]],tblTiposMov[Tipo],0)),0))</f>
        <v/>
      </c>
      <c r="K21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8" s="37"/>
      <c r="O2108" s="37"/>
      <c r="P2108" s="37"/>
    </row>
    <row r="2109" spans="2:16" x14ac:dyDescent="0.25">
      <c r="B21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09" s="46"/>
      <c r="D2109" s="37"/>
      <c r="E2109" s="37"/>
      <c r="F2109" s="37"/>
      <c r="G2109" s="40" t="str">
        <f>IF(tblMovimientos[[#This Row],[Producto]]="","",TRIM(LEFT(tblMovimientos[[#This Row],[Producto]],FIND(" · ",tblMovimientos[[#This Row],[Producto]]&amp;" · ")-1)))</f>
        <v/>
      </c>
      <c r="H2109" s="40" t="str">
        <f>IF(tblMovimientos[[#This Row],[SKU]]="","",IFERROR(INDEX(tblProductos[Unidad],MATCH(tblMovimientos[[#This Row],[SKU]],tblProductos[SKU],0)),"?"))</f>
        <v/>
      </c>
      <c r="I2109" s="39"/>
      <c r="J2109" s="47" t="str">
        <f>IF(tblMovimientos[[#This Row],[Tipo]]="","",IFERROR(INDEX(tblTiposMov[FactorStock],MATCH(tblMovimientos[[#This Row],[Tipo]],tblTiposMov[Tipo],0)),0))</f>
        <v/>
      </c>
      <c r="K21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09" s="37"/>
      <c r="O2109" s="37"/>
      <c r="P2109" s="37"/>
    </row>
    <row r="2110" spans="2:16" x14ac:dyDescent="0.25">
      <c r="B21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0" s="46"/>
      <c r="D2110" s="37"/>
      <c r="E2110" s="37"/>
      <c r="F2110" s="37"/>
      <c r="G2110" s="40" t="str">
        <f>IF(tblMovimientos[[#This Row],[Producto]]="","",TRIM(LEFT(tblMovimientos[[#This Row],[Producto]],FIND(" · ",tblMovimientos[[#This Row],[Producto]]&amp;" · ")-1)))</f>
        <v/>
      </c>
      <c r="H2110" s="40" t="str">
        <f>IF(tblMovimientos[[#This Row],[SKU]]="","",IFERROR(INDEX(tblProductos[Unidad],MATCH(tblMovimientos[[#This Row],[SKU]],tblProductos[SKU],0)),"?"))</f>
        <v/>
      </c>
      <c r="I2110" s="39"/>
      <c r="J2110" s="47" t="str">
        <f>IF(tblMovimientos[[#This Row],[Tipo]]="","",IFERROR(INDEX(tblTiposMov[FactorStock],MATCH(tblMovimientos[[#This Row],[Tipo]],tblTiposMov[Tipo],0)),0))</f>
        <v/>
      </c>
      <c r="K21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0" s="37"/>
      <c r="O2110" s="37"/>
      <c r="P2110" s="37"/>
    </row>
    <row r="2111" spans="2:16" x14ac:dyDescent="0.25">
      <c r="B21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1" s="46"/>
      <c r="D2111" s="37"/>
      <c r="E2111" s="37"/>
      <c r="F2111" s="37"/>
      <c r="G2111" s="40" t="str">
        <f>IF(tblMovimientos[[#This Row],[Producto]]="","",TRIM(LEFT(tblMovimientos[[#This Row],[Producto]],FIND(" · ",tblMovimientos[[#This Row],[Producto]]&amp;" · ")-1)))</f>
        <v/>
      </c>
      <c r="H2111" s="40" t="str">
        <f>IF(tblMovimientos[[#This Row],[SKU]]="","",IFERROR(INDEX(tblProductos[Unidad],MATCH(tblMovimientos[[#This Row],[SKU]],tblProductos[SKU],0)),"?"))</f>
        <v/>
      </c>
      <c r="I2111" s="39"/>
      <c r="J2111" s="47" t="str">
        <f>IF(tblMovimientos[[#This Row],[Tipo]]="","",IFERROR(INDEX(tblTiposMov[FactorStock],MATCH(tblMovimientos[[#This Row],[Tipo]],tblTiposMov[Tipo],0)),0))</f>
        <v/>
      </c>
      <c r="K21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1" s="37"/>
      <c r="O2111" s="37"/>
      <c r="P2111" s="37"/>
    </row>
    <row r="2112" spans="2:16" x14ac:dyDescent="0.25">
      <c r="B21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2" s="46"/>
      <c r="D2112" s="37"/>
      <c r="E2112" s="37"/>
      <c r="F2112" s="37"/>
      <c r="G2112" s="40" t="str">
        <f>IF(tblMovimientos[[#This Row],[Producto]]="","",TRIM(LEFT(tblMovimientos[[#This Row],[Producto]],FIND(" · ",tblMovimientos[[#This Row],[Producto]]&amp;" · ")-1)))</f>
        <v/>
      </c>
      <c r="H2112" s="40" t="str">
        <f>IF(tblMovimientos[[#This Row],[SKU]]="","",IFERROR(INDEX(tblProductos[Unidad],MATCH(tblMovimientos[[#This Row],[SKU]],tblProductos[SKU],0)),"?"))</f>
        <v/>
      </c>
      <c r="I2112" s="39"/>
      <c r="J2112" s="47" t="str">
        <f>IF(tblMovimientos[[#This Row],[Tipo]]="","",IFERROR(INDEX(tblTiposMov[FactorStock],MATCH(tblMovimientos[[#This Row],[Tipo]],tblTiposMov[Tipo],0)),0))</f>
        <v/>
      </c>
      <c r="K21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2" s="37"/>
      <c r="O2112" s="37"/>
      <c r="P2112" s="37"/>
    </row>
    <row r="2113" spans="2:16" x14ac:dyDescent="0.25">
      <c r="B21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3" s="46"/>
      <c r="D2113" s="37"/>
      <c r="E2113" s="37"/>
      <c r="F2113" s="37"/>
      <c r="G2113" s="40" t="str">
        <f>IF(tblMovimientos[[#This Row],[Producto]]="","",TRIM(LEFT(tblMovimientos[[#This Row],[Producto]],FIND(" · ",tblMovimientos[[#This Row],[Producto]]&amp;" · ")-1)))</f>
        <v/>
      </c>
      <c r="H2113" s="40" t="str">
        <f>IF(tblMovimientos[[#This Row],[SKU]]="","",IFERROR(INDEX(tblProductos[Unidad],MATCH(tblMovimientos[[#This Row],[SKU]],tblProductos[SKU],0)),"?"))</f>
        <v/>
      </c>
      <c r="I2113" s="39"/>
      <c r="J2113" s="47" t="str">
        <f>IF(tblMovimientos[[#This Row],[Tipo]]="","",IFERROR(INDEX(tblTiposMov[FactorStock],MATCH(tblMovimientos[[#This Row],[Tipo]],tblTiposMov[Tipo],0)),0))</f>
        <v/>
      </c>
      <c r="K21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3" s="37"/>
      <c r="O2113" s="37"/>
      <c r="P2113" s="37"/>
    </row>
    <row r="2114" spans="2:16" x14ac:dyDescent="0.25">
      <c r="B21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4" s="46"/>
      <c r="D2114" s="37"/>
      <c r="E2114" s="37"/>
      <c r="F2114" s="37"/>
      <c r="G2114" s="40" t="str">
        <f>IF(tblMovimientos[[#This Row],[Producto]]="","",TRIM(LEFT(tblMovimientos[[#This Row],[Producto]],FIND(" · ",tblMovimientos[[#This Row],[Producto]]&amp;" · ")-1)))</f>
        <v/>
      </c>
      <c r="H2114" s="40" t="str">
        <f>IF(tblMovimientos[[#This Row],[SKU]]="","",IFERROR(INDEX(tblProductos[Unidad],MATCH(tblMovimientos[[#This Row],[SKU]],tblProductos[SKU],0)),"?"))</f>
        <v/>
      </c>
      <c r="I2114" s="39"/>
      <c r="J2114" s="47" t="str">
        <f>IF(tblMovimientos[[#This Row],[Tipo]]="","",IFERROR(INDEX(tblTiposMov[FactorStock],MATCH(tblMovimientos[[#This Row],[Tipo]],tblTiposMov[Tipo],0)),0))</f>
        <v/>
      </c>
      <c r="K21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4" s="37"/>
      <c r="O2114" s="37"/>
      <c r="P2114" s="37"/>
    </row>
    <row r="2115" spans="2:16" x14ac:dyDescent="0.25">
      <c r="B21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5" s="46"/>
      <c r="D2115" s="37"/>
      <c r="E2115" s="37"/>
      <c r="F2115" s="37"/>
      <c r="G2115" s="40" t="str">
        <f>IF(tblMovimientos[[#This Row],[Producto]]="","",TRIM(LEFT(tblMovimientos[[#This Row],[Producto]],FIND(" · ",tblMovimientos[[#This Row],[Producto]]&amp;" · ")-1)))</f>
        <v/>
      </c>
      <c r="H2115" s="40" t="str">
        <f>IF(tblMovimientos[[#This Row],[SKU]]="","",IFERROR(INDEX(tblProductos[Unidad],MATCH(tblMovimientos[[#This Row],[SKU]],tblProductos[SKU],0)),"?"))</f>
        <v/>
      </c>
      <c r="I2115" s="39"/>
      <c r="J2115" s="47" t="str">
        <f>IF(tblMovimientos[[#This Row],[Tipo]]="","",IFERROR(INDEX(tblTiposMov[FactorStock],MATCH(tblMovimientos[[#This Row],[Tipo]],tblTiposMov[Tipo],0)),0))</f>
        <v/>
      </c>
      <c r="K21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5" s="37"/>
      <c r="O2115" s="37"/>
      <c r="P2115" s="37"/>
    </row>
    <row r="2116" spans="2:16" x14ac:dyDescent="0.25">
      <c r="B21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6" s="46"/>
      <c r="D2116" s="37"/>
      <c r="E2116" s="37"/>
      <c r="F2116" s="37"/>
      <c r="G2116" s="40" t="str">
        <f>IF(tblMovimientos[[#This Row],[Producto]]="","",TRIM(LEFT(tblMovimientos[[#This Row],[Producto]],FIND(" · ",tblMovimientos[[#This Row],[Producto]]&amp;" · ")-1)))</f>
        <v/>
      </c>
      <c r="H2116" s="40" t="str">
        <f>IF(tblMovimientos[[#This Row],[SKU]]="","",IFERROR(INDEX(tblProductos[Unidad],MATCH(tblMovimientos[[#This Row],[SKU]],tblProductos[SKU],0)),"?"))</f>
        <v/>
      </c>
      <c r="I2116" s="39"/>
      <c r="J2116" s="47" t="str">
        <f>IF(tblMovimientos[[#This Row],[Tipo]]="","",IFERROR(INDEX(tblTiposMov[FactorStock],MATCH(tblMovimientos[[#This Row],[Tipo]],tblTiposMov[Tipo],0)),0))</f>
        <v/>
      </c>
      <c r="K21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6" s="37"/>
      <c r="O2116" s="37"/>
      <c r="P2116" s="37"/>
    </row>
    <row r="2117" spans="2:16" x14ac:dyDescent="0.25">
      <c r="B21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7" s="46"/>
      <c r="D2117" s="37"/>
      <c r="E2117" s="37"/>
      <c r="F2117" s="37"/>
      <c r="G2117" s="40" t="str">
        <f>IF(tblMovimientos[[#This Row],[Producto]]="","",TRIM(LEFT(tblMovimientos[[#This Row],[Producto]],FIND(" · ",tblMovimientos[[#This Row],[Producto]]&amp;" · ")-1)))</f>
        <v/>
      </c>
      <c r="H2117" s="40" t="str">
        <f>IF(tblMovimientos[[#This Row],[SKU]]="","",IFERROR(INDEX(tblProductos[Unidad],MATCH(tblMovimientos[[#This Row],[SKU]],tblProductos[SKU],0)),"?"))</f>
        <v/>
      </c>
      <c r="I2117" s="39"/>
      <c r="J2117" s="47" t="str">
        <f>IF(tblMovimientos[[#This Row],[Tipo]]="","",IFERROR(INDEX(tblTiposMov[FactorStock],MATCH(tblMovimientos[[#This Row],[Tipo]],tblTiposMov[Tipo],0)),0))</f>
        <v/>
      </c>
      <c r="K21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7" s="37"/>
      <c r="O2117" s="37"/>
      <c r="P2117" s="37"/>
    </row>
    <row r="2118" spans="2:16" x14ac:dyDescent="0.25">
      <c r="B21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8" s="46"/>
      <c r="D2118" s="37"/>
      <c r="E2118" s="37"/>
      <c r="F2118" s="37"/>
      <c r="G2118" s="40" t="str">
        <f>IF(tblMovimientos[[#This Row],[Producto]]="","",TRIM(LEFT(tblMovimientos[[#This Row],[Producto]],FIND(" · ",tblMovimientos[[#This Row],[Producto]]&amp;" · ")-1)))</f>
        <v/>
      </c>
      <c r="H2118" s="40" t="str">
        <f>IF(tblMovimientos[[#This Row],[SKU]]="","",IFERROR(INDEX(tblProductos[Unidad],MATCH(tblMovimientos[[#This Row],[SKU]],tblProductos[SKU],0)),"?"))</f>
        <v/>
      </c>
      <c r="I2118" s="39"/>
      <c r="J2118" s="47" t="str">
        <f>IF(tblMovimientos[[#This Row],[Tipo]]="","",IFERROR(INDEX(tblTiposMov[FactorStock],MATCH(tblMovimientos[[#This Row],[Tipo]],tblTiposMov[Tipo],0)),0))</f>
        <v/>
      </c>
      <c r="K21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8" s="37"/>
      <c r="O2118" s="37"/>
      <c r="P2118" s="37"/>
    </row>
    <row r="2119" spans="2:16" x14ac:dyDescent="0.25">
      <c r="B21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19" s="46"/>
      <c r="D2119" s="37"/>
      <c r="E2119" s="37"/>
      <c r="F2119" s="37"/>
      <c r="G2119" s="40" t="str">
        <f>IF(tblMovimientos[[#This Row],[Producto]]="","",TRIM(LEFT(tblMovimientos[[#This Row],[Producto]],FIND(" · ",tblMovimientos[[#This Row],[Producto]]&amp;" · ")-1)))</f>
        <v/>
      </c>
      <c r="H2119" s="40" t="str">
        <f>IF(tblMovimientos[[#This Row],[SKU]]="","",IFERROR(INDEX(tblProductos[Unidad],MATCH(tblMovimientos[[#This Row],[SKU]],tblProductos[SKU],0)),"?"))</f>
        <v/>
      </c>
      <c r="I2119" s="39"/>
      <c r="J2119" s="47" t="str">
        <f>IF(tblMovimientos[[#This Row],[Tipo]]="","",IFERROR(INDEX(tblTiposMov[FactorStock],MATCH(tblMovimientos[[#This Row],[Tipo]],tblTiposMov[Tipo],0)),0))</f>
        <v/>
      </c>
      <c r="K21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19" s="37"/>
      <c r="O2119" s="37"/>
      <c r="P2119" s="37"/>
    </row>
    <row r="2120" spans="2:16" x14ac:dyDescent="0.25">
      <c r="B21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0" s="46"/>
      <c r="D2120" s="37"/>
      <c r="E2120" s="37"/>
      <c r="F2120" s="37"/>
      <c r="G2120" s="40" t="str">
        <f>IF(tblMovimientos[[#This Row],[Producto]]="","",TRIM(LEFT(tblMovimientos[[#This Row],[Producto]],FIND(" · ",tblMovimientos[[#This Row],[Producto]]&amp;" · ")-1)))</f>
        <v/>
      </c>
      <c r="H2120" s="40" t="str">
        <f>IF(tblMovimientos[[#This Row],[SKU]]="","",IFERROR(INDEX(tblProductos[Unidad],MATCH(tblMovimientos[[#This Row],[SKU]],tblProductos[SKU],0)),"?"))</f>
        <v/>
      </c>
      <c r="I2120" s="39"/>
      <c r="J2120" s="47" t="str">
        <f>IF(tblMovimientos[[#This Row],[Tipo]]="","",IFERROR(INDEX(tblTiposMov[FactorStock],MATCH(tblMovimientos[[#This Row],[Tipo]],tblTiposMov[Tipo],0)),0))</f>
        <v/>
      </c>
      <c r="K21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0" s="37"/>
      <c r="O2120" s="37"/>
      <c r="P2120" s="37"/>
    </row>
    <row r="2121" spans="2:16" x14ac:dyDescent="0.25">
      <c r="B21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1" s="46"/>
      <c r="D2121" s="37"/>
      <c r="E2121" s="37"/>
      <c r="F2121" s="37"/>
      <c r="G2121" s="40" t="str">
        <f>IF(tblMovimientos[[#This Row],[Producto]]="","",TRIM(LEFT(tblMovimientos[[#This Row],[Producto]],FIND(" · ",tblMovimientos[[#This Row],[Producto]]&amp;" · ")-1)))</f>
        <v/>
      </c>
      <c r="H2121" s="40" t="str">
        <f>IF(tblMovimientos[[#This Row],[SKU]]="","",IFERROR(INDEX(tblProductos[Unidad],MATCH(tblMovimientos[[#This Row],[SKU]],tblProductos[SKU],0)),"?"))</f>
        <v/>
      </c>
      <c r="I2121" s="39"/>
      <c r="J2121" s="47" t="str">
        <f>IF(tblMovimientos[[#This Row],[Tipo]]="","",IFERROR(INDEX(tblTiposMov[FactorStock],MATCH(tblMovimientos[[#This Row],[Tipo]],tblTiposMov[Tipo],0)),0))</f>
        <v/>
      </c>
      <c r="K21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1" s="37"/>
      <c r="O2121" s="37"/>
      <c r="P2121" s="37"/>
    </row>
    <row r="2122" spans="2:16" x14ac:dyDescent="0.25">
      <c r="B21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2" s="46"/>
      <c r="D2122" s="37"/>
      <c r="E2122" s="37"/>
      <c r="F2122" s="37"/>
      <c r="G2122" s="40" t="str">
        <f>IF(tblMovimientos[[#This Row],[Producto]]="","",TRIM(LEFT(tblMovimientos[[#This Row],[Producto]],FIND(" · ",tblMovimientos[[#This Row],[Producto]]&amp;" · ")-1)))</f>
        <v/>
      </c>
      <c r="H2122" s="40" t="str">
        <f>IF(tblMovimientos[[#This Row],[SKU]]="","",IFERROR(INDEX(tblProductos[Unidad],MATCH(tblMovimientos[[#This Row],[SKU]],tblProductos[SKU],0)),"?"))</f>
        <v/>
      </c>
      <c r="I2122" s="39"/>
      <c r="J2122" s="47" t="str">
        <f>IF(tblMovimientos[[#This Row],[Tipo]]="","",IFERROR(INDEX(tblTiposMov[FactorStock],MATCH(tblMovimientos[[#This Row],[Tipo]],tblTiposMov[Tipo],0)),0))</f>
        <v/>
      </c>
      <c r="K21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2" s="37"/>
      <c r="O2122" s="37"/>
      <c r="P2122" s="37"/>
    </row>
    <row r="2123" spans="2:16" x14ac:dyDescent="0.25">
      <c r="B21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3" s="46"/>
      <c r="D2123" s="37"/>
      <c r="E2123" s="37"/>
      <c r="F2123" s="37"/>
      <c r="G2123" s="40" t="str">
        <f>IF(tblMovimientos[[#This Row],[Producto]]="","",TRIM(LEFT(tblMovimientos[[#This Row],[Producto]],FIND(" · ",tblMovimientos[[#This Row],[Producto]]&amp;" · ")-1)))</f>
        <v/>
      </c>
      <c r="H2123" s="40" t="str">
        <f>IF(tblMovimientos[[#This Row],[SKU]]="","",IFERROR(INDEX(tblProductos[Unidad],MATCH(tblMovimientos[[#This Row],[SKU]],tblProductos[SKU],0)),"?"))</f>
        <v/>
      </c>
      <c r="I2123" s="39"/>
      <c r="J2123" s="47" t="str">
        <f>IF(tblMovimientos[[#This Row],[Tipo]]="","",IFERROR(INDEX(tblTiposMov[FactorStock],MATCH(tblMovimientos[[#This Row],[Tipo]],tblTiposMov[Tipo],0)),0))</f>
        <v/>
      </c>
      <c r="K21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3" s="37"/>
      <c r="O2123" s="37"/>
      <c r="P2123" s="37"/>
    </row>
    <row r="2124" spans="2:16" x14ac:dyDescent="0.25">
      <c r="B21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4" s="46"/>
      <c r="D2124" s="37"/>
      <c r="E2124" s="37"/>
      <c r="F2124" s="37"/>
      <c r="G2124" s="40" t="str">
        <f>IF(tblMovimientos[[#This Row],[Producto]]="","",TRIM(LEFT(tblMovimientos[[#This Row],[Producto]],FIND(" · ",tblMovimientos[[#This Row],[Producto]]&amp;" · ")-1)))</f>
        <v/>
      </c>
      <c r="H2124" s="40" t="str">
        <f>IF(tblMovimientos[[#This Row],[SKU]]="","",IFERROR(INDEX(tblProductos[Unidad],MATCH(tblMovimientos[[#This Row],[SKU]],tblProductos[SKU],0)),"?"))</f>
        <v/>
      </c>
      <c r="I2124" s="39"/>
      <c r="J2124" s="47" t="str">
        <f>IF(tblMovimientos[[#This Row],[Tipo]]="","",IFERROR(INDEX(tblTiposMov[FactorStock],MATCH(tblMovimientos[[#This Row],[Tipo]],tblTiposMov[Tipo],0)),0))</f>
        <v/>
      </c>
      <c r="K21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4" s="37"/>
      <c r="O2124" s="37"/>
      <c r="P2124" s="37"/>
    </row>
    <row r="2125" spans="2:16" x14ac:dyDescent="0.25">
      <c r="B21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5" s="46"/>
      <c r="D2125" s="37"/>
      <c r="E2125" s="37"/>
      <c r="F2125" s="37"/>
      <c r="G2125" s="40" t="str">
        <f>IF(tblMovimientos[[#This Row],[Producto]]="","",TRIM(LEFT(tblMovimientos[[#This Row],[Producto]],FIND(" · ",tblMovimientos[[#This Row],[Producto]]&amp;" · ")-1)))</f>
        <v/>
      </c>
      <c r="H2125" s="40" t="str">
        <f>IF(tblMovimientos[[#This Row],[SKU]]="","",IFERROR(INDEX(tblProductos[Unidad],MATCH(tblMovimientos[[#This Row],[SKU]],tblProductos[SKU],0)),"?"))</f>
        <v/>
      </c>
      <c r="I2125" s="39"/>
      <c r="J2125" s="47" t="str">
        <f>IF(tblMovimientos[[#This Row],[Tipo]]="","",IFERROR(INDEX(tblTiposMov[FactorStock],MATCH(tblMovimientos[[#This Row],[Tipo]],tblTiposMov[Tipo],0)),0))</f>
        <v/>
      </c>
      <c r="K21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5" s="37"/>
      <c r="O2125" s="37"/>
      <c r="P2125" s="37"/>
    </row>
    <row r="2126" spans="2:16" x14ac:dyDescent="0.25">
      <c r="B21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6" s="46"/>
      <c r="D2126" s="37"/>
      <c r="E2126" s="37"/>
      <c r="F2126" s="37"/>
      <c r="G2126" s="40" t="str">
        <f>IF(tblMovimientos[[#This Row],[Producto]]="","",TRIM(LEFT(tblMovimientos[[#This Row],[Producto]],FIND(" · ",tblMovimientos[[#This Row],[Producto]]&amp;" · ")-1)))</f>
        <v/>
      </c>
      <c r="H2126" s="40" t="str">
        <f>IF(tblMovimientos[[#This Row],[SKU]]="","",IFERROR(INDEX(tblProductos[Unidad],MATCH(tblMovimientos[[#This Row],[SKU]],tblProductos[SKU],0)),"?"))</f>
        <v/>
      </c>
      <c r="I2126" s="39"/>
      <c r="J2126" s="47" t="str">
        <f>IF(tblMovimientos[[#This Row],[Tipo]]="","",IFERROR(INDEX(tblTiposMov[FactorStock],MATCH(tblMovimientos[[#This Row],[Tipo]],tblTiposMov[Tipo],0)),0))</f>
        <v/>
      </c>
      <c r="K21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6" s="37"/>
      <c r="O2126" s="37"/>
      <c r="P2126" s="37"/>
    </row>
    <row r="2127" spans="2:16" x14ac:dyDescent="0.25">
      <c r="B21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7" s="46"/>
      <c r="D2127" s="37"/>
      <c r="E2127" s="37"/>
      <c r="F2127" s="37"/>
      <c r="G2127" s="40" t="str">
        <f>IF(tblMovimientos[[#This Row],[Producto]]="","",TRIM(LEFT(tblMovimientos[[#This Row],[Producto]],FIND(" · ",tblMovimientos[[#This Row],[Producto]]&amp;" · ")-1)))</f>
        <v/>
      </c>
      <c r="H2127" s="40" t="str">
        <f>IF(tblMovimientos[[#This Row],[SKU]]="","",IFERROR(INDEX(tblProductos[Unidad],MATCH(tblMovimientos[[#This Row],[SKU]],tblProductos[SKU],0)),"?"))</f>
        <v/>
      </c>
      <c r="I2127" s="39"/>
      <c r="J2127" s="47" t="str">
        <f>IF(tblMovimientos[[#This Row],[Tipo]]="","",IFERROR(INDEX(tblTiposMov[FactorStock],MATCH(tblMovimientos[[#This Row],[Tipo]],tblTiposMov[Tipo],0)),0))</f>
        <v/>
      </c>
      <c r="K21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7" s="37"/>
      <c r="O2127" s="37"/>
      <c r="P2127" s="37"/>
    </row>
    <row r="2128" spans="2:16" x14ac:dyDescent="0.25">
      <c r="B21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8" s="46"/>
      <c r="D2128" s="37"/>
      <c r="E2128" s="37"/>
      <c r="F2128" s="37"/>
      <c r="G2128" s="40" t="str">
        <f>IF(tblMovimientos[[#This Row],[Producto]]="","",TRIM(LEFT(tblMovimientos[[#This Row],[Producto]],FIND(" · ",tblMovimientos[[#This Row],[Producto]]&amp;" · ")-1)))</f>
        <v/>
      </c>
      <c r="H2128" s="40" t="str">
        <f>IF(tblMovimientos[[#This Row],[SKU]]="","",IFERROR(INDEX(tblProductos[Unidad],MATCH(tblMovimientos[[#This Row],[SKU]],tblProductos[SKU],0)),"?"))</f>
        <v/>
      </c>
      <c r="I2128" s="39"/>
      <c r="J2128" s="47" t="str">
        <f>IF(tblMovimientos[[#This Row],[Tipo]]="","",IFERROR(INDEX(tblTiposMov[FactorStock],MATCH(tblMovimientos[[#This Row],[Tipo]],tblTiposMov[Tipo],0)),0))</f>
        <v/>
      </c>
      <c r="K21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8" s="37"/>
      <c r="O2128" s="37"/>
      <c r="P2128" s="37"/>
    </row>
    <row r="2129" spans="2:16" x14ac:dyDescent="0.25">
      <c r="B21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29" s="46"/>
      <c r="D2129" s="37"/>
      <c r="E2129" s="37"/>
      <c r="F2129" s="37"/>
      <c r="G2129" s="40" t="str">
        <f>IF(tblMovimientos[[#This Row],[Producto]]="","",TRIM(LEFT(tblMovimientos[[#This Row],[Producto]],FIND(" · ",tblMovimientos[[#This Row],[Producto]]&amp;" · ")-1)))</f>
        <v/>
      </c>
      <c r="H2129" s="40" t="str">
        <f>IF(tblMovimientos[[#This Row],[SKU]]="","",IFERROR(INDEX(tblProductos[Unidad],MATCH(tblMovimientos[[#This Row],[SKU]],tblProductos[SKU],0)),"?"))</f>
        <v/>
      </c>
      <c r="I2129" s="39"/>
      <c r="J2129" s="47" t="str">
        <f>IF(tblMovimientos[[#This Row],[Tipo]]="","",IFERROR(INDEX(tblTiposMov[FactorStock],MATCH(tblMovimientos[[#This Row],[Tipo]],tblTiposMov[Tipo],0)),0))</f>
        <v/>
      </c>
      <c r="K21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29" s="37"/>
      <c r="O2129" s="37"/>
      <c r="P2129" s="37"/>
    </row>
    <row r="2130" spans="2:16" x14ac:dyDescent="0.25">
      <c r="B21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0" s="46"/>
      <c r="D2130" s="37"/>
      <c r="E2130" s="37"/>
      <c r="F2130" s="37"/>
      <c r="G2130" s="40" t="str">
        <f>IF(tblMovimientos[[#This Row],[Producto]]="","",TRIM(LEFT(tblMovimientos[[#This Row],[Producto]],FIND(" · ",tblMovimientos[[#This Row],[Producto]]&amp;" · ")-1)))</f>
        <v/>
      </c>
      <c r="H2130" s="40" t="str">
        <f>IF(tblMovimientos[[#This Row],[SKU]]="","",IFERROR(INDEX(tblProductos[Unidad],MATCH(tblMovimientos[[#This Row],[SKU]],tblProductos[SKU],0)),"?"))</f>
        <v/>
      </c>
      <c r="I2130" s="39"/>
      <c r="J2130" s="47" t="str">
        <f>IF(tblMovimientos[[#This Row],[Tipo]]="","",IFERROR(INDEX(tblTiposMov[FactorStock],MATCH(tblMovimientos[[#This Row],[Tipo]],tblTiposMov[Tipo],0)),0))</f>
        <v/>
      </c>
      <c r="K21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0" s="37"/>
      <c r="O2130" s="37"/>
      <c r="P2130" s="37"/>
    </row>
    <row r="2131" spans="2:16" x14ac:dyDescent="0.25">
      <c r="B21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1" s="46"/>
      <c r="D2131" s="37"/>
      <c r="E2131" s="37"/>
      <c r="F2131" s="37"/>
      <c r="G2131" s="40" t="str">
        <f>IF(tblMovimientos[[#This Row],[Producto]]="","",TRIM(LEFT(tblMovimientos[[#This Row],[Producto]],FIND(" · ",tblMovimientos[[#This Row],[Producto]]&amp;" · ")-1)))</f>
        <v/>
      </c>
      <c r="H2131" s="40" t="str">
        <f>IF(tblMovimientos[[#This Row],[SKU]]="","",IFERROR(INDEX(tblProductos[Unidad],MATCH(tblMovimientos[[#This Row],[SKU]],tblProductos[SKU],0)),"?"))</f>
        <v/>
      </c>
      <c r="I2131" s="39"/>
      <c r="J2131" s="47" t="str">
        <f>IF(tblMovimientos[[#This Row],[Tipo]]="","",IFERROR(INDEX(tblTiposMov[FactorStock],MATCH(tblMovimientos[[#This Row],[Tipo]],tblTiposMov[Tipo],0)),0))</f>
        <v/>
      </c>
      <c r="K21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1" s="37"/>
      <c r="O2131" s="37"/>
      <c r="P2131" s="37"/>
    </row>
    <row r="2132" spans="2:16" x14ac:dyDescent="0.25">
      <c r="B21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2" s="46"/>
      <c r="D2132" s="37"/>
      <c r="E2132" s="37"/>
      <c r="F2132" s="37"/>
      <c r="G2132" s="40" t="str">
        <f>IF(tblMovimientos[[#This Row],[Producto]]="","",TRIM(LEFT(tblMovimientos[[#This Row],[Producto]],FIND(" · ",tblMovimientos[[#This Row],[Producto]]&amp;" · ")-1)))</f>
        <v/>
      </c>
      <c r="H2132" s="40" t="str">
        <f>IF(tblMovimientos[[#This Row],[SKU]]="","",IFERROR(INDEX(tblProductos[Unidad],MATCH(tblMovimientos[[#This Row],[SKU]],tblProductos[SKU],0)),"?"))</f>
        <v/>
      </c>
      <c r="I2132" s="39"/>
      <c r="J2132" s="47" t="str">
        <f>IF(tblMovimientos[[#This Row],[Tipo]]="","",IFERROR(INDEX(tblTiposMov[FactorStock],MATCH(tblMovimientos[[#This Row],[Tipo]],tblTiposMov[Tipo],0)),0))</f>
        <v/>
      </c>
      <c r="K21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2" s="37"/>
      <c r="O2132" s="37"/>
      <c r="P2132" s="37"/>
    </row>
    <row r="2133" spans="2:16" x14ac:dyDescent="0.25">
      <c r="B21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3" s="46"/>
      <c r="D2133" s="37"/>
      <c r="E2133" s="37"/>
      <c r="F2133" s="37"/>
      <c r="G2133" s="40" t="str">
        <f>IF(tblMovimientos[[#This Row],[Producto]]="","",TRIM(LEFT(tblMovimientos[[#This Row],[Producto]],FIND(" · ",tblMovimientos[[#This Row],[Producto]]&amp;" · ")-1)))</f>
        <v/>
      </c>
      <c r="H2133" s="40" t="str">
        <f>IF(tblMovimientos[[#This Row],[SKU]]="","",IFERROR(INDEX(tblProductos[Unidad],MATCH(tblMovimientos[[#This Row],[SKU]],tblProductos[SKU],0)),"?"))</f>
        <v/>
      </c>
      <c r="I2133" s="39"/>
      <c r="J2133" s="47" t="str">
        <f>IF(tblMovimientos[[#This Row],[Tipo]]="","",IFERROR(INDEX(tblTiposMov[FactorStock],MATCH(tblMovimientos[[#This Row],[Tipo]],tblTiposMov[Tipo],0)),0))</f>
        <v/>
      </c>
      <c r="K21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3" s="37"/>
      <c r="O2133" s="37"/>
      <c r="P2133" s="37"/>
    </row>
    <row r="2134" spans="2:16" x14ac:dyDescent="0.25">
      <c r="B21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4" s="46"/>
      <c r="D2134" s="37"/>
      <c r="E2134" s="37"/>
      <c r="F2134" s="37"/>
      <c r="G2134" s="40" t="str">
        <f>IF(tblMovimientos[[#This Row],[Producto]]="","",TRIM(LEFT(tblMovimientos[[#This Row],[Producto]],FIND(" · ",tblMovimientos[[#This Row],[Producto]]&amp;" · ")-1)))</f>
        <v/>
      </c>
      <c r="H2134" s="40" t="str">
        <f>IF(tblMovimientos[[#This Row],[SKU]]="","",IFERROR(INDEX(tblProductos[Unidad],MATCH(tblMovimientos[[#This Row],[SKU]],tblProductos[SKU],0)),"?"))</f>
        <v/>
      </c>
      <c r="I2134" s="39"/>
      <c r="J2134" s="47" t="str">
        <f>IF(tblMovimientos[[#This Row],[Tipo]]="","",IFERROR(INDEX(tblTiposMov[FactorStock],MATCH(tblMovimientos[[#This Row],[Tipo]],tblTiposMov[Tipo],0)),0))</f>
        <v/>
      </c>
      <c r="K21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4" s="37"/>
      <c r="O2134" s="37"/>
      <c r="P2134" s="37"/>
    </row>
    <row r="2135" spans="2:16" x14ac:dyDescent="0.25">
      <c r="B21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5" s="46"/>
      <c r="D2135" s="37"/>
      <c r="E2135" s="37"/>
      <c r="F2135" s="37"/>
      <c r="G2135" s="40" t="str">
        <f>IF(tblMovimientos[[#This Row],[Producto]]="","",TRIM(LEFT(tblMovimientos[[#This Row],[Producto]],FIND(" · ",tblMovimientos[[#This Row],[Producto]]&amp;" · ")-1)))</f>
        <v/>
      </c>
      <c r="H2135" s="40" t="str">
        <f>IF(tblMovimientos[[#This Row],[SKU]]="","",IFERROR(INDEX(tblProductos[Unidad],MATCH(tblMovimientos[[#This Row],[SKU]],tblProductos[SKU],0)),"?"))</f>
        <v/>
      </c>
      <c r="I2135" s="39"/>
      <c r="J2135" s="47" t="str">
        <f>IF(tblMovimientos[[#This Row],[Tipo]]="","",IFERROR(INDEX(tblTiposMov[FactorStock],MATCH(tblMovimientos[[#This Row],[Tipo]],tblTiposMov[Tipo],0)),0))</f>
        <v/>
      </c>
      <c r="K21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5" s="37"/>
      <c r="O2135" s="37"/>
      <c r="P2135" s="37"/>
    </row>
    <row r="2136" spans="2:16" x14ac:dyDescent="0.25">
      <c r="B21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6" s="46"/>
      <c r="D2136" s="37"/>
      <c r="E2136" s="37"/>
      <c r="F2136" s="37"/>
      <c r="G2136" s="40" t="str">
        <f>IF(tblMovimientos[[#This Row],[Producto]]="","",TRIM(LEFT(tblMovimientos[[#This Row],[Producto]],FIND(" · ",tblMovimientos[[#This Row],[Producto]]&amp;" · ")-1)))</f>
        <v/>
      </c>
      <c r="H2136" s="40" t="str">
        <f>IF(tblMovimientos[[#This Row],[SKU]]="","",IFERROR(INDEX(tblProductos[Unidad],MATCH(tblMovimientos[[#This Row],[SKU]],tblProductos[SKU],0)),"?"))</f>
        <v/>
      </c>
      <c r="I2136" s="39"/>
      <c r="J2136" s="47" t="str">
        <f>IF(tblMovimientos[[#This Row],[Tipo]]="","",IFERROR(INDEX(tblTiposMov[FactorStock],MATCH(tblMovimientos[[#This Row],[Tipo]],tblTiposMov[Tipo],0)),0))</f>
        <v/>
      </c>
      <c r="K21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6" s="37"/>
      <c r="O2136" s="37"/>
      <c r="P2136" s="37"/>
    </row>
    <row r="2137" spans="2:16" x14ac:dyDescent="0.25">
      <c r="B21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7" s="46"/>
      <c r="D2137" s="37"/>
      <c r="E2137" s="37"/>
      <c r="F2137" s="37"/>
      <c r="G2137" s="40" t="str">
        <f>IF(tblMovimientos[[#This Row],[Producto]]="","",TRIM(LEFT(tblMovimientos[[#This Row],[Producto]],FIND(" · ",tblMovimientos[[#This Row],[Producto]]&amp;" · ")-1)))</f>
        <v/>
      </c>
      <c r="H2137" s="40" t="str">
        <f>IF(tblMovimientos[[#This Row],[SKU]]="","",IFERROR(INDEX(tblProductos[Unidad],MATCH(tblMovimientos[[#This Row],[SKU]],tblProductos[SKU],0)),"?"))</f>
        <v/>
      </c>
      <c r="I2137" s="39"/>
      <c r="J2137" s="47" t="str">
        <f>IF(tblMovimientos[[#This Row],[Tipo]]="","",IFERROR(INDEX(tblTiposMov[FactorStock],MATCH(tblMovimientos[[#This Row],[Tipo]],tblTiposMov[Tipo],0)),0))</f>
        <v/>
      </c>
      <c r="K21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7" s="37"/>
      <c r="O2137" s="37"/>
      <c r="P2137" s="37"/>
    </row>
    <row r="2138" spans="2:16" x14ac:dyDescent="0.25">
      <c r="B21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8" s="46"/>
      <c r="D2138" s="37"/>
      <c r="E2138" s="37"/>
      <c r="F2138" s="37"/>
      <c r="G2138" s="40" t="str">
        <f>IF(tblMovimientos[[#This Row],[Producto]]="","",TRIM(LEFT(tblMovimientos[[#This Row],[Producto]],FIND(" · ",tblMovimientos[[#This Row],[Producto]]&amp;" · ")-1)))</f>
        <v/>
      </c>
      <c r="H2138" s="40" t="str">
        <f>IF(tblMovimientos[[#This Row],[SKU]]="","",IFERROR(INDEX(tblProductos[Unidad],MATCH(tblMovimientos[[#This Row],[SKU]],tblProductos[SKU],0)),"?"))</f>
        <v/>
      </c>
      <c r="I2138" s="39"/>
      <c r="J2138" s="47" t="str">
        <f>IF(tblMovimientos[[#This Row],[Tipo]]="","",IFERROR(INDEX(tblTiposMov[FactorStock],MATCH(tblMovimientos[[#This Row],[Tipo]],tblTiposMov[Tipo],0)),0))</f>
        <v/>
      </c>
      <c r="K21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8" s="37"/>
      <c r="O2138" s="37"/>
      <c r="P2138" s="37"/>
    </row>
    <row r="2139" spans="2:16" x14ac:dyDescent="0.25">
      <c r="B21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39" s="46"/>
      <c r="D2139" s="37"/>
      <c r="E2139" s="37"/>
      <c r="F2139" s="37"/>
      <c r="G2139" s="40" t="str">
        <f>IF(tblMovimientos[[#This Row],[Producto]]="","",TRIM(LEFT(tblMovimientos[[#This Row],[Producto]],FIND(" · ",tblMovimientos[[#This Row],[Producto]]&amp;" · ")-1)))</f>
        <v/>
      </c>
      <c r="H2139" s="40" t="str">
        <f>IF(tblMovimientos[[#This Row],[SKU]]="","",IFERROR(INDEX(tblProductos[Unidad],MATCH(tblMovimientos[[#This Row],[SKU]],tblProductos[SKU],0)),"?"))</f>
        <v/>
      </c>
      <c r="I2139" s="39"/>
      <c r="J2139" s="47" t="str">
        <f>IF(tblMovimientos[[#This Row],[Tipo]]="","",IFERROR(INDEX(tblTiposMov[FactorStock],MATCH(tblMovimientos[[#This Row],[Tipo]],tblTiposMov[Tipo],0)),0))</f>
        <v/>
      </c>
      <c r="K21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39" s="37"/>
      <c r="O2139" s="37"/>
      <c r="P2139" s="37"/>
    </row>
    <row r="2140" spans="2:16" x14ac:dyDescent="0.25">
      <c r="B21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0" s="46"/>
      <c r="D2140" s="37"/>
      <c r="E2140" s="37"/>
      <c r="F2140" s="37"/>
      <c r="G2140" s="40" t="str">
        <f>IF(tblMovimientos[[#This Row],[Producto]]="","",TRIM(LEFT(tblMovimientos[[#This Row],[Producto]],FIND(" · ",tblMovimientos[[#This Row],[Producto]]&amp;" · ")-1)))</f>
        <v/>
      </c>
      <c r="H2140" s="40" t="str">
        <f>IF(tblMovimientos[[#This Row],[SKU]]="","",IFERROR(INDEX(tblProductos[Unidad],MATCH(tblMovimientos[[#This Row],[SKU]],tblProductos[SKU],0)),"?"))</f>
        <v/>
      </c>
      <c r="I2140" s="39"/>
      <c r="J2140" s="47" t="str">
        <f>IF(tblMovimientos[[#This Row],[Tipo]]="","",IFERROR(INDEX(tblTiposMov[FactorStock],MATCH(tblMovimientos[[#This Row],[Tipo]],tblTiposMov[Tipo],0)),0))</f>
        <v/>
      </c>
      <c r="K21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0" s="37"/>
      <c r="O2140" s="37"/>
      <c r="P2140" s="37"/>
    </row>
    <row r="2141" spans="2:16" x14ac:dyDescent="0.25">
      <c r="B21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1" s="46"/>
      <c r="D2141" s="37"/>
      <c r="E2141" s="37"/>
      <c r="F2141" s="37"/>
      <c r="G2141" s="40" t="str">
        <f>IF(tblMovimientos[[#This Row],[Producto]]="","",TRIM(LEFT(tblMovimientos[[#This Row],[Producto]],FIND(" · ",tblMovimientos[[#This Row],[Producto]]&amp;" · ")-1)))</f>
        <v/>
      </c>
      <c r="H2141" s="40" t="str">
        <f>IF(tblMovimientos[[#This Row],[SKU]]="","",IFERROR(INDEX(tblProductos[Unidad],MATCH(tblMovimientos[[#This Row],[SKU]],tblProductos[SKU],0)),"?"))</f>
        <v/>
      </c>
      <c r="I2141" s="39"/>
      <c r="J2141" s="47" t="str">
        <f>IF(tblMovimientos[[#This Row],[Tipo]]="","",IFERROR(INDEX(tblTiposMov[FactorStock],MATCH(tblMovimientos[[#This Row],[Tipo]],tblTiposMov[Tipo],0)),0))</f>
        <v/>
      </c>
      <c r="K21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1" s="37"/>
      <c r="O2141" s="37"/>
      <c r="P2141" s="37"/>
    </row>
    <row r="2142" spans="2:16" x14ac:dyDescent="0.25">
      <c r="B21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2" s="46"/>
      <c r="D2142" s="37"/>
      <c r="E2142" s="37"/>
      <c r="F2142" s="37"/>
      <c r="G2142" s="40" t="str">
        <f>IF(tblMovimientos[[#This Row],[Producto]]="","",TRIM(LEFT(tblMovimientos[[#This Row],[Producto]],FIND(" · ",tblMovimientos[[#This Row],[Producto]]&amp;" · ")-1)))</f>
        <v/>
      </c>
      <c r="H2142" s="40" t="str">
        <f>IF(tblMovimientos[[#This Row],[SKU]]="","",IFERROR(INDEX(tblProductos[Unidad],MATCH(tblMovimientos[[#This Row],[SKU]],tblProductos[SKU],0)),"?"))</f>
        <v/>
      </c>
      <c r="I2142" s="39"/>
      <c r="J2142" s="47" t="str">
        <f>IF(tblMovimientos[[#This Row],[Tipo]]="","",IFERROR(INDEX(tblTiposMov[FactorStock],MATCH(tblMovimientos[[#This Row],[Tipo]],tblTiposMov[Tipo],0)),0))</f>
        <v/>
      </c>
      <c r="K21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2" s="37"/>
      <c r="O2142" s="37"/>
      <c r="P2142" s="37"/>
    </row>
    <row r="2143" spans="2:16" x14ac:dyDescent="0.25">
      <c r="B21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3" s="46"/>
      <c r="D2143" s="37"/>
      <c r="E2143" s="37"/>
      <c r="F2143" s="37"/>
      <c r="G2143" s="40" t="str">
        <f>IF(tblMovimientos[[#This Row],[Producto]]="","",TRIM(LEFT(tblMovimientos[[#This Row],[Producto]],FIND(" · ",tblMovimientos[[#This Row],[Producto]]&amp;" · ")-1)))</f>
        <v/>
      </c>
      <c r="H2143" s="40" t="str">
        <f>IF(tblMovimientos[[#This Row],[SKU]]="","",IFERROR(INDEX(tblProductos[Unidad],MATCH(tblMovimientos[[#This Row],[SKU]],tblProductos[SKU],0)),"?"))</f>
        <v/>
      </c>
      <c r="I2143" s="39"/>
      <c r="J2143" s="47" t="str">
        <f>IF(tblMovimientos[[#This Row],[Tipo]]="","",IFERROR(INDEX(tblTiposMov[FactorStock],MATCH(tblMovimientos[[#This Row],[Tipo]],tblTiposMov[Tipo],0)),0))</f>
        <v/>
      </c>
      <c r="K21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3" s="37"/>
      <c r="O2143" s="37"/>
      <c r="P2143" s="37"/>
    </row>
    <row r="2144" spans="2:16" x14ac:dyDescent="0.25">
      <c r="B21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4" s="46"/>
      <c r="D2144" s="37"/>
      <c r="E2144" s="37"/>
      <c r="F2144" s="37"/>
      <c r="G2144" s="40" t="str">
        <f>IF(tblMovimientos[[#This Row],[Producto]]="","",TRIM(LEFT(tblMovimientos[[#This Row],[Producto]],FIND(" · ",tblMovimientos[[#This Row],[Producto]]&amp;" · ")-1)))</f>
        <v/>
      </c>
      <c r="H2144" s="40" t="str">
        <f>IF(tblMovimientos[[#This Row],[SKU]]="","",IFERROR(INDEX(tblProductos[Unidad],MATCH(tblMovimientos[[#This Row],[SKU]],tblProductos[SKU],0)),"?"))</f>
        <v/>
      </c>
      <c r="I2144" s="39"/>
      <c r="J2144" s="47" t="str">
        <f>IF(tblMovimientos[[#This Row],[Tipo]]="","",IFERROR(INDEX(tblTiposMov[FactorStock],MATCH(tblMovimientos[[#This Row],[Tipo]],tblTiposMov[Tipo],0)),0))</f>
        <v/>
      </c>
      <c r="K21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4" s="37"/>
      <c r="O2144" s="37"/>
      <c r="P2144" s="37"/>
    </row>
    <row r="2145" spans="2:16" x14ac:dyDescent="0.25">
      <c r="B21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5" s="46"/>
      <c r="D2145" s="37"/>
      <c r="E2145" s="37"/>
      <c r="F2145" s="37"/>
      <c r="G2145" s="40" t="str">
        <f>IF(tblMovimientos[[#This Row],[Producto]]="","",TRIM(LEFT(tblMovimientos[[#This Row],[Producto]],FIND(" · ",tblMovimientos[[#This Row],[Producto]]&amp;" · ")-1)))</f>
        <v/>
      </c>
      <c r="H2145" s="40" t="str">
        <f>IF(tblMovimientos[[#This Row],[SKU]]="","",IFERROR(INDEX(tblProductos[Unidad],MATCH(tblMovimientos[[#This Row],[SKU]],tblProductos[SKU],0)),"?"))</f>
        <v/>
      </c>
      <c r="I2145" s="39"/>
      <c r="J2145" s="47" t="str">
        <f>IF(tblMovimientos[[#This Row],[Tipo]]="","",IFERROR(INDEX(tblTiposMov[FactorStock],MATCH(tblMovimientos[[#This Row],[Tipo]],tblTiposMov[Tipo],0)),0))</f>
        <v/>
      </c>
      <c r="K21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5" s="37"/>
      <c r="O2145" s="37"/>
      <c r="P2145" s="37"/>
    </row>
    <row r="2146" spans="2:16" x14ac:dyDescent="0.25">
      <c r="B21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6" s="46"/>
      <c r="D2146" s="37"/>
      <c r="E2146" s="37"/>
      <c r="F2146" s="37"/>
      <c r="G2146" s="40" t="str">
        <f>IF(tblMovimientos[[#This Row],[Producto]]="","",TRIM(LEFT(tblMovimientos[[#This Row],[Producto]],FIND(" · ",tblMovimientos[[#This Row],[Producto]]&amp;" · ")-1)))</f>
        <v/>
      </c>
      <c r="H2146" s="40" t="str">
        <f>IF(tblMovimientos[[#This Row],[SKU]]="","",IFERROR(INDEX(tblProductos[Unidad],MATCH(tblMovimientos[[#This Row],[SKU]],tblProductos[SKU],0)),"?"))</f>
        <v/>
      </c>
      <c r="I2146" s="39"/>
      <c r="J2146" s="47" t="str">
        <f>IF(tblMovimientos[[#This Row],[Tipo]]="","",IFERROR(INDEX(tblTiposMov[FactorStock],MATCH(tblMovimientos[[#This Row],[Tipo]],tblTiposMov[Tipo],0)),0))</f>
        <v/>
      </c>
      <c r="K21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6" s="37"/>
      <c r="O2146" s="37"/>
      <c r="P2146" s="37"/>
    </row>
    <row r="2147" spans="2:16" x14ac:dyDescent="0.25">
      <c r="B21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7" s="46"/>
      <c r="D2147" s="37"/>
      <c r="E2147" s="37"/>
      <c r="F2147" s="37"/>
      <c r="G2147" s="40" t="str">
        <f>IF(tblMovimientos[[#This Row],[Producto]]="","",TRIM(LEFT(tblMovimientos[[#This Row],[Producto]],FIND(" · ",tblMovimientos[[#This Row],[Producto]]&amp;" · ")-1)))</f>
        <v/>
      </c>
      <c r="H2147" s="40" t="str">
        <f>IF(tblMovimientos[[#This Row],[SKU]]="","",IFERROR(INDEX(tblProductos[Unidad],MATCH(tblMovimientos[[#This Row],[SKU]],tblProductos[SKU],0)),"?"))</f>
        <v/>
      </c>
      <c r="I2147" s="39"/>
      <c r="J2147" s="47" t="str">
        <f>IF(tblMovimientos[[#This Row],[Tipo]]="","",IFERROR(INDEX(tblTiposMov[FactorStock],MATCH(tblMovimientos[[#This Row],[Tipo]],tblTiposMov[Tipo],0)),0))</f>
        <v/>
      </c>
      <c r="K21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7" s="37"/>
      <c r="O2147" s="37"/>
      <c r="P2147" s="37"/>
    </row>
    <row r="2148" spans="2:16" x14ac:dyDescent="0.25">
      <c r="B21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8" s="46"/>
      <c r="D2148" s="37"/>
      <c r="E2148" s="37"/>
      <c r="F2148" s="37"/>
      <c r="G2148" s="40" t="str">
        <f>IF(tblMovimientos[[#This Row],[Producto]]="","",TRIM(LEFT(tblMovimientos[[#This Row],[Producto]],FIND(" · ",tblMovimientos[[#This Row],[Producto]]&amp;" · ")-1)))</f>
        <v/>
      </c>
      <c r="H2148" s="40" t="str">
        <f>IF(tblMovimientos[[#This Row],[SKU]]="","",IFERROR(INDEX(tblProductos[Unidad],MATCH(tblMovimientos[[#This Row],[SKU]],tblProductos[SKU],0)),"?"))</f>
        <v/>
      </c>
      <c r="I2148" s="39"/>
      <c r="J2148" s="47" t="str">
        <f>IF(tblMovimientos[[#This Row],[Tipo]]="","",IFERROR(INDEX(tblTiposMov[FactorStock],MATCH(tblMovimientos[[#This Row],[Tipo]],tblTiposMov[Tipo],0)),0))</f>
        <v/>
      </c>
      <c r="K21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8" s="37"/>
      <c r="O2148" s="37"/>
      <c r="P2148" s="37"/>
    </row>
    <row r="2149" spans="2:16" x14ac:dyDescent="0.25">
      <c r="B21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49" s="46"/>
      <c r="D2149" s="37"/>
      <c r="E2149" s="37"/>
      <c r="F2149" s="37"/>
      <c r="G2149" s="40" t="str">
        <f>IF(tblMovimientos[[#This Row],[Producto]]="","",TRIM(LEFT(tblMovimientos[[#This Row],[Producto]],FIND(" · ",tblMovimientos[[#This Row],[Producto]]&amp;" · ")-1)))</f>
        <v/>
      </c>
      <c r="H2149" s="40" t="str">
        <f>IF(tblMovimientos[[#This Row],[SKU]]="","",IFERROR(INDEX(tblProductos[Unidad],MATCH(tblMovimientos[[#This Row],[SKU]],tblProductos[SKU],0)),"?"))</f>
        <v/>
      </c>
      <c r="I2149" s="39"/>
      <c r="J2149" s="47" t="str">
        <f>IF(tblMovimientos[[#This Row],[Tipo]]="","",IFERROR(INDEX(tblTiposMov[FactorStock],MATCH(tblMovimientos[[#This Row],[Tipo]],tblTiposMov[Tipo],0)),0))</f>
        <v/>
      </c>
      <c r="K21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49" s="37"/>
      <c r="O2149" s="37"/>
      <c r="P2149" s="37"/>
    </row>
    <row r="2150" spans="2:16" x14ac:dyDescent="0.25">
      <c r="B21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0" s="46"/>
      <c r="D2150" s="37"/>
      <c r="E2150" s="37"/>
      <c r="F2150" s="37"/>
      <c r="G2150" s="40" t="str">
        <f>IF(tblMovimientos[[#This Row],[Producto]]="","",TRIM(LEFT(tblMovimientos[[#This Row],[Producto]],FIND(" · ",tblMovimientos[[#This Row],[Producto]]&amp;" · ")-1)))</f>
        <v/>
      </c>
      <c r="H2150" s="40" t="str">
        <f>IF(tblMovimientos[[#This Row],[SKU]]="","",IFERROR(INDEX(tblProductos[Unidad],MATCH(tblMovimientos[[#This Row],[SKU]],tblProductos[SKU],0)),"?"))</f>
        <v/>
      </c>
      <c r="I2150" s="39"/>
      <c r="J2150" s="47" t="str">
        <f>IF(tblMovimientos[[#This Row],[Tipo]]="","",IFERROR(INDEX(tblTiposMov[FactorStock],MATCH(tblMovimientos[[#This Row],[Tipo]],tblTiposMov[Tipo],0)),0))</f>
        <v/>
      </c>
      <c r="K21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0" s="37"/>
      <c r="O2150" s="37"/>
      <c r="P2150" s="37"/>
    </row>
    <row r="2151" spans="2:16" x14ac:dyDescent="0.25">
      <c r="B21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1" s="46"/>
      <c r="D2151" s="37"/>
      <c r="E2151" s="37"/>
      <c r="F2151" s="37"/>
      <c r="G2151" s="40" t="str">
        <f>IF(tblMovimientos[[#This Row],[Producto]]="","",TRIM(LEFT(tblMovimientos[[#This Row],[Producto]],FIND(" · ",tblMovimientos[[#This Row],[Producto]]&amp;" · ")-1)))</f>
        <v/>
      </c>
      <c r="H2151" s="40" t="str">
        <f>IF(tblMovimientos[[#This Row],[SKU]]="","",IFERROR(INDEX(tblProductos[Unidad],MATCH(tblMovimientos[[#This Row],[SKU]],tblProductos[SKU],0)),"?"))</f>
        <v/>
      </c>
      <c r="I2151" s="39"/>
      <c r="J2151" s="47" t="str">
        <f>IF(tblMovimientos[[#This Row],[Tipo]]="","",IFERROR(INDEX(tblTiposMov[FactorStock],MATCH(tblMovimientos[[#This Row],[Tipo]],tblTiposMov[Tipo],0)),0))</f>
        <v/>
      </c>
      <c r="K21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1" s="37"/>
      <c r="O2151" s="37"/>
      <c r="P2151" s="37"/>
    </row>
    <row r="2152" spans="2:16" x14ac:dyDescent="0.25">
      <c r="B21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2" s="46"/>
      <c r="D2152" s="37"/>
      <c r="E2152" s="37"/>
      <c r="F2152" s="37"/>
      <c r="G2152" s="40" t="str">
        <f>IF(tblMovimientos[[#This Row],[Producto]]="","",TRIM(LEFT(tblMovimientos[[#This Row],[Producto]],FIND(" · ",tblMovimientos[[#This Row],[Producto]]&amp;" · ")-1)))</f>
        <v/>
      </c>
      <c r="H2152" s="40" t="str">
        <f>IF(tblMovimientos[[#This Row],[SKU]]="","",IFERROR(INDEX(tblProductos[Unidad],MATCH(tblMovimientos[[#This Row],[SKU]],tblProductos[SKU],0)),"?"))</f>
        <v/>
      </c>
      <c r="I2152" s="39"/>
      <c r="J2152" s="47" t="str">
        <f>IF(tblMovimientos[[#This Row],[Tipo]]="","",IFERROR(INDEX(tblTiposMov[FactorStock],MATCH(tblMovimientos[[#This Row],[Tipo]],tblTiposMov[Tipo],0)),0))</f>
        <v/>
      </c>
      <c r="K21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2" s="37"/>
      <c r="O2152" s="37"/>
      <c r="P2152" s="37"/>
    </row>
    <row r="2153" spans="2:16" x14ac:dyDescent="0.25">
      <c r="B21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3" s="46"/>
      <c r="D2153" s="37"/>
      <c r="E2153" s="37"/>
      <c r="F2153" s="37"/>
      <c r="G2153" s="40" t="str">
        <f>IF(tblMovimientos[[#This Row],[Producto]]="","",TRIM(LEFT(tblMovimientos[[#This Row],[Producto]],FIND(" · ",tblMovimientos[[#This Row],[Producto]]&amp;" · ")-1)))</f>
        <v/>
      </c>
      <c r="H2153" s="40" t="str">
        <f>IF(tblMovimientos[[#This Row],[SKU]]="","",IFERROR(INDEX(tblProductos[Unidad],MATCH(tblMovimientos[[#This Row],[SKU]],tblProductos[SKU],0)),"?"))</f>
        <v/>
      </c>
      <c r="I2153" s="39"/>
      <c r="J2153" s="47" t="str">
        <f>IF(tblMovimientos[[#This Row],[Tipo]]="","",IFERROR(INDEX(tblTiposMov[FactorStock],MATCH(tblMovimientos[[#This Row],[Tipo]],tblTiposMov[Tipo],0)),0))</f>
        <v/>
      </c>
      <c r="K21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3" s="37"/>
      <c r="O2153" s="37"/>
      <c r="P2153" s="37"/>
    </row>
    <row r="2154" spans="2:16" x14ac:dyDescent="0.25">
      <c r="B21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4" s="46"/>
      <c r="D2154" s="37"/>
      <c r="E2154" s="37"/>
      <c r="F2154" s="37"/>
      <c r="G2154" s="40" t="str">
        <f>IF(tblMovimientos[[#This Row],[Producto]]="","",TRIM(LEFT(tblMovimientos[[#This Row],[Producto]],FIND(" · ",tblMovimientos[[#This Row],[Producto]]&amp;" · ")-1)))</f>
        <v/>
      </c>
      <c r="H2154" s="40" t="str">
        <f>IF(tblMovimientos[[#This Row],[SKU]]="","",IFERROR(INDEX(tblProductos[Unidad],MATCH(tblMovimientos[[#This Row],[SKU]],tblProductos[SKU],0)),"?"))</f>
        <v/>
      </c>
      <c r="I2154" s="39"/>
      <c r="J2154" s="47" t="str">
        <f>IF(tblMovimientos[[#This Row],[Tipo]]="","",IFERROR(INDEX(tblTiposMov[FactorStock],MATCH(tblMovimientos[[#This Row],[Tipo]],tblTiposMov[Tipo],0)),0))</f>
        <v/>
      </c>
      <c r="K21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4" s="37"/>
      <c r="O2154" s="37"/>
      <c r="P2154" s="37"/>
    </row>
    <row r="2155" spans="2:16" x14ac:dyDescent="0.25">
      <c r="B21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5" s="46"/>
      <c r="D2155" s="37"/>
      <c r="E2155" s="37"/>
      <c r="F2155" s="37"/>
      <c r="G2155" s="40" t="str">
        <f>IF(tblMovimientos[[#This Row],[Producto]]="","",TRIM(LEFT(tblMovimientos[[#This Row],[Producto]],FIND(" · ",tblMovimientos[[#This Row],[Producto]]&amp;" · ")-1)))</f>
        <v/>
      </c>
      <c r="H2155" s="40" t="str">
        <f>IF(tblMovimientos[[#This Row],[SKU]]="","",IFERROR(INDEX(tblProductos[Unidad],MATCH(tblMovimientos[[#This Row],[SKU]],tblProductos[SKU],0)),"?"))</f>
        <v/>
      </c>
      <c r="I2155" s="39"/>
      <c r="J2155" s="47" t="str">
        <f>IF(tblMovimientos[[#This Row],[Tipo]]="","",IFERROR(INDEX(tblTiposMov[FactorStock],MATCH(tblMovimientos[[#This Row],[Tipo]],tblTiposMov[Tipo],0)),0))</f>
        <v/>
      </c>
      <c r="K21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5" s="37"/>
      <c r="O2155" s="37"/>
      <c r="P2155" s="37"/>
    </row>
    <row r="2156" spans="2:16" x14ac:dyDescent="0.25">
      <c r="B21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6" s="46"/>
      <c r="D2156" s="37"/>
      <c r="E2156" s="37"/>
      <c r="F2156" s="37"/>
      <c r="G2156" s="40" t="str">
        <f>IF(tblMovimientos[[#This Row],[Producto]]="","",TRIM(LEFT(tblMovimientos[[#This Row],[Producto]],FIND(" · ",tblMovimientos[[#This Row],[Producto]]&amp;" · ")-1)))</f>
        <v/>
      </c>
      <c r="H2156" s="40" t="str">
        <f>IF(tblMovimientos[[#This Row],[SKU]]="","",IFERROR(INDEX(tblProductos[Unidad],MATCH(tblMovimientos[[#This Row],[SKU]],tblProductos[SKU],0)),"?"))</f>
        <v/>
      </c>
      <c r="I2156" s="39"/>
      <c r="J2156" s="47" t="str">
        <f>IF(tblMovimientos[[#This Row],[Tipo]]="","",IFERROR(INDEX(tblTiposMov[FactorStock],MATCH(tblMovimientos[[#This Row],[Tipo]],tblTiposMov[Tipo],0)),0))</f>
        <v/>
      </c>
      <c r="K21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6" s="37"/>
      <c r="O2156" s="37"/>
      <c r="P2156" s="37"/>
    </row>
    <row r="2157" spans="2:16" x14ac:dyDescent="0.25">
      <c r="B21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7" s="46"/>
      <c r="D2157" s="37"/>
      <c r="E2157" s="37"/>
      <c r="F2157" s="37"/>
      <c r="G2157" s="40" t="str">
        <f>IF(tblMovimientos[[#This Row],[Producto]]="","",TRIM(LEFT(tblMovimientos[[#This Row],[Producto]],FIND(" · ",tblMovimientos[[#This Row],[Producto]]&amp;" · ")-1)))</f>
        <v/>
      </c>
      <c r="H2157" s="40" t="str">
        <f>IF(tblMovimientos[[#This Row],[SKU]]="","",IFERROR(INDEX(tblProductos[Unidad],MATCH(tblMovimientos[[#This Row],[SKU]],tblProductos[SKU],0)),"?"))</f>
        <v/>
      </c>
      <c r="I2157" s="39"/>
      <c r="J2157" s="47" t="str">
        <f>IF(tblMovimientos[[#This Row],[Tipo]]="","",IFERROR(INDEX(tblTiposMov[FactorStock],MATCH(tblMovimientos[[#This Row],[Tipo]],tblTiposMov[Tipo],0)),0))</f>
        <v/>
      </c>
      <c r="K21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7" s="37"/>
      <c r="O2157" s="37"/>
      <c r="P2157" s="37"/>
    </row>
    <row r="2158" spans="2:16" x14ac:dyDescent="0.25">
      <c r="B21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8" s="46"/>
      <c r="D2158" s="37"/>
      <c r="E2158" s="37"/>
      <c r="F2158" s="37"/>
      <c r="G2158" s="40" t="str">
        <f>IF(tblMovimientos[[#This Row],[Producto]]="","",TRIM(LEFT(tblMovimientos[[#This Row],[Producto]],FIND(" · ",tblMovimientos[[#This Row],[Producto]]&amp;" · ")-1)))</f>
        <v/>
      </c>
      <c r="H2158" s="40" t="str">
        <f>IF(tblMovimientos[[#This Row],[SKU]]="","",IFERROR(INDEX(tblProductos[Unidad],MATCH(tblMovimientos[[#This Row],[SKU]],tblProductos[SKU],0)),"?"))</f>
        <v/>
      </c>
      <c r="I2158" s="39"/>
      <c r="J2158" s="47" t="str">
        <f>IF(tblMovimientos[[#This Row],[Tipo]]="","",IFERROR(INDEX(tblTiposMov[FactorStock],MATCH(tblMovimientos[[#This Row],[Tipo]],tblTiposMov[Tipo],0)),0))</f>
        <v/>
      </c>
      <c r="K21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8" s="37"/>
      <c r="O2158" s="37"/>
      <c r="P2158" s="37"/>
    </row>
    <row r="2159" spans="2:16" x14ac:dyDescent="0.25">
      <c r="B21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59" s="46"/>
      <c r="D2159" s="37"/>
      <c r="E2159" s="37"/>
      <c r="F2159" s="37"/>
      <c r="G2159" s="40" t="str">
        <f>IF(tblMovimientos[[#This Row],[Producto]]="","",TRIM(LEFT(tblMovimientos[[#This Row],[Producto]],FIND(" · ",tblMovimientos[[#This Row],[Producto]]&amp;" · ")-1)))</f>
        <v/>
      </c>
      <c r="H2159" s="40" t="str">
        <f>IF(tblMovimientos[[#This Row],[SKU]]="","",IFERROR(INDEX(tblProductos[Unidad],MATCH(tblMovimientos[[#This Row],[SKU]],tblProductos[SKU],0)),"?"))</f>
        <v/>
      </c>
      <c r="I2159" s="39"/>
      <c r="J2159" s="47" t="str">
        <f>IF(tblMovimientos[[#This Row],[Tipo]]="","",IFERROR(INDEX(tblTiposMov[FactorStock],MATCH(tblMovimientos[[#This Row],[Tipo]],tblTiposMov[Tipo],0)),0))</f>
        <v/>
      </c>
      <c r="K21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59" s="37"/>
      <c r="O2159" s="37"/>
      <c r="P2159" s="37"/>
    </row>
    <row r="2160" spans="2:16" x14ac:dyDescent="0.25">
      <c r="B21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0" s="46"/>
      <c r="D2160" s="37"/>
      <c r="E2160" s="37"/>
      <c r="F2160" s="37"/>
      <c r="G2160" s="40" t="str">
        <f>IF(tblMovimientos[[#This Row],[Producto]]="","",TRIM(LEFT(tblMovimientos[[#This Row],[Producto]],FIND(" · ",tblMovimientos[[#This Row],[Producto]]&amp;" · ")-1)))</f>
        <v/>
      </c>
      <c r="H2160" s="40" t="str">
        <f>IF(tblMovimientos[[#This Row],[SKU]]="","",IFERROR(INDEX(tblProductos[Unidad],MATCH(tblMovimientos[[#This Row],[SKU]],tblProductos[SKU],0)),"?"))</f>
        <v/>
      </c>
      <c r="I2160" s="39"/>
      <c r="J2160" s="47" t="str">
        <f>IF(tblMovimientos[[#This Row],[Tipo]]="","",IFERROR(INDEX(tblTiposMov[FactorStock],MATCH(tblMovimientos[[#This Row],[Tipo]],tblTiposMov[Tipo],0)),0))</f>
        <v/>
      </c>
      <c r="K21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0" s="37"/>
      <c r="O2160" s="37"/>
      <c r="P2160" s="37"/>
    </row>
    <row r="2161" spans="2:16" x14ac:dyDescent="0.25">
      <c r="B21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1" s="46"/>
      <c r="D2161" s="37"/>
      <c r="E2161" s="37"/>
      <c r="F2161" s="37"/>
      <c r="G2161" s="40" t="str">
        <f>IF(tblMovimientos[[#This Row],[Producto]]="","",TRIM(LEFT(tblMovimientos[[#This Row],[Producto]],FIND(" · ",tblMovimientos[[#This Row],[Producto]]&amp;" · ")-1)))</f>
        <v/>
      </c>
      <c r="H2161" s="40" t="str">
        <f>IF(tblMovimientos[[#This Row],[SKU]]="","",IFERROR(INDEX(tblProductos[Unidad],MATCH(tblMovimientos[[#This Row],[SKU]],tblProductos[SKU],0)),"?"))</f>
        <v/>
      </c>
      <c r="I2161" s="39"/>
      <c r="J2161" s="47" t="str">
        <f>IF(tblMovimientos[[#This Row],[Tipo]]="","",IFERROR(INDEX(tblTiposMov[FactorStock],MATCH(tblMovimientos[[#This Row],[Tipo]],tblTiposMov[Tipo],0)),0))</f>
        <v/>
      </c>
      <c r="K21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1" s="37"/>
      <c r="O2161" s="37"/>
      <c r="P2161" s="37"/>
    </row>
    <row r="2162" spans="2:16" x14ac:dyDescent="0.25">
      <c r="B21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2" s="46"/>
      <c r="D2162" s="37"/>
      <c r="E2162" s="37"/>
      <c r="F2162" s="37"/>
      <c r="G2162" s="40" t="str">
        <f>IF(tblMovimientos[[#This Row],[Producto]]="","",TRIM(LEFT(tblMovimientos[[#This Row],[Producto]],FIND(" · ",tblMovimientos[[#This Row],[Producto]]&amp;" · ")-1)))</f>
        <v/>
      </c>
      <c r="H2162" s="40" t="str">
        <f>IF(tblMovimientos[[#This Row],[SKU]]="","",IFERROR(INDEX(tblProductos[Unidad],MATCH(tblMovimientos[[#This Row],[SKU]],tblProductos[SKU],0)),"?"))</f>
        <v/>
      </c>
      <c r="I2162" s="39"/>
      <c r="J2162" s="47" t="str">
        <f>IF(tblMovimientos[[#This Row],[Tipo]]="","",IFERROR(INDEX(tblTiposMov[FactorStock],MATCH(tblMovimientos[[#This Row],[Tipo]],tblTiposMov[Tipo],0)),0))</f>
        <v/>
      </c>
      <c r="K21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2" s="37"/>
      <c r="O2162" s="37"/>
      <c r="P2162" s="37"/>
    </row>
    <row r="2163" spans="2:16" x14ac:dyDescent="0.25">
      <c r="B21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3" s="46"/>
      <c r="D2163" s="37"/>
      <c r="E2163" s="37"/>
      <c r="F2163" s="37"/>
      <c r="G2163" s="40" t="str">
        <f>IF(tblMovimientos[[#This Row],[Producto]]="","",TRIM(LEFT(tblMovimientos[[#This Row],[Producto]],FIND(" · ",tblMovimientos[[#This Row],[Producto]]&amp;" · ")-1)))</f>
        <v/>
      </c>
      <c r="H2163" s="40" t="str">
        <f>IF(tblMovimientos[[#This Row],[SKU]]="","",IFERROR(INDEX(tblProductos[Unidad],MATCH(tblMovimientos[[#This Row],[SKU]],tblProductos[SKU],0)),"?"))</f>
        <v/>
      </c>
      <c r="I2163" s="39"/>
      <c r="J2163" s="47" t="str">
        <f>IF(tblMovimientos[[#This Row],[Tipo]]="","",IFERROR(INDEX(tblTiposMov[FactorStock],MATCH(tblMovimientos[[#This Row],[Tipo]],tblTiposMov[Tipo],0)),0))</f>
        <v/>
      </c>
      <c r="K21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3" s="37"/>
      <c r="O2163" s="37"/>
      <c r="P2163" s="37"/>
    </row>
    <row r="2164" spans="2:16" x14ac:dyDescent="0.25">
      <c r="B21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4" s="46"/>
      <c r="D2164" s="37"/>
      <c r="E2164" s="37"/>
      <c r="F2164" s="37"/>
      <c r="G2164" s="40" t="str">
        <f>IF(tblMovimientos[[#This Row],[Producto]]="","",TRIM(LEFT(tblMovimientos[[#This Row],[Producto]],FIND(" · ",tblMovimientos[[#This Row],[Producto]]&amp;" · ")-1)))</f>
        <v/>
      </c>
      <c r="H2164" s="40" t="str">
        <f>IF(tblMovimientos[[#This Row],[SKU]]="","",IFERROR(INDEX(tblProductos[Unidad],MATCH(tblMovimientos[[#This Row],[SKU]],tblProductos[SKU],0)),"?"))</f>
        <v/>
      </c>
      <c r="I2164" s="39"/>
      <c r="J2164" s="47" t="str">
        <f>IF(tblMovimientos[[#This Row],[Tipo]]="","",IFERROR(INDEX(tblTiposMov[FactorStock],MATCH(tblMovimientos[[#This Row],[Tipo]],tblTiposMov[Tipo],0)),0))</f>
        <v/>
      </c>
      <c r="K21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4" s="37"/>
      <c r="O2164" s="37"/>
      <c r="P2164" s="37"/>
    </row>
    <row r="2165" spans="2:16" x14ac:dyDescent="0.25">
      <c r="B21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5" s="46"/>
      <c r="D2165" s="37"/>
      <c r="E2165" s="37"/>
      <c r="F2165" s="37"/>
      <c r="G2165" s="40" t="str">
        <f>IF(tblMovimientos[[#This Row],[Producto]]="","",TRIM(LEFT(tblMovimientos[[#This Row],[Producto]],FIND(" · ",tblMovimientos[[#This Row],[Producto]]&amp;" · ")-1)))</f>
        <v/>
      </c>
      <c r="H2165" s="40" t="str">
        <f>IF(tblMovimientos[[#This Row],[SKU]]="","",IFERROR(INDEX(tblProductos[Unidad],MATCH(tblMovimientos[[#This Row],[SKU]],tblProductos[SKU],0)),"?"))</f>
        <v/>
      </c>
      <c r="I2165" s="39"/>
      <c r="J2165" s="47" t="str">
        <f>IF(tblMovimientos[[#This Row],[Tipo]]="","",IFERROR(INDEX(tblTiposMov[FactorStock],MATCH(tblMovimientos[[#This Row],[Tipo]],tblTiposMov[Tipo],0)),0))</f>
        <v/>
      </c>
      <c r="K21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5" s="37"/>
      <c r="O2165" s="37"/>
      <c r="P2165" s="37"/>
    </row>
    <row r="2166" spans="2:16" x14ac:dyDescent="0.25">
      <c r="B21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6" s="46"/>
      <c r="D2166" s="37"/>
      <c r="E2166" s="37"/>
      <c r="F2166" s="37"/>
      <c r="G2166" s="40" t="str">
        <f>IF(tblMovimientos[[#This Row],[Producto]]="","",TRIM(LEFT(tblMovimientos[[#This Row],[Producto]],FIND(" · ",tblMovimientos[[#This Row],[Producto]]&amp;" · ")-1)))</f>
        <v/>
      </c>
      <c r="H2166" s="40" t="str">
        <f>IF(tblMovimientos[[#This Row],[SKU]]="","",IFERROR(INDEX(tblProductos[Unidad],MATCH(tblMovimientos[[#This Row],[SKU]],tblProductos[SKU],0)),"?"))</f>
        <v/>
      </c>
      <c r="I2166" s="39"/>
      <c r="J2166" s="47" t="str">
        <f>IF(tblMovimientos[[#This Row],[Tipo]]="","",IFERROR(INDEX(tblTiposMov[FactorStock],MATCH(tblMovimientos[[#This Row],[Tipo]],tblTiposMov[Tipo],0)),0))</f>
        <v/>
      </c>
      <c r="K21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6" s="37"/>
      <c r="O2166" s="37"/>
      <c r="P2166" s="37"/>
    </row>
    <row r="2167" spans="2:16" x14ac:dyDescent="0.25">
      <c r="B21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7" s="46"/>
      <c r="D2167" s="37"/>
      <c r="E2167" s="37"/>
      <c r="F2167" s="37"/>
      <c r="G2167" s="40" t="str">
        <f>IF(tblMovimientos[[#This Row],[Producto]]="","",TRIM(LEFT(tblMovimientos[[#This Row],[Producto]],FIND(" · ",tblMovimientos[[#This Row],[Producto]]&amp;" · ")-1)))</f>
        <v/>
      </c>
      <c r="H2167" s="40" t="str">
        <f>IF(tblMovimientos[[#This Row],[SKU]]="","",IFERROR(INDEX(tblProductos[Unidad],MATCH(tblMovimientos[[#This Row],[SKU]],tblProductos[SKU],0)),"?"))</f>
        <v/>
      </c>
      <c r="I2167" s="39"/>
      <c r="J2167" s="47" t="str">
        <f>IF(tblMovimientos[[#This Row],[Tipo]]="","",IFERROR(INDEX(tblTiposMov[FactorStock],MATCH(tblMovimientos[[#This Row],[Tipo]],tblTiposMov[Tipo],0)),0))</f>
        <v/>
      </c>
      <c r="K21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7" s="37"/>
      <c r="O2167" s="37"/>
      <c r="P2167" s="37"/>
    </row>
    <row r="2168" spans="2:16" x14ac:dyDescent="0.25">
      <c r="B21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8" s="46"/>
      <c r="D2168" s="37"/>
      <c r="E2168" s="37"/>
      <c r="F2168" s="37"/>
      <c r="G2168" s="40" t="str">
        <f>IF(tblMovimientos[[#This Row],[Producto]]="","",TRIM(LEFT(tblMovimientos[[#This Row],[Producto]],FIND(" · ",tblMovimientos[[#This Row],[Producto]]&amp;" · ")-1)))</f>
        <v/>
      </c>
      <c r="H2168" s="40" t="str">
        <f>IF(tblMovimientos[[#This Row],[SKU]]="","",IFERROR(INDEX(tblProductos[Unidad],MATCH(tblMovimientos[[#This Row],[SKU]],tblProductos[SKU],0)),"?"))</f>
        <v/>
      </c>
      <c r="I2168" s="39"/>
      <c r="J2168" s="47" t="str">
        <f>IF(tblMovimientos[[#This Row],[Tipo]]="","",IFERROR(INDEX(tblTiposMov[FactorStock],MATCH(tblMovimientos[[#This Row],[Tipo]],tblTiposMov[Tipo],0)),0))</f>
        <v/>
      </c>
      <c r="K21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8" s="37"/>
      <c r="O2168" s="37"/>
      <c r="P2168" s="37"/>
    </row>
    <row r="2169" spans="2:16" x14ac:dyDescent="0.25">
      <c r="B21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69" s="46"/>
      <c r="D2169" s="37"/>
      <c r="E2169" s="37"/>
      <c r="F2169" s="37"/>
      <c r="G2169" s="40" t="str">
        <f>IF(tblMovimientos[[#This Row],[Producto]]="","",TRIM(LEFT(tblMovimientos[[#This Row],[Producto]],FIND(" · ",tblMovimientos[[#This Row],[Producto]]&amp;" · ")-1)))</f>
        <v/>
      </c>
      <c r="H2169" s="40" t="str">
        <f>IF(tblMovimientos[[#This Row],[SKU]]="","",IFERROR(INDEX(tblProductos[Unidad],MATCH(tblMovimientos[[#This Row],[SKU]],tblProductos[SKU],0)),"?"))</f>
        <v/>
      </c>
      <c r="I2169" s="39"/>
      <c r="J2169" s="47" t="str">
        <f>IF(tblMovimientos[[#This Row],[Tipo]]="","",IFERROR(INDEX(tblTiposMov[FactorStock],MATCH(tblMovimientos[[#This Row],[Tipo]],tblTiposMov[Tipo],0)),0))</f>
        <v/>
      </c>
      <c r="K21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69" s="37"/>
      <c r="O2169" s="37"/>
      <c r="P2169" s="37"/>
    </row>
    <row r="2170" spans="2:16" x14ac:dyDescent="0.25">
      <c r="B21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0" s="46"/>
      <c r="D2170" s="37"/>
      <c r="E2170" s="37"/>
      <c r="F2170" s="37"/>
      <c r="G2170" s="40" t="str">
        <f>IF(tblMovimientos[[#This Row],[Producto]]="","",TRIM(LEFT(tblMovimientos[[#This Row],[Producto]],FIND(" · ",tblMovimientos[[#This Row],[Producto]]&amp;" · ")-1)))</f>
        <v/>
      </c>
      <c r="H2170" s="40" t="str">
        <f>IF(tblMovimientos[[#This Row],[SKU]]="","",IFERROR(INDEX(tblProductos[Unidad],MATCH(tblMovimientos[[#This Row],[SKU]],tblProductos[SKU],0)),"?"))</f>
        <v/>
      </c>
      <c r="I2170" s="39"/>
      <c r="J2170" s="47" t="str">
        <f>IF(tblMovimientos[[#This Row],[Tipo]]="","",IFERROR(INDEX(tblTiposMov[FactorStock],MATCH(tblMovimientos[[#This Row],[Tipo]],tblTiposMov[Tipo],0)),0))</f>
        <v/>
      </c>
      <c r="K21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0" s="37"/>
      <c r="O2170" s="37"/>
      <c r="P2170" s="37"/>
    </row>
    <row r="2171" spans="2:16" x14ac:dyDescent="0.25">
      <c r="B21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1" s="46"/>
      <c r="D2171" s="37"/>
      <c r="E2171" s="37"/>
      <c r="F2171" s="37"/>
      <c r="G2171" s="40" t="str">
        <f>IF(tblMovimientos[[#This Row],[Producto]]="","",TRIM(LEFT(tblMovimientos[[#This Row],[Producto]],FIND(" · ",tblMovimientos[[#This Row],[Producto]]&amp;" · ")-1)))</f>
        <v/>
      </c>
      <c r="H2171" s="40" t="str">
        <f>IF(tblMovimientos[[#This Row],[SKU]]="","",IFERROR(INDEX(tblProductos[Unidad],MATCH(tblMovimientos[[#This Row],[SKU]],tblProductos[SKU],0)),"?"))</f>
        <v/>
      </c>
      <c r="I2171" s="39"/>
      <c r="J2171" s="47" t="str">
        <f>IF(tblMovimientos[[#This Row],[Tipo]]="","",IFERROR(INDEX(tblTiposMov[FactorStock],MATCH(tblMovimientos[[#This Row],[Tipo]],tblTiposMov[Tipo],0)),0))</f>
        <v/>
      </c>
      <c r="K21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1" s="37"/>
      <c r="O2171" s="37"/>
      <c r="P2171" s="37"/>
    </row>
    <row r="2172" spans="2:16" x14ac:dyDescent="0.25">
      <c r="B21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2" s="46"/>
      <c r="D2172" s="37"/>
      <c r="E2172" s="37"/>
      <c r="F2172" s="37"/>
      <c r="G2172" s="40" t="str">
        <f>IF(tblMovimientos[[#This Row],[Producto]]="","",TRIM(LEFT(tblMovimientos[[#This Row],[Producto]],FIND(" · ",tblMovimientos[[#This Row],[Producto]]&amp;" · ")-1)))</f>
        <v/>
      </c>
      <c r="H2172" s="40" t="str">
        <f>IF(tblMovimientos[[#This Row],[SKU]]="","",IFERROR(INDEX(tblProductos[Unidad],MATCH(tblMovimientos[[#This Row],[SKU]],tblProductos[SKU],0)),"?"))</f>
        <v/>
      </c>
      <c r="I2172" s="39"/>
      <c r="J2172" s="47" t="str">
        <f>IF(tblMovimientos[[#This Row],[Tipo]]="","",IFERROR(INDEX(tblTiposMov[FactorStock],MATCH(tblMovimientos[[#This Row],[Tipo]],tblTiposMov[Tipo],0)),0))</f>
        <v/>
      </c>
      <c r="K21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2" s="37"/>
      <c r="O2172" s="37"/>
      <c r="P2172" s="37"/>
    </row>
    <row r="2173" spans="2:16" x14ac:dyDescent="0.25">
      <c r="B21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3" s="46"/>
      <c r="D2173" s="37"/>
      <c r="E2173" s="37"/>
      <c r="F2173" s="37"/>
      <c r="G2173" s="40" t="str">
        <f>IF(tblMovimientos[[#This Row],[Producto]]="","",TRIM(LEFT(tblMovimientos[[#This Row],[Producto]],FIND(" · ",tblMovimientos[[#This Row],[Producto]]&amp;" · ")-1)))</f>
        <v/>
      </c>
      <c r="H2173" s="40" t="str">
        <f>IF(tblMovimientos[[#This Row],[SKU]]="","",IFERROR(INDEX(tblProductos[Unidad],MATCH(tblMovimientos[[#This Row],[SKU]],tblProductos[SKU],0)),"?"))</f>
        <v/>
      </c>
      <c r="I2173" s="39"/>
      <c r="J2173" s="47" t="str">
        <f>IF(tblMovimientos[[#This Row],[Tipo]]="","",IFERROR(INDEX(tblTiposMov[FactorStock],MATCH(tblMovimientos[[#This Row],[Tipo]],tblTiposMov[Tipo],0)),0))</f>
        <v/>
      </c>
      <c r="K21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3" s="37"/>
      <c r="O2173" s="37"/>
      <c r="P2173" s="37"/>
    </row>
    <row r="2174" spans="2:16" x14ac:dyDescent="0.25">
      <c r="B21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4" s="46"/>
      <c r="D2174" s="37"/>
      <c r="E2174" s="37"/>
      <c r="F2174" s="37"/>
      <c r="G2174" s="40" t="str">
        <f>IF(tblMovimientos[[#This Row],[Producto]]="","",TRIM(LEFT(tblMovimientos[[#This Row],[Producto]],FIND(" · ",tblMovimientos[[#This Row],[Producto]]&amp;" · ")-1)))</f>
        <v/>
      </c>
      <c r="H2174" s="40" t="str">
        <f>IF(tblMovimientos[[#This Row],[SKU]]="","",IFERROR(INDEX(tblProductos[Unidad],MATCH(tblMovimientos[[#This Row],[SKU]],tblProductos[SKU],0)),"?"))</f>
        <v/>
      </c>
      <c r="I2174" s="39"/>
      <c r="J2174" s="47" t="str">
        <f>IF(tblMovimientos[[#This Row],[Tipo]]="","",IFERROR(INDEX(tblTiposMov[FactorStock],MATCH(tblMovimientos[[#This Row],[Tipo]],tblTiposMov[Tipo],0)),0))</f>
        <v/>
      </c>
      <c r="K21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4" s="37"/>
      <c r="O2174" s="37"/>
      <c r="P2174" s="37"/>
    </row>
    <row r="2175" spans="2:16" x14ac:dyDescent="0.25">
      <c r="B21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5" s="46"/>
      <c r="D2175" s="37"/>
      <c r="E2175" s="37"/>
      <c r="F2175" s="37"/>
      <c r="G2175" s="40" t="str">
        <f>IF(tblMovimientos[[#This Row],[Producto]]="","",TRIM(LEFT(tblMovimientos[[#This Row],[Producto]],FIND(" · ",tblMovimientos[[#This Row],[Producto]]&amp;" · ")-1)))</f>
        <v/>
      </c>
      <c r="H2175" s="40" t="str">
        <f>IF(tblMovimientos[[#This Row],[SKU]]="","",IFERROR(INDEX(tblProductos[Unidad],MATCH(tblMovimientos[[#This Row],[SKU]],tblProductos[SKU],0)),"?"))</f>
        <v/>
      </c>
      <c r="I2175" s="39"/>
      <c r="J2175" s="47" t="str">
        <f>IF(tblMovimientos[[#This Row],[Tipo]]="","",IFERROR(INDEX(tblTiposMov[FactorStock],MATCH(tblMovimientos[[#This Row],[Tipo]],tblTiposMov[Tipo],0)),0))</f>
        <v/>
      </c>
      <c r="K21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5" s="37"/>
      <c r="O2175" s="37"/>
      <c r="P2175" s="37"/>
    </row>
    <row r="2176" spans="2:16" x14ac:dyDescent="0.25">
      <c r="B21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6" s="46"/>
      <c r="D2176" s="37"/>
      <c r="E2176" s="37"/>
      <c r="F2176" s="37"/>
      <c r="G2176" s="40" t="str">
        <f>IF(tblMovimientos[[#This Row],[Producto]]="","",TRIM(LEFT(tblMovimientos[[#This Row],[Producto]],FIND(" · ",tblMovimientos[[#This Row],[Producto]]&amp;" · ")-1)))</f>
        <v/>
      </c>
      <c r="H2176" s="40" t="str">
        <f>IF(tblMovimientos[[#This Row],[SKU]]="","",IFERROR(INDEX(tblProductos[Unidad],MATCH(tblMovimientos[[#This Row],[SKU]],tblProductos[SKU],0)),"?"))</f>
        <v/>
      </c>
      <c r="I2176" s="39"/>
      <c r="J2176" s="47" t="str">
        <f>IF(tblMovimientos[[#This Row],[Tipo]]="","",IFERROR(INDEX(tblTiposMov[FactorStock],MATCH(tblMovimientos[[#This Row],[Tipo]],tblTiposMov[Tipo],0)),0))</f>
        <v/>
      </c>
      <c r="K21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6" s="37"/>
      <c r="O2176" s="37"/>
      <c r="P2176" s="37"/>
    </row>
    <row r="2177" spans="2:16" x14ac:dyDescent="0.25">
      <c r="B21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7" s="46"/>
      <c r="D2177" s="37"/>
      <c r="E2177" s="37"/>
      <c r="F2177" s="37"/>
      <c r="G2177" s="40" t="str">
        <f>IF(tblMovimientos[[#This Row],[Producto]]="","",TRIM(LEFT(tblMovimientos[[#This Row],[Producto]],FIND(" · ",tblMovimientos[[#This Row],[Producto]]&amp;" · ")-1)))</f>
        <v/>
      </c>
      <c r="H2177" s="40" t="str">
        <f>IF(tblMovimientos[[#This Row],[SKU]]="","",IFERROR(INDEX(tblProductos[Unidad],MATCH(tblMovimientos[[#This Row],[SKU]],tblProductos[SKU],0)),"?"))</f>
        <v/>
      </c>
      <c r="I2177" s="39"/>
      <c r="J2177" s="47" t="str">
        <f>IF(tblMovimientos[[#This Row],[Tipo]]="","",IFERROR(INDEX(tblTiposMov[FactorStock],MATCH(tblMovimientos[[#This Row],[Tipo]],tblTiposMov[Tipo],0)),0))</f>
        <v/>
      </c>
      <c r="K21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7" s="37"/>
      <c r="O2177" s="37"/>
      <c r="P2177" s="37"/>
    </row>
    <row r="2178" spans="2:16" x14ac:dyDescent="0.25">
      <c r="B21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8" s="46"/>
      <c r="D2178" s="37"/>
      <c r="E2178" s="37"/>
      <c r="F2178" s="37"/>
      <c r="G2178" s="40" t="str">
        <f>IF(tblMovimientos[[#This Row],[Producto]]="","",TRIM(LEFT(tblMovimientos[[#This Row],[Producto]],FIND(" · ",tblMovimientos[[#This Row],[Producto]]&amp;" · ")-1)))</f>
        <v/>
      </c>
      <c r="H2178" s="40" t="str">
        <f>IF(tblMovimientos[[#This Row],[SKU]]="","",IFERROR(INDEX(tblProductos[Unidad],MATCH(tblMovimientos[[#This Row],[SKU]],tblProductos[SKU],0)),"?"))</f>
        <v/>
      </c>
      <c r="I2178" s="39"/>
      <c r="J2178" s="47" t="str">
        <f>IF(tblMovimientos[[#This Row],[Tipo]]="","",IFERROR(INDEX(tblTiposMov[FactorStock],MATCH(tblMovimientos[[#This Row],[Tipo]],tblTiposMov[Tipo],0)),0))</f>
        <v/>
      </c>
      <c r="K21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8" s="37"/>
      <c r="O2178" s="37"/>
      <c r="P2178" s="37"/>
    </row>
    <row r="2179" spans="2:16" x14ac:dyDescent="0.25">
      <c r="B21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79" s="46"/>
      <c r="D2179" s="37"/>
      <c r="E2179" s="37"/>
      <c r="F2179" s="37"/>
      <c r="G2179" s="40" t="str">
        <f>IF(tblMovimientos[[#This Row],[Producto]]="","",TRIM(LEFT(tblMovimientos[[#This Row],[Producto]],FIND(" · ",tblMovimientos[[#This Row],[Producto]]&amp;" · ")-1)))</f>
        <v/>
      </c>
      <c r="H2179" s="40" t="str">
        <f>IF(tblMovimientos[[#This Row],[SKU]]="","",IFERROR(INDEX(tblProductos[Unidad],MATCH(tblMovimientos[[#This Row],[SKU]],tblProductos[SKU],0)),"?"))</f>
        <v/>
      </c>
      <c r="I2179" s="39"/>
      <c r="J2179" s="47" t="str">
        <f>IF(tblMovimientos[[#This Row],[Tipo]]="","",IFERROR(INDEX(tblTiposMov[FactorStock],MATCH(tblMovimientos[[#This Row],[Tipo]],tblTiposMov[Tipo],0)),0))</f>
        <v/>
      </c>
      <c r="K21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79" s="37"/>
      <c r="O2179" s="37"/>
      <c r="P2179" s="37"/>
    </row>
    <row r="2180" spans="2:16" x14ac:dyDescent="0.25">
      <c r="B21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0" s="46"/>
      <c r="D2180" s="37"/>
      <c r="E2180" s="37"/>
      <c r="F2180" s="37"/>
      <c r="G2180" s="40" t="str">
        <f>IF(tblMovimientos[[#This Row],[Producto]]="","",TRIM(LEFT(tblMovimientos[[#This Row],[Producto]],FIND(" · ",tblMovimientos[[#This Row],[Producto]]&amp;" · ")-1)))</f>
        <v/>
      </c>
      <c r="H2180" s="40" t="str">
        <f>IF(tblMovimientos[[#This Row],[SKU]]="","",IFERROR(INDEX(tblProductos[Unidad],MATCH(tblMovimientos[[#This Row],[SKU]],tblProductos[SKU],0)),"?"))</f>
        <v/>
      </c>
      <c r="I2180" s="39"/>
      <c r="J2180" s="47" t="str">
        <f>IF(tblMovimientos[[#This Row],[Tipo]]="","",IFERROR(INDEX(tblTiposMov[FactorStock],MATCH(tblMovimientos[[#This Row],[Tipo]],tblTiposMov[Tipo],0)),0))</f>
        <v/>
      </c>
      <c r="K21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0" s="37"/>
      <c r="O2180" s="37"/>
      <c r="P2180" s="37"/>
    </row>
    <row r="2181" spans="2:16" x14ac:dyDescent="0.25">
      <c r="B21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1" s="46"/>
      <c r="D2181" s="37"/>
      <c r="E2181" s="37"/>
      <c r="F2181" s="37"/>
      <c r="G2181" s="40" t="str">
        <f>IF(tblMovimientos[[#This Row],[Producto]]="","",TRIM(LEFT(tblMovimientos[[#This Row],[Producto]],FIND(" · ",tblMovimientos[[#This Row],[Producto]]&amp;" · ")-1)))</f>
        <v/>
      </c>
      <c r="H2181" s="40" t="str">
        <f>IF(tblMovimientos[[#This Row],[SKU]]="","",IFERROR(INDEX(tblProductos[Unidad],MATCH(tblMovimientos[[#This Row],[SKU]],tblProductos[SKU],0)),"?"))</f>
        <v/>
      </c>
      <c r="I2181" s="39"/>
      <c r="J2181" s="47" t="str">
        <f>IF(tblMovimientos[[#This Row],[Tipo]]="","",IFERROR(INDEX(tblTiposMov[FactorStock],MATCH(tblMovimientos[[#This Row],[Tipo]],tblTiposMov[Tipo],0)),0))</f>
        <v/>
      </c>
      <c r="K21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1" s="37"/>
      <c r="O2181" s="37"/>
      <c r="P2181" s="37"/>
    </row>
    <row r="2182" spans="2:16" x14ac:dyDescent="0.25">
      <c r="B21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2" s="46"/>
      <c r="D2182" s="37"/>
      <c r="E2182" s="37"/>
      <c r="F2182" s="37"/>
      <c r="G2182" s="40" t="str">
        <f>IF(tblMovimientos[[#This Row],[Producto]]="","",TRIM(LEFT(tblMovimientos[[#This Row],[Producto]],FIND(" · ",tblMovimientos[[#This Row],[Producto]]&amp;" · ")-1)))</f>
        <v/>
      </c>
      <c r="H2182" s="40" t="str">
        <f>IF(tblMovimientos[[#This Row],[SKU]]="","",IFERROR(INDEX(tblProductos[Unidad],MATCH(tblMovimientos[[#This Row],[SKU]],tblProductos[SKU],0)),"?"))</f>
        <v/>
      </c>
      <c r="I2182" s="39"/>
      <c r="J2182" s="47" t="str">
        <f>IF(tblMovimientos[[#This Row],[Tipo]]="","",IFERROR(INDEX(tblTiposMov[FactorStock],MATCH(tblMovimientos[[#This Row],[Tipo]],tblTiposMov[Tipo],0)),0))</f>
        <v/>
      </c>
      <c r="K21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2" s="37"/>
      <c r="O2182" s="37"/>
      <c r="P2182" s="37"/>
    </row>
    <row r="2183" spans="2:16" x14ac:dyDescent="0.25">
      <c r="B21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3" s="46"/>
      <c r="D2183" s="37"/>
      <c r="E2183" s="37"/>
      <c r="F2183" s="37"/>
      <c r="G2183" s="40" t="str">
        <f>IF(tblMovimientos[[#This Row],[Producto]]="","",TRIM(LEFT(tblMovimientos[[#This Row],[Producto]],FIND(" · ",tblMovimientos[[#This Row],[Producto]]&amp;" · ")-1)))</f>
        <v/>
      </c>
      <c r="H2183" s="40" t="str">
        <f>IF(tblMovimientos[[#This Row],[SKU]]="","",IFERROR(INDEX(tblProductos[Unidad],MATCH(tblMovimientos[[#This Row],[SKU]],tblProductos[SKU],0)),"?"))</f>
        <v/>
      </c>
      <c r="I2183" s="39"/>
      <c r="J2183" s="47" t="str">
        <f>IF(tblMovimientos[[#This Row],[Tipo]]="","",IFERROR(INDEX(tblTiposMov[FactorStock],MATCH(tblMovimientos[[#This Row],[Tipo]],tblTiposMov[Tipo],0)),0))</f>
        <v/>
      </c>
      <c r="K21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3" s="37"/>
      <c r="O2183" s="37"/>
      <c r="P2183" s="37"/>
    </row>
    <row r="2184" spans="2:16" x14ac:dyDescent="0.25">
      <c r="B21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4" s="46"/>
      <c r="D2184" s="37"/>
      <c r="E2184" s="37"/>
      <c r="F2184" s="37"/>
      <c r="G2184" s="40" t="str">
        <f>IF(tblMovimientos[[#This Row],[Producto]]="","",TRIM(LEFT(tblMovimientos[[#This Row],[Producto]],FIND(" · ",tblMovimientos[[#This Row],[Producto]]&amp;" · ")-1)))</f>
        <v/>
      </c>
      <c r="H2184" s="40" t="str">
        <f>IF(tblMovimientos[[#This Row],[SKU]]="","",IFERROR(INDEX(tblProductos[Unidad],MATCH(tblMovimientos[[#This Row],[SKU]],tblProductos[SKU],0)),"?"))</f>
        <v/>
      </c>
      <c r="I2184" s="39"/>
      <c r="J2184" s="47" t="str">
        <f>IF(tblMovimientos[[#This Row],[Tipo]]="","",IFERROR(INDEX(tblTiposMov[FactorStock],MATCH(tblMovimientos[[#This Row],[Tipo]],tblTiposMov[Tipo],0)),0))</f>
        <v/>
      </c>
      <c r="K21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4" s="37"/>
      <c r="O2184" s="37"/>
      <c r="P2184" s="37"/>
    </row>
    <row r="2185" spans="2:16" x14ac:dyDescent="0.25">
      <c r="B21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5" s="46"/>
      <c r="D2185" s="37"/>
      <c r="E2185" s="37"/>
      <c r="F2185" s="37"/>
      <c r="G2185" s="40" t="str">
        <f>IF(tblMovimientos[[#This Row],[Producto]]="","",TRIM(LEFT(tblMovimientos[[#This Row],[Producto]],FIND(" · ",tblMovimientos[[#This Row],[Producto]]&amp;" · ")-1)))</f>
        <v/>
      </c>
      <c r="H2185" s="40" t="str">
        <f>IF(tblMovimientos[[#This Row],[SKU]]="","",IFERROR(INDEX(tblProductos[Unidad],MATCH(tblMovimientos[[#This Row],[SKU]],tblProductos[SKU],0)),"?"))</f>
        <v/>
      </c>
      <c r="I2185" s="39"/>
      <c r="J2185" s="47" t="str">
        <f>IF(tblMovimientos[[#This Row],[Tipo]]="","",IFERROR(INDEX(tblTiposMov[FactorStock],MATCH(tblMovimientos[[#This Row],[Tipo]],tblTiposMov[Tipo],0)),0))</f>
        <v/>
      </c>
      <c r="K21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5" s="37"/>
      <c r="O2185" s="37"/>
      <c r="P2185" s="37"/>
    </row>
    <row r="2186" spans="2:16" x14ac:dyDescent="0.25">
      <c r="B21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6" s="46"/>
      <c r="D2186" s="37"/>
      <c r="E2186" s="37"/>
      <c r="F2186" s="37"/>
      <c r="G2186" s="40" t="str">
        <f>IF(tblMovimientos[[#This Row],[Producto]]="","",TRIM(LEFT(tblMovimientos[[#This Row],[Producto]],FIND(" · ",tblMovimientos[[#This Row],[Producto]]&amp;" · ")-1)))</f>
        <v/>
      </c>
      <c r="H2186" s="40" t="str">
        <f>IF(tblMovimientos[[#This Row],[SKU]]="","",IFERROR(INDEX(tblProductos[Unidad],MATCH(tblMovimientos[[#This Row],[SKU]],tblProductos[SKU],0)),"?"))</f>
        <v/>
      </c>
      <c r="I2186" s="39"/>
      <c r="J2186" s="47" t="str">
        <f>IF(tblMovimientos[[#This Row],[Tipo]]="","",IFERROR(INDEX(tblTiposMov[FactorStock],MATCH(tblMovimientos[[#This Row],[Tipo]],tblTiposMov[Tipo],0)),0))</f>
        <v/>
      </c>
      <c r="K21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6" s="37"/>
      <c r="O2186" s="37"/>
      <c r="P2186" s="37"/>
    </row>
    <row r="2187" spans="2:16" x14ac:dyDescent="0.25">
      <c r="B21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7" s="46"/>
      <c r="D2187" s="37"/>
      <c r="E2187" s="37"/>
      <c r="F2187" s="37"/>
      <c r="G2187" s="40" t="str">
        <f>IF(tblMovimientos[[#This Row],[Producto]]="","",TRIM(LEFT(tblMovimientos[[#This Row],[Producto]],FIND(" · ",tblMovimientos[[#This Row],[Producto]]&amp;" · ")-1)))</f>
        <v/>
      </c>
      <c r="H2187" s="40" t="str">
        <f>IF(tblMovimientos[[#This Row],[SKU]]="","",IFERROR(INDEX(tblProductos[Unidad],MATCH(tblMovimientos[[#This Row],[SKU]],tblProductos[SKU],0)),"?"))</f>
        <v/>
      </c>
      <c r="I2187" s="39"/>
      <c r="J2187" s="47" t="str">
        <f>IF(tblMovimientos[[#This Row],[Tipo]]="","",IFERROR(INDEX(tblTiposMov[FactorStock],MATCH(tblMovimientos[[#This Row],[Tipo]],tblTiposMov[Tipo],0)),0))</f>
        <v/>
      </c>
      <c r="K21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7" s="37"/>
      <c r="O2187" s="37"/>
      <c r="P2187" s="37"/>
    </row>
    <row r="2188" spans="2:16" x14ac:dyDescent="0.25">
      <c r="B21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8" s="46"/>
      <c r="D2188" s="37"/>
      <c r="E2188" s="37"/>
      <c r="F2188" s="37"/>
      <c r="G2188" s="40" t="str">
        <f>IF(tblMovimientos[[#This Row],[Producto]]="","",TRIM(LEFT(tblMovimientos[[#This Row],[Producto]],FIND(" · ",tblMovimientos[[#This Row],[Producto]]&amp;" · ")-1)))</f>
        <v/>
      </c>
      <c r="H2188" s="40" t="str">
        <f>IF(tblMovimientos[[#This Row],[SKU]]="","",IFERROR(INDEX(tblProductos[Unidad],MATCH(tblMovimientos[[#This Row],[SKU]],tblProductos[SKU],0)),"?"))</f>
        <v/>
      </c>
      <c r="I2188" s="39"/>
      <c r="J2188" s="47" t="str">
        <f>IF(tblMovimientos[[#This Row],[Tipo]]="","",IFERROR(INDEX(tblTiposMov[FactorStock],MATCH(tblMovimientos[[#This Row],[Tipo]],tblTiposMov[Tipo],0)),0))</f>
        <v/>
      </c>
      <c r="K21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8" s="37"/>
      <c r="O2188" s="37"/>
      <c r="P2188" s="37"/>
    </row>
    <row r="2189" spans="2:16" x14ac:dyDescent="0.25">
      <c r="B21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89" s="46"/>
      <c r="D2189" s="37"/>
      <c r="E2189" s="37"/>
      <c r="F2189" s="37"/>
      <c r="G2189" s="40" t="str">
        <f>IF(tblMovimientos[[#This Row],[Producto]]="","",TRIM(LEFT(tblMovimientos[[#This Row],[Producto]],FIND(" · ",tblMovimientos[[#This Row],[Producto]]&amp;" · ")-1)))</f>
        <v/>
      </c>
      <c r="H2189" s="40" t="str">
        <f>IF(tblMovimientos[[#This Row],[SKU]]="","",IFERROR(INDEX(tblProductos[Unidad],MATCH(tblMovimientos[[#This Row],[SKU]],tblProductos[SKU],0)),"?"))</f>
        <v/>
      </c>
      <c r="I2189" s="39"/>
      <c r="J2189" s="47" t="str">
        <f>IF(tblMovimientos[[#This Row],[Tipo]]="","",IFERROR(INDEX(tblTiposMov[FactorStock],MATCH(tblMovimientos[[#This Row],[Tipo]],tblTiposMov[Tipo],0)),0))</f>
        <v/>
      </c>
      <c r="K21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89" s="37"/>
      <c r="O2189" s="37"/>
      <c r="P2189" s="37"/>
    </row>
    <row r="2190" spans="2:16" x14ac:dyDescent="0.25">
      <c r="B21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0" s="46"/>
      <c r="D2190" s="37"/>
      <c r="E2190" s="37"/>
      <c r="F2190" s="37"/>
      <c r="G2190" s="40" t="str">
        <f>IF(tblMovimientos[[#This Row],[Producto]]="","",TRIM(LEFT(tblMovimientos[[#This Row],[Producto]],FIND(" · ",tblMovimientos[[#This Row],[Producto]]&amp;" · ")-1)))</f>
        <v/>
      </c>
      <c r="H2190" s="40" t="str">
        <f>IF(tblMovimientos[[#This Row],[SKU]]="","",IFERROR(INDEX(tblProductos[Unidad],MATCH(tblMovimientos[[#This Row],[SKU]],tblProductos[SKU],0)),"?"))</f>
        <v/>
      </c>
      <c r="I2190" s="39"/>
      <c r="J2190" s="47" t="str">
        <f>IF(tblMovimientos[[#This Row],[Tipo]]="","",IFERROR(INDEX(tblTiposMov[FactorStock],MATCH(tblMovimientos[[#This Row],[Tipo]],tblTiposMov[Tipo],0)),0))</f>
        <v/>
      </c>
      <c r="K21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0" s="37"/>
      <c r="O2190" s="37"/>
      <c r="P2190" s="37"/>
    </row>
    <row r="2191" spans="2:16" x14ac:dyDescent="0.25">
      <c r="B21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1" s="46"/>
      <c r="D2191" s="37"/>
      <c r="E2191" s="37"/>
      <c r="F2191" s="37"/>
      <c r="G2191" s="40" t="str">
        <f>IF(tblMovimientos[[#This Row],[Producto]]="","",TRIM(LEFT(tblMovimientos[[#This Row],[Producto]],FIND(" · ",tblMovimientos[[#This Row],[Producto]]&amp;" · ")-1)))</f>
        <v/>
      </c>
      <c r="H2191" s="40" t="str">
        <f>IF(tblMovimientos[[#This Row],[SKU]]="","",IFERROR(INDEX(tblProductos[Unidad],MATCH(tblMovimientos[[#This Row],[SKU]],tblProductos[SKU],0)),"?"))</f>
        <v/>
      </c>
      <c r="I2191" s="39"/>
      <c r="J2191" s="47" t="str">
        <f>IF(tblMovimientos[[#This Row],[Tipo]]="","",IFERROR(INDEX(tblTiposMov[FactorStock],MATCH(tblMovimientos[[#This Row],[Tipo]],tblTiposMov[Tipo],0)),0))</f>
        <v/>
      </c>
      <c r="K21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1" s="37"/>
      <c r="O2191" s="37"/>
      <c r="P2191" s="37"/>
    </row>
    <row r="2192" spans="2:16" x14ac:dyDescent="0.25">
      <c r="B21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2" s="46"/>
      <c r="D2192" s="37"/>
      <c r="E2192" s="37"/>
      <c r="F2192" s="37"/>
      <c r="G2192" s="40" t="str">
        <f>IF(tblMovimientos[[#This Row],[Producto]]="","",TRIM(LEFT(tblMovimientos[[#This Row],[Producto]],FIND(" · ",tblMovimientos[[#This Row],[Producto]]&amp;" · ")-1)))</f>
        <v/>
      </c>
      <c r="H2192" s="40" t="str">
        <f>IF(tblMovimientos[[#This Row],[SKU]]="","",IFERROR(INDEX(tblProductos[Unidad],MATCH(tblMovimientos[[#This Row],[SKU]],tblProductos[SKU],0)),"?"))</f>
        <v/>
      </c>
      <c r="I2192" s="39"/>
      <c r="J2192" s="47" t="str">
        <f>IF(tblMovimientos[[#This Row],[Tipo]]="","",IFERROR(INDEX(tblTiposMov[FactorStock],MATCH(tblMovimientos[[#This Row],[Tipo]],tblTiposMov[Tipo],0)),0))</f>
        <v/>
      </c>
      <c r="K21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2" s="37"/>
      <c r="O2192" s="37"/>
      <c r="P2192" s="37"/>
    </row>
    <row r="2193" spans="2:16" x14ac:dyDescent="0.25">
      <c r="B21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3" s="46"/>
      <c r="D2193" s="37"/>
      <c r="E2193" s="37"/>
      <c r="F2193" s="37"/>
      <c r="G2193" s="40" t="str">
        <f>IF(tblMovimientos[[#This Row],[Producto]]="","",TRIM(LEFT(tblMovimientos[[#This Row],[Producto]],FIND(" · ",tblMovimientos[[#This Row],[Producto]]&amp;" · ")-1)))</f>
        <v/>
      </c>
      <c r="H2193" s="40" t="str">
        <f>IF(tblMovimientos[[#This Row],[SKU]]="","",IFERROR(INDEX(tblProductos[Unidad],MATCH(tblMovimientos[[#This Row],[SKU]],tblProductos[SKU],0)),"?"))</f>
        <v/>
      </c>
      <c r="I2193" s="39"/>
      <c r="J2193" s="47" t="str">
        <f>IF(tblMovimientos[[#This Row],[Tipo]]="","",IFERROR(INDEX(tblTiposMov[FactorStock],MATCH(tblMovimientos[[#This Row],[Tipo]],tblTiposMov[Tipo],0)),0))</f>
        <v/>
      </c>
      <c r="K21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3" s="37"/>
      <c r="O2193" s="37"/>
      <c r="P2193" s="37"/>
    </row>
    <row r="2194" spans="2:16" x14ac:dyDescent="0.25">
      <c r="B21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4" s="46"/>
      <c r="D2194" s="37"/>
      <c r="E2194" s="37"/>
      <c r="F2194" s="37"/>
      <c r="G2194" s="40" t="str">
        <f>IF(tblMovimientos[[#This Row],[Producto]]="","",TRIM(LEFT(tblMovimientos[[#This Row],[Producto]],FIND(" · ",tblMovimientos[[#This Row],[Producto]]&amp;" · ")-1)))</f>
        <v/>
      </c>
      <c r="H2194" s="40" t="str">
        <f>IF(tblMovimientos[[#This Row],[SKU]]="","",IFERROR(INDEX(tblProductos[Unidad],MATCH(tblMovimientos[[#This Row],[SKU]],tblProductos[SKU],0)),"?"))</f>
        <v/>
      </c>
      <c r="I2194" s="39"/>
      <c r="J2194" s="47" t="str">
        <f>IF(tblMovimientos[[#This Row],[Tipo]]="","",IFERROR(INDEX(tblTiposMov[FactorStock],MATCH(tblMovimientos[[#This Row],[Tipo]],tblTiposMov[Tipo],0)),0))</f>
        <v/>
      </c>
      <c r="K21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4" s="37"/>
      <c r="O2194" s="37"/>
      <c r="P2194" s="37"/>
    </row>
    <row r="2195" spans="2:16" x14ac:dyDescent="0.25">
      <c r="B21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5" s="46"/>
      <c r="D2195" s="37"/>
      <c r="E2195" s="37"/>
      <c r="F2195" s="37"/>
      <c r="G2195" s="40" t="str">
        <f>IF(tblMovimientos[[#This Row],[Producto]]="","",TRIM(LEFT(tblMovimientos[[#This Row],[Producto]],FIND(" · ",tblMovimientos[[#This Row],[Producto]]&amp;" · ")-1)))</f>
        <v/>
      </c>
      <c r="H2195" s="40" t="str">
        <f>IF(tblMovimientos[[#This Row],[SKU]]="","",IFERROR(INDEX(tblProductos[Unidad],MATCH(tblMovimientos[[#This Row],[SKU]],tblProductos[SKU],0)),"?"))</f>
        <v/>
      </c>
      <c r="I2195" s="39"/>
      <c r="J2195" s="47" t="str">
        <f>IF(tblMovimientos[[#This Row],[Tipo]]="","",IFERROR(INDEX(tblTiposMov[FactorStock],MATCH(tblMovimientos[[#This Row],[Tipo]],tblTiposMov[Tipo],0)),0))</f>
        <v/>
      </c>
      <c r="K21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5" s="37"/>
      <c r="O2195" s="37"/>
      <c r="P2195" s="37"/>
    </row>
    <row r="2196" spans="2:16" x14ac:dyDescent="0.25">
      <c r="B21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6" s="46"/>
      <c r="D2196" s="37"/>
      <c r="E2196" s="37"/>
      <c r="F2196" s="37"/>
      <c r="G2196" s="40" t="str">
        <f>IF(tblMovimientos[[#This Row],[Producto]]="","",TRIM(LEFT(tblMovimientos[[#This Row],[Producto]],FIND(" · ",tblMovimientos[[#This Row],[Producto]]&amp;" · ")-1)))</f>
        <v/>
      </c>
      <c r="H2196" s="40" t="str">
        <f>IF(tblMovimientos[[#This Row],[SKU]]="","",IFERROR(INDEX(tblProductos[Unidad],MATCH(tblMovimientos[[#This Row],[SKU]],tblProductos[SKU],0)),"?"))</f>
        <v/>
      </c>
      <c r="I2196" s="39"/>
      <c r="J2196" s="47" t="str">
        <f>IF(tblMovimientos[[#This Row],[Tipo]]="","",IFERROR(INDEX(tblTiposMov[FactorStock],MATCH(tblMovimientos[[#This Row],[Tipo]],tblTiposMov[Tipo],0)),0))</f>
        <v/>
      </c>
      <c r="K21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6" s="37"/>
      <c r="O2196" s="37"/>
      <c r="P2196" s="37"/>
    </row>
    <row r="2197" spans="2:16" x14ac:dyDescent="0.25">
      <c r="B21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7" s="46"/>
      <c r="D2197" s="37"/>
      <c r="E2197" s="37"/>
      <c r="F2197" s="37"/>
      <c r="G2197" s="40" t="str">
        <f>IF(tblMovimientos[[#This Row],[Producto]]="","",TRIM(LEFT(tblMovimientos[[#This Row],[Producto]],FIND(" · ",tblMovimientos[[#This Row],[Producto]]&amp;" · ")-1)))</f>
        <v/>
      </c>
      <c r="H2197" s="40" t="str">
        <f>IF(tblMovimientos[[#This Row],[SKU]]="","",IFERROR(INDEX(tblProductos[Unidad],MATCH(tblMovimientos[[#This Row],[SKU]],tblProductos[SKU],0)),"?"))</f>
        <v/>
      </c>
      <c r="I2197" s="39"/>
      <c r="J2197" s="47" t="str">
        <f>IF(tblMovimientos[[#This Row],[Tipo]]="","",IFERROR(INDEX(tblTiposMov[FactorStock],MATCH(tblMovimientos[[#This Row],[Tipo]],tblTiposMov[Tipo],0)),0))</f>
        <v/>
      </c>
      <c r="K21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7" s="37"/>
      <c r="O2197" s="37"/>
      <c r="P2197" s="37"/>
    </row>
    <row r="2198" spans="2:16" x14ac:dyDescent="0.25">
      <c r="B21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8" s="46"/>
      <c r="D2198" s="37"/>
      <c r="E2198" s="37"/>
      <c r="F2198" s="37"/>
      <c r="G2198" s="40" t="str">
        <f>IF(tblMovimientos[[#This Row],[Producto]]="","",TRIM(LEFT(tblMovimientos[[#This Row],[Producto]],FIND(" · ",tblMovimientos[[#This Row],[Producto]]&amp;" · ")-1)))</f>
        <v/>
      </c>
      <c r="H2198" s="40" t="str">
        <f>IF(tblMovimientos[[#This Row],[SKU]]="","",IFERROR(INDEX(tblProductos[Unidad],MATCH(tblMovimientos[[#This Row],[SKU]],tblProductos[SKU],0)),"?"))</f>
        <v/>
      </c>
      <c r="I2198" s="39"/>
      <c r="J2198" s="47" t="str">
        <f>IF(tblMovimientos[[#This Row],[Tipo]]="","",IFERROR(INDEX(tblTiposMov[FactorStock],MATCH(tblMovimientos[[#This Row],[Tipo]],tblTiposMov[Tipo],0)),0))</f>
        <v/>
      </c>
      <c r="K21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8" s="37"/>
      <c r="O2198" s="37"/>
      <c r="P2198" s="37"/>
    </row>
    <row r="2199" spans="2:16" x14ac:dyDescent="0.25">
      <c r="B21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199" s="46"/>
      <c r="D2199" s="37"/>
      <c r="E2199" s="37"/>
      <c r="F2199" s="37"/>
      <c r="G2199" s="40" t="str">
        <f>IF(tblMovimientos[[#This Row],[Producto]]="","",TRIM(LEFT(tblMovimientos[[#This Row],[Producto]],FIND(" · ",tblMovimientos[[#This Row],[Producto]]&amp;" · ")-1)))</f>
        <v/>
      </c>
      <c r="H2199" s="40" t="str">
        <f>IF(tblMovimientos[[#This Row],[SKU]]="","",IFERROR(INDEX(tblProductos[Unidad],MATCH(tblMovimientos[[#This Row],[SKU]],tblProductos[SKU],0)),"?"))</f>
        <v/>
      </c>
      <c r="I2199" s="39"/>
      <c r="J2199" s="47" t="str">
        <f>IF(tblMovimientos[[#This Row],[Tipo]]="","",IFERROR(INDEX(tblTiposMov[FactorStock],MATCH(tblMovimientos[[#This Row],[Tipo]],tblTiposMov[Tipo],0)),0))</f>
        <v/>
      </c>
      <c r="K21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1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199" s="37"/>
      <c r="O2199" s="37"/>
      <c r="P2199" s="37"/>
    </row>
    <row r="2200" spans="2:16" x14ac:dyDescent="0.25">
      <c r="B22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0" s="46"/>
      <c r="D2200" s="37"/>
      <c r="E2200" s="37"/>
      <c r="F2200" s="37"/>
      <c r="G2200" s="40" t="str">
        <f>IF(tblMovimientos[[#This Row],[Producto]]="","",TRIM(LEFT(tblMovimientos[[#This Row],[Producto]],FIND(" · ",tblMovimientos[[#This Row],[Producto]]&amp;" · ")-1)))</f>
        <v/>
      </c>
      <c r="H2200" s="40" t="str">
        <f>IF(tblMovimientos[[#This Row],[SKU]]="","",IFERROR(INDEX(tblProductos[Unidad],MATCH(tblMovimientos[[#This Row],[SKU]],tblProductos[SKU],0)),"?"))</f>
        <v/>
      </c>
      <c r="I2200" s="39"/>
      <c r="J2200" s="47" t="str">
        <f>IF(tblMovimientos[[#This Row],[Tipo]]="","",IFERROR(INDEX(tblTiposMov[FactorStock],MATCH(tblMovimientos[[#This Row],[Tipo]],tblTiposMov[Tipo],0)),0))</f>
        <v/>
      </c>
      <c r="K22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0" s="37"/>
      <c r="O2200" s="37"/>
      <c r="P2200" s="37"/>
    </row>
    <row r="2201" spans="2:16" x14ac:dyDescent="0.25">
      <c r="B22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1" s="46"/>
      <c r="D2201" s="37"/>
      <c r="E2201" s="37"/>
      <c r="F2201" s="37"/>
      <c r="G2201" s="40" t="str">
        <f>IF(tblMovimientos[[#This Row],[Producto]]="","",TRIM(LEFT(tblMovimientos[[#This Row],[Producto]],FIND(" · ",tblMovimientos[[#This Row],[Producto]]&amp;" · ")-1)))</f>
        <v/>
      </c>
      <c r="H2201" s="40" t="str">
        <f>IF(tblMovimientos[[#This Row],[SKU]]="","",IFERROR(INDEX(tblProductos[Unidad],MATCH(tblMovimientos[[#This Row],[SKU]],tblProductos[SKU],0)),"?"))</f>
        <v/>
      </c>
      <c r="I2201" s="39"/>
      <c r="J2201" s="47" t="str">
        <f>IF(tblMovimientos[[#This Row],[Tipo]]="","",IFERROR(INDEX(tblTiposMov[FactorStock],MATCH(tblMovimientos[[#This Row],[Tipo]],tblTiposMov[Tipo],0)),0))</f>
        <v/>
      </c>
      <c r="K22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1" s="37"/>
      <c r="O2201" s="37"/>
      <c r="P2201" s="37"/>
    </row>
    <row r="2202" spans="2:16" x14ac:dyDescent="0.25">
      <c r="B22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2" s="46"/>
      <c r="D2202" s="37"/>
      <c r="E2202" s="37"/>
      <c r="F2202" s="37"/>
      <c r="G2202" s="40" t="str">
        <f>IF(tblMovimientos[[#This Row],[Producto]]="","",TRIM(LEFT(tblMovimientos[[#This Row],[Producto]],FIND(" · ",tblMovimientos[[#This Row],[Producto]]&amp;" · ")-1)))</f>
        <v/>
      </c>
      <c r="H2202" s="40" t="str">
        <f>IF(tblMovimientos[[#This Row],[SKU]]="","",IFERROR(INDEX(tblProductos[Unidad],MATCH(tblMovimientos[[#This Row],[SKU]],tblProductos[SKU],0)),"?"))</f>
        <v/>
      </c>
      <c r="I2202" s="39"/>
      <c r="J2202" s="47" t="str">
        <f>IF(tblMovimientos[[#This Row],[Tipo]]="","",IFERROR(INDEX(tblTiposMov[FactorStock],MATCH(tblMovimientos[[#This Row],[Tipo]],tblTiposMov[Tipo],0)),0))</f>
        <v/>
      </c>
      <c r="K22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2" s="37"/>
      <c r="O2202" s="37"/>
      <c r="P2202" s="37"/>
    </row>
    <row r="2203" spans="2:16" x14ac:dyDescent="0.25">
      <c r="B22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3" s="46"/>
      <c r="D2203" s="37"/>
      <c r="E2203" s="37"/>
      <c r="F2203" s="37"/>
      <c r="G2203" s="40" t="str">
        <f>IF(tblMovimientos[[#This Row],[Producto]]="","",TRIM(LEFT(tblMovimientos[[#This Row],[Producto]],FIND(" · ",tblMovimientos[[#This Row],[Producto]]&amp;" · ")-1)))</f>
        <v/>
      </c>
      <c r="H2203" s="40" t="str">
        <f>IF(tblMovimientos[[#This Row],[SKU]]="","",IFERROR(INDEX(tblProductos[Unidad],MATCH(tblMovimientos[[#This Row],[SKU]],tblProductos[SKU],0)),"?"))</f>
        <v/>
      </c>
      <c r="I2203" s="39"/>
      <c r="J2203" s="47" t="str">
        <f>IF(tblMovimientos[[#This Row],[Tipo]]="","",IFERROR(INDEX(tblTiposMov[FactorStock],MATCH(tblMovimientos[[#This Row],[Tipo]],tblTiposMov[Tipo],0)),0))</f>
        <v/>
      </c>
      <c r="K22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3" s="37"/>
      <c r="O2203" s="37"/>
      <c r="P2203" s="37"/>
    </row>
    <row r="2204" spans="2:16" x14ac:dyDescent="0.25">
      <c r="B22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4" s="46"/>
      <c r="D2204" s="37"/>
      <c r="E2204" s="37"/>
      <c r="F2204" s="37"/>
      <c r="G2204" s="40" t="str">
        <f>IF(tblMovimientos[[#This Row],[Producto]]="","",TRIM(LEFT(tblMovimientos[[#This Row],[Producto]],FIND(" · ",tblMovimientos[[#This Row],[Producto]]&amp;" · ")-1)))</f>
        <v/>
      </c>
      <c r="H2204" s="40" t="str">
        <f>IF(tblMovimientos[[#This Row],[SKU]]="","",IFERROR(INDEX(tblProductos[Unidad],MATCH(tblMovimientos[[#This Row],[SKU]],tblProductos[SKU],0)),"?"))</f>
        <v/>
      </c>
      <c r="I2204" s="39"/>
      <c r="J2204" s="47" t="str">
        <f>IF(tblMovimientos[[#This Row],[Tipo]]="","",IFERROR(INDEX(tblTiposMov[FactorStock],MATCH(tblMovimientos[[#This Row],[Tipo]],tblTiposMov[Tipo],0)),0))</f>
        <v/>
      </c>
      <c r="K22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4" s="37"/>
      <c r="O2204" s="37"/>
      <c r="P2204" s="37"/>
    </row>
    <row r="2205" spans="2:16" x14ac:dyDescent="0.25">
      <c r="B22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5" s="46"/>
      <c r="D2205" s="37"/>
      <c r="E2205" s="37"/>
      <c r="F2205" s="37"/>
      <c r="G2205" s="40" t="str">
        <f>IF(tblMovimientos[[#This Row],[Producto]]="","",TRIM(LEFT(tblMovimientos[[#This Row],[Producto]],FIND(" · ",tblMovimientos[[#This Row],[Producto]]&amp;" · ")-1)))</f>
        <v/>
      </c>
      <c r="H2205" s="40" t="str">
        <f>IF(tblMovimientos[[#This Row],[SKU]]="","",IFERROR(INDEX(tblProductos[Unidad],MATCH(tblMovimientos[[#This Row],[SKU]],tblProductos[SKU],0)),"?"))</f>
        <v/>
      </c>
      <c r="I2205" s="39"/>
      <c r="J2205" s="47" t="str">
        <f>IF(tblMovimientos[[#This Row],[Tipo]]="","",IFERROR(INDEX(tblTiposMov[FactorStock],MATCH(tblMovimientos[[#This Row],[Tipo]],tblTiposMov[Tipo],0)),0))</f>
        <v/>
      </c>
      <c r="K22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5" s="37"/>
      <c r="O2205" s="37"/>
      <c r="P2205" s="37"/>
    </row>
    <row r="2206" spans="2:16" x14ac:dyDescent="0.25">
      <c r="B22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6" s="46"/>
      <c r="D2206" s="37"/>
      <c r="E2206" s="37"/>
      <c r="F2206" s="37"/>
      <c r="G2206" s="40" t="str">
        <f>IF(tblMovimientos[[#This Row],[Producto]]="","",TRIM(LEFT(tblMovimientos[[#This Row],[Producto]],FIND(" · ",tblMovimientos[[#This Row],[Producto]]&amp;" · ")-1)))</f>
        <v/>
      </c>
      <c r="H2206" s="40" t="str">
        <f>IF(tblMovimientos[[#This Row],[SKU]]="","",IFERROR(INDEX(tblProductos[Unidad],MATCH(tblMovimientos[[#This Row],[SKU]],tblProductos[SKU],0)),"?"))</f>
        <v/>
      </c>
      <c r="I2206" s="39"/>
      <c r="J2206" s="47" t="str">
        <f>IF(tblMovimientos[[#This Row],[Tipo]]="","",IFERROR(INDEX(tblTiposMov[FactorStock],MATCH(tblMovimientos[[#This Row],[Tipo]],tblTiposMov[Tipo],0)),0))</f>
        <v/>
      </c>
      <c r="K22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6" s="37"/>
      <c r="O2206" s="37"/>
      <c r="P2206" s="37"/>
    </row>
    <row r="2207" spans="2:16" x14ac:dyDescent="0.25">
      <c r="B22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7" s="46"/>
      <c r="D2207" s="37"/>
      <c r="E2207" s="37"/>
      <c r="F2207" s="37"/>
      <c r="G2207" s="40" t="str">
        <f>IF(tblMovimientos[[#This Row],[Producto]]="","",TRIM(LEFT(tblMovimientos[[#This Row],[Producto]],FIND(" · ",tblMovimientos[[#This Row],[Producto]]&amp;" · ")-1)))</f>
        <v/>
      </c>
      <c r="H2207" s="40" t="str">
        <f>IF(tblMovimientos[[#This Row],[SKU]]="","",IFERROR(INDEX(tblProductos[Unidad],MATCH(tblMovimientos[[#This Row],[SKU]],tblProductos[SKU],0)),"?"))</f>
        <v/>
      </c>
      <c r="I2207" s="39"/>
      <c r="J2207" s="47" t="str">
        <f>IF(tblMovimientos[[#This Row],[Tipo]]="","",IFERROR(INDEX(tblTiposMov[FactorStock],MATCH(tblMovimientos[[#This Row],[Tipo]],tblTiposMov[Tipo],0)),0))</f>
        <v/>
      </c>
      <c r="K22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7" s="37"/>
      <c r="O2207" s="37"/>
      <c r="P2207" s="37"/>
    </row>
    <row r="2208" spans="2:16" x14ac:dyDescent="0.25">
      <c r="B22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8" s="46"/>
      <c r="D2208" s="37"/>
      <c r="E2208" s="37"/>
      <c r="F2208" s="37"/>
      <c r="G2208" s="40" t="str">
        <f>IF(tblMovimientos[[#This Row],[Producto]]="","",TRIM(LEFT(tblMovimientos[[#This Row],[Producto]],FIND(" · ",tblMovimientos[[#This Row],[Producto]]&amp;" · ")-1)))</f>
        <v/>
      </c>
      <c r="H2208" s="40" t="str">
        <f>IF(tblMovimientos[[#This Row],[SKU]]="","",IFERROR(INDEX(tblProductos[Unidad],MATCH(tblMovimientos[[#This Row],[SKU]],tblProductos[SKU],0)),"?"))</f>
        <v/>
      </c>
      <c r="I2208" s="39"/>
      <c r="J2208" s="47" t="str">
        <f>IF(tblMovimientos[[#This Row],[Tipo]]="","",IFERROR(INDEX(tblTiposMov[FactorStock],MATCH(tblMovimientos[[#This Row],[Tipo]],tblTiposMov[Tipo],0)),0))</f>
        <v/>
      </c>
      <c r="K22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8" s="37"/>
      <c r="O2208" s="37"/>
      <c r="P2208" s="37"/>
    </row>
    <row r="2209" spans="2:16" x14ac:dyDescent="0.25">
      <c r="B22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09" s="46"/>
      <c r="D2209" s="37"/>
      <c r="E2209" s="37"/>
      <c r="F2209" s="37"/>
      <c r="G2209" s="40" t="str">
        <f>IF(tblMovimientos[[#This Row],[Producto]]="","",TRIM(LEFT(tblMovimientos[[#This Row],[Producto]],FIND(" · ",tblMovimientos[[#This Row],[Producto]]&amp;" · ")-1)))</f>
        <v/>
      </c>
      <c r="H2209" s="40" t="str">
        <f>IF(tblMovimientos[[#This Row],[SKU]]="","",IFERROR(INDEX(tblProductos[Unidad],MATCH(tblMovimientos[[#This Row],[SKU]],tblProductos[SKU],0)),"?"))</f>
        <v/>
      </c>
      <c r="I2209" s="39"/>
      <c r="J2209" s="47" t="str">
        <f>IF(tblMovimientos[[#This Row],[Tipo]]="","",IFERROR(INDEX(tblTiposMov[FactorStock],MATCH(tblMovimientos[[#This Row],[Tipo]],tblTiposMov[Tipo],0)),0))</f>
        <v/>
      </c>
      <c r="K22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09" s="37"/>
      <c r="O2209" s="37"/>
      <c r="P2209" s="37"/>
    </row>
    <row r="2210" spans="2:16" x14ac:dyDescent="0.25">
      <c r="B22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0" s="46"/>
      <c r="D2210" s="37"/>
      <c r="E2210" s="37"/>
      <c r="F2210" s="37"/>
      <c r="G2210" s="40" t="str">
        <f>IF(tblMovimientos[[#This Row],[Producto]]="","",TRIM(LEFT(tblMovimientos[[#This Row],[Producto]],FIND(" · ",tblMovimientos[[#This Row],[Producto]]&amp;" · ")-1)))</f>
        <v/>
      </c>
      <c r="H2210" s="40" t="str">
        <f>IF(tblMovimientos[[#This Row],[SKU]]="","",IFERROR(INDEX(tblProductos[Unidad],MATCH(tblMovimientos[[#This Row],[SKU]],tblProductos[SKU],0)),"?"))</f>
        <v/>
      </c>
      <c r="I2210" s="39"/>
      <c r="J2210" s="47" t="str">
        <f>IF(tblMovimientos[[#This Row],[Tipo]]="","",IFERROR(INDEX(tblTiposMov[FactorStock],MATCH(tblMovimientos[[#This Row],[Tipo]],tblTiposMov[Tipo],0)),0))</f>
        <v/>
      </c>
      <c r="K22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0" s="37"/>
      <c r="O2210" s="37"/>
      <c r="P2210" s="37"/>
    </row>
    <row r="2211" spans="2:16" x14ac:dyDescent="0.25">
      <c r="B22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1" s="46"/>
      <c r="D2211" s="37"/>
      <c r="E2211" s="37"/>
      <c r="F2211" s="37"/>
      <c r="G2211" s="40" t="str">
        <f>IF(tblMovimientos[[#This Row],[Producto]]="","",TRIM(LEFT(tblMovimientos[[#This Row],[Producto]],FIND(" · ",tblMovimientos[[#This Row],[Producto]]&amp;" · ")-1)))</f>
        <v/>
      </c>
      <c r="H2211" s="40" t="str">
        <f>IF(tblMovimientos[[#This Row],[SKU]]="","",IFERROR(INDEX(tblProductos[Unidad],MATCH(tblMovimientos[[#This Row],[SKU]],tblProductos[SKU],0)),"?"))</f>
        <v/>
      </c>
      <c r="I2211" s="39"/>
      <c r="J2211" s="47" t="str">
        <f>IF(tblMovimientos[[#This Row],[Tipo]]="","",IFERROR(INDEX(tblTiposMov[FactorStock],MATCH(tblMovimientos[[#This Row],[Tipo]],tblTiposMov[Tipo],0)),0))</f>
        <v/>
      </c>
      <c r="K22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1" s="37"/>
      <c r="O2211" s="37"/>
      <c r="P2211" s="37"/>
    </row>
    <row r="2212" spans="2:16" x14ac:dyDescent="0.25">
      <c r="B22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2" s="46"/>
      <c r="D2212" s="37"/>
      <c r="E2212" s="37"/>
      <c r="F2212" s="37"/>
      <c r="G2212" s="40" t="str">
        <f>IF(tblMovimientos[[#This Row],[Producto]]="","",TRIM(LEFT(tblMovimientos[[#This Row],[Producto]],FIND(" · ",tblMovimientos[[#This Row],[Producto]]&amp;" · ")-1)))</f>
        <v/>
      </c>
      <c r="H2212" s="40" t="str">
        <f>IF(tblMovimientos[[#This Row],[SKU]]="","",IFERROR(INDEX(tblProductos[Unidad],MATCH(tblMovimientos[[#This Row],[SKU]],tblProductos[SKU],0)),"?"))</f>
        <v/>
      </c>
      <c r="I2212" s="39"/>
      <c r="J2212" s="47" t="str">
        <f>IF(tblMovimientos[[#This Row],[Tipo]]="","",IFERROR(INDEX(tblTiposMov[FactorStock],MATCH(tblMovimientos[[#This Row],[Tipo]],tblTiposMov[Tipo],0)),0))</f>
        <v/>
      </c>
      <c r="K22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2" s="37"/>
      <c r="O2212" s="37"/>
      <c r="P2212" s="37"/>
    </row>
    <row r="2213" spans="2:16" x14ac:dyDescent="0.25">
      <c r="B22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3" s="46"/>
      <c r="D2213" s="37"/>
      <c r="E2213" s="37"/>
      <c r="F2213" s="37"/>
      <c r="G2213" s="40" t="str">
        <f>IF(tblMovimientos[[#This Row],[Producto]]="","",TRIM(LEFT(tblMovimientos[[#This Row],[Producto]],FIND(" · ",tblMovimientos[[#This Row],[Producto]]&amp;" · ")-1)))</f>
        <v/>
      </c>
      <c r="H2213" s="40" t="str">
        <f>IF(tblMovimientos[[#This Row],[SKU]]="","",IFERROR(INDEX(tblProductos[Unidad],MATCH(tblMovimientos[[#This Row],[SKU]],tblProductos[SKU],0)),"?"))</f>
        <v/>
      </c>
      <c r="I2213" s="39"/>
      <c r="J2213" s="47" t="str">
        <f>IF(tblMovimientos[[#This Row],[Tipo]]="","",IFERROR(INDEX(tblTiposMov[FactorStock],MATCH(tblMovimientos[[#This Row],[Tipo]],tblTiposMov[Tipo],0)),0))</f>
        <v/>
      </c>
      <c r="K22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3" s="37"/>
      <c r="O2213" s="37"/>
      <c r="P2213" s="37"/>
    </row>
    <row r="2214" spans="2:16" x14ac:dyDescent="0.25">
      <c r="B22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4" s="46"/>
      <c r="D2214" s="37"/>
      <c r="E2214" s="37"/>
      <c r="F2214" s="37"/>
      <c r="G2214" s="40" t="str">
        <f>IF(tblMovimientos[[#This Row],[Producto]]="","",TRIM(LEFT(tblMovimientos[[#This Row],[Producto]],FIND(" · ",tblMovimientos[[#This Row],[Producto]]&amp;" · ")-1)))</f>
        <v/>
      </c>
      <c r="H2214" s="40" t="str">
        <f>IF(tblMovimientos[[#This Row],[SKU]]="","",IFERROR(INDEX(tblProductos[Unidad],MATCH(tblMovimientos[[#This Row],[SKU]],tblProductos[SKU],0)),"?"))</f>
        <v/>
      </c>
      <c r="I2214" s="39"/>
      <c r="J2214" s="47" t="str">
        <f>IF(tblMovimientos[[#This Row],[Tipo]]="","",IFERROR(INDEX(tblTiposMov[FactorStock],MATCH(tblMovimientos[[#This Row],[Tipo]],tblTiposMov[Tipo],0)),0))</f>
        <v/>
      </c>
      <c r="K22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4" s="37"/>
      <c r="O2214" s="37"/>
      <c r="P2214" s="37"/>
    </row>
    <row r="2215" spans="2:16" x14ac:dyDescent="0.25">
      <c r="B22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5" s="46"/>
      <c r="D2215" s="37"/>
      <c r="E2215" s="37"/>
      <c r="F2215" s="37"/>
      <c r="G2215" s="40" t="str">
        <f>IF(tblMovimientos[[#This Row],[Producto]]="","",TRIM(LEFT(tblMovimientos[[#This Row],[Producto]],FIND(" · ",tblMovimientos[[#This Row],[Producto]]&amp;" · ")-1)))</f>
        <v/>
      </c>
      <c r="H2215" s="40" t="str">
        <f>IF(tblMovimientos[[#This Row],[SKU]]="","",IFERROR(INDEX(tblProductos[Unidad],MATCH(tblMovimientos[[#This Row],[SKU]],tblProductos[SKU],0)),"?"))</f>
        <v/>
      </c>
      <c r="I2215" s="39"/>
      <c r="J2215" s="47" t="str">
        <f>IF(tblMovimientos[[#This Row],[Tipo]]="","",IFERROR(INDEX(tblTiposMov[FactorStock],MATCH(tblMovimientos[[#This Row],[Tipo]],tblTiposMov[Tipo],0)),0))</f>
        <v/>
      </c>
      <c r="K22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5" s="37"/>
      <c r="O2215" s="37"/>
      <c r="P2215" s="37"/>
    </row>
    <row r="2216" spans="2:16" x14ac:dyDescent="0.25">
      <c r="B22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6" s="46"/>
      <c r="D2216" s="37"/>
      <c r="E2216" s="37"/>
      <c r="F2216" s="37"/>
      <c r="G2216" s="40" t="str">
        <f>IF(tblMovimientos[[#This Row],[Producto]]="","",TRIM(LEFT(tblMovimientos[[#This Row],[Producto]],FIND(" · ",tblMovimientos[[#This Row],[Producto]]&amp;" · ")-1)))</f>
        <v/>
      </c>
      <c r="H2216" s="40" t="str">
        <f>IF(tblMovimientos[[#This Row],[SKU]]="","",IFERROR(INDEX(tblProductos[Unidad],MATCH(tblMovimientos[[#This Row],[SKU]],tblProductos[SKU],0)),"?"))</f>
        <v/>
      </c>
      <c r="I2216" s="39"/>
      <c r="J2216" s="47" t="str">
        <f>IF(tblMovimientos[[#This Row],[Tipo]]="","",IFERROR(INDEX(tblTiposMov[FactorStock],MATCH(tblMovimientos[[#This Row],[Tipo]],tblTiposMov[Tipo],0)),0))</f>
        <v/>
      </c>
      <c r="K22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6" s="37"/>
      <c r="O2216" s="37"/>
      <c r="P2216" s="37"/>
    </row>
    <row r="2217" spans="2:16" x14ac:dyDescent="0.25">
      <c r="B22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7" s="46"/>
      <c r="D2217" s="37"/>
      <c r="E2217" s="37"/>
      <c r="F2217" s="37"/>
      <c r="G2217" s="40" t="str">
        <f>IF(tblMovimientos[[#This Row],[Producto]]="","",TRIM(LEFT(tblMovimientos[[#This Row],[Producto]],FIND(" · ",tblMovimientos[[#This Row],[Producto]]&amp;" · ")-1)))</f>
        <v/>
      </c>
      <c r="H2217" s="40" t="str">
        <f>IF(tblMovimientos[[#This Row],[SKU]]="","",IFERROR(INDEX(tblProductos[Unidad],MATCH(tblMovimientos[[#This Row],[SKU]],tblProductos[SKU],0)),"?"))</f>
        <v/>
      </c>
      <c r="I2217" s="39"/>
      <c r="J2217" s="47" t="str">
        <f>IF(tblMovimientos[[#This Row],[Tipo]]="","",IFERROR(INDEX(tblTiposMov[FactorStock],MATCH(tblMovimientos[[#This Row],[Tipo]],tblTiposMov[Tipo],0)),0))</f>
        <v/>
      </c>
      <c r="K22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7" s="37"/>
      <c r="O2217" s="37"/>
      <c r="P2217" s="37"/>
    </row>
    <row r="2218" spans="2:16" x14ac:dyDescent="0.25">
      <c r="B22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8" s="46"/>
      <c r="D2218" s="37"/>
      <c r="E2218" s="37"/>
      <c r="F2218" s="37"/>
      <c r="G2218" s="40" t="str">
        <f>IF(tblMovimientos[[#This Row],[Producto]]="","",TRIM(LEFT(tblMovimientos[[#This Row],[Producto]],FIND(" · ",tblMovimientos[[#This Row],[Producto]]&amp;" · ")-1)))</f>
        <v/>
      </c>
      <c r="H2218" s="40" t="str">
        <f>IF(tblMovimientos[[#This Row],[SKU]]="","",IFERROR(INDEX(tblProductos[Unidad],MATCH(tblMovimientos[[#This Row],[SKU]],tblProductos[SKU],0)),"?"))</f>
        <v/>
      </c>
      <c r="I2218" s="39"/>
      <c r="J2218" s="47" t="str">
        <f>IF(tblMovimientos[[#This Row],[Tipo]]="","",IFERROR(INDEX(tblTiposMov[FactorStock],MATCH(tblMovimientos[[#This Row],[Tipo]],tblTiposMov[Tipo],0)),0))</f>
        <v/>
      </c>
      <c r="K22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8" s="37"/>
      <c r="O2218" s="37"/>
      <c r="P2218" s="37"/>
    </row>
    <row r="2219" spans="2:16" x14ac:dyDescent="0.25">
      <c r="B22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19" s="46"/>
      <c r="D2219" s="37"/>
      <c r="E2219" s="37"/>
      <c r="F2219" s="37"/>
      <c r="G2219" s="40" t="str">
        <f>IF(tblMovimientos[[#This Row],[Producto]]="","",TRIM(LEFT(tblMovimientos[[#This Row],[Producto]],FIND(" · ",tblMovimientos[[#This Row],[Producto]]&amp;" · ")-1)))</f>
        <v/>
      </c>
      <c r="H2219" s="40" t="str">
        <f>IF(tblMovimientos[[#This Row],[SKU]]="","",IFERROR(INDEX(tblProductos[Unidad],MATCH(tblMovimientos[[#This Row],[SKU]],tblProductos[SKU],0)),"?"))</f>
        <v/>
      </c>
      <c r="I2219" s="39"/>
      <c r="J2219" s="47" t="str">
        <f>IF(tblMovimientos[[#This Row],[Tipo]]="","",IFERROR(INDEX(tblTiposMov[FactorStock],MATCH(tblMovimientos[[#This Row],[Tipo]],tblTiposMov[Tipo],0)),0))</f>
        <v/>
      </c>
      <c r="K22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19" s="37"/>
      <c r="O2219" s="37"/>
      <c r="P2219" s="37"/>
    </row>
    <row r="2220" spans="2:16" x14ac:dyDescent="0.25">
      <c r="B22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0" s="46"/>
      <c r="D2220" s="37"/>
      <c r="E2220" s="37"/>
      <c r="F2220" s="37"/>
      <c r="G2220" s="40" t="str">
        <f>IF(tblMovimientos[[#This Row],[Producto]]="","",TRIM(LEFT(tblMovimientos[[#This Row],[Producto]],FIND(" · ",tblMovimientos[[#This Row],[Producto]]&amp;" · ")-1)))</f>
        <v/>
      </c>
      <c r="H2220" s="40" t="str">
        <f>IF(tblMovimientos[[#This Row],[SKU]]="","",IFERROR(INDEX(tblProductos[Unidad],MATCH(tblMovimientos[[#This Row],[SKU]],tblProductos[SKU],0)),"?"))</f>
        <v/>
      </c>
      <c r="I2220" s="39"/>
      <c r="J2220" s="47" t="str">
        <f>IF(tblMovimientos[[#This Row],[Tipo]]="","",IFERROR(INDEX(tblTiposMov[FactorStock],MATCH(tblMovimientos[[#This Row],[Tipo]],tblTiposMov[Tipo],0)),0))</f>
        <v/>
      </c>
      <c r="K22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0" s="37"/>
      <c r="O2220" s="37"/>
      <c r="P2220" s="37"/>
    </row>
    <row r="2221" spans="2:16" x14ac:dyDescent="0.25">
      <c r="B22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1" s="46"/>
      <c r="D2221" s="37"/>
      <c r="E2221" s="37"/>
      <c r="F2221" s="37"/>
      <c r="G2221" s="40" t="str">
        <f>IF(tblMovimientos[[#This Row],[Producto]]="","",TRIM(LEFT(tblMovimientos[[#This Row],[Producto]],FIND(" · ",tblMovimientos[[#This Row],[Producto]]&amp;" · ")-1)))</f>
        <v/>
      </c>
      <c r="H2221" s="40" t="str">
        <f>IF(tblMovimientos[[#This Row],[SKU]]="","",IFERROR(INDEX(tblProductos[Unidad],MATCH(tblMovimientos[[#This Row],[SKU]],tblProductos[SKU],0)),"?"))</f>
        <v/>
      </c>
      <c r="I2221" s="39"/>
      <c r="J2221" s="47" t="str">
        <f>IF(tblMovimientos[[#This Row],[Tipo]]="","",IFERROR(INDEX(tblTiposMov[FactorStock],MATCH(tblMovimientos[[#This Row],[Tipo]],tblTiposMov[Tipo],0)),0))</f>
        <v/>
      </c>
      <c r="K22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1" s="37"/>
      <c r="O2221" s="37"/>
      <c r="P2221" s="37"/>
    </row>
    <row r="2222" spans="2:16" x14ac:dyDescent="0.25">
      <c r="B22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2" s="46"/>
      <c r="D2222" s="37"/>
      <c r="E2222" s="37"/>
      <c r="F2222" s="37"/>
      <c r="G2222" s="40" t="str">
        <f>IF(tblMovimientos[[#This Row],[Producto]]="","",TRIM(LEFT(tblMovimientos[[#This Row],[Producto]],FIND(" · ",tblMovimientos[[#This Row],[Producto]]&amp;" · ")-1)))</f>
        <v/>
      </c>
      <c r="H2222" s="40" t="str">
        <f>IF(tblMovimientos[[#This Row],[SKU]]="","",IFERROR(INDEX(tblProductos[Unidad],MATCH(tblMovimientos[[#This Row],[SKU]],tblProductos[SKU],0)),"?"))</f>
        <v/>
      </c>
      <c r="I2222" s="39"/>
      <c r="J2222" s="47" t="str">
        <f>IF(tblMovimientos[[#This Row],[Tipo]]="","",IFERROR(INDEX(tblTiposMov[FactorStock],MATCH(tblMovimientos[[#This Row],[Tipo]],tblTiposMov[Tipo],0)),0))</f>
        <v/>
      </c>
      <c r="K22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2" s="37"/>
      <c r="O2222" s="37"/>
      <c r="P2222" s="37"/>
    </row>
    <row r="2223" spans="2:16" x14ac:dyDescent="0.25">
      <c r="B22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3" s="46"/>
      <c r="D2223" s="37"/>
      <c r="E2223" s="37"/>
      <c r="F2223" s="37"/>
      <c r="G2223" s="40" t="str">
        <f>IF(tblMovimientos[[#This Row],[Producto]]="","",TRIM(LEFT(tblMovimientos[[#This Row],[Producto]],FIND(" · ",tblMovimientos[[#This Row],[Producto]]&amp;" · ")-1)))</f>
        <v/>
      </c>
      <c r="H2223" s="40" t="str">
        <f>IF(tblMovimientos[[#This Row],[SKU]]="","",IFERROR(INDEX(tblProductos[Unidad],MATCH(tblMovimientos[[#This Row],[SKU]],tblProductos[SKU],0)),"?"))</f>
        <v/>
      </c>
      <c r="I2223" s="39"/>
      <c r="J2223" s="47" t="str">
        <f>IF(tblMovimientos[[#This Row],[Tipo]]="","",IFERROR(INDEX(tblTiposMov[FactorStock],MATCH(tblMovimientos[[#This Row],[Tipo]],tblTiposMov[Tipo],0)),0))</f>
        <v/>
      </c>
      <c r="K22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3" s="37"/>
      <c r="O2223" s="37"/>
      <c r="P2223" s="37"/>
    </row>
    <row r="2224" spans="2:16" x14ac:dyDescent="0.25">
      <c r="B22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4" s="46"/>
      <c r="D2224" s="37"/>
      <c r="E2224" s="37"/>
      <c r="F2224" s="37"/>
      <c r="G2224" s="40" t="str">
        <f>IF(tblMovimientos[[#This Row],[Producto]]="","",TRIM(LEFT(tblMovimientos[[#This Row],[Producto]],FIND(" · ",tblMovimientos[[#This Row],[Producto]]&amp;" · ")-1)))</f>
        <v/>
      </c>
      <c r="H2224" s="40" t="str">
        <f>IF(tblMovimientos[[#This Row],[SKU]]="","",IFERROR(INDEX(tblProductos[Unidad],MATCH(tblMovimientos[[#This Row],[SKU]],tblProductos[SKU],0)),"?"))</f>
        <v/>
      </c>
      <c r="I2224" s="39"/>
      <c r="J2224" s="47" t="str">
        <f>IF(tblMovimientos[[#This Row],[Tipo]]="","",IFERROR(INDEX(tblTiposMov[FactorStock],MATCH(tblMovimientos[[#This Row],[Tipo]],tblTiposMov[Tipo],0)),0))</f>
        <v/>
      </c>
      <c r="K22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4" s="37"/>
      <c r="O2224" s="37"/>
      <c r="P2224" s="37"/>
    </row>
    <row r="2225" spans="2:16" x14ac:dyDescent="0.25">
      <c r="B22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5" s="46"/>
      <c r="D2225" s="37"/>
      <c r="E2225" s="37"/>
      <c r="F2225" s="37"/>
      <c r="G2225" s="40" t="str">
        <f>IF(tblMovimientos[[#This Row],[Producto]]="","",TRIM(LEFT(tblMovimientos[[#This Row],[Producto]],FIND(" · ",tblMovimientos[[#This Row],[Producto]]&amp;" · ")-1)))</f>
        <v/>
      </c>
      <c r="H2225" s="40" t="str">
        <f>IF(tblMovimientos[[#This Row],[SKU]]="","",IFERROR(INDEX(tblProductos[Unidad],MATCH(tblMovimientos[[#This Row],[SKU]],tblProductos[SKU],0)),"?"))</f>
        <v/>
      </c>
      <c r="I2225" s="39"/>
      <c r="J2225" s="47" t="str">
        <f>IF(tblMovimientos[[#This Row],[Tipo]]="","",IFERROR(INDEX(tblTiposMov[FactorStock],MATCH(tblMovimientos[[#This Row],[Tipo]],tblTiposMov[Tipo],0)),0))</f>
        <v/>
      </c>
      <c r="K22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5" s="37"/>
      <c r="O2225" s="37"/>
      <c r="P2225" s="37"/>
    </row>
    <row r="2226" spans="2:16" x14ac:dyDescent="0.25">
      <c r="B22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6" s="46"/>
      <c r="D2226" s="37"/>
      <c r="E2226" s="37"/>
      <c r="F2226" s="37"/>
      <c r="G2226" s="40" t="str">
        <f>IF(tblMovimientos[[#This Row],[Producto]]="","",TRIM(LEFT(tblMovimientos[[#This Row],[Producto]],FIND(" · ",tblMovimientos[[#This Row],[Producto]]&amp;" · ")-1)))</f>
        <v/>
      </c>
      <c r="H2226" s="40" t="str">
        <f>IF(tblMovimientos[[#This Row],[SKU]]="","",IFERROR(INDEX(tblProductos[Unidad],MATCH(tblMovimientos[[#This Row],[SKU]],tblProductos[SKU],0)),"?"))</f>
        <v/>
      </c>
      <c r="I2226" s="39"/>
      <c r="J2226" s="47" t="str">
        <f>IF(tblMovimientos[[#This Row],[Tipo]]="","",IFERROR(INDEX(tblTiposMov[FactorStock],MATCH(tblMovimientos[[#This Row],[Tipo]],tblTiposMov[Tipo],0)),0))</f>
        <v/>
      </c>
      <c r="K22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6" s="37"/>
      <c r="O2226" s="37"/>
      <c r="P2226" s="37"/>
    </row>
    <row r="2227" spans="2:16" x14ac:dyDescent="0.25">
      <c r="B22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7" s="46"/>
      <c r="D2227" s="37"/>
      <c r="E2227" s="37"/>
      <c r="F2227" s="37"/>
      <c r="G2227" s="40" t="str">
        <f>IF(tblMovimientos[[#This Row],[Producto]]="","",TRIM(LEFT(tblMovimientos[[#This Row],[Producto]],FIND(" · ",tblMovimientos[[#This Row],[Producto]]&amp;" · ")-1)))</f>
        <v/>
      </c>
      <c r="H2227" s="40" t="str">
        <f>IF(tblMovimientos[[#This Row],[SKU]]="","",IFERROR(INDEX(tblProductos[Unidad],MATCH(tblMovimientos[[#This Row],[SKU]],tblProductos[SKU],0)),"?"))</f>
        <v/>
      </c>
      <c r="I2227" s="39"/>
      <c r="J2227" s="47" t="str">
        <f>IF(tblMovimientos[[#This Row],[Tipo]]="","",IFERROR(INDEX(tblTiposMov[FactorStock],MATCH(tblMovimientos[[#This Row],[Tipo]],tblTiposMov[Tipo],0)),0))</f>
        <v/>
      </c>
      <c r="K22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7" s="37"/>
      <c r="O2227" s="37"/>
      <c r="P2227" s="37"/>
    </row>
    <row r="2228" spans="2:16" x14ac:dyDescent="0.25">
      <c r="B22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8" s="46"/>
      <c r="D2228" s="37"/>
      <c r="E2228" s="37"/>
      <c r="F2228" s="37"/>
      <c r="G2228" s="40" t="str">
        <f>IF(tblMovimientos[[#This Row],[Producto]]="","",TRIM(LEFT(tblMovimientos[[#This Row],[Producto]],FIND(" · ",tblMovimientos[[#This Row],[Producto]]&amp;" · ")-1)))</f>
        <v/>
      </c>
      <c r="H2228" s="40" t="str">
        <f>IF(tblMovimientos[[#This Row],[SKU]]="","",IFERROR(INDEX(tblProductos[Unidad],MATCH(tblMovimientos[[#This Row],[SKU]],tblProductos[SKU],0)),"?"))</f>
        <v/>
      </c>
      <c r="I2228" s="39"/>
      <c r="J2228" s="47" t="str">
        <f>IF(tblMovimientos[[#This Row],[Tipo]]="","",IFERROR(INDEX(tblTiposMov[FactorStock],MATCH(tblMovimientos[[#This Row],[Tipo]],tblTiposMov[Tipo],0)),0))</f>
        <v/>
      </c>
      <c r="K22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8" s="37"/>
      <c r="O2228" s="37"/>
      <c r="P2228" s="37"/>
    </row>
    <row r="2229" spans="2:16" x14ac:dyDescent="0.25">
      <c r="B22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29" s="46"/>
      <c r="D2229" s="37"/>
      <c r="E2229" s="37"/>
      <c r="F2229" s="37"/>
      <c r="G2229" s="40" t="str">
        <f>IF(tblMovimientos[[#This Row],[Producto]]="","",TRIM(LEFT(tblMovimientos[[#This Row],[Producto]],FIND(" · ",tblMovimientos[[#This Row],[Producto]]&amp;" · ")-1)))</f>
        <v/>
      </c>
      <c r="H2229" s="40" t="str">
        <f>IF(tblMovimientos[[#This Row],[SKU]]="","",IFERROR(INDEX(tblProductos[Unidad],MATCH(tblMovimientos[[#This Row],[SKU]],tblProductos[SKU],0)),"?"))</f>
        <v/>
      </c>
      <c r="I2229" s="39"/>
      <c r="J2229" s="47" t="str">
        <f>IF(tblMovimientos[[#This Row],[Tipo]]="","",IFERROR(INDEX(tblTiposMov[FactorStock],MATCH(tblMovimientos[[#This Row],[Tipo]],tblTiposMov[Tipo],0)),0))</f>
        <v/>
      </c>
      <c r="K22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29" s="37"/>
      <c r="O2229" s="37"/>
      <c r="P2229" s="37"/>
    </row>
    <row r="2230" spans="2:16" x14ac:dyDescent="0.25">
      <c r="B22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0" s="46"/>
      <c r="D2230" s="37"/>
      <c r="E2230" s="37"/>
      <c r="F2230" s="37"/>
      <c r="G2230" s="40" t="str">
        <f>IF(tblMovimientos[[#This Row],[Producto]]="","",TRIM(LEFT(tblMovimientos[[#This Row],[Producto]],FIND(" · ",tblMovimientos[[#This Row],[Producto]]&amp;" · ")-1)))</f>
        <v/>
      </c>
      <c r="H2230" s="40" t="str">
        <f>IF(tblMovimientos[[#This Row],[SKU]]="","",IFERROR(INDEX(tblProductos[Unidad],MATCH(tblMovimientos[[#This Row],[SKU]],tblProductos[SKU],0)),"?"))</f>
        <v/>
      </c>
      <c r="I2230" s="39"/>
      <c r="J2230" s="47" t="str">
        <f>IF(tblMovimientos[[#This Row],[Tipo]]="","",IFERROR(INDEX(tblTiposMov[FactorStock],MATCH(tblMovimientos[[#This Row],[Tipo]],tblTiposMov[Tipo],0)),0))</f>
        <v/>
      </c>
      <c r="K22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0" s="37"/>
      <c r="O2230" s="37"/>
      <c r="P2230" s="37"/>
    </row>
    <row r="2231" spans="2:16" x14ac:dyDescent="0.25">
      <c r="B22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1" s="46"/>
      <c r="D2231" s="37"/>
      <c r="E2231" s="37"/>
      <c r="F2231" s="37"/>
      <c r="G2231" s="40" t="str">
        <f>IF(tblMovimientos[[#This Row],[Producto]]="","",TRIM(LEFT(tblMovimientos[[#This Row],[Producto]],FIND(" · ",tblMovimientos[[#This Row],[Producto]]&amp;" · ")-1)))</f>
        <v/>
      </c>
      <c r="H2231" s="40" t="str">
        <f>IF(tblMovimientos[[#This Row],[SKU]]="","",IFERROR(INDEX(tblProductos[Unidad],MATCH(tblMovimientos[[#This Row],[SKU]],tblProductos[SKU],0)),"?"))</f>
        <v/>
      </c>
      <c r="I2231" s="39"/>
      <c r="J2231" s="47" t="str">
        <f>IF(tblMovimientos[[#This Row],[Tipo]]="","",IFERROR(INDEX(tblTiposMov[FactorStock],MATCH(tblMovimientos[[#This Row],[Tipo]],tblTiposMov[Tipo],0)),0))</f>
        <v/>
      </c>
      <c r="K22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1" s="37"/>
      <c r="O2231" s="37"/>
      <c r="P2231" s="37"/>
    </row>
    <row r="2232" spans="2:16" x14ac:dyDescent="0.25">
      <c r="B22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2" s="46"/>
      <c r="D2232" s="37"/>
      <c r="E2232" s="37"/>
      <c r="F2232" s="37"/>
      <c r="G2232" s="40" t="str">
        <f>IF(tblMovimientos[[#This Row],[Producto]]="","",TRIM(LEFT(tblMovimientos[[#This Row],[Producto]],FIND(" · ",tblMovimientos[[#This Row],[Producto]]&amp;" · ")-1)))</f>
        <v/>
      </c>
      <c r="H2232" s="40" t="str">
        <f>IF(tblMovimientos[[#This Row],[SKU]]="","",IFERROR(INDEX(tblProductos[Unidad],MATCH(tblMovimientos[[#This Row],[SKU]],tblProductos[SKU],0)),"?"))</f>
        <v/>
      </c>
      <c r="I2232" s="39"/>
      <c r="J2232" s="47" t="str">
        <f>IF(tblMovimientos[[#This Row],[Tipo]]="","",IFERROR(INDEX(tblTiposMov[FactorStock],MATCH(tblMovimientos[[#This Row],[Tipo]],tblTiposMov[Tipo],0)),0))</f>
        <v/>
      </c>
      <c r="K22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2" s="37"/>
      <c r="O2232" s="37"/>
      <c r="P2232" s="37"/>
    </row>
    <row r="2233" spans="2:16" x14ac:dyDescent="0.25">
      <c r="B22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3" s="46"/>
      <c r="D2233" s="37"/>
      <c r="E2233" s="37"/>
      <c r="F2233" s="37"/>
      <c r="G2233" s="40" t="str">
        <f>IF(tblMovimientos[[#This Row],[Producto]]="","",TRIM(LEFT(tblMovimientos[[#This Row],[Producto]],FIND(" · ",tblMovimientos[[#This Row],[Producto]]&amp;" · ")-1)))</f>
        <v/>
      </c>
      <c r="H2233" s="40" t="str">
        <f>IF(tblMovimientos[[#This Row],[SKU]]="","",IFERROR(INDEX(tblProductos[Unidad],MATCH(tblMovimientos[[#This Row],[SKU]],tblProductos[SKU],0)),"?"))</f>
        <v/>
      </c>
      <c r="I2233" s="39"/>
      <c r="J2233" s="47" t="str">
        <f>IF(tblMovimientos[[#This Row],[Tipo]]="","",IFERROR(INDEX(tblTiposMov[FactorStock],MATCH(tblMovimientos[[#This Row],[Tipo]],tblTiposMov[Tipo],0)),0))</f>
        <v/>
      </c>
      <c r="K22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3" s="37"/>
      <c r="O2233" s="37"/>
      <c r="P2233" s="37"/>
    </row>
    <row r="2234" spans="2:16" x14ac:dyDescent="0.25">
      <c r="B22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4" s="46"/>
      <c r="D2234" s="37"/>
      <c r="E2234" s="37"/>
      <c r="F2234" s="37"/>
      <c r="G2234" s="40" t="str">
        <f>IF(tblMovimientos[[#This Row],[Producto]]="","",TRIM(LEFT(tblMovimientos[[#This Row],[Producto]],FIND(" · ",tblMovimientos[[#This Row],[Producto]]&amp;" · ")-1)))</f>
        <v/>
      </c>
      <c r="H2234" s="40" t="str">
        <f>IF(tblMovimientos[[#This Row],[SKU]]="","",IFERROR(INDEX(tblProductos[Unidad],MATCH(tblMovimientos[[#This Row],[SKU]],tblProductos[SKU],0)),"?"))</f>
        <v/>
      </c>
      <c r="I2234" s="39"/>
      <c r="J2234" s="47" t="str">
        <f>IF(tblMovimientos[[#This Row],[Tipo]]="","",IFERROR(INDEX(tblTiposMov[FactorStock],MATCH(tblMovimientos[[#This Row],[Tipo]],tblTiposMov[Tipo],0)),0))</f>
        <v/>
      </c>
      <c r="K22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4" s="37"/>
      <c r="O2234" s="37"/>
      <c r="P2234" s="37"/>
    </row>
    <row r="2235" spans="2:16" x14ac:dyDescent="0.25">
      <c r="B22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5" s="46"/>
      <c r="D2235" s="37"/>
      <c r="E2235" s="37"/>
      <c r="F2235" s="37"/>
      <c r="G2235" s="40" t="str">
        <f>IF(tblMovimientos[[#This Row],[Producto]]="","",TRIM(LEFT(tblMovimientos[[#This Row],[Producto]],FIND(" · ",tblMovimientos[[#This Row],[Producto]]&amp;" · ")-1)))</f>
        <v/>
      </c>
      <c r="H2235" s="40" t="str">
        <f>IF(tblMovimientos[[#This Row],[SKU]]="","",IFERROR(INDEX(tblProductos[Unidad],MATCH(tblMovimientos[[#This Row],[SKU]],tblProductos[SKU],0)),"?"))</f>
        <v/>
      </c>
      <c r="I2235" s="39"/>
      <c r="J2235" s="47" t="str">
        <f>IF(tblMovimientos[[#This Row],[Tipo]]="","",IFERROR(INDEX(tblTiposMov[FactorStock],MATCH(tblMovimientos[[#This Row],[Tipo]],tblTiposMov[Tipo],0)),0))</f>
        <v/>
      </c>
      <c r="K22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5" s="37"/>
      <c r="O2235" s="37"/>
      <c r="P2235" s="37"/>
    </row>
    <row r="2236" spans="2:16" x14ac:dyDescent="0.25">
      <c r="B22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6" s="46"/>
      <c r="D2236" s="37"/>
      <c r="E2236" s="37"/>
      <c r="F2236" s="37"/>
      <c r="G2236" s="40" t="str">
        <f>IF(tblMovimientos[[#This Row],[Producto]]="","",TRIM(LEFT(tblMovimientos[[#This Row],[Producto]],FIND(" · ",tblMovimientos[[#This Row],[Producto]]&amp;" · ")-1)))</f>
        <v/>
      </c>
      <c r="H2236" s="40" t="str">
        <f>IF(tblMovimientos[[#This Row],[SKU]]="","",IFERROR(INDEX(tblProductos[Unidad],MATCH(tblMovimientos[[#This Row],[SKU]],tblProductos[SKU],0)),"?"))</f>
        <v/>
      </c>
      <c r="I2236" s="39"/>
      <c r="J2236" s="47" t="str">
        <f>IF(tblMovimientos[[#This Row],[Tipo]]="","",IFERROR(INDEX(tblTiposMov[FactorStock],MATCH(tblMovimientos[[#This Row],[Tipo]],tblTiposMov[Tipo],0)),0))</f>
        <v/>
      </c>
      <c r="K22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6" s="37"/>
      <c r="O2236" s="37"/>
      <c r="P2236" s="37"/>
    </row>
    <row r="2237" spans="2:16" x14ac:dyDescent="0.25">
      <c r="B22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7" s="46"/>
      <c r="D2237" s="37"/>
      <c r="E2237" s="37"/>
      <c r="F2237" s="37"/>
      <c r="G2237" s="40" t="str">
        <f>IF(tblMovimientos[[#This Row],[Producto]]="","",TRIM(LEFT(tblMovimientos[[#This Row],[Producto]],FIND(" · ",tblMovimientos[[#This Row],[Producto]]&amp;" · ")-1)))</f>
        <v/>
      </c>
      <c r="H2237" s="40" t="str">
        <f>IF(tblMovimientos[[#This Row],[SKU]]="","",IFERROR(INDEX(tblProductos[Unidad],MATCH(tblMovimientos[[#This Row],[SKU]],tblProductos[SKU],0)),"?"))</f>
        <v/>
      </c>
      <c r="I2237" s="39"/>
      <c r="J2237" s="47" t="str">
        <f>IF(tblMovimientos[[#This Row],[Tipo]]="","",IFERROR(INDEX(tblTiposMov[FactorStock],MATCH(tblMovimientos[[#This Row],[Tipo]],tblTiposMov[Tipo],0)),0))</f>
        <v/>
      </c>
      <c r="K22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7" s="37"/>
      <c r="O2237" s="37"/>
      <c r="P2237" s="37"/>
    </row>
    <row r="2238" spans="2:16" x14ac:dyDescent="0.25">
      <c r="B22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8" s="46"/>
      <c r="D2238" s="37"/>
      <c r="E2238" s="37"/>
      <c r="F2238" s="37"/>
      <c r="G2238" s="40" t="str">
        <f>IF(tblMovimientos[[#This Row],[Producto]]="","",TRIM(LEFT(tblMovimientos[[#This Row],[Producto]],FIND(" · ",tblMovimientos[[#This Row],[Producto]]&amp;" · ")-1)))</f>
        <v/>
      </c>
      <c r="H2238" s="40" t="str">
        <f>IF(tblMovimientos[[#This Row],[SKU]]="","",IFERROR(INDEX(tblProductos[Unidad],MATCH(tblMovimientos[[#This Row],[SKU]],tblProductos[SKU],0)),"?"))</f>
        <v/>
      </c>
      <c r="I2238" s="39"/>
      <c r="J2238" s="47" t="str">
        <f>IF(tblMovimientos[[#This Row],[Tipo]]="","",IFERROR(INDEX(tblTiposMov[FactorStock],MATCH(tblMovimientos[[#This Row],[Tipo]],tblTiposMov[Tipo],0)),0))</f>
        <v/>
      </c>
      <c r="K22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8" s="37"/>
      <c r="O2238" s="37"/>
      <c r="P2238" s="37"/>
    </row>
    <row r="2239" spans="2:16" x14ac:dyDescent="0.25">
      <c r="B22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39" s="46"/>
      <c r="D2239" s="37"/>
      <c r="E2239" s="37"/>
      <c r="F2239" s="37"/>
      <c r="G2239" s="40" t="str">
        <f>IF(tblMovimientos[[#This Row],[Producto]]="","",TRIM(LEFT(tblMovimientos[[#This Row],[Producto]],FIND(" · ",tblMovimientos[[#This Row],[Producto]]&amp;" · ")-1)))</f>
        <v/>
      </c>
      <c r="H2239" s="40" t="str">
        <f>IF(tblMovimientos[[#This Row],[SKU]]="","",IFERROR(INDEX(tblProductos[Unidad],MATCH(tblMovimientos[[#This Row],[SKU]],tblProductos[SKU],0)),"?"))</f>
        <v/>
      </c>
      <c r="I2239" s="39"/>
      <c r="J2239" s="47" t="str">
        <f>IF(tblMovimientos[[#This Row],[Tipo]]="","",IFERROR(INDEX(tblTiposMov[FactorStock],MATCH(tblMovimientos[[#This Row],[Tipo]],tblTiposMov[Tipo],0)),0))</f>
        <v/>
      </c>
      <c r="K22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39" s="37"/>
      <c r="O2239" s="37"/>
      <c r="P2239" s="37"/>
    </row>
    <row r="2240" spans="2:16" x14ac:dyDescent="0.25">
      <c r="B22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0" s="46"/>
      <c r="D2240" s="37"/>
      <c r="E2240" s="37"/>
      <c r="F2240" s="37"/>
      <c r="G2240" s="40" t="str">
        <f>IF(tblMovimientos[[#This Row],[Producto]]="","",TRIM(LEFT(tblMovimientos[[#This Row],[Producto]],FIND(" · ",tblMovimientos[[#This Row],[Producto]]&amp;" · ")-1)))</f>
        <v/>
      </c>
      <c r="H2240" s="40" t="str">
        <f>IF(tblMovimientos[[#This Row],[SKU]]="","",IFERROR(INDEX(tblProductos[Unidad],MATCH(tblMovimientos[[#This Row],[SKU]],tblProductos[SKU],0)),"?"))</f>
        <v/>
      </c>
      <c r="I2240" s="39"/>
      <c r="J2240" s="47" t="str">
        <f>IF(tblMovimientos[[#This Row],[Tipo]]="","",IFERROR(INDEX(tblTiposMov[FactorStock],MATCH(tblMovimientos[[#This Row],[Tipo]],tblTiposMov[Tipo],0)),0))</f>
        <v/>
      </c>
      <c r="K22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0" s="37"/>
      <c r="O2240" s="37"/>
      <c r="P2240" s="37"/>
    </row>
    <row r="2241" spans="2:16" x14ac:dyDescent="0.25">
      <c r="B22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1" s="46"/>
      <c r="D2241" s="37"/>
      <c r="E2241" s="37"/>
      <c r="F2241" s="37"/>
      <c r="G2241" s="40" t="str">
        <f>IF(tblMovimientos[[#This Row],[Producto]]="","",TRIM(LEFT(tblMovimientos[[#This Row],[Producto]],FIND(" · ",tblMovimientos[[#This Row],[Producto]]&amp;" · ")-1)))</f>
        <v/>
      </c>
      <c r="H2241" s="40" t="str">
        <f>IF(tblMovimientos[[#This Row],[SKU]]="","",IFERROR(INDEX(tblProductos[Unidad],MATCH(tblMovimientos[[#This Row],[SKU]],tblProductos[SKU],0)),"?"))</f>
        <v/>
      </c>
      <c r="I2241" s="39"/>
      <c r="J2241" s="47" t="str">
        <f>IF(tblMovimientos[[#This Row],[Tipo]]="","",IFERROR(INDEX(tblTiposMov[FactorStock],MATCH(tblMovimientos[[#This Row],[Tipo]],tblTiposMov[Tipo],0)),0))</f>
        <v/>
      </c>
      <c r="K22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1" s="37"/>
      <c r="O2241" s="37"/>
      <c r="P2241" s="37"/>
    </row>
    <row r="2242" spans="2:16" x14ac:dyDescent="0.25">
      <c r="B22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2" s="46"/>
      <c r="D2242" s="37"/>
      <c r="E2242" s="37"/>
      <c r="F2242" s="37"/>
      <c r="G2242" s="40" t="str">
        <f>IF(tblMovimientos[[#This Row],[Producto]]="","",TRIM(LEFT(tblMovimientos[[#This Row],[Producto]],FIND(" · ",tblMovimientos[[#This Row],[Producto]]&amp;" · ")-1)))</f>
        <v/>
      </c>
      <c r="H2242" s="40" t="str">
        <f>IF(tblMovimientos[[#This Row],[SKU]]="","",IFERROR(INDEX(tblProductos[Unidad],MATCH(tblMovimientos[[#This Row],[SKU]],tblProductos[SKU],0)),"?"))</f>
        <v/>
      </c>
      <c r="I2242" s="39"/>
      <c r="J2242" s="47" t="str">
        <f>IF(tblMovimientos[[#This Row],[Tipo]]="","",IFERROR(INDEX(tblTiposMov[FactorStock],MATCH(tblMovimientos[[#This Row],[Tipo]],tblTiposMov[Tipo],0)),0))</f>
        <v/>
      </c>
      <c r="K22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2" s="37"/>
      <c r="O2242" s="37"/>
      <c r="P2242" s="37"/>
    </row>
    <row r="2243" spans="2:16" x14ac:dyDescent="0.25">
      <c r="B22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3" s="46"/>
      <c r="D2243" s="37"/>
      <c r="E2243" s="37"/>
      <c r="F2243" s="37"/>
      <c r="G2243" s="40" t="str">
        <f>IF(tblMovimientos[[#This Row],[Producto]]="","",TRIM(LEFT(tblMovimientos[[#This Row],[Producto]],FIND(" · ",tblMovimientos[[#This Row],[Producto]]&amp;" · ")-1)))</f>
        <v/>
      </c>
      <c r="H2243" s="40" t="str">
        <f>IF(tblMovimientos[[#This Row],[SKU]]="","",IFERROR(INDEX(tblProductos[Unidad],MATCH(tblMovimientos[[#This Row],[SKU]],tblProductos[SKU],0)),"?"))</f>
        <v/>
      </c>
      <c r="I2243" s="39"/>
      <c r="J2243" s="47" t="str">
        <f>IF(tblMovimientos[[#This Row],[Tipo]]="","",IFERROR(INDEX(tblTiposMov[FactorStock],MATCH(tblMovimientos[[#This Row],[Tipo]],tblTiposMov[Tipo],0)),0))</f>
        <v/>
      </c>
      <c r="K22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3" s="37"/>
      <c r="O2243" s="37"/>
      <c r="P2243" s="37"/>
    </row>
    <row r="2244" spans="2:16" x14ac:dyDescent="0.25">
      <c r="B22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4" s="46"/>
      <c r="D2244" s="37"/>
      <c r="E2244" s="37"/>
      <c r="F2244" s="37"/>
      <c r="G2244" s="40" t="str">
        <f>IF(tblMovimientos[[#This Row],[Producto]]="","",TRIM(LEFT(tblMovimientos[[#This Row],[Producto]],FIND(" · ",tblMovimientos[[#This Row],[Producto]]&amp;" · ")-1)))</f>
        <v/>
      </c>
      <c r="H2244" s="40" t="str">
        <f>IF(tblMovimientos[[#This Row],[SKU]]="","",IFERROR(INDEX(tblProductos[Unidad],MATCH(tblMovimientos[[#This Row],[SKU]],tblProductos[SKU],0)),"?"))</f>
        <v/>
      </c>
      <c r="I2244" s="39"/>
      <c r="J2244" s="47" t="str">
        <f>IF(tblMovimientos[[#This Row],[Tipo]]="","",IFERROR(INDEX(tblTiposMov[FactorStock],MATCH(tblMovimientos[[#This Row],[Tipo]],tblTiposMov[Tipo],0)),0))</f>
        <v/>
      </c>
      <c r="K22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4" s="37"/>
      <c r="O2244" s="37"/>
      <c r="P2244" s="37"/>
    </row>
    <row r="2245" spans="2:16" x14ac:dyDescent="0.25">
      <c r="B22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5" s="46"/>
      <c r="D2245" s="37"/>
      <c r="E2245" s="37"/>
      <c r="F2245" s="37"/>
      <c r="G2245" s="40" t="str">
        <f>IF(tblMovimientos[[#This Row],[Producto]]="","",TRIM(LEFT(tblMovimientos[[#This Row],[Producto]],FIND(" · ",tblMovimientos[[#This Row],[Producto]]&amp;" · ")-1)))</f>
        <v/>
      </c>
      <c r="H2245" s="40" t="str">
        <f>IF(tblMovimientos[[#This Row],[SKU]]="","",IFERROR(INDEX(tblProductos[Unidad],MATCH(tblMovimientos[[#This Row],[SKU]],tblProductos[SKU],0)),"?"))</f>
        <v/>
      </c>
      <c r="I2245" s="39"/>
      <c r="J2245" s="47" t="str">
        <f>IF(tblMovimientos[[#This Row],[Tipo]]="","",IFERROR(INDEX(tblTiposMov[FactorStock],MATCH(tblMovimientos[[#This Row],[Tipo]],tblTiposMov[Tipo],0)),0))</f>
        <v/>
      </c>
      <c r="K22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5" s="37"/>
      <c r="O2245" s="37"/>
      <c r="P2245" s="37"/>
    </row>
    <row r="2246" spans="2:16" x14ac:dyDescent="0.25">
      <c r="B22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6" s="46"/>
      <c r="D2246" s="37"/>
      <c r="E2246" s="37"/>
      <c r="F2246" s="37"/>
      <c r="G2246" s="40" t="str">
        <f>IF(tblMovimientos[[#This Row],[Producto]]="","",TRIM(LEFT(tblMovimientos[[#This Row],[Producto]],FIND(" · ",tblMovimientos[[#This Row],[Producto]]&amp;" · ")-1)))</f>
        <v/>
      </c>
      <c r="H2246" s="40" t="str">
        <f>IF(tblMovimientos[[#This Row],[SKU]]="","",IFERROR(INDEX(tblProductos[Unidad],MATCH(tblMovimientos[[#This Row],[SKU]],tblProductos[SKU],0)),"?"))</f>
        <v/>
      </c>
      <c r="I2246" s="39"/>
      <c r="J2246" s="47" t="str">
        <f>IF(tblMovimientos[[#This Row],[Tipo]]="","",IFERROR(INDEX(tblTiposMov[FactorStock],MATCH(tblMovimientos[[#This Row],[Tipo]],tblTiposMov[Tipo],0)),0))</f>
        <v/>
      </c>
      <c r="K22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6" s="37"/>
      <c r="O2246" s="37"/>
      <c r="P2246" s="37"/>
    </row>
    <row r="2247" spans="2:16" x14ac:dyDescent="0.25">
      <c r="B22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7" s="46"/>
      <c r="D2247" s="37"/>
      <c r="E2247" s="37"/>
      <c r="F2247" s="37"/>
      <c r="G2247" s="40" t="str">
        <f>IF(tblMovimientos[[#This Row],[Producto]]="","",TRIM(LEFT(tblMovimientos[[#This Row],[Producto]],FIND(" · ",tblMovimientos[[#This Row],[Producto]]&amp;" · ")-1)))</f>
        <v/>
      </c>
      <c r="H2247" s="40" t="str">
        <f>IF(tblMovimientos[[#This Row],[SKU]]="","",IFERROR(INDEX(tblProductos[Unidad],MATCH(tblMovimientos[[#This Row],[SKU]],tblProductos[SKU],0)),"?"))</f>
        <v/>
      </c>
      <c r="I2247" s="39"/>
      <c r="J2247" s="47" t="str">
        <f>IF(tblMovimientos[[#This Row],[Tipo]]="","",IFERROR(INDEX(tblTiposMov[FactorStock],MATCH(tblMovimientos[[#This Row],[Tipo]],tblTiposMov[Tipo],0)),0))</f>
        <v/>
      </c>
      <c r="K22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7" s="37"/>
      <c r="O2247" s="37"/>
      <c r="P2247" s="37"/>
    </row>
    <row r="2248" spans="2:16" x14ac:dyDescent="0.25">
      <c r="B22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8" s="46"/>
      <c r="D2248" s="37"/>
      <c r="E2248" s="37"/>
      <c r="F2248" s="37"/>
      <c r="G2248" s="40" t="str">
        <f>IF(tblMovimientos[[#This Row],[Producto]]="","",TRIM(LEFT(tblMovimientos[[#This Row],[Producto]],FIND(" · ",tblMovimientos[[#This Row],[Producto]]&amp;" · ")-1)))</f>
        <v/>
      </c>
      <c r="H2248" s="40" t="str">
        <f>IF(tblMovimientos[[#This Row],[SKU]]="","",IFERROR(INDEX(tblProductos[Unidad],MATCH(tblMovimientos[[#This Row],[SKU]],tblProductos[SKU],0)),"?"))</f>
        <v/>
      </c>
      <c r="I2248" s="39"/>
      <c r="J2248" s="47" t="str">
        <f>IF(tblMovimientos[[#This Row],[Tipo]]="","",IFERROR(INDEX(tblTiposMov[FactorStock],MATCH(tblMovimientos[[#This Row],[Tipo]],tblTiposMov[Tipo],0)),0))</f>
        <v/>
      </c>
      <c r="K22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8" s="37"/>
      <c r="O2248" s="37"/>
      <c r="P2248" s="37"/>
    </row>
    <row r="2249" spans="2:16" x14ac:dyDescent="0.25">
      <c r="B22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49" s="46"/>
      <c r="D2249" s="37"/>
      <c r="E2249" s="37"/>
      <c r="F2249" s="37"/>
      <c r="G2249" s="40" t="str">
        <f>IF(tblMovimientos[[#This Row],[Producto]]="","",TRIM(LEFT(tblMovimientos[[#This Row],[Producto]],FIND(" · ",tblMovimientos[[#This Row],[Producto]]&amp;" · ")-1)))</f>
        <v/>
      </c>
      <c r="H2249" s="40" t="str">
        <f>IF(tblMovimientos[[#This Row],[SKU]]="","",IFERROR(INDEX(tblProductos[Unidad],MATCH(tblMovimientos[[#This Row],[SKU]],tblProductos[SKU],0)),"?"))</f>
        <v/>
      </c>
      <c r="I2249" s="39"/>
      <c r="J2249" s="47" t="str">
        <f>IF(tblMovimientos[[#This Row],[Tipo]]="","",IFERROR(INDEX(tblTiposMov[FactorStock],MATCH(tblMovimientos[[#This Row],[Tipo]],tblTiposMov[Tipo],0)),0))</f>
        <v/>
      </c>
      <c r="K22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49" s="37"/>
      <c r="O2249" s="37"/>
      <c r="P2249" s="37"/>
    </row>
    <row r="2250" spans="2:16" x14ac:dyDescent="0.25">
      <c r="B22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0" s="46"/>
      <c r="D2250" s="37"/>
      <c r="E2250" s="37"/>
      <c r="F2250" s="37"/>
      <c r="G2250" s="40" t="str">
        <f>IF(tblMovimientos[[#This Row],[Producto]]="","",TRIM(LEFT(tblMovimientos[[#This Row],[Producto]],FIND(" · ",tblMovimientos[[#This Row],[Producto]]&amp;" · ")-1)))</f>
        <v/>
      </c>
      <c r="H2250" s="40" t="str">
        <f>IF(tblMovimientos[[#This Row],[SKU]]="","",IFERROR(INDEX(tblProductos[Unidad],MATCH(tblMovimientos[[#This Row],[SKU]],tblProductos[SKU],0)),"?"))</f>
        <v/>
      </c>
      <c r="I2250" s="39"/>
      <c r="J2250" s="47" t="str">
        <f>IF(tblMovimientos[[#This Row],[Tipo]]="","",IFERROR(INDEX(tblTiposMov[FactorStock],MATCH(tblMovimientos[[#This Row],[Tipo]],tblTiposMov[Tipo],0)),0))</f>
        <v/>
      </c>
      <c r="K22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0" s="37"/>
      <c r="O2250" s="37"/>
      <c r="P2250" s="37"/>
    </row>
    <row r="2251" spans="2:16" x14ac:dyDescent="0.25">
      <c r="B22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1" s="46"/>
      <c r="D2251" s="37"/>
      <c r="E2251" s="37"/>
      <c r="F2251" s="37"/>
      <c r="G2251" s="40" t="str">
        <f>IF(tblMovimientos[[#This Row],[Producto]]="","",TRIM(LEFT(tblMovimientos[[#This Row],[Producto]],FIND(" · ",tblMovimientos[[#This Row],[Producto]]&amp;" · ")-1)))</f>
        <v/>
      </c>
      <c r="H2251" s="40" t="str">
        <f>IF(tblMovimientos[[#This Row],[SKU]]="","",IFERROR(INDEX(tblProductos[Unidad],MATCH(tblMovimientos[[#This Row],[SKU]],tblProductos[SKU],0)),"?"))</f>
        <v/>
      </c>
      <c r="I2251" s="39"/>
      <c r="J2251" s="47" t="str">
        <f>IF(tblMovimientos[[#This Row],[Tipo]]="","",IFERROR(INDEX(tblTiposMov[FactorStock],MATCH(tblMovimientos[[#This Row],[Tipo]],tblTiposMov[Tipo],0)),0))</f>
        <v/>
      </c>
      <c r="K22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1" s="37"/>
      <c r="O2251" s="37"/>
      <c r="P2251" s="37"/>
    </row>
    <row r="2252" spans="2:16" x14ac:dyDescent="0.25">
      <c r="B22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2" s="46"/>
      <c r="D2252" s="37"/>
      <c r="E2252" s="37"/>
      <c r="F2252" s="37"/>
      <c r="G2252" s="40" t="str">
        <f>IF(tblMovimientos[[#This Row],[Producto]]="","",TRIM(LEFT(tblMovimientos[[#This Row],[Producto]],FIND(" · ",tblMovimientos[[#This Row],[Producto]]&amp;" · ")-1)))</f>
        <v/>
      </c>
      <c r="H2252" s="40" t="str">
        <f>IF(tblMovimientos[[#This Row],[SKU]]="","",IFERROR(INDEX(tblProductos[Unidad],MATCH(tblMovimientos[[#This Row],[SKU]],tblProductos[SKU],0)),"?"))</f>
        <v/>
      </c>
      <c r="I2252" s="39"/>
      <c r="J2252" s="47" t="str">
        <f>IF(tblMovimientos[[#This Row],[Tipo]]="","",IFERROR(INDEX(tblTiposMov[FactorStock],MATCH(tblMovimientos[[#This Row],[Tipo]],tblTiposMov[Tipo],0)),0))</f>
        <v/>
      </c>
      <c r="K22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2" s="37"/>
      <c r="O2252" s="37"/>
      <c r="P2252" s="37"/>
    </row>
    <row r="2253" spans="2:16" x14ac:dyDescent="0.25">
      <c r="B22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3" s="46"/>
      <c r="D2253" s="37"/>
      <c r="E2253" s="37"/>
      <c r="F2253" s="37"/>
      <c r="G2253" s="40" t="str">
        <f>IF(tblMovimientos[[#This Row],[Producto]]="","",TRIM(LEFT(tblMovimientos[[#This Row],[Producto]],FIND(" · ",tblMovimientos[[#This Row],[Producto]]&amp;" · ")-1)))</f>
        <v/>
      </c>
      <c r="H2253" s="40" t="str">
        <f>IF(tblMovimientos[[#This Row],[SKU]]="","",IFERROR(INDEX(tblProductos[Unidad],MATCH(tblMovimientos[[#This Row],[SKU]],tblProductos[SKU],0)),"?"))</f>
        <v/>
      </c>
      <c r="I2253" s="39"/>
      <c r="J2253" s="47" t="str">
        <f>IF(tblMovimientos[[#This Row],[Tipo]]="","",IFERROR(INDEX(tblTiposMov[FactorStock],MATCH(tblMovimientos[[#This Row],[Tipo]],tblTiposMov[Tipo],0)),0))</f>
        <v/>
      </c>
      <c r="K22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3" s="37"/>
      <c r="O2253" s="37"/>
      <c r="P2253" s="37"/>
    </row>
    <row r="2254" spans="2:16" x14ac:dyDescent="0.25">
      <c r="B22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4" s="46"/>
      <c r="D2254" s="37"/>
      <c r="E2254" s="37"/>
      <c r="F2254" s="37"/>
      <c r="G2254" s="40" t="str">
        <f>IF(tblMovimientos[[#This Row],[Producto]]="","",TRIM(LEFT(tblMovimientos[[#This Row],[Producto]],FIND(" · ",tblMovimientos[[#This Row],[Producto]]&amp;" · ")-1)))</f>
        <v/>
      </c>
      <c r="H2254" s="40" t="str">
        <f>IF(tblMovimientos[[#This Row],[SKU]]="","",IFERROR(INDEX(tblProductos[Unidad],MATCH(tblMovimientos[[#This Row],[SKU]],tblProductos[SKU],0)),"?"))</f>
        <v/>
      </c>
      <c r="I2254" s="39"/>
      <c r="J2254" s="47" t="str">
        <f>IF(tblMovimientos[[#This Row],[Tipo]]="","",IFERROR(INDEX(tblTiposMov[FactorStock],MATCH(tblMovimientos[[#This Row],[Tipo]],tblTiposMov[Tipo],0)),0))</f>
        <v/>
      </c>
      <c r="K22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4" s="37"/>
      <c r="O2254" s="37"/>
      <c r="P2254" s="37"/>
    </row>
    <row r="2255" spans="2:16" x14ac:dyDescent="0.25">
      <c r="B22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5" s="46"/>
      <c r="D2255" s="37"/>
      <c r="E2255" s="37"/>
      <c r="F2255" s="37"/>
      <c r="G2255" s="40" t="str">
        <f>IF(tblMovimientos[[#This Row],[Producto]]="","",TRIM(LEFT(tblMovimientos[[#This Row],[Producto]],FIND(" · ",tblMovimientos[[#This Row],[Producto]]&amp;" · ")-1)))</f>
        <v/>
      </c>
      <c r="H2255" s="40" t="str">
        <f>IF(tblMovimientos[[#This Row],[SKU]]="","",IFERROR(INDEX(tblProductos[Unidad],MATCH(tblMovimientos[[#This Row],[SKU]],tblProductos[SKU],0)),"?"))</f>
        <v/>
      </c>
      <c r="I2255" s="39"/>
      <c r="J2255" s="47" t="str">
        <f>IF(tblMovimientos[[#This Row],[Tipo]]="","",IFERROR(INDEX(tblTiposMov[FactorStock],MATCH(tblMovimientos[[#This Row],[Tipo]],tblTiposMov[Tipo],0)),0))</f>
        <v/>
      </c>
      <c r="K22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5" s="37"/>
      <c r="O2255" s="37"/>
      <c r="P2255" s="37"/>
    </row>
    <row r="2256" spans="2:16" x14ac:dyDescent="0.25">
      <c r="B22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6" s="46"/>
      <c r="D2256" s="37"/>
      <c r="E2256" s="37"/>
      <c r="F2256" s="37"/>
      <c r="G2256" s="40" t="str">
        <f>IF(tblMovimientos[[#This Row],[Producto]]="","",TRIM(LEFT(tblMovimientos[[#This Row],[Producto]],FIND(" · ",tblMovimientos[[#This Row],[Producto]]&amp;" · ")-1)))</f>
        <v/>
      </c>
      <c r="H2256" s="40" t="str">
        <f>IF(tblMovimientos[[#This Row],[SKU]]="","",IFERROR(INDEX(tblProductos[Unidad],MATCH(tblMovimientos[[#This Row],[SKU]],tblProductos[SKU],0)),"?"))</f>
        <v/>
      </c>
      <c r="I2256" s="39"/>
      <c r="J2256" s="47" t="str">
        <f>IF(tblMovimientos[[#This Row],[Tipo]]="","",IFERROR(INDEX(tblTiposMov[FactorStock],MATCH(tblMovimientos[[#This Row],[Tipo]],tblTiposMov[Tipo],0)),0))</f>
        <v/>
      </c>
      <c r="K22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6" s="37"/>
      <c r="O2256" s="37"/>
      <c r="P2256" s="37"/>
    </row>
    <row r="2257" spans="2:16" x14ac:dyDescent="0.25">
      <c r="B22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7" s="46"/>
      <c r="D2257" s="37"/>
      <c r="E2257" s="37"/>
      <c r="F2257" s="37"/>
      <c r="G2257" s="40" t="str">
        <f>IF(tblMovimientos[[#This Row],[Producto]]="","",TRIM(LEFT(tblMovimientos[[#This Row],[Producto]],FIND(" · ",tblMovimientos[[#This Row],[Producto]]&amp;" · ")-1)))</f>
        <v/>
      </c>
      <c r="H2257" s="40" t="str">
        <f>IF(tblMovimientos[[#This Row],[SKU]]="","",IFERROR(INDEX(tblProductos[Unidad],MATCH(tblMovimientos[[#This Row],[SKU]],tblProductos[SKU],0)),"?"))</f>
        <v/>
      </c>
      <c r="I2257" s="39"/>
      <c r="J2257" s="47" t="str">
        <f>IF(tblMovimientos[[#This Row],[Tipo]]="","",IFERROR(INDEX(tblTiposMov[FactorStock],MATCH(tblMovimientos[[#This Row],[Tipo]],tblTiposMov[Tipo],0)),0))</f>
        <v/>
      </c>
      <c r="K22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7" s="37"/>
      <c r="O2257" s="37"/>
      <c r="P2257" s="37"/>
    </row>
    <row r="2258" spans="2:16" x14ac:dyDescent="0.25">
      <c r="B22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8" s="46"/>
      <c r="D2258" s="37"/>
      <c r="E2258" s="37"/>
      <c r="F2258" s="37"/>
      <c r="G2258" s="40" t="str">
        <f>IF(tblMovimientos[[#This Row],[Producto]]="","",TRIM(LEFT(tblMovimientos[[#This Row],[Producto]],FIND(" · ",tblMovimientos[[#This Row],[Producto]]&amp;" · ")-1)))</f>
        <v/>
      </c>
      <c r="H2258" s="40" t="str">
        <f>IF(tblMovimientos[[#This Row],[SKU]]="","",IFERROR(INDEX(tblProductos[Unidad],MATCH(tblMovimientos[[#This Row],[SKU]],tblProductos[SKU],0)),"?"))</f>
        <v/>
      </c>
      <c r="I2258" s="39"/>
      <c r="J2258" s="47" t="str">
        <f>IF(tblMovimientos[[#This Row],[Tipo]]="","",IFERROR(INDEX(tblTiposMov[FactorStock],MATCH(tblMovimientos[[#This Row],[Tipo]],tblTiposMov[Tipo],0)),0))</f>
        <v/>
      </c>
      <c r="K22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8" s="37"/>
      <c r="O2258" s="37"/>
      <c r="P2258" s="37"/>
    </row>
    <row r="2259" spans="2:16" x14ac:dyDescent="0.25">
      <c r="B22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59" s="46"/>
      <c r="D2259" s="37"/>
      <c r="E2259" s="37"/>
      <c r="F2259" s="37"/>
      <c r="G2259" s="40" t="str">
        <f>IF(tblMovimientos[[#This Row],[Producto]]="","",TRIM(LEFT(tblMovimientos[[#This Row],[Producto]],FIND(" · ",tblMovimientos[[#This Row],[Producto]]&amp;" · ")-1)))</f>
        <v/>
      </c>
      <c r="H2259" s="40" t="str">
        <f>IF(tblMovimientos[[#This Row],[SKU]]="","",IFERROR(INDEX(tblProductos[Unidad],MATCH(tblMovimientos[[#This Row],[SKU]],tblProductos[SKU],0)),"?"))</f>
        <v/>
      </c>
      <c r="I2259" s="39"/>
      <c r="J2259" s="47" t="str">
        <f>IF(tblMovimientos[[#This Row],[Tipo]]="","",IFERROR(INDEX(tblTiposMov[FactorStock],MATCH(tblMovimientos[[#This Row],[Tipo]],tblTiposMov[Tipo],0)),0))</f>
        <v/>
      </c>
      <c r="K22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59" s="37"/>
      <c r="O2259" s="37"/>
      <c r="P2259" s="37"/>
    </row>
    <row r="2260" spans="2:16" x14ac:dyDescent="0.25">
      <c r="B22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0" s="46"/>
      <c r="D2260" s="37"/>
      <c r="E2260" s="37"/>
      <c r="F2260" s="37"/>
      <c r="G2260" s="40" t="str">
        <f>IF(tblMovimientos[[#This Row],[Producto]]="","",TRIM(LEFT(tblMovimientos[[#This Row],[Producto]],FIND(" · ",tblMovimientos[[#This Row],[Producto]]&amp;" · ")-1)))</f>
        <v/>
      </c>
      <c r="H2260" s="40" t="str">
        <f>IF(tblMovimientos[[#This Row],[SKU]]="","",IFERROR(INDEX(tblProductos[Unidad],MATCH(tblMovimientos[[#This Row],[SKU]],tblProductos[SKU],0)),"?"))</f>
        <v/>
      </c>
      <c r="I2260" s="39"/>
      <c r="J2260" s="47" t="str">
        <f>IF(tblMovimientos[[#This Row],[Tipo]]="","",IFERROR(INDEX(tblTiposMov[FactorStock],MATCH(tblMovimientos[[#This Row],[Tipo]],tblTiposMov[Tipo],0)),0))</f>
        <v/>
      </c>
      <c r="K22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0" s="37"/>
      <c r="O2260" s="37"/>
      <c r="P2260" s="37"/>
    </row>
    <row r="2261" spans="2:16" x14ac:dyDescent="0.25">
      <c r="B22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1" s="46"/>
      <c r="D2261" s="37"/>
      <c r="E2261" s="37"/>
      <c r="F2261" s="37"/>
      <c r="G2261" s="40" t="str">
        <f>IF(tblMovimientos[[#This Row],[Producto]]="","",TRIM(LEFT(tblMovimientos[[#This Row],[Producto]],FIND(" · ",tblMovimientos[[#This Row],[Producto]]&amp;" · ")-1)))</f>
        <v/>
      </c>
      <c r="H2261" s="40" t="str">
        <f>IF(tblMovimientos[[#This Row],[SKU]]="","",IFERROR(INDEX(tblProductos[Unidad],MATCH(tblMovimientos[[#This Row],[SKU]],tblProductos[SKU],0)),"?"))</f>
        <v/>
      </c>
      <c r="I2261" s="39"/>
      <c r="J2261" s="47" t="str">
        <f>IF(tblMovimientos[[#This Row],[Tipo]]="","",IFERROR(INDEX(tblTiposMov[FactorStock],MATCH(tblMovimientos[[#This Row],[Tipo]],tblTiposMov[Tipo],0)),0))</f>
        <v/>
      </c>
      <c r="K22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1" s="37"/>
      <c r="O2261" s="37"/>
      <c r="P2261" s="37"/>
    </row>
    <row r="2262" spans="2:16" x14ac:dyDescent="0.25">
      <c r="B22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2" s="46"/>
      <c r="D2262" s="37"/>
      <c r="E2262" s="37"/>
      <c r="F2262" s="37"/>
      <c r="G2262" s="40" t="str">
        <f>IF(tblMovimientos[[#This Row],[Producto]]="","",TRIM(LEFT(tblMovimientos[[#This Row],[Producto]],FIND(" · ",tblMovimientos[[#This Row],[Producto]]&amp;" · ")-1)))</f>
        <v/>
      </c>
      <c r="H2262" s="40" t="str">
        <f>IF(tblMovimientos[[#This Row],[SKU]]="","",IFERROR(INDEX(tblProductos[Unidad],MATCH(tblMovimientos[[#This Row],[SKU]],tblProductos[SKU],0)),"?"))</f>
        <v/>
      </c>
      <c r="I2262" s="39"/>
      <c r="J2262" s="47" t="str">
        <f>IF(tblMovimientos[[#This Row],[Tipo]]="","",IFERROR(INDEX(tblTiposMov[FactorStock],MATCH(tblMovimientos[[#This Row],[Tipo]],tblTiposMov[Tipo],0)),0))</f>
        <v/>
      </c>
      <c r="K22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2" s="37"/>
      <c r="O2262" s="37"/>
      <c r="P2262" s="37"/>
    </row>
    <row r="2263" spans="2:16" x14ac:dyDescent="0.25">
      <c r="B22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3" s="46"/>
      <c r="D2263" s="37"/>
      <c r="E2263" s="37"/>
      <c r="F2263" s="37"/>
      <c r="G2263" s="40" t="str">
        <f>IF(tblMovimientos[[#This Row],[Producto]]="","",TRIM(LEFT(tblMovimientos[[#This Row],[Producto]],FIND(" · ",tblMovimientos[[#This Row],[Producto]]&amp;" · ")-1)))</f>
        <v/>
      </c>
      <c r="H2263" s="40" t="str">
        <f>IF(tblMovimientos[[#This Row],[SKU]]="","",IFERROR(INDEX(tblProductos[Unidad],MATCH(tblMovimientos[[#This Row],[SKU]],tblProductos[SKU],0)),"?"))</f>
        <v/>
      </c>
      <c r="I2263" s="39"/>
      <c r="J2263" s="47" t="str">
        <f>IF(tblMovimientos[[#This Row],[Tipo]]="","",IFERROR(INDEX(tblTiposMov[FactorStock],MATCH(tblMovimientos[[#This Row],[Tipo]],tblTiposMov[Tipo],0)),0))</f>
        <v/>
      </c>
      <c r="K22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3" s="37"/>
      <c r="O2263" s="37"/>
      <c r="P2263" s="37"/>
    </row>
    <row r="2264" spans="2:16" x14ac:dyDescent="0.25">
      <c r="B22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4" s="46"/>
      <c r="D2264" s="37"/>
      <c r="E2264" s="37"/>
      <c r="F2264" s="37"/>
      <c r="G2264" s="40" t="str">
        <f>IF(tblMovimientos[[#This Row],[Producto]]="","",TRIM(LEFT(tblMovimientos[[#This Row],[Producto]],FIND(" · ",tblMovimientos[[#This Row],[Producto]]&amp;" · ")-1)))</f>
        <v/>
      </c>
      <c r="H2264" s="40" t="str">
        <f>IF(tblMovimientos[[#This Row],[SKU]]="","",IFERROR(INDEX(tblProductos[Unidad],MATCH(tblMovimientos[[#This Row],[SKU]],tblProductos[SKU],0)),"?"))</f>
        <v/>
      </c>
      <c r="I2264" s="39"/>
      <c r="J2264" s="47" t="str">
        <f>IF(tblMovimientos[[#This Row],[Tipo]]="","",IFERROR(INDEX(tblTiposMov[FactorStock],MATCH(tblMovimientos[[#This Row],[Tipo]],tblTiposMov[Tipo],0)),0))</f>
        <v/>
      </c>
      <c r="K22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4" s="37"/>
      <c r="O2264" s="37"/>
      <c r="P2264" s="37"/>
    </row>
    <row r="2265" spans="2:16" x14ac:dyDescent="0.25">
      <c r="B22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5" s="46"/>
      <c r="D2265" s="37"/>
      <c r="E2265" s="37"/>
      <c r="F2265" s="37"/>
      <c r="G2265" s="40" t="str">
        <f>IF(tblMovimientos[[#This Row],[Producto]]="","",TRIM(LEFT(tblMovimientos[[#This Row],[Producto]],FIND(" · ",tblMovimientos[[#This Row],[Producto]]&amp;" · ")-1)))</f>
        <v/>
      </c>
      <c r="H2265" s="40" t="str">
        <f>IF(tblMovimientos[[#This Row],[SKU]]="","",IFERROR(INDEX(tblProductos[Unidad],MATCH(tblMovimientos[[#This Row],[SKU]],tblProductos[SKU],0)),"?"))</f>
        <v/>
      </c>
      <c r="I2265" s="39"/>
      <c r="J2265" s="47" t="str">
        <f>IF(tblMovimientos[[#This Row],[Tipo]]="","",IFERROR(INDEX(tblTiposMov[FactorStock],MATCH(tblMovimientos[[#This Row],[Tipo]],tblTiposMov[Tipo],0)),0))</f>
        <v/>
      </c>
      <c r="K22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5" s="37"/>
      <c r="O2265" s="37"/>
      <c r="P2265" s="37"/>
    </row>
    <row r="2266" spans="2:16" x14ac:dyDescent="0.25">
      <c r="B22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6" s="46"/>
      <c r="D2266" s="37"/>
      <c r="E2266" s="37"/>
      <c r="F2266" s="37"/>
      <c r="G2266" s="40" t="str">
        <f>IF(tblMovimientos[[#This Row],[Producto]]="","",TRIM(LEFT(tblMovimientos[[#This Row],[Producto]],FIND(" · ",tblMovimientos[[#This Row],[Producto]]&amp;" · ")-1)))</f>
        <v/>
      </c>
      <c r="H2266" s="40" t="str">
        <f>IF(tblMovimientos[[#This Row],[SKU]]="","",IFERROR(INDEX(tblProductos[Unidad],MATCH(tblMovimientos[[#This Row],[SKU]],tblProductos[SKU],0)),"?"))</f>
        <v/>
      </c>
      <c r="I2266" s="39"/>
      <c r="J2266" s="47" t="str">
        <f>IF(tblMovimientos[[#This Row],[Tipo]]="","",IFERROR(INDEX(tblTiposMov[FactorStock],MATCH(tblMovimientos[[#This Row],[Tipo]],tblTiposMov[Tipo],0)),0))</f>
        <v/>
      </c>
      <c r="K22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6" s="37"/>
      <c r="O2266" s="37"/>
      <c r="P2266" s="37"/>
    </row>
    <row r="2267" spans="2:16" x14ac:dyDescent="0.25">
      <c r="B22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7" s="46"/>
      <c r="D2267" s="37"/>
      <c r="E2267" s="37"/>
      <c r="F2267" s="37"/>
      <c r="G2267" s="40" t="str">
        <f>IF(tblMovimientos[[#This Row],[Producto]]="","",TRIM(LEFT(tblMovimientos[[#This Row],[Producto]],FIND(" · ",tblMovimientos[[#This Row],[Producto]]&amp;" · ")-1)))</f>
        <v/>
      </c>
      <c r="H2267" s="40" t="str">
        <f>IF(tblMovimientos[[#This Row],[SKU]]="","",IFERROR(INDEX(tblProductos[Unidad],MATCH(tblMovimientos[[#This Row],[SKU]],tblProductos[SKU],0)),"?"))</f>
        <v/>
      </c>
      <c r="I2267" s="39"/>
      <c r="J2267" s="47" t="str">
        <f>IF(tblMovimientos[[#This Row],[Tipo]]="","",IFERROR(INDEX(tblTiposMov[FactorStock],MATCH(tblMovimientos[[#This Row],[Tipo]],tblTiposMov[Tipo],0)),0))</f>
        <v/>
      </c>
      <c r="K22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7" s="37"/>
      <c r="O2267" s="37"/>
      <c r="P2267" s="37"/>
    </row>
    <row r="2268" spans="2:16" x14ac:dyDescent="0.25">
      <c r="B22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8" s="46"/>
      <c r="D2268" s="37"/>
      <c r="E2268" s="37"/>
      <c r="F2268" s="37"/>
      <c r="G2268" s="40" t="str">
        <f>IF(tblMovimientos[[#This Row],[Producto]]="","",TRIM(LEFT(tblMovimientos[[#This Row],[Producto]],FIND(" · ",tblMovimientos[[#This Row],[Producto]]&amp;" · ")-1)))</f>
        <v/>
      </c>
      <c r="H2268" s="40" t="str">
        <f>IF(tblMovimientos[[#This Row],[SKU]]="","",IFERROR(INDEX(tblProductos[Unidad],MATCH(tblMovimientos[[#This Row],[SKU]],tblProductos[SKU],0)),"?"))</f>
        <v/>
      </c>
      <c r="I2268" s="39"/>
      <c r="J2268" s="47" t="str">
        <f>IF(tblMovimientos[[#This Row],[Tipo]]="","",IFERROR(INDEX(tblTiposMov[FactorStock],MATCH(tblMovimientos[[#This Row],[Tipo]],tblTiposMov[Tipo],0)),0))</f>
        <v/>
      </c>
      <c r="K22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8" s="37"/>
      <c r="O2268" s="37"/>
      <c r="P2268" s="37"/>
    </row>
    <row r="2269" spans="2:16" x14ac:dyDescent="0.25">
      <c r="B22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69" s="46"/>
      <c r="D2269" s="37"/>
      <c r="E2269" s="37"/>
      <c r="F2269" s="37"/>
      <c r="G2269" s="40" t="str">
        <f>IF(tblMovimientos[[#This Row],[Producto]]="","",TRIM(LEFT(tblMovimientos[[#This Row],[Producto]],FIND(" · ",tblMovimientos[[#This Row],[Producto]]&amp;" · ")-1)))</f>
        <v/>
      </c>
      <c r="H2269" s="40" t="str">
        <f>IF(tblMovimientos[[#This Row],[SKU]]="","",IFERROR(INDEX(tblProductos[Unidad],MATCH(tblMovimientos[[#This Row],[SKU]],tblProductos[SKU],0)),"?"))</f>
        <v/>
      </c>
      <c r="I2269" s="39"/>
      <c r="J2269" s="47" t="str">
        <f>IF(tblMovimientos[[#This Row],[Tipo]]="","",IFERROR(INDEX(tblTiposMov[FactorStock],MATCH(tblMovimientos[[#This Row],[Tipo]],tblTiposMov[Tipo],0)),0))</f>
        <v/>
      </c>
      <c r="K22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69" s="37"/>
      <c r="O2269" s="37"/>
      <c r="P2269" s="37"/>
    </row>
    <row r="2270" spans="2:16" x14ac:dyDescent="0.25">
      <c r="B22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0" s="46"/>
      <c r="D2270" s="37"/>
      <c r="E2270" s="37"/>
      <c r="F2270" s="37"/>
      <c r="G2270" s="40" t="str">
        <f>IF(tblMovimientos[[#This Row],[Producto]]="","",TRIM(LEFT(tblMovimientos[[#This Row],[Producto]],FIND(" · ",tblMovimientos[[#This Row],[Producto]]&amp;" · ")-1)))</f>
        <v/>
      </c>
      <c r="H2270" s="40" t="str">
        <f>IF(tblMovimientos[[#This Row],[SKU]]="","",IFERROR(INDEX(tblProductos[Unidad],MATCH(tblMovimientos[[#This Row],[SKU]],tblProductos[SKU],0)),"?"))</f>
        <v/>
      </c>
      <c r="I2270" s="39"/>
      <c r="J2270" s="47" t="str">
        <f>IF(tblMovimientos[[#This Row],[Tipo]]="","",IFERROR(INDEX(tblTiposMov[FactorStock],MATCH(tblMovimientos[[#This Row],[Tipo]],tblTiposMov[Tipo],0)),0))</f>
        <v/>
      </c>
      <c r="K22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0" s="37"/>
      <c r="O2270" s="37"/>
      <c r="P2270" s="37"/>
    </row>
    <row r="2271" spans="2:16" x14ac:dyDescent="0.25">
      <c r="B22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1" s="46"/>
      <c r="D2271" s="37"/>
      <c r="E2271" s="37"/>
      <c r="F2271" s="37"/>
      <c r="G2271" s="40" t="str">
        <f>IF(tblMovimientos[[#This Row],[Producto]]="","",TRIM(LEFT(tblMovimientos[[#This Row],[Producto]],FIND(" · ",tblMovimientos[[#This Row],[Producto]]&amp;" · ")-1)))</f>
        <v/>
      </c>
      <c r="H2271" s="40" t="str">
        <f>IF(tblMovimientos[[#This Row],[SKU]]="","",IFERROR(INDEX(tblProductos[Unidad],MATCH(tblMovimientos[[#This Row],[SKU]],tblProductos[SKU],0)),"?"))</f>
        <v/>
      </c>
      <c r="I2271" s="39"/>
      <c r="J2271" s="47" t="str">
        <f>IF(tblMovimientos[[#This Row],[Tipo]]="","",IFERROR(INDEX(tblTiposMov[FactorStock],MATCH(tblMovimientos[[#This Row],[Tipo]],tblTiposMov[Tipo],0)),0))</f>
        <v/>
      </c>
      <c r="K22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1" s="37"/>
      <c r="O2271" s="37"/>
      <c r="P2271" s="37"/>
    </row>
    <row r="2272" spans="2:16" x14ac:dyDescent="0.25">
      <c r="B22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2" s="46"/>
      <c r="D2272" s="37"/>
      <c r="E2272" s="37"/>
      <c r="F2272" s="37"/>
      <c r="G2272" s="40" t="str">
        <f>IF(tblMovimientos[[#This Row],[Producto]]="","",TRIM(LEFT(tblMovimientos[[#This Row],[Producto]],FIND(" · ",tblMovimientos[[#This Row],[Producto]]&amp;" · ")-1)))</f>
        <v/>
      </c>
      <c r="H2272" s="40" t="str">
        <f>IF(tblMovimientos[[#This Row],[SKU]]="","",IFERROR(INDEX(tblProductos[Unidad],MATCH(tblMovimientos[[#This Row],[SKU]],tblProductos[SKU],0)),"?"))</f>
        <v/>
      </c>
      <c r="I2272" s="39"/>
      <c r="J2272" s="47" t="str">
        <f>IF(tblMovimientos[[#This Row],[Tipo]]="","",IFERROR(INDEX(tblTiposMov[FactorStock],MATCH(tblMovimientos[[#This Row],[Tipo]],tblTiposMov[Tipo],0)),0))</f>
        <v/>
      </c>
      <c r="K22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2" s="37"/>
      <c r="O2272" s="37"/>
      <c r="P2272" s="37"/>
    </row>
    <row r="2273" spans="2:16" x14ac:dyDescent="0.25">
      <c r="B22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3" s="46"/>
      <c r="D2273" s="37"/>
      <c r="E2273" s="37"/>
      <c r="F2273" s="37"/>
      <c r="G2273" s="40" t="str">
        <f>IF(tblMovimientos[[#This Row],[Producto]]="","",TRIM(LEFT(tblMovimientos[[#This Row],[Producto]],FIND(" · ",tblMovimientos[[#This Row],[Producto]]&amp;" · ")-1)))</f>
        <v/>
      </c>
      <c r="H2273" s="40" t="str">
        <f>IF(tblMovimientos[[#This Row],[SKU]]="","",IFERROR(INDEX(tblProductos[Unidad],MATCH(tblMovimientos[[#This Row],[SKU]],tblProductos[SKU],0)),"?"))</f>
        <v/>
      </c>
      <c r="I2273" s="39"/>
      <c r="J2273" s="47" t="str">
        <f>IF(tblMovimientos[[#This Row],[Tipo]]="","",IFERROR(INDEX(tblTiposMov[FactorStock],MATCH(tblMovimientos[[#This Row],[Tipo]],tblTiposMov[Tipo],0)),0))</f>
        <v/>
      </c>
      <c r="K22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3" s="37"/>
      <c r="O2273" s="37"/>
      <c r="P2273" s="37"/>
    </row>
    <row r="2274" spans="2:16" x14ac:dyDescent="0.25">
      <c r="B22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4" s="46"/>
      <c r="D2274" s="37"/>
      <c r="E2274" s="37"/>
      <c r="F2274" s="37"/>
      <c r="G2274" s="40" t="str">
        <f>IF(tblMovimientos[[#This Row],[Producto]]="","",TRIM(LEFT(tblMovimientos[[#This Row],[Producto]],FIND(" · ",tblMovimientos[[#This Row],[Producto]]&amp;" · ")-1)))</f>
        <v/>
      </c>
      <c r="H2274" s="40" t="str">
        <f>IF(tblMovimientos[[#This Row],[SKU]]="","",IFERROR(INDEX(tblProductos[Unidad],MATCH(tblMovimientos[[#This Row],[SKU]],tblProductos[SKU],0)),"?"))</f>
        <v/>
      </c>
      <c r="I2274" s="39"/>
      <c r="J2274" s="47" t="str">
        <f>IF(tblMovimientos[[#This Row],[Tipo]]="","",IFERROR(INDEX(tblTiposMov[FactorStock],MATCH(tblMovimientos[[#This Row],[Tipo]],tblTiposMov[Tipo],0)),0))</f>
        <v/>
      </c>
      <c r="K22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4" s="37"/>
      <c r="O2274" s="37"/>
      <c r="P2274" s="37"/>
    </row>
    <row r="2275" spans="2:16" x14ac:dyDescent="0.25">
      <c r="B22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5" s="46"/>
      <c r="D2275" s="37"/>
      <c r="E2275" s="37"/>
      <c r="F2275" s="37"/>
      <c r="G2275" s="40" t="str">
        <f>IF(tblMovimientos[[#This Row],[Producto]]="","",TRIM(LEFT(tblMovimientos[[#This Row],[Producto]],FIND(" · ",tblMovimientos[[#This Row],[Producto]]&amp;" · ")-1)))</f>
        <v/>
      </c>
      <c r="H2275" s="40" t="str">
        <f>IF(tblMovimientos[[#This Row],[SKU]]="","",IFERROR(INDEX(tblProductos[Unidad],MATCH(tblMovimientos[[#This Row],[SKU]],tblProductos[SKU],0)),"?"))</f>
        <v/>
      </c>
      <c r="I2275" s="39"/>
      <c r="J2275" s="47" t="str">
        <f>IF(tblMovimientos[[#This Row],[Tipo]]="","",IFERROR(INDEX(tblTiposMov[FactorStock],MATCH(tblMovimientos[[#This Row],[Tipo]],tblTiposMov[Tipo],0)),0))</f>
        <v/>
      </c>
      <c r="K22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5" s="37"/>
      <c r="O2275" s="37"/>
      <c r="P2275" s="37"/>
    </row>
    <row r="2276" spans="2:16" x14ac:dyDescent="0.25">
      <c r="B22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6" s="46"/>
      <c r="D2276" s="37"/>
      <c r="E2276" s="37"/>
      <c r="F2276" s="37"/>
      <c r="G2276" s="40" t="str">
        <f>IF(tblMovimientos[[#This Row],[Producto]]="","",TRIM(LEFT(tblMovimientos[[#This Row],[Producto]],FIND(" · ",tblMovimientos[[#This Row],[Producto]]&amp;" · ")-1)))</f>
        <v/>
      </c>
      <c r="H2276" s="40" t="str">
        <f>IF(tblMovimientos[[#This Row],[SKU]]="","",IFERROR(INDEX(tblProductos[Unidad],MATCH(tblMovimientos[[#This Row],[SKU]],tblProductos[SKU],0)),"?"))</f>
        <v/>
      </c>
      <c r="I2276" s="39"/>
      <c r="J2276" s="47" t="str">
        <f>IF(tblMovimientos[[#This Row],[Tipo]]="","",IFERROR(INDEX(tblTiposMov[FactorStock],MATCH(tblMovimientos[[#This Row],[Tipo]],tblTiposMov[Tipo],0)),0))</f>
        <v/>
      </c>
      <c r="K22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6" s="37"/>
      <c r="O2276" s="37"/>
      <c r="P2276" s="37"/>
    </row>
    <row r="2277" spans="2:16" x14ac:dyDescent="0.25">
      <c r="B22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7" s="46"/>
      <c r="D2277" s="37"/>
      <c r="E2277" s="37"/>
      <c r="F2277" s="37"/>
      <c r="G2277" s="40" t="str">
        <f>IF(tblMovimientos[[#This Row],[Producto]]="","",TRIM(LEFT(tblMovimientos[[#This Row],[Producto]],FIND(" · ",tblMovimientos[[#This Row],[Producto]]&amp;" · ")-1)))</f>
        <v/>
      </c>
      <c r="H2277" s="40" t="str">
        <f>IF(tblMovimientos[[#This Row],[SKU]]="","",IFERROR(INDEX(tblProductos[Unidad],MATCH(tblMovimientos[[#This Row],[SKU]],tblProductos[SKU],0)),"?"))</f>
        <v/>
      </c>
      <c r="I2277" s="39"/>
      <c r="J2277" s="47" t="str">
        <f>IF(tblMovimientos[[#This Row],[Tipo]]="","",IFERROR(INDEX(tblTiposMov[FactorStock],MATCH(tblMovimientos[[#This Row],[Tipo]],tblTiposMov[Tipo],0)),0))</f>
        <v/>
      </c>
      <c r="K22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7" s="37"/>
      <c r="O2277" s="37"/>
      <c r="P2277" s="37"/>
    </row>
    <row r="2278" spans="2:16" x14ac:dyDescent="0.25">
      <c r="B22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8" s="46"/>
      <c r="D2278" s="37"/>
      <c r="E2278" s="37"/>
      <c r="F2278" s="37"/>
      <c r="G2278" s="40" t="str">
        <f>IF(tblMovimientos[[#This Row],[Producto]]="","",TRIM(LEFT(tblMovimientos[[#This Row],[Producto]],FIND(" · ",tblMovimientos[[#This Row],[Producto]]&amp;" · ")-1)))</f>
        <v/>
      </c>
      <c r="H2278" s="40" t="str">
        <f>IF(tblMovimientos[[#This Row],[SKU]]="","",IFERROR(INDEX(tblProductos[Unidad],MATCH(tblMovimientos[[#This Row],[SKU]],tblProductos[SKU],0)),"?"))</f>
        <v/>
      </c>
      <c r="I2278" s="39"/>
      <c r="J2278" s="47" t="str">
        <f>IF(tblMovimientos[[#This Row],[Tipo]]="","",IFERROR(INDEX(tblTiposMov[FactorStock],MATCH(tblMovimientos[[#This Row],[Tipo]],tblTiposMov[Tipo],0)),0))</f>
        <v/>
      </c>
      <c r="K22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8" s="37"/>
      <c r="O2278" s="37"/>
      <c r="P2278" s="37"/>
    </row>
    <row r="2279" spans="2:16" x14ac:dyDescent="0.25">
      <c r="B22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79" s="46"/>
      <c r="D2279" s="37"/>
      <c r="E2279" s="37"/>
      <c r="F2279" s="37"/>
      <c r="G2279" s="40" t="str">
        <f>IF(tblMovimientos[[#This Row],[Producto]]="","",TRIM(LEFT(tblMovimientos[[#This Row],[Producto]],FIND(" · ",tblMovimientos[[#This Row],[Producto]]&amp;" · ")-1)))</f>
        <v/>
      </c>
      <c r="H2279" s="40" t="str">
        <f>IF(tblMovimientos[[#This Row],[SKU]]="","",IFERROR(INDEX(tblProductos[Unidad],MATCH(tblMovimientos[[#This Row],[SKU]],tblProductos[SKU],0)),"?"))</f>
        <v/>
      </c>
      <c r="I2279" s="39"/>
      <c r="J2279" s="47" t="str">
        <f>IF(tblMovimientos[[#This Row],[Tipo]]="","",IFERROR(INDEX(tblTiposMov[FactorStock],MATCH(tblMovimientos[[#This Row],[Tipo]],tblTiposMov[Tipo],0)),0))</f>
        <v/>
      </c>
      <c r="K22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79" s="37"/>
      <c r="O2279" s="37"/>
      <c r="P2279" s="37"/>
    </row>
    <row r="2280" spans="2:16" x14ac:dyDescent="0.25">
      <c r="B22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0" s="46"/>
      <c r="D2280" s="37"/>
      <c r="E2280" s="37"/>
      <c r="F2280" s="37"/>
      <c r="G2280" s="40" t="str">
        <f>IF(tblMovimientos[[#This Row],[Producto]]="","",TRIM(LEFT(tblMovimientos[[#This Row],[Producto]],FIND(" · ",tblMovimientos[[#This Row],[Producto]]&amp;" · ")-1)))</f>
        <v/>
      </c>
      <c r="H2280" s="40" t="str">
        <f>IF(tblMovimientos[[#This Row],[SKU]]="","",IFERROR(INDEX(tblProductos[Unidad],MATCH(tblMovimientos[[#This Row],[SKU]],tblProductos[SKU],0)),"?"))</f>
        <v/>
      </c>
      <c r="I2280" s="39"/>
      <c r="J2280" s="47" t="str">
        <f>IF(tblMovimientos[[#This Row],[Tipo]]="","",IFERROR(INDEX(tblTiposMov[FactorStock],MATCH(tblMovimientos[[#This Row],[Tipo]],tblTiposMov[Tipo],0)),0))</f>
        <v/>
      </c>
      <c r="K22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0" s="37"/>
      <c r="O2280" s="37"/>
      <c r="P2280" s="37"/>
    </row>
    <row r="2281" spans="2:16" x14ac:dyDescent="0.25">
      <c r="B22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1" s="46"/>
      <c r="D2281" s="37"/>
      <c r="E2281" s="37"/>
      <c r="F2281" s="37"/>
      <c r="G2281" s="40" t="str">
        <f>IF(tblMovimientos[[#This Row],[Producto]]="","",TRIM(LEFT(tblMovimientos[[#This Row],[Producto]],FIND(" · ",tblMovimientos[[#This Row],[Producto]]&amp;" · ")-1)))</f>
        <v/>
      </c>
      <c r="H2281" s="40" t="str">
        <f>IF(tblMovimientos[[#This Row],[SKU]]="","",IFERROR(INDEX(tblProductos[Unidad],MATCH(tblMovimientos[[#This Row],[SKU]],tblProductos[SKU],0)),"?"))</f>
        <v/>
      </c>
      <c r="I2281" s="39"/>
      <c r="J2281" s="47" t="str">
        <f>IF(tblMovimientos[[#This Row],[Tipo]]="","",IFERROR(INDEX(tblTiposMov[FactorStock],MATCH(tblMovimientos[[#This Row],[Tipo]],tblTiposMov[Tipo],0)),0))</f>
        <v/>
      </c>
      <c r="K22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1" s="37"/>
      <c r="O2281" s="37"/>
      <c r="P2281" s="37"/>
    </row>
    <row r="2282" spans="2:16" x14ac:dyDescent="0.25">
      <c r="B22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2" s="46"/>
      <c r="D2282" s="37"/>
      <c r="E2282" s="37"/>
      <c r="F2282" s="37"/>
      <c r="G2282" s="40" t="str">
        <f>IF(tblMovimientos[[#This Row],[Producto]]="","",TRIM(LEFT(tblMovimientos[[#This Row],[Producto]],FIND(" · ",tblMovimientos[[#This Row],[Producto]]&amp;" · ")-1)))</f>
        <v/>
      </c>
      <c r="H2282" s="40" t="str">
        <f>IF(tblMovimientos[[#This Row],[SKU]]="","",IFERROR(INDEX(tblProductos[Unidad],MATCH(tblMovimientos[[#This Row],[SKU]],tblProductos[SKU],0)),"?"))</f>
        <v/>
      </c>
      <c r="I2282" s="39"/>
      <c r="J2282" s="47" t="str">
        <f>IF(tblMovimientos[[#This Row],[Tipo]]="","",IFERROR(INDEX(tblTiposMov[FactorStock],MATCH(tblMovimientos[[#This Row],[Tipo]],tblTiposMov[Tipo],0)),0))</f>
        <v/>
      </c>
      <c r="K22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2" s="37"/>
      <c r="O2282" s="37"/>
      <c r="P2282" s="37"/>
    </row>
    <row r="2283" spans="2:16" x14ac:dyDescent="0.25">
      <c r="B22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3" s="46"/>
      <c r="D2283" s="37"/>
      <c r="E2283" s="37"/>
      <c r="F2283" s="37"/>
      <c r="G2283" s="40" t="str">
        <f>IF(tblMovimientos[[#This Row],[Producto]]="","",TRIM(LEFT(tblMovimientos[[#This Row],[Producto]],FIND(" · ",tblMovimientos[[#This Row],[Producto]]&amp;" · ")-1)))</f>
        <v/>
      </c>
      <c r="H2283" s="40" t="str">
        <f>IF(tblMovimientos[[#This Row],[SKU]]="","",IFERROR(INDEX(tblProductos[Unidad],MATCH(tblMovimientos[[#This Row],[SKU]],tblProductos[SKU],0)),"?"))</f>
        <v/>
      </c>
      <c r="I2283" s="39"/>
      <c r="J2283" s="47" t="str">
        <f>IF(tblMovimientos[[#This Row],[Tipo]]="","",IFERROR(INDEX(tblTiposMov[FactorStock],MATCH(tblMovimientos[[#This Row],[Tipo]],tblTiposMov[Tipo],0)),0))</f>
        <v/>
      </c>
      <c r="K22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3" s="37"/>
      <c r="O2283" s="37"/>
      <c r="P2283" s="37"/>
    </row>
    <row r="2284" spans="2:16" x14ac:dyDescent="0.25">
      <c r="B22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4" s="46"/>
      <c r="D2284" s="37"/>
      <c r="E2284" s="37"/>
      <c r="F2284" s="37"/>
      <c r="G2284" s="40" t="str">
        <f>IF(tblMovimientos[[#This Row],[Producto]]="","",TRIM(LEFT(tblMovimientos[[#This Row],[Producto]],FIND(" · ",tblMovimientos[[#This Row],[Producto]]&amp;" · ")-1)))</f>
        <v/>
      </c>
      <c r="H2284" s="40" t="str">
        <f>IF(tblMovimientos[[#This Row],[SKU]]="","",IFERROR(INDEX(tblProductos[Unidad],MATCH(tblMovimientos[[#This Row],[SKU]],tblProductos[SKU],0)),"?"))</f>
        <v/>
      </c>
      <c r="I2284" s="39"/>
      <c r="J2284" s="47" t="str">
        <f>IF(tblMovimientos[[#This Row],[Tipo]]="","",IFERROR(INDEX(tblTiposMov[FactorStock],MATCH(tblMovimientos[[#This Row],[Tipo]],tblTiposMov[Tipo],0)),0))</f>
        <v/>
      </c>
      <c r="K22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4" s="37"/>
      <c r="O2284" s="37"/>
      <c r="P2284" s="37"/>
    </row>
    <row r="2285" spans="2:16" x14ac:dyDescent="0.25">
      <c r="B22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5" s="46"/>
      <c r="D2285" s="37"/>
      <c r="E2285" s="37"/>
      <c r="F2285" s="37"/>
      <c r="G2285" s="40" t="str">
        <f>IF(tblMovimientos[[#This Row],[Producto]]="","",TRIM(LEFT(tblMovimientos[[#This Row],[Producto]],FIND(" · ",tblMovimientos[[#This Row],[Producto]]&amp;" · ")-1)))</f>
        <v/>
      </c>
      <c r="H2285" s="40" t="str">
        <f>IF(tblMovimientos[[#This Row],[SKU]]="","",IFERROR(INDEX(tblProductos[Unidad],MATCH(tblMovimientos[[#This Row],[SKU]],tblProductos[SKU],0)),"?"))</f>
        <v/>
      </c>
      <c r="I2285" s="39"/>
      <c r="J2285" s="47" t="str">
        <f>IF(tblMovimientos[[#This Row],[Tipo]]="","",IFERROR(INDEX(tblTiposMov[FactorStock],MATCH(tblMovimientos[[#This Row],[Tipo]],tblTiposMov[Tipo],0)),0))</f>
        <v/>
      </c>
      <c r="K22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5" s="37"/>
      <c r="O2285" s="37"/>
      <c r="P2285" s="37"/>
    </row>
    <row r="2286" spans="2:16" x14ac:dyDescent="0.25">
      <c r="B22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6" s="46"/>
      <c r="D2286" s="37"/>
      <c r="E2286" s="37"/>
      <c r="F2286" s="37"/>
      <c r="G2286" s="40" t="str">
        <f>IF(tblMovimientos[[#This Row],[Producto]]="","",TRIM(LEFT(tblMovimientos[[#This Row],[Producto]],FIND(" · ",tblMovimientos[[#This Row],[Producto]]&amp;" · ")-1)))</f>
        <v/>
      </c>
      <c r="H2286" s="40" t="str">
        <f>IF(tblMovimientos[[#This Row],[SKU]]="","",IFERROR(INDEX(tblProductos[Unidad],MATCH(tblMovimientos[[#This Row],[SKU]],tblProductos[SKU],0)),"?"))</f>
        <v/>
      </c>
      <c r="I2286" s="39"/>
      <c r="J2286" s="47" t="str">
        <f>IF(tblMovimientos[[#This Row],[Tipo]]="","",IFERROR(INDEX(tblTiposMov[FactorStock],MATCH(tblMovimientos[[#This Row],[Tipo]],tblTiposMov[Tipo],0)),0))</f>
        <v/>
      </c>
      <c r="K22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6" s="37"/>
      <c r="O2286" s="37"/>
      <c r="P2286" s="37"/>
    </row>
    <row r="2287" spans="2:16" x14ac:dyDescent="0.25">
      <c r="B22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7" s="46"/>
      <c r="D2287" s="37"/>
      <c r="E2287" s="37"/>
      <c r="F2287" s="37"/>
      <c r="G2287" s="40" t="str">
        <f>IF(tblMovimientos[[#This Row],[Producto]]="","",TRIM(LEFT(tblMovimientos[[#This Row],[Producto]],FIND(" · ",tblMovimientos[[#This Row],[Producto]]&amp;" · ")-1)))</f>
        <v/>
      </c>
      <c r="H2287" s="40" t="str">
        <f>IF(tblMovimientos[[#This Row],[SKU]]="","",IFERROR(INDEX(tblProductos[Unidad],MATCH(tblMovimientos[[#This Row],[SKU]],tblProductos[SKU],0)),"?"))</f>
        <v/>
      </c>
      <c r="I2287" s="39"/>
      <c r="J2287" s="47" t="str">
        <f>IF(tblMovimientos[[#This Row],[Tipo]]="","",IFERROR(INDEX(tblTiposMov[FactorStock],MATCH(tblMovimientos[[#This Row],[Tipo]],tblTiposMov[Tipo],0)),0))</f>
        <v/>
      </c>
      <c r="K22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7" s="37"/>
      <c r="O2287" s="37"/>
      <c r="P2287" s="37"/>
    </row>
    <row r="2288" spans="2:16" x14ac:dyDescent="0.25">
      <c r="B22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8" s="46"/>
      <c r="D2288" s="37"/>
      <c r="E2288" s="37"/>
      <c r="F2288" s="37"/>
      <c r="G2288" s="40" t="str">
        <f>IF(tblMovimientos[[#This Row],[Producto]]="","",TRIM(LEFT(tblMovimientos[[#This Row],[Producto]],FIND(" · ",tblMovimientos[[#This Row],[Producto]]&amp;" · ")-1)))</f>
        <v/>
      </c>
      <c r="H2288" s="40" t="str">
        <f>IF(tblMovimientos[[#This Row],[SKU]]="","",IFERROR(INDEX(tblProductos[Unidad],MATCH(tblMovimientos[[#This Row],[SKU]],tblProductos[SKU],0)),"?"))</f>
        <v/>
      </c>
      <c r="I2288" s="39"/>
      <c r="J2288" s="47" t="str">
        <f>IF(tblMovimientos[[#This Row],[Tipo]]="","",IFERROR(INDEX(tblTiposMov[FactorStock],MATCH(tblMovimientos[[#This Row],[Tipo]],tblTiposMov[Tipo],0)),0))</f>
        <v/>
      </c>
      <c r="K22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8" s="37"/>
      <c r="O2288" s="37"/>
      <c r="P2288" s="37"/>
    </row>
    <row r="2289" spans="2:16" x14ac:dyDescent="0.25">
      <c r="B22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89" s="46"/>
      <c r="D2289" s="37"/>
      <c r="E2289" s="37"/>
      <c r="F2289" s="37"/>
      <c r="G2289" s="40" t="str">
        <f>IF(tblMovimientos[[#This Row],[Producto]]="","",TRIM(LEFT(tblMovimientos[[#This Row],[Producto]],FIND(" · ",tblMovimientos[[#This Row],[Producto]]&amp;" · ")-1)))</f>
        <v/>
      </c>
      <c r="H2289" s="40" t="str">
        <f>IF(tblMovimientos[[#This Row],[SKU]]="","",IFERROR(INDEX(tblProductos[Unidad],MATCH(tblMovimientos[[#This Row],[SKU]],tblProductos[SKU],0)),"?"))</f>
        <v/>
      </c>
      <c r="I2289" s="39"/>
      <c r="J2289" s="47" t="str">
        <f>IF(tblMovimientos[[#This Row],[Tipo]]="","",IFERROR(INDEX(tblTiposMov[FactorStock],MATCH(tblMovimientos[[#This Row],[Tipo]],tblTiposMov[Tipo],0)),0))</f>
        <v/>
      </c>
      <c r="K22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89" s="37"/>
      <c r="O2289" s="37"/>
      <c r="P2289" s="37"/>
    </row>
    <row r="2290" spans="2:16" x14ac:dyDescent="0.25">
      <c r="B22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0" s="46"/>
      <c r="D2290" s="37"/>
      <c r="E2290" s="37"/>
      <c r="F2290" s="37"/>
      <c r="G2290" s="40" t="str">
        <f>IF(tblMovimientos[[#This Row],[Producto]]="","",TRIM(LEFT(tblMovimientos[[#This Row],[Producto]],FIND(" · ",tblMovimientos[[#This Row],[Producto]]&amp;" · ")-1)))</f>
        <v/>
      </c>
      <c r="H2290" s="40" t="str">
        <f>IF(tblMovimientos[[#This Row],[SKU]]="","",IFERROR(INDEX(tblProductos[Unidad],MATCH(tblMovimientos[[#This Row],[SKU]],tblProductos[SKU],0)),"?"))</f>
        <v/>
      </c>
      <c r="I2290" s="39"/>
      <c r="J2290" s="47" t="str">
        <f>IF(tblMovimientos[[#This Row],[Tipo]]="","",IFERROR(INDEX(tblTiposMov[FactorStock],MATCH(tblMovimientos[[#This Row],[Tipo]],tblTiposMov[Tipo],0)),0))</f>
        <v/>
      </c>
      <c r="K22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0" s="37"/>
      <c r="O2290" s="37"/>
      <c r="P2290" s="37"/>
    </row>
    <row r="2291" spans="2:16" x14ac:dyDescent="0.25">
      <c r="B22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1" s="46"/>
      <c r="D2291" s="37"/>
      <c r="E2291" s="37"/>
      <c r="F2291" s="37"/>
      <c r="G2291" s="40" t="str">
        <f>IF(tblMovimientos[[#This Row],[Producto]]="","",TRIM(LEFT(tblMovimientos[[#This Row],[Producto]],FIND(" · ",tblMovimientos[[#This Row],[Producto]]&amp;" · ")-1)))</f>
        <v/>
      </c>
      <c r="H2291" s="40" t="str">
        <f>IF(tblMovimientos[[#This Row],[SKU]]="","",IFERROR(INDEX(tblProductos[Unidad],MATCH(tblMovimientos[[#This Row],[SKU]],tblProductos[SKU],0)),"?"))</f>
        <v/>
      </c>
      <c r="I2291" s="39"/>
      <c r="J2291" s="47" t="str">
        <f>IF(tblMovimientos[[#This Row],[Tipo]]="","",IFERROR(INDEX(tblTiposMov[FactorStock],MATCH(tblMovimientos[[#This Row],[Tipo]],tblTiposMov[Tipo],0)),0))</f>
        <v/>
      </c>
      <c r="K22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1" s="37"/>
      <c r="O2291" s="37"/>
      <c r="P2291" s="37"/>
    </row>
    <row r="2292" spans="2:16" x14ac:dyDescent="0.25">
      <c r="B22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2" s="46"/>
      <c r="D2292" s="37"/>
      <c r="E2292" s="37"/>
      <c r="F2292" s="37"/>
      <c r="G2292" s="40" t="str">
        <f>IF(tblMovimientos[[#This Row],[Producto]]="","",TRIM(LEFT(tblMovimientos[[#This Row],[Producto]],FIND(" · ",tblMovimientos[[#This Row],[Producto]]&amp;" · ")-1)))</f>
        <v/>
      </c>
      <c r="H2292" s="40" t="str">
        <f>IF(tblMovimientos[[#This Row],[SKU]]="","",IFERROR(INDEX(tblProductos[Unidad],MATCH(tblMovimientos[[#This Row],[SKU]],tblProductos[SKU],0)),"?"))</f>
        <v/>
      </c>
      <c r="I2292" s="39"/>
      <c r="J2292" s="47" t="str">
        <f>IF(tblMovimientos[[#This Row],[Tipo]]="","",IFERROR(INDEX(tblTiposMov[FactorStock],MATCH(tblMovimientos[[#This Row],[Tipo]],tblTiposMov[Tipo],0)),0))</f>
        <v/>
      </c>
      <c r="K22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2" s="37"/>
      <c r="O2292" s="37"/>
      <c r="P2292" s="37"/>
    </row>
    <row r="2293" spans="2:16" x14ac:dyDescent="0.25">
      <c r="B22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3" s="46"/>
      <c r="D2293" s="37"/>
      <c r="E2293" s="37"/>
      <c r="F2293" s="37"/>
      <c r="G2293" s="40" t="str">
        <f>IF(tblMovimientos[[#This Row],[Producto]]="","",TRIM(LEFT(tblMovimientos[[#This Row],[Producto]],FIND(" · ",tblMovimientos[[#This Row],[Producto]]&amp;" · ")-1)))</f>
        <v/>
      </c>
      <c r="H2293" s="40" t="str">
        <f>IF(tblMovimientos[[#This Row],[SKU]]="","",IFERROR(INDEX(tblProductos[Unidad],MATCH(tblMovimientos[[#This Row],[SKU]],tblProductos[SKU],0)),"?"))</f>
        <v/>
      </c>
      <c r="I2293" s="39"/>
      <c r="J2293" s="47" t="str">
        <f>IF(tblMovimientos[[#This Row],[Tipo]]="","",IFERROR(INDEX(tblTiposMov[FactorStock],MATCH(tblMovimientos[[#This Row],[Tipo]],tblTiposMov[Tipo],0)),0))</f>
        <v/>
      </c>
      <c r="K22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3" s="37"/>
      <c r="O2293" s="37"/>
      <c r="P2293" s="37"/>
    </row>
    <row r="2294" spans="2:16" x14ac:dyDescent="0.25">
      <c r="B22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4" s="46"/>
      <c r="D2294" s="37"/>
      <c r="E2294" s="37"/>
      <c r="F2294" s="37"/>
      <c r="G2294" s="40" t="str">
        <f>IF(tblMovimientos[[#This Row],[Producto]]="","",TRIM(LEFT(tblMovimientos[[#This Row],[Producto]],FIND(" · ",tblMovimientos[[#This Row],[Producto]]&amp;" · ")-1)))</f>
        <v/>
      </c>
      <c r="H2294" s="40" t="str">
        <f>IF(tblMovimientos[[#This Row],[SKU]]="","",IFERROR(INDEX(tblProductos[Unidad],MATCH(tblMovimientos[[#This Row],[SKU]],tblProductos[SKU],0)),"?"))</f>
        <v/>
      </c>
      <c r="I2294" s="39"/>
      <c r="J2294" s="47" t="str">
        <f>IF(tblMovimientos[[#This Row],[Tipo]]="","",IFERROR(INDEX(tblTiposMov[FactorStock],MATCH(tblMovimientos[[#This Row],[Tipo]],tblTiposMov[Tipo],0)),0))</f>
        <v/>
      </c>
      <c r="K22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4" s="37"/>
      <c r="O2294" s="37"/>
      <c r="P2294" s="37"/>
    </row>
    <row r="2295" spans="2:16" x14ac:dyDescent="0.25">
      <c r="B22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5" s="46"/>
      <c r="D2295" s="37"/>
      <c r="E2295" s="37"/>
      <c r="F2295" s="37"/>
      <c r="G2295" s="40" t="str">
        <f>IF(tblMovimientos[[#This Row],[Producto]]="","",TRIM(LEFT(tblMovimientos[[#This Row],[Producto]],FIND(" · ",tblMovimientos[[#This Row],[Producto]]&amp;" · ")-1)))</f>
        <v/>
      </c>
      <c r="H2295" s="40" t="str">
        <f>IF(tblMovimientos[[#This Row],[SKU]]="","",IFERROR(INDEX(tblProductos[Unidad],MATCH(tblMovimientos[[#This Row],[SKU]],tblProductos[SKU],0)),"?"))</f>
        <v/>
      </c>
      <c r="I2295" s="39"/>
      <c r="J2295" s="47" t="str">
        <f>IF(tblMovimientos[[#This Row],[Tipo]]="","",IFERROR(INDEX(tblTiposMov[FactorStock],MATCH(tblMovimientos[[#This Row],[Tipo]],tblTiposMov[Tipo],0)),0))</f>
        <v/>
      </c>
      <c r="K22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5" s="37"/>
      <c r="O2295" s="37"/>
      <c r="P2295" s="37"/>
    </row>
    <row r="2296" spans="2:16" x14ac:dyDescent="0.25">
      <c r="B22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6" s="46"/>
      <c r="D2296" s="37"/>
      <c r="E2296" s="37"/>
      <c r="F2296" s="37"/>
      <c r="G2296" s="40" t="str">
        <f>IF(tblMovimientos[[#This Row],[Producto]]="","",TRIM(LEFT(tblMovimientos[[#This Row],[Producto]],FIND(" · ",tblMovimientos[[#This Row],[Producto]]&amp;" · ")-1)))</f>
        <v/>
      </c>
      <c r="H2296" s="40" t="str">
        <f>IF(tblMovimientos[[#This Row],[SKU]]="","",IFERROR(INDEX(tblProductos[Unidad],MATCH(tblMovimientos[[#This Row],[SKU]],tblProductos[SKU],0)),"?"))</f>
        <v/>
      </c>
      <c r="I2296" s="39"/>
      <c r="J2296" s="47" t="str">
        <f>IF(tblMovimientos[[#This Row],[Tipo]]="","",IFERROR(INDEX(tblTiposMov[FactorStock],MATCH(tblMovimientos[[#This Row],[Tipo]],tblTiposMov[Tipo],0)),0))</f>
        <v/>
      </c>
      <c r="K22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6" s="37"/>
      <c r="O2296" s="37"/>
      <c r="P2296" s="37"/>
    </row>
    <row r="2297" spans="2:16" x14ac:dyDescent="0.25">
      <c r="B22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7" s="46"/>
      <c r="D2297" s="37"/>
      <c r="E2297" s="37"/>
      <c r="F2297" s="37"/>
      <c r="G2297" s="40" t="str">
        <f>IF(tblMovimientos[[#This Row],[Producto]]="","",TRIM(LEFT(tblMovimientos[[#This Row],[Producto]],FIND(" · ",tblMovimientos[[#This Row],[Producto]]&amp;" · ")-1)))</f>
        <v/>
      </c>
      <c r="H2297" s="40" t="str">
        <f>IF(tblMovimientos[[#This Row],[SKU]]="","",IFERROR(INDEX(tblProductos[Unidad],MATCH(tblMovimientos[[#This Row],[SKU]],tblProductos[SKU],0)),"?"))</f>
        <v/>
      </c>
      <c r="I2297" s="39"/>
      <c r="J2297" s="47" t="str">
        <f>IF(tblMovimientos[[#This Row],[Tipo]]="","",IFERROR(INDEX(tblTiposMov[FactorStock],MATCH(tblMovimientos[[#This Row],[Tipo]],tblTiposMov[Tipo],0)),0))</f>
        <v/>
      </c>
      <c r="K22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7" s="37"/>
      <c r="O2297" s="37"/>
      <c r="P2297" s="37"/>
    </row>
    <row r="2298" spans="2:16" x14ac:dyDescent="0.25">
      <c r="B22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8" s="46"/>
      <c r="D2298" s="37"/>
      <c r="E2298" s="37"/>
      <c r="F2298" s="37"/>
      <c r="G2298" s="40" t="str">
        <f>IF(tblMovimientos[[#This Row],[Producto]]="","",TRIM(LEFT(tblMovimientos[[#This Row],[Producto]],FIND(" · ",tblMovimientos[[#This Row],[Producto]]&amp;" · ")-1)))</f>
        <v/>
      </c>
      <c r="H2298" s="40" t="str">
        <f>IF(tblMovimientos[[#This Row],[SKU]]="","",IFERROR(INDEX(tblProductos[Unidad],MATCH(tblMovimientos[[#This Row],[SKU]],tblProductos[SKU],0)),"?"))</f>
        <v/>
      </c>
      <c r="I2298" s="39"/>
      <c r="J2298" s="47" t="str">
        <f>IF(tblMovimientos[[#This Row],[Tipo]]="","",IFERROR(INDEX(tblTiposMov[FactorStock],MATCH(tblMovimientos[[#This Row],[Tipo]],tblTiposMov[Tipo],0)),0))</f>
        <v/>
      </c>
      <c r="K22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8" s="37"/>
      <c r="O2298" s="37"/>
      <c r="P2298" s="37"/>
    </row>
    <row r="2299" spans="2:16" x14ac:dyDescent="0.25">
      <c r="B22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299" s="46"/>
      <c r="D2299" s="37"/>
      <c r="E2299" s="37"/>
      <c r="F2299" s="37"/>
      <c r="G2299" s="40" t="str">
        <f>IF(tblMovimientos[[#This Row],[Producto]]="","",TRIM(LEFT(tblMovimientos[[#This Row],[Producto]],FIND(" · ",tblMovimientos[[#This Row],[Producto]]&amp;" · ")-1)))</f>
        <v/>
      </c>
      <c r="H2299" s="40" t="str">
        <f>IF(tblMovimientos[[#This Row],[SKU]]="","",IFERROR(INDEX(tblProductos[Unidad],MATCH(tblMovimientos[[#This Row],[SKU]],tblProductos[SKU],0)),"?"))</f>
        <v/>
      </c>
      <c r="I2299" s="39"/>
      <c r="J2299" s="47" t="str">
        <f>IF(tblMovimientos[[#This Row],[Tipo]]="","",IFERROR(INDEX(tblTiposMov[FactorStock],MATCH(tblMovimientos[[#This Row],[Tipo]],tblTiposMov[Tipo],0)),0))</f>
        <v/>
      </c>
      <c r="K22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2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299" s="37"/>
      <c r="O2299" s="37"/>
      <c r="P2299" s="37"/>
    </row>
    <row r="2300" spans="2:16" x14ac:dyDescent="0.25">
      <c r="B23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0" s="46"/>
      <c r="D2300" s="37"/>
      <c r="E2300" s="37"/>
      <c r="F2300" s="37"/>
      <c r="G2300" s="40" t="str">
        <f>IF(tblMovimientos[[#This Row],[Producto]]="","",TRIM(LEFT(tblMovimientos[[#This Row],[Producto]],FIND(" · ",tblMovimientos[[#This Row],[Producto]]&amp;" · ")-1)))</f>
        <v/>
      </c>
      <c r="H2300" s="40" t="str">
        <f>IF(tblMovimientos[[#This Row],[SKU]]="","",IFERROR(INDEX(tblProductos[Unidad],MATCH(tblMovimientos[[#This Row],[SKU]],tblProductos[SKU],0)),"?"))</f>
        <v/>
      </c>
      <c r="I2300" s="39"/>
      <c r="J2300" s="47" t="str">
        <f>IF(tblMovimientos[[#This Row],[Tipo]]="","",IFERROR(INDEX(tblTiposMov[FactorStock],MATCH(tblMovimientos[[#This Row],[Tipo]],tblTiposMov[Tipo],0)),0))</f>
        <v/>
      </c>
      <c r="K23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0" s="37"/>
      <c r="O2300" s="37"/>
      <c r="P2300" s="37"/>
    </row>
    <row r="2301" spans="2:16" x14ac:dyDescent="0.25">
      <c r="B23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1" s="46"/>
      <c r="D2301" s="37"/>
      <c r="E2301" s="37"/>
      <c r="F2301" s="37"/>
      <c r="G2301" s="40" t="str">
        <f>IF(tblMovimientos[[#This Row],[Producto]]="","",TRIM(LEFT(tblMovimientos[[#This Row],[Producto]],FIND(" · ",tblMovimientos[[#This Row],[Producto]]&amp;" · ")-1)))</f>
        <v/>
      </c>
      <c r="H2301" s="40" t="str">
        <f>IF(tblMovimientos[[#This Row],[SKU]]="","",IFERROR(INDEX(tblProductos[Unidad],MATCH(tblMovimientos[[#This Row],[SKU]],tblProductos[SKU],0)),"?"))</f>
        <v/>
      </c>
      <c r="I2301" s="39"/>
      <c r="J2301" s="47" t="str">
        <f>IF(tblMovimientos[[#This Row],[Tipo]]="","",IFERROR(INDEX(tblTiposMov[FactorStock],MATCH(tblMovimientos[[#This Row],[Tipo]],tblTiposMov[Tipo],0)),0))</f>
        <v/>
      </c>
      <c r="K23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1" s="37"/>
      <c r="O2301" s="37"/>
      <c r="P2301" s="37"/>
    </row>
    <row r="2302" spans="2:16" x14ac:dyDescent="0.25">
      <c r="B23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2" s="46"/>
      <c r="D2302" s="37"/>
      <c r="E2302" s="37"/>
      <c r="F2302" s="37"/>
      <c r="G2302" s="40" t="str">
        <f>IF(tblMovimientos[[#This Row],[Producto]]="","",TRIM(LEFT(tblMovimientos[[#This Row],[Producto]],FIND(" · ",tblMovimientos[[#This Row],[Producto]]&amp;" · ")-1)))</f>
        <v/>
      </c>
      <c r="H2302" s="40" t="str">
        <f>IF(tblMovimientos[[#This Row],[SKU]]="","",IFERROR(INDEX(tblProductos[Unidad],MATCH(tblMovimientos[[#This Row],[SKU]],tblProductos[SKU],0)),"?"))</f>
        <v/>
      </c>
      <c r="I2302" s="39"/>
      <c r="J2302" s="47" t="str">
        <f>IF(tblMovimientos[[#This Row],[Tipo]]="","",IFERROR(INDEX(tblTiposMov[FactorStock],MATCH(tblMovimientos[[#This Row],[Tipo]],tblTiposMov[Tipo],0)),0))</f>
        <v/>
      </c>
      <c r="K23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2" s="37"/>
      <c r="O2302" s="37"/>
      <c r="P2302" s="37"/>
    </row>
    <row r="2303" spans="2:16" x14ac:dyDescent="0.25">
      <c r="B23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3" s="46"/>
      <c r="D2303" s="37"/>
      <c r="E2303" s="37"/>
      <c r="F2303" s="37"/>
      <c r="G2303" s="40" t="str">
        <f>IF(tblMovimientos[[#This Row],[Producto]]="","",TRIM(LEFT(tblMovimientos[[#This Row],[Producto]],FIND(" · ",tblMovimientos[[#This Row],[Producto]]&amp;" · ")-1)))</f>
        <v/>
      </c>
      <c r="H2303" s="40" t="str">
        <f>IF(tblMovimientos[[#This Row],[SKU]]="","",IFERROR(INDEX(tblProductos[Unidad],MATCH(tblMovimientos[[#This Row],[SKU]],tblProductos[SKU],0)),"?"))</f>
        <v/>
      </c>
      <c r="I2303" s="39"/>
      <c r="J2303" s="47" t="str">
        <f>IF(tblMovimientos[[#This Row],[Tipo]]="","",IFERROR(INDEX(tblTiposMov[FactorStock],MATCH(tblMovimientos[[#This Row],[Tipo]],tblTiposMov[Tipo],0)),0))</f>
        <v/>
      </c>
      <c r="K23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3" s="37"/>
      <c r="O2303" s="37"/>
      <c r="P2303" s="37"/>
    </row>
    <row r="2304" spans="2:16" x14ac:dyDescent="0.25">
      <c r="B23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4" s="46"/>
      <c r="D2304" s="37"/>
      <c r="E2304" s="37"/>
      <c r="F2304" s="37"/>
      <c r="G2304" s="40" t="str">
        <f>IF(tblMovimientos[[#This Row],[Producto]]="","",TRIM(LEFT(tblMovimientos[[#This Row],[Producto]],FIND(" · ",tblMovimientos[[#This Row],[Producto]]&amp;" · ")-1)))</f>
        <v/>
      </c>
      <c r="H2304" s="40" t="str">
        <f>IF(tblMovimientos[[#This Row],[SKU]]="","",IFERROR(INDEX(tblProductos[Unidad],MATCH(tblMovimientos[[#This Row],[SKU]],tblProductos[SKU],0)),"?"))</f>
        <v/>
      </c>
      <c r="I2304" s="39"/>
      <c r="J2304" s="47" t="str">
        <f>IF(tblMovimientos[[#This Row],[Tipo]]="","",IFERROR(INDEX(tblTiposMov[FactorStock],MATCH(tblMovimientos[[#This Row],[Tipo]],tblTiposMov[Tipo],0)),0))</f>
        <v/>
      </c>
      <c r="K23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4" s="37"/>
      <c r="O2304" s="37"/>
      <c r="P2304" s="37"/>
    </row>
    <row r="2305" spans="2:16" x14ac:dyDescent="0.25">
      <c r="B23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5" s="46"/>
      <c r="D2305" s="37"/>
      <c r="E2305" s="37"/>
      <c r="F2305" s="37"/>
      <c r="G2305" s="40" t="str">
        <f>IF(tblMovimientos[[#This Row],[Producto]]="","",TRIM(LEFT(tblMovimientos[[#This Row],[Producto]],FIND(" · ",tblMovimientos[[#This Row],[Producto]]&amp;" · ")-1)))</f>
        <v/>
      </c>
      <c r="H2305" s="40" t="str">
        <f>IF(tblMovimientos[[#This Row],[SKU]]="","",IFERROR(INDEX(tblProductos[Unidad],MATCH(tblMovimientos[[#This Row],[SKU]],tblProductos[SKU],0)),"?"))</f>
        <v/>
      </c>
      <c r="I2305" s="39"/>
      <c r="J2305" s="47" t="str">
        <f>IF(tblMovimientos[[#This Row],[Tipo]]="","",IFERROR(INDEX(tblTiposMov[FactorStock],MATCH(tblMovimientos[[#This Row],[Tipo]],tblTiposMov[Tipo],0)),0))</f>
        <v/>
      </c>
      <c r="K23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5" s="37"/>
      <c r="O2305" s="37"/>
      <c r="P2305" s="37"/>
    </row>
    <row r="2306" spans="2:16" x14ac:dyDescent="0.25">
      <c r="B23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6" s="46"/>
      <c r="D2306" s="37"/>
      <c r="E2306" s="37"/>
      <c r="F2306" s="37"/>
      <c r="G2306" s="40" t="str">
        <f>IF(tblMovimientos[[#This Row],[Producto]]="","",TRIM(LEFT(tblMovimientos[[#This Row],[Producto]],FIND(" · ",tblMovimientos[[#This Row],[Producto]]&amp;" · ")-1)))</f>
        <v/>
      </c>
      <c r="H2306" s="40" t="str">
        <f>IF(tblMovimientos[[#This Row],[SKU]]="","",IFERROR(INDEX(tblProductos[Unidad],MATCH(tblMovimientos[[#This Row],[SKU]],tblProductos[SKU],0)),"?"))</f>
        <v/>
      </c>
      <c r="I2306" s="39"/>
      <c r="J2306" s="47" t="str">
        <f>IF(tblMovimientos[[#This Row],[Tipo]]="","",IFERROR(INDEX(tblTiposMov[FactorStock],MATCH(tblMovimientos[[#This Row],[Tipo]],tblTiposMov[Tipo],0)),0))</f>
        <v/>
      </c>
      <c r="K23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6" s="37"/>
      <c r="O2306" s="37"/>
      <c r="P2306" s="37"/>
    </row>
    <row r="2307" spans="2:16" x14ac:dyDescent="0.25">
      <c r="B23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7" s="46"/>
      <c r="D2307" s="37"/>
      <c r="E2307" s="37"/>
      <c r="F2307" s="37"/>
      <c r="G2307" s="40" t="str">
        <f>IF(tblMovimientos[[#This Row],[Producto]]="","",TRIM(LEFT(tblMovimientos[[#This Row],[Producto]],FIND(" · ",tblMovimientos[[#This Row],[Producto]]&amp;" · ")-1)))</f>
        <v/>
      </c>
      <c r="H2307" s="40" t="str">
        <f>IF(tblMovimientos[[#This Row],[SKU]]="","",IFERROR(INDEX(tblProductos[Unidad],MATCH(tblMovimientos[[#This Row],[SKU]],tblProductos[SKU],0)),"?"))</f>
        <v/>
      </c>
      <c r="I2307" s="39"/>
      <c r="J2307" s="47" t="str">
        <f>IF(tblMovimientos[[#This Row],[Tipo]]="","",IFERROR(INDEX(tblTiposMov[FactorStock],MATCH(tblMovimientos[[#This Row],[Tipo]],tblTiposMov[Tipo],0)),0))</f>
        <v/>
      </c>
      <c r="K23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7" s="37"/>
      <c r="O2307" s="37"/>
      <c r="P2307" s="37"/>
    </row>
    <row r="2308" spans="2:16" x14ac:dyDescent="0.25">
      <c r="B23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8" s="46"/>
      <c r="D2308" s="37"/>
      <c r="E2308" s="37"/>
      <c r="F2308" s="37"/>
      <c r="G2308" s="40" t="str">
        <f>IF(tblMovimientos[[#This Row],[Producto]]="","",TRIM(LEFT(tblMovimientos[[#This Row],[Producto]],FIND(" · ",tblMovimientos[[#This Row],[Producto]]&amp;" · ")-1)))</f>
        <v/>
      </c>
      <c r="H2308" s="40" t="str">
        <f>IF(tblMovimientos[[#This Row],[SKU]]="","",IFERROR(INDEX(tblProductos[Unidad],MATCH(tblMovimientos[[#This Row],[SKU]],tblProductos[SKU],0)),"?"))</f>
        <v/>
      </c>
      <c r="I2308" s="39"/>
      <c r="J2308" s="47" t="str">
        <f>IF(tblMovimientos[[#This Row],[Tipo]]="","",IFERROR(INDEX(tblTiposMov[FactorStock],MATCH(tblMovimientos[[#This Row],[Tipo]],tblTiposMov[Tipo],0)),0))</f>
        <v/>
      </c>
      <c r="K23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8" s="37"/>
      <c r="O2308" s="37"/>
      <c r="P2308" s="37"/>
    </row>
    <row r="2309" spans="2:16" x14ac:dyDescent="0.25">
      <c r="B23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09" s="46"/>
      <c r="D2309" s="37"/>
      <c r="E2309" s="37"/>
      <c r="F2309" s="37"/>
      <c r="G2309" s="40" t="str">
        <f>IF(tblMovimientos[[#This Row],[Producto]]="","",TRIM(LEFT(tblMovimientos[[#This Row],[Producto]],FIND(" · ",tblMovimientos[[#This Row],[Producto]]&amp;" · ")-1)))</f>
        <v/>
      </c>
      <c r="H2309" s="40" t="str">
        <f>IF(tblMovimientos[[#This Row],[SKU]]="","",IFERROR(INDEX(tblProductos[Unidad],MATCH(tblMovimientos[[#This Row],[SKU]],tblProductos[SKU],0)),"?"))</f>
        <v/>
      </c>
      <c r="I2309" s="39"/>
      <c r="J2309" s="47" t="str">
        <f>IF(tblMovimientos[[#This Row],[Tipo]]="","",IFERROR(INDEX(tblTiposMov[FactorStock],MATCH(tblMovimientos[[#This Row],[Tipo]],tblTiposMov[Tipo],0)),0))</f>
        <v/>
      </c>
      <c r="K23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09" s="37"/>
      <c r="O2309" s="37"/>
      <c r="P2309" s="37"/>
    </row>
    <row r="2310" spans="2:16" x14ac:dyDescent="0.25">
      <c r="B23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0" s="46"/>
      <c r="D2310" s="37"/>
      <c r="E2310" s="37"/>
      <c r="F2310" s="37"/>
      <c r="G2310" s="40" t="str">
        <f>IF(tblMovimientos[[#This Row],[Producto]]="","",TRIM(LEFT(tblMovimientos[[#This Row],[Producto]],FIND(" · ",tblMovimientos[[#This Row],[Producto]]&amp;" · ")-1)))</f>
        <v/>
      </c>
      <c r="H2310" s="40" t="str">
        <f>IF(tblMovimientos[[#This Row],[SKU]]="","",IFERROR(INDEX(tblProductos[Unidad],MATCH(tblMovimientos[[#This Row],[SKU]],tblProductos[SKU],0)),"?"))</f>
        <v/>
      </c>
      <c r="I2310" s="39"/>
      <c r="J2310" s="47" t="str">
        <f>IF(tblMovimientos[[#This Row],[Tipo]]="","",IFERROR(INDEX(tblTiposMov[FactorStock],MATCH(tblMovimientos[[#This Row],[Tipo]],tblTiposMov[Tipo],0)),0))</f>
        <v/>
      </c>
      <c r="K23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0" s="37"/>
      <c r="O2310" s="37"/>
      <c r="P2310" s="37"/>
    </row>
    <row r="2311" spans="2:16" x14ac:dyDescent="0.25">
      <c r="B23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1" s="46"/>
      <c r="D2311" s="37"/>
      <c r="E2311" s="37"/>
      <c r="F2311" s="37"/>
      <c r="G2311" s="40" t="str">
        <f>IF(tblMovimientos[[#This Row],[Producto]]="","",TRIM(LEFT(tblMovimientos[[#This Row],[Producto]],FIND(" · ",tblMovimientos[[#This Row],[Producto]]&amp;" · ")-1)))</f>
        <v/>
      </c>
      <c r="H2311" s="40" t="str">
        <f>IF(tblMovimientos[[#This Row],[SKU]]="","",IFERROR(INDEX(tblProductos[Unidad],MATCH(tblMovimientos[[#This Row],[SKU]],tblProductos[SKU],0)),"?"))</f>
        <v/>
      </c>
      <c r="I2311" s="39"/>
      <c r="J2311" s="47" t="str">
        <f>IF(tblMovimientos[[#This Row],[Tipo]]="","",IFERROR(INDEX(tblTiposMov[FactorStock],MATCH(tblMovimientos[[#This Row],[Tipo]],tblTiposMov[Tipo],0)),0))</f>
        <v/>
      </c>
      <c r="K23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1" s="37"/>
      <c r="O2311" s="37"/>
      <c r="P2311" s="37"/>
    </row>
    <row r="2312" spans="2:16" x14ac:dyDescent="0.25">
      <c r="B23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2" s="46"/>
      <c r="D2312" s="37"/>
      <c r="E2312" s="37"/>
      <c r="F2312" s="37"/>
      <c r="G2312" s="40" t="str">
        <f>IF(tblMovimientos[[#This Row],[Producto]]="","",TRIM(LEFT(tblMovimientos[[#This Row],[Producto]],FIND(" · ",tblMovimientos[[#This Row],[Producto]]&amp;" · ")-1)))</f>
        <v/>
      </c>
      <c r="H2312" s="40" t="str">
        <f>IF(tblMovimientos[[#This Row],[SKU]]="","",IFERROR(INDEX(tblProductos[Unidad],MATCH(tblMovimientos[[#This Row],[SKU]],tblProductos[SKU],0)),"?"))</f>
        <v/>
      </c>
      <c r="I2312" s="39"/>
      <c r="J2312" s="47" t="str">
        <f>IF(tblMovimientos[[#This Row],[Tipo]]="","",IFERROR(INDEX(tblTiposMov[FactorStock],MATCH(tblMovimientos[[#This Row],[Tipo]],tblTiposMov[Tipo],0)),0))</f>
        <v/>
      </c>
      <c r="K23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2" s="37"/>
      <c r="O2312" s="37"/>
      <c r="P2312" s="37"/>
    </row>
    <row r="2313" spans="2:16" x14ac:dyDescent="0.25">
      <c r="B23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3" s="46"/>
      <c r="D2313" s="37"/>
      <c r="E2313" s="37"/>
      <c r="F2313" s="37"/>
      <c r="G2313" s="40" t="str">
        <f>IF(tblMovimientos[[#This Row],[Producto]]="","",TRIM(LEFT(tblMovimientos[[#This Row],[Producto]],FIND(" · ",tblMovimientos[[#This Row],[Producto]]&amp;" · ")-1)))</f>
        <v/>
      </c>
      <c r="H2313" s="40" t="str">
        <f>IF(tblMovimientos[[#This Row],[SKU]]="","",IFERROR(INDEX(tblProductos[Unidad],MATCH(tblMovimientos[[#This Row],[SKU]],tblProductos[SKU],0)),"?"))</f>
        <v/>
      </c>
      <c r="I2313" s="39"/>
      <c r="J2313" s="47" t="str">
        <f>IF(tblMovimientos[[#This Row],[Tipo]]="","",IFERROR(INDEX(tblTiposMov[FactorStock],MATCH(tblMovimientos[[#This Row],[Tipo]],tblTiposMov[Tipo],0)),0))</f>
        <v/>
      </c>
      <c r="K23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3" s="37"/>
      <c r="O2313" s="37"/>
      <c r="P2313" s="37"/>
    </row>
    <row r="2314" spans="2:16" x14ac:dyDescent="0.25">
      <c r="B23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4" s="46"/>
      <c r="D2314" s="37"/>
      <c r="E2314" s="37"/>
      <c r="F2314" s="37"/>
      <c r="G2314" s="40" t="str">
        <f>IF(tblMovimientos[[#This Row],[Producto]]="","",TRIM(LEFT(tblMovimientos[[#This Row],[Producto]],FIND(" · ",tblMovimientos[[#This Row],[Producto]]&amp;" · ")-1)))</f>
        <v/>
      </c>
      <c r="H2314" s="40" t="str">
        <f>IF(tblMovimientos[[#This Row],[SKU]]="","",IFERROR(INDEX(tblProductos[Unidad],MATCH(tblMovimientos[[#This Row],[SKU]],tblProductos[SKU],0)),"?"))</f>
        <v/>
      </c>
      <c r="I2314" s="39"/>
      <c r="J2314" s="47" t="str">
        <f>IF(tblMovimientos[[#This Row],[Tipo]]="","",IFERROR(INDEX(tblTiposMov[FactorStock],MATCH(tblMovimientos[[#This Row],[Tipo]],tblTiposMov[Tipo],0)),0))</f>
        <v/>
      </c>
      <c r="K23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4" s="37"/>
      <c r="O2314" s="37"/>
      <c r="P2314" s="37"/>
    </row>
    <row r="2315" spans="2:16" x14ac:dyDescent="0.25">
      <c r="B23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5" s="46"/>
      <c r="D2315" s="37"/>
      <c r="E2315" s="37"/>
      <c r="F2315" s="37"/>
      <c r="G2315" s="40" t="str">
        <f>IF(tblMovimientos[[#This Row],[Producto]]="","",TRIM(LEFT(tblMovimientos[[#This Row],[Producto]],FIND(" · ",tblMovimientos[[#This Row],[Producto]]&amp;" · ")-1)))</f>
        <v/>
      </c>
      <c r="H2315" s="40" t="str">
        <f>IF(tblMovimientos[[#This Row],[SKU]]="","",IFERROR(INDEX(tblProductos[Unidad],MATCH(tblMovimientos[[#This Row],[SKU]],tblProductos[SKU],0)),"?"))</f>
        <v/>
      </c>
      <c r="I2315" s="39"/>
      <c r="J2315" s="47" t="str">
        <f>IF(tblMovimientos[[#This Row],[Tipo]]="","",IFERROR(INDEX(tblTiposMov[FactorStock],MATCH(tblMovimientos[[#This Row],[Tipo]],tblTiposMov[Tipo],0)),0))</f>
        <v/>
      </c>
      <c r="K23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5" s="37"/>
      <c r="O2315" s="37"/>
      <c r="P2315" s="37"/>
    </row>
    <row r="2316" spans="2:16" x14ac:dyDescent="0.25">
      <c r="B23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6" s="46"/>
      <c r="D2316" s="37"/>
      <c r="E2316" s="37"/>
      <c r="F2316" s="37"/>
      <c r="G2316" s="40" t="str">
        <f>IF(tblMovimientos[[#This Row],[Producto]]="","",TRIM(LEFT(tblMovimientos[[#This Row],[Producto]],FIND(" · ",tblMovimientos[[#This Row],[Producto]]&amp;" · ")-1)))</f>
        <v/>
      </c>
      <c r="H2316" s="40" t="str">
        <f>IF(tblMovimientos[[#This Row],[SKU]]="","",IFERROR(INDEX(tblProductos[Unidad],MATCH(tblMovimientos[[#This Row],[SKU]],tblProductos[SKU],0)),"?"))</f>
        <v/>
      </c>
      <c r="I2316" s="39"/>
      <c r="J2316" s="47" t="str">
        <f>IF(tblMovimientos[[#This Row],[Tipo]]="","",IFERROR(INDEX(tblTiposMov[FactorStock],MATCH(tblMovimientos[[#This Row],[Tipo]],tblTiposMov[Tipo],0)),0))</f>
        <v/>
      </c>
      <c r="K23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6" s="37"/>
      <c r="O2316" s="37"/>
      <c r="P2316" s="37"/>
    </row>
    <row r="2317" spans="2:16" x14ac:dyDescent="0.25">
      <c r="B23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7" s="46"/>
      <c r="D2317" s="37"/>
      <c r="E2317" s="37"/>
      <c r="F2317" s="37"/>
      <c r="G2317" s="40" t="str">
        <f>IF(tblMovimientos[[#This Row],[Producto]]="","",TRIM(LEFT(tblMovimientos[[#This Row],[Producto]],FIND(" · ",tblMovimientos[[#This Row],[Producto]]&amp;" · ")-1)))</f>
        <v/>
      </c>
      <c r="H2317" s="40" t="str">
        <f>IF(tblMovimientos[[#This Row],[SKU]]="","",IFERROR(INDEX(tblProductos[Unidad],MATCH(tblMovimientos[[#This Row],[SKU]],tblProductos[SKU],0)),"?"))</f>
        <v/>
      </c>
      <c r="I2317" s="39"/>
      <c r="J2317" s="47" t="str">
        <f>IF(tblMovimientos[[#This Row],[Tipo]]="","",IFERROR(INDEX(tblTiposMov[FactorStock],MATCH(tblMovimientos[[#This Row],[Tipo]],tblTiposMov[Tipo],0)),0))</f>
        <v/>
      </c>
      <c r="K23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7" s="37"/>
      <c r="O2317" s="37"/>
      <c r="P2317" s="37"/>
    </row>
    <row r="2318" spans="2:16" x14ac:dyDescent="0.25">
      <c r="B23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8" s="46"/>
      <c r="D2318" s="37"/>
      <c r="E2318" s="37"/>
      <c r="F2318" s="37"/>
      <c r="G2318" s="40" t="str">
        <f>IF(tblMovimientos[[#This Row],[Producto]]="","",TRIM(LEFT(tblMovimientos[[#This Row],[Producto]],FIND(" · ",tblMovimientos[[#This Row],[Producto]]&amp;" · ")-1)))</f>
        <v/>
      </c>
      <c r="H2318" s="40" t="str">
        <f>IF(tblMovimientos[[#This Row],[SKU]]="","",IFERROR(INDEX(tblProductos[Unidad],MATCH(tblMovimientos[[#This Row],[SKU]],tblProductos[SKU],0)),"?"))</f>
        <v/>
      </c>
      <c r="I2318" s="39"/>
      <c r="J2318" s="47" t="str">
        <f>IF(tblMovimientos[[#This Row],[Tipo]]="","",IFERROR(INDEX(tblTiposMov[FactorStock],MATCH(tblMovimientos[[#This Row],[Tipo]],tblTiposMov[Tipo],0)),0))</f>
        <v/>
      </c>
      <c r="K23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8" s="37"/>
      <c r="O2318" s="37"/>
      <c r="P2318" s="37"/>
    </row>
    <row r="2319" spans="2:16" x14ac:dyDescent="0.25">
      <c r="B23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19" s="46"/>
      <c r="D2319" s="37"/>
      <c r="E2319" s="37"/>
      <c r="F2319" s="37"/>
      <c r="G2319" s="40" t="str">
        <f>IF(tblMovimientos[[#This Row],[Producto]]="","",TRIM(LEFT(tblMovimientos[[#This Row],[Producto]],FIND(" · ",tblMovimientos[[#This Row],[Producto]]&amp;" · ")-1)))</f>
        <v/>
      </c>
      <c r="H2319" s="40" t="str">
        <f>IF(tblMovimientos[[#This Row],[SKU]]="","",IFERROR(INDEX(tblProductos[Unidad],MATCH(tblMovimientos[[#This Row],[SKU]],tblProductos[SKU],0)),"?"))</f>
        <v/>
      </c>
      <c r="I2319" s="39"/>
      <c r="J2319" s="47" t="str">
        <f>IF(tblMovimientos[[#This Row],[Tipo]]="","",IFERROR(INDEX(tblTiposMov[FactorStock],MATCH(tblMovimientos[[#This Row],[Tipo]],tblTiposMov[Tipo],0)),0))</f>
        <v/>
      </c>
      <c r="K23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19" s="37"/>
      <c r="O2319" s="37"/>
      <c r="P2319" s="37"/>
    </row>
    <row r="2320" spans="2:16" x14ac:dyDescent="0.25">
      <c r="B23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0" s="46"/>
      <c r="D2320" s="37"/>
      <c r="E2320" s="37"/>
      <c r="F2320" s="37"/>
      <c r="G2320" s="40" t="str">
        <f>IF(tblMovimientos[[#This Row],[Producto]]="","",TRIM(LEFT(tblMovimientos[[#This Row],[Producto]],FIND(" · ",tblMovimientos[[#This Row],[Producto]]&amp;" · ")-1)))</f>
        <v/>
      </c>
      <c r="H2320" s="40" t="str">
        <f>IF(tblMovimientos[[#This Row],[SKU]]="","",IFERROR(INDEX(tblProductos[Unidad],MATCH(tblMovimientos[[#This Row],[SKU]],tblProductos[SKU],0)),"?"))</f>
        <v/>
      </c>
      <c r="I2320" s="39"/>
      <c r="J2320" s="47" t="str">
        <f>IF(tblMovimientos[[#This Row],[Tipo]]="","",IFERROR(INDEX(tblTiposMov[FactorStock],MATCH(tblMovimientos[[#This Row],[Tipo]],tblTiposMov[Tipo],0)),0))</f>
        <v/>
      </c>
      <c r="K23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0" s="37"/>
      <c r="O2320" s="37"/>
      <c r="P2320" s="37"/>
    </row>
    <row r="2321" spans="2:16" x14ac:dyDescent="0.25">
      <c r="B23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1" s="46"/>
      <c r="D2321" s="37"/>
      <c r="E2321" s="37"/>
      <c r="F2321" s="37"/>
      <c r="G2321" s="40" t="str">
        <f>IF(tblMovimientos[[#This Row],[Producto]]="","",TRIM(LEFT(tblMovimientos[[#This Row],[Producto]],FIND(" · ",tblMovimientos[[#This Row],[Producto]]&amp;" · ")-1)))</f>
        <v/>
      </c>
      <c r="H2321" s="40" t="str">
        <f>IF(tblMovimientos[[#This Row],[SKU]]="","",IFERROR(INDEX(tblProductos[Unidad],MATCH(tblMovimientos[[#This Row],[SKU]],tblProductos[SKU],0)),"?"))</f>
        <v/>
      </c>
      <c r="I2321" s="39"/>
      <c r="J2321" s="47" t="str">
        <f>IF(tblMovimientos[[#This Row],[Tipo]]="","",IFERROR(INDEX(tblTiposMov[FactorStock],MATCH(tblMovimientos[[#This Row],[Tipo]],tblTiposMov[Tipo],0)),0))</f>
        <v/>
      </c>
      <c r="K23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1" s="37"/>
      <c r="O2321" s="37"/>
      <c r="P2321" s="37"/>
    </row>
    <row r="2322" spans="2:16" x14ac:dyDescent="0.25">
      <c r="B23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2" s="46"/>
      <c r="D2322" s="37"/>
      <c r="E2322" s="37"/>
      <c r="F2322" s="37"/>
      <c r="G2322" s="40" t="str">
        <f>IF(tblMovimientos[[#This Row],[Producto]]="","",TRIM(LEFT(tblMovimientos[[#This Row],[Producto]],FIND(" · ",tblMovimientos[[#This Row],[Producto]]&amp;" · ")-1)))</f>
        <v/>
      </c>
      <c r="H2322" s="40" t="str">
        <f>IF(tblMovimientos[[#This Row],[SKU]]="","",IFERROR(INDEX(tblProductos[Unidad],MATCH(tblMovimientos[[#This Row],[SKU]],tblProductos[SKU],0)),"?"))</f>
        <v/>
      </c>
      <c r="I2322" s="39"/>
      <c r="J2322" s="47" t="str">
        <f>IF(tblMovimientos[[#This Row],[Tipo]]="","",IFERROR(INDEX(tblTiposMov[FactorStock],MATCH(tblMovimientos[[#This Row],[Tipo]],tblTiposMov[Tipo],0)),0))</f>
        <v/>
      </c>
      <c r="K23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2" s="37"/>
      <c r="O2322" s="37"/>
      <c r="P2322" s="37"/>
    </row>
    <row r="2323" spans="2:16" x14ac:dyDescent="0.25">
      <c r="B23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3" s="46"/>
      <c r="D2323" s="37"/>
      <c r="E2323" s="37"/>
      <c r="F2323" s="37"/>
      <c r="G2323" s="40" t="str">
        <f>IF(tblMovimientos[[#This Row],[Producto]]="","",TRIM(LEFT(tblMovimientos[[#This Row],[Producto]],FIND(" · ",tblMovimientos[[#This Row],[Producto]]&amp;" · ")-1)))</f>
        <v/>
      </c>
      <c r="H2323" s="40" t="str">
        <f>IF(tblMovimientos[[#This Row],[SKU]]="","",IFERROR(INDEX(tblProductos[Unidad],MATCH(tblMovimientos[[#This Row],[SKU]],tblProductos[SKU],0)),"?"))</f>
        <v/>
      </c>
      <c r="I2323" s="39"/>
      <c r="J2323" s="47" t="str">
        <f>IF(tblMovimientos[[#This Row],[Tipo]]="","",IFERROR(INDEX(tblTiposMov[FactorStock],MATCH(tblMovimientos[[#This Row],[Tipo]],tblTiposMov[Tipo],0)),0))</f>
        <v/>
      </c>
      <c r="K23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3" s="37"/>
      <c r="O2323" s="37"/>
      <c r="P2323" s="37"/>
    </row>
    <row r="2324" spans="2:16" x14ac:dyDescent="0.25">
      <c r="B23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4" s="46"/>
      <c r="D2324" s="37"/>
      <c r="E2324" s="37"/>
      <c r="F2324" s="37"/>
      <c r="G2324" s="40" t="str">
        <f>IF(tblMovimientos[[#This Row],[Producto]]="","",TRIM(LEFT(tblMovimientos[[#This Row],[Producto]],FIND(" · ",tblMovimientos[[#This Row],[Producto]]&amp;" · ")-1)))</f>
        <v/>
      </c>
      <c r="H2324" s="40" t="str">
        <f>IF(tblMovimientos[[#This Row],[SKU]]="","",IFERROR(INDEX(tblProductos[Unidad],MATCH(tblMovimientos[[#This Row],[SKU]],tblProductos[SKU],0)),"?"))</f>
        <v/>
      </c>
      <c r="I2324" s="39"/>
      <c r="J2324" s="47" t="str">
        <f>IF(tblMovimientos[[#This Row],[Tipo]]="","",IFERROR(INDEX(tblTiposMov[FactorStock],MATCH(tblMovimientos[[#This Row],[Tipo]],tblTiposMov[Tipo],0)),0))</f>
        <v/>
      </c>
      <c r="K23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4" s="37"/>
      <c r="O2324" s="37"/>
      <c r="P2324" s="37"/>
    </row>
    <row r="2325" spans="2:16" x14ac:dyDescent="0.25">
      <c r="B23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5" s="46"/>
      <c r="D2325" s="37"/>
      <c r="E2325" s="37"/>
      <c r="F2325" s="37"/>
      <c r="G2325" s="40" t="str">
        <f>IF(tblMovimientos[[#This Row],[Producto]]="","",TRIM(LEFT(tblMovimientos[[#This Row],[Producto]],FIND(" · ",tblMovimientos[[#This Row],[Producto]]&amp;" · ")-1)))</f>
        <v/>
      </c>
      <c r="H2325" s="40" t="str">
        <f>IF(tblMovimientos[[#This Row],[SKU]]="","",IFERROR(INDEX(tblProductos[Unidad],MATCH(tblMovimientos[[#This Row],[SKU]],tblProductos[SKU],0)),"?"))</f>
        <v/>
      </c>
      <c r="I2325" s="39"/>
      <c r="J2325" s="47" t="str">
        <f>IF(tblMovimientos[[#This Row],[Tipo]]="","",IFERROR(INDEX(tblTiposMov[FactorStock],MATCH(tblMovimientos[[#This Row],[Tipo]],tblTiposMov[Tipo],0)),0))</f>
        <v/>
      </c>
      <c r="K23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5" s="37"/>
      <c r="O2325" s="37"/>
      <c r="P2325" s="37"/>
    </row>
    <row r="2326" spans="2:16" x14ac:dyDescent="0.25">
      <c r="B23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6" s="46"/>
      <c r="D2326" s="37"/>
      <c r="E2326" s="37"/>
      <c r="F2326" s="37"/>
      <c r="G2326" s="40" t="str">
        <f>IF(tblMovimientos[[#This Row],[Producto]]="","",TRIM(LEFT(tblMovimientos[[#This Row],[Producto]],FIND(" · ",tblMovimientos[[#This Row],[Producto]]&amp;" · ")-1)))</f>
        <v/>
      </c>
      <c r="H2326" s="40" t="str">
        <f>IF(tblMovimientos[[#This Row],[SKU]]="","",IFERROR(INDEX(tblProductos[Unidad],MATCH(tblMovimientos[[#This Row],[SKU]],tblProductos[SKU],0)),"?"))</f>
        <v/>
      </c>
      <c r="I2326" s="39"/>
      <c r="J2326" s="47" t="str">
        <f>IF(tblMovimientos[[#This Row],[Tipo]]="","",IFERROR(INDEX(tblTiposMov[FactorStock],MATCH(tblMovimientos[[#This Row],[Tipo]],tblTiposMov[Tipo],0)),0))</f>
        <v/>
      </c>
      <c r="K23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6" s="37"/>
      <c r="O2326" s="37"/>
      <c r="P2326" s="37"/>
    </row>
    <row r="2327" spans="2:16" x14ac:dyDescent="0.25">
      <c r="B23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7" s="46"/>
      <c r="D2327" s="37"/>
      <c r="E2327" s="37"/>
      <c r="F2327" s="37"/>
      <c r="G2327" s="40" t="str">
        <f>IF(tblMovimientos[[#This Row],[Producto]]="","",TRIM(LEFT(tblMovimientos[[#This Row],[Producto]],FIND(" · ",tblMovimientos[[#This Row],[Producto]]&amp;" · ")-1)))</f>
        <v/>
      </c>
      <c r="H2327" s="40" t="str">
        <f>IF(tblMovimientos[[#This Row],[SKU]]="","",IFERROR(INDEX(tblProductos[Unidad],MATCH(tblMovimientos[[#This Row],[SKU]],tblProductos[SKU],0)),"?"))</f>
        <v/>
      </c>
      <c r="I2327" s="39"/>
      <c r="J2327" s="47" t="str">
        <f>IF(tblMovimientos[[#This Row],[Tipo]]="","",IFERROR(INDEX(tblTiposMov[FactorStock],MATCH(tblMovimientos[[#This Row],[Tipo]],tblTiposMov[Tipo],0)),0))</f>
        <v/>
      </c>
      <c r="K23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7" s="37"/>
      <c r="O2327" s="37"/>
      <c r="P2327" s="37"/>
    </row>
    <row r="2328" spans="2:16" x14ac:dyDescent="0.25">
      <c r="B23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8" s="46"/>
      <c r="D2328" s="37"/>
      <c r="E2328" s="37"/>
      <c r="F2328" s="37"/>
      <c r="G2328" s="40" t="str">
        <f>IF(tblMovimientos[[#This Row],[Producto]]="","",TRIM(LEFT(tblMovimientos[[#This Row],[Producto]],FIND(" · ",tblMovimientos[[#This Row],[Producto]]&amp;" · ")-1)))</f>
        <v/>
      </c>
      <c r="H2328" s="40" t="str">
        <f>IF(tblMovimientos[[#This Row],[SKU]]="","",IFERROR(INDEX(tblProductos[Unidad],MATCH(tblMovimientos[[#This Row],[SKU]],tblProductos[SKU],0)),"?"))</f>
        <v/>
      </c>
      <c r="I2328" s="39"/>
      <c r="J2328" s="47" t="str">
        <f>IF(tblMovimientos[[#This Row],[Tipo]]="","",IFERROR(INDEX(tblTiposMov[FactorStock],MATCH(tblMovimientos[[#This Row],[Tipo]],tblTiposMov[Tipo],0)),0))</f>
        <v/>
      </c>
      <c r="K23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8" s="37"/>
      <c r="O2328" s="37"/>
      <c r="P2328" s="37"/>
    </row>
    <row r="2329" spans="2:16" x14ac:dyDescent="0.25">
      <c r="B23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29" s="46"/>
      <c r="D2329" s="37"/>
      <c r="E2329" s="37"/>
      <c r="F2329" s="37"/>
      <c r="G2329" s="40" t="str">
        <f>IF(tblMovimientos[[#This Row],[Producto]]="","",TRIM(LEFT(tblMovimientos[[#This Row],[Producto]],FIND(" · ",tblMovimientos[[#This Row],[Producto]]&amp;" · ")-1)))</f>
        <v/>
      </c>
      <c r="H2329" s="40" t="str">
        <f>IF(tblMovimientos[[#This Row],[SKU]]="","",IFERROR(INDEX(tblProductos[Unidad],MATCH(tblMovimientos[[#This Row],[SKU]],tblProductos[SKU],0)),"?"))</f>
        <v/>
      </c>
      <c r="I2329" s="39"/>
      <c r="J2329" s="47" t="str">
        <f>IF(tblMovimientos[[#This Row],[Tipo]]="","",IFERROR(INDEX(tblTiposMov[FactorStock],MATCH(tblMovimientos[[#This Row],[Tipo]],tblTiposMov[Tipo],0)),0))</f>
        <v/>
      </c>
      <c r="K23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29" s="37"/>
      <c r="O2329" s="37"/>
      <c r="P2329" s="37"/>
    </row>
    <row r="2330" spans="2:16" x14ac:dyDescent="0.25">
      <c r="B23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0" s="46"/>
      <c r="D2330" s="37"/>
      <c r="E2330" s="37"/>
      <c r="F2330" s="37"/>
      <c r="G2330" s="40" t="str">
        <f>IF(tblMovimientos[[#This Row],[Producto]]="","",TRIM(LEFT(tblMovimientos[[#This Row],[Producto]],FIND(" · ",tblMovimientos[[#This Row],[Producto]]&amp;" · ")-1)))</f>
        <v/>
      </c>
      <c r="H2330" s="40" t="str">
        <f>IF(tblMovimientos[[#This Row],[SKU]]="","",IFERROR(INDEX(tblProductos[Unidad],MATCH(tblMovimientos[[#This Row],[SKU]],tblProductos[SKU],0)),"?"))</f>
        <v/>
      </c>
      <c r="I2330" s="39"/>
      <c r="J2330" s="47" t="str">
        <f>IF(tblMovimientos[[#This Row],[Tipo]]="","",IFERROR(INDEX(tblTiposMov[FactorStock],MATCH(tblMovimientos[[#This Row],[Tipo]],tblTiposMov[Tipo],0)),0))</f>
        <v/>
      </c>
      <c r="K23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0" s="37"/>
      <c r="O2330" s="37"/>
      <c r="P2330" s="37"/>
    </row>
    <row r="2331" spans="2:16" x14ac:dyDescent="0.25">
      <c r="B23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1" s="46"/>
      <c r="D2331" s="37"/>
      <c r="E2331" s="37"/>
      <c r="F2331" s="37"/>
      <c r="G2331" s="40" t="str">
        <f>IF(tblMovimientos[[#This Row],[Producto]]="","",TRIM(LEFT(tblMovimientos[[#This Row],[Producto]],FIND(" · ",tblMovimientos[[#This Row],[Producto]]&amp;" · ")-1)))</f>
        <v/>
      </c>
      <c r="H2331" s="40" t="str">
        <f>IF(tblMovimientos[[#This Row],[SKU]]="","",IFERROR(INDEX(tblProductos[Unidad],MATCH(tblMovimientos[[#This Row],[SKU]],tblProductos[SKU],0)),"?"))</f>
        <v/>
      </c>
      <c r="I2331" s="39"/>
      <c r="J2331" s="47" t="str">
        <f>IF(tblMovimientos[[#This Row],[Tipo]]="","",IFERROR(INDEX(tblTiposMov[FactorStock],MATCH(tblMovimientos[[#This Row],[Tipo]],tblTiposMov[Tipo],0)),0))</f>
        <v/>
      </c>
      <c r="K23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1" s="37"/>
      <c r="O2331" s="37"/>
      <c r="P2331" s="37"/>
    </row>
    <row r="2332" spans="2:16" x14ac:dyDescent="0.25">
      <c r="B23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2" s="46"/>
      <c r="D2332" s="37"/>
      <c r="E2332" s="37"/>
      <c r="F2332" s="37"/>
      <c r="G2332" s="40" t="str">
        <f>IF(tblMovimientos[[#This Row],[Producto]]="","",TRIM(LEFT(tblMovimientos[[#This Row],[Producto]],FIND(" · ",tblMovimientos[[#This Row],[Producto]]&amp;" · ")-1)))</f>
        <v/>
      </c>
      <c r="H2332" s="40" t="str">
        <f>IF(tblMovimientos[[#This Row],[SKU]]="","",IFERROR(INDEX(tblProductos[Unidad],MATCH(tblMovimientos[[#This Row],[SKU]],tblProductos[SKU],0)),"?"))</f>
        <v/>
      </c>
      <c r="I2332" s="39"/>
      <c r="J2332" s="47" t="str">
        <f>IF(tblMovimientos[[#This Row],[Tipo]]="","",IFERROR(INDEX(tblTiposMov[FactorStock],MATCH(tblMovimientos[[#This Row],[Tipo]],tblTiposMov[Tipo],0)),0))</f>
        <v/>
      </c>
      <c r="K23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2" s="37"/>
      <c r="O2332" s="37"/>
      <c r="P2332" s="37"/>
    </row>
    <row r="2333" spans="2:16" x14ac:dyDescent="0.25">
      <c r="B23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3" s="46"/>
      <c r="D2333" s="37"/>
      <c r="E2333" s="37"/>
      <c r="F2333" s="37"/>
      <c r="G2333" s="40" t="str">
        <f>IF(tblMovimientos[[#This Row],[Producto]]="","",TRIM(LEFT(tblMovimientos[[#This Row],[Producto]],FIND(" · ",tblMovimientos[[#This Row],[Producto]]&amp;" · ")-1)))</f>
        <v/>
      </c>
      <c r="H2333" s="40" t="str">
        <f>IF(tblMovimientos[[#This Row],[SKU]]="","",IFERROR(INDEX(tblProductos[Unidad],MATCH(tblMovimientos[[#This Row],[SKU]],tblProductos[SKU],0)),"?"))</f>
        <v/>
      </c>
      <c r="I2333" s="39"/>
      <c r="J2333" s="47" t="str">
        <f>IF(tblMovimientos[[#This Row],[Tipo]]="","",IFERROR(INDEX(tblTiposMov[FactorStock],MATCH(tblMovimientos[[#This Row],[Tipo]],tblTiposMov[Tipo],0)),0))</f>
        <v/>
      </c>
      <c r="K23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3" s="37"/>
      <c r="O2333" s="37"/>
      <c r="P2333" s="37"/>
    </row>
    <row r="2334" spans="2:16" x14ac:dyDescent="0.25">
      <c r="B23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4" s="46"/>
      <c r="D2334" s="37"/>
      <c r="E2334" s="37"/>
      <c r="F2334" s="37"/>
      <c r="G2334" s="40" t="str">
        <f>IF(tblMovimientos[[#This Row],[Producto]]="","",TRIM(LEFT(tblMovimientos[[#This Row],[Producto]],FIND(" · ",tblMovimientos[[#This Row],[Producto]]&amp;" · ")-1)))</f>
        <v/>
      </c>
      <c r="H2334" s="40" t="str">
        <f>IF(tblMovimientos[[#This Row],[SKU]]="","",IFERROR(INDEX(tblProductos[Unidad],MATCH(tblMovimientos[[#This Row],[SKU]],tblProductos[SKU],0)),"?"))</f>
        <v/>
      </c>
      <c r="I2334" s="39"/>
      <c r="J2334" s="47" t="str">
        <f>IF(tblMovimientos[[#This Row],[Tipo]]="","",IFERROR(INDEX(tblTiposMov[FactorStock],MATCH(tblMovimientos[[#This Row],[Tipo]],tblTiposMov[Tipo],0)),0))</f>
        <v/>
      </c>
      <c r="K23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4" s="37"/>
      <c r="O2334" s="37"/>
      <c r="P2334" s="37"/>
    </row>
    <row r="2335" spans="2:16" x14ac:dyDescent="0.25">
      <c r="B23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5" s="46"/>
      <c r="D2335" s="37"/>
      <c r="E2335" s="37"/>
      <c r="F2335" s="37"/>
      <c r="G2335" s="40" t="str">
        <f>IF(tblMovimientos[[#This Row],[Producto]]="","",TRIM(LEFT(tblMovimientos[[#This Row],[Producto]],FIND(" · ",tblMovimientos[[#This Row],[Producto]]&amp;" · ")-1)))</f>
        <v/>
      </c>
      <c r="H2335" s="40" t="str">
        <f>IF(tblMovimientos[[#This Row],[SKU]]="","",IFERROR(INDEX(tblProductos[Unidad],MATCH(tblMovimientos[[#This Row],[SKU]],tblProductos[SKU],0)),"?"))</f>
        <v/>
      </c>
      <c r="I2335" s="39"/>
      <c r="J2335" s="47" t="str">
        <f>IF(tblMovimientos[[#This Row],[Tipo]]="","",IFERROR(INDEX(tblTiposMov[FactorStock],MATCH(tblMovimientos[[#This Row],[Tipo]],tblTiposMov[Tipo],0)),0))</f>
        <v/>
      </c>
      <c r="K23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5" s="37"/>
      <c r="O2335" s="37"/>
      <c r="P2335" s="37"/>
    </row>
    <row r="2336" spans="2:16" x14ac:dyDescent="0.25">
      <c r="B23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6" s="46"/>
      <c r="D2336" s="37"/>
      <c r="E2336" s="37"/>
      <c r="F2336" s="37"/>
      <c r="G2336" s="40" t="str">
        <f>IF(tblMovimientos[[#This Row],[Producto]]="","",TRIM(LEFT(tblMovimientos[[#This Row],[Producto]],FIND(" · ",tblMovimientos[[#This Row],[Producto]]&amp;" · ")-1)))</f>
        <v/>
      </c>
      <c r="H2336" s="40" t="str">
        <f>IF(tblMovimientos[[#This Row],[SKU]]="","",IFERROR(INDEX(tblProductos[Unidad],MATCH(tblMovimientos[[#This Row],[SKU]],tblProductos[SKU],0)),"?"))</f>
        <v/>
      </c>
      <c r="I2336" s="39"/>
      <c r="J2336" s="47" t="str">
        <f>IF(tblMovimientos[[#This Row],[Tipo]]="","",IFERROR(INDEX(tblTiposMov[FactorStock],MATCH(tblMovimientos[[#This Row],[Tipo]],tblTiposMov[Tipo],0)),0))</f>
        <v/>
      </c>
      <c r="K23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6" s="37"/>
      <c r="O2336" s="37"/>
      <c r="P2336" s="37"/>
    </row>
    <row r="2337" spans="2:16" x14ac:dyDescent="0.25">
      <c r="B23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7" s="46"/>
      <c r="D2337" s="37"/>
      <c r="E2337" s="37"/>
      <c r="F2337" s="37"/>
      <c r="G2337" s="40" t="str">
        <f>IF(tblMovimientos[[#This Row],[Producto]]="","",TRIM(LEFT(tblMovimientos[[#This Row],[Producto]],FIND(" · ",tblMovimientos[[#This Row],[Producto]]&amp;" · ")-1)))</f>
        <v/>
      </c>
      <c r="H2337" s="40" t="str">
        <f>IF(tblMovimientos[[#This Row],[SKU]]="","",IFERROR(INDEX(tblProductos[Unidad],MATCH(tblMovimientos[[#This Row],[SKU]],tblProductos[SKU],0)),"?"))</f>
        <v/>
      </c>
      <c r="I2337" s="39"/>
      <c r="J2337" s="47" t="str">
        <f>IF(tblMovimientos[[#This Row],[Tipo]]="","",IFERROR(INDEX(tblTiposMov[FactorStock],MATCH(tblMovimientos[[#This Row],[Tipo]],tblTiposMov[Tipo],0)),0))</f>
        <v/>
      </c>
      <c r="K23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7" s="37"/>
      <c r="O2337" s="37"/>
      <c r="P2337" s="37"/>
    </row>
    <row r="2338" spans="2:16" x14ac:dyDescent="0.25">
      <c r="B23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8" s="46"/>
      <c r="D2338" s="37"/>
      <c r="E2338" s="37"/>
      <c r="F2338" s="37"/>
      <c r="G2338" s="40" t="str">
        <f>IF(tblMovimientos[[#This Row],[Producto]]="","",TRIM(LEFT(tblMovimientos[[#This Row],[Producto]],FIND(" · ",tblMovimientos[[#This Row],[Producto]]&amp;" · ")-1)))</f>
        <v/>
      </c>
      <c r="H2338" s="40" t="str">
        <f>IF(tblMovimientos[[#This Row],[SKU]]="","",IFERROR(INDEX(tblProductos[Unidad],MATCH(tblMovimientos[[#This Row],[SKU]],tblProductos[SKU],0)),"?"))</f>
        <v/>
      </c>
      <c r="I2338" s="39"/>
      <c r="J2338" s="47" t="str">
        <f>IF(tblMovimientos[[#This Row],[Tipo]]="","",IFERROR(INDEX(tblTiposMov[FactorStock],MATCH(tblMovimientos[[#This Row],[Tipo]],tblTiposMov[Tipo],0)),0))</f>
        <v/>
      </c>
      <c r="K23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8" s="37"/>
      <c r="O2338" s="37"/>
      <c r="P2338" s="37"/>
    </row>
    <row r="2339" spans="2:16" x14ac:dyDescent="0.25">
      <c r="B23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39" s="46"/>
      <c r="D2339" s="37"/>
      <c r="E2339" s="37"/>
      <c r="F2339" s="37"/>
      <c r="G2339" s="40" t="str">
        <f>IF(tblMovimientos[[#This Row],[Producto]]="","",TRIM(LEFT(tblMovimientos[[#This Row],[Producto]],FIND(" · ",tblMovimientos[[#This Row],[Producto]]&amp;" · ")-1)))</f>
        <v/>
      </c>
      <c r="H2339" s="40" t="str">
        <f>IF(tblMovimientos[[#This Row],[SKU]]="","",IFERROR(INDEX(tblProductos[Unidad],MATCH(tblMovimientos[[#This Row],[SKU]],tblProductos[SKU],0)),"?"))</f>
        <v/>
      </c>
      <c r="I2339" s="39"/>
      <c r="J2339" s="47" t="str">
        <f>IF(tblMovimientos[[#This Row],[Tipo]]="","",IFERROR(INDEX(tblTiposMov[FactorStock],MATCH(tblMovimientos[[#This Row],[Tipo]],tblTiposMov[Tipo],0)),0))</f>
        <v/>
      </c>
      <c r="K23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39" s="37"/>
      <c r="O2339" s="37"/>
      <c r="P2339" s="37"/>
    </row>
    <row r="2340" spans="2:16" x14ac:dyDescent="0.25">
      <c r="B23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0" s="46"/>
      <c r="D2340" s="37"/>
      <c r="E2340" s="37"/>
      <c r="F2340" s="37"/>
      <c r="G2340" s="40" t="str">
        <f>IF(tblMovimientos[[#This Row],[Producto]]="","",TRIM(LEFT(tblMovimientos[[#This Row],[Producto]],FIND(" · ",tblMovimientos[[#This Row],[Producto]]&amp;" · ")-1)))</f>
        <v/>
      </c>
      <c r="H2340" s="40" t="str">
        <f>IF(tblMovimientos[[#This Row],[SKU]]="","",IFERROR(INDEX(tblProductos[Unidad],MATCH(tblMovimientos[[#This Row],[SKU]],tblProductos[SKU],0)),"?"))</f>
        <v/>
      </c>
      <c r="I2340" s="39"/>
      <c r="J2340" s="47" t="str">
        <f>IF(tblMovimientos[[#This Row],[Tipo]]="","",IFERROR(INDEX(tblTiposMov[FactorStock],MATCH(tblMovimientos[[#This Row],[Tipo]],tblTiposMov[Tipo],0)),0))</f>
        <v/>
      </c>
      <c r="K23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0" s="37"/>
      <c r="O2340" s="37"/>
      <c r="P2340" s="37"/>
    </row>
    <row r="2341" spans="2:16" x14ac:dyDescent="0.25">
      <c r="B23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1" s="46"/>
      <c r="D2341" s="37"/>
      <c r="E2341" s="37"/>
      <c r="F2341" s="37"/>
      <c r="G2341" s="40" t="str">
        <f>IF(tblMovimientos[[#This Row],[Producto]]="","",TRIM(LEFT(tblMovimientos[[#This Row],[Producto]],FIND(" · ",tblMovimientos[[#This Row],[Producto]]&amp;" · ")-1)))</f>
        <v/>
      </c>
      <c r="H2341" s="40" t="str">
        <f>IF(tblMovimientos[[#This Row],[SKU]]="","",IFERROR(INDEX(tblProductos[Unidad],MATCH(tblMovimientos[[#This Row],[SKU]],tblProductos[SKU],0)),"?"))</f>
        <v/>
      </c>
      <c r="I2341" s="39"/>
      <c r="J2341" s="47" t="str">
        <f>IF(tblMovimientos[[#This Row],[Tipo]]="","",IFERROR(INDEX(tblTiposMov[FactorStock],MATCH(tblMovimientos[[#This Row],[Tipo]],tblTiposMov[Tipo],0)),0))</f>
        <v/>
      </c>
      <c r="K23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1" s="37"/>
      <c r="O2341" s="37"/>
      <c r="P2341" s="37"/>
    </row>
    <row r="2342" spans="2:16" x14ac:dyDescent="0.25">
      <c r="B23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2" s="46"/>
      <c r="D2342" s="37"/>
      <c r="E2342" s="37"/>
      <c r="F2342" s="37"/>
      <c r="G2342" s="40" t="str">
        <f>IF(tblMovimientos[[#This Row],[Producto]]="","",TRIM(LEFT(tblMovimientos[[#This Row],[Producto]],FIND(" · ",tblMovimientos[[#This Row],[Producto]]&amp;" · ")-1)))</f>
        <v/>
      </c>
      <c r="H2342" s="40" t="str">
        <f>IF(tblMovimientos[[#This Row],[SKU]]="","",IFERROR(INDEX(tblProductos[Unidad],MATCH(tblMovimientos[[#This Row],[SKU]],tblProductos[SKU],0)),"?"))</f>
        <v/>
      </c>
      <c r="I2342" s="39"/>
      <c r="J2342" s="47" t="str">
        <f>IF(tblMovimientos[[#This Row],[Tipo]]="","",IFERROR(INDEX(tblTiposMov[FactorStock],MATCH(tblMovimientos[[#This Row],[Tipo]],tblTiposMov[Tipo],0)),0))</f>
        <v/>
      </c>
      <c r="K23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2" s="37"/>
      <c r="O2342" s="37"/>
      <c r="P2342" s="37"/>
    </row>
    <row r="2343" spans="2:16" x14ac:dyDescent="0.25">
      <c r="B23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3" s="46"/>
      <c r="D2343" s="37"/>
      <c r="E2343" s="37"/>
      <c r="F2343" s="37"/>
      <c r="G2343" s="40" t="str">
        <f>IF(tblMovimientos[[#This Row],[Producto]]="","",TRIM(LEFT(tblMovimientos[[#This Row],[Producto]],FIND(" · ",tblMovimientos[[#This Row],[Producto]]&amp;" · ")-1)))</f>
        <v/>
      </c>
      <c r="H2343" s="40" t="str">
        <f>IF(tblMovimientos[[#This Row],[SKU]]="","",IFERROR(INDEX(tblProductos[Unidad],MATCH(tblMovimientos[[#This Row],[SKU]],tblProductos[SKU],0)),"?"))</f>
        <v/>
      </c>
      <c r="I2343" s="39"/>
      <c r="J2343" s="47" t="str">
        <f>IF(tblMovimientos[[#This Row],[Tipo]]="","",IFERROR(INDEX(tblTiposMov[FactorStock],MATCH(tblMovimientos[[#This Row],[Tipo]],tblTiposMov[Tipo],0)),0))</f>
        <v/>
      </c>
      <c r="K23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3" s="37"/>
      <c r="O2343" s="37"/>
      <c r="P2343" s="37"/>
    </row>
    <row r="2344" spans="2:16" x14ac:dyDescent="0.25">
      <c r="B23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4" s="46"/>
      <c r="D2344" s="37"/>
      <c r="E2344" s="37"/>
      <c r="F2344" s="37"/>
      <c r="G2344" s="40" t="str">
        <f>IF(tblMovimientos[[#This Row],[Producto]]="","",TRIM(LEFT(tblMovimientos[[#This Row],[Producto]],FIND(" · ",tblMovimientos[[#This Row],[Producto]]&amp;" · ")-1)))</f>
        <v/>
      </c>
      <c r="H2344" s="40" t="str">
        <f>IF(tblMovimientos[[#This Row],[SKU]]="","",IFERROR(INDEX(tblProductos[Unidad],MATCH(tblMovimientos[[#This Row],[SKU]],tblProductos[SKU],0)),"?"))</f>
        <v/>
      </c>
      <c r="I2344" s="39"/>
      <c r="J2344" s="47" t="str">
        <f>IF(tblMovimientos[[#This Row],[Tipo]]="","",IFERROR(INDEX(tblTiposMov[FactorStock],MATCH(tblMovimientos[[#This Row],[Tipo]],tblTiposMov[Tipo],0)),0))</f>
        <v/>
      </c>
      <c r="K23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4" s="37"/>
      <c r="O2344" s="37"/>
      <c r="P2344" s="37"/>
    </row>
    <row r="2345" spans="2:16" x14ac:dyDescent="0.25">
      <c r="B23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5" s="46"/>
      <c r="D2345" s="37"/>
      <c r="E2345" s="37"/>
      <c r="F2345" s="37"/>
      <c r="G2345" s="40" t="str">
        <f>IF(tblMovimientos[[#This Row],[Producto]]="","",TRIM(LEFT(tblMovimientos[[#This Row],[Producto]],FIND(" · ",tblMovimientos[[#This Row],[Producto]]&amp;" · ")-1)))</f>
        <v/>
      </c>
      <c r="H2345" s="40" t="str">
        <f>IF(tblMovimientos[[#This Row],[SKU]]="","",IFERROR(INDEX(tblProductos[Unidad],MATCH(tblMovimientos[[#This Row],[SKU]],tblProductos[SKU],0)),"?"))</f>
        <v/>
      </c>
      <c r="I2345" s="39"/>
      <c r="J2345" s="47" t="str">
        <f>IF(tblMovimientos[[#This Row],[Tipo]]="","",IFERROR(INDEX(tblTiposMov[FactorStock],MATCH(tblMovimientos[[#This Row],[Tipo]],tblTiposMov[Tipo],0)),0))</f>
        <v/>
      </c>
      <c r="K23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5" s="37"/>
      <c r="O2345" s="37"/>
      <c r="P2345" s="37"/>
    </row>
    <row r="2346" spans="2:16" x14ac:dyDescent="0.25">
      <c r="B23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6" s="46"/>
      <c r="D2346" s="37"/>
      <c r="E2346" s="37"/>
      <c r="F2346" s="37"/>
      <c r="G2346" s="40" t="str">
        <f>IF(tblMovimientos[[#This Row],[Producto]]="","",TRIM(LEFT(tblMovimientos[[#This Row],[Producto]],FIND(" · ",tblMovimientos[[#This Row],[Producto]]&amp;" · ")-1)))</f>
        <v/>
      </c>
      <c r="H2346" s="40" t="str">
        <f>IF(tblMovimientos[[#This Row],[SKU]]="","",IFERROR(INDEX(tblProductos[Unidad],MATCH(tblMovimientos[[#This Row],[SKU]],tblProductos[SKU],0)),"?"))</f>
        <v/>
      </c>
      <c r="I2346" s="39"/>
      <c r="J2346" s="47" t="str">
        <f>IF(tblMovimientos[[#This Row],[Tipo]]="","",IFERROR(INDEX(tblTiposMov[FactorStock],MATCH(tblMovimientos[[#This Row],[Tipo]],tblTiposMov[Tipo],0)),0))</f>
        <v/>
      </c>
      <c r="K23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6" s="37"/>
      <c r="O2346" s="37"/>
      <c r="P2346" s="37"/>
    </row>
    <row r="2347" spans="2:16" x14ac:dyDescent="0.25">
      <c r="B23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7" s="46"/>
      <c r="D2347" s="37"/>
      <c r="E2347" s="37"/>
      <c r="F2347" s="37"/>
      <c r="G2347" s="40" t="str">
        <f>IF(tblMovimientos[[#This Row],[Producto]]="","",TRIM(LEFT(tblMovimientos[[#This Row],[Producto]],FIND(" · ",tblMovimientos[[#This Row],[Producto]]&amp;" · ")-1)))</f>
        <v/>
      </c>
      <c r="H2347" s="40" t="str">
        <f>IF(tblMovimientos[[#This Row],[SKU]]="","",IFERROR(INDEX(tblProductos[Unidad],MATCH(tblMovimientos[[#This Row],[SKU]],tblProductos[SKU],0)),"?"))</f>
        <v/>
      </c>
      <c r="I2347" s="39"/>
      <c r="J2347" s="47" t="str">
        <f>IF(tblMovimientos[[#This Row],[Tipo]]="","",IFERROR(INDEX(tblTiposMov[FactorStock],MATCH(tblMovimientos[[#This Row],[Tipo]],tblTiposMov[Tipo],0)),0))</f>
        <v/>
      </c>
      <c r="K23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7" s="37"/>
      <c r="O2347" s="37"/>
      <c r="P2347" s="37"/>
    </row>
    <row r="2348" spans="2:16" x14ac:dyDescent="0.25">
      <c r="B23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8" s="46"/>
      <c r="D2348" s="37"/>
      <c r="E2348" s="37"/>
      <c r="F2348" s="37"/>
      <c r="G2348" s="40" t="str">
        <f>IF(tblMovimientos[[#This Row],[Producto]]="","",TRIM(LEFT(tblMovimientos[[#This Row],[Producto]],FIND(" · ",tblMovimientos[[#This Row],[Producto]]&amp;" · ")-1)))</f>
        <v/>
      </c>
      <c r="H2348" s="40" t="str">
        <f>IF(tblMovimientos[[#This Row],[SKU]]="","",IFERROR(INDEX(tblProductos[Unidad],MATCH(tblMovimientos[[#This Row],[SKU]],tblProductos[SKU],0)),"?"))</f>
        <v/>
      </c>
      <c r="I2348" s="39"/>
      <c r="J2348" s="47" t="str">
        <f>IF(tblMovimientos[[#This Row],[Tipo]]="","",IFERROR(INDEX(tblTiposMov[FactorStock],MATCH(tblMovimientos[[#This Row],[Tipo]],tblTiposMov[Tipo],0)),0))</f>
        <v/>
      </c>
      <c r="K23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8" s="37"/>
      <c r="O2348" s="37"/>
      <c r="P2348" s="37"/>
    </row>
    <row r="2349" spans="2:16" x14ac:dyDescent="0.25">
      <c r="B23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49" s="46"/>
      <c r="D2349" s="37"/>
      <c r="E2349" s="37"/>
      <c r="F2349" s="37"/>
      <c r="G2349" s="40" t="str">
        <f>IF(tblMovimientos[[#This Row],[Producto]]="","",TRIM(LEFT(tblMovimientos[[#This Row],[Producto]],FIND(" · ",tblMovimientos[[#This Row],[Producto]]&amp;" · ")-1)))</f>
        <v/>
      </c>
      <c r="H2349" s="40" t="str">
        <f>IF(tblMovimientos[[#This Row],[SKU]]="","",IFERROR(INDEX(tblProductos[Unidad],MATCH(tblMovimientos[[#This Row],[SKU]],tblProductos[SKU],0)),"?"))</f>
        <v/>
      </c>
      <c r="I2349" s="39"/>
      <c r="J2349" s="47" t="str">
        <f>IF(tblMovimientos[[#This Row],[Tipo]]="","",IFERROR(INDEX(tblTiposMov[FactorStock],MATCH(tblMovimientos[[#This Row],[Tipo]],tblTiposMov[Tipo],0)),0))</f>
        <v/>
      </c>
      <c r="K23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49" s="37"/>
      <c r="O2349" s="37"/>
      <c r="P2349" s="37"/>
    </row>
    <row r="2350" spans="2:16" x14ac:dyDescent="0.25">
      <c r="B23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0" s="46"/>
      <c r="D2350" s="37"/>
      <c r="E2350" s="37"/>
      <c r="F2350" s="37"/>
      <c r="G2350" s="40" t="str">
        <f>IF(tblMovimientos[[#This Row],[Producto]]="","",TRIM(LEFT(tblMovimientos[[#This Row],[Producto]],FIND(" · ",tblMovimientos[[#This Row],[Producto]]&amp;" · ")-1)))</f>
        <v/>
      </c>
      <c r="H2350" s="40" t="str">
        <f>IF(tblMovimientos[[#This Row],[SKU]]="","",IFERROR(INDEX(tblProductos[Unidad],MATCH(tblMovimientos[[#This Row],[SKU]],tblProductos[SKU],0)),"?"))</f>
        <v/>
      </c>
      <c r="I2350" s="39"/>
      <c r="J2350" s="47" t="str">
        <f>IF(tblMovimientos[[#This Row],[Tipo]]="","",IFERROR(INDEX(tblTiposMov[FactorStock],MATCH(tblMovimientos[[#This Row],[Tipo]],tblTiposMov[Tipo],0)),0))</f>
        <v/>
      </c>
      <c r="K23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0" s="37"/>
      <c r="O2350" s="37"/>
      <c r="P2350" s="37"/>
    </row>
    <row r="2351" spans="2:16" x14ac:dyDescent="0.25">
      <c r="B23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1" s="46"/>
      <c r="D2351" s="37"/>
      <c r="E2351" s="37"/>
      <c r="F2351" s="37"/>
      <c r="G2351" s="40" t="str">
        <f>IF(tblMovimientos[[#This Row],[Producto]]="","",TRIM(LEFT(tblMovimientos[[#This Row],[Producto]],FIND(" · ",tblMovimientos[[#This Row],[Producto]]&amp;" · ")-1)))</f>
        <v/>
      </c>
      <c r="H2351" s="40" t="str">
        <f>IF(tblMovimientos[[#This Row],[SKU]]="","",IFERROR(INDEX(tblProductos[Unidad],MATCH(tblMovimientos[[#This Row],[SKU]],tblProductos[SKU],0)),"?"))</f>
        <v/>
      </c>
      <c r="I2351" s="39"/>
      <c r="J2351" s="47" t="str">
        <f>IF(tblMovimientos[[#This Row],[Tipo]]="","",IFERROR(INDEX(tblTiposMov[FactorStock],MATCH(tblMovimientos[[#This Row],[Tipo]],tblTiposMov[Tipo],0)),0))</f>
        <v/>
      </c>
      <c r="K23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1" s="37"/>
      <c r="O2351" s="37"/>
      <c r="P2351" s="37"/>
    </row>
    <row r="2352" spans="2:16" x14ac:dyDescent="0.25">
      <c r="B23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2" s="46"/>
      <c r="D2352" s="37"/>
      <c r="E2352" s="37"/>
      <c r="F2352" s="37"/>
      <c r="G2352" s="40" t="str">
        <f>IF(tblMovimientos[[#This Row],[Producto]]="","",TRIM(LEFT(tblMovimientos[[#This Row],[Producto]],FIND(" · ",tblMovimientos[[#This Row],[Producto]]&amp;" · ")-1)))</f>
        <v/>
      </c>
      <c r="H2352" s="40" t="str">
        <f>IF(tblMovimientos[[#This Row],[SKU]]="","",IFERROR(INDEX(tblProductos[Unidad],MATCH(tblMovimientos[[#This Row],[SKU]],tblProductos[SKU],0)),"?"))</f>
        <v/>
      </c>
      <c r="I2352" s="39"/>
      <c r="J2352" s="47" t="str">
        <f>IF(tblMovimientos[[#This Row],[Tipo]]="","",IFERROR(INDEX(tblTiposMov[FactorStock],MATCH(tblMovimientos[[#This Row],[Tipo]],tblTiposMov[Tipo],0)),0))</f>
        <v/>
      </c>
      <c r="K23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2" s="37"/>
      <c r="O2352" s="37"/>
      <c r="P2352" s="37"/>
    </row>
    <row r="2353" spans="2:16" x14ac:dyDescent="0.25">
      <c r="B23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3" s="46"/>
      <c r="D2353" s="37"/>
      <c r="E2353" s="37"/>
      <c r="F2353" s="37"/>
      <c r="G2353" s="40" t="str">
        <f>IF(tblMovimientos[[#This Row],[Producto]]="","",TRIM(LEFT(tblMovimientos[[#This Row],[Producto]],FIND(" · ",tblMovimientos[[#This Row],[Producto]]&amp;" · ")-1)))</f>
        <v/>
      </c>
      <c r="H2353" s="40" t="str">
        <f>IF(tblMovimientos[[#This Row],[SKU]]="","",IFERROR(INDEX(tblProductos[Unidad],MATCH(tblMovimientos[[#This Row],[SKU]],tblProductos[SKU],0)),"?"))</f>
        <v/>
      </c>
      <c r="I2353" s="39"/>
      <c r="J2353" s="47" t="str">
        <f>IF(tblMovimientos[[#This Row],[Tipo]]="","",IFERROR(INDEX(tblTiposMov[FactorStock],MATCH(tblMovimientos[[#This Row],[Tipo]],tblTiposMov[Tipo],0)),0))</f>
        <v/>
      </c>
      <c r="K23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3" s="37"/>
      <c r="O2353" s="37"/>
      <c r="P2353" s="37"/>
    </row>
    <row r="2354" spans="2:16" x14ac:dyDescent="0.25">
      <c r="B23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4" s="46"/>
      <c r="D2354" s="37"/>
      <c r="E2354" s="37"/>
      <c r="F2354" s="37"/>
      <c r="G2354" s="40" t="str">
        <f>IF(tblMovimientos[[#This Row],[Producto]]="","",TRIM(LEFT(tblMovimientos[[#This Row],[Producto]],FIND(" · ",tblMovimientos[[#This Row],[Producto]]&amp;" · ")-1)))</f>
        <v/>
      </c>
      <c r="H2354" s="40" t="str">
        <f>IF(tblMovimientos[[#This Row],[SKU]]="","",IFERROR(INDEX(tblProductos[Unidad],MATCH(tblMovimientos[[#This Row],[SKU]],tblProductos[SKU],0)),"?"))</f>
        <v/>
      </c>
      <c r="I2354" s="39"/>
      <c r="J2354" s="47" t="str">
        <f>IF(tblMovimientos[[#This Row],[Tipo]]="","",IFERROR(INDEX(tblTiposMov[FactorStock],MATCH(tblMovimientos[[#This Row],[Tipo]],tblTiposMov[Tipo],0)),0))</f>
        <v/>
      </c>
      <c r="K23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4" s="37"/>
      <c r="O2354" s="37"/>
      <c r="P2354" s="37"/>
    </row>
    <row r="2355" spans="2:16" x14ac:dyDescent="0.25">
      <c r="B23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5" s="46"/>
      <c r="D2355" s="37"/>
      <c r="E2355" s="37"/>
      <c r="F2355" s="37"/>
      <c r="G2355" s="40" t="str">
        <f>IF(tblMovimientos[[#This Row],[Producto]]="","",TRIM(LEFT(tblMovimientos[[#This Row],[Producto]],FIND(" · ",tblMovimientos[[#This Row],[Producto]]&amp;" · ")-1)))</f>
        <v/>
      </c>
      <c r="H2355" s="40" t="str">
        <f>IF(tblMovimientos[[#This Row],[SKU]]="","",IFERROR(INDEX(tblProductos[Unidad],MATCH(tblMovimientos[[#This Row],[SKU]],tblProductos[SKU],0)),"?"))</f>
        <v/>
      </c>
      <c r="I2355" s="39"/>
      <c r="J2355" s="47" t="str">
        <f>IF(tblMovimientos[[#This Row],[Tipo]]="","",IFERROR(INDEX(tblTiposMov[FactorStock],MATCH(tblMovimientos[[#This Row],[Tipo]],tblTiposMov[Tipo],0)),0))</f>
        <v/>
      </c>
      <c r="K23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5" s="37"/>
      <c r="O2355" s="37"/>
      <c r="P2355" s="37"/>
    </row>
    <row r="2356" spans="2:16" x14ac:dyDescent="0.25">
      <c r="B23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6" s="46"/>
      <c r="D2356" s="37"/>
      <c r="E2356" s="37"/>
      <c r="F2356" s="37"/>
      <c r="G2356" s="40" t="str">
        <f>IF(tblMovimientos[[#This Row],[Producto]]="","",TRIM(LEFT(tblMovimientos[[#This Row],[Producto]],FIND(" · ",tblMovimientos[[#This Row],[Producto]]&amp;" · ")-1)))</f>
        <v/>
      </c>
      <c r="H2356" s="40" t="str">
        <f>IF(tblMovimientos[[#This Row],[SKU]]="","",IFERROR(INDEX(tblProductos[Unidad],MATCH(tblMovimientos[[#This Row],[SKU]],tblProductos[SKU],0)),"?"))</f>
        <v/>
      </c>
      <c r="I2356" s="39"/>
      <c r="J2356" s="47" t="str">
        <f>IF(tblMovimientos[[#This Row],[Tipo]]="","",IFERROR(INDEX(tblTiposMov[FactorStock],MATCH(tblMovimientos[[#This Row],[Tipo]],tblTiposMov[Tipo],0)),0))</f>
        <v/>
      </c>
      <c r="K23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6" s="37"/>
      <c r="O2356" s="37"/>
      <c r="P2356" s="37"/>
    </row>
    <row r="2357" spans="2:16" x14ac:dyDescent="0.25">
      <c r="B23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7" s="46"/>
      <c r="D2357" s="37"/>
      <c r="E2357" s="37"/>
      <c r="F2357" s="37"/>
      <c r="G2357" s="40" t="str">
        <f>IF(tblMovimientos[[#This Row],[Producto]]="","",TRIM(LEFT(tblMovimientos[[#This Row],[Producto]],FIND(" · ",tblMovimientos[[#This Row],[Producto]]&amp;" · ")-1)))</f>
        <v/>
      </c>
      <c r="H2357" s="40" t="str">
        <f>IF(tblMovimientos[[#This Row],[SKU]]="","",IFERROR(INDEX(tblProductos[Unidad],MATCH(tblMovimientos[[#This Row],[SKU]],tblProductos[SKU],0)),"?"))</f>
        <v/>
      </c>
      <c r="I2357" s="39"/>
      <c r="J2357" s="47" t="str">
        <f>IF(tblMovimientos[[#This Row],[Tipo]]="","",IFERROR(INDEX(tblTiposMov[FactorStock],MATCH(tblMovimientos[[#This Row],[Tipo]],tblTiposMov[Tipo],0)),0))</f>
        <v/>
      </c>
      <c r="K23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7" s="37"/>
      <c r="O2357" s="37"/>
      <c r="P2357" s="37"/>
    </row>
    <row r="2358" spans="2:16" x14ac:dyDescent="0.25">
      <c r="B23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8" s="46"/>
      <c r="D2358" s="37"/>
      <c r="E2358" s="37"/>
      <c r="F2358" s="37"/>
      <c r="G2358" s="40" t="str">
        <f>IF(tblMovimientos[[#This Row],[Producto]]="","",TRIM(LEFT(tblMovimientos[[#This Row],[Producto]],FIND(" · ",tblMovimientos[[#This Row],[Producto]]&amp;" · ")-1)))</f>
        <v/>
      </c>
      <c r="H2358" s="40" t="str">
        <f>IF(tblMovimientos[[#This Row],[SKU]]="","",IFERROR(INDEX(tblProductos[Unidad],MATCH(tblMovimientos[[#This Row],[SKU]],tblProductos[SKU],0)),"?"))</f>
        <v/>
      </c>
      <c r="I2358" s="39"/>
      <c r="J2358" s="47" t="str">
        <f>IF(tblMovimientos[[#This Row],[Tipo]]="","",IFERROR(INDEX(tblTiposMov[FactorStock],MATCH(tblMovimientos[[#This Row],[Tipo]],tblTiposMov[Tipo],0)),0))</f>
        <v/>
      </c>
      <c r="K23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8" s="37"/>
      <c r="O2358" s="37"/>
      <c r="P2358" s="37"/>
    </row>
    <row r="2359" spans="2:16" x14ac:dyDescent="0.25">
      <c r="B23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59" s="46"/>
      <c r="D2359" s="37"/>
      <c r="E2359" s="37"/>
      <c r="F2359" s="37"/>
      <c r="G2359" s="40" t="str">
        <f>IF(tblMovimientos[[#This Row],[Producto]]="","",TRIM(LEFT(tblMovimientos[[#This Row],[Producto]],FIND(" · ",tblMovimientos[[#This Row],[Producto]]&amp;" · ")-1)))</f>
        <v/>
      </c>
      <c r="H2359" s="40" t="str">
        <f>IF(tblMovimientos[[#This Row],[SKU]]="","",IFERROR(INDEX(tblProductos[Unidad],MATCH(tblMovimientos[[#This Row],[SKU]],tblProductos[SKU],0)),"?"))</f>
        <v/>
      </c>
      <c r="I2359" s="39"/>
      <c r="J2359" s="47" t="str">
        <f>IF(tblMovimientos[[#This Row],[Tipo]]="","",IFERROR(INDEX(tblTiposMov[FactorStock],MATCH(tblMovimientos[[#This Row],[Tipo]],tblTiposMov[Tipo],0)),0))</f>
        <v/>
      </c>
      <c r="K23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59" s="37"/>
      <c r="O2359" s="37"/>
      <c r="P2359" s="37"/>
    </row>
    <row r="2360" spans="2:16" x14ac:dyDescent="0.25">
      <c r="B23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0" s="46"/>
      <c r="D2360" s="37"/>
      <c r="E2360" s="37"/>
      <c r="F2360" s="37"/>
      <c r="G2360" s="40" t="str">
        <f>IF(tblMovimientos[[#This Row],[Producto]]="","",TRIM(LEFT(tblMovimientos[[#This Row],[Producto]],FIND(" · ",tblMovimientos[[#This Row],[Producto]]&amp;" · ")-1)))</f>
        <v/>
      </c>
      <c r="H2360" s="40" t="str">
        <f>IF(tblMovimientos[[#This Row],[SKU]]="","",IFERROR(INDEX(tblProductos[Unidad],MATCH(tblMovimientos[[#This Row],[SKU]],tblProductos[SKU],0)),"?"))</f>
        <v/>
      </c>
      <c r="I2360" s="39"/>
      <c r="J2360" s="47" t="str">
        <f>IF(tblMovimientos[[#This Row],[Tipo]]="","",IFERROR(INDEX(tblTiposMov[FactorStock],MATCH(tblMovimientos[[#This Row],[Tipo]],tblTiposMov[Tipo],0)),0))</f>
        <v/>
      </c>
      <c r="K23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0" s="37"/>
      <c r="O2360" s="37"/>
      <c r="P2360" s="37"/>
    </row>
    <row r="2361" spans="2:16" x14ac:dyDescent="0.25">
      <c r="B23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1" s="46"/>
      <c r="D2361" s="37"/>
      <c r="E2361" s="37"/>
      <c r="F2361" s="37"/>
      <c r="G2361" s="40" t="str">
        <f>IF(tblMovimientos[[#This Row],[Producto]]="","",TRIM(LEFT(tblMovimientos[[#This Row],[Producto]],FIND(" · ",tblMovimientos[[#This Row],[Producto]]&amp;" · ")-1)))</f>
        <v/>
      </c>
      <c r="H2361" s="40" t="str">
        <f>IF(tblMovimientos[[#This Row],[SKU]]="","",IFERROR(INDEX(tblProductos[Unidad],MATCH(tblMovimientos[[#This Row],[SKU]],tblProductos[SKU],0)),"?"))</f>
        <v/>
      </c>
      <c r="I2361" s="39"/>
      <c r="J2361" s="47" t="str">
        <f>IF(tblMovimientos[[#This Row],[Tipo]]="","",IFERROR(INDEX(tblTiposMov[FactorStock],MATCH(tblMovimientos[[#This Row],[Tipo]],tblTiposMov[Tipo],0)),0))</f>
        <v/>
      </c>
      <c r="K23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1" s="37"/>
      <c r="O2361" s="37"/>
      <c r="P2361" s="37"/>
    </row>
    <row r="2362" spans="2:16" x14ac:dyDescent="0.25">
      <c r="B23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2" s="46"/>
      <c r="D2362" s="37"/>
      <c r="E2362" s="37"/>
      <c r="F2362" s="37"/>
      <c r="G2362" s="40" t="str">
        <f>IF(tblMovimientos[[#This Row],[Producto]]="","",TRIM(LEFT(tblMovimientos[[#This Row],[Producto]],FIND(" · ",tblMovimientos[[#This Row],[Producto]]&amp;" · ")-1)))</f>
        <v/>
      </c>
      <c r="H2362" s="40" t="str">
        <f>IF(tblMovimientos[[#This Row],[SKU]]="","",IFERROR(INDEX(tblProductos[Unidad],MATCH(tblMovimientos[[#This Row],[SKU]],tblProductos[SKU],0)),"?"))</f>
        <v/>
      </c>
      <c r="I2362" s="39"/>
      <c r="J2362" s="47" t="str">
        <f>IF(tblMovimientos[[#This Row],[Tipo]]="","",IFERROR(INDEX(tblTiposMov[FactorStock],MATCH(tblMovimientos[[#This Row],[Tipo]],tblTiposMov[Tipo],0)),0))</f>
        <v/>
      </c>
      <c r="K23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2" s="37"/>
      <c r="O2362" s="37"/>
      <c r="P2362" s="37"/>
    </row>
    <row r="2363" spans="2:16" x14ac:dyDescent="0.25">
      <c r="B23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3" s="46"/>
      <c r="D2363" s="37"/>
      <c r="E2363" s="37"/>
      <c r="F2363" s="37"/>
      <c r="G2363" s="40" t="str">
        <f>IF(tblMovimientos[[#This Row],[Producto]]="","",TRIM(LEFT(tblMovimientos[[#This Row],[Producto]],FIND(" · ",tblMovimientos[[#This Row],[Producto]]&amp;" · ")-1)))</f>
        <v/>
      </c>
      <c r="H2363" s="40" t="str">
        <f>IF(tblMovimientos[[#This Row],[SKU]]="","",IFERROR(INDEX(tblProductos[Unidad],MATCH(tblMovimientos[[#This Row],[SKU]],tblProductos[SKU],0)),"?"))</f>
        <v/>
      </c>
      <c r="I2363" s="39"/>
      <c r="J2363" s="47" t="str">
        <f>IF(tblMovimientos[[#This Row],[Tipo]]="","",IFERROR(INDEX(tblTiposMov[FactorStock],MATCH(tblMovimientos[[#This Row],[Tipo]],tblTiposMov[Tipo],0)),0))</f>
        <v/>
      </c>
      <c r="K23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3" s="37"/>
      <c r="O2363" s="37"/>
      <c r="P2363" s="37"/>
    </row>
    <row r="2364" spans="2:16" x14ac:dyDescent="0.25">
      <c r="B23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4" s="46"/>
      <c r="D2364" s="37"/>
      <c r="E2364" s="37"/>
      <c r="F2364" s="37"/>
      <c r="G2364" s="40" t="str">
        <f>IF(tblMovimientos[[#This Row],[Producto]]="","",TRIM(LEFT(tblMovimientos[[#This Row],[Producto]],FIND(" · ",tblMovimientos[[#This Row],[Producto]]&amp;" · ")-1)))</f>
        <v/>
      </c>
      <c r="H2364" s="40" t="str">
        <f>IF(tblMovimientos[[#This Row],[SKU]]="","",IFERROR(INDEX(tblProductos[Unidad],MATCH(tblMovimientos[[#This Row],[SKU]],tblProductos[SKU],0)),"?"))</f>
        <v/>
      </c>
      <c r="I2364" s="39"/>
      <c r="J2364" s="47" t="str">
        <f>IF(tblMovimientos[[#This Row],[Tipo]]="","",IFERROR(INDEX(tblTiposMov[FactorStock],MATCH(tblMovimientos[[#This Row],[Tipo]],tblTiposMov[Tipo],0)),0))</f>
        <v/>
      </c>
      <c r="K23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4" s="37"/>
      <c r="O2364" s="37"/>
      <c r="P2364" s="37"/>
    </row>
    <row r="2365" spans="2:16" x14ac:dyDescent="0.25">
      <c r="B23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5" s="46"/>
      <c r="D2365" s="37"/>
      <c r="E2365" s="37"/>
      <c r="F2365" s="37"/>
      <c r="G2365" s="40" t="str">
        <f>IF(tblMovimientos[[#This Row],[Producto]]="","",TRIM(LEFT(tblMovimientos[[#This Row],[Producto]],FIND(" · ",tblMovimientos[[#This Row],[Producto]]&amp;" · ")-1)))</f>
        <v/>
      </c>
      <c r="H2365" s="40" t="str">
        <f>IF(tblMovimientos[[#This Row],[SKU]]="","",IFERROR(INDEX(tblProductos[Unidad],MATCH(tblMovimientos[[#This Row],[SKU]],tblProductos[SKU],0)),"?"))</f>
        <v/>
      </c>
      <c r="I2365" s="39"/>
      <c r="J2365" s="47" t="str">
        <f>IF(tblMovimientos[[#This Row],[Tipo]]="","",IFERROR(INDEX(tblTiposMov[FactorStock],MATCH(tblMovimientos[[#This Row],[Tipo]],tblTiposMov[Tipo],0)),0))</f>
        <v/>
      </c>
      <c r="K23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5" s="37"/>
      <c r="O2365" s="37"/>
      <c r="P2365" s="37"/>
    </row>
    <row r="2366" spans="2:16" x14ac:dyDescent="0.25">
      <c r="B23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6" s="46"/>
      <c r="D2366" s="37"/>
      <c r="E2366" s="37"/>
      <c r="F2366" s="37"/>
      <c r="G2366" s="40" t="str">
        <f>IF(tblMovimientos[[#This Row],[Producto]]="","",TRIM(LEFT(tblMovimientos[[#This Row],[Producto]],FIND(" · ",tblMovimientos[[#This Row],[Producto]]&amp;" · ")-1)))</f>
        <v/>
      </c>
      <c r="H2366" s="40" t="str">
        <f>IF(tblMovimientos[[#This Row],[SKU]]="","",IFERROR(INDEX(tblProductos[Unidad],MATCH(tblMovimientos[[#This Row],[SKU]],tblProductos[SKU],0)),"?"))</f>
        <v/>
      </c>
      <c r="I2366" s="39"/>
      <c r="J2366" s="47" t="str">
        <f>IF(tblMovimientos[[#This Row],[Tipo]]="","",IFERROR(INDEX(tblTiposMov[FactorStock],MATCH(tblMovimientos[[#This Row],[Tipo]],tblTiposMov[Tipo],0)),0))</f>
        <v/>
      </c>
      <c r="K23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6" s="37"/>
      <c r="O2366" s="37"/>
      <c r="P2366" s="37"/>
    </row>
    <row r="2367" spans="2:16" x14ac:dyDescent="0.25">
      <c r="B23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7" s="46"/>
      <c r="D2367" s="37"/>
      <c r="E2367" s="37"/>
      <c r="F2367" s="37"/>
      <c r="G2367" s="40" t="str">
        <f>IF(tblMovimientos[[#This Row],[Producto]]="","",TRIM(LEFT(tblMovimientos[[#This Row],[Producto]],FIND(" · ",tblMovimientos[[#This Row],[Producto]]&amp;" · ")-1)))</f>
        <v/>
      </c>
      <c r="H2367" s="40" t="str">
        <f>IF(tblMovimientos[[#This Row],[SKU]]="","",IFERROR(INDEX(tblProductos[Unidad],MATCH(tblMovimientos[[#This Row],[SKU]],tblProductos[SKU],0)),"?"))</f>
        <v/>
      </c>
      <c r="I2367" s="39"/>
      <c r="J2367" s="47" t="str">
        <f>IF(tblMovimientos[[#This Row],[Tipo]]="","",IFERROR(INDEX(tblTiposMov[FactorStock],MATCH(tblMovimientos[[#This Row],[Tipo]],tblTiposMov[Tipo],0)),0))</f>
        <v/>
      </c>
      <c r="K23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7" s="37"/>
      <c r="O2367" s="37"/>
      <c r="P2367" s="37"/>
    </row>
    <row r="2368" spans="2:16" x14ac:dyDescent="0.25">
      <c r="B23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8" s="46"/>
      <c r="D2368" s="37"/>
      <c r="E2368" s="37"/>
      <c r="F2368" s="37"/>
      <c r="G2368" s="40" t="str">
        <f>IF(tblMovimientos[[#This Row],[Producto]]="","",TRIM(LEFT(tblMovimientos[[#This Row],[Producto]],FIND(" · ",tblMovimientos[[#This Row],[Producto]]&amp;" · ")-1)))</f>
        <v/>
      </c>
      <c r="H2368" s="40" t="str">
        <f>IF(tblMovimientos[[#This Row],[SKU]]="","",IFERROR(INDEX(tblProductos[Unidad],MATCH(tblMovimientos[[#This Row],[SKU]],tblProductos[SKU],0)),"?"))</f>
        <v/>
      </c>
      <c r="I2368" s="39"/>
      <c r="J2368" s="47" t="str">
        <f>IF(tblMovimientos[[#This Row],[Tipo]]="","",IFERROR(INDEX(tblTiposMov[FactorStock],MATCH(tblMovimientos[[#This Row],[Tipo]],tblTiposMov[Tipo],0)),0))</f>
        <v/>
      </c>
      <c r="K23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8" s="37"/>
      <c r="O2368" s="37"/>
      <c r="P2368" s="37"/>
    </row>
    <row r="2369" spans="2:16" x14ac:dyDescent="0.25">
      <c r="B23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69" s="46"/>
      <c r="D2369" s="37"/>
      <c r="E2369" s="37"/>
      <c r="F2369" s="37"/>
      <c r="G2369" s="40" t="str">
        <f>IF(tblMovimientos[[#This Row],[Producto]]="","",TRIM(LEFT(tblMovimientos[[#This Row],[Producto]],FIND(" · ",tblMovimientos[[#This Row],[Producto]]&amp;" · ")-1)))</f>
        <v/>
      </c>
      <c r="H2369" s="40" t="str">
        <f>IF(tblMovimientos[[#This Row],[SKU]]="","",IFERROR(INDEX(tblProductos[Unidad],MATCH(tblMovimientos[[#This Row],[SKU]],tblProductos[SKU],0)),"?"))</f>
        <v/>
      </c>
      <c r="I2369" s="39"/>
      <c r="J2369" s="47" t="str">
        <f>IF(tblMovimientos[[#This Row],[Tipo]]="","",IFERROR(INDEX(tblTiposMov[FactorStock],MATCH(tblMovimientos[[#This Row],[Tipo]],tblTiposMov[Tipo],0)),0))</f>
        <v/>
      </c>
      <c r="K23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69" s="37"/>
      <c r="O2369" s="37"/>
      <c r="P2369" s="37"/>
    </row>
    <row r="2370" spans="2:16" x14ac:dyDescent="0.25">
      <c r="B23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0" s="46"/>
      <c r="D2370" s="37"/>
      <c r="E2370" s="37"/>
      <c r="F2370" s="37"/>
      <c r="G2370" s="40" t="str">
        <f>IF(tblMovimientos[[#This Row],[Producto]]="","",TRIM(LEFT(tblMovimientos[[#This Row],[Producto]],FIND(" · ",tblMovimientos[[#This Row],[Producto]]&amp;" · ")-1)))</f>
        <v/>
      </c>
      <c r="H2370" s="40" t="str">
        <f>IF(tblMovimientos[[#This Row],[SKU]]="","",IFERROR(INDEX(tblProductos[Unidad],MATCH(tblMovimientos[[#This Row],[SKU]],tblProductos[SKU],0)),"?"))</f>
        <v/>
      </c>
      <c r="I2370" s="39"/>
      <c r="J2370" s="47" t="str">
        <f>IF(tblMovimientos[[#This Row],[Tipo]]="","",IFERROR(INDEX(tblTiposMov[FactorStock],MATCH(tblMovimientos[[#This Row],[Tipo]],tblTiposMov[Tipo],0)),0))</f>
        <v/>
      </c>
      <c r="K23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0" s="37"/>
      <c r="O2370" s="37"/>
      <c r="P2370" s="37"/>
    </row>
    <row r="2371" spans="2:16" x14ac:dyDescent="0.25">
      <c r="B23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1" s="46"/>
      <c r="D2371" s="37"/>
      <c r="E2371" s="37"/>
      <c r="F2371" s="37"/>
      <c r="G2371" s="40" t="str">
        <f>IF(tblMovimientos[[#This Row],[Producto]]="","",TRIM(LEFT(tblMovimientos[[#This Row],[Producto]],FIND(" · ",tblMovimientos[[#This Row],[Producto]]&amp;" · ")-1)))</f>
        <v/>
      </c>
      <c r="H2371" s="40" t="str">
        <f>IF(tblMovimientos[[#This Row],[SKU]]="","",IFERROR(INDEX(tblProductos[Unidad],MATCH(tblMovimientos[[#This Row],[SKU]],tblProductos[SKU],0)),"?"))</f>
        <v/>
      </c>
      <c r="I2371" s="39"/>
      <c r="J2371" s="47" t="str">
        <f>IF(tblMovimientos[[#This Row],[Tipo]]="","",IFERROR(INDEX(tblTiposMov[FactorStock],MATCH(tblMovimientos[[#This Row],[Tipo]],tblTiposMov[Tipo],0)),0))</f>
        <v/>
      </c>
      <c r="K23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1" s="37"/>
      <c r="O2371" s="37"/>
      <c r="P2371" s="37"/>
    </row>
    <row r="2372" spans="2:16" x14ac:dyDescent="0.25">
      <c r="B23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2" s="46"/>
      <c r="D2372" s="37"/>
      <c r="E2372" s="37"/>
      <c r="F2372" s="37"/>
      <c r="G2372" s="40" t="str">
        <f>IF(tblMovimientos[[#This Row],[Producto]]="","",TRIM(LEFT(tblMovimientos[[#This Row],[Producto]],FIND(" · ",tblMovimientos[[#This Row],[Producto]]&amp;" · ")-1)))</f>
        <v/>
      </c>
      <c r="H2372" s="40" t="str">
        <f>IF(tblMovimientos[[#This Row],[SKU]]="","",IFERROR(INDEX(tblProductos[Unidad],MATCH(tblMovimientos[[#This Row],[SKU]],tblProductos[SKU],0)),"?"))</f>
        <v/>
      </c>
      <c r="I2372" s="39"/>
      <c r="J2372" s="47" t="str">
        <f>IF(tblMovimientos[[#This Row],[Tipo]]="","",IFERROR(INDEX(tblTiposMov[FactorStock],MATCH(tblMovimientos[[#This Row],[Tipo]],tblTiposMov[Tipo],0)),0))</f>
        <v/>
      </c>
      <c r="K23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2" s="37"/>
      <c r="O2372" s="37"/>
      <c r="P2372" s="37"/>
    </row>
    <row r="2373" spans="2:16" x14ac:dyDescent="0.25">
      <c r="B23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3" s="46"/>
      <c r="D2373" s="37"/>
      <c r="E2373" s="37"/>
      <c r="F2373" s="37"/>
      <c r="G2373" s="40" t="str">
        <f>IF(tblMovimientos[[#This Row],[Producto]]="","",TRIM(LEFT(tblMovimientos[[#This Row],[Producto]],FIND(" · ",tblMovimientos[[#This Row],[Producto]]&amp;" · ")-1)))</f>
        <v/>
      </c>
      <c r="H2373" s="40" t="str">
        <f>IF(tblMovimientos[[#This Row],[SKU]]="","",IFERROR(INDEX(tblProductos[Unidad],MATCH(tblMovimientos[[#This Row],[SKU]],tblProductos[SKU],0)),"?"))</f>
        <v/>
      </c>
      <c r="I2373" s="39"/>
      <c r="J2373" s="47" t="str">
        <f>IF(tblMovimientos[[#This Row],[Tipo]]="","",IFERROR(INDEX(tblTiposMov[FactorStock],MATCH(tblMovimientos[[#This Row],[Tipo]],tblTiposMov[Tipo],0)),0))</f>
        <v/>
      </c>
      <c r="K23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3" s="37"/>
      <c r="O2373" s="37"/>
      <c r="P2373" s="37"/>
    </row>
    <row r="2374" spans="2:16" x14ac:dyDescent="0.25">
      <c r="B23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4" s="46"/>
      <c r="D2374" s="37"/>
      <c r="E2374" s="37"/>
      <c r="F2374" s="37"/>
      <c r="G2374" s="40" t="str">
        <f>IF(tblMovimientos[[#This Row],[Producto]]="","",TRIM(LEFT(tblMovimientos[[#This Row],[Producto]],FIND(" · ",tblMovimientos[[#This Row],[Producto]]&amp;" · ")-1)))</f>
        <v/>
      </c>
      <c r="H2374" s="40" t="str">
        <f>IF(tblMovimientos[[#This Row],[SKU]]="","",IFERROR(INDEX(tblProductos[Unidad],MATCH(tblMovimientos[[#This Row],[SKU]],tblProductos[SKU],0)),"?"))</f>
        <v/>
      </c>
      <c r="I2374" s="39"/>
      <c r="J2374" s="47" t="str">
        <f>IF(tblMovimientos[[#This Row],[Tipo]]="","",IFERROR(INDEX(tblTiposMov[FactorStock],MATCH(tblMovimientos[[#This Row],[Tipo]],tblTiposMov[Tipo],0)),0))</f>
        <v/>
      </c>
      <c r="K23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4" s="37"/>
      <c r="O2374" s="37"/>
      <c r="P2374" s="37"/>
    </row>
    <row r="2375" spans="2:16" x14ac:dyDescent="0.25">
      <c r="B23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5" s="46"/>
      <c r="D2375" s="37"/>
      <c r="E2375" s="37"/>
      <c r="F2375" s="37"/>
      <c r="G2375" s="40" t="str">
        <f>IF(tblMovimientos[[#This Row],[Producto]]="","",TRIM(LEFT(tblMovimientos[[#This Row],[Producto]],FIND(" · ",tblMovimientos[[#This Row],[Producto]]&amp;" · ")-1)))</f>
        <v/>
      </c>
      <c r="H2375" s="40" t="str">
        <f>IF(tblMovimientos[[#This Row],[SKU]]="","",IFERROR(INDEX(tblProductos[Unidad],MATCH(tblMovimientos[[#This Row],[SKU]],tblProductos[SKU],0)),"?"))</f>
        <v/>
      </c>
      <c r="I2375" s="39"/>
      <c r="J2375" s="47" t="str">
        <f>IF(tblMovimientos[[#This Row],[Tipo]]="","",IFERROR(INDEX(tblTiposMov[FactorStock],MATCH(tblMovimientos[[#This Row],[Tipo]],tblTiposMov[Tipo],0)),0))</f>
        <v/>
      </c>
      <c r="K23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5" s="37"/>
      <c r="O2375" s="37"/>
      <c r="P2375" s="37"/>
    </row>
    <row r="2376" spans="2:16" x14ac:dyDescent="0.25">
      <c r="B23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6" s="46"/>
      <c r="D2376" s="37"/>
      <c r="E2376" s="37"/>
      <c r="F2376" s="37"/>
      <c r="G2376" s="40" t="str">
        <f>IF(tblMovimientos[[#This Row],[Producto]]="","",TRIM(LEFT(tblMovimientos[[#This Row],[Producto]],FIND(" · ",tblMovimientos[[#This Row],[Producto]]&amp;" · ")-1)))</f>
        <v/>
      </c>
      <c r="H2376" s="40" t="str">
        <f>IF(tblMovimientos[[#This Row],[SKU]]="","",IFERROR(INDEX(tblProductos[Unidad],MATCH(tblMovimientos[[#This Row],[SKU]],tblProductos[SKU],0)),"?"))</f>
        <v/>
      </c>
      <c r="I2376" s="39"/>
      <c r="J2376" s="47" t="str">
        <f>IF(tblMovimientos[[#This Row],[Tipo]]="","",IFERROR(INDEX(tblTiposMov[FactorStock],MATCH(tblMovimientos[[#This Row],[Tipo]],tblTiposMov[Tipo],0)),0))</f>
        <v/>
      </c>
      <c r="K23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6" s="37"/>
      <c r="O2376" s="37"/>
      <c r="P2376" s="37"/>
    </row>
    <row r="2377" spans="2:16" x14ac:dyDescent="0.25">
      <c r="B23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7" s="46"/>
      <c r="D2377" s="37"/>
      <c r="E2377" s="37"/>
      <c r="F2377" s="37"/>
      <c r="G2377" s="40" t="str">
        <f>IF(tblMovimientos[[#This Row],[Producto]]="","",TRIM(LEFT(tblMovimientos[[#This Row],[Producto]],FIND(" · ",tblMovimientos[[#This Row],[Producto]]&amp;" · ")-1)))</f>
        <v/>
      </c>
      <c r="H2377" s="40" t="str">
        <f>IF(tblMovimientos[[#This Row],[SKU]]="","",IFERROR(INDEX(tblProductos[Unidad],MATCH(tblMovimientos[[#This Row],[SKU]],tblProductos[SKU],0)),"?"))</f>
        <v/>
      </c>
      <c r="I2377" s="39"/>
      <c r="J2377" s="47" t="str">
        <f>IF(tblMovimientos[[#This Row],[Tipo]]="","",IFERROR(INDEX(tblTiposMov[FactorStock],MATCH(tblMovimientos[[#This Row],[Tipo]],tblTiposMov[Tipo],0)),0))</f>
        <v/>
      </c>
      <c r="K23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7" s="37"/>
      <c r="O2377" s="37"/>
      <c r="P2377" s="37"/>
    </row>
    <row r="2378" spans="2:16" x14ac:dyDescent="0.25">
      <c r="B23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8" s="46"/>
      <c r="D2378" s="37"/>
      <c r="E2378" s="37"/>
      <c r="F2378" s="37"/>
      <c r="G2378" s="40" t="str">
        <f>IF(tblMovimientos[[#This Row],[Producto]]="","",TRIM(LEFT(tblMovimientos[[#This Row],[Producto]],FIND(" · ",tblMovimientos[[#This Row],[Producto]]&amp;" · ")-1)))</f>
        <v/>
      </c>
      <c r="H2378" s="40" t="str">
        <f>IF(tblMovimientos[[#This Row],[SKU]]="","",IFERROR(INDEX(tblProductos[Unidad],MATCH(tblMovimientos[[#This Row],[SKU]],tblProductos[SKU],0)),"?"))</f>
        <v/>
      </c>
      <c r="I2378" s="39"/>
      <c r="J2378" s="47" t="str">
        <f>IF(tblMovimientos[[#This Row],[Tipo]]="","",IFERROR(INDEX(tblTiposMov[FactorStock],MATCH(tblMovimientos[[#This Row],[Tipo]],tblTiposMov[Tipo],0)),0))</f>
        <v/>
      </c>
      <c r="K23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8" s="37"/>
      <c r="O2378" s="37"/>
      <c r="P2378" s="37"/>
    </row>
    <row r="2379" spans="2:16" x14ac:dyDescent="0.25">
      <c r="B23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79" s="46"/>
      <c r="D2379" s="37"/>
      <c r="E2379" s="37"/>
      <c r="F2379" s="37"/>
      <c r="G2379" s="40" t="str">
        <f>IF(tblMovimientos[[#This Row],[Producto]]="","",TRIM(LEFT(tblMovimientos[[#This Row],[Producto]],FIND(" · ",tblMovimientos[[#This Row],[Producto]]&amp;" · ")-1)))</f>
        <v/>
      </c>
      <c r="H2379" s="40" t="str">
        <f>IF(tblMovimientos[[#This Row],[SKU]]="","",IFERROR(INDEX(tblProductos[Unidad],MATCH(tblMovimientos[[#This Row],[SKU]],tblProductos[SKU],0)),"?"))</f>
        <v/>
      </c>
      <c r="I2379" s="39"/>
      <c r="J2379" s="47" t="str">
        <f>IF(tblMovimientos[[#This Row],[Tipo]]="","",IFERROR(INDEX(tblTiposMov[FactorStock],MATCH(tblMovimientos[[#This Row],[Tipo]],tblTiposMov[Tipo],0)),0))</f>
        <v/>
      </c>
      <c r="K23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79" s="37"/>
      <c r="O2379" s="37"/>
      <c r="P2379" s="37"/>
    </row>
    <row r="2380" spans="2:16" x14ac:dyDescent="0.25">
      <c r="B23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0" s="46"/>
      <c r="D2380" s="37"/>
      <c r="E2380" s="37"/>
      <c r="F2380" s="37"/>
      <c r="G2380" s="40" t="str">
        <f>IF(tblMovimientos[[#This Row],[Producto]]="","",TRIM(LEFT(tblMovimientos[[#This Row],[Producto]],FIND(" · ",tblMovimientos[[#This Row],[Producto]]&amp;" · ")-1)))</f>
        <v/>
      </c>
      <c r="H2380" s="40" t="str">
        <f>IF(tblMovimientos[[#This Row],[SKU]]="","",IFERROR(INDEX(tblProductos[Unidad],MATCH(tblMovimientos[[#This Row],[SKU]],tblProductos[SKU],0)),"?"))</f>
        <v/>
      </c>
      <c r="I2380" s="39"/>
      <c r="J2380" s="47" t="str">
        <f>IF(tblMovimientos[[#This Row],[Tipo]]="","",IFERROR(INDEX(tblTiposMov[FactorStock],MATCH(tblMovimientos[[#This Row],[Tipo]],tblTiposMov[Tipo],0)),0))</f>
        <v/>
      </c>
      <c r="K23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0" s="37"/>
      <c r="O2380" s="37"/>
      <c r="P2380" s="37"/>
    </row>
    <row r="2381" spans="2:16" x14ac:dyDescent="0.25">
      <c r="B23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1" s="46"/>
      <c r="D2381" s="37"/>
      <c r="E2381" s="37"/>
      <c r="F2381" s="37"/>
      <c r="G2381" s="40" t="str">
        <f>IF(tblMovimientos[[#This Row],[Producto]]="","",TRIM(LEFT(tblMovimientos[[#This Row],[Producto]],FIND(" · ",tblMovimientos[[#This Row],[Producto]]&amp;" · ")-1)))</f>
        <v/>
      </c>
      <c r="H2381" s="40" t="str">
        <f>IF(tblMovimientos[[#This Row],[SKU]]="","",IFERROR(INDEX(tblProductos[Unidad],MATCH(tblMovimientos[[#This Row],[SKU]],tblProductos[SKU],0)),"?"))</f>
        <v/>
      </c>
      <c r="I2381" s="39"/>
      <c r="J2381" s="47" t="str">
        <f>IF(tblMovimientos[[#This Row],[Tipo]]="","",IFERROR(INDEX(tblTiposMov[FactorStock],MATCH(tblMovimientos[[#This Row],[Tipo]],tblTiposMov[Tipo],0)),0))</f>
        <v/>
      </c>
      <c r="K23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1" s="37"/>
      <c r="O2381" s="37"/>
      <c r="P2381" s="37"/>
    </row>
    <row r="2382" spans="2:16" x14ac:dyDescent="0.25">
      <c r="B23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2" s="46"/>
      <c r="D2382" s="37"/>
      <c r="E2382" s="37"/>
      <c r="F2382" s="37"/>
      <c r="G2382" s="40" t="str">
        <f>IF(tblMovimientos[[#This Row],[Producto]]="","",TRIM(LEFT(tblMovimientos[[#This Row],[Producto]],FIND(" · ",tblMovimientos[[#This Row],[Producto]]&amp;" · ")-1)))</f>
        <v/>
      </c>
      <c r="H2382" s="40" t="str">
        <f>IF(tblMovimientos[[#This Row],[SKU]]="","",IFERROR(INDEX(tblProductos[Unidad],MATCH(tblMovimientos[[#This Row],[SKU]],tblProductos[SKU],0)),"?"))</f>
        <v/>
      </c>
      <c r="I2382" s="39"/>
      <c r="J2382" s="47" t="str">
        <f>IF(tblMovimientos[[#This Row],[Tipo]]="","",IFERROR(INDEX(tblTiposMov[FactorStock],MATCH(tblMovimientos[[#This Row],[Tipo]],tblTiposMov[Tipo],0)),0))</f>
        <v/>
      </c>
      <c r="K23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2" s="37"/>
      <c r="O2382" s="37"/>
      <c r="P2382" s="37"/>
    </row>
    <row r="2383" spans="2:16" x14ac:dyDescent="0.25">
      <c r="B23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3" s="46"/>
      <c r="D2383" s="37"/>
      <c r="E2383" s="37"/>
      <c r="F2383" s="37"/>
      <c r="G2383" s="40" t="str">
        <f>IF(tblMovimientos[[#This Row],[Producto]]="","",TRIM(LEFT(tblMovimientos[[#This Row],[Producto]],FIND(" · ",tblMovimientos[[#This Row],[Producto]]&amp;" · ")-1)))</f>
        <v/>
      </c>
      <c r="H2383" s="40" t="str">
        <f>IF(tblMovimientos[[#This Row],[SKU]]="","",IFERROR(INDEX(tblProductos[Unidad],MATCH(tblMovimientos[[#This Row],[SKU]],tblProductos[SKU],0)),"?"))</f>
        <v/>
      </c>
      <c r="I2383" s="39"/>
      <c r="J2383" s="47" t="str">
        <f>IF(tblMovimientos[[#This Row],[Tipo]]="","",IFERROR(INDEX(tblTiposMov[FactorStock],MATCH(tblMovimientos[[#This Row],[Tipo]],tblTiposMov[Tipo],0)),0))</f>
        <v/>
      </c>
      <c r="K23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3" s="37"/>
      <c r="O2383" s="37"/>
      <c r="P2383" s="37"/>
    </row>
    <row r="2384" spans="2:16" x14ac:dyDescent="0.25">
      <c r="B23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4" s="46"/>
      <c r="D2384" s="37"/>
      <c r="E2384" s="37"/>
      <c r="F2384" s="37"/>
      <c r="G2384" s="40" t="str">
        <f>IF(tblMovimientos[[#This Row],[Producto]]="","",TRIM(LEFT(tblMovimientos[[#This Row],[Producto]],FIND(" · ",tblMovimientos[[#This Row],[Producto]]&amp;" · ")-1)))</f>
        <v/>
      </c>
      <c r="H2384" s="40" t="str">
        <f>IF(tblMovimientos[[#This Row],[SKU]]="","",IFERROR(INDEX(tblProductos[Unidad],MATCH(tblMovimientos[[#This Row],[SKU]],tblProductos[SKU],0)),"?"))</f>
        <v/>
      </c>
      <c r="I2384" s="39"/>
      <c r="J2384" s="47" t="str">
        <f>IF(tblMovimientos[[#This Row],[Tipo]]="","",IFERROR(INDEX(tblTiposMov[FactorStock],MATCH(tblMovimientos[[#This Row],[Tipo]],tblTiposMov[Tipo],0)),0))</f>
        <v/>
      </c>
      <c r="K23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4" s="37"/>
      <c r="O2384" s="37"/>
      <c r="P2384" s="37"/>
    </row>
    <row r="2385" spans="2:16" x14ac:dyDescent="0.25">
      <c r="B23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5" s="46"/>
      <c r="D2385" s="37"/>
      <c r="E2385" s="37"/>
      <c r="F2385" s="37"/>
      <c r="G2385" s="40" t="str">
        <f>IF(tblMovimientos[[#This Row],[Producto]]="","",TRIM(LEFT(tblMovimientos[[#This Row],[Producto]],FIND(" · ",tblMovimientos[[#This Row],[Producto]]&amp;" · ")-1)))</f>
        <v/>
      </c>
      <c r="H2385" s="40" t="str">
        <f>IF(tblMovimientos[[#This Row],[SKU]]="","",IFERROR(INDEX(tblProductos[Unidad],MATCH(tblMovimientos[[#This Row],[SKU]],tblProductos[SKU],0)),"?"))</f>
        <v/>
      </c>
      <c r="I2385" s="39"/>
      <c r="J2385" s="47" t="str">
        <f>IF(tblMovimientos[[#This Row],[Tipo]]="","",IFERROR(INDEX(tblTiposMov[FactorStock],MATCH(tblMovimientos[[#This Row],[Tipo]],tblTiposMov[Tipo],0)),0))</f>
        <v/>
      </c>
      <c r="K23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5" s="37"/>
      <c r="O2385" s="37"/>
      <c r="P2385" s="37"/>
    </row>
    <row r="2386" spans="2:16" x14ac:dyDescent="0.25">
      <c r="B23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6" s="46"/>
      <c r="D2386" s="37"/>
      <c r="E2386" s="37"/>
      <c r="F2386" s="37"/>
      <c r="G2386" s="40" t="str">
        <f>IF(tblMovimientos[[#This Row],[Producto]]="","",TRIM(LEFT(tblMovimientos[[#This Row],[Producto]],FIND(" · ",tblMovimientos[[#This Row],[Producto]]&amp;" · ")-1)))</f>
        <v/>
      </c>
      <c r="H2386" s="40" t="str">
        <f>IF(tblMovimientos[[#This Row],[SKU]]="","",IFERROR(INDEX(tblProductos[Unidad],MATCH(tblMovimientos[[#This Row],[SKU]],tblProductos[SKU],0)),"?"))</f>
        <v/>
      </c>
      <c r="I2386" s="39"/>
      <c r="J2386" s="47" t="str">
        <f>IF(tblMovimientos[[#This Row],[Tipo]]="","",IFERROR(INDEX(tblTiposMov[FactorStock],MATCH(tblMovimientos[[#This Row],[Tipo]],tblTiposMov[Tipo],0)),0))</f>
        <v/>
      </c>
      <c r="K23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6" s="37"/>
      <c r="O2386" s="37"/>
      <c r="P2386" s="37"/>
    </row>
    <row r="2387" spans="2:16" x14ac:dyDescent="0.25">
      <c r="B23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7" s="46"/>
      <c r="D2387" s="37"/>
      <c r="E2387" s="37"/>
      <c r="F2387" s="37"/>
      <c r="G2387" s="40" t="str">
        <f>IF(tblMovimientos[[#This Row],[Producto]]="","",TRIM(LEFT(tblMovimientos[[#This Row],[Producto]],FIND(" · ",tblMovimientos[[#This Row],[Producto]]&amp;" · ")-1)))</f>
        <v/>
      </c>
      <c r="H2387" s="40" t="str">
        <f>IF(tblMovimientos[[#This Row],[SKU]]="","",IFERROR(INDEX(tblProductos[Unidad],MATCH(tblMovimientos[[#This Row],[SKU]],tblProductos[SKU],0)),"?"))</f>
        <v/>
      </c>
      <c r="I2387" s="39"/>
      <c r="J2387" s="47" t="str">
        <f>IF(tblMovimientos[[#This Row],[Tipo]]="","",IFERROR(INDEX(tblTiposMov[FactorStock],MATCH(tblMovimientos[[#This Row],[Tipo]],tblTiposMov[Tipo],0)),0))</f>
        <v/>
      </c>
      <c r="K23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7" s="37"/>
      <c r="O2387" s="37"/>
      <c r="P2387" s="37"/>
    </row>
    <row r="2388" spans="2:16" x14ac:dyDescent="0.25">
      <c r="B23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8" s="46"/>
      <c r="D2388" s="37"/>
      <c r="E2388" s="37"/>
      <c r="F2388" s="37"/>
      <c r="G2388" s="40" t="str">
        <f>IF(tblMovimientos[[#This Row],[Producto]]="","",TRIM(LEFT(tblMovimientos[[#This Row],[Producto]],FIND(" · ",tblMovimientos[[#This Row],[Producto]]&amp;" · ")-1)))</f>
        <v/>
      </c>
      <c r="H2388" s="40" t="str">
        <f>IF(tblMovimientos[[#This Row],[SKU]]="","",IFERROR(INDEX(tblProductos[Unidad],MATCH(tblMovimientos[[#This Row],[SKU]],tblProductos[SKU],0)),"?"))</f>
        <v/>
      </c>
      <c r="I2388" s="39"/>
      <c r="J2388" s="47" t="str">
        <f>IF(tblMovimientos[[#This Row],[Tipo]]="","",IFERROR(INDEX(tblTiposMov[FactorStock],MATCH(tblMovimientos[[#This Row],[Tipo]],tblTiposMov[Tipo],0)),0))</f>
        <v/>
      </c>
      <c r="K23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8" s="37"/>
      <c r="O2388" s="37"/>
      <c r="P2388" s="37"/>
    </row>
    <row r="2389" spans="2:16" x14ac:dyDescent="0.25">
      <c r="B23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89" s="46"/>
      <c r="D2389" s="37"/>
      <c r="E2389" s="37"/>
      <c r="F2389" s="37"/>
      <c r="G2389" s="40" t="str">
        <f>IF(tblMovimientos[[#This Row],[Producto]]="","",TRIM(LEFT(tblMovimientos[[#This Row],[Producto]],FIND(" · ",tblMovimientos[[#This Row],[Producto]]&amp;" · ")-1)))</f>
        <v/>
      </c>
      <c r="H2389" s="40" t="str">
        <f>IF(tblMovimientos[[#This Row],[SKU]]="","",IFERROR(INDEX(tblProductos[Unidad],MATCH(tblMovimientos[[#This Row],[SKU]],tblProductos[SKU],0)),"?"))</f>
        <v/>
      </c>
      <c r="I2389" s="39"/>
      <c r="J2389" s="47" t="str">
        <f>IF(tblMovimientos[[#This Row],[Tipo]]="","",IFERROR(INDEX(tblTiposMov[FactorStock],MATCH(tblMovimientos[[#This Row],[Tipo]],tblTiposMov[Tipo],0)),0))</f>
        <v/>
      </c>
      <c r="K23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89" s="37"/>
      <c r="O2389" s="37"/>
      <c r="P2389" s="37"/>
    </row>
    <row r="2390" spans="2:16" x14ac:dyDescent="0.25">
      <c r="B23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0" s="46"/>
      <c r="D2390" s="37"/>
      <c r="E2390" s="37"/>
      <c r="F2390" s="37"/>
      <c r="G2390" s="40" t="str">
        <f>IF(tblMovimientos[[#This Row],[Producto]]="","",TRIM(LEFT(tblMovimientos[[#This Row],[Producto]],FIND(" · ",tblMovimientos[[#This Row],[Producto]]&amp;" · ")-1)))</f>
        <v/>
      </c>
      <c r="H2390" s="40" t="str">
        <f>IF(tblMovimientos[[#This Row],[SKU]]="","",IFERROR(INDEX(tblProductos[Unidad],MATCH(tblMovimientos[[#This Row],[SKU]],tblProductos[SKU],0)),"?"))</f>
        <v/>
      </c>
      <c r="I2390" s="39"/>
      <c r="J2390" s="47" t="str">
        <f>IF(tblMovimientos[[#This Row],[Tipo]]="","",IFERROR(INDEX(tblTiposMov[FactorStock],MATCH(tblMovimientos[[#This Row],[Tipo]],tblTiposMov[Tipo],0)),0))</f>
        <v/>
      </c>
      <c r="K23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0" s="37"/>
      <c r="O2390" s="37"/>
      <c r="P2390" s="37"/>
    </row>
    <row r="2391" spans="2:16" x14ac:dyDescent="0.25">
      <c r="B23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1" s="46"/>
      <c r="D2391" s="37"/>
      <c r="E2391" s="37"/>
      <c r="F2391" s="37"/>
      <c r="G2391" s="40" t="str">
        <f>IF(tblMovimientos[[#This Row],[Producto]]="","",TRIM(LEFT(tblMovimientos[[#This Row],[Producto]],FIND(" · ",tblMovimientos[[#This Row],[Producto]]&amp;" · ")-1)))</f>
        <v/>
      </c>
      <c r="H2391" s="40" t="str">
        <f>IF(tblMovimientos[[#This Row],[SKU]]="","",IFERROR(INDEX(tblProductos[Unidad],MATCH(tblMovimientos[[#This Row],[SKU]],tblProductos[SKU],0)),"?"))</f>
        <v/>
      </c>
      <c r="I2391" s="39"/>
      <c r="J2391" s="47" t="str">
        <f>IF(tblMovimientos[[#This Row],[Tipo]]="","",IFERROR(INDEX(tblTiposMov[FactorStock],MATCH(tblMovimientos[[#This Row],[Tipo]],tblTiposMov[Tipo],0)),0))</f>
        <v/>
      </c>
      <c r="K23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1" s="37"/>
      <c r="O2391" s="37"/>
      <c r="P2391" s="37"/>
    </row>
    <row r="2392" spans="2:16" x14ac:dyDescent="0.25">
      <c r="B23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2" s="46"/>
      <c r="D2392" s="37"/>
      <c r="E2392" s="37"/>
      <c r="F2392" s="37"/>
      <c r="G2392" s="40" t="str">
        <f>IF(tblMovimientos[[#This Row],[Producto]]="","",TRIM(LEFT(tblMovimientos[[#This Row],[Producto]],FIND(" · ",tblMovimientos[[#This Row],[Producto]]&amp;" · ")-1)))</f>
        <v/>
      </c>
      <c r="H2392" s="40" t="str">
        <f>IF(tblMovimientos[[#This Row],[SKU]]="","",IFERROR(INDEX(tblProductos[Unidad],MATCH(tblMovimientos[[#This Row],[SKU]],tblProductos[SKU],0)),"?"))</f>
        <v/>
      </c>
      <c r="I2392" s="39"/>
      <c r="J2392" s="47" t="str">
        <f>IF(tblMovimientos[[#This Row],[Tipo]]="","",IFERROR(INDEX(tblTiposMov[FactorStock],MATCH(tblMovimientos[[#This Row],[Tipo]],tblTiposMov[Tipo],0)),0))</f>
        <v/>
      </c>
      <c r="K23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2" s="37"/>
      <c r="O2392" s="37"/>
      <c r="P2392" s="37"/>
    </row>
    <row r="2393" spans="2:16" x14ac:dyDescent="0.25">
      <c r="B23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3" s="46"/>
      <c r="D2393" s="37"/>
      <c r="E2393" s="37"/>
      <c r="F2393" s="37"/>
      <c r="G2393" s="40" t="str">
        <f>IF(tblMovimientos[[#This Row],[Producto]]="","",TRIM(LEFT(tblMovimientos[[#This Row],[Producto]],FIND(" · ",tblMovimientos[[#This Row],[Producto]]&amp;" · ")-1)))</f>
        <v/>
      </c>
      <c r="H2393" s="40" t="str">
        <f>IF(tblMovimientos[[#This Row],[SKU]]="","",IFERROR(INDEX(tblProductos[Unidad],MATCH(tblMovimientos[[#This Row],[SKU]],tblProductos[SKU],0)),"?"))</f>
        <v/>
      </c>
      <c r="I2393" s="39"/>
      <c r="J2393" s="47" t="str">
        <f>IF(tblMovimientos[[#This Row],[Tipo]]="","",IFERROR(INDEX(tblTiposMov[FactorStock],MATCH(tblMovimientos[[#This Row],[Tipo]],tblTiposMov[Tipo],0)),0))</f>
        <v/>
      </c>
      <c r="K23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3" s="37"/>
      <c r="O2393" s="37"/>
      <c r="P2393" s="37"/>
    </row>
    <row r="2394" spans="2:16" x14ac:dyDescent="0.25">
      <c r="B23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4" s="46"/>
      <c r="D2394" s="37"/>
      <c r="E2394" s="37"/>
      <c r="F2394" s="37"/>
      <c r="G2394" s="40" t="str">
        <f>IF(tblMovimientos[[#This Row],[Producto]]="","",TRIM(LEFT(tblMovimientos[[#This Row],[Producto]],FIND(" · ",tblMovimientos[[#This Row],[Producto]]&amp;" · ")-1)))</f>
        <v/>
      </c>
      <c r="H2394" s="40" t="str">
        <f>IF(tblMovimientos[[#This Row],[SKU]]="","",IFERROR(INDEX(tblProductos[Unidad],MATCH(tblMovimientos[[#This Row],[SKU]],tblProductos[SKU],0)),"?"))</f>
        <v/>
      </c>
      <c r="I2394" s="39"/>
      <c r="J2394" s="47" t="str">
        <f>IF(tblMovimientos[[#This Row],[Tipo]]="","",IFERROR(INDEX(tblTiposMov[FactorStock],MATCH(tblMovimientos[[#This Row],[Tipo]],tblTiposMov[Tipo],0)),0))</f>
        <v/>
      </c>
      <c r="K23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4" s="37"/>
      <c r="O2394" s="37"/>
      <c r="P2394" s="37"/>
    </row>
    <row r="2395" spans="2:16" x14ac:dyDescent="0.25">
      <c r="B23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5" s="46"/>
      <c r="D2395" s="37"/>
      <c r="E2395" s="37"/>
      <c r="F2395" s="37"/>
      <c r="G2395" s="40" t="str">
        <f>IF(tblMovimientos[[#This Row],[Producto]]="","",TRIM(LEFT(tblMovimientos[[#This Row],[Producto]],FIND(" · ",tblMovimientos[[#This Row],[Producto]]&amp;" · ")-1)))</f>
        <v/>
      </c>
      <c r="H2395" s="40" t="str">
        <f>IF(tblMovimientos[[#This Row],[SKU]]="","",IFERROR(INDEX(tblProductos[Unidad],MATCH(tblMovimientos[[#This Row],[SKU]],tblProductos[SKU],0)),"?"))</f>
        <v/>
      </c>
      <c r="I2395" s="39"/>
      <c r="J2395" s="47" t="str">
        <f>IF(tblMovimientos[[#This Row],[Tipo]]="","",IFERROR(INDEX(tblTiposMov[FactorStock],MATCH(tblMovimientos[[#This Row],[Tipo]],tblTiposMov[Tipo],0)),0))</f>
        <v/>
      </c>
      <c r="K23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5" s="37"/>
      <c r="O2395" s="37"/>
      <c r="P2395" s="37"/>
    </row>
    <row r="2396" spans="2:16" x14ac:dyDescent="0.25">
      <c r="B23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6" s="46"/>
      <c r="D2396" s="37"/>
      <c r="E2396" s="37"/>
      <c r="F2396" s="37"/>
      <c r="G2396" s="40" t="str">
        <f>IF(tblMovimientos[[#This Row],[Producto]]="","",TRIM(LEFT(tblMovimientos[[#This Row],[Producto]],FIND(" · ",tblMovimientos[[#This Row],[Producto]]&amp;" · ")-1)))</f>
        <v/>
      </c>
      <c r="H2396" s="40" t="str">
        <f>IF(tblMovimientos[[#This Row],[SKU]]="","",IFERROR(INDEX(tblProductos[Unidad],MATCH(tblMovimientos[[#This Row],[SKU]],tblProductos[SKU],0)),"?"))</f>
        <v/>
      </c>
      <c r="I2396" s="39"/>
      <c r="J2396" s="47" t="str">
        <f>IF(tblMovimientos[[#This Row],[Tipo]]="","",IFERROR(INDEX(tblTiposMov[FactorStock],MATCH(tblMovimientos[[#This Row],[Tipo]],tblTiposMov[Tipo],0)),0))</f>
        <v/>
      </c>
      <c r="K23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6" s="37"/>
      <c r="O2396" s="37"/>
      <c r="P2396" s="37"/>
    </row>
    <row r="2397" spans="2:16" x14ac:dyDescent="0.25">
      <c r="B23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7" s="46"/>
      <c r="D2397" s="37"/>
      <c r="E2397" s="37"/>
      <c r="F2397" s="37"/>
      <c r="G2397" s="40" t="str">
        <f>IF(tblMovimientos[[#This Row],[Producto]]="","",TRIM(LEFT(tblMovimientos[[#This Row],[Producto]],FIND(" · ",tblMovimientos[[#This Row],[Producto]]&amp;" · ")-1)))</f>
        <v/>
      </c>
      <c r="H2397" s="40" t="str">
        <f>IF(tblMovimientos[[#This Row],[SKU]]="","",IFERROR(INDEX(tblProductos[Unidad],MATCH(tblMovimientos[[#This Row],[SKU]],tblProductos[SKU],0)),"?"))</f>
        <v/>
      </c>
      <c r="I2397" s="39"/>
      <c r="J2397" s="47" t="str">
        <f>IF(tblMovimientos[[#This Row],[Tipo]]="","",IFERROR(INDEX(tblTiposMov[FactorStock],MATCH(tblMovimientos[[#This Row],[Tipo]],tblTiposMov[Tipo],0)),0))</f>
        <v/>
      </c>
      <c r="K23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7" s="37"/>
      <c r="O2397" s="37"/>
      <c r="P2397" s="37"/>
    </row>
    <row r="2398" spans="2:16" x14ac:dyDescent="0.25">
      <c r="B23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8" s="46"/>
      <c r="D2398" s="37"/>
      <c r="E2398" s="37"/>
      <c r="F2398" s="37"/>
      <c r="G2398" s="40" t="str">
        <f>IF(tblMovimientos[[#This Row],[Producto]]="","",TRIM(LEFT(tblMovimientos[[#This Row],[Producto]],FIND(" · ",tblMovimientos[[#This Row],[Producto]]&amp;" · ")-1)))</f>
        <v/>
      </c>
      <c r="H2398" s="40" t="str">
        <f>IF(tblMovimientos[[#This Row],[SKU]]="","",IFERROR(INDEX(tblProductos[Unidad],MATCH(tblMovimientos[[#This Row],[SKU]],tblProductos[SKU],0)),"?"))</f>
        <v/>
      </c>
      <c r="I2398" s="39"/>
      <c r="J2398" s="47" t="str">
        <f>IF(tblMovimientos[[#This Row],[Tipo]]="","",IFERROR(INDEX(tblTiposMov[FactorStock],MATCH(tblMovimientos[[#This Row],[Tipo]],tblTiposMov[Tipo],0)),0))</f>
        <v/>
      </c>
      <c r="K23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8" s="37"/>
      <c r="O2398" s="37"/>
      <c r="P2398" s="37"/>
    </row>
    <row r="2399" spans="2:16" x14ac:dyDescent="0.25">
      <c r="B23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399" s="46"/>
      <c r="D2399" s="37"/>
      <c r="E2399" s="37"/>
      <c r="F2399" s="37"/>
      <c r="G2399" s="40" t="str">
        <f>IF(tblMovimientos[[#This Row],[Producto]]="","",TRIM(LEFT(tblMovimientos[[#This Row],[Producto]],FIND(" · ",tblMovimientos[[#This Row],[Producto]]&amp;" · ")-1)))</f>
        <v/>
      </c>
      <c r="H2399" s="40" t="str">
        <f>IF(tblMovimientos[[#This Row],[SKU]]="","",IFERROR(INDEX(tblProductos[Unidad],MATCH(tblMovimientos[[#This Row],[SKU]],tblProductos[SKU],0)),"?"))</f>
        <v/>
      </c>
      <c r="I2399" s="39"/>
      <c r="J2399" s="47" t="str">
        <f>IF(tblMovimientos[[#This Row],[Tipo]]="","",IFERROR(INDEX(tblTiposMov[FactorStock],MATCH(tblMovimientos[[#This Row],[Tipo]],tblTiposMov[Tipo],0)),0))</f>
        <v/>
      </c>
      <c r="K23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3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399" s="37"/>
      <c r="O2399" s="37"/>
      <c r="P2399" s="37"/>
    </row>
    <row r="2400" spans="2:16" x14ac:dyDescent="0.25">
      <c r="B24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0" s="46"/>
      <c r="D2400" s="37"/>
      <c r="E2400" s="37"/>
      <c r="F2400" s="37"/>
      <c r="G2400" s="40" t="str">
        <f>IF(tblMovimientos[[#This Row],[Producto]]="","",TRIM(LEFT(tblMovimientos[[#This Row],[Producto]],FIND(" · ",tblMovimientos[[#This Row],[Producto]]&amp;" · ")-1)))</f>
        <v/>
      </c>
      <c r="H2400" s="40" t="str">
        <f>IF(tblMovimientos[[#This Row],[SKU]]="","",IFERROR(INDEX(tblProductos[Unidad],MATCH(tblMovimientos[[#This Row],[SKU]],tblProductos[SKU],0)),"?"))</f>
        <v/>
      </c>
      <c r="I2400" s="39"/>
      <c r="J2400" s="47" t="str">
        <f>IF(tblMovimientos[[#This Row],[Tipo]]="","",IFERROR(INDEX(tblTiposMov[FactorStock],MATCH(tblMovimientos[[#This Row],[Tipo]],tblTiposMov[Tipo],0)),0))</f>
        <v/>
      </c>
      <c r="K24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0" s="37"/>
      <c r="O2400" s="37"/>
      <c r="P2400" s="37"/>
    </row>
    <row r="2401" spans="2:16" x14ac:dyDescent="0.25">
      <c r="B24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1" s="46"/>
      <c r="D2401" s="37"/>
      <c r="E2401" s="37"/>
      <c r="F2401" s="37"/>
      <c r="G2401" s="40" t="str">
        <f>IF(tblMovimientos[[#This Row],[Producto]]="","",TRIM(LEFT(tblMovimientos[[#This Row],[Producto]],FIND(" · ",tblMovimientos[[#This Row],[Producto]]&amp;" · ")-1)))</f>
        <v/>
      </c>
      <c r="H2401" s="40" t="str">
        <f>IF(tblMovimientos[[#This Row],[SKU]]="","",IFERROR(INDEX(tblProductos[Unidad],MATCH(tblMovimientos[[#This Row],[SKU]],tblProductos[SKU],0)),"?"))</f>
        <v/>
      </c>
      <c r="I2401" s="39"/>
      <c r="J2401" s="47" t="str">
        <f>IF(tblMovimientos[[#This Row],[Tipo]]="","",IFERROR(INDEX(tblTiposMov[FactorStock],MATCH(tblMovimientos[[#This Row],[Tipo]],tblTiposMov[Tipo],0)),0))</f>
        <v/>
      </c>
      <c r="K24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1" s="37"/>
      <c r="O2401" s="37"/>
      <c r="P2401" s="37"/>
    </row>
    <row r="2402" spans="2:16" x14ac:dyDescent="0.25">
      <c r="B24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2" s="46"/>
      <c r="D2402" s="37"/>
      <c r="E2402" s="37"/>
      <c r="F2402" s="37"/>
      <c r="G2402" s="40" t="str">
        <f>IF(tblMovimientos[[#This Row],[Producto]]="","",TRIM(LEFT(tblMovimientos[[#This Row],[Producto]],FIND(" · ",tblMovimientos[[#This Row],[Producto]]&amp;" · ")-1)))</f>
        <v/>
      </c>
      <c r="H2402" s="40" t="str">
        <f>IF(tblMovimientos[[#This Row],[SKU]]="","",IFERROR(INDEX(tblProductos[Unidad],MATCH(tblMovimientos[[#This Row],[SKU]],tblProductos[SKU],0)),"?"))</f>
        <v/>
      </c>
      <c r="I2402" s="39"/>
      <c r="J2402" s="47" t="str">
        <f>IF(tblMovimientos[[#This Row],[Tipo]]="","",IFERROR(INDEX(tblTiposMov[FactorStock],MATCH(tblMovimientos[[#This Row],[Tipo]],tblTiposMov[Tipo],0)),0))</f>
        <v/>
      </c>
      <c r="K24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2" s="37"/>
      <c r="O2402" s="37"/>
      <c r="P2402" s="37"/>
    </row>
    <row r="2403" spans="2:16" x14ac:dyDescent="0.25">
      <c r="B24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3" s="46"/>
      <c r="D2403" s="37"/>
      <c r="E2403" s="37"/>
      <c r="F2403" s="37"/>
      <c r="G2403" s="40" t="str">
        <f>IF(tblMovimientos[[#This Row],[Producto]]="","",TRIM(LEFT(tblMovimientos[[#This Row],[Producto]],FIND(" · ",tblMovimientos[[#This Row],[Producto]]&amp;" · ")-1)))</f>
        <v/>
      </c>
      <c r="H2403" s="40" t="str">
        <f>IF(tblMovimientos[[#This Row],[SKU]]="","",IFERROR(INDEX(tblProductos[Unidad],MATCH(tblMovimientos[[#This Row],[SKU]],tblProductos[SKU],0)),"?"))</f>
        <v/>
      </c>
      <c r="I2403" s="39"/>
      <c r="J2403" s="47" t="str">
        <f>IF(tblMovimientos[[#This Row],[Tipo]]="","",IFERROR(INDEX(tblTiposMov[FactorStock],MATCH(tblMovimientos[[#This Row],[Tipo]],tblTiposMov[Tipo],0)),0))</f>
        <v/>
      </c>
      <c r="K24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3" s="37"/>
      <c r="O2403" s="37"/>
      <c r="P2403" s="37"/>
    </row>
    <row r="2404" spans="2:16" x14ac:dyDescent="0.25">
      <c r="B24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4" s="46"/>
      <c r="D2404" s="37"/>
      <c r="E2404" s="37"/>
      <c r="F2404" s="37"/>
      <c r="G2404" s="40" t="str">
        <f>IF(tblMovimientos[[#This Row],[Producto]]="","",TRIM(LEFT(tblMovimientos[[#This Row],[Producto]],FIND(" · ",tblMovimientos[[#This Row],[Producto]]&amp;" · ")-1)))</f>
        <v/>
      </c>
      <c r="H2404" s="40" t="str">
        <f>IF(tblMovimientos[[#This Row],[SKU]]="","",IFERROR(INDEX(tblProductos[Unidad],MATCH(tblMovimientos[[#This Row],[SKU]],tblProductos[SKU],0)),"?"))</f>
        <v/>
      </c>
      <c r="I2404" s="39"/>
      <c r="J2404" s="47" t="str">
        <f>IF(tblMovimientos[[#This Row],[Tipo]]="","",IFERROR(INDEX(tblTiposMov[FactorStock],MATCH(tblMovimientos[[#This Row],[Tipo]],tblTiposMov[Tipo],0)),0))</f>
        <v/>
      </c>
      <c r="K24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4" s="37"/>
      <c r="O2404" s="37"/>
      <c r="P2404" s="37"/>
    </row>
    <row r="2405" spans="2:16" x14ac:dyDescent="0.25">
      <c r="B24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5" s="46"/>
      <c r="D2405" s="37"/>
      <c r="E2405" s="37"/>
      <c r="F2405" s="37"/>
      <c r="G2405" s="40" t="str">
        <f>IF(tblMovimientos[[#This Row],[Producto]]="","",TRIM(LEFT(tblMovimientos[[#This Row],[Producto]],FIND(" · ",tblMovimientos[[#This Row],[Producto]]&amp;" · ")-1)))</f>
        <v/>
      </c>
      <c r="H2405" s="40" t="str">
        <f>IF(tblMovimientos[[#This Row],[SKU]]="","",IFERROR(INDEX(tblProductos[Unidad],MATCH(tblMovimientos[[#This Row],[SKU]],tblProductos[SKU],0)),"?"))</f>
        <v/>
      </c>
      <c r="I2405" s="39"/>
      <c r="J2405" s="47" t="str">
        <f>IF(tblMovimientos[[#This Row],[Tipo]]="","",IFERROR(INDEX(tblTiposMov[FactorStock],MATCH(tblMovimientos[[#This Row],[Tipo]],tblTiposMov[Tipo],0)),0))</f>
        <v/>
      </c>
      <c r="K24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5" s="37"/>
      <c r="O2405" s="37"/>
      <c r="P2405" s="37"/>
    </row>
    <row r="2406" spans="2:16" x14ac:dyDescent="0.25">
      <c r="B24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6" s="46"/>
      <c r="D2406" s="37"/>
      <c r="E2406" s="37"/>
      <c r="F2406" s="37"/>
      <c r="G2406" s="40" t="str">
        <f>IF(tblMovimientos[[#This Row],[Producto]]="","",TRIM(LEFT(tblMovimientos[[#This Row],[Producto]],FIND(" · ",tblMovimientos[[#This Row],[Producto]]&amp;" · ")-1)))</f>
        <v/>
      </c>
      <c r="H2406" s="40" t="str">
        <f>IF(tblMovimientos[[#This Row],[SKU]]="","",IFERROR(INDEX(tblProductos[Unidad],MATCH(tblMovimientos[[#This Row],[SKU]],tblProductos[SKU],0)),"?"))</f>
        <v/>
      </c>
      <c r="I2406" s="39"/>
      <c r="J2406" s="47" t="str">
        <f>IF(tblMovimientos[[#This Row],[Tipo]]="","",IFERROR(INDEX(tblTiposMov[FactorStock],MATCH(tblMovimientos[[#This Row],[Tipo]],tblTiposMov[Tipo],0)),0))</f>
        <v/>
      </c>
      <c r="K24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6" s="37"/>
      <c r="O2406" s="37"/>
      <c r="P2406" s="37"/>
    </row>
    <row r="2407" spans="2:16" x14ac:dyDescent="0.25">
      <c r="B24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7" s="46"/>
      <c r="D2407" s="37"/>
      <c r="E2407" s="37"/>
      <c r="F2407" s="37"/>
      <c r="G2407" s="40" t="str">
        <f>IF(tblMovimientos[[#This Row],[Producto]]="","",TRIM(LEFT(tblMovimientos[[#This Row],[Producto]],FIND(" · ",tblMovimientos[[#This Row],[Producto]]&amp;" · ")-1)))</f>
        <v/>
      </c>
      <c r="H2407" s="40" t="str">
        <f>IF(tblMovimientos[[#This Row],[SKU]]="","",IFERROR(INDEX(tblProductos[Unidad],MATCH(tblMovimientos[[#This Row],[SKU]],tblProductos[SKU],0)),"?"))</f>
        <v/>
      </c>
      <c r="I2407" s="39"/>
      <c r="J2407" s="47" t="str">
        <f>IF(tblMovimientos[[#This Row],[Tipo]]="","",IFERROR(INDEX(tblTiposMov[FactorStock],MATCH(tblMovimientos[[#This Row],[Tipo]],tblTiposMov[Tipo],0)),0))</f>
        <v/>
      </c>
      <c r="K24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7" s="37"/>
      <c r="O2407" s="37"/>
      <c r="P2407" s="37"/>
    </row>
    <row r="2408" spans="2:16" x14ac:dyDescent="0.25">
      <c r="B24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8" s="46"/>
      <c r="D2408" s="37"/>
      <c r="E2408" s="37"/>
      <c r="F2408" s="37"/>
      <c r="G2408" s="40" t="str">
        <f>IF(tblMovimientos[[#This Row],[Producto]]="","",TRIM(LEFT(tblMovimientos[[#This Row],[Producto]],FIND(" · ",tblMovimientos[[#This Row],[Producto]]&amp;" · ")-1)))</f>
        <v/>
      </c>
      <c r="H2408" s="40" t="str">
        <f>IF(tblMovimientos[[#This Row],[SKU]]="","",IFERROR(INDEX(tblProductos[Unidad],MATCH(tblMovimientos[[#This Row],[SKU]],tblProductos[SKU],0)),"?"))</f>
        <v/>
      </c>
      <c r="I2408" s="39"/>
      <c r="J2408" s="47" t="str">
        <f>IF(tblMovimientos[[#This Row],[Tipo]]="","",IFERROR(INDEX(tblTiposMov[FactorStock],MATCH(tblMovimientos[[#This Row],[Tipo]],tblTiposMov[Tipo],0)),0))</f>
        <v/>
      </c>
      <c r="K24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8" s="37"/>
      <c r="O2408" s="37"/>
      <c r="P2408" s="37"/>
    </row>
    <row r="2409" spans="2:16" x14ac:dyDescent="0.25">
      <c r="B24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09" s="46"/>
      <c r="D2409" s="37"/>
      <c r="E2409" s="37"/>
      <c r="F2409" s="37"/>
      <c r="G2409" s="40" t="str">
        <f>IF(tblMovimientos[[#This Row],[Producto]]="","",TRIM(LEFT(tblMovimientos[[#This Row],[Producto]],FIND(" · ",tblMovimientos[[#This Row],[Producto]]&amp;" · ")-1)))</f>
        <v/>
      </c>
      <c r="H2409" s="40" t="str">
        <f>IF(tblMovimientos[[#This Row],[SKU]]="","",IFERROR(INDEX(tblProductos[Unidad],MATCH(tblMovimientos[[#This Row],[SKU]],tblProductos[SKU],0)),"?"))</f>
        <v/>
      </c>
      <c r="I2409" s="39"/>
      <c r="J2409" s="47" t="str">
        <f>IF(tblMovimientos[[#This Row],[Tipo]]="","",IFERROR(INDEX(tblTiposMov[FactorStock],MATCH(tblMovimientos[[#This Row],[Tipo]],tblTiposMov[Tipo],0)),0))</f>
        <v/>
      </c>
      <c r="K24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09" s="37"/>
      <c r="O2409" s="37"/>
      <c r="P2409" s="37"/>
    </row>
    <row r="2410" spans="2:16" x14ac:dyDescent="0.25">
      <c r="B24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0" s="46"/>
      <c r="D2410" s="37"/>
      <c r="E2410" s="37"/>
      <c r="F2410" s="37"/>
      <c r="G2410" s="40" t="str">
        <f>IF(tblMovimientos[[#This Row],[Producto]]="","",TRIM(LEFT(tblMovimientos[[#This Row],[Producto]],FIND(" · ",tblMovimientos[[#This Row],[Producto]]&amp;" · ")-1)))</f>
        <v/>
      </c>
      <c r="H2410" s="40" t="str">
        <f>IF(tblMovimientos[[#This Row],[SKU]]="","",IFERROR(INDEX(tblProductos[Unidad],MATCH(tblMovimientos[[#This Row],[SKU]],tblProductos[SKU],0)),"?"))</f>
        <v/>
      </c>
      <c r="I2410" s="39"/>
      <c r="J2410" s="47" t="str">
        <f>IF(tblMovimientos[[#This Row],[Tipo]]="","",IFERROR(INDEX(tblTiposMov[FactorStock],MATCH(tblMovimientos[[#This Row],[Tipo]],tblTiposMov[Tipo],0)),0))</f>
        <v/>
      </c>
      <c r="K24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0" s="37"/>
      <c r="O2410" s="37"/>
      <c r="P2410" s="37"/>
    </row>
    <row r="2411" spans="2:16" x14ac:dyDescent="0.25">
      <c r="B24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1" s="46"/>
      <c r="D2411" s="37"/>
      <c r="E2411" s="37"/>
      <c r="F2411" s="37"/>
      <c r="G2411" s="40" t="str">
        <f>IF(tblMovimientos[[#This Row],[Producto]]="","",TRIM(LEFT(tblMovimientos[[#This Row],[Producto]],FIND(" · ",tblMovimientos[[#This Row],[Producto]]&amp;" · ")-1)))</f>
        <v/>
      </c>
      <c r="H2411" s="40" t="str">
        <f>IF(tblMovimientos[[#This Row],[SKU]]="","",IFERROR(INDEX(tblProductos[Unidad],MATCH(tblMovimientos[[#This Row],[SKU]],tblProductos[SKU],0)),"?"))</f>
        <v/>
      </c>
      <c r="I2411" s="39"/>
      <c r="J2411" s="47" t="str">
        <f>IF(tblMovimientos[[#This Row],[Tipo]]="","",IFERROR(INDEX(tblTiposMov[FactorStock],MATCH(tblMovimientos[[#This Row],[Tipo]],tblTiposMov[Tipo],0)),0))</f>
        <v/>
      </c>
      <c r="K24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1" s="37"/>
      <c r="O2411" s="37"/>
      <c r="P2411" s="37"/>
    </row>
    <row r="2412" spans="2:16" x14ac:dyDescent="0.25">
      <c r="B24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2" s="46"/>
      <c r="D2412" s="37"/>
      <c r="E2412" s="37"/>
      <c r="F2412" s="37"/>
      <c r="G2412" s="40" t="str">
        <f>IF(tblMovimientos[[#This Row],[Producto]]="","",TRIM(LEFT(tblMovimientos[[#This Row],[Producto]],FIND(" · ",tblMovimientos[[#This Row],[Producto]]&amp;" · ")-1)))</f>
        <v/>
      </c>
      <c r="H2412" s="40" t="str">
        <f>IF(tblMovimientos[[#This Row],[SKU]]="","",IFERROR(INDEX(tblProductos[Unidad],MATCH(tblMovimientos[[#This Row],[SKU]],tblProductos[SKU],0)),"?"))</f>
        <v/>
      </c>
      <c r="I2412" s="39"/>
      <c r="J2412" s="47" t="str">
        <f>IF(tblMovimientos[[#This Row],[Tipo]]="","",IFERROR(INDEX(tblTiposMov[FactorStock],MATCH(tblMovimientos[[#This Row],[Tipo]],tblTiposMov[Tipo],0)),0))</f>
        <v/>
      </c>
      <c r="K24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2" s="37"/>
      <c r="O2412" s="37"/>
      <c r="P2412" s="37"/>
    </row>
    <row r="2413" spans="2:16" x14ac:dyDescent="0.25">
      <c r="B24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3" s="46"/>
      <c r="D2413" s="37"/>
      <c r="E2413" s="37"/>
      <c r="F2413" s="37"/>
      <c r="G2413" s="40" t="str">
        <f>IF(tblMovimientos[[#This Row],[Producto]]="","",TRIM(LEFT(tblMovimientos[[#This Row],[Producto]],FIND(" · ",tblMovimientos[[#This Row],[Producto]]&amp;" · ")-1)))</f>
        <v/>
      </c>
      <c r="H2413" s="40" t="str">
        <f>IF(tblMovimientos[[#This Row],[SKU]]="","",IFERROR(INDEX(tblProductos[Unidad],MATCH(tblMovimientos[[#This Row],[SKU]],tblProductos[SKU],0)),"?"))</f>
        <v/>
      </c>
      <c r="I2413" s="39"/>
      <c r="J2413" s="47" t="str">
        <f>IF(tblMovimientos[[#This Row],[Tipo]]="","",IFERROR(INDEX(tblTiposMov[FactorStock],MATCH(tblMovimientos[[#This Row],[Tipo]],tblTiposMov[Tipo],0)),0))</f>
        <v/>
      </c>
      <c r="K24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3" s="37"/>
      <c r="O2413" s="37"/>
      <c r="P2413" s="37"/>
    </row>
    <row r="2414" spans="2:16" x14ac:dyDescent="0.25">
      <c r="B24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4" s="46"/>
      <c r="D2414" s="37"/>
      <c r="E2414" s="37"/>
      <c r="F2414" s="37"/>
      <c r="G2414" s="40" t="str">
        <f>IF(tblMovimientos[[#This Row],[Producto]]="","",TRIM(LEFT(tblMovimientos[[#This Row],[Producto]],FIND(" · ",tblMovimientos[[#This Row],[Producto]]&amp;" · ")-1)))</f>
        <v/>
      </c>
      <c r="H2414" s="40" t="str">
        <f>IF(tblMovimientos[[#This Row],[SKU]]="","",IFERROR(INDEX(tblProductos[Unidad],MATCH(tblMovimientos[[#This Row],[SKU]],tblProductos[SKU],0)),"?"))</f>
        <v/>
      </c>
      <c r="I2414" s="39"/>
      <c r="J2414" s="47" t="str">
        <f>IF(tblMovimientos[[#This Row],[Tipo]]="","",IFERROR(INDEX(tblTiposMov[FactorStock],MATCH(tblMovimientos[[#This Row],[Tipo]],tblTiposMov[Tipo],0)),0))</f>
        <v/>
      </c>
      <c r="K24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4" s="37"/>
      <c r="O2414" s="37"/>
      <c r="P2414" s="37"/>
    </row>
    <row r="2415" spans="2:16" x14ac:dyDescent="0.25">
      <c r="B24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5" s="46"/>
      <c r="D2415" s="37"/>
      <c r="E2415" s="37"/>
      <c r="F2415" s="37"/>
      <c r="G2415" s="40" t="str">
        <f>IF(tblMovimientos[[#This Row],[Producto]]="","",TRIM(LEFT(tblMovimientos[[#This Row],[Producto]],FIND(" · ",tblMovimientos[[#This Row],[Producto]]&amp;" · ")-1)))</f>
        <v/>
      </c>
      <c r="H2415" s="40" t="str">
        <f>IF(tblMovimientos[[#This Row],[SKU]]="","",IFERROR(INDEX(tblProductos[Unidad],MATCH(tblMovimientos[[#This Row],[SKU]],tblProductos[SKU],0)),"?"))</f>
        <v/>
      </c>
      <c r="I2415" s="39"/>
      <c r="J2415" s="47" t="str">
        <f>IF(tblMovimientos[[#This Row],[Tipo]]="","",IFERROR(INDEX(tblTiposMov[FactorStock],MATCH(tblMovimientos[[#This Row],[Tipo]],tblTiposMov[Tipo],0)),0))</f>
        <v/>
      </c>
      <c r="K24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5" s="37"/>
      <c r="O2415" s="37"/>
      <c r="P2415" s="37"/>
    </row>
    <row r="2416" spans="2:16" x14ac:dyDescent="0.25">
      <c r="B24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6" s="46"/>
      <c r="D2416" s="37"/>
      <c r="E2416" s="37"/>
      <c r="F2416" s="37"/>
      <c r="G2416" s="40" t="str">
        <f>IF(tblMovimientos[[#This Row],[Producto]]="","",TRIM(LEFT(tblMovimientos[[#This Row],[Producto]],FIND(" · ",tblMovimientos[[#This Row],[Producto]]&amp;" · ")-1)))</f>
        <v/>
      </c>
      <c r="H2416" s="40" t="str">
        <f>IF(tblMovimientos[[#This Row],[SKU]]="","",IFERROR(INDEX(tblProductos[Unidad],MATCH(tblMovimientos[[#This Row],[SKU]],tblProductos[SKU],0)),"?"))</f>
        <v/>
      </c>
      <c r="I2416" s="39"/>
      <c r="J2416" s="47" t="str">
        <f>IF(tblMovimientos[[#This Row],[Tipo]]="","",IFERROR(INDEX(tblTiposMov[FactorStock],MATCH(tblMovimientos[[#This Row],[Tipo]],tblTiposMov[Tipo],0)),0))</f>
        <v/>
      </c>
      <c r="K24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6" s="37"/>
      <c r="O2416" s="37"/>
      <c r="P2416" s="37"/>
    </row>
    <row r="2417" spans="2:16" x14ac:dyDescent="0.25">
      <c r="B24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7" s="46"/>
      <c r="D2417" s="37"/>
      <c r="E2417" s="37"/>
      <c r="F2417" s="37"/>
      <c r="G2417" s="40" t="str">
        <f>IF(tblMovimientos[[#This Row],[Producto]]="","",TRIM(LEFT(tblMovimientos[[#This Row],[Producto]],FIND(" · ",tblMovimientos[[#This Row],[Producto]]&amp;" · ")-1)))</f>
        <v/>
      </c>
      <c r="H2417" s="40" t="str">
        <f>IF(tblMovimientos[[#This Row],[SKU]]="","",IFERROR(INDEX(tblProductos[Unidad],MATCH(tblMovimientos[[#This Row],[SKU]],tblProductos[SKU],0)),"?"))</f>
        <v/>
      </c>
      <c r="I2417" s="39"/>
      <c r="J2417" s="47" t="str">
        <f>IF(tblMovimientos[[#This Row],[Tipo]]="","",IFERROR(INDEX(tblTiposMov[FactorStock],MATCH(tblMovimientos[[#This Row],[Tipo]],tblTiposMov[Tipo],0)),0))</f>
        <v/>
      </c>
      <c r="K24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7" s="37"/>
      <c r="O2417" s="37"/>
      <c r="P2417" s="37"/>
    </row>
    <row r="2418" spans="2:16" x14ac:dyDescent="0.25">
      <c r="B24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8" s="46"/>
      <c r="D2418" s="37"/>
      <c r="E2418" s="37"/>
      <c r="F2418" s="37"/>
      <c r="G2418" s="40" t="str">
        <f>IF(tblMovimientos[[#This Row],[Producto]]="","",TRIM(LEFT(tblMovimientos[[#This Row],[Producto]],FIND(" · ",tblMovimientos[[#This Row],[Producto]]&amp;" · ")-1)))</f>
        <v/>
      </c>
      <c r="H2418" s="40" t="str">
        <f>IF(tblMovimientos[[#This Row],[SKU]]="","",IFERROR(INDEX(tblProductos[Unidad],MATCH(tblMovimientos[[#This Row],[SKU]],tblProductos[SKU],0)),"?"))</f>
        <v/>
      </c>
      <c r="I2418" s="39"/>
      <c r="J2418" s="47" t="str">
        <f>IF(tblMovimientos[[#This Row],[Tipo]]="","",IFERROR(INDEX(tblTiposMov[FactorStock],MATCH(tblMovimientos[[#This Row],[Tipo]],tblTiposMov[Tipo],0)),0))</f>
        <v/>
      </c>
      <c r="K24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8" s="37"/>
      <c r="O2418" s="37"/>
      <c r="P2418" s="37"/>
    </row>
    <row r="2419" spans="2:16" x14ac:dyDescent="0.25">
      <c r="B24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19" s="46"/>
      <c r="D2419" s="37"/>
      <c r="E2419" s="37"/>
      <c r="F2419" s="37"/>
      <c r="G2419" s="40" t="str">
        <f>IF(tblMovimientos[[#This Row],[Producto]]="","",TRIM(LEFT(tblMovimientos[[#This Row],[Producto]],FIND(" · ",tblMovimientos[[#This Row],[Producto]]&amp;" · ")-1)))</f>
        <v/>
      </c>
      <c r="H2419" s="40" t="str">
        <f>IF(tblMovimientos[[#This Row],[SKU]]="","",IFERROR(INDEX(tblProductos[Unidad],MATCH(tblMovimientos[[#This Row],[SKU]],tblProductos[SKU],0)),"?"))</f>
        <v/>
      </c>
      <c r="I2419" s="39"/>
      <c r="J2419" s="47" t="str">
        <f>IF(tblMovimientos[[#This Row],[Tipo]]="","",IFERROR(INDEX(tblTiposMov[FactorStock],MATCH(tblMovimientos[[#This Row],[Tipo]],tblTiposMov[Tipo],0)),0))</f>
        <v/>
      </c>
      <c r="K24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19" s="37"/>
      <c r="O2419" s="37"/>
      <c r="P2419" s="37"/>
    </row>
    <row r="2420" spans="2:16" x14ac:dyDescent="0.25">
      <c r="B24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0" s="46"/>
      <c r="D2420" s="37"/>
      <c r="E2420" s="37"/>
      <c r="F2420" s="37"/>
      <c r="G2420" s="40" t="str">
        <f>IF(tblMovimientos[[#This Row],[Producto]]="","",TRIM(LEFT(tblMovimientos[[#This Row],[Producto]],FIND(" · ",tblMovimientos[[#This Row],[Producto]]&amp;" · ")-1)))</f>
        <v/>
      </c>
      <c r="H2420" s="40" t="str">
        <f>IF(tblMovimientos[[#This Row],[SKU]]="","",IFERROR(INDEX(tblProductos[Unidad],MATCH(tblMovimientos[[#This Row],[SKU]],tblProductos[SKU],0)),"?"))</f>
        <v/>
      </c>
      <c r="I2420" s="39"/>
      <c r="J2420" s="47" t="str">
        <f>IF(tblMovimientos[[#This Row],[Tipo]]="","",IFERROR(INDEX(tblTiposMov[FactorStock],MATCH(tblMovimientos[[#This Row],[Tipo]],tblTiposMov[Tipo],0)),0))</f>
        <v/>
      </c>
      <c r="K24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0" s="37"/>
      <c r="O2420" s="37"/>
      <c r="P2420" s="37"/>
    </row>
    <row r="2421" spans="2:16" x14ac:dyDescent="0.25">
      <c r="B24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1" s="46"/>
      <c r="D2421" s="37"/>
      <c r="E2421" s="37"/>
      <c r="F2421" s="37"/>
      <c r="G2421" s="40" t="str">
        <f>IF(tblMovimientos[[#This Row],[Producto]]="","",TRIM(LEFT(tblMovimientos[[#This Row],[Producto]],FIND(" · ",tblMovimientos[[#This Row],[Producto]]&amp;" · ")-1)))</f>
        <v/>
      </c>
      <c r="H2421" s="40" t="str">
        <f>IF(tblMovimientos[[#This Row],[SKU]]="","",IFERROR(INDEX(tblProductos[Unidad],MATCH(tblMovimientos[[#This Row],[SKU]],tblProductos[SKU],0)),"?"))</f>
        <v/>
      </c>
      <c r="I2421" s="39"/>
      <c r="J2421" s="47" t="str">
        <f>IF(tblMovimientos[[#This Row],[Tipo]]="","",IFERROR(INDEX(tblTiposMov[FactorStock],MATCH(tblMovimientos[[#This Row],[Tipo]],tblTiposMov[Tipo],0)),0))</f>
        <v/>
      </c>
      <c r="K24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1" s="37"/>
      <c r="O2421" s="37"/>
      <c r="P2421" s="37"/>
    </row>
    <row r="2422" spans="2:16" x14ac:dyDescent="0.25">
      <c r="B24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2" s="46"/>
      <c r="D2422" s="37"/>
      <c r="E2422" s="37"/>
      <c r="F2422" s="37"/>
      <c r="G2422" s="40" t="str">
        <f>IF(tblMovimientos[[#This Row],[Producto]]="","",TRIM(LEFT(tblMovimientos[[#This Row],[Producto]],FIND(" · ",tblMovimientos[[#This Row],[Producto]]&amp;" · ")-1)))</f>
        <v/>
      </c>
      <c r="H2422" s="40" t="str">
        <f>IF(tblMovimientos[[#This Row],[SKU]]="","",IFERROR(INDEX(tblProductos[Unidad],MATCH(tblMovimientos[[#This Row],[SKU]],tblProductos[SKU],0)),"?"))</f>
        <v/>
      </c>
      <c r="I2422" s="39"/>
      <c r="J2422" s="47" t="str">
        <f>IF(tblMovimientos[[#This Row],[Tipo]]="","",IFERROR(INDEX(tblTiposMov[FactorStock],MATCH(tblMovimientos[[#This Row],[Tipo]],tblTiposMov[Tipo],0)),0))</f>
        <v/>
      </c>
      <c r="K24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2" s="37"/>
      <c r="O2422" s="37"/>
      <c r="P2422" s="37"/>
    </row>
    <row r="2423" spans="2:16" x14ac:dyDescent="0.25">
      <c r="B24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3" s="46"/>
      <c r="D2423" s="37"/>
      <c r="E2423" s="37"/>
      <c r="F2423" s="37"/>
      <c r="G2423" s="40" t="str">
        <f>IF(tblMovimientos[[#This Row],[Producto]]="","",TRIM(LEFT(tblMovimientos[[#This Row],[Producto]],FIND(" · ",tblMovimientos[[#This Row],[Producto]]&amp;" · ")-1)))</f>
        <v/>
      </c>
      <c r="H2423" s="40" t="str">
        <f>IF(tblMovimientos[[#This Row],[SKU]]="","",IFERROR(INDEX(tblProductos[Unidad],MATCH(tblMovimientos[[#This Row],[SKU]],tblProductos[SKU],0)),"?"))</f>
        <v/>
      </c>
      <c r="I2423" s="39"/>
      <c r="J2423" s="47" t="str">
        <f>IF(tblMovimientos[[#This Row],[Tipo]]="","",IFERROR(INDEX(tblTiposMov[FactorStock],MATCH(tblMovimientos[[#This Row],[Tipo]],tblTiposMov[Tipo],0)),0))</f>
        <v/>
      </c>
      <c r="K24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3" s="37"/>
      <c r="O2423" s="37"/>
      <c r="P2423" s="37"/>
    </row>
    <row r="2424" spans="2:16" x14ac:dyDescent="0.25">
      <c r="B24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4" s="46"/>
      <c r="D2424" s="37"/>
      <c r="E2424" s="37"/>
      <c r="F2424" s="37"/>
      <c r="G2424" s="40" t="str">
        <f>IF(tblMovimientos[[#This Row],[Producto]]="","",TRIM(LEFT(tblMovimientos[[#This Row],[Producto]],FIND(" · ",tblMovimientos[[#This Row],[Producto]]&amp;" · ")-1)))</f>
        <v/>
      </c>
      <c r="H2424" s="40" t="str">
        <f>IF(tblMovimientos[[#This Row],[SKU]]="","",IFERROR(INDEX(tblProductos[Unidad],MATCH(tblMovimientos[[#This Row],[SKU]],tblProductos[SKU],0)),"?"))</f>
        <v/>
      </c>
      <c r="I2424" s="39"/>
      <c r="J2424" s="47" t="str">
        <f>IF(tblMovimientos[[#This Row],[Tipo]]="","",IFERROR(INDEX(tblTiposMov[FactorStock],MATCH(tblMovimientos[[#This Row],[Tipo]],tblTiposMov[Tipo],0)),0))</f>
        <v/>
      </c>
      <c r="K24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4" s="37"/>
      <c r="O2424" s="37"/>
      <c r="P2424" s="37"/>
    </row>
    <row r="2425" spans="2:16" x14ac:dyDescent="0.25">
      <c r="B24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5" s="46"/>
      <c r="D2425" s="37"/>
      <c r="E2425" s="37"/>
      <c r="F2425" s="37"/>
      <c r="G2425" s="40" t="str">
        <f>IF(tblMovimientos[[#This Row],[Producto]]="","",TRIM(LEFT(tblMovimientos[[#This Row],[Producto]],FIND(" · ",tblMovimientos[[#This Row],[Producto]]&amp;" · ")-1)))</f>
        <v/>
      </c>
      <c r="H2425" s="40" t="str">
        <f>IF(tblMovimientos[[#This Row],[SKU]]="","",IFERROR(INDEX(tblProductos[Unidad],MATCH(tblMovimientos[[#This Row],[SKU]],tblProductos[SKU],0)),"?"))</f>
        <v/>
      </c>
      <c r="I2425" s="39"/>
      <c r="J2425" s="47" t="str">
        <f>IF(tblMovimientos[[#This Row],[Tipo]]="","",IFERROR(INDEX(tblTiposMov[FactorStock],MATCH(tblMovimientos[[#This Row],[Tipo]],tblTiposMov[Tipo],0)),0))</f>
        <v/>
      </c>
      <c r="K24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5" s="37"/>
      <c r="O2425" s="37"/>
      <c r="P2425" s="37"/>
    </row>
    <row r="2426" spans="2:16" x14ac:dyDescent="0.25">
      <c r="B24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6" s="46"/>
      <c r="D2426" s="37"/>
      <c r="E2426" s="37"/>
      <c r="F2426" s="37"/>
      <c r="G2426" s="40" t="str">
        <f>IF(tblMovimientos[[#This Row],[Producto]]="","",TRIM(LEFT(tblMovimientos[[#This Row],[Producto]],FIND(" · ",tblMovimientos[[#This Row],[Producto]]&amp;" · ")-1)))</f>
        <v/>
      </c>
      <c r="H2426" s="40" t="str">
        <f>IF(tblMovimientos[[#This Row],[SKU]]="","",IFERROR(INDEX(tblProductos[Unidad],MATCH(tblMovimientos[[#This Row],[SKU]],tblProductos[SKU],0)),"?"))</f>
        <v/>
      </c>
      <c r="I2426" s="39"/>
      <c r="J2426" s="47" t="str">
        <f>IF(tblMovimientos[[#This Row],[Tipo]]="","",IFERROR(INDEX(tblTiposMov[FactorStock],MATCH(tblMovimientos[[#This Row],[Tipo]],tblTiposMov[Tipo],0)),0))</f>
        <v/>
      </c>
      <c r="K24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6" s="37"/>
      <c r="O2426" s="37"/>
      <c r="P2426" s="37"/>
    </row>
    <row r="2427" spans="2:16" x14ac:dyDescent="0.25">
      <c r="B24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7" s="46"/>
      <c r="D2427" s="37"/>
      <c r="E2427" s="37"/>
      <c r="F2427" s="37"/>
      <c r="G2427" s="40" t="str">
        <f>IF(tblMovimientos[[#This Row],[Producto]]="","",TRIM(LEFT(tblMovimientos[[#This Row],[Producto]],FIND(" · ",tblMovimientos[[#This Row],[Producto]]&amp;" · ")-1)))</f>
        <v/>
      </c>
      <c r="H2427" s="40" t="str">
        <f>IF(tblMovimientos[[#This Row],[SKU]]="","",IFERROR(INDEX(tblProductos[Unidad],MATCH(tblMovimientos[[#This Row],[SKU]],tblProductos[SKU],0)),"?"))</f>
        <v/>
      </c>
      <c r="I2427" s="39"/>
      <c r="J2427" s="47" t="str">
        <f>IF(tblMovimientos[[#This Row],[Tipo]]="","",IFERROR(INDEX(tblTiposMov[FactorStock],MATCH(tblMovimientos[[#This Row],[Tipo]],tblTiposMov[Tipo],0)),0))</f>
        <v/>
      </c>
      <c r="K24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7" s="37"/>
      <c r="O2427" s="37"/>
      <c r="P2427" s="37"/>
    </row>
    <row r="2428" spans="2:16" x14ac:dyDescent="0.25">
      <c r="B24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8" s="46"/>
      <c r="D2428" s="37"/>
      <c r="E2428" s="37"/>
      <c r="F2428" s="37"/>
      <c r="G2428" s="40" t="str">
        <f>IF(tblMovimientos[[#This Row],[Producto]]="","",TRIM(LEFT(tblMovimientos[[#This Row],[Producto]],FIND(" · ",tblMovimientos[[#This Row],[Producto]]&amp;" · ")-1)))</f>
        <v/>
      </c>
      <c r="H2428" s="40" t="str">
        <f>IF(tblMovimientos[[#This Row],[SKU]]="","",IFERROR(INDEX(tblProductos[Unidad],MATCH(tblMovimientos[[#This Row],[SKU]],tblProductos[SKU],0)),"?"))</f>
        <v/>
      </c>
      <c r="I2428" s="39"/>
      <c r="J2428" s="47" t="str">
        <f>IF(tblMovimientos[[#This Row],[Tipo]]="","",IFERROR(INDEX(tblTiposMov[FactorStock],MATCH(tblMovimientos[[#This Row],[Tipo]],tblTiposMov[Tipo],0)),0))</f>
        <v/>
      </c>
      <c r="K24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8" s="37"/>
      <c r="O2428" s="37"/>
      <c r="P2428" s="37"/>
    </row>
    <row r="2429" spans="2:16" x14ac:dyDescent="0.25">
      <c r="B24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29" s="46"/>
      <c r="D2429" s="37"/>
      <c r="E2429" s="37"/>
      <c r="F2429" s="37"/>
      <c r="G2429" s="40" t="str">
        <f>IF(tblMovimientos[[#This Row],[Producto]]="","",TRIM(LEFT(tblMovimientos[[#This Row],[Producto]],FIND(" · ",tblMovimientos[[#This Row],[Producto]]&amp;" · ")-1)))</f>
        <v/>
      </c>
      <c r="H2429" s="40" t="str">
        <f>IF(tblMovimientos[[#This Row],[SKU]]="","",IFERROR(INDEX(tblProductos[Unidad],MATCH(tblMovimientos[[#This Row],[SKU]],tblProductos[SKU],0)),"?"))</f>
        <v/>
      </c>
      <c r="I2429" s="39"/>
      <c r="J2429" s="47" t="str">
        <f>IF(tblMovimientos[[#This Row],[Tipo]]="","",IFERROR(INDEX(tblTiposMov[FactorStock],MATCH(tblMovimientos[[#This Row],[Tipo]],tblTiposMov[Tipo],0)),0))</f>
        <v/>
      </c>
      <c r="K24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29" s="37"/>
      <c r="O2429" s="37"/>
      <c r="P2429" s="37"/>
    </row>
    <row r="2430" spans="2:16" x14ac:dyDescent="0.25">
      <c r="B24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0" s="46"/>
      <c r="D2430" s="37"/>
      <c r="E2430" s="37"/>
      <c r="F2430" s="37"/>
      <c r="G2430" s="40" t="str">
        <f>IF(tblMovimientos[[#This Row],[Producto]]="","",TRIM(LEFT(tblMovimientos[[#This Row],[Producto]],FIND(" · ",tblMovimientos[[#This Row],[Producto]]&amp;" · ")-1)))</f>
        <v/>
      </c>
      <c r="H2430" s="40" t="str">
        <f>IF(tblMovimientos[[#This Row],[SKU]]="","",IFERROR(INDEX(tblProductos[Unidad],MATCH(tblMovimientos[[#This Row],[SKU]],tblProductos[SKU],0)),"?"))</f>
        <v/>
      </c>
      <c r="I2430" s="39"/>
      <c r="J2430" s="47" t="str">
        <f>IF(tblMovimientos[[#This Row],[Tipo]]="","",IFERROR(INDEX(tblTiposMov[FactorStock],MATCH(tblMovimientos[[#This Row],[Tipo]],tblTiposMov[Tipo],0)),0))</f>
        <v/>
      </c>
      <c r="K24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0" s="37"/>
      <c r="O2430" s="37"/>
      <c r="P2430" s="37"/>
    </row>
    <row r="2431" spans="2:16" x14ac:dyDescent="0.25">
      <c r="B24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1" s="46"/>
      <c r="D2431" s="37"/>
      <c r="E2431" s="37"/>
      <c r="F2431" s="37"/>
      <c r="G2431" s="40" t="str">
        <f>IF(tblMovimientos[[#This Row],[Producto]]="","",TRIM(LEFT(tblMovimientos[[#This Row],[Producto]],FIND(" · ",tblMovimientos[[#This Row],[Producto]]&amp;" · ")-1)))</f>
        <v/>
      </c>
      <c r="H2431" s="40" t="str">
        <f>IF(tblMovimientos[[#This Row],[SKU]]="","",IFERROR(INDEX(tblProductos[Unidad],MATCH(tblMovimientos[[#This Row],[SKU]],tblProductos[SKU],0)),"?"))</f>
        <v/>
      </c>
      <c r="I2431" s="39"/>
      <c r="J2431" s="47" t="str">
        <f>IF(tblMovimientos[[#This Row],[Tipo]]="","",IFERROR(INDEX(tblTiposMov[FactorStock],MATCH(tblMovimientos[[#This Row],[Tipo]],tblTiposMov[Tipo],0)),0))</f>
        <v/>
      </c>
      <c r="K24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1" s="37"/>
      <c r="O2431" s="37"/>
      <c r="P2431" s="37"/>
    </row>
    <row r="2432" spans="2:16" x14ac:dyDescent="0.25">
      <c r="B24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2" s="46"/>
      <c r="D2432" s="37"/>
      <c r="E2432" s="37"/>
      <c r="F2432" s="37"/>
      <c r="G2432" s="40" t="str">
        <f>IF(tblMovimientos[[#This Row],[Producto]]="","",TRIM(LEFT(tblMovimientos[[#This Row],[Producto]],FIND(" · ",tblMovimientos[[#This Row],[Producto]]&amp;" · ")-1)))</f>
        <v/>
      </c>
      <c r="H2432" s="40" t="str">
        <f>IF(tblMovimientos[[#This Row],[SKU]]="","",IFERROR(INDEX(tblProductos[Unidad],MATCH(tblMovimientos[[#This Row],[SKU]],tblProductos[SKU],0)),"?"))</f>
        <v/>
      </c>
      <c r="I2432" s="39"/>
      <c r="J2432" s="47" t="str">
        <f>IF(tblMovimientos[[#This Row],[Tipo]]="","",IFERROR(INDEX(tblTiposMov[FactorStock],MATCH(tblMovimientos[[#This Row],[Tipo]],tblTiposMov[Tipo],0)),0))</f>
        <v/>
      </c>
      <c r="K24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2" s="37"/>
      <c r="O2432" s="37"/>
      <c r="P2432" s="37"/>
    </row>
    <row r="2433" spans="2:16" x14ac:dyDescent="0.25">
      <c r="B24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3" s="46"/>
      <c r="D2433" s="37"/>
      <c r="E2433" s="37"/>
      <c r="F2433" s="37"/>
      <c r="G2433" s="40" t="str">
        <f>IF(tblMovimientos[[#This Row],[Producto]]="","",TRIM(LEFT(tblMovimientos[[#This Row],[Producto]],FIND(" · ",tblMovimientos[[#This Row],[Producto]]&amp;" · ")-1)))</f>
        <v/>
      </c>
      <c r="H2433" s="40" t="str">
        <f>IF(tblMovimientos[[#This Row],[SKU]]="","",IFERROR(INDEX(tblProductos[Unidad],MATCH(tblMovimientos[[#This Row],[SKU]],tblProductos[SKU],0)),"?"))</f>
        <v/>
      </c>
      <c r="I2433" s="39"/>
      <c r="J2433" s="47" t="str">
        <f>IF(tblMovimientos[[#This Row],[Tipo]]="","",IFERROR(INDEX(tblTiposMov[FactorStock],MATCH(tblMovimientos[[#This Row],[Tipo]],tblTiposMov[Tipo],0)),0))</f>
        <v/>
      </c>
      <c r="K24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3" s="37"/>
      <c r="O2433" s="37"/>
      <c r="P2433" s="37"/>
    </row>
    <row r="2434" spans="2:16" x14ac:dyDescent="0.25">
      <c r="B24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4" s="46"/>
      <c r="D2434" s="37"/>
      <c r="E2434" s="37"/>
      <c r="F2434" s="37"/>
      <c r="G2434" s="40" t="str">
        <f>IF(tblMovimientos[[#This Row],[Producto]]="","",TRIM(LEFT(tblMovimientos[[#This Row],[Producto]],FIND(" · ",tblMovimientos[[#This Row],[Producto]]&amp;" · ")-1)))</f>
        <v/>
      </c>
      <c r="H2434" s="40" t="str">
        <f>IF(tblMovimientos[[#This Row],[SKU]]="","",IFERROR(INDEX(tblProductos[Unidad],MATCH(tblMovimientos[[#This Row],[SKU]],tblProductos[SKU],0)),"?"))</f>
        <v/>
      </c>
      <c r="I2434" s="39"/>
      <c r="J2434" s="47" t="str">
        <f>IF(tblMovimientos[[#This Row],[Tipo]]="","",IFERROR(INDEX(tblTiposMov[FactorStock],MATCH(tblMovimientos[[#This Row],[Tipo]],tblTiposMov[Tipo],0)),0))</f>
        <v/>
      </c>
      <c r="K24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4" s="37"/>
      <c r="O2434" s="37"/>
      <c r="P2434" s="37"/>
    </row>
    <row r="2435" spans="2:16" x14ac:dyDescent="0.25">
      <c r="B24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5" s="46"/>
      <c r="D2435" s="37"/>
      <c r="E2435" s="37"/>
      <c r="F2435" s="37"/>
      <c r="G2435" s="40" t="str">
        <f>IF(tblMovimientos[[#This Row],[Producto]]="","",TRIM(LEFT(tblMovimientos[[#This Row],[Producto]],FIND(" · ",tblMovimientos[[#This Row],[Producto]]&amp;" · ")-1)))</f>
        <v/>
      </c>
      <c r="H2435" s="40" t="str">
        <f>IF(tblMovimientos[[#This Row],[SKU]]="","",IFERROR(INDEX(tblProductos[Unidad],MATCH(tblMovimientos[[#This Row],[SKU]],tblProductos[SKU],0)),"?"))</f>
        <v/>
      </c>
      <c r="I2435" s="39"/>
      <c r="J2435" s="47" t="str">
        <f>IF(tblMovimientos[[#This Row],[Tipo]]="","",IFERROR(INDEX(tblTiposMov[FactorStock],MATCH(tblMovimientos[[#This Row],[Tipo]],tblTiposMov[Tipo],0)),0))</f>
        <v/>
      </c>
      <c r="K24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5" s="37"/>
      <c r="O2435" s="37"/>
      <c r="P2435" s="37"/>
    </row>
    <row r="2436" spans="2:16" x14ac:dyDescent="0.25">
      <c r="B24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6" s="46"/>
      <c r="D2436" s="37"/>
      <c r="E2436" s="37"/>
      <c r="F2436" s="37"/>
      <c r="G2436" s="40" t="str">
        <f>IF(tblMovimientos[[#This Row],[Producto]]="","",TRIM(LEFT(tblMovimientos[[#This Row],[Producto]],FIND(" · ",tblMovimientos[[#This Row],[Producto]]&amp;" · ")-1)))</f>
        <v/>
      </c>
      <c r="H2436" s="40" t="str">
        <f>IF(tblMovimientos[[#This Row],[SKU]]="","",IFERROR(INDEX(tblProductos[Unidad],MATCH(tblMovimientos[[#This Row],[SKU]],tblProductos[SKU],0)),"?"))</f>
        <v/>
      </c>
      <c r="I2436" s="39"/>
      <c r="J2436" s="47" t="str">
        <f>IF(tblMovimientos[[#This Row],[Tipo]]="","",IFERROR(INDEX(tblTiposMov[FactorStock],MATCH(tblMovimientos[[#This Row],[Tipo]],tblTiposMov[Tipo],0)),0))</f>
        <v/>
      </c>
      <c r="K24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6" s="37"/>
      <c r="O2436" s="37"/>
      <c r="P2436" s="37"/>
    </row>
    <row r="2437" spans="2:16" x14ac:dyDescent="0.25">
      <c r="B24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7" s="46"/>
      <c r="D2437" s="37"/>
      <c r="E2437" s="37"/>
      <c r="F2437" s="37"/>
      <c r="G2437" s="40" t="str">
        <f>IF(tblMovimientos[[#This Row],[Producto]]="","",TRIM(LEFT(tblMovimientos[[#This Row],[Producto]],FIND(" · ",tblMovimientos[[#This Row],[Producto]]&amp;" · ")-1)))</f>
        <v/>
      </c>
      <c r="H2437" s="40" t="str">
        <f>IF(tblMovimientos[[#This Row],[SKU]]="","",IFERROR(INDEX(tblProductos[Unidad],MATCH(tblMovimientos[[#This Row],[SKU]],tblProductos[SKU],0)),"?"))</f>
        <v/>
      </c>
      <c r="I2437" s="39"/>
      <c r="J2437" s="47" t="str">
        <f>IF(tblMovimientos[[#This Row],[Tipo]]="","",IFERROR(INDEX(tblTiposMov[FactorStock],MATCH(tblMovimientos[[#This Row],[Tipo]],tblTiposMov[Tipo],0)),0))</f>
        <v/>
      </c>
      <c r="K24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7" s="37"/>
      <c r="O2437" s="37"/>
      <c r="P2437" s="37"/>
    </row>
    <row r="2438" spans="2:16" x14ac:dyDescent="0.25">
      <c r="B24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8" s="46"/>
      <c r="D2438" s="37"/>
      <c r="E2438" s="37"/>
      <c r="F2438" s="37"/>
      <c r="G2438" s="40" t="str">
        <f>IF(tblMovimientos[[#This Row],[Producto]]="","",TRIM(LEFT(tblMovimientos[[#This Row],[Producto]],FIND(" · ",tblMovimientos[[#This Row],[Producto]]&amp;" · ")-1)))</f>
        <v/>
      </c>
      <c r="H2438" s="40" t="str">
        <f>IF(tblMovimientos[[#This Row],[SKU]]="","",IFERROR(INDEX(tblProductos[Unidad],MATCH(tblMovimientos[[#This Row],[SKU]],tblProductos[SKU],0)),"?"))</f>
        <v/>
      </c>
      <c r="I2438" s="39"/>
      <c r="J2438" s="47" t="str">
        <f>IF(tblMovimientos[[#This Row],[Tipo]]="","",IFERROR(INDEX(tblTiposMov[FactorStock],MATCH(tblMovimientos[[#This Row],[Tipo]],tblTiposMov[Tipo],0)),0))</f>
        <v/>
      </c>
      <c r="K24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8" s="37"/>
      <c r="O2438" s="37"/>
      <c r="P2438" s="37"/>
    </row>
    <row r="2439" spans="2:16" x14ac:dyDescent="0.25">
      <c r="B24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39" s="46"/>
      <c r="D2439" s="37"/>
      <c r="E2439" s="37"/>
      <c r="F2439" s="37"/>
      <c r="G2439" s="40" t="str">
        <f>IF(tblMovimientos[[#This Row],[Producto]]="","",TRIM(LEFT(tblMovimientos[[#This Row],[Producto]],FIND(" · ",tblMovimientos[[#This Row],[Producto]]&amp;" · ")-1)))</f>
        <v/>
      </c>
      <c r="H2439" s="40" t="str">
        <f>IF(tblMovimientos[[#This Row],[SKU]]="","",IFERROR(INDEX(tblProductos[Unidad],MATCH(tblMovimientos[[#This Row],[SKU]],tblProductos[SKU],0)),"?"))</f>
        <v/>
      </c>
      <c r="I2439" s="39"/>
      <c r="J2439" s="47" t="str">
        <f>IF(tblMovimientos[[#This Row],[Tipo]]="","",IFERROR(INDEX(tblTiposMov[FactorStock],MATCH(tblMovimientos[[#This Row],[Tipo]],tblTiposMov[Tipo],0)),0))</f>
        <v/>
      </c>
      <c r="K24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39" s="37"/>
      <c r="O2439" s="37"/>
      <c r="P2439" s="37"/>
    </row>
    <row r="2440" spans="2:16" x14ac:dyDescent="0.25">
      <c r="B24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0" s="46"/>
      <c r="D2440" s="37"/>
      <c r="E2440" s="37"/>
      <c r="F2440" s="37"/>
      <c r="G2440" s="40" t="str">
        <f>IF(tblMovimientos[[#This Row],[Producto]]="","",TRIM(LEFT(tblMovimientos[[#This Row],[Producto]],FIND(" · ",tblMovimientos[[#This Row],[Producto]]&amp;" · ")-1)))</f>
        <v/>
      </c>
      <c r="H2440" s="40" t="str">
        <f>IF(tblMovimientos[[#This Row],[SKU]]="","",IFERROR(INDEX(tblProductos[Unidad],MATCH(tblMovimientos[[#This Row],[SKU]],tblProductos[SKU],0)),"?"))</f>
        <v/>
      </c>
      <c r="I2440" s="39"/>
      <c r="J2440" s="47" t="str">
        <f>IF(tblMovimientos[[#This Row],[Tipo]]="","",IFERROR(INDEX(tblTiposMov[FactorStock],MATCH(tblMovimientos[[#This Row],[Tipo]],tblTiposMov[Tipo],0)),0))</f>
        <v/>
      </c>
      <c r="K24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0" s="37"/>
      <c r="O2440" s="37"/>
      <c r="P2440" s="37"/>
    </row>
    <row r="2441" spans="2:16" x14ac:dyDescent="0.25">
      <c r="B24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1" s="46"/>
      <c r="D2441" s="37"/>
      <c r="E2441" s="37"/>
      <c r="F2441" s="37"/>
      <c r="G2441" s="40" t="str">
        <f>IF(tblMovimientos[[#This Row],[Producto]]="","",TRIM(LEFT(tblMovimientos[[#This Row],[Producto]],FIND(" · ",tblMovimientos[[#This Row],[Producto]]&amp;" · ")-1)))</f>
        <v/>
      </c>
      <c r="H2441" s="40" t="str">
        <f>IF(tblMovimientos[[#This Row],[SKU]]="","",IFERROR(INDEX(tblProductos[Unidad],MATCH(tblMovimientos[[#This Row],[SKU]],tblProductos[SKU],0)),"?"))</f>
        <v/>
      </c>
      <c r="I2441" s="39"/>
      <c r="J2441" s="47" t="str">
        <f>IF(tblMovimientos[[#This Row],[Tipo]]="","",IFERROR(INDEX(tblTiposMov[FactorStock],MATCH(tblMovimientos[[#This Row],[Tipo]],tblTiposMov[Tipo],0)),0))</f>
        <v/>
      </c>
      <c r="K24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1" s="37"/>
      <c r="O2441" s="37"/>
      <c r="P2441" s="37"/>
    </row>
    <row r="2442" spans="2:16" x14ac:dyDescent="0.25">
      <c r="B24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2" s="46"/>
      <c r="D2442" s="37"/>
      <c r="E2442" s="37"/>
      <c r="F2442" s="37"/>
      <c r="G2442" s="40" t="str">
        <f>IF(tblMovimientos[[#This Row],[Producto]]="","",TRIM(LEFT(tblMovimientos[[#This Row],[Producto]],FIND(" · ",tblMovimientos[[#This Row],[Producto]]&amp;" · ")-1)))</f>
        <v/>
      </c>
      <c r="H2442" s="40" t="str">
        <f>IF(tblMovimientos[[#This Row],[SKU]]="","",IFERROR(INDEX(tblProductos[Unidad],MATCH(tblMovimientos[[#This Row],[SKU]],tblProductos[SKU],0)),"?"))</f>
        <v/>
      </c>
      <c r="I2442" s="39"/>
      <c r="J2442" s="47" t="str">
        <f>IF(tblMovimientos[[#This Row],[Tipo]]="","",IFERROR(INDEX(tblTiposMov[FactorStock],MATCH(tblMovimientos[[#This Row],[Tipo]],tblTiposMov[Tipo],0)),0))</f>
        <v/>
      </c>
      <c r="K24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2" s="37"/>
      <c r="O2442" s="37"/>
      <c r="P2442" s="37"/>
    </row>
    <row r="2443" spans="2:16" x14ac:dyDescent="0.25">
      <c r="B24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3" s="46"/>
      <c r="D2443" s="37"/>
      <c r="E2443" s="37"/>
      <c r="F2443" s="37"/>
      <c r="G2443" s="40" t="str">
        <f>IF(tblMovimientos[[#This Row],[Producto]]="","",TRIM(LEFT(tblMovimientos[[#This Row],[Producto]],FIND(" · ",tblMovimientos[[#This Row],[Producto]]&amp;" · ")-1)))</f>
        <v/>
      </c>
      <c r="H2443" s="40" t="str">
        <f>IF(tblMovimientos[[#This Row],[SKU]]="","",IFERROR(INDEX(tblProductos[Unidad],MATCH(tblMovimientos[[#This Row],[SKU]],tblProductos[SKU],0)),"?"))</f>
        <v/>
      </c>
      <c r="I2443" s="39"/>
      <c r="J2443" s="47" t="str">
        <f>IF(tblMovimientos[[#This Row],[Tipo]]="","",IFERROR(INDEX(tblTiposMov[FactorStock],MATCH(tblMovimientos[[#This Row],[Tipo]],tblTiposMov[Tipo],0)),0))</f>
        <v/>
      </c>
      <c r="K24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3" s="37"/>
      <c r="O2443" s="37"/>
      <c r="P2443" s="37"/>
    </row>
    <row r="2444" spans="2:16" x14ac:dyDescent="0.25">
      <c r="B24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4" s="46"/>
      <c r="D2444" s="37"/>
      <c r="E2444" s="37"/>
      <c r="F2444" s="37"/>
      <c r="G2444" s="40" t="str">
        <f>IF(tblMovimientos[[#This Row],[Producto]]="","",TRIM(LEFT(tblMovimientos[[#This Row],[Producto]],FIND(" · ",tblMovimientos[[#This Row],[Producto]]&amp;" · ")-1)))</f>
        <v/>
      </c>
      <c r="H2444" s="40" t="str">
        <f>IF(tblMovimientos[[#This Row],[SKU]]="","",IFERROR(INDEX(tblProductos[Unidad],MATCH(tblMovimientos[[#This Row],[SKU]],tblProductos[SKU],0)),"?"))</f>
        <v/>
      </c>
      <c r="I2444" s="39"/>
      <c r="J2444" s="47" t="str">
        <f>IF(tblMovimientos[[#This Row],[Tipo]]="","",IFERROR(INDEX(tblTiposMov[FactorStock],MATCH(tblMovimientos[[#This Row],[Tipo]],tblTiposMov[Tipo],0)),0))</f>
        <v/>
      </c>
      <c r="K24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4" s="37"/>
      <c r="O2444" s="37"/>
      <c r="P2444" s="37"/>
    </row>
    <row r="2445" spans="2:16" x14ac:dyDescent="0.25">
      <c r="B24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5" s="46"/>
      <c r="D2445" s="37"/>
      <c r="E2445" s="37"/>
      <c r="F2445" s="37"/>
      <c r="G2445" s="40" t="str">
        <f>IF(tblMovimientos[[#This Row],[Producto]]="","",TRIM(LEFT(tblMovimientos[[#This Row],[Producto]],FIND(" · ",tblMovimientos[[#This Row],[Producto]]&amp;" · ")-1)))</f>
        <v/>
      </c>
      <c r="H2445" s="40" t="str">
        <f>IF(tblMovimientos[[#This Row],[SKU]]="","",IFERROR(INDEX(tblProductos[Unidad],MATCH(tblMovimientos[[#This Row],[SKU]],tblProductos[SKU],0)),"?"))</f>
        <v/>
      </c>
      <c r="I2445" s="39"/>
      <c r="J2445" s="47" t="str">
        <f>IF(tblMovimientos[[#This Row],[Tipo]]="","",IFERROR(INDEX(tblTiposMov[FactorStock],MATCH(tblMovimientos[[#This Row],[Tipo]],tblTiposMov[Tipo],0)),0))</f>
        <v/>
      </c>
      <c r="K24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5" s="37"/>
      <c r="O2445" s="37"/>
      <c r="P2445" s="37"/>
    </row>
    <row r="2446" spans="2:16" x14ac:dyDescent="0.25">
      <c r="B24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6" s="46"/>
      <c r="D2446" s="37"/>
      <c r="E2446" s="37"/>
      <c r="F2446" s="37"/>
      <c r="G2446" s="40" t="str">
        <f>IF(tblMovimientos[[#This Row],[Producto]]="","",TRIM(LEFT(tblMovimientos[[#This Row],[Producto]],FIND(" · ",tblMovimientos[[#This Row],[Producto]]&amp;" · ")-1)))</f>
        <v/>
      </c>
      <c r="H2446" s="40" t="str">
        <f>IF(tblMovimientos[[#This Row],[SKU]]="","",IFERROR(INDEX(tblProductos[Unidad],MATCH(tblMovimientos[[#This Row],[SKU]],tblProductos[SKU],0)),"?"))</f>
        <v/>
      </c>
      <c r="I2446" s="39"/>
      <c r="J2446" s="47" t="str">
        <f>IF(tblMovimientos[[#This Row],[Tipo]]="","",IFERROR(INDEX(tblTiposMov[FactorStock],MATCH(tblMovimientos[[#This Row],[Tipo]],tblTiposMov[Tipo],0)),0))</f>
        <v/>
      </c>
      <c r="K24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6" s="37"/>
      <c r="O2446" s="37"/>
      <c r="P2446" s="37"/>
    </row>
    <row r="2447" spans="2:16" x14ac:dyDescent="0.25">
      <c r="B24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7" s="46"/>
      <c r="D2447" s="37"/>
      <c r="E2447" s="37"/>
      <c r="F2447" s="37"/>
      <c r="G2447" s="40" t="str">
        <f>IF(tblMovimientos[[#This Row],[Producto]]="","",TRIM(LEFT(tblMovimientos[[#This Row],[Producto]],FIND(" · ",tblMovimientos[[#This Row],[Producto]]&amp;" · ")-1)))</f>
        <v/>
      </c>
      <c r="H2447" s="40" t="str">
        <f>IF(tblMovimientos[[#This Row],[SKU]]="","",IFERROR(INDEX(tblProductos[Unidad],MATCH(tblMovimientos[[#This Row],[SKU]],tblProductos[SKU],0)),"?"))</f>
        <v/>
      </c>
      <c r="I2447" s="39"/>
      <c r="J2447" s="47" t="str">
        <f>IF(tblMovimientos[[#This Row],[Tipo]]="","",IFERROR(INDEX(tblTiposMov[FactorStock],MATCH(tblMovimientos[[#This Row],[Tipo]],tblTiposMov[Tipo],0)),0))</f>
        <v/>
      </c>
      <c r="K24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7" s="37"/>
      <c r="O2447" s="37"/>
      <c r="P2447" s="37"/>
    </row>
    <row r="2448" spans="2:16" x14ac:dyDescent="0.25">
      <c r="B24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8" s="46"/>
      <c r="D2448" s="37"/>
      <c r="E2448" s="37"/>
      <c r="F2448" s="37"/>
      <c r="G2448" s="40" t="str">
        <f>IF(tblMovimientos[[#This Row],[Producto]]="","",TRIM(LEFT(tblMovimientos[[#This Row],[Producto]],FIND(" · ",tblMovimientos[[#This Row],[Producto]]&amp;" · ")-1)))</f>
        <v/>
      </c>
      <c r="H2448" s="40" t="str">
        <f>IF(tblMovimientos[[#This Row],[SKU]]="","",IFERROR(INDEX(tblProductos[Unidad],MATCH(tblMovimientos[[#This Row],[SKU]],tblProductos[SKU],0)),"?"))</f>
        <v/>
      </c>
      <c r="I2448" s="39"/>
      <c r="J2448" s="47" t="str">
        <f>IF(tblMovimientos[[#This Row],[Tipo]]="","",IFERROR(INDEX(tblTiposMov[FactorStock],MATCH(tblMovimientos[[#This Row],[Tipo]],tblTiposMov[Tipo],0)),0))</f>
        <v/>
      </c>
      <c r="K24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8" s="37"/>
      <c r="O2448" s="37"/>
      <c r="P2448" s="37"/>
    </row>
    <row r="2449" spans="2:16" x14ac:dyDescent="0.25">
      <c r="B24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49" s="46"/>
      <c r="D2449" s="37"/>
      <c r="E2449" s="37"/>
      <c r="F2449" s="37"/>
      <c r="G2449" s="40" t="str">
        <f>IF(tblMovimientos[[#This Row],[Producto]]="","",TRIM(LEFT(tblMovimientos[[#This Row],[Producto]],FIND(" · ",tblMovimientos[[#This Row],[Producto]]&amp;" · ")-1)))</f>
        <v/>
      </c>
      <c r="H2449" s="40" t="str">
        <f>IF(tblMovimientos[[#This Row],[SKU]]="","",IFERROR(INDEX(tblProductos[Unidad],MATCH(tblMovimientos[[#This Row],[SKU]],tblProductos[SKU],0)),"?"))</f>
        <v/>
      </c>
      <c r="I2449" s="39"/>
      <c r="J2449" s="47" t="str">
        <f>IF(tblMovimientos[[#This Row],[Tipo]]="","",IFERROR(INDEX(tblTiposMov[FactorStock],MATCH(tblMovimientos[[#This Row],[Tipo]],tblTiposMov[Tipo],0)),0))</f>
        <v/>
      </c>
      <c r="K24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49" s="37"/>
      <c r="O2449" s="37"/>
      <c r="P2449" s="37"/>
    </row>
    <row r="2450" spans="2:16" x14ac:dyDescent="0.25">
      <c r="B24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0" s="46"/>
      <c r="D2450" s="37"/>
      <c r="E2450" s="37"/>
      <c r="F2450" s="37"/>
      <c r="G2450" s="40" t="str">
        <f>IF(tblMovimientos[[#This Row],[Producto]]="","",TRIM(LEFT(tblMovimientos[[#This Row],[Producto]],FIND(" · ",tblMovimientos[[#This Row],[Producto]]&amp;" · ")-1)))</f>
        <v/>
      </c>
      <c r="H2450" s="40" t="str">
        <f>IF(tblMovimientos[[#This Row],[SKU]]="","",IFERROR(INDEX(tblProductos[Unidad],MATCH(tblMovimientos[[#This Row],[SKU]],tblProductos[SKU],0)),"?"))</f>
        <v/>
      </c>
      <c r="I2450" s="39"/>
      <c r="J2450" s="47" t="str">
        <f>IF(tblMovimientos[[#This Row],[Tipo]]="","",IFERROR(INDEX(tblTiposMov[FactorStock],MATCH(tblMovimientos[[#This Row],[Tipo]],tblTiposMov[Tipo],0)),0))</f>
        <v/>
      </c>
      <c r="K24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0" s="37"/>
      <c r="O2450" s="37"/>
      <c r="P2450" s="37"/>
    </row>
    <row r="2451" spans="2:16" x14ac:dyDescent="0.25">
      <c r="B24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1" s="46"/>
      <c r="D2451" s="37"/>
      <c r="E2451" s="37"/>
      <c r="F2451" s="37"/>
      <c r="G2451" s="40" t="str">
        <f>IF(tblMovimientos[[#This Row],[Producto]]="","",TRIM(LEFT(tblMovimientos[[#This Row],[Producto]],FIND(" · ",tblMovimientos[[#This Row],[Producto]]&amp;" · ")-1)))</f>
        <v/>
      </c>
      <c r="H2451" s="40" t="str">
        <f>IF(tblMovimientos[[#This Row],[SKU]]="","",IFERROR(INDEX(tblProductos[Unidad],MATCH(tblMovimientos[[#This Row],[SKU]],tblProductos[SKU],0)),"?"))</f>
        <v/>
      </c>
      <c r="I2451" s="39"/>
      <c r="J2451" s="47" t="str">
        <f>IF(tblMovimientos[[#This Row],[Tipo]]="","",IFERROR(INDEX(tblTiposMov[FactorStock],MATCH(tblMovimientos[[#This Row],[Tipo]],tblTiposMov[Tipo],0)),0))</f>
        <v/>
      </c>
      <c r="K24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1" s="37"/>
      <c r="O2451" s="37"/>
      <c r="P2451" s="37"/>
    </row>
    <row r="2452" spans="2:16" x14ac:dyDescent="0.25">
      <c r="B24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2" s="46"/>
      <c r="D2452" s="37"/>
      <c r="E2452" s="37"/>
      <c r="F2452" s="37"/>
      <c r="G2452" s="40" t="str">
        <f>IF(tblMovimientos[[#This Row],[Producto]]="","",TRIM(LEFT(tblMovimientos[[#This Row],[Producto]],FIND(" · ",tblMovimientos[[#This Row],[Producto]]&amp;" · ")-1)))</f>
        <v/>
      </c>
      <c r="H2452" s="40" t="str">
        <f>IF(tblMovimientos[[#This Row],[SKU]]="","",IFERROR(INDEX(tblProductos[Unidad],MATCH(tblMovimientos[[#This Row],[SKU]],tblProductos[SKU],0)),"?"))</f>
        <v/>
      </c>
      <c r="I2452" s="39"/>
      <c r="J2452" s="47" t="str">
        <f>IF(tblMovimientos[[#This Row],[Tipo]]="","",IFERROR(INDEX(tblTiposMov[FactorStock],MATCH(tblMovimientos[[#This Row],[Tipo]],tblTiposMov[Tipo],0)),0))</f>
        <v/>
      </c>
      <c r="K24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2" s="37"/>
      <c r="O2452" s="37"/>
      <c r="P2452" s="37"/>
    </row>
    <row r="2453" spans="2:16" x14ac:dyDescent="0.25">
      <c r="B24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3" s="46"/>
      <c r="D2453" s="37"/>
      <c r="E2453" s="37"/>
      <c r="F2453" s="37"/>
      <c r="G2453" s="40" t="str">
        <f>IF(tblMovimientos[[#This Row],[Producto]]="","",TRIM(LEFT(tblMovimientos[[#This Row],[Producto]],FIND(" · ",tblMovimientos[[#This Row],[Producto]]&amp;" · ")-1)))</f>
        <v/>
      </c>
      <c r="H2453" s="40" t="str">
        <f>IF(tblMovimientos[[#This Row],[SKU]]="","",IFERROR(INDEX(tblProductos[Unidad],MATCH(tblMovimientos[[#This Row],[SKU]],tblProductos[SKU],0)),"?"))</f>
        <v/>
      </c>
      <c r="I2453" s="39"/>
      <c r="J2453" s="47" t="str">
        <f>IF(tblMovimientos[[#This Row],[Tipo]]="","",IFERROR(INDEX(tblTiposMov[FactorStock],MATCH(tblMovimientos[[#This Row],[Tipo]],tblTiposMov[Tipo],0)),0))</f>
        <v/>
      </c>
      <c r="K24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3" s="37"/>
      <c r="O2453" s="37"/>
      <c r="P2453" s="37"/>
    </row>
    <row r="2454" spans="2:16" x14ac:dyDescent="0.25">
      <c r="B24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4" s="46"/>
      <c r="D2454" s="37"/>
      <c r="E2454" s="37"/>
      <c r="F2454" s="37"/>
      <c r="G2454" s="40" t="str">
        <f>IF(tblMovimientos[[#This Row],[Producto]]="","",TRIM(LEFT(tblMovimientos[[#This Row],[Producto]],FIND(" · ",tblMovimientos[[#This Row],[Producto]]&amp;" · ")-1)))</f>
        <v/>
      </c>
      <c r="H2454" s="40" t="str">
        <f>IF(tblMovimientos[[#This Row],[SKU]]="","",IFERROR(INDEX(tblProductos[Unidad],MATCH(tblMovimientos[[#This Row],[SKU]],tblProductos[SKU],0)),"?"))</f>
        <v/>
      </c>
      <c r="I2454" s="39"/>
      <c r="J2454" s="47" t="str">
        <f>IF(tblMovimientos[[#This Row],[Tipo]]="","",IFERROR(INDEX(tblTiposMov[FactorStock],MATCH(tblMovimientos[[#This Row],[Tipo]],tblTiposMov[Tipo],0)),0))</f>
        <v/>
      </c>
      <c r="K24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4" s="37"/>
      <c r="O2454" s="37"/>
      <c r="P2454" s="37"/>
    </row>
    <row r="2455" spans="2:16" x14ac:dyDescent="0.25">
      <c r="B24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5" s="46"/>
      <c r="D2455" s="37"/>
      <c r="E2455" s="37"/>
      <c r="F2455" s="37"/>
      <c r="G2455" s="40" t="str">
        <f>IF(tblMovimientos[[#This Row],[Producto]]="","",TRIM(LEFT(tblMovimientos[[#This Row],[Producto]],FIND(" · ",tblMovimientos[[#This Row],[Producto]]&amp;" · ")-1)))</f>
        <v/>
      </c>
      <c r="H2455" s="40" t="str">
        <f>IF(tblMovimientos[[#This Row],[SKU]]="","",IFERROR(INDEX(tblProductos[Unidad],MATCH(tblMovimientos[[#This Row],[SKU]],tblProductos[SKU],0)),"?"))</f>
        <v/>
      </c>
      <c r="I2455" s="39"/>
      <c r="J2455" s="47" t="str">
        <f>IF(tblMovimientos[[#This Row],[Tipo]]="","",IFERROR(INDEX(tblTiposMov[FactorStock],MATCH(tblMovimientos[[#This Row],[Tipo]],tblTiposMov[Tipo],0)),0))</f>
        <v/>
      </c>
      <c r="K24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5" s="37"/>
      <c r="O2455" s="37"/>
      <c r="P2455" s="37"/>
    </row>
    <row r="2456" spans="2:16" x14ac:dyDescent="0.25">
      <c r="B24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6" s="46"/>
      <c r="D2456" s="37"/>
      <c r="E2456" s="37"/>
      <c r="F2456" s="37"/>
      <c r="G2456" s="40" t="str">
        <f>IF(tblMovimientos[[#This Row],[Producto]]="","",TRIM(LEFT(tblMovimientos[[#This Row],[Producto]],FIND(" · ",tblMovimientos[[#This Row],[Producto]]&amp;" · ")-1)))</f>
        <v/>
      </c>
      <c r="H2456" s="40" t="str">
        <f>IF(tblMovimientos[[#This Row],[SKU]]="","",IFERROR(INDEX(tblProductos[Unidad],MATCH(tblMovimientos[[#This Row],[SKU]],tblProductos[SKU],0)),"?"))</f>
        <v/>
      </c>
      <c r="I2456" s="39"/>
      <c r="J2456" s="47" t="str">
        <f>IF(tblMovimientos[[#This Row],[Tipo]]="","",IFERROR(INDEX(tblTiposMov[FactorStock],MATCH(tblMovimientos[[#This Row],[Tipo]],tblTiposMov[Tipo],0)),0))</f>
        <v/>
      </c>
      <c r="K24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6" s="37"/>
      <c r="O2456" s="37"/>
      <c r="P2456" s="37"/>
    </row>
    <row r="2457" spans="2:16" x14ac:dyDescent="0.25">
      <c r="B24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7" s="46"/>
      <c r="D2457" s="37"/>
      <c r="E2457" s="37"/>
      <c r="F2457" s="37"/>
      <c r="G2457" s="40" t="str">
        <f>IF(tblMovimientos[[#This Row],[Producto]]="","",TRIM(LEFT(tblMovimientos[[#This Row],[Producto]],FIND(" · ",tblMovimientos[[#This Row],[Producto]]&amp;" · ")-1)))</f>
        <v/>
      </c>
      <c r="H2457" s="40" t="str">
        <f>IF(tblMovimientos[[#This Row],[SKU]]="","",IFERROR(INDEX(tblProductos[Unidad],MATCH(tblMovimientos[[#This Row],[SKU]],tblProductos[SKU],0)),"?"))</f>
        <v/>
      </c>
      <c r="I2457" s="39"/>
      <c r="J2457" s="47" t="str">
        <f>IF(tblMovimientos[[#This Row],[Tipo]]="","",IFERROR(INDEX(tblTiposMov[FactorStock],MATCH(tblMovimientos[[#This Row],[Tipo]],tblTiposMov[Tipo],0)),0))</f>
        <v/>
      </c>
      <c r="K24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7" s="37"/>
      <c r="O2457" s="37"/>
      <c r="P2457" s="37"/>
    </row>
    <row r="2458" spans="2:16" x14ac:dyDescent="0.25">
      <c r="B24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8" s="46"/>
      <c r="D2458" s="37"/>
      <c r="E2458" s="37"/>
      <c r="F2458" s="37"/>
      <c r="G2458" s="40" t="str">
        <f>IF(tblMovimientos[[#This Row],[Producto]]="","",TRIM(LEFT(tblMovimientos[[#This Row],[Producto]],FIND(" · ",tblMovimientos[[#This Row],[Producto]]&amp;" · ")-1)))</f>
        <v/>
      </c>
      <c r="H2458" s="40" t="str">
        <f>IF(tblMovimientos[[#This Row],[SKU]]="","",IFERROR(INDEX(tblProductos[Unidad],MATCH(tblMovimientos[[#This Row],[SKU]],tblProductos[SKU],0)),"?"))</f>
        <v/>
      </c>
      <c r="I2458" s="39"/>
      <c r="J2458" s="47" t="str">
        <f>IF(tblMovimientos[[#This Row],[Tipo]]="","",IFERROR(INDEX(tblTiposMov[FactorStock],MATCH(tblMovimientos[[#This Row],[Tipo]],tblTiposMov[Tipo],0)),0))</f>
        <v/>
      </c>
      <c r="K24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8" s="37"/>
      <c r="O2458" s="37"/>
      <c r="P2458" s="37"/>
    </row>
    <row r="2459" spans="2:16" x14ac:dyDescent="0.25">
      <c r="B24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59" s="46"/>
      <c r="D2459" s="37"/>
      <c r="E2459" s="37"/>
      <c r="F2459" s="37"/>
      <c r="G2459" s="40" t="str">
        <f>IF(tblMovimientos[[#This Row],[Producto]]="","",TRIM(LEFT(tblMovimientos[[#This Row],[Producto]],FIND(" · ",tblMovimientos[[#This Row],[Producto]]&amp;" · ")-1)))</f>
        <v/>
      </c>
      <c r="H2459" s="40" t="str">
        <f>IF(tblMovimientos[[#This Row],[SKU]]="","",IFERROR(INDEX(tblProductos[Unidad],MATCH(tblMovimientos[[#This Row],[SKU]],tblProductos[SKU],0)),"?"))</f>
        <v/>
      </c>
      <c r="I2459" s="39"/>
      <c r="J2459" s="47" t="str">
        <f>IF(tblMovimientos[[#This Row],[Tipo]]="","",IFERROR(INDEX(tblTiposMov[FactorStock],MATCH(tblMovimientos[[#This Row],[Tipo]],tblTiposMov[Tipo],0)),0))</f>
        <v/>
      </c>
      <c r="K24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59" s="37"/>
      <c r="O2459" s="37"/>
      <c r="P2459" s="37"/>
    </row>
    <row r="2460" spans="2:16" x14ac:dyDescent="0.25">
      <c r="B24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0" s="46"/>
      <c r="D2460" s="37"/>
      <c r="E2460" s="37"/>
      <c r="F2460" s="37"/>
      <c r="G2460" s="40" t="str">
        <f>IF(tblMovimientos[[#This Row],[Producto]]="","",TRIM(LEFT(tblMovimientos[[#This Row],[Producto]],FIND(" · ",tblMovimientos[[#This Row],[Producto]]&amp;" · ")-1)))</f>
        <v/>
      </c>
      <c r="H2460" s="40" t="str">
        <f>IF(tblMovimientos[[#This Row],[SKU]]="","",IFERROR(INDEX(tblProductos[Unidad],MATCH(tblMovimientos[[#This Row],[SKU]],tblProductos[SKU],0)),"?"))</f>
        <v/>
      </c>
      <c r="I2460" s="39"/>
      <c r="J2460" s="47" t="str">
        <f>IF(tblMovimientos[[#This Row],[Tipo]]="","",IFERROR(INDEX(tblTiposMov[FactorStock],MATCH(tblMovimientos[[#This Row],[Tipo]],tblTiposMov[Tipo],0)),0))</f>
        <v/>
      </c>
      <c r="K24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0" s="37"/>
      <c r="O2460" s="37"/>
      <c r="P2460" s="37"/>
    </row>
    <row r="2461" spans="2:16" x14ac:dyDescent="0.25">
      <c r="B24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1" s="46"/>
      <c r="D2461" s="37"/>
      <c r="E2461" s="37"/>
      <c r="F2461" s="37"/>
      <c r="G2461" s="40" t="str">
        <f>IF(tblMovimientos[[#This Row],[Producto]]="","",TRIM(LEFT(tblMovimientos[[#This Row],[Producto]],FIND(" · ",tblMovimientos[[#This Row],[Producto]]&amp;" · ")-1)))</f>
        <v/>
      </c>
      <c r="H2461" s="40" t="str">
        <f>IF(tblMovimientos[[#This Row],[SKU]]="","",IFERROR(INDEX(tblProductos[Unidad],MATCH(tblMovimientos[[#This Row],[SKU]],tblProductos[SKU],0)),"?"))</f>
        <v/>
      </c>
      <c r="I2461" s="39"/>
      <c r="J2461" s="47" t="str">
        <f>IF(tblMovimientos[[#This Row],[Tipo]]="","",IFERROR(INDEX(tblTiposMov[FactorStock],MATCH(tblMovimientos[[#This Row],[Tipo]],tblTiposMov[Tipo],0)),0))</f>
        <v/>
      </c>
      <c r="K24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1" s="37"/>
      <c r="O2461" s="37"/>
      <c r="P2461" s="37"/>
    </row>
    <row r="2462" spans="2:16" x14ac:dyDescent="0.25">
      <c r="B24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2" s="46"/>
      <c r="D2462" s="37"/>
      <c r="E2462" s="37"/>
      <c r="F2462" s="37"/>
      <c r="G2462" s="40" t="str">
        <f>IF(tblMovimientos[[#This Row],[Producto]]="","",TRIM(LEFT(tblMovimientos[[#This Row],[Producto]],FIND(" · ",tblMovimientos[[#This Row],[Producto]]&amp;" · ")-1)))</f>
        <v/>
      </c>
      <c r="H2462" s="40" t="str">
        <f>IF(tblMovimientos[[#This Row],[SKU]]="","",IFERROR(INDEX(tblProductos[Unidad],MATCH(tblMovimientos[[#This Row],[SKU]],tblProductos[SKU],0)),"?"))</f>
        <v/>
      </c>
      <c r="I2462" s="39"/>
      <c r="J2462" s="47" t="str">
        <f>IF(tblMovimientos[[#This Row],[Tipo]]="","",IFERROR(INDEX(tblTiposMov[FactorStock],MATCH(tblMovimientos[[#This Row],[Tipo]],tblTiposMov[Tipo],0)),0))</f>
        <v/>
      </c>
      <c r="K24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2" s="37"/>
      <c r="O2462" s="37"/>
      <c r="P2462" s="37"/>
    </row>
    <row r="2463" spans="2:16" x14ac:dyDescent="0.25">
      <c r="B24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3" s="46"/>
      <c r="D2463" s="37"/>
      <c r="E2463" s="37"/>
      <c r="F2463" s="37"/>
      <c r="G2463" s="40" t="str">
        <f>IF(tblMovimientos[[#This Row],[Producto]]="","",TRIM(LEFT(tblMovimientos[[#This Row],[Producto]],FIND(" · ",tblMovimientos[[#This Row],[Producto]]&amp;" · ")-1)))</f>
        <v/>
      </c>
      <c r="H2463" s="40" t="str">
        <f>IF(tblMovimientos[[#This Row],[SKU]]="","",IFERROR(INDEX(tblProductos[Unidad],MATCH(tblMovimientos[[#This Row],[SKU]],tblProductos[SKU],0)),"?"))</f>
        <v/>
      </c>
      <c r="I2463" s="39"/>
      <c r="J2463" s="47" t="str">
        <f>IF(tblMovimientos[[#This Row],[Tipo]]="","",IFERROR(INDEX(tblTiposMov[FactorStock],MATCH(tblMovimientos[[#This Row],[Tipo]],tblTiposMov[Tipo],0)),0))</f>
        <v/>
      </c>
      <c r="K24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3" s="37"/>
      <c r="O2463" s="37"/>
      <c r="P2463" s="37"/>
    </row>
    <row r="2464" spans="2:16" x14ac:dyDescent="0.25">
      <c r="B24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4" s="46"/>
      <c r="D2464" s="37"/>
      <c r="E2464" s="37"/>
      <c r="F2464" s="37"/>
      <c r="G2464" s="40" t="str">
        <f>IF(tblMovimientos[[#This Row],[Producto]]="","",TRIM(LEFT(tblMovimientos[[#This Row],[Producto]],FIND(" · ",tblMovimientos[[#This Row],[Producto]]&amp;" · ")-1)))</f>
        <v/>
      </c>
      <c r="H2464" s="40" t="str">
        <f>IF(tblMovimientos[[#This Row],[SKU]]="","",IFERROR(INDEX(tblProductos[Unidad],MATCH(tblMovimientos[[#This Row],[SKU]],tblProductos[SKU],0)),"?"))</f>
        <v/>
      </c>
      <c r="I2464" s="39"/>
      <c r="J2464" s="47" t="str">
        <f>IF(tblMovimientos[[#This Row],[Tipo]]="","",IFERROR(INDEX(tblTiposMov[FactorStock],MATCH(tblMovimientos[[#This Row],[Tipo]],tblTiposMov[Tipo],0)),0))</f>
        <v/>
      </c>
      <c r="K24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4" s="37"/>
      <c r="O2464" s="37"/>
      <c r="P2464" s="37"/>
    </row>
    <row r="2465" spans="2:16" x14ac:dyDescent="0.25">
      <c r="B24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5" s="46"/>
      <c r="D2465" s="37"/>
      <c r="E2465" s="37"/>
      <c r="F2465" s="37"/>
      <c r="G2465" s="40" t="str">
        <f>IF(tblMovimientos[[#This Row],[Producto]]="","",TRIM(LEFT(tblMovimientos[[#This Row],[Producto]],FIND(" · ",tblMovimientos[[#This Row],[Producto]]&amp;" · ")-1)))</f>
        <v/>
      </c>
      <c r="H2465" s="40" t="str">
        <f>IF(tblMovimientos[[#This Row],[SKU]]="","",IFERROR(INDEX(tblProductos[Unidad],MATCH(tblMovimientos[[#This Row],[SKU]],tblProductos[SKU],0)),"?"))</f>
        <v/>
      </c>
      <c r="I2465" s="39"/>
      <c r="J2465" s="47" t="str">
        <f>IF(tblMovimientos[[#This Row],[Tipo]]="","",IFERROR(INDEX(tblTiposMov[FactorStock],MATCH(tblMovimientos[[#This Row],[Tipo]],tblTiposMov[Tipo],0)),0))</f>
        <v/>
      </c>
      <c r="K24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5" s="37"/>
      <c r="O2465" s="37"/>
      <c r="P2465" s="37"/>
    </row>
    <row r="2466" spans="2:16" x14ac:dyDescent="0.25">
      <c r="B24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6" s="46"/>
      <c r="D2466" s="37"/>
      <c r="E2466" s="37"/>
      <c r="F2466" s="37"/>
      <c r="G2466" s="40" t="str">
        <f>IF(tblMovimientos[[#This Row],[Producto]]="","",TRIM(LEFT(tblMovimientos[[#This Row],[Producto]],FIND(" · ",tblMovimientos[[#This Row],[Producto]]&amp;" · ")-1)))</f>
        <v/>
      </c>
      <c r="H2466" s="40" t="str">
        <f>IF(tblMovimientos[[#This Row],[SKU]]="","",IFERROR(INDEX(tblProductos[Unidad],MATCH(tblMovimientos[[#This Row],[SKU]],tblProductos[SKU],0)),"?"))</f>
        <v/>
      </c>
      <c r="I2466" s="39"/>
      <c r="J2466" s="47" t="str">
        <f>IF(tblMovimientos[[#This Row],[Tipo]]="","",IFERROR(INDEX(tblTiposMov[FactorStock],MATCH(tblMovimientos[[#This Row],[Tipo]],tblTiposMov[Tipo],0)),0))</f>
        <v/>
      </c>
      <c r="K24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6" s="37"/>
      <c r="O2466" s="37"/>
      <c r="P2466" s="37"/>
    </row>
    <row r="2467" spans="2:16" x14ac:dyDescent="0.25">
      <c r="B24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7" s="46"/>
      <c r="D2467" s="37"/>
      <c r="E2467" s="37"/>
      <c r="F2467" s="37"/>
      <c r="G2467" s="40" t="str">
        <f>IF(tblMovimientos[[#This Row],[Producto]]="","",TRIM(LEFT(tblMovimientos[[#This Row],[Producto]],FIND(" · ",tblMovimientos[[#This Row],[Producto]]&amp;" · ")-1)))</f>
        <v/>
      </c>
      <c r="H2467" s="40" t="str">
        <f>IF(tblMovimientos[[#This Row],[SKU]]="","",IFERROR(INDEX(tblProductos[Unidad],MATCH(tblMovimientos[[#This Row],[SKU]],tblProductos[SKU],0)),"?"))</f>
        <v/>
      </c>
      <c r="I2467" s="39"/>
      <c r="J2467" s="47" t="str">
        <f>IF(tblMovimientos[[#This Row],[Tipo]]="","",IFERROR(INDEX(tblTiposMov[FactorStock],MATCH(tblMovimientos[[#This Row],[Tipo]],tblTiposMov[Tipo],0)),0))</f>
        <v/>
      </c>
      <c r="K24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7" s="37"/>
      <c r="O2467" s="37"/>
      <c r="P2467" s="37"/>
    </row>
    <row r="2468" spans="2:16" x14ac:dyDescent="0.25">
      <c r="B24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8" s="46"/>
      <c r="D2468" s="37"/>
      <c r="E2468" s="37"/>
      <c r="F2468" s="37"/>
      <c r="G2468" s="40" t="str">
        <f>IF(tblMovimientos[[#This Row],[Producto]]="","",TRIM(LEFT(tblMovimientos[[#This Row],[Producto]],FIND(" · ",tblMovimientos[[#This Row],[Producto]]&amp;" · ")-1)))</f>
        <v/>
      </c>
      <c r="H2468" s="40" t="str">
        <f>IF(tblMovimientos[[#This Row],[SKU]]="","",IFERROR(INDEX(tblProductos[Unidad],MATCH(tblMovimientos[[#This Row],[SKU]],tblProductos[SKU],0)),"?"))</f>
        <v/>
      </c>
      <c r="I2468" s="39"/>
      <c r="J2468" s="47" t="str">
        <f>IF(tblMovimientos[[#This Row],[Tipo]]="","",IFERROR(INDEX(tblTiposMov[FactorStock],MATCH(tblMovimientos[[#This Row],[Tipo]],tblTiposMov[Tipo],0)),0))</f>
        <v/>
      </c>
      <c r="K24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8" s="37"/>
      <c r="O2468" s="37"/>
      <c r="P2468" s="37"/>
    </row>
    <row r="2469" spans="2:16" x14ac:dyDescent="0.25">
      <c r="B24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69" s="46"/>
      <c r="D2469" s="37"/>
      <c r="E2469" s="37"/>
      <c r="F2469" s="37"/>
      <c r="G2469" s="40" t="str">
        <f>IF(tblMovimientos[[#This Row],[Producto]]="","",TRIM(LEFT(tblMovimientos[[#This Row],[Producto]],FIND(" · ",tblMovimientos[[#This Row],[Producto]]&amp;" · ")-1)))</f>
        <v/>
      </c>
      <c r="H2469" s="40" t="str">
        <f>IF(tblMovimientos[[#This Row],[SKU]]="","",IFERROR(INDEX(tblProductos[Unidad],MATCH(tblMovimientos[[#This Row],[SKU]],tblProductos[SKU],0)),"?"))</f>
        <v/>
      </c>
      <c r="I2469" s="39"/>
      <c r="J2469" s="47" t="str">
        <f>IF(tblMovimientos[[#This Row],[Tipo]]="","",IFERROR(INDEX(tblTiposMov[FactorStock],MATCH(tblMovimientos[[#This Row],[Tipo]],tblTiposMov[Tipo],0)),0))</f>
        <v/>
      </c>
      <c r="K24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69" s="37"/>
      <c r="O2469" s="37"/>
      <c r="P2469" s="37"/>
    </row>
    <row r="2470" spans="2:16" x14ac:dyDescent="0.25">
      <c r="B24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0" s="46"/>
      <c r="D2470" s="37"/>
      <c r="E2470" s="37"/>
      <c r="F2470" s="37"/>
      <c r="G2470" s="40" t="str">
        <f>IF(tblMovimientos[[#This Row],[Producto]]="","",TRIM(LEFT(tblMovimientos[[#This Row],[Producto]],FIND(" · ",tblMovimientos[[#This Row],[Producto]]&amp;" · ")-1)))</f>
        <v/>
      </c>
      <c r="H2470" s="40" t="str">
        <f>IF(tblMovimientos[[#This Row],[SKU]]="","",IFERROR(INDEX(tblProductos[Unidad],MATCH(tblMovimientos[[#This Row],[SKU]],tblProductos[SKU],0)),"?"))</f>
        <v/>
      </c>
      <c r="I2470" s="39"/>
      <c r="J2470" s="47" t="str">
        <f>IF(tblMovimientos[[#This Row],[Tipo]]="","",IFERROR(INDEX(tblTiposMov[FactorStock],MATCH(tblMovimientos[[#This Row],[Tipo]],tblTiposMov[Tipo],0)),0))</f>
        <v/>
      </c>
      <c r="K24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0" s="37"/>
      <c r="O2470" s="37"/>
      <c r="P2470" s="37"/>
    </row>
    <row r="2471" spans="2:16" x14ac:dyDescent="0.25">
      <c r="B24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1" s="46"/>
      <c r="D2471" s="37"/>
      <c r="E2471" s="37"/>
      <c r="F2471" s="37"/>
      <c r="G2471" s="40" t="str">
        <f>IF(tblMovimientos[[#This Row],[Producto]]="","",TRIM(LEFT(tblMovimientos[[#This Row],[Producto]],FIND(" · ",tblMovimientos[[#This Row],[Producto]]&amp;" · ")-1)))</f>
        <v/>
      </c>
      <c r="H2471" s="40" t="str">
        <f>IF(tblMovimientos[[#This Row],[SKU]]="","",IFERROR(INDEX(tblProductos[Unidad],MATCH(tblMovimientos[[#This Row],[SKU]],tblProductos[SKU],0)),"?"))</f>
        <v/>
      </c>
      <c r="I2471" s="39"/>
      <c r="J2471" s="47" t="str">
        <f>IF(tblMovimientos[[#This Row],[Tipo]]="","",IFERROR(INDEX(tblTiposMov[FactorStock],MATCH(tblMovimientos[[#This Row],[Tipo]],tblTiposMov[Tipo],0)),0))</f>
        <v/>
      </c>
      <c r="K24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1" s="37"/>
      <c r="O2471" s="37"/>
      <c r="P2471" s="37"/>
    </row>
    <row r="2472" spans="2:16" x14ac:dyDescent="0.25">
      <c r="B24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2" s="46"/>
      <c r="D2472" s="37"/>
      <c r="E2472" s="37"/>
      <c r="F2472" s="37"/>
      <c r="G2472" s="40" t="str">
        <f>IF(tblMovimientos[[#This Row],[Producto]]="","",TRIM(LEFT(tblMovimientos[[#This Row],[Producto]],FIND(" · ",tblMovimientos[[#This Row],[Producto]]&amp;" · ")-1)))</f>
        <v/>
      </c>
      <c r="H2472" s="40" t="str">
        <f>IF(tblMovimientos[[#This Row],[SKU]]="","",IFERROR(INDEX(tblProductos[Unidad],MATCH(tblMovimientos[[#This Row],[SKU]],tblProductos[SKU],0)),"?"))</f>
        <v/>
      </c>
      <c r="I2472" s="39"/>
      <c r="J2472" s="47" t="str">
        <f>IF(tblMovimientos[[#This Row],[Tipo]]="","",IFERROR(INDEX(tblTiposMov[FactorStock],MATCH(tblMovimientos[[#This Row],[Tipo]],tblTiposMov[Tipo],0)),0))</f>
        <v/>
      </c>
      <c r="K24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2" s="37"/>
      <c r="O2472" s="37"/>
      <c r="P2472" s="37"/>
    </row>
    <row r="2473" spans="2:16" x14ac:dyDescent="0.25">
      <c r="B24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3" s="46"/>
      <c r="D2473" s="37"/>
      <c r="E2473" s="37"/>
      <c r="F2473" s="37"/>
      <c r="G2473" s="40" t="str">
        <f>IF(tblMovimientos[[#This Row],[Producto]]="","",TRIM(LEFT(tblMovimientos[[#This Row],[Producto]],FIND(" · ",tblMovimientos[[#This Row],[Producto]]&amp;" · ")-1)))</f>
        <v/>
      </c>
      <c r="H2473" s="40" t="str">
        <f>IF(tblMovimientos[[#This Row],[SKU]]="","",IFERROR(INDEX(tblProductos[Unidad],MATCH(tblMovimientos[[#This Row],[SKU]],tblProductos[SKU],0)),"?"))</f>
        <v/>
      </c>
      <c r="I2473" s="39"/>
      <c r="J2473" s="47" t="str">
        <f>IF(tblMovimientos[[#This Row],[Tipo]]="","",IFERROR(INDEX(tblTiposMov[FactorStock],MATCH(tblMovimientos[[#This Row],[Tipo]],tblTiposMov[Tipo],0)),0))</f>
        <v/>
      </c>
      <c r="K24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3" s="37"/>
      <c r="O2473" s="37"/>
      <c r="P2473" s="37"/>
    </row>
    <row r="2474" spans="2:16" x14ac:dyDescent="0.25">
      <c r="B24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4" s="46"/>
      <c r="D2474" s="37"/>
      <c r="E2474" s="37"/>
      <c r="F2474" s="37"/>
      <c r="G2474" s="40" t="str">
        <f>IF(tblMovimientos[[#This Row],[Producto]]="","",TRIM(LEFT(tblMovimientos[[#This Row],[Producto]],FIND(" · ",tblMovimientos[[#This Row],[Producto]]&amp;" · ")-1)))</f>
        <v/>
      </c>
      <c r="H2474" s="40" t="str">
        <f>IF(tblMovimientos[[#This Row],[SKU]]="","",IFERROR(INDEX(tblProductos[Unidad],MATCH(tblMovimientos[[#This Row],[SKU]],tblProductos[SKU],0)),"?"))</f>
        <v/>
      </c>
      <c r="I2474" s="39"/>
      <c r="J2474" s="47" t="str">
        <f>IF(tblMovimientos[[#This Row],[Tipo]]="","",IFERROR(INDEX(tblTiposMov[FactorStock],MATCH(tblMovimientos[[#This Row],[Tipo]],tblTiposMov[Tipo],0)),0))</f>
        <v/>
      </c>
      <c r="K24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4" s="37"/>
      <c r="O2474" s="37"/>
      <c r="P2474" s="37"/>
    </row>
    <row r="2475" spans="2:16" x14ac:dyDescent="0.25">
      <c r="B24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5" s="46"/>
      <c r="D2475" s="37"/>
      <c r="E2475" s="37"/>
      <c r="F2475" s="37"/>
      <c r="G2475" s="40" t="str">
        <f>IF(tblMovimientos[[#This Row],[Producto]]="","",TRIM(LEFT(tblMovimientos[[#This Row],[Producto]],FIND(" · ",tblMovimientos[[#This Row],[Producto]]&amp;" · ")-1)))</f>
        <v/>
      </c>
      <c r="H2475" s="40" t="str">
        <f>IF(tblMovimientos[[#This Row],[SKU]]="","",IFERROR(INDEX(tblProductos[Unidad],MATCH(tblMovimientos[[#This Row],[SKU]],tblProductos[SKU],0)),"?"))</f>
        <v/>
      </c>
      <c r="I2475" s="39"/>
      <c r="J2475" s="47" t="str">
        <f>IF(tblMovimientos[[#This Row],[Tipo]]="","",IFERROR(INDEX(tblTiposMov[FactorStock],MATCH(tblMovimientos[[#This Row],[Tipo]],tblTiposMov[Tipo],0)),0))</f>
        <v/>
      </c>
      <c r="K24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5" s="37"/>
      <c r="O2475" s="37"/>
      <c r="P2475" s="37"/>
    </row>
    <row r="2476" spans="2:16" x14ac:dyDescent="0.25">
      <c r="B24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6" s="46"/>
      <c r="D2476" s="37"/>
      <c r="E2476" s="37"/>
      <c r="F2476" s="37"/>
      <c r="G2476" s="40" t="str">
        <f>IF(tblMovimientos[[#This Row],[Producto]]="","",TRIM(LEFT(tblMovimientos[[#This Row],[Producto]],FIND(" · ",tblMovimientos[[#This Row],[Producto]]&amp;" · ")-1)))</f>
        <v/>
      </c>
      <c r="H2476" s="40" t="str">
        <f>IF(tblMovimientos[[#This Row],[SKU]]="","",IFERROR(INDEX(tblProductos[Unidad],MATCH(tblMovimientos[[#This Row],[SKU]],tblProductos[SKU],0)),"?"))</f>
        <v/>
      </c>
      <c r="I2476" s="39"/>
      <c r="J2476" s="47" t="str">
        <f>IF(tblMovimientos[[#This Row],[Tipo]]="","",IFERROR(INDEX(tblTiposMov[FactorStock],MATCH(tblMovimientos[[#This Row],[Tipo]],tblTiposMov[Tipo],0)),0))</f>
        <v/>
      </c>
      <c r="K24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6" s="37"/>
      <c r="O2476" s="37"/>
      <c r="P2476" s="37"/>
    </row>
    <row r="2477" spans="2:16" x14ac:dyDescent="0.25">
      <c r="B24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7" s="46"/>
      <c r="D2477" s="37"/>
      <c r="E2477" s="37"/>
      <c r="F2477" s="37"/>
      <c r="G2477" s="40" t="str">
        <f>IF(tblMovimientos[[#This Row],[Producto]]="","",TRIM(LEFT(tblMovimientos[[#This Row],[Producto]],FIND(" · ",tblMovimientos[[#This Row],[Producto]]&amp;" · ")-1)))</f>
        <v/>
      </c>
      <c r="H2477" s="40" t="str">
        <f>IF(tblMovimientos[[#This Row],[SKU]]="","",IFERROR(INDEX(tblProductos[Unidad],MATCH(tblMovimientos[[#This Row],[SKU]],tblProductos[SKU],0)),"?"))</f>
        <v/>
      </c>
      <c r="I2477" s="39"/>
      <c r="J2477" s="47" t="str">
        <f>IF(tblMovimientos[[#This Row],[Tipo]]="","",IFERROR(INDEX(tblTiposMov[FactorStock],MATCH(tblMovimientos[[#This Row],[Tipo]],tblTiposMov[Tipo],0)),0))</f>
        <v/>
      </c>
      <c r="K24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7" s="37"/>
      <c r="O2477" s="37"/>
      <c r="P2477" s="37"/>
    </row>
    <row r="2478" spans="2:16" x14ac:dyDescent="0.25">
      <c r="B24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8" s="46"/>
      <c r="D2478" s="37"/>
      <c r="E2478" s="37"/>
      <c r="F2478" s="37"/>
      <c r="G2478" s="40" t="str">
        <f>IF(tblMovimientos[[#This Row],[Producto]]="","",TRIM(LEFT(tblMovimientos[[#This Row],[Producto]],FIND(" · ",tblMovimientos[[#This Row],[Producto]]&amp;" · ")-1)))</f>
        <v/>
      </c>
      <c r="H2478" s="40" t="str">
        <f>IF(tblMovimientos[[#This Row],[SKU]]="","",IFERROR(INDEX(tblProductos[Unidad],MATCH(tblMovimientos[[#This Row],[SKU]],tblProductos[SKU],0)),"?"))</f>
        <v/>
      </c>
      <c r="I2478" s="39"/>
      <c r="J2478" s="47" t="str">
        <f>IF(tblMovimientos[[#This Row],[Tipo]]="","",IFERROR(INDEX(tblTiposMov[FactorStock],MATCH(tblMovimientos[[#This Row],[Tipo]],tblTiposMov[Tipo],0)),0))</f>
        <v/>
      </c>
      <c r="K24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8" s="37"/>
      <c r="O2478" s="37"/>
      <c r="P2478" s="37"/>
    </row>
    <row r="2479" spans="2:16" x14ac:dyDescent="0.25">
      <c r="B24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79" s="46"/>
      <c r="D2479" s="37"/>
      <c r="E2479" s="37"/>
      <c r="F2479" s="37"/>
      <c r="G2479" s="40" t="str">
        <f>IF(tblMovimientos[[#This Row],[Producto]]="","",TRIM(LEFT(tblMovimientos[[#This Row],[Producto]],FIND(" · ",tblMovimientos[[#This Row],[Producto]]&amp;" · ")-1)))</f>
        <v/>
      </c>
      <c r="H2479" s="40" t="str">
        <f>IF(tblMovimientos[[#This Row],[SKU]]="","",IFERROR(INDEX(tblProductos[Unidad],MATCH(tblMovimientos[[#This Row],[SKU]],tblProductos[SKU],0)),"?"))</f>
        <v/>
      </c>
      <c r="I2479" s="39"/>
      <c r="J2479" s="47" t="str">
        <f>IF(tblMovimientos[[#This Row],[Tipo]]="","",IFERROR(INDEX(tblTiposMov[FactorStock],MATCH(tblMovimientos[[#This Row],[Tipo]],tblTiposMov[Tipo],0)),0))</f>
        <v/>
      </c>
      <c r="K24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79" s="37"/>
      <c r="O2479" s="37"/>
      <c r="P2479" s="37"/>
    </row>
    <row r="2480" spans="2:16" x14ac:dyDescent="0.25">
      <c r="B24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0" s="46"/>
      <c r="D2480" s="37"/>
      <c r="E2480" s="37"/>
      <c r="F2480" s="37"/>
      <c r="G2480" s="40" t="str">
        <f>IF(tblMovimientos[[#This Row],[Producto]]="","",TRIM(LEFT(tblMovimientos[[#This Row],[Producto]],FIND(" · ",tblMovimientos[[#This Row],[Producto]]&amp;" · ")-1)))</f>
        <v/>
      </c>
      <c r="H2480" s="40" t="str">
        <f>IF(tblMovimientos[[#This Row],[SKU]]="","",IFERROR(INDEX(tblProductos[Unidad],MATCH(tblMovimientos[[#This Row],[SKU]],tblProductos[SKU],0)),"?"))</f>
        <v/>
      </c>
      <c r="I2480" s="39"/>
      <c r="J2480" s="47" t="str">
        <f>IF(tblMovimientos[[#This Row],[Tipo]]="","",IFERROR(INDEX(tblTiposMov[FactorStock],MATCH(tblMovimientos[[#This Row],[Tipo]],tblTiposMov[Tipo],0)),0))</f>
        <v/>
      </c>
      <c r="K24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0" s="37"/>
      <c r="O2480" s="37"/>
      <c r="P2480" s="37"/>
    </row>
    <row r="2481" spans="2:16" x14ac:dyDescent="0.25">
      <c r="B24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1" s="46"/>
      <c r="D2481" s="37"/>
      <c r="E2481" s="37"/>
      <c r="F2481" s="37"/>
      <c r="G2481" s="40" t="str">
        <f>IF(tblMovimientos[[#This Row],[Producto]]="","",TRIM(LEFT(tblMovimientos[[#This Row],[Producto]],FIND(" · ",tblMovimientos[[#This Row],[Producto]]&amp;" · ")-1)))</f>
        <v/>
      </c>
      <c r="H2481" s="40" t="str">
        <f>IF(tblMovimientos[[#This Row],[SKU]]="","",IFERROR(INDEX(tblProductos[Unidad],MATCH(tblMovimientos[[#This Row],[SKU]],tblProductos[SKU],0)),"?"))</f>
        <v/>
      </c>
      <c r="I2481" s="39"/>
      <c r="J2481" s="47" t="str">
        <f>IF(tblMovimientos[[#This Row],[Tipo]]="","",IFERROR(INDEX(tblTiposMov[FactorStock],MATCH(tblMovimientos[[#This Row],[Tipo]],tblTiposMov[Tipo],0)),0))</f>
        <v/>
      </c>
      <c r="K24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1" s="37"/>
      <c r="O2481" s="37"/>
      <c r="P2481" s="37"/>
    </row>
    <row r="2482" spans="2:16" x14ac:dyDescent="0.25">
      <c r="B24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2" s="46"/>
      <c r="D2482" s="37"/>
      <c r="E2482" s="37"/>
      <c r="F2482" s="37"/>
      <c r="G2482" s="40" t="str">
        <f>IF(tblMovimientos[[#This Row],[Producto]]="","",TRIM(LEFT(tblMovimientos[[#This Row],[Producto]],FIND(" · ",tblMovimientos[[#This Row],[Producto]]&amp;" · ")-1)))</f>
        <v/>
      </c>
      <c r="H2482" s="40" t="str">
        <f>IF(tblMovimientos[[#This Row],[SKU]]="","",IFERROR(INDEX(tblProductos[Unidad],MATCH(tblMovimientos[[#This Row],[SKU]],tblProductos[SKU],0)),"?"))</f>
        <v/>
      </c>
      <c r="I2482" s="39"/>
      <c r="J2482" s="47" t="str">
        <f>IF(tblMovimientos[[#This Row],[Tipo]]="","",IFERROR(INDEX(tblTiposMov[FactorStock],MATCH(tblMovimientos[[#This Row],[Tipo]],tblTiposMov[Tipo],0)),0))</f>
        <v/>
      </c>
      <c r="K24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2" s="37"/>
      <c r="O2482" s="37"/>
      <c r="P2482" s="37"/>
    </row>
    <row r="2483" spans="2:16" x14ac:dyDescent="0.25">
      <c r="B24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3" s="46"/>
      <c r="D2483" s="37"/>
      <c r="E2483" s="37"/>
      <c r="F2483" s="37"/>
      <c r="G2483" s="40" t="str">
        <f>IF(tblMovimientos[[#This Row],[Producto]]="","",TRIM(LEFT(tblMovimientos[[#This Row],[Producto]],FIND(" · ",tblMovimientos[[#This Row],[Producto]]&amp;" · ")-1)))</f>
        <v/>
      </c>
      <c r="H2483" s="40" t="str">
        <f>IF(tblMovimientos[[#This Row],[SKU]]="","",IFERROR(INDEX(tblProductos[Unidad],MATCH(tblMovimientos[[#This Row],[SKU]],tblProductos[SKU],0)),"?"))</f>
        <v/>
      </c>
      <c r="I2483" s="39"/>
      <c r="J2483" s="47" t="str">
        <f>IF(tblMovimientos[[#This Row],[Tipo]]="","",IFERROR(INDEX(tblTiposMov[FactorStock],MATCH(tblMovimientos[[#This Row],[Tipo]],tblTiposMov[Tipo],0)),0))</f>
        <v/>
      </c>
      <c r="K24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3" s="37"/>
      <c r="O2483" s="37"/>
      <c r="P2483" s="37"/>
    </row>
    <row r="2484" spans="2:16" x14ac:dyDescent="0.25">
      <c r="B24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4" s="46"/>
      <c r="D2484" s="37"/>
      <c r="E2484" s="37"/>
      <c r="F2484" s="37"/>
      <c r="G2484" s="40" t="str">
        <f>IF(tblMovimientos[[#This Row],[Producto]]="","",TRIM(LEFT(tblMovimientos[[#This Row],[Producto]],FIND(" · ",tblMovimientos[[#This Row],[Producto]]&amp;" · ")-1)))</f>
        <v/>
      </c>
      <c r="H2484" s="40" t="str">
        <f>IF(tblMovimientos[[#This Row],[SKU]]="","",IFERROR(INDEX(tblProductos[Unidad],MATCH(tblMovimientos[[#This Row],[SKU]],tblProductos[SKU],0)),"?"))</f>
        <v/>
      </c>
      <c r="I2484" s="39"/>
      <c r="J2484" s="47" t="str">
        <f>IF(tblMovimientos[[#This Row],[Tipo]]="","",IFERROR(INDEX(tblTiposMov[FactorStock],MATCH(tblMovimientos[[#This Row],[Tipo]],tblTiposMov[Tipo],0)),0))</f>
        <v/>
      </c>
      <c r="K24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4" s="37"/>
      <c r="O2484" s="37"/>
      <c r="P2484" s="37"/>
    </row>
    <row r="2485" spans="2:16" x14ac:dyDescent="0.25">
      <c r="B24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5" s="46"/>
      <c r="D2485" s="37"/>
      <c r="E2485" s="37"/>
      <c r="F2485" s="37"/>
      <c r="G2485" s="40" t="str">
        <f>IF(tblMovimientos[[#This Row],[Producto]]="","",TRIM(LEFT(tblMovimientos[[#This Row],[Producto]],FIND(" · ",tblMovimientos[[#This Row],[Producto]]&amp;" · ")-1)))</f>
        <v/>
      </c>
      <c r="H2485" s="40" t="str">
        <f>IF(tblMovimientos[[#This Row],[SKU]]="","",IFERROR(INDEX(tblProductos[Unidad],MATCH(tblMovimientos[[#This Row],[SKU]],tblProductos[SKU],0)),"?"))</f>
        <v/>
      </c>
      <c r="I2485" s="39"/>
      <c r="J2485" s="47" t="str">
        <f>IF(tblMovimientos[[#This Row],[Tipo]]="","",IFERROR(INDEX(tblTiposMov[FactorStock],MATCH(tblMovimientos[[#This Row],[Tipo]],tblTiposMov[Tipo],0)),0))</f>
        <v/>
      </c>
      <c r="K24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5" s="37"/>
      <c r="O2485" s="37"/>
      <c r="P2485" s="37"/>
    </row>
    <row r="2486" spans="2:16" x14ac:dyDescent="0.25">
      <c r="B24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6" s="46"/>
      <c r="D2486" s="37"/>
      <c r="E2486" s="37"/>
      <c r="F2486" s="37"/>
      <c r="G2486" s="40" t="str">
        <f>IF(tblMovimientos[[#This Row],[Producto]]="","",TRIM(LEFT(tblMovimientos[[#This Row],[Producto]],FIND(" · ",tblMovimientos[[#This Row],[Producto]]&amp;" · ")-1)))</f>
        <v/>
      </c>
      <c r="H2486" s="40" t="str">
        <f>IF(tblMovimientos[[#This Row],[SKU]]="","",IFERROR(INDEX(tblProductos[Unidad],MATCH(tblMovimientos[[#This Row],[SKU]],tblProductos[SKU],0)),"?"))</f>
        <v/>
      </c>
      <c r="I2486" s="39"/>
      <c r="J2486" s="47" t="str">
        <f>IF(tblMovimientos[[#This Row],[Tipo]]="","",IFERROR(INDEX(tblTiposMov[FactorStock],MATCH(tblMovimientos[[#This Row],[Tipo]],tblTiposMov[Tipo],0)),0))</f>
        <v/>
      </c>
      <c r="K24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6" s="37"/>
      <c r="O2486" s="37"/>
      <c r="P2486" s="37"/>
    </row>
    <row r="2487" spans="2:16" x14ac:dyDescent="0.25">
      <c r="B24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7" s="46"/>
      <c r="D2487" s="37"/>
      <c r="E2487" s="37"/>
      <c r="F2487" s="37"/>
      <c r="G2487" s="40" t="str">
        <f>IF(tblMovimientos[[#This Row],[Producto]]="","",TRIM(LEFT(tblMovimientos[[#This Row],[Producto]],FIND(" · ",tblMovimientos[[#This Row],[Producto]]&amp;" · ")-1)))</f>
        <v/>
      </c>
      <c r="H2487" s="40" t="str">
        <f>IF(tblMovimientos[[#This Row],[SKU]]="","",IFERROR(INDEX(tblProductos[Unidad],MATCH(tblMovimientos[[#This Row],[SKU]],tblProductos[SKU],0)),"?"))</f>
        <v/>
      </c>
      <c r="I2487" s="39"/>
      <c r="J2487" s="47" t="str">
        <f>IF(tblMovimientos[[#This Row],[Tipo]]="","",IFERROR(INDEX(tblTiposMov[FactorStock],MATCH(tblMovimientos[[#This Row],[Tipo]],tblTiposMov[Tipo],0)),0))</f>
        <v/>
      </c>
      <c r="K24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7" s="37"/>
      <c r="O2487" s="37"/>
      <c r="P2487" s="37"/>
    </row>
    <row r="2488" spans="2:16" x14ac:dyDescent="0.25">
      <c r="B24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8" s="46"/>
      <c r="D2488" s="37"/>
      <c r="E2488" s="37"/>
      <c r="F2488" s="37"/>
      <c r="G2488" s="40" t="str">
        <f>IF(tblMovimientos[[#This Row],[Producto]]="","",TRIM(LEFT(tblMovimientos[[#This Row],[Producto]],FIND(" · ",tblMovimientos[[#This Row],[Producto]]&amp;" · ")-1)))</f>
        <v/>
      </c>
      <c r="H2488" s="40" t="str">
        <f>IF(tblMovimientos[[#This Row],[SKU]]="","",IFERROR(INDEX(tblProductos[Unidad],MATCH(tblMovimientos[[#This Row],[SKU]],tblProductos[SKU],0)),"?"))</f>
        <v/>
      </c>
      <c r="I2488" s="39"/>
      <c r="J2488" s="47" t="str">
        <f>IF(tblMovimientos[[#This Row],[Tipo]]="","",IFERROR(INDEX(tblTiposMov[FactorStock],MATCH(tblMovimientos[[#This Row],[Tipo]],tblTiposMov[Tipo],0)),0))</f>
        <v/>
      </c>
      <c r="K24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8" s="37"/>
      <c r="O2488" s="37"/>
      <c r="P2488" s="37"/>
    </row>
    <row r="2489" spans="2:16" x14ac:dyDescent="0.25">
      <c r="B24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89" s="46"/>
      <c r="D2489" s="37"/>
      <c r="E2489" s="37"/>
      <c r="F2489" s="37"/>
      <c r="G2489" s="40" t="str">
        <f>IF(tblMovimientos[[#This Row],[Producto]]="","",TRIM(LEFT(tblMovimientos[[#This Row],[Producto]],FIND(" · ",tblMovimientos[[#This Row],[Producto]]&amp;" · ")-1)))</f>
        <v/>
      </c>
      <c r="H2489" s="40" t="str">
        <f>IF(tblMovimientos[[#This Row],[SKU]]="","",IFERROR(INDEX(tblProductos[Unidad],MATCH(tblMovimientos[[#This Row],[SKU]],tblProductos[SKU],0)),"?"))</f>
        <v/>
      </c>
      <c r="I2489" s="39"/>
      <c r="J2489" s="47" t="str">
        <f>IF(tblMovimientos[[#This Row],[Tipo]]="","",IFERROR(INDEX(tblTiposMov[FactorStock],MATCH(tblMovimientos[[#This Row],[Tipo]],tblTiposMov[Tipo],0)),0))</f>
        <v/>
      </c>
      <c r="K24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89" s="37"/>
      <c r="O2489" s="37"/>
      <c r="P2489" s="37"/>
    </row>
    <row r="2490" spans="2:16" x14ac:dyDescent="0.25">
      <c r="B24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0" s="46"/>
      <c r="D2490" s="37"/>
      <c r="E2490" s="37"/>
      <c r="F2490" s="37"/>
      <c r="G2490" s="40" t="str">
        <f>IF(tblMovimientos[[#This Row],[Producto]]="","",TRIM(LEFT(tblMovimientos[[#This Row],[Producto]],FIND(" · ",tblMovimientos[[#This Row],[Producto]]&amp;" · ")-1)))</f>
        <v/>
      </c>
      <c r="H2490" s="40" t="str">
        <f>IF(tblMovimientos[[#This Row],[SKU]]="","",IFERROR(INDEX(tblProductos[Unidad],MATCH(tblMovimientos[[#This Row],[SKU]],tblProductos[SKU],0)),"?"))</f>
        <v/>
      </c>
      <c r="I2490" s="39"/>
      <c r="J2490" s="47" t="str">
        <f>IF(tblMovimientos[[#This Row],[Tipo]]="","",IFERROR(INDEX(tblTiposMov[FactorStock],MATCH(tblMovimientos[[#This Row],[Tipo]],tblTiposMov[Tipo],0)),0))</f>
        <v/>
      </c>
      <c r="K24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0" s="37"/>
      <c r="O2490" s="37"/>
      <c r="P2490" s="37"/>
    </row>
    <row r="2491" spans="2:16" x14ac:dyDescent="0.25">
      <c r="B24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1" s="46"/>
      <c r="D2491" s="37"/>
      <c r="E2491" s="37"/>
      <c r="F2491" s="37"/>
      <c r="G2491" s="40" t="str">
        <f>IF(tblMovimientos[[#This Row],[Producto]]="","",TRIM(LEFT(tblMovimientos[[#This Row],[Producto]],FIND(" · ",tblMovimientos[[#This Row],[Producto]]&amp;" · ")-1)))</f>
        <v/>
      </c>
      <c r="H2491" s="40" t="str">
        <f>IF(tblMovimientos[[#This Row],[SKU]]="","",IFERROR(INDEX(tblProductos[Unidad],MATCH(tblMovimientos[[#This Row],[SKU]],tblProductos[SKU],0)),"?"))</f>
        <v/>
      </c>
      <c r="I2491" s="39"/>
      <c r="J2491" s="47" t="str">
        <f>IF(tblMovimientos[[#This Row],[Tipo]]="","",IFERROR(INDEX(tblTiposMov[FactorStock],MATCH(tblMovimientos[[#This Row],[Tipo]],tblTiposMov[Tipo],0)),0))</f>
        <v/>
      </c>
      <c r="K24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1" s="37"/>
      <c r="O2491" s="37"/>
      <c r="P2491" s="37"/>
    </row>
    <row r="2492" spans="2:16" x14ac:dyDescent="0.25">
      <c r="B24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2" s="46"/>
      <c r="D2492" s="37"/>
      <c r="E2492" s="37"/>
      <c r="F2492" s="37"/>
      <c r="G2492" s="40" t="str">
        <f>IF(tblMovimientos[[#This Row],[Producto]]="","",TRIM(LEFT(tblMovimientos[[#This Row],[Producto]],FIND(" · ",tblMovimientos[[#This Row],[Producto]]&amp;" · ")-1)))</f>
        <v/>
      </c>
      <c r="H2492" s="40" t="str">
        <f>IF(tblMovimientos[[#This Row],[SKU]]="","",IFERROR(INDEX(tblProductos[Unidad],MATCH(tblMovimientos[[#This Row],[SKU]],tblProductos[SKU],0)),"?"))</f>
        <v/>
      </c>
      <c r="I2492" s="39"/>
      <c r="J2492" s="47" t="str">
        <f>IF(tblMovimientos[[#This Row],[Tipo]]="","",IFERROR(INDEX(tblTiposMov[FactorStock],MATCH(tblMovimientos[[#This Row],[Tipo]],tblTiposMov[Tipo],0)),0))</f>
        <v/>
      </c>
      <c r="K24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2" s="37"/>
      <c r="O2492" s="37"/>
      <c r="P2492" s="37"/>
    </row>
    <row r="2493" spans="2:16" x14ac:dyDescent="0.25">
      <c r="B24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3" s="46"/>
      <c r="D2493" s="37"/>
      <c r="E2493" s="37"/>
      <c r="F2493" s="37"/>
      <c r="G2493" s="40" t="str">
        <f>IF(tblMovimientos[[#This Row],[Producto]]="","",TRIM(LEFT(tblMovimientos[[#This Row],[Producto]],FIND(" · ",tblMovimientos[[#This Row],[Producto]]&amp;" · ")-1)))</f>
        <v/>
      </c>
      <c r="H2493" s="40" t="str">
        <f>IF(tblMovimientos[[#This Row],[SKU]]="","",IFERROR(INDEX(tblProductos[Unidad],MATCH(tblMovimientos[[#This Row],[SKU]],tblProductos[SKU],0)),"?"))</f>
        <v/>
      </c>
      <c r="I2493" s="39"/>
      <c r="J2493" s="47" t="str">
        <f>IF(tblMovimientos[[#This Row],[Tipo]]="","",IFERROR(INDEX(tblTiposMov[FactorStock],MATCH(tblMovimientos[[#This Row],[Tipo]],tblTiposMov[Tipo],0)),0))</f>
        <v/>
      </c>
      <c r="K24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3" s="37"/>
      <c r="O2493" s="37"/>
      <c r="P2493" s="37"/>
    </row>
    <row r="2494" spans="2:16" x14ac:dyDescent="0.25">
      <c r="B24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4" s="46"/>
      <c r="D2494" s="37"/>
      <c r="E2494" s="37"/>
      <c r="F2494" s="37"/>
      <c r="G2494" s="40" t="str">
        <f>IF(tblMovimientos[[#This Row],[Producto]]="","",TRIM(LEFT(tblMovimientos[[#This Row],[Producto]],FIND(" · ",tblMovimientos[[#This Row],[Producto]]&amp;" · ")-1)))</f>
        <v/>
      </c>
      <c r="H2494" s="40" t="str">
        <f>IF(tblMovimientos[[#This Row],[SKU]]="","",IFERROR(INDEX(tblProductos[Unidad],MATCH(tblMovimientos[[#This Row],[SKU]],tblProductos[SKU],0)),"?"))</f>
        <v/>
      </c>
      <c r="I2494" s="39"/>
      <c r="J2494" s="47" t="str">
        <f>IF(tblMovimientos[[#This Row],[Tipo]]="","",IFERROR(INDEX(tblTiposMov[FactorStock],MATCH(tblMovimientos[[#This Row],[Tipo]],tblTiposMov[Tipo],0)),0))</f>
        <v/>
      </c>
      <c r="K24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4" s="37"/>
      <c r="O2494" s="37"/>
      <c r="P2494" s="37"/>
    </row>
    <row r="2495" spans="2:16" x14ac:dyDescent="0.25">
      <c r="B24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5" s="46"/>
      <c r="D2495" s="37"/>
      <c r="E2495" s="37"/>
      <c r="F2495" s="37"/>
      <c r="G2495" s="40" t="str">
        <f>IF(tblMovimientos[[#This Row],[Producto]]="","",TRIM(LEFT(tblMovimientos[[#This Row],[Producto]],FIND(" · ",tblMovimientos[[#This Row],[Producto]]&amp;" · ")-1)))</f>
        <v/>
      </c>
      <c r="H2495" s="40" t="str">
        <f>IF(tblMovimientos[[#This Row],[SKU]]="","",IFERROR(INDEX(tblProductos[Unidad],MATCH(tblMovimientos[[#This Row],[SKU]],tblProductos[SKU],0)),"?"))</f>
        <v/>
      </c>
      <c r="I2495" s="39"/>
      <c r="J2495" s="47" t="str">
        <f>IF(tblMovimientos[[#This Row],[Tipo]]="","",IFERROR(INDEX(tblTiposMov[FactorStock],MATCH(tblMovimientos[[#This Row],[Tipo]],tblTiposMov[Tipo],0)),0))</f>
        <v/>
      </c>
      <c r="K24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5" s="37"/>
      <c r="O2495" s="37"/>
      <c r="P2495" s="37"/>
    </row>
    <row r="2496" spans="2:16" x14ac:dyDescent="0.25">
      <c r="B24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6" s="46"/>
      <c r="D2496" s="37"/>
      <c r="E2496" s="37"/>
      <c r="F2496" s="37"/>
      <c r="G2496" s="40" t="str">
        <f>IF(tblMovimientos[[#This Row],[Producto]]="","",TRIM(LEFT(tblMovimientos[[#This Row],[Producto]],FIND(" · ",tblMovimientos[[#This Row],[Producto]]&amp;" · ")-1)))</f>
        <v/>
      </c>
      <c r="H2496" s="40" t="str">
        <f>IF(tblMovimientos[[#This Row],[SKU]]="","",IFERROR(INDEX(tblProductos[Unidad],MATCH(tblMovimientos[[#This Row],[SKU]],tblProductos[SKU],0)),"?"))</f>
        <v/>
      </c>
      <c r="I2496" s="39"/>
      <c r="J2496" s="47" t="str">
        <f>IF(tblMovimientos[[#This Row],[Tipo]]="","",IFERROR(INDEX(tblTiposMov[FactorStock],MATCH(tblMovimientos[[#This Row],[Tipo]],tblTiposMov[Tipo],0)),0))</f>
        <v/>
      </c>
      <c r="K24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6" s="37"/>
      <c r="O2496" s="37"/>
      <c r="P2496" s="37"/>
    </row>
    <row r="2497" spans="2:16" x14ac:dyDescent="0.25">
      <c r="B24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7" s="46"/>
      <c r="D2497" s="37"/>
      <c r="E2497" s="37"/>
      <c r="F2497" s="37"/>
      <c r="G2497" s="40" t="str">
        <f>IF(tblMovimientos[[#This Row],[Producto]]="","",TRIM(LEFT(tblMovimientos[[#This Row],[Producto]],FIND(" · ",tblMovimientos[[#This Row],[Producto]]&amp;" · ")-1)))</f>
        <v/>
      </c>
      <c r="H2497" s="40" t="str">
        <f>IF(tblMovimientos[[#This Row],[SKU]]="","",IFERROR(INDEX(tblProductos[Unidad],MATCH(tblMovimientos[[#This Row],[SKU]],tblProductos[SKU],0)),"?"))</f>
        <v/>
      </c>
      <c r="I2497" s="39"/>
      <c r="J2497" s="47" t="str">
        <f>IF(tblMovimientos[[#This Row],[Tipo]]="","",IFERROR(INDEX(tblTiposMov[FactorStock],MATCH(tblMovimientos[[#This Row],[Tipo]],tblTiposMov[Tipo],0)),0))</f>
        <v/>
      </c>
      <c r="K24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7" s="37"/>
      <c r="O2497" s="37"/>
      <c r="P2497" s="37"/>
    </row>
    <row r="2498" spans="2:16" x14ac:dyDescent="0.25">
      <c r="B24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8" s="46"/>
      <c r="D2498" s="37"/>
      <c r="E2498" s="37"/>
      <c r="F2498" s="37"/>
      <c r="G2498" s="40" t="str">
        <f>IF(tblMovimientos[[#This Row],[Producto]]="","",TRIM(LEFT(tblMovimientos[[#This Row],[Producto]],FIND(" · ",tblMovimientos[[#This Row],[Producto]]&amp;" · ")-1)))</f>
        <v/>
      </c>
      <c r="H2498" s="40" t="str">
        <f>IF(tblMovimientos[[#This Row],[SKU]]="","",IFERROR(INDEX(tblProductos[Unidad],MATCH(tblMovimientos[[#This Row],[SKU]],tblProductos[SKU],0)),"?"))</f>
        <v/>
      </c>
      <c r="I2498" s="39"/>
      <c r="J2498" s="47" t="str">
        <f>IF(tblMovimientos[[#This Row],[Tipo]]="","",IFERROR(INDEX(tblTiposMov[FactorStock],MATCH(tblMovimientos[[#This Row],[Tipo]],tblTiposMov[Tipo],0)),0))</f>
        <v/>
      </c>
      <c r="K24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8" s="37"/>
      <c r="O2498" s="37"/>
      <c r="P2498" s="37"/>
    </row>
    <row r="2499" spans="2:16" x14ac:dyDescent="0.25">
      <c r="B24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499" s="46"/>
      <c r="D2499" s="37"/>
      <c r="E2499" s="37"/>
      <c r="F2499" s="37"/>
      <c r="G2499" s="40" t="str">
        <f>IF(tblMovimientos[[#This Row],[Producto]]="","",TRIM(LEFT(tblMovimientos[[#This Row],[Producto]],FIND(" · ",tblMovimientos[[#This Row],[Producto]]&amp;" · ")-1)))</f>
        <v/>
      </c>
      <c r="H2499" s="40" t="str">
        <f>IF(tblMovimientos[[#This Row],[SKU]]="","",IFERROR(INDEX(tblProductos[Unidad],MATCH(tblMovimientos[[#This Row],[SKU]],tblProductos[SKU],0)),"?"))</f>
        <v/>
      </c>
      <c r="I2499" s="39"/>
      <c r="J2499" s="47" t="str">
        <f>IF(tblMovimientos[[#This Row],[Tipo]]="","",IFERROR(INDEX(tblTiposMov[FactorStock],MATCH(tblMovimientos[[#This Row],[Tipo]],tblTiposMov[Tipo],0)),0))</f>
        <v/>
      </c>
      <c r="K24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4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499" s="37"/>
      <c r="O2499" s="37"/>
      <c r="P2499" s="37"/>
    </row>
    <row r="2500" spans="2:16" x14ac:dyDescent="0.25">
      <c r="B25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0" s="46"/>
      <c r="D2500" s="37"/>
      <c r="E2500" s="37"/>
      <c r="F2500" s="37"/>
      <c r="G2500" s="40" t="str">
        <f>IF(tblMovimientos[[#This Row],[Producto]]="","",TRIM(LEFT(tblMovimientos[[#This Row],[Producto]],FIND(" · ",tblMovimientos[[#This Row],[Producto]]&amp;" · ")-1)))</f>
        <v/>
      </c>
      <c r="H2500" s="40" t="str">
        <f>IF(tblMovimientos[[#This Row],[SKU]]="","",IFERROR(INDEX(tblProductos[Unidad],MATCH(tblMovimientos[[#This Row],[SKU]],tblProductos[SKU],0)),"?"))</f>
        <v/>
      </c>
      <c r="I2500" s="39"/>
      <c r="J2500" s="47" t="str">
        <f>IF(tblMovimientos[[#This Row],[Tipo]]="","",IFERROR(INDEX(tblTiposMov[FactorStock],MATCH(tblMovimientos[[#This Row],[Tipo]],tblTiposMov[Tipo],0)),0))</f>
        <v/>
      </c>
      <c r="K25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0" s="37"/>
      <c r="O2500" s="37"/>
      <c r="P2500" s="37"/>
    </row>
    <row r="2501" spans="2:16" x14ac:dyDescent="0.25">
      <c r="B25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1" s="46"/>
      <c r="D2501" s="37"/>
      <c r="E2501" s="37"/>
      <c r="F2501" s="37"/>
      <c r="G2501" s="40" t="str">
        <f>IF(tblMovimientos[[#This Row],[Producto]]="","",TRIM(LEFT(tblMovimientos[[#This Row],[Producto]],FIND(" · ",tblMovimientos[[#This Row],[Producto]]&amp;" · ")-1)))</f>
        <v/>
      </c>
      <c r="H2501" s="40" t="str">
        <f>IF(tblMovimientos[[#This Row],[SKU]]="","",IFERROR(INDEX(tblProductos[Unidad],MATCH(tblMovimientos[[#This Row],[SKU]],tblProductos[SKU],0)),"?"))</f>
        <v/>
      </c>
      <c r="I2501" s="39"/>
      <c r="J2501" s="47" t="str">
        <f>IF(tblMovimientos[[#This Row],[Tipo]]="","",IFERROR(INDEX(tblTiposMov[FactorStock],MATCH(tblMovimientos[[#This Row],[Tipo]],tblTiposMov[Tipo],0)),0))</f>
        <v/>
      </c>
      <c r="K25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1" s="37"/>
      <c r="O2501" s="37"/>
      <c r="P2501" s="37"/>
    </row>
    <row r="2502" spans="2:16" x14ac:dyDescent="0.25">
      <c r="B25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2" s="46"/>
      <c r="D2502" s="37"/>
      <c r="E2502" s="37"/>
      <c r="F2502" s="37"/>
      <c r="G2502" s="40" t="str">
        <f>IF(tblMovimientos[[#This Row],[Producto]]="","",TRIM(LEFT(tblMovimientos[[#This Row],[Producto]],FIND(" · ",tblMovimientos[[#This Row],[Producto]]&amp;" · ")-1)))</f>
        <v/>
      </c>
      <c r="H2502" s="40" t="str">
        <f>IF(tblMovimientos[[#This Row],[SKU]]="","",IFERROR(INDEX(tblProductos[Unidad],MATCH(tblMovimientos[[#This Row],[SKU]],tblProductos[SKU],0)),"?"))</f>
        <v/>
      </c>
      <c r="I2502" s="39"/>
      <c r="J2502" s="47" t="str">
        <f>IF(tblMovimientos[[#This Row],[Tipo]]="","",IFERROR(INDEX(tblTiposMov[FactorStock],MATCH(tblMovimientos[[#This Row],[Tipo]],tblTiposMov[Tipo],0)),0))</f>
        <v/>
      </c>
      <c r="K25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2" s="37"/>
      <c r="O2502" s="37"/>
      <c r="P2502" s="37"/>
    </row>
    <row r="2503" spans="2:16" x14ac:dyDescent="0.25">
      <c r="B25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3" s="46"/>
      <c r="D2503" s="37"/>
      <c r="E2503" s="37"/>
      <c r="F2503" s="37"/>
      <c r="G2503" s="40" t="str">
        <f>IF(tblMovimientos[[#This Row],[Producto]]="","",TRIM(LEFT(tblMovimientos[[#This Row],[Producto]],FIND(" · ",tblMovimientos[[#This Row],[Producto]]&amp;" · ")-1)))</f>
        <v/>
      </c>
      <c r="H2503" s="40" t="str">
        <f>IF(tblMovimientos[[#This Row],[SKU]]="","",IFERROR(INDEX(tblProductos[Unidad],MATCH(tblMovimientos[[#This Row],[SKU]],tblProductos[SKU],0)),"?"))</f>
        <v/>
      </c>
      <c r="I2503" s="39"/>
      <c r="J2503" s="47" t="str">
        <f>IF(tblMovimientos[[#This Row],[Tipo]]="","",IFERROR(INDEX(tblTiposMov[FactorStock],MATCH(tblMovimientos[[#This Row],[Tipo]],tblTiposMov[Tipo],0)),0))</f>
        <v/>
      </c>
      <c r="K25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3" s="37"/>
      <c r="O2503" s="37"/>
      <c r="P2503" s="37"/>
    </row>
    <row r="2504" spans="2:16" x14ac:dyDescent="0.25">
      <c r="B25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4" s="46"/>
      <c r="D2504" s="37"/>
      <c r="E2504" s="37"/>
      <c r="F2504" s="37"/>
      <c r="G2504" s="40" t="str">
        <f>IF(tblMovimientos[[#This Row],[Producto]]="","",TRIM(LEFT(tblMovimientos[[#This Row],[Producto]],FIND(" · ",tblMovimientos[[#This Row],[Producto]]&amp;" · ")-1)))</f>
        <v/>
      </c>
      <c r="H2504" s="40" t="str">
        <f>IF(tblMovimientos[[#This Row],[SKU]]="","",IFERROR(INDEX(tblProductos[Unidad],MATCH(tblMovimientos[[#This Row],[SKU]],tblProductos[SKU],0)),"?"))</f>
        <v/>
      </c>
      <c r="I2504" s="39"/>
      <c r="J2504" s="47" t="str">
        <f>IF(tblMovimientos[[#This Row],[Tipo]]="","",IFERROR(INDEX(tblTiposMov[FactorStock],MATCH(tblMovimientos[[#This Row],[Tipo]],tblTiposMov[Tipo],0)),0))</f>
        <v/>
      </c>
      <c r="K25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4" s="37"/>
      <c r="O2504" s="37"/>
      <c r="P2504" s="37"/>
    </row>
    <row r="2505" spans="2:16" x14ac:dyDescent="0.25">
      <c r="B25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5" s="46"/>
      <c r="D2505" s="37"/>
      <c r="E2505" s="37"/>
      <c r="F2505" s="37"/>
      <c r="G2505" s="40" t="str">
        <f>IF(tblMovimientos[[#This Row],[Producto]]="","",TRIM(LEFT(tblMovimientos[[#This Row],[Producto]],FIND(" · ",tblMovimientos[[#This Row],[Producto]]&amp;" · ")-1)))</f>
        <v/>
      </c>
      <c r="H2505" s="40" t="str">
        <f>IF(tblMovimientos[[#This Row],[SKU]]="","",IFERROR(INDEX(tblProductos[Unidad],MATCH(tblMovimientos[[#This Row],[SKU]],tblProductos[SKU],0)),"?"))</f>
        <v/>
      </c>
      <c r="I2505" s="39"/>
      <c r="J2505" s="47" t="str">
        <f>IF(tblMovimientos[[#This Row],[Tipo]]="","",IFERROR(INDEX(tblTiposMov[FactorStock],MATCH(tblMovimientos[[#This Row],[Tipo]],tblTiposMov[Tipo],0)),0))</f>
        <v/>
      </c>
      <c r="K25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5" s="37"/>
      <c r="O2505" s="37"/>
      <c r="P2505" s="37"/>
    </row>
    <row r="2506" spans="2:16" x14ac:dyDescent="0.25">
      <c r="B25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6" s="46"/>
      <c r="D2506" s="37"/>
      <c r="E2506" s="37"/>
      <c r="F2506" s="37"/>
      <c r="G2506" s="40" t="str">
        <f>IF(tblMovimientos[[#This Row],[Producto]]="","",TRIM(LEFT(tblMovimientos[[#This Row],[Producto]],FIND(" · ",tblMovimientos[[#This Row],[Producto]]&amp;" · ")-1)))</f>
        <v/>
      </c>
      <c r="H2506" s="40" t="str">
        <f>IF(tblMovimientos[[#This Row],[SKU]]="","",IFERROR(INDEX(tblProductos[Unidad],MATCH(tblMovimientos[[#This Row],[SKU]],tblProductos[SKU],0)),"?"))</f>
        <v/>
      </c>
      <c r="I2506" s="39"/>
      <c r="J2506" s="47" t="str">
        <f>IF(tblMovimientos[[#This Row],[Tipo]]="","",IFERROR(INDEX(tblTiposMov[FactorStock],MATCH(tblMovimientos[[#This Row],[Tipo]],tblTiposMov[Tipo],0)),0))</f>
        <v/>
      </c>
      <c r="K25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6" s="37"/>
      <c r="O2506" s="37"/>
      <c r="P2506" s="37"/>
    </row>
    <row r="2507" spans="2:16" x14ac:dyDescent="0.25">
      <c r="B25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7" s="46"/>
      <c r="D2507" s="37"/>
      <c r="E2507" s="37"/>
      <c r="F2507" s="37"/>
      <c r="G2507" s="40" t="str">
        <f>IF(tblMovimientos[[#This Row],[Producto]]="","",TRIM(LEFT(tblMovimientos[[#This Row],[Producto]],FIND(" · ",tblMovimientos[[#This Row],[Producto]]&amp;" · ")-1)))</f>
        <v/>
      </c>
      <c r="H2507" s="40" t="str">
        <f>IF(tblMovimientos[[#This Row],[SKU]]="","",IFERROR(INDEX(tblProductos[Unidad],MATCH(tblMovimientos[[#This Row],[SKU]],tblProductos[SKU],0)),"?"))</f>
        <v/>
      </c>
      <c r="I2507" s="39"/>
      <c r="J2507" s="47" t="str">
        <f>IF(tblMovimientos[[#This Row],[Tipo]]="","",IFERROR(INDEX(tblTiposMov[FactorStock],MATCH(tblMovimientos[[#This Row],[Tipo]],tblTiposMov[Tipo],0)),0))</f>
        <v/>
      </c>
      <c r="K25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7" s="37"/>
      <c r="O2507" s="37"/>
      <c r="P2507" s="37"/>
    </row>
    <row r="2508" spans="2:16" x14ac:dyDescent="0.25">
      <c r="B25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8" s="46"/>
      <c r="D2508" s="37"/>
      <c r="E2508" s="37"/>
      <c r="F2508" s="37"/>
      <c r="G2508" s="40" t="str">
        <f>IF(tblMovimientos[[#This Row],[Producto]]="","",TRIM(LEFT(tblMovimientos[[#This Row],[Producto]],FIND(" · ",tblMovimientos[[#This Row],[Producto]]&amp;" · ")-1)))</f>
        <v/>
      </c>
      <c r="H2508" s="40" t="str">
        <f>IF(tblMovimientos[[#This Row],[SKU]]="","",IFERROR(INDEX(tblProductos[Unidad],MATCH(tblMovimientos[[#This Row],[SKU]],tblProductos[SKU],0)),"?"))</f>
        <v/>
      </c>
      <c r="I2508" s="39"/>
      <c r="J2508" s="47" t="str">
        <f>IF(tblMovimientos[[#This Row],[Tipo]]="","",IFERROR(INDEX(tblTiposMov[FactorStock],MATCH(tblMovimientos[[#This Row],[Tipo]],tblTiposMov[Tipo],0)),0))</f>
        <v/>
      </c>
      <c r="K25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8" s="37"/>
      <c r="O2508" s="37"/>
      <c r="P2508" s="37"/>
    </row>
    <row r="2509" spans="2:16" x14ac:dyDescent="0.25">
      <c r="B25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09" s="46"/>
      <c r="D2509" s="37"/>
      <c r="E2509" s="37"/>
      <c r="F2509" s="37"/>
      <c r="G2509" s="40" t="str">
        <f>IF(tblMovimientos[[#This Row],[Producto]]="","",TRIM(LEFT(tblMovimientos[[#This Row],[Producto]],FIND(" · ",tblMovimientos[[#This Row],[Producto]]&amp;" · ")-1)))</f>
        <v/>
      </c>
      <c r="H2509" s="40" t="str">
        <f>IF(tblMovimientos[[#This Row],[SKU]]="","",IFERROR(INDEX(tblProductos[Unidad],MATCH(tblMovimientos[[#This Row],[SKU]],tblProductos[SKU],0)),"?"))</f>
        <v/>
      </c>
      <c r="I2509" s="39"/>
      <c r="J2509" s="47" t="str">
        <f>IF(tblMovimientos[[#This Row],[Tipo]]="","",IFERROR(INDEX(tblTiposMov[FactorStock],MATCH(tblMovimientos[[#This Row],[Tipo]],tblTiposMov[Tipo],0)),0))</f>
        <v/>
      </c>
      <c r="K25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09" s="37"/>
      <c r="O2509" s="37"/>
      <c r="P2509" s="37"/>
    </row>
    <row r="2510" spans="2:16" x14ac:dyDescent="0.25">
      <c r="B25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0" s="46"/>
      <c r="D2510" s="37"/>
      <c r="E2510" s="37"/>
      <c r="F2510" s="37"/>
      <c r="G2510" s="40" t="str">
        <f>IF(tblMovimientos[[#This Row],[Producto]]="","",TRIM(LEFT(tblMovimientos[[#This Row],[Producto]],FIND(" · ",tblMovimientos[[#This Row],[Producto]]&amp;" · ")-1)))</f>
        <v/>
      </c>
      <c r="H2510" s="40" t="str">
        <f>IF(tblMovimientos[[#This Row],[SKU]]="","",IFERROR(INDEX(tblProductos[Unidad],MATCH(tblMovimientos[[#This Row],[SKU]],tblProductos[SKU],0)),"?"))</f>
        <v/>
      </c>
      <c r="I2510" s="39"/>
      <c r="J2510" s="47" t="str">
        <f>IF(tblMovimientos[[#This Row],[Tipo]]="","",IFERROR(INDEX(tblTiposMov[FactorStock],MATCH(tblMovimientos[[#This Row],[Tipo]],tblTiposMov[Tipo],0)),0))</f>
        <v/>
      </c>
      <c r="K25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0" s="37"/>
      <c r="O2510" s="37"/>
      <c r="P2510" s="37"/>
    </row>
    <row r="2511" spans="2:16" x14ac:dyDescent="0.25">
      <c r="B25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1" s="46"/>
      <c r="D2511" s="37"/>
      <c r="E2511" s="37"/>
      <c r="F2511" s="37"/>
      <c r="G2511" s="40" t="str">
        <f>IF(tblMovimientos[[#This Row],[Producto]]="","",TRIM(LEFT(tblMovimientos[[#This Row],[Producto]],FIND(" · ",tblMovimientos[[#This Row],[Producto]]&amp;" · ")-1)))</f>
        <v/>
      </c>
      <c r="H2511" s="40" t="str">
        <f>IF(tblMovimientos[[#This Row],[SKU]]="","",IFERROR(INDEX(tblProductos[Unidad],MATCH(tblMovimientos[[#This Row],[SKU]],tblProductos[SKU],0)),"?"))</f>
        <v/>
      </c>
      <c r="I2511" s="39"/>
      <c r="J2511" s="47" t="str">
        <f>IF(tblMovimientos[[#This Row],[Tipo]]="","",IFERROR(INDEX(tblTiposMov[FactorStock],MATCH(tblMovimientos[[#This Row],[Tipo]],tblTiposMov[Tipo],0)),0))</f>
        <v/>
      </c>
      <c r="K25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1" s="37"/>
      <c r="O2511" s="37"/>
      <c r="P2511" s="37"/>
    </row>
    <row r="2512" spans="2:16" x14ac:dyDescent="0.25">
      <c r="B25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2" s="46"/>
      <c r="D2512" s="37"/>
      <c r="E2512" s="37"/>
      <c r="F2512" s="37"/>
      <c r="G2512" s="40" t="str">
        <f>IF(tblMovimientos[[#This Row],[Producto]]="","",TRIM(LEFT(tblMovimientos[[#This Row],[Producto]],FIND(" · ",tblMovimientos[[#This Row],[Producto]]&amp;" · ")-1)))</f>
        <v/>
      </c>
      <c r="H2512" s="40" t="str">
        <f>IF(tblMovimientos[[#This Row],[SKU]]="","",IFERROR(INDEX(tblProductos[Unidad],MATCH(tblMovimientos[[#This Row],[SKU]],tblProductos[SKU],0)),"?"))</f>
        <v/>
      </c>
      <c r="I2512" s="39"/>
      <c r="J2512" s="47" t="str">
        <f>IF(tblMovimientos[[#This Row],[Tipo]]="","",IFERROR(INDEX(tblTiposMov[FactorStock],MATCH(tblMovimientos[[#This Row],[Tipo]],tblTiposMov[Tipo],0)),0))</f>
        <v/>
      </c>
      <c r="K25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2" s="37"/>
      <c r="O2512" s="37"/>
      <c r="P2512" s="37"/>
    </row>
    <row r="2513" spans="2:16" x14ac:dyDescent="0.25">
      <c r="B25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3" s="46"/>
      <c r="D2513" s="37"/>
      <c r="E2513" s="37"/>
      <c r="F2513" s="37"/>
      <c r="G2513" s="40" t="str">
        <f>IF(tblMovimientos[[#This Row],[Producto]]="","",TRIM(LEFT(tblMovimientos[[#This Row],[Producto]],FIND(" · ",tblMovimientos[[#This Row],[Producto]]&amp;" · ")-1)))</f>
        <v/>
      </c>
      <c r="H2513" s="40" t="str">
        <f>IF(tblMovimientos[[#This Row],[SKU]]="","",IFERROR(INDEX(tblProductos[Unidad],MATCH(tblMovimientos[[#This Row],[SKU]],tblProductos[SKU],0)),"?"))</f>
        <v/>
      </c>
      <c r="I2513" s="39"/>
      <c r="J2513" s="47" t="str">
        <f>IF(tblMovimientos[[#This Row],[Tipo]]="","",IFERROR(INDEX(tblTiposMov[FactorStock],MATCH(tblMovimientos[[#This Row],[Tipo]],tblTiposMov[Tipo],0)),0))</f>
        <v/>
      </c>
      <c r="K25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3" s="37"/>
      <c r="O2513" s="37"/>
      <c r="P2513" s="37"/>
    </row>
    <row r="2514" spans="2:16" x14ac:dyDescent="0.25">
      <c r="B25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4" s="46"/>
      <c r="D2514" s="37"/>
      <c r="E2514" s="37"/>
      <c r="F2514" s="37"/>
      <c r="G2514" s="40" t="str">
        <f>IF(tblMovimientos[[#This Row],[Producto]]="","",TRIM(LEFT(tblMovimientos[[#This Row],[Producto]],FIND(" · ",tblMovimientos[[#This Row],[Producto]]&amp;" · ")-1)))</f>
        <v/>
      </c>
      <c r="H2514" s="40" t="str">
        <f>IF(tblMovimientos[[#This Row],[SKU]]="","",IFERROR(INDEX(tblProductos[Unidad],MATCH(tblMovimientos[[#This Row],[SKU]],tblProductos[SKU],0)),"?"))</f>
        <v/>
      </c>
      <c r="I2514" s="39"/>
      <c r="J2514" s="47" t="str">
        <f>IF(tblMovimientos[[#This Row],[Tipo]]="","",IFERROR(INDEX(tblTiposMov[FactorStock],MATCH(tblMovimientos[[#This Row],[Tipo]],tblTiposMov[Tipo],0)),0))</f>
        <v/>
      </c>
      <c r="K25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4" s="37"/>
      <c r="O2514" s="37"/>
      <c r="P2514" s="37"/>
    </row>
    <row r="2515" spans="2:16" x14ac:dyDescent="0.25">
      <c r="B25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5" s="46"/>
      <c r="D2515" s="37"/>
      <c r="E2515" s="37"/>
      <c r="F2515" s="37"/>
      <c r="G2515" s="40" t="str">
        <f>IF(tblMovimientos[[#This Row],[Producto]]="","",TRIM(LEFT(tblMovimientos[[#This Row],[Producto]],FIND(" · ",tblMovimientos[[#This Row],[Producto]]&amp;" · ")-1)))</f>
        <v/>
      </c>
      <c r="H2515" s="40" t="str">
        <f>IF(tblMovimientos[[#This Row],[SKU]]="","",IFERROR(INDEX(tblProductos[Unidad],MATCH(tblMovimientos[[#This Row],[SKU]],tblProductos[SKU],0)),"?"))</f>
        <v/>
      </c>
      <c r="I2515" s="39"/>
      <c r="J2515" s="47" t="str">
        <f>IF(tblMovimientos[[#This Row],[Tipo]]="","",IFERROR(INDEX(tblTiposMov[FactorStock],MATCH(tblMovimientos[[#This Row],[Tipo]],tblTiposMov[Tipo],0)),0))</f>
        <v/>
      </c>
      <c r="K25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5" s="37"/>
      <c r="O2515" s="37"/>
      <c r="P2515" s="37"/>
    </row>
    <row r="2516" spans="2:16" x14ac:dyDescent="0.25">
      <c r="B25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6" s="46"/>
      <c r="D2516" s="37"/>
      <c r="E2516" s="37"/>
      <c r="F2516" s="37"/>
      <c r="G2516" s="40" t="str">
        <f>IF(tblMovimientos[[#This Row],[Producto]]="","",TRIM(LEFT(tblMovimientos[[#This Row],[Producto]],FIND(" · ",tblMovimientos[[#This Row],[Producto]]&amp;" · ")-1)))</f>
        <v/>
      </c>
      <c r="H2516" s="40" t="str">
        <f>IF(tblMovimientos[[#This Row],[SKU]]="","",IFERROR(INDEX(tblProductos[Unidad],MATCH(tblMovimientos[[#This Row],[SKU]],tblProductos[SKU],0)),"?"))</f>
        <v/>
      </c>
      <c r="I2516" s="39"/>
      <c r="J2516" s="47" t="str">
        <f>IF(tblMovimientos[[#This Row],[Tipo]]="","",IFERROR(INDEX(tblTiposMov[FactorStock],MATCH(tblMovimientos[[#This Row],[Tipo]],tblTiposMov[Tipo],0)),0))</f>
        <v/>
      </c>
      <c r="K25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6" s="37"/>
      <c r="O2516" s="37"/>
      <c r="P2516" s="37"/>
    </row>
    <row r="2517" spans="2:16" x14ac:dyDescent="0.25">
      <c r="B25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7" s="46"/>
      <c r="D2517" s="37"/>
      <c r="E2517" s="37"/>
      <c r="F2517" s="37"/>
      <c r="G2517" s="40" t="str">
        <f>IF(tblMovimientos[[#This Row],[Producto]]="","",TRIM(LEFT(tblMovimientos[[#This Row],[Producto]],FIND(" · ",tblMovimientos[[#This Row],[Producto]]&amp;" · ")-1)))</f>
        <v/>
      </c>
      <c r="H2517" s="40" t="str">
        <f>IF(tblMovimientos[[#This Row],[SKU]]="","",IFERROR(INDEX(tblProductos[Unidad],MATCH(tblMovimientos[[#This Row],[SKU]],tblProductos[SKU],0)),"?"))</f>
        <v/>
      </c>
      <c r="I2517" s="39"/>
      <c r="J2517" s="47" t="str">
        <f>IF(tblMovimientos[[#This Row],[Tipo]]="","",IFERROR(INDEX(tblTiposMov[FactorStock],MATCH(tblMovimientos[[#This Row],[Tipo]],tblTiposMov[Tipo],0)),0))</f>
        <v/>
      </c>
      <c r="K25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7" s="37"/>
      <c r="O2517" s="37"/>
      <c r="P2517" s="37"/>
    </row>
    <row r="2518" spans="2:16" x14ac:dyDescent="0.25">
      <c r="B25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8" s="46"/>
      <c r="D2518" s="37"/>
      <c r="E2518" s="37"/>
      <c r="F2518" s="37"/>
      <c r="G2518" s="40" t="str">
        <f>IF(tblMovimientos[[#This Row],[Producto]]="","",TRIM(LEFT(tblMovimientos[[#This Row],[Producto]],FIND(" · ",tblMovimientos[[#This Row],[Producto]]&amp;" · ")-1)))</f>
        <v/>
      </c>
      <c r="H2518" s="40" t="str">
        <f>IF(tblMovimientos[[#This Row],[SKU]]="","",IFERROR(INDEX(tblProductos[Unidad],MATCH(tblMovimientos[[#This Row],[SKU]],tblProductos[SKU],0)),"?"))</f>
        <v/>
      </c>
      <c r="I2518" s="39"/>
      <c r="J2518" s="47" t="str">
        <f>IF(tblMovimientos[[#This Row],[Tipo]]="","",IFERROR(INDEX(tblTiposMov[FactorStock],MATCH(tblMovimientos[[#This Row],[Tipo]],tblTiposMov[Tipo],0)),0))</f>
        <v/>
      </c>
      <c r="K25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8" s="37"/>
      <c r="O2518" s="37"/>
      <c r="P2518" s="37"/>
    </row>
    <row r="2519" spans="2:16" x14ac:dyDescent="0.25">
      <c r="B25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19" s="46"/>
      <c r="D2519" s="37"/>
      <c r="E2519" s="37"/>
      <c r="F2519" s="37"/>
      <c r="G2519" s="40" t="str">
        <f>IF(tblMovimientos[[#This Row],[Producto]]="","",TRIM(LEFT(tblMovimientos[[#This Row],[Producto]],FIND(" · ",tblMovimientos[[#This Row],[Producto]]&amp;" · ")-1)))</f>
        <v/>
      </c>
      <c r="H2519" s="40" t="str">
        <f>IF(tblMovimientos[[#This Row],[SKU]]="","",IFERROR(INDEX(tblProductos[Unidad],MATCH(tblMovimientos[[#This Row],[SKU]],tblProductos[SKU],0)),"?"))</f>
        <v/>
      </c>
      <c r="I2519" s="39"/>
      <c r="J2519" s="47" t="str">
        <f>IF(tblMovimientos[[#This Row],[Tipo]]="","",IFERROR(INDEX(tblTiposMov[FactorStock],MATCH(tblMovimientos[[#This Row],[Tipo]],tblTiposMov[Tipo],0)),0))</f>
        <v/>
      </c>
      <c r="K25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19" s="37"/>
      <c r="O2519" s="37"/>
      <c r="P2519" s="37"/>
    </row>
    <row r="2520" spans="2:16" x14ac:dyDescent="0.25">
      <c r="B25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0" s="46"/>
      <c r="D2520" s="37"/>
      <c r="E2520" s="37"/>
      <c r="F2520" s="37"/>
      <c r="G2520" s="40" t="str">
        <f>IF(tblMovimientos[[#This Row],[Producto]]="","",TRIM(LEFT(tblMovimientos[[#This Row],[Producto]],FIND(" · ",tblMovimientos[[#This Row],[Producto]]&amp;" · ")-1)))</f>
        <v/>
      </c>
      <c r="H2520" s="40" t="str">
        <f>IF(tblMovimientos[[#This Row],[SKU]]="","",IFERROR(INDEX(tblProductos[Unidad],MATCH(tblMovimientos[[#This Row],[SKU]],tblProductos[SKU],0)),"?"))</f>
        <v/>
      </c>
      <c r="I2520" s="39"/>
      <c r="J2520" s="47" t="str">
        <f>IF(tblMovimientos[[#This Row],[Tipo]]="","",IFERROR(INDEX(tblTiposMov[FactorStock],MATCH(tblMovimientos[[#This Row],[Tipo]],tblTiposMov[Tipo],0)),0))</f>
        <v/>
      </c>
      <c r="K25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0" s="37"/>
      <c r="O2520" s="37"/>
      <c r="P2520" s="37"/>
    </row>
    <row r="2521" spans="2:16" x14ac:dyDescent="0.25">
      <c r="B25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1" s="46"/>
      <c r="D2521" s="37"/>
      <c r="E2521" s="37"/>
      <c r="F2521" s="37"/>
      <c r="G2521" s="40" t="str">
        <f>IF(tblMovimientos[[#This Row],[Producto]]="","",TRIM(LEFT(tblMovimientos[[#This Row],[Producto]],FIND(" · ",tblMovimientos[[#This Row],[Producto]]&amp;" · ")-1)))</f>
        <v/>
      </c>
      <c r="H2521" s="40" t="str">
        <f>IF(tblMovimientos[[#This Row],[SKU]]="","",IFERROR(INDEX(tblProductos[Unidad],MATCH(tblMovimientos[[#This Row],[SKU]],tblProductos[SKU],0)),"?"))</f>
        <v/>
      </c>
      <c r="I2521" s="39"/>
      <c r="J2521" s="47" t="str">
        <f>IF(tblMovimientos[[#This Row],[Tipo]]="","",IFERROR(INDEX(tblTiposMov[FactorStock],MATCH(tblMovimientos[[#This Row],[Tipo]],tblTiposMov[Tipo],0)),0))</f>
        <v/>
      </c>
      <c r="K25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1" s="37"/>
      <c r="O2521" s="37"/>
      <c r="P2521" s="37"/>
    </row>
    <row r="2522" spans="2:16" x14ac:dyDescent="0.25">
      <c r="B25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2" s="46"/>
      <c r="D2522" s="37"/>
      <c r="E2522" s="37"/>
      <c r="F2522" s="37"/>
      <c r="G2522" s="40" t="str">
        <f>IF(tblMovimientos[[#This Row],[Producto]]="","",TRIM(LEFT(tblMovimientos[[#This Row],[Producto]],FIND(" · ",tblMovimientos[[#This Row],[Producto]]&amp;" · ")-1)))</f>
        <v/>
      </c>
      <c r="H2522" s="40" t="str">
        <f>IF(tblMovimientos[[#This Row],[SKU]]="","",IFERROR(INDEX(tblProductos[Unidad],MATCH(tblMovimientos[[#This Row],[SKU]],tblProductos[SKU],0)),"?"))</f>
        <v/>
      </c>
      <c r="I2522" s="39"/>
      <c r="J2522" s="47" t="str">
        <f>IF(tblMovimientos[[#This Row],[Tipo]]="","",IFERROR(INDEX(tblTiposMov[FactorStock],MATCH(tblMovimientos[[#This Row],[Tipo]],tblTiposMov[Tipo],0)),0))</f>
        <v/>
      </c>
      <c r="K25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2" s="37"/>
      <c r="O2522" s="37"/>
      <c r="P2522" s="37"/>
    </row>
    <row r="2523" spans="2:16" x14ac:dyDescent="0.25">
      <c r="B25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3" s="46"/>
      <c r="D2523" s="37"/>
      <c r="E2523" s="37"/>
      <c r="F2523" s="37"/>
      <c r="G2523" s="40" t="str">
        <f>IF(tblMovimientos[[#This Row],[Producto]]="","",TRIM(LEFT(tblMovimientos[[#This Row],[Producto]],FIND(" · ",tblMovimientos[[#This Row],[Producto]]&amp;" · ")-1)))</f>
        <v/>
      </c>
      <c r="H2523" s="40" t="str">
        <f>IF(tblMovimientos[[#This Row],[SKU]]="","",IFERROR(INDEX(tblProductos[Unidad],MATCH(tblMovimientos[[#This Row],[SKU]],tblProductos[SKU],0)),"?"))</f>
        <v/>
      </c>
      <c r="I2523" s="39"/>
      <c r="J2523" s="47" t="str">
        <f>IF(tblMovimientos[[#This Row],[Tipo]]="","",IFERROR(INDEX(tblTiposMov[FactorStock],MATCH(tblMovimientos[[#This Row],[Tipo]],tblTiposMov[Tipo],0)),0))</f>
        <v/>
      </c>
      <c r="K25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3" s="37"/>
      <c r="O2523" s="37"/>
      <c r="P2523" s="37"/>
    </row>
    <row r="2524" spans="2:16" x14ac:dyDescent="0.25">
      <c r="B25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4" s="46"/>
      <c r="D2524" s="37"/>
      <c r="E2524" s="37"/>
      <c r="F2524" s="37"/>
      <c r="G2524" s="40" t="str">
        <f>IF(tblMovimientos[[#This Row],[Producto]]="","",TRIM(LEFT(tblMovimientos[[#This Row],[Producto]],FIND(" · ",tblMovimientos[[#This Row],[Producto]]&amp;" · ")-1)))</f>
        <v/>
      </c>
      <c r="H2524" s="40" t="str">
        <f>IF(tblMovimientos[[#This Row],[SKU]]="","",IFERROR(INDEX(tblProductos[Unidad],MATCH(tblMovimientos[[#This Row],[SKU]],tblProductos[SKU],0)),"?"))</f>
        <v/>
      </c>
      <c r="I2524" s="39"/>
      <c r="J2524" s="47" t="str">
        <f>IF(tblMovimientos[[#This Row],[Tipo]]="","",IFERROR(INDEX(tblTiposMov[FactorStock],MATCH(tblMovimientos[[#This Row],[Tipo]],tblTiposMov[Tipo],0)),0))</f>
        <v/>
      </c>
      <c r="K25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4" s="37"/>
      <c r="O2524" s="37"/>
      <c r="P2524" s="37"/>
    </row>
    <row r="2525" spans="2:16" x14ac:dyDescent="0.25">
      <c r="B25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5" s="46"/>
      <c r="D2525" s="37"/>
      <c r="E2525" s="37"/>
      <c r="F2525" s="37"/>
      <c r="G2525" s="40" t="str">
        <f>IF(tblMovimientos[[#This Row],[Producto]]="","",TRIM(LEFT(tblMovimientos[[#This Row],[Producto]],FIND(" · ",tblMovimientos[[#This Row],[Producto]]&amp;" · ")-1)))</f>
        <v/>
      </c>
      <c r="H2525" s="40" t="str">
        <f>IF(tblMovimientos[[#This Row],[SKU]]="","",IFERROR(INDEX(tblProductos[Unidad],MATCH(tblMovimientos[[#This Row],[SKU]],tblProductos[SKU],0)),"?"))</f>
        <v/>
      </c>
      <c r="I2525" s="39"/>
      <c r="J2525" s="47" t="str">
        <f>IF(tblMovimientos[[#This Row],[Tipo]]="","",IFERROR(INDEX(tblTiposMov[FactorStock],MATCH(tblMovimientos[[#This Row],[Tipo]],tblTiposMov[Tipo],0)),0))</f>
        <v/>
      </c>
      <c r="K25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5" s="37"/>
      <c r="O2525" s="37"/>
      <c r="P2525" s="37"/>
    </row>
    <row r="2526" spans="2:16" x14ac:dyDescent="0.25">
      <c r="B25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6" s="46"/>
      <c r="D2526" s="37"/>
      <c r="E2526" s="37"/>
      <c r="F2526" s="37"/>
      <c r="G2526" s="40" t="str">
        <f>IF(tblMovimientos[[#This Row],[Producto]]="","",TRIM(LEFT(tblMovimientos[[#This Row],[Producto]],FIND(" · ",tblMovimientos[[#This Row],[Producto]]&amp;" · ")-1)))</f>
        <v/>
      </c>
      <c r="H2526" s="40" t="str">
        <f>IF(tblMovimientos[[#This Row],[SKU]]="","",IFERROR(INDEX(tblProductos[Unidad],MATCH(tblMovimientos[[#This Row],[SKU]],tblProductos[SKU],0)),"?"))</f>
        <v/>
      </c>
      <c r="I2526" s="39"/>
      <c r="J2526" s="47" t="str">
        <f>IF(tblMovimientos[[#This Row],[Tipo]]="","",IFERROR(INDEX(tblTiposMov[FactorStock],MATCH(tblMovimientos[[#This Row],[Tipo]],tblTiposMov[Tipo],0)),0))</f>
        <v/>
      </c>
      <c r="K25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6" s="37"/>
      <c r="O2526" s="37"/>
      <c r="P2526" s="37"/>
    </row>
    <row r="2527" spans="2:16" x14ac:dyDescent="0.25">
      <c r="B25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7" s="46"/>
      <c r="D2527" s="37"/>
      <c r="E2527" s="37"/>
      <c r="F2527" s="37"/>
      <c r="G2527" s="40" t="str">
        <f>IF(tblMovimientos[[#This Row],[Producto]]="","",TRIM(LEFT(tblMovimientos[[#This Row],[Producto]],FIND(" · ",tblMovimientos[[#This Row],[Producto]]&amp;" · ")-1)))</f>
        <v/>
      </c>
      <c r="H2527" s="40" t="str">
        <f>IF(tblMovimientos[[#This Row],[SKU]]="","",IFERROR(INDEX(tblProductos[Unidad],MATCH(tblMovimientos[[#This Row],[SKU]],tblProductos[SKU],0)),"?"))</f>
        <v/>
      </c>
      <c r="I2527" s="39"/>
      <c r="J2527" s="47" t="str">
        <f>IF(tblMovimientos[[#This Row],[Tipo]]="","",IFERROR(INDEX(tblTiposMov[FactorStock],MATCH(tblMovimientos[[#This Row],[Tipo]],tblTiposMov[Tipo],0)),0))</f>
        <v/>
      </c>
      <c r="K25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7" s="37"/>
      <c r="O2527" s="37"/>
      <c r="P2527" s="37"/>
    </row>
    <row r="2528" spans="2:16" x14ac:dyDescent="0.25">
      <c r="B25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8" s="46"/>
      <c r="D2528" s="37"/>
      <c r="E2528" s="37"/>
      <c r="F2528" s="37"/>
      <c r="G2528" s="40" t="str">
        <f>IF(tblMovimientos[[#This Row],[Producto]]="","",TRIM(LEFT(tblMovimientos[[#This Row],[Producto]],FIND(" · ",tblMovimientos[[#This Row],[Producto]]&amp;" · ")-1)))</f>
        <v/>
      </c>
      <c r="H2528" s="40" t="str">
        <f>IF(tblMovimientos[[#This Row],[SKU]]="","",IFERROR(INDEX(tblProductos[Unidad],MATCH(tblMovimientos[[#This Row],[SKU]],tblProductos[SKU],0)),"?"))</f>
        <v/>
      </c>
      <c r="I2528" s="39"/>
      <c r="J2528" s="47" t="str">
        <f>IF(tblMovimientos[[#This Row],[Tipo]]="","",IFERROR(INDEX(tblTiposMov[FactorStock],MATCH(tblMovimientos[[#This Row],[Tipo]],tblTiposMov[Tipo],0)),0))</f>
        <v/>
      </c>
      <c r="K25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8" s="37"/>
      <c r="O2528" s="37"/>
      <c r="P2528" s="37"/>
    </row>
    <row r="2529" spans="2:16" x14ac:dyDescent="0.25">
      <c r="B25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29" s="46"/>
      <c r="D2529" s="37"/>
      <c r="E2529" s="37"/>
      <c r="F2529" s="37"/>
      <c r="G2529" s="40" t="str">
        <f>IF(tblMovimientos[[#This Row],[Producto]]="","",TRIM(LEFT(tblMovimientos[[#This Row],[Producto]],FIND(" · ",tblMovimientos[[#This Row],[Producto]]&amp;" · ")-1)))</f>
        <v/>
      </c>
      <c r="H2529" s="40" t="str">
        <f>IF(tblMovimientos[[#This Row],[SKU]]="","",IFERROR(INDEX(tblProductos[Unidad],MATCH(tblMovimientos[[#This Row],[SKU]],tblProductos[SKU],0)),"?"))</f>
        <v/>
      </c>
      <c r="I2529" s="39"/>
      <c r="J2529" s="47" t="str">
        <f>IF(tblMovimientos[[#This Row],[Tipo]]="","",IFERROR(INDEX(tblTiposMov[FactorStock],MATCH(tblMovimientos[[#This Row],[Tipo]],tblTiposMov[Tipo],0)),0))</f>
        <v/>
      </c>
      <c r="K25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29" s="37"/>
      <c r="O2529" s="37"/>
      <c r="P2529" s="37"/>
    </row>
    <row r="2530" spans="2:16" x14ac:dyDescent="0.25">
      <c r="B25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0" s="46"/>
      <c r="D2530" s="37"/>
      <c r="E2530" s="37"/>
      <c r="F2530" s="37"/>
      <c r="G2530" s="40" t="str">
        <f>IF(tblMovimientos[[#This Row],[Producto]]="","",TRIM(LEFT(tblMovimientos[[#This Row],[Producto]],FIND(" · ",tblMovimientos[[#This Row],[Producto]]&amp;" · ")-1)))</f>
        <v/>
      </c>
      <c r="H2530" s="40" t="str">
        <f>IF(tblMovimientos[[#This Row],[SKU]]="","",IFERROR(INDEX(tblProductos[Unidad],MATCH(tblMovimientos[[#This Row],[SKU]],tblProductos[SKU],0)),"?"))</f>
        <v/>
      </c>
      <c r="I2530" s="39"/>
      <c r="J2530" s="47" t="str">
        <f>IF(tblMovimientos[[#This Row],[Tipo]]="","",IFERROR(INDEX(tblTiposMov[FactorStock],MATCH(tblMovimientos[[#This Row],[Tipo]],tblTiposMov[Tipo],0)),0))</f>
        <v/>
      </c>
      <c r="K25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0" s="37"/>
      <c r="O2530" s="37"/>
      <c r="P2530" s="37"/>
    </row>
    <row r="2531" spans="2:16" x14ac:dyDescent="0.25">
      <c r="B25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1" s="46"/>
      <c r="D2531" s="37"/>
      <c r="E2531" s="37"/>
      <c r="F2531" s="37"/>
      <c r="G2531" s="40" t="str">
        <f>IF(tblMovimientos[[#This Row],[Producto]]="","",TRIM(LEFT(tblMovimientos[[#This Row],[Producto]],FIND(" · ",tblMovimientos[[#This Row],[Producto]]&amp;" · ")-1)))</f>
        <v/>
      </c>
      <c r="H2531" s="40" t="str">
        <f>IF(tblMovimientos[[#This Row],[SKU]]="","",IFERROR(INDEX(tblProductos[Unidad],MATCH(tblMovimientos[[#This Row],[SKU]],tblProductos[SKU],0)),"?"))</f>
        <v/>
      </c>
      <c r="I2531" s="39"/>
      <c r="J2531" s="47" t="str">
        <f>IF(tblMovimientos[[#This Row],[Tipo]]="","",IFERROR(INDEX(tblTiposMov[FactorStock],MATCH(tblMovimientos[[#This Row],[Tipo]],tblTiposMov[Tipo],0)),0))</f>
        <v/>
      </c>
      <c r="K25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1" s="37"/>
      <c r="O2531" s="37"/>
      <c r="P2531" s="37"/>
    </row>
    <row r="2532" spans="2:16" x14ac:dyDescent="0.25">
      <c r="B25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2" s="46"/>
      <c r="D2532" s="37"/>
      <c r="E2532" s="37"/>
      <c r="F2532" s="37"/>
      <c r="G2532" s="40" t="str">
        <f>IF(tblMovimientos[[#This Row],[Producto]]="","",TRIM(LEFT(tblMovimientos[[#This Row],[Producto]],FIND(" · ",tblMovimientos[[#This Row],[Producto]]&amp;" · ")-1)))</f>
        <v/>
      </c>
      <c r="H2532" s="40" t="str">
        <f>IF(tblMovimientos[[#This Row],[SKU]]="","",IFERROR(INDEX(tblProductos[Unidad],MATCH(tblMovimientos[[#This Row],[SKU]],tblProductos[SKU],0)),"?"))</f>
        <v/>
      </c>
      <c r="I2532" s="39"/>
      <c r="J2532" s="47" t="str">
        <f>IF(tblMovimientos[[#This Row],[Tipo]]="","",IFERROR(INDEX(tblTiposMov[FactorStock],MATCH(tblMovimientos[[#This Row],[Tipo]],tblTiposMov[Tipo],0)),0))</f>
        <v/>
      </c>
      <c r="K25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2" s="37"/>
      <c r="O2532" s="37"/>
      <c r="P2532" s="37"/>
    </row>
    <row r="2533" spans="2:16" x14ac:dyDescent="0.25">
      <c r="B25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3" s="46"/>
      <c r="D2533" s="37"/>
      <c r="E2533" s="37"/>
      <c r="F2533" s="37"/>
      <c r="G2533" s="40" t="str">
        <f>IF(tblMovimientos[[#This Row],[Producto]]="","",TRIM(LEFT(tblMovimientos[[#This Row],[Producto]],FIND(" · ",tblMovimientos[[#This Row],[Producto]]&amp;" · ")-1)))</f>
        <v/>
      </c>
      <c r="H2533" s="40" t="str">
        <f>IF(tblMovimientos[[#This Row],[SKU]]="","",IFERROR(INDEX(tblProductos[Unidad],MATCH(tblMovimientos[[#This Row],[SKU]],tblProductos[SKU],0)),"?"))</f>
        <v/>
      </c>
      <c r="I2533" s="39"/>
      <c r="J2533" s="47" t="str">
        <f>IF(tblMovimientos[[#This Row],[Tipo]]="","",IFERROR(INDEX(tblTiposMov[FactorStock],MATCH(tblMovimientos[[#This Row],[Tipo]],tblTiposMov[Tipo],0)),0))</f>
        <v/>
      </c>
      <c r="K25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3" s="37"/>
      <c r="O2533" s="37"/>
      <c r="P2533" s="37"/>
    </row>
    <row r="2534" spans="2:16" x14ac:dyDescent="0.25">
      <c r="B25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4" s="46"/>
      <c r="D2534" s="37"/>
      <c r="E2534" s="37"/>
      <c r="F2534" s="37"/>
      <c r="G2534" s="40" t="str">
        <f>IF(tblMovimientos[[#This Row],[Producto]]="","",TRIM(LEFT(tblMovimientos[[#This Row],[Producto]],FIND(" · ",tblMovimientos[[#This Row],[Producto]]&amp;" · ")-1)))</f>
        <v/>
      </c>
      <c r="H2534" s="40" t="str">
        <f>IF(tblMovimientos[[#This Row],[SKU]]="","",IFERROR(INDEX(tblProductos[Unidad],MATCH(tblMovimientos[[#This Row],[SKU]],tblProductos[SKU],0)),"?"))</f>
        <v/>
      </c>
      <c r="I2534" s="39"/>
      <c r="J2534" s="47" t="str">
        <f>IF(tblMovimientos[[#This Row],[Tipo]]="","",IFERROR(INDEX(tblTiposMov[FactorStock],MATCH(tblMovimientos[[#This Row],[Tipo]],tblTiposMov[Tipo],0)),0))</f>
        <v/>
      </c>
      <c r="K25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4" s="37"/>
      <c r="O2534" s="37"/>
      <c r="P2534" s="37"/>
    </row>
    <row r="2535" spans="2:16" x14ac:dyDescent="0.25">
      <c r="B25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5" s="46"/>
      <c r="D2535" s="37"/>
      <c r="E2535" s="37"/>
      <c r="F2535" s="37"/>
      <c r="G2535" s="40" t="str">
        <f>IF(tblMovimientos[[#This Row],[Producto]]="","",TRIM(LEFT(tblMovimientos[[#This Row],[Producto]],FIND(" · ",tblMovimientos[[#This Row],[Producto]]&amp;" · ")-1)))</f>
        <v/>
      </c>
      <c r="H2535" s="40" t="str">
        <f>IF(tblMovimientos[[#This Row],[SKU]]="","",IFERROR(INDEX(tblProductos[Unidad],MATCH(tblMovimientos[[#This Row],[SKU]],tblProductos[SKU],0)),"?"))</f>
        <v/>
      </c>
      <c r="I2535" s="39"/>
      <c r="J2535" s="47" t="str">
        <f>IF(tblMovimientos[[#This Row],[Tipo]]="","",IFERROR(INDEX(tblTiposMov[FactorStock],MATCH(tblMovimientos[[#This Row],[Tipo]],tblTiposMov[Tipo],0)),0))</f>
        <v/>
      </c>
      <c r="K25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5" s="37"/>
      <c r="O2535" s="37"/>
      <c r="P2535" s="37"/>
    </row>
    <row r="2536" spans="2:16" x14ac:dyDescent="0.25">
      <c r="B25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6" s="46"/>
      <c r="D2536" s="37"/>
      <c r="E2536" s="37"/>
      <c r="F2536" s="37"/>
      <c r="G2536" s="40" t="str">
        <f>IF(tblMovimientos[[#This Row],[Producto]]="","",TRIM(LEFT(tblMovimientos[[#This Row],[Producto]],FIND(" · ",tblMovimientos[[#This Row],[Producto]]&amp;" · ")-1)))</f>
        <v/>
      </c>
      <c r="H2536" s="40" t="str">
        <f>IF(tblMovimientos[[#This Row],[SKU]]="","",IFERROR(INDEX(tblProductos[Unidad],MATCH(tblMovimientos[[#This Row],[SKU]],tblProductos[SKU],0)),"?"))</f>
        <v/>
      </c>
      <c r="I2536" s="39"/>
      <c r="J2536" s="47" t="str">
        <f>IF(tblMovimientos[[#This Row],[Tipo]]="","",IFERROR(INDEX(tblTiposMov[FactorStock],MATCH(tblMovimientos[[#This Row],[Tipo]],tblTiposMov[Tipo],0)),0))</f>
        <v/>
      </c>
      <c r="K25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6" s="37"/>
      <c r="O2536" s="37"/>
      <c r="P2536" s="37"/>
    </row>
    <row r="2537" spans="2:16" x14ac:dyDescent="0.25">
      <c r="B25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7" s="46"/>
      <c r="D2537" s="37"/>
      <c r="E2537" s="37"/>
      <c r="F2537" s="37"/>
      <c r="G2537" s="40" t="str">
        <f>IF(tblMovimientos[[#This Row],[Producto]]="","",TRIM(LEFT(tblMovimientos[[#This Row],[Producto]],FIND(" · ",tblMovimientos[[#This Row],[Producto]]&amp;" · ")-1)))</f>
        <v/>
      </c>
      <c r="H2537" s="40" t="str">
        <f>IF(tblMovimientos[[#This Row],[SKU]]="","",IFERROR(INDEX(tblProductos[Unidad],MATCH(tblMovimientos[[#This Row],[SKU]],tblProductos[SKU],0)),"?"))</f>
        <v/>
      </c>
      <c r="I2537" s="39"/>
      <c r="J2537" s="47" t="str">
        <f>IF(tblMovimientos[[#This Row],[Tipo]]="","",IFERROR(INDEX(tblTiposMov[FactorStock],MATCH(tblMovimientos[[#This Row],[Tipo]],tblTiposMov[Tipo],0)),0))</f>
        <v/>
      </c>
      <c r="K25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7" s="37"/>
      <c r="O2537" s="37"/>
      <c r="P2537" s="37"/>
    </row>
    <row r="2538" spans="2:16" x14ac:dyDescent="0.25">
      <c r="B25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8" s="46"/>
      <c r="D2538" s="37"/>
      <c r="E2538" s="37"/>
      <c r="F2538" s="37"/>
      <c r="G2538" s="40" t="str">
        <f>IF(tblMovimientos[[#This Row],[Producto]]="","",TRIM(LEFT(tblMovimientos[[#This Row],[Producto]],FIND(" · ",tblMovimientos[[#This Row],[Producto]]&amp;" · ")-1)))</f>
        <v/>
      </c>
      <c r="H2538" s="40" t="str">
        <f>IF(tblMovimientos[[#This Row],[SKU]]="","",IFERROR(INDEX(tblProductos[Unidad],MATCH(tblMovimientos[[#This Row],[SKU]],tblProductos[SKU],0)),"?"))</f>
        <v/>
      </c>
      <c r="I2538" s="39"/>
      <c r="J2538" s="47" t="str">
        <f>IF(tblMovimientos[[#This Row],[Tipo]]="","",IFERROR(INDEX(tblTiposMov[FactorStock],MATCH(tblMovimientos[[#This Row],[Tipo]],tblTiposMov[Tipo],0)),0))</f>
        <v/>
      </c>
      <c r="K25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8" s="37"/>
      <c r="O2538" s="37"/>
      <c r="P2538" s="37"/>
    </row>
    <row r="2539" spans="2:16" x14ac:dyDescent="0.25">
      <c r="B25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39" s="46"/>
      <c r="D2539" s="37"/>
      <c r="E2539" s="37"/>
      <c r="F2539" s="37"/>
      <c r="G2539" s="40" t="str">
        <f>IF(tblMovimientos[[#This Row],[Producto]]="","",TRIM(LEFT(tblMovimientos[[#This Row],[Producto]],FIND(" · ",tblMovimientos[[#This Row],[Producto]]&amp;" · ")-1)))</f>
        <v/>
      </c>
      <c r="H2539" s="40" t="str">
        <f>IF(tblMovimientos[[#This Row],[SKU]]="","",IFERROR(INDEX(tblProductos[Unidad],MATCH(tblMovimientos[[#This Row],[SKU]],tblProductos[SKU],0)),"?"))</f>
        <v/>
      </c>
      <c r="I2539" s="39"/>
      <c r="J2539" s="47" t="str">
        <f>IF(tblMovimientos[[#This Row],[Tipo]]="","",IFERROR(INDEX(tblTiposMov[FactorStock],MATCH(tblMovimientos[[#This Row],[Tipo]],tblTiposMov[Tipo],0)),0))</f>
        <v/>
      </c>
      <c r="K25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39" s="37"/>
      <c r="O2539" s="37"/>
      <c r="P2539" s="37"/>
    </row>
    <row r="2540" spans="2:16" x14ac:dyDescent="0.25">
      <c r="B25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0" s="46"/>
      <c r="D2540" s="37"/>
      <c r="E2540" s="37"/>
      <c r="F2540" s="37"/>
      <c r="G2540" s="40" t="str">
        <f>IF(tblMovimientos[[#This Row],[Producto]]="","",TRIM(LEFT(tblMovimientos[[#This Row],[Producto]],FIND(" · ",tblMovimientos[[#This Row],[Producto]]&amp;" · ")-1)))</f>
        <v/>
      </c>
      <c r="H2540" s="40" t="str">
        <f>IF(tblMovimientos[[#This Row],[SKU]]="","",IFERROR(INDEX(tblProductos[Unidad],MATCH(tblMovimientos[[#This Row],[SKU]],tblProductos[SKU],0)),"?"))</f>
        <v/>
      </c>
      <c r="I2540" s="39"/>
      <c r="J2540" s="47" t="str">
        <f>IF(tblMovimientos[[#This Row],[Tipo]]="","",IFERROR(INDEX(tblTiposMov[FactorStock],MATCH(tblMovimientos[[#This Row],[Tipo]],tblTiposMov[Tipo],0)),0))</f>
        <v/>
      </c>
      <c r="K25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0" s="37"/>
      <c r="O2540" s="37"/>
      <c r="P2540" s="37"/>
    </row>
    <row r="2541" spans="2:16" x14ac:dyDescent="0.25">
      <c r="B25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1" s="46"/>
      <c r="D2541" s="37"/>
      <c r="E2541" s="37"/>
      <c r="F2541" s="37"/>
      <c r="G2541" s="40" t="str">
        <f>IF(tblMovimientos[[#This Row],[Producto]]="","",TRIM(LEFT(tblMovimientos[[#This Row],[Producto]],FIND(" · ",tblMovimientos[[#This Row],[Producto]]&amp;" · ")-1)))</f>
        <v/>
      </c>
      <c r="H2541" s="40" t="str">
        <f>IF(tblMovimientos[[#This Row],[SKU]]="","",IFERROR(INDEX(tblProductos[Unidad],MATCH(tblMovimientos[[#This Row],[SKU]],tblProductos[SKU],0)),"?"))</f>
        <v/>
      </c>
      <c r="I2541" s="39"/>
      <c r="J2541" s="47" t="str">
        <f>IF(tblMovimientos[[#This Row],[Tipo]]="","",IFERROR(INDEX(tblTiposMov[FactorStock],MATCH(tblMovimientos[[#This Row],[Tipo]],tblTiposMov[Tipo],0)),0))</f>
        <v/>
      </c>
      <c r="K25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1" s="37"/>
      <c r="O2541" s="37"/>
      <c r="P2541" s="37"/>
    </row>
    <row r="2542" spans="2:16" x14ac:dyDescent="0.25">
      <c r="B25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2" s="46"/>
      <c r="D2542" s="37"/>
      <c r="E2542" s="37"/>
      <c r="F2542" s="37"/>
      <c r="G2542" s="40" t="str">
        <f>IF(tblMovimientos[[#This Row],[Producto]]="","",TRIM(LEFT(tblMovimientos[[#This Row],[Producto]],FIND(" · ",tblMovimientos[[#This Row],[Producto]]&amp;" · ")-1)))</f>
        <v/>
      </c>
      <c r="H2542" s="40" t="str">
        <f>IF(tblMovimientos[[#This Row],[SKU]]="","",IFERROR(INDEX(tblProductos[Unidad],MATCH(tblMovimientos[[#This Row],[SKU]],tblProductos[SKU],0)),"?"))</f>
        <v/>
      </c>
      <c r="I2542" s="39"/>
      <c r="J2542" s="47" t="str">
        <f>IF(tblMovimientos[[#This Row],[Tipo]]="","",IFERROR(INDEX(tblTiposMov[FactorStock],MATCH(tblMovimientos[[#This Row],[Tipo]],tblTiposMov[Tipo],0)),0))</f>
        <v/>
      </c>
      <c r="K25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2" s="37"/>
      <c r="O2542" s="37"/>
      <c r="P2542" s="37"/>
    </row>
    <row r="2543" spans="2:16" x14ac:dyDescent="0.25">
      <c r="B25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3" s="46"/>
      <c r="D2543" s="37"/>
      <c r="E2543" s="37"/>
      <c r="F2543" s="37"/>
      <c r="G2543" s="40" t="str">
        <f>IF(tblMovimientos[[#This Row],[Producto]]="","",TRIM(LEFT(tblMovimientos[[#This Row],[Producto]],FIND(" · ",tblMovimientos[[#This Row],[Producto]]&amp;" · ")-1)))</f>
        <v/>
      </c>
      <c r="H2543" s="40" t="str">
        <f>IF(tblMovimientos[[#This Row],[SKU]]="","",IFERROR(INDEX(tblProductos[Unidad],MATCH(tblMovimientos[[#This Row],[SKU]],tblProductos[SKU],0)),"?"))</f>
        <v/>
      </c>
      <c r="I2543" s="39"/>
      <c r="J2543" s="47" t="str">
        <f>IF(tblMovimientos[[#This Row],[Tipo]]="","",IFERROR(INDEX(tblTiposMov[FactorStock],MATCH(tblMovimientos[[#This Row],[Tipo]],tblTiposMov[Tipo],0)),0))</f>
        <v/>
      </c>
      <c r="K25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3" s="37"/>
      <c r="O2543" s="37"/>
      <c r="P2543" s="37"/>
    </row>
    <row r="2544" spans="2:16" x14ac:dyDescent="0.25">
      <c r="B25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4" s="46"/>
      <c r="D2544" s="37"/>
      <c r="E2544" s="37"/>
      <c r="F2544" s="37"/>
      <c r="G2544" s="40" t="str">
        <f>IF(tblMovimientos[[#This Row],[Producto]]="","",TRIM(LEFT(tblMovimientos[[#This Row],[Producto]],FIND(" · ",tblMovimientos[[#This Row],[Producto]]&amp;" · ")-1)))</f>
        <v/>
      </c>
      <c r="H2544" s="40" t="str">
        <f>IF(tblMovimientos[[#This Row],[SKU]]="","",IFERROR(INDEX(tblProductos[Unidad],MATCH(tblMovimientos[[#This Row],[SKU]],tblProductos[SKU],0)),"?"))</f>
        <v/>
      </c>
      <c r="I2544" s="39"/>
      <c r="J2544" s="47" t="str">
        <f>IF(tblMovimientos[[#This Row],[Tipo]]="","",IFERROR(INDEX(tblTiposMov[FactorStock],MATCH(tblMovimientos[[#This Row],[Tipo]],tblTiposMov[Tipo],0)),0))</f>
        <v/>
      </c>
      <c r="K25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4" s="37"/>
      <c r="O2544" s="37"/>
      <c r="P2544" s="37"/>
    </row>
    <row r="2545" spans="2:16" x14ac:dyDescent="0.25">
      <c r="B25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5" s="46"/>
      <c r="D2545" s="37"/>
      <c r="E2545" s="37"/>
      <c r="F2545" s="37"/>
      <c r="G2545" s="40" t="str">
        <f>IF(tblMovimientos[[#This Row],[Producto]]="","",TRIM(LEFT(tblMovimientos[[#This Row],[Producto]],FIND(" · ",tblMovimientos[[#This Row],[Producto]]&amp;" · ")-1)))</f>
        <v/>
      </c>
      <c r="H2545" s="40" t="str">
        <f>IF(tblMovimientos[[#This Row],[SKU]]="","",IFERROR(INDEX(tblProductos[Unidad],MATCH(tblMovimientos[[#This Row],[SKU]],tblProductos[SKU],0)),"?"))</f>
        <v/>
      </c>
      <c r="I2545" s="39"/>
      <c r="J2545" s="47" t="str">
        <f>IF(tblMovimientos[[#This Row],[Tipo]]="","",IFERROR(INDEX(tblTiposMov[FactorStock],MATCH(tblMovimientos[[#This Row],[Tipo]],tblTiposMov[Tipo],0)),0))</f>
        <v/>
      </c>
      <c r="K25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5" s="37"/>
      <c r="O2545" s="37"/>
      <c r="P2545" s="37"/>
    </row>
    <row r="2546" spans="2:16" x14ac:dyDescent="0.25">
      <c r="B25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6" s="46"/>
      <c r="D2546" s="37"/>
      <c r="E2546" s="37"/>
      <c r="F2546" s="37"/>
      <c r="G2546" s="40" t="str">
        <f>IF(tblMovimientos[[#This Row],[Producto]]="","",TRIM(LEFT(tblMovimientos[[#This Row],[Producto]],FIND(" · ",tblMovimientos[[#This Row],[Producto]]&amp;" · ")-1)))</f>
        <v/>
      </c>
      <c r="H2546" s="40" t="str">
        <f>IF(tblMovimientos[[#This Row],[SKU]]="","",IFERROR(INDEX(tblProductos[Unidad],MATCH(tblMovimientos[[#This Row],[SKU]],tblProductos[SKU],0)),"?"))</f>
        <v/>
      </c>
      <c r="I2546" s="39"/>
      <c r="J2546" s="47" t="str">
        <f>IF(tblMovimientos[[#This Row],[Tipo]]="","",IFERROR(INDEX(tblTiposMov[FactorStock],MATCH(tblMovimientos[[#This Row],[Tipo]],tblTiposMov[Tipo],0)),0))</f>
        <v/>
      </c>
      <c r="K25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6" s="37"/>
      <c r="O2546" s="37"/>
      <c r="P2546" s="37"/>
    </row>
    <row r="2547" spans="2:16" x14ac:dyDescent="0.25">
      <c r="B25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7" s="46"/>
      <c r="D2547" s="37"/>
      <c r="E2547" s="37"/>
      <c r="F2547" s="37"/>
      <c r="G2547" s="40" t="str">
        <f>IF(tblMovimientos[[#This Row],[Producto]]="","",TRIM(LEFT(tblMovimientos[[#This Row],[Producto]],FIND(" · ",tblMovimientos[[#This Row],[Producto]]&amp;" · ")-1)))</f>
        <v/>
      </c>
      <c r="H2547" s="40" t="str">
        <f>IF(tblMovimientos[[#This Row],[SKU]]="","",IFERROR(INDEX(tblProductos[Unidad],MATCH(tblMovimientos[[#This Row],[SKU]],tblProductos[SKU],0)),"?"))</f>
        <v/>
      </c>
      <c r="I2547" s="39"/>
      <c r="J2547" s="47" t="str">
        <f>IF(tblMovimientos[[#This Row],[Tipo]]="","",IFERROR(INDEX(tblTiposMov[FactorStock],MATCH(tblMovimientos[[#This Row],[Tipo]],tblTiposMov[Tipo],0)),0))</f>
        <v/>
      </c>
      <c r="K25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7" s="37"/>
      <c r="O2547" s="37"/>
      <c r="P2547" s="37"/>
    </row>
    <row r="2548" spans="2:16" x14ac:dyDescent="0.25">
      <c r="B25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8" s="46"/>
      <c r="D2548" s="37"/>
      <c r="E2548" s="37"/>
      <c r="F2548" s="37"/>
      <c r="G2548" s="40" t="str">
        <f>IF(tblMovimientos[[#This Row],[Producto]]="","",TRIM(LEFT(tblMovimientos[[#This Row],[Producto]],FIND(" · ",tblMovimientos[[#This Row],[Producto]]&amp;" · ")-1)))</f>
        <v/>
      </c>
      <c r="H2548" s="40" t="str">
        <f>IF(tblMovimientos[[#This Row],[SKU]]="","",IFERROR(INDEX(tblProductos[Unidad],MATCH(tblMovimientos[[#This Row],[SKU]],tblProductos[SKU],0)),"?"))</f>
        <v/>
      </c>
      <c r="I2548" s="39"/>
      <c r="J2548" s="47" t="str">
        <f>IF(tblMovimientos[[#This Row],[Tipo]]="","",IFERROR(INDEX(tblTiposMov[FactorStock],MATCH(tblMovimientos[[#This Row],[Tipo]],tblTiposMov[Tipo],0)),0))</f>
        <v/>
      </c>
      <c r="K25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8" s="37"/>
      <c r="O2548" s="37"/>
      <c r="P2548" s="37"/>
    </row>
    <row r="2549" spans="2:16" x14ac:dyDescent="0.25">
      <c r="B25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49" s="46"/>
      <c r="D2549" s="37"/>
      <c r="E2549" s="37"/>
      <c r="F2549" s="37"/>
      <c r="G2549" s="40" t="str">
        <f>IF(tblMovimientos[[#This Row],[Producto]]="","",TRIM(LEFT(tblMovimientos[[#This Row],[Producto]],FIND(" · ",tblMovimientos[[#This Row],[Producto]]&amp;" · ")-1)))</f>
        <v/>
      </c>
      <c r="H2549" s="40" t="str">
        <f>IF(tblMovimientos[[#This Row],[SKU]]="","",IFERROR(INDEX(tblProductos[Unidad],MATCH(tblMovimientos[[#This Row],[SKU]],tblProductos[SKU],0)),"?"))</f>
        <v/>
      </c>
      <c r="I2549" s="39"/>
      <c r="J2549" s="47" t="str">
        <f>IF(tblMovimientos[[#This Row],[Tipo]]="","",IFERROR(INDEX(tblTiposMov[FactorStock],MATCH(tblMovimientos[[#This Row],[Tipo]],tblTiposMov[Tipo],0)),0))</f>
        <v/>
      </c>
      <c r="K25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49" s="37"/>
      <c r="O2549" s="37"/>
      <c r="P2549" s="37"/>
    </row>
    <row r="2550" spans="2:16" x14ac:dyDescent="0.25">
      <c r="B25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0" s="46"/>
      <c r="D2550" s="37"/>
      <c r="E2550" s="37"/>
      <c r="F2550" s="37"/>
      <c r="G2550" s="40" t="str">
        <f>IF(tblMovimientos[[#This Row],[Producto]]="","",TRIM(LEFT(tblMovimientos[[#This Row],[Producto]],FIND(" · ",tblMovimientos[[#This Row],[Producto]]&amp;" · ")-1)))</f>
        <v/>
      </c>
      <c r="H2550" s="40" t="str">
        <f>IF(tblMovimientos[[#This Row],[SKU]]="","",IFERROR(INDEX(tblProductos[Unidad],MATCH(tblMovimientos[[#This Row],[SKU]],tblProductos[SKU],0)),"?"))</f>
        <v/>
      </c>
      <c r="I2550" s="39"/>
      <c r="J2550" s="47" t="str">
        <f>IF(tblMovimientos[[#This Row],[Tipo]]="","",IFERROR(INDEX(tblTiposMov[FactorStock],MATCH(tblMovimientos[[#This Row],[Tipo]],tblTiposMov[Tipo],0)),0))</f>
        <v/>
      </c>
      <c r="K25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0" s="37"/>
      <c r="O2550" s="37"/>
      <c r="P2550" s="37"/>
    </row>
    <row r="2551" spans="2:16" x14ac:dyDescent="0.25">
      <c r="B25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1" s="46"/>
      <c r="D2551" s="37"/>
      <c r="E2551" s="37"/>
      <c r="F2551" s="37"/>
      <c r="G2551" s="40" t="str">
        <f>IF(tblMovimientos[[#This Row],[Producto]]="","",TRIM(LEFT(tblMovimientos[[#This Row],[Producto]],FIND(" · ",tblMovimientos[[#This Row],[Producto]]&amp;" · ")-1)))</f>
        <v/>
      </c>
      <c r="H2551" s="40" t="str">
        <f>IF(tblMovimientos[[#This Row],[SKU]]="","",IFERROR(INDEX(tblProductos[Unidad],MATCH(tblMovimientos[[#This Row],[SKU]],tblProductos[SKU],0)),"?"))</f>
        <v/>
      </c>
      <c r="I2551" s="39"/>
      <c r="J2551" s="47" t="str">
        <f>IF(tblMovimientos[[#This Row],[Tipo]]="","",IFERROR(INDEX(tblTiposMov[FactorStock],MATCH(tblMovimientos[[#This Row],[Tipo]],tblTiposMov[Tipo],0)),0))</f>
        <v/>
      </c>
      <c r="K25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1" s="37"/>
      <c r="O2551" s="37"/>
      <c r="P2551" s="37"/>
    </row>
    <row r="2552" spans="2:16" x14ac:dyDescent="0.25">
      <c r="B25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2" s="46"/>
      <c r="D2552" s="37"/>
      <c r="E2552" s="37"/>
      <c r="F2552" s="37"/>
      <c r="G2552" s="40" t="str">
        <f>IF(tblMovimientos[[#This Row],[Producto]]="","",TRIM(LEFT(tblMovimientos[[#This Row],[Producto]],FIND(" · ",tblMovimientos[[#This Row],[Producto]]&amp;" · ")-1)))</f>
        <v/>
      </c>
      <c r="H2552" s="40" t="str">
        <f>IF(tblMovimientos[[#This Row],[SKU]]="","",IFERROR(INDEX(tblProductos[Unidad],MATCH(tblMovimientos[[#This Row],[SKU]],tblProductos[SKU],0)),"?"))</f>
        <v/>
      </c>
      <c r="I2552" s="39"/>
      <c r="J2552" s="47" t="str">
        <f>IF(tblMovimientos[[#This Row],[Tipo]]="","",IFERROR(INDEX(tblTiposMov[FactorStock],MATCH(tblMovimientos[[#This Row],[Tipo]],tblTiposMov[Tipo],0)),0))</f>
        <v/>
      </c>
      <c r="K25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2" s="37"/>
      <c r="O2552" s="37"/>
      <c r="P2552" s="37"/>
    </row>
    <row r="2553" spans="2:16" x14ac:dyDescent="0.25">
      <c r="B25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3" s="46"/>
      <c r="D2553" s="37"/>
      <c r="E2553" s="37"/>
      <c r="F2553" s="37"/>
      <c r="G2553" s="40" t="str">
        <f>IF(tblMovimientos[[#This Row],[Producto]]="","",TRIM(LEFT(tblMovimientos[[#This Row],[Producto]],FIND(" · ",tblMovimientos[[#This Row],[Producto]]&amp;" · ")-1)))</f>
        <v/>
      </c>
      <c r="H2553" s="40" t="str">
        <f>IF(tblMovimientos[[#This Row],[SKU]]="","",IFERROR(INDEX(tblProductos[Unidad],MATCH(tblMovimientos[[#This Row],[SKU]],tblProductos[SKU],0)),"?"))</f>
        <v/>
      </c>
      <c r="I2553" s="39"/>
      <c r="J2553" s="47" t="str">
        <f>IF(tblMovimientos[[#This Row],[Tipo]]="","",IFERROR(INDEX(tblTiposMov[FactorStock],MATCH(tblMovimientos[[#This Row],[Tipo]],tblTiposMov[Tipo],0)),0))</f>
        <v/>
      </c>
      <c r="K25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3" s="37"/>
      <c r="O2553" s="37"/>
      <c r="P2553" s="37"/>
    </row>
    <row r="2554" spans="2:16" x14ac:dyDescent="0.25">
      <c r="B25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4" s="46"/>
      <c r="D2554" s="37"/>
      <c r="E2554" s="37"/>
      <c r="F2554" s="37"/>
      <c r="G2554" s="40" t="str">
        <f>IF(tblMovimientos[[#This Row],[Producto]]="","",TRIM(LEFT(tblMovimientos[[#This Row],[Producto]],FIND(" · ",tblMovimientos[[#This Row],[Producto]]&amp;" · ")-1)))</f>
        <v/>
      </c>
      <c r="H2554" s="40" t="str">
        <f>IF(tblMovimientos[[#This Row],[SKU]]="","",IFERROR(INDEX(tblProductos[Unidad],MATCH(tblMovimientos[[#This Row],[SKU]],tblProductos[SKU],0)),"?"))</f>
        <v/>
      </c>
      <c r="I2554" s="39"/>
      <c r="J2554" s="47" t="str">
        <f>IF(tblMovimientos[[#This Row],[Tipo]]="","",IFERROR(INDEX(tblTiposMov[FactorStock],MATCH(tblMovimientos[[#This Row],[Tipo]],tblTiposMov[Tipo],0)),0))</f>
        <v/>
      </c>
      <c r="K25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4" s="37"/>
      <c r="O2554" s="37"/>
      <c r="P2554" s="37"/>
    </row>
    <row r="2555" spans="2:16" x14ac:dyDescent="0.25">
      <c r="B25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5" s="46"/>
      <c r="D2555" s="37"/>
      <c r="E2555" s="37"/>
      <c r="F2555" s="37"/>
      <c r="G2555" s="40" t="str">
        <f>IF(tblMovimientos[[#This Row],[Producto]]="","",TRIM(LEFT(tblMovimientos[[#This Row],[Producto]],FIND(" · ",tblMovimientos[[#This Row],[Producto]]&amp;" · ")-1)))</f>
        <v/>
      </c>
      <c r="H2555" s="40" t="str">
        <f>IF(tblMovimientos[[#This Row],[SKU]]="","",IFERROR(INDEX(tblProductos[Unidad],MATCH(tblMovimientos[[#This Row],[SKU]],tblProductos[SKU],0)),"?"))</f>
        <v/>
      </c>
      <c r="I2555" s="39"/>
      <c r="J2555" s="47" t="str">
        <f>IF(tblMovimientos[[#This Row],[Tipo]]="","",IFERROR(INDEX(tblTiposMov[FactorStock],MATCH(tblMovimientos[[#This Row],[Tipo]],tblTiposMov[Tipo],0)),0))</f>
        <v/>
      </c>
      <c r="K25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5" s="37"/>
      <c r="O2555" s="37"/>
      <c r="P2555" s="37"/>
    </row>
    <row r="2556" spans="2:16" x14ac:dyDescent="0.25">
      <c r="B25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6" s="46"/>
      <c r="D2556" s="37"/>
      <c r="E2556" s="37"/>
      <c r="F2556" s="37"/>
      <c r="G2556" s="40" t="str">
        <f>IF(tblMovimientos[[#This Row],[Producto]]="","",TRIM(LEFT(tblMovimientos[[#This Row],[Producto]],FIND(" · ",tblMovimientos[[#This Row],[Producto]]&amp;" · ")-1)))</f>
        <v/>
      </c>
      <c r="H2556" s="40" t="str">
        <f>IF(tblMovimientos[[#This Row],[SKU]]="","",IFERROR(INDEX(tblProductos[Unidad],MATCH(tblMovimientos[[#This Row],[SKU]],tblProductos[SKU],0)),"?"))</f>
        <v/>
      </c>
      <c r="I2556" s="39"/>
      <c r="J2556" s="47" t="str">
        <f>IF(tblMovimientos[[#This Row],[Tipo]]="","",IFERROR(INDEX(tblTiposMov[FactorStock],MATCH(tblMovimientos[[#This Row],[Tipo]],tblTiposMov[Tipo],0)),0))</f>
        <v/>
      </c>
      <c r="K25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6" s="37"/>
      <c r="O2556" s="37"/>
      <c r="P2556" s="37"/>
    </row>
    <row r="2557" spans="2:16" x14ac:dyDescent="0.25">
      <c r="B25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7" s="46"/>
      <c r="D2557" s="37"/>
      <c r="E2557" s="37"/>
      <c r="F2557" s="37"/>
      <c r="G2557" s="40" t="str">
        <f>IF(tblMovimientos[[#This Row],[Producto]]="","",TRIM(LEFT(tblMovimientos[[#This Row],[Producto]],FIND(" · ",tblMovimientos[[#This Row],[Producto]]&amp;" · ")-1)))</f>
        <v/>
      </c>
      <c r="H2557" s="40" t="str">
        <f>IF(tblMovimientos[[#This Row],[SKU]]="","",IFERROR(INDEX(tblProductos[Unidad],MATCH(tblMovimientos[[#This Row],[SKU]],tblProductos[SKU],0)),"?"))</f>
        <v/>
      </c>
      <c r="I2557" s="39"/>
      <c r="J2557" s="47" t="str">
        <f>IF(tblMovimientos[[#This Row],[Tipo]]="","",IFERROR(INDEX(tblTiposMov[FactorStock],MATCH(tblMovimientos[[#This Row],[Tipo]],tblTiposMov[Tipo],0)),0))</f>
        <v/>
      </c>
      <c r="K25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7" s="37"/>
      <c r="O2557" s="37"/>
      <c r="P2557" s="37"/>
    </row>
    <row r="2558" spans="2:16" x14ac:dyDescent="0.25">
      <c r="B25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8" s="46"/>
      <c r="D2558" s="37"/>
      <c r="E2558" s="37"/>
      <c r="F2558" s="37"/>
      <c r="G2558" s="40" t="str">
        <f>IF(tblMovimientos[[#This Row],[Producto]]="","",TRIM(LEFT(tblMovimientos[[#This Row],[Producto]],FIND(" · ",tblMovimientos[[#This Row],[Producto]]&amp;" · ")-1)))</f>
        <v/>
      </c>
      <c r="H2558" s="40" t="str">
        <f>IF(tblMovimientos[[#This Row],[SKU]]="","",IFERROR(INDEX(tblProductos[Unidad],MATCH(tblMovimientos[[#This Row],[SKU]],tblProductos[SKU],0)),"?"))</f>
        <v/>
      </c>
      <c r="I2558" s="39"/>
      <c r="J2558" s="47" t="str">
        <f>IF(tblMovimientos[[#This Row],[Tipo]]="","",IFERROR(INDEX(tblTiposMov[FactorStock],MATCH(tblMovimientos[[#This Row],[Tipo]],tblTiposMov[Tipo],0)),0))</f>
        <v/>
      </c>
      <c r="K25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8" s="37"/>
      <c r="O2558" s="37"/>
      <c r="P2558" s="37"/>
    </row>
    <row r="2559" spans="2:16" x14ac:dyDescent="0.25">
      <c r="B25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59" s="46"/>
      <c r="D2559" s="37"/>
      <c r="E2559" s="37"/>
      <c r="F2559" s="37"/>
      <c r="G2559" s="40" t="str">
        <f>IF(tblMovimientos[[#This Row],[Producto]]="","",TRIM(LEFT(tblMovimientos[[#This Row],[Producto]],FIND(" · ",tblMovimientos[[#This Row],[Producto]]&amp;" · ")-1)))</f>
        <v/>
      </c>
      <c r="H2559" s="40" t="str">
        <f>IF(tblMovimientos[[#This Row],[SKU]]="","",IFERROR(INDEX(tblProductos[Unidad],MATCH(tblMovimientos[[#This Row],[SKU]],tblProductos[SKU],0)),"?"))</f>
        <v/>
      </c>
      <c r="I2559" s="39"/>
      <c r="J2559" s="47" t="str">
        <f>IF(tblMovimientos[[#This Row],[Tipo]]="","",IFERROR(INDEX(tblTiposMov[FactorStock],MATCH(tblMovimientos[[#This Row],[Tipo]],tblTiposMov[Tipo],0)),0))</f>
        <v/>
      </c>
      <c r="K25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59" s="37"/>
      <c r="O2559" s="37"/>
      <c r="P2559" s="37"/>
    </row>
    <row r="2560" spans="2:16" x14ac:dyDescent="0.25">
      <c r="B25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0" s="46"/>
      <c r="D2560" s="37"/>
      <c r="E2560" s="37"/>
      <c r="F2560" s="37"/>
      <c r="G2560" s="40" t="str">
        <f>IF(tblMovimientos[[#This Row],[Producto]]="","",TRIM(LEFT(tblMovimientos[[#This Row],[Producto]],FIND(" · ",tblMovimientos[[#This Row],[Producto]]&amp;" · ")-1)))</f>
        <v/>
      </c>
      <c r="H2560" s="40" t="str">
        <f>IF(tblMovimientos[[#This Row],[SKU]]="","",IFERROR(INDEX(tblProductos[Unidad],MATCH(tblMovimientos[[#This Row],[SKU]],tblProductos[SKU],0)),"?"))</f>
        <v/>
      </c>
      <c r="I2560" s="39"/>
      <c r="J2560" s="47" t="str">
        <f>IF(tblMovimientos[[#This Row],[Tipo]]="","",IFERROR(INDEX(tblTiposMov[FactorStock],MATCH(tblMovimientos[[#This Row],[Tipo]],tblTiposMov[Tipo],0)),0))</f>
        <v/>
      </c>
      <c r="K25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0" s="37"/>
      <c r="O2560" s="37"/>
      <c r="P2560" s="37"/>
    </row>
    <row r="2561" spans="2:16" x14ac:dyDescent="0.25">
      <c r="B25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1" s="46"/>
      <c r="D2561" s="37"/>
      <c r="E2561" s="37"/>
      <c r="F2561" s="37"/>
      <c r="G2561" s="40" t="str">
        <f>IF(tblMovimientos[[#This Row],[Producto]]="","",TRIM(LEFT(tblMovimientos[[#This Row],[Producto]],FIND(" · ",tblMovimientos[[#This Row],[Producto]]&amp;" · ")-1)))</f>
        <v/>
      </c>
      <c r="H2561" s="40" t="str">
        <f>IF(tblMovimientos[[#This Row],[SKU]]="","",IFERROR(INDEX(tblProductos[Unidad],MATCH(tblMovimientos[[#This Row],[SKU]],tblProductos[SKU],0)),"?"))</f>
        <v/>
      </c>
      <c r="I2561" s="39"/>
      <c r="J2561" s="47" t="str">
        <f>IF(tblMovimientos[[#This Row],[Tipo]]="","",IFERROR(INDEX(tblTiposMov[FactorStock],MATCH(tblMovimientos[[#This Row],[Tipo]],tblTiposMov[Tipo],0)),0))</f>
        <v/>
      </c>
      <c r="K25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1" s="37"/>
      <c r="O2561" s="37"/>
      <c r="P2561" s="37"/>
    </row>
    <row r="2562" spans="2:16" x14ac:dyDescent="0.25">
      <c r="B25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2" s="46"/>
      <c r="D2562" s="37"/>
      <c r="E2562" s="37"/>
      <c r="F2562" s="37"/>
      <c r="G2562" s="40" t="str">
        <f>IF(tblMovimientos[[#This Row],[Producto]]="","",TRIM(LEFT(tblMovimientos[[#This Row],[Producto]],FIND(" · ",tblMovimientos[[#This Row],[Producto]]&amp;" · ")-1)))</f>
        <v/>
      </c>
      <c r="H2562" s="40" t="str">
        <f>IF(tblMovimientos[[#This Row],[SKU]]="","",IFERROR(INDEX(tblProductos[Unidad],MATCH(tblMovimientos[[#This Row],[SKU]],tblProductos[SKU],0)),"?"))</f>
        <v/>
      </c>
      <c r="I2562" s="39"/>
      <c r="J2562" s="47" t="str">
        <f>IF(tblMovimientos[[#This Row],[Tipo]]="","",IFERROR(INDEX(tblTiposMov[FactorStock],MATCH(tblMovimientos[[#This Row],[Tipo]],tblTiposMov[Tipo],0)),0))</f>
        <v/>
      </c>
      <c r="K25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2" s="37"/>
      <c r="O2562" s="37"/>
      <c r="P2562" s="37"/>
    </row>
    <row r="2563" spans="2:16" x14ac:dyDescent="0.25">
      <c r="B25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3" s="46"/>
      <c r="D2563" s="37"/>
      <c r="E2563" s="37"/>
      <c r="F2563" s="37"/>
      <c r="G2563" s="40" t="str">
        <f>IF(tblMovimientos[[#This Row],[Producto]]="","",TRIM(LEFT(tblMovimientos[[#This Row],[Producto]],FIND(" · ",tblMovimientos[[#This Row],[Producto]]&amp;" · ")-1)))</f>
        <v/>
      </c>
      <c r="H2563" s="40" t="str">
        <f>IF(tblMovimientos[[#This Row],[SKU]]="","",IFERROR(INDEX(tblProductos[Unidad],MATCH(tblMovimientos[[#This Row],[SKU]],tblProductos[SKU],0)),"?"))</f>
        <v/>
      </c>
      <c r="I2563" s="39"/>
      <c r="J2563" s="47" t="str">
        <f>IF(tblMovimientos[[#This Row],[Tipo]]="","",IFERROR(INDEX(tblTiposMov[FactorStock],MATCH(tblMovimientos[[#This Row],[Tipo]],tblTiposMov[Tipo],0)),0))</f>
        <v/>
      </c>
      <c r="K25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3" s="37"/>
      <c r="O2563" s="37"/>
      <c r="P2563" s="37"/>
    </row>
    <row r="2564" spans="2:16" x14ac:dyDescent="0.25">
      <c r="B25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4" s="46"/>
      <c r="D2564" s="37"/>
      <c r="E2564" s="37"/>
      <c r="F2564" s="37"/>
      <c r="G2564" s="40" t="str">
        <f>IF(tblMovimientos[[#This Row],[Producto]]="","",TRIM(LEFT(tblMovimientos[[#This Row],[Producto]],FIND(" · ",tblMovimientos[[#This Row],[Producto]]&amp;" · ")-1)))</f>
        <v/>
      </c>
      <c r="H2564" s="40" t="str">
        <f>IF(tblMovimientos[[#This Row],[SKU]]="","",IFERROR(INDEX(tblProductos[Unidad],MATCH(tblMovimientos[[#This Row],[SKU]],tblProductos[SKU],0)),"?"))</f>
        <v/>
      </c>
      <c r="I2564" s="39"/>
      <c r="J2564" s="47" t="str">
        <f>IF(tblMovimientos[[#This Row],[Tipo]]="","",IFERROR(INDEX(tblTiposMov[FactorStock],MATCH(tblMovimientos[[#This Row],[Tipo]],tblTiposMov[Tipo],0)),0))</f>
        <v/>
      </c>
      <c r="K25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4" s="37"/>
      <c r="O2564" s="37"/>
      <c r="P2564" s="37"/>
    </row>
    <row r="2565" spans="2:16" x14ac:dyDescent="0.25">
      <c r="B25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5" s="46"/>
      <c r="D2565" s="37"/>
      <c r="E2565" s="37"/>
      <c r="F2565" s="37"/>
      <c r="G2565" s="40" t="str">
        <f>IF(tblMovimientos[[#This Row],[Producto]]="","",TRIM(LEFT(tblMovimientos[[#This Row],[Producto]],FIND(" · ",tblMovimientos[[#This Row],[Producto]]&amp;" · ")-1)))</f>
        <v/>
      </c>
      <c r="H2565" s="40" t="str">
        <f>IF(tblMovimientos[[#This Row],[SKU]]="","",IFERROR(INDEX(tblProductos[Unidad],MATCH(tblMovimientos[[#This Row],[SKU]],tblProductos[SKU],0)),"?"))</f>
        <v/>
      </c>
      <c r="I2565" s="39"/>
      <c r="J2565" s="47" t="str">
        <f>IF(tblMovimientos[[#This Row],[Tipo]]="","",IFERROR(INDEX(tblTiposMov[FactorStock],MATCH(tblMovimientos[[#This Row],[Tipo]],tblTiposMov[Tipo],0)),0))</f>
        <v/>
      </c>
      <c r="K25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5" s="37"/>
      <c r="O2565" s="37"/>
      <c r="P2565" s="37"/>
    </row>
    <row r="2566" spans="2:16" x14ac:dyDescent="0.25">
      <c r="B25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6" s="46"/>
      <c r="D2566" s="37"/>
      <c r="E2566" s="37"/>
      <c r="F2566" s="37"/>
      <c r="G2566" s="40" t="str">
        <f>IF(tblMovimientos[[#This Row],[Producto]]="","",TRIM(LEFT(tblMovimientos[[#This Row],[Producto]],FIND(" · ",tblMovimientos[[#This Row],[Producto]]&amp;" · ")-1)))</f>
        <v/>
      </c>
      <c r="H2566" s="40" t="str">
        <f>IF(tblMovimientos[[#This Row],[SKU]]="","",IFERROR(INDEX(tblProductos[Unidad],MATCH(tblMovimientos[[#This Row],[SKU]],tblProductos[SKU],0)),"?"))</f>
        <v/>
      </c>
      <c r="I2566" s="39"/>
      <c r="J2566" s="47" t="str">
        <f>IF(tblMovimientos[[#This Row],[Tipo]]="","",IFERROR(INDEX(tblTiposMov[FactorStock],MATCH(tblMovimientos[[#This Row],[Tipo]],tblTiposMov[Tipo],0)),0))</f>
        <v/>
      </c>
      <c r="K25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6" s="37"/>
      <c r="O2566" s="37"/>
      <c r="P2566" s="37"/>
    </row>
    <row r="2567" spans="2:16" x14ac:dyDescent="0.25">
      <c r="B25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7" s="46"/>
      <c r="D2567" s="37"/>
      <c r="E2567" s="37"/>
      <c r="F2567" s="37"/>
      <c r="G2567" s="40" t="str">
        <f>IF(tblMovimientos[[#This Row],[Producto]]="","",TRIM(LEFT(tblMovimientos[[#This Row],[Producto]],FIND(" · ",tblMovimientos[[#This Row],[Producto]]&amp;" · ")-1)))</f>
        <v/>
      </c>
      <c r="H2567" s="40" t="str">
        <f>IF(tblMovimientos[[#This Row],[SKU]]="","",IFERROR(INDEX(tblProductos[Unidad],MATCH(tblMovimientos[[#This Row],[SKU]],tblProductos[SKU],0)),"?"))</f>
        <v/>
      </c>
      <c r="I2567" s="39"/>
      <c r="J2567" s="47" t="str">
        <f>IF(tblMovimientos[[#This Row],[Tipo]]="","",IFERROR(INDEX(tblTiposMov[FactorStock],MATCH(tblMovimientos[[#This Row],[Tipo]],tblTiposMov[Tipo],0)),0))</f>
        <v/>
      </c>
      <c r="K25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7" s="37"/>
      <c r="O2567" s="37"/>
      <c r="P2567" s="37"/>
    </row>
    <row r="2568" spans="2:16" x14ac:dyDescent="0.25">
      <c r="B25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8" s="46"/>
      <c r="D2568" s="37"/>
      <c r="E2568" s="37"/>
      <c r="F2568" s="37"/>
      <c r="G2568" s="40" t="str">
        <f>IF(tblMovimientos[[#This Row],[Producto]]="","",TRIM(LEFT(tblMovimientos[[#This Row],[Producto]],FIND(" · ",tblMovimientos[[#This Row],[Producto]]&amp;" · ")-1)))</f>
        <v/>
      </c>
      <c r="H2568" s="40" t="str">
        <f>IF(tblMovimientos[[#This Row],[SKU]]="","",IFERROR(INDEX(tblProductos[Unidad],MATCH(tblMovimientos[[#This Row],[SKU]],tblProductos[SKU],0)),"?"))</f>
        <v/>
      </c>
      <c r="I2568" s="39"/>
      <c r="J2568" s="47" t="str">
        <f>IF(tblMovimientos[[#This Row],[Tipo]]="","",IFERROR(INDEX(tblTiposMov[FactorStock],MATCH(tblMovimientos[[#This Row],[Tipo]],tblTiposMov[Tipo],0)),0))</f>
        <v/>
      </c>
      <c r="K25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8" s="37"/>
      <c r="O2568" s="37"/>
      <c r="P2568" s="37"/>
    </row>
    <row r="2569" spans="2:16" x14ac:dyDescent="0.25">
      <c r="B25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69" s="46"/>
      <c r="D2569" s="37"/>
      <c r="E2569" s="37"/>
      <c r="F2569" s="37"/>
      <c r="G2569" s="40" t="str">
        <f>IF(tblMovimientos[[#This Row],[Producto]]="","",TRIM(LEFT(tblMovimientos[[#This Row],[Producto]],FIND(" · ",tblMovimientos[[#This Row],[Producto]]&amp;" · ")-1)))</f>
        <v/>
      </c>
      <c r="H2569" s="40" t="str">
        <f>IF(tblMovimientos[[#This Row],[SKU]]="","",IFERROR(INDEX(tblProductos[Unidad],MATCH(tblMovimientos[[#This Row],[SKU]],tblProductos[SKU],0)),"?"))</f>
        <v/>
      </c>
      <c r="I2569" s="39"/>
      <c r="J2569" s="47" t="str">
        <f>IF(tblMovimientos[[#This Row],[Tipo]]="","",IFERROR(INDEX(tblTiposMov[FactorStock],MATCH(tblMovimientos[[#This Row],[Tipo]],tblTiposMov[Tipo],0)),0))</f>
        <v/>
      </c>
      <c r="K25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69" s="37"/>
      <c r="O2569" s="37"/>
      <c r="P2569" s="37"/>
    </row>
    <row r="2570" spans="2:16" x14ac:dyDescent="0.25">
      <c r="B25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0" s="46"/>
      <c r="D2570" s="37"/>
      <c r="E2570" s="37"/>
      <c r="F2570" s="37"/>
      <c r="G2570" s="40" t="str">
        <f>IF(tblMovimientos[[#This Row],[Producto]]="","",TRIM(LEFT(tblMovimientos[[#This Row],[Producto]],FIND(" · ",tblMovimientos[[#This Row],[Producto]]&amp;" · ")-1)))</f>
        <v/>
      </c>
      <c r="H2570" s="40" t="str">
        <f>IF(tblMovimientos[[#This Row],[SKU]]="","",IFERROR(INDEX(tblProductos[Unidad],MATCH(tblMovimientos[[#This Row],[SKU]],tblProductos[SKU],0)),"?"))</f>
        <v/>
      </c>
      <c r="I2570" s="39"/>
      <c r="J2570" s="47" t="str">
        <f>IF(tblMovimientos[[#This Row],[Tipo]]="","",IFERROR(INDEX(tblTiposMov[FactorStock],MATCH(tblMovimientos[[#This Row],[Tipo]],tblTiposMov[Tipo],0)),0))</f>
        <v/>
      </c>
      <c r="K25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0" s="37"/>
      <c r="O2570" s="37"/>
      <c r="P2570" s="37"/>
    </row>
    <row r="2571" spans="2:16" x14ac:dyDescent="0.25">
      <c r="B25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1" s="46"/>
      <c r="D2571" s="37"/>
      <c r="E2571" s="37"/>
      <c r="F2571" s="37"/>
      <c r="G2571" s="40" t="str">
        <f>IF(tblMovimientos[[#This Row],[Producto]]="","",TRIM(LEFT(tblMovimientos[[#This Row],[Producto]],FIND(" · ",tblMovimientos[[#This Row],[Producto]]&amp;" · ")-1)))</f>
        <v/>
      </c>
      <c r="H2571" s="40" t="str">
        <f>IF(tblMovimientos[[#This Row],[SKU]]="","",IFERROR(INDEX(tblProductos[Unidad],MATCH(tblMovimientos[[#This Row],[SKU]],tblProductos[SKU],0)),"?"))</f>
        <v/>
      </c>
      <c r="I2571" s="39"/>
      <c r="J2571" s="47" t="str">
        <f>IF(tblMovimientos[[#This Row],[Tipo]]="","",IFERROR(INDEX(tblTiposMov[FactorStock],MATCH(tblMovimientos[[#This Row],[Tipo]],tblTiposMov[Tipo],0)),0))</f>
        <v/>
      </c>
      <c r="K25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1" s="37"/>
      <c r="O2571" s="37"/>
      <c r="P2571" s="37"/>
    </row>
    <row r="2572" spans="2:16" x14ac:dyDescent="0.25">
      <c r="B25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2" s="46"/>
      <c r="D2572" s="37"/>
      <c r="E2572" s="37"/>
      <c r="F2572" s="37"/>
      <c r="G2572" s="40" t="str">
        <f>IF(tblMovimientos[[#This Row],[Producto]]="","",TRIM(LEFT(tblMovimientos[[#This Row],[Producto]],FIND(" · ",tblMovimientos[[#This Row],[Producto]]&amp;" · ")-1)))</f>
        <v/>
      </c>
      <c r="H2572" s="40" t="str">
        <f>IF(tblMovimientos[[#This Row],[SKU]]="","",IFERROR(INDEX(tblProductos[Unidad],MATCH(tblMovimientos[[#This Row],[SKU]],tblProductos[SKU],0)),"?"))</f>
        <v/>
      </c>
      <c r="I2572" s="39"/>
      <c r="J2572" s="47" t="str">
        <f>IF(tblMovimientos[[#This Row],[Tipo]]="","",IFERROR(INDEX(tblTiposMov[FactorStock],MATCH(tblMovimientos[[#This Row],[Tipo]],tblTiposMov[Tipo],0)),0))</f>
        <v/>
      </c>
      <c r="K25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2" s="37"/>
      <c r="O2572" s="37"/>
      <c r="P2572" s="37"/>
    </row>
    <row r="2573" spans="2:16" x14ac:dyDescent="0.25">
      <c r="B25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3" s="46"/>
      <c r="D2573" s="37"/>
      <c r="E2573" s="37"/>
      <c r="F2573" s="37"/>
      <c r="G2573" s="40" t="str">
        <f>IF(tblMovimientos[[#This Row],[Producto]]="","",TRIM(LEFT(tblMovimientos[[#This Row],[Producto]],FIND(" · ",tblMovimientos[[#This Row],[Producto]]&amp;" · ")-1)))</f>
        <v/>
      </c>
      <c r="H2573" s="40" t="str">
        <f>IF(tblMovimientos[[#This Row],[SKU]]="","",IFERROR(INDEX(tblProductos[Unidad],MATCH(tblMovimientos[[#This Row],[SKU]],tblProductos[SKU],0)),"?"))</f>
        <v/>
      </c>
      <c r="I2573" s="39"/>
      <c r="J2573" s="47" t="str">
        <f>IF(tblMovimientos[[#This Row],[Tipo]]="","",IFERROR(INDEX(tblTiposMov[FactorStock],MATCH(tblMovimientos[[#This Row],[Tipo]],tblTiposMov[Tipo],0)),0))</f>
        <v/>
      </c>
      <c r="K25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3" s="37"/>
      <c r="O2573" s="37"/>
      <c r="P2573" s="37"/>
    </row>
    <row r="2574" spans="2:16" x14ac:dyDescent="0.25">
      <c r="B25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4" s="46"/>
      <c r="D2574" s="37"/>
      <c r="E2574" s="37"/>
      <c r="F2574" s="37"/>
      <c r="G2574" s="40" t="str">
        <f>IF(tblMovimientos[[#This Row],[Producto]]="","",TRIM(LEFT(tblMovimientos[[#This Row],[Producto]],FIND(" · ",tblMovimientos[[#This Row],[Producto]]&amp;" · ")-1)))</f>
        <v/>
      </c>
      <c r="H2574" s="40" t="str">
        <f>IF(tblMovimientos[[#This Row],[SKU]]="","",IFERROR(INDEX(tblProductos[Unidad],MATCH(tblMovimientos[[#This Row],[SKU]],tblProductos[SKU],0)),"?"))</f>
        <v/>
      </c>
      <c r="I2574" s="39"/>
      <c r="J2574" s="47" t="str">
        <f>IF(tblMovimientos[[#This Row],[Tipo]]="","",IFERROR(INDEX(tblTiposMov[FactorStock],MATCH(tblMovimientos[[#This Row],[Tipo]],tblTiposMov[Tipo],0)),0))</f>
        <v/>
      </c>
      <c r="K25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4" s="37"/>
      <c r="O2574" s="37"/>
      <c r="P2574" s="37"/>
    </row>
    <row r="2575" spans="2:16" x14ac:dyDescent="0.25">
      <c r="B25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5" s="46"/>
      <c r="D2575" s="37"/>
      <c r="E2575" s="37"/>
      <c r="F2575" s="37"/>
      <c r="G2575" s="40" t="str">
        <f>IF(tblMovimientos[[#This Row],[Producto]]="","",TRIM(LEFT(tblMovimientos[[#This Row],[Producto]],FIND(" · ",tblMovimientos[[#This Row],[Producto]]&amp;" · ")-1)))</f>
        <v/>
      </c>
      <c r="H2575" s="40" t="str">
        <f>IF(tblMovimientos[[#This Row],[SKU]]="","",IFERROR(INDEX(tblProductos[Unidad],MATCH(tblMovimientos[[#This Row],[SKU]],tblProductos[SKU],0)),"?"))</f>
        <v/>
      </c>
      <c r="I2575" s="39"/>
      <c r="J2575" s="47" t="str">
        <f>IF(tblMovimientos[[#This Row],[Tipo]]="","",IFERROR(INDEX(tblTiposMov[FactorStock],MATCH(tblMovimientos[[#This Row],[Tipo]],tblTiposMov[Tipo],0)),0))</f>
        <v/>
      </c>
      <c r="K25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5" s="37"/>
      <c r="O2575" s="37"/>
      <c r="P2575" s="37"/>
    </row>
    <row r="2576" spans="2:16" x14ac:dyDescent="0.25">
      <c r="B25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6" s="46"/>
      <c r="D2576" s="37"/>
      <c r="E2576" s="37"/>
      <c r="F2576" s="37"/>
      <c r="G2576" s="40" t="str">
        <f>IF(tblMovimientos[[#This Row],[Producto]]="","",TRIM(LEFT(tblMovimientos[[#This Row],[Producto]],FIND(" · ",tblMovimientos[[#This Row],[Producto]]&amp;" · ")-1)))</f>
        <v/>
      </c>
      <c r="H2576" s="40" t="str">
        <f>IF(tblMovimientos[[#This Row],[SKU]]="","",IFERROR(INDEX(tblProductos[Unidad],MATCH(tblMovimientos[[#This Row],[SKU]],tblProductos[SKU],0)),"?"))</f>
        <v/>
      </c>
      <c r="I2576" s="39"/>
      <c r="J2576" s="47" t="str">
        <f>IF(tblMovimientos[[#This Row],[Tipo]]="","",IFERROR(INDEX(tblTiposMov[FactorStock],MATCH(tblMovimientos[[#This Row],[Tipo]],tblTiposMov[Tipo],0)),0))</f>
        <v/>
      </c>
      <c r="K25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6" s="37"/>
      <c r="O2576" s="37"/>
      <c r="P2576" s="37"/>
    </row>
    <row r="2577" spans="2:16" x14ac:dyDescent="0.25">
      <c r="B25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7" s="46"/>
      <c r="D2577" s="37"/>
      <c r="E2577" s="37"/>
      <c r="F2577" s="37"/>
      <c r="G2577" s="40" t="str">
        <f>IF(tblMovimientos[[#This Row],[Producto]]="","",TRIM(LEFT(tblMovimientos[[#This Row],[Producto]],FIND(" · ",tblMovimientos[[#This Row],[Producto]]&amp;" · ")-1)))</f>
        <v/>
      </c>
      <c r="H2577" s="40" t="str">
        <f>IF(tblMovimientos[[#This Row],[SKU]]="","",IFERROR(INDEX(tblProductos[Unidad],MATCH(tblMovimientos[[#This Row],[SKU]],tblProductos[SKU],0)),"?"))</f>
        <v/>
      </c>
      <c r="I2577" s="39"/>
      <c r="J2577" s="47" t="str">
        <f>IF(tblMovimientos[[#This Row],[Tipo]]="","",IFERROR(INDEX(tblTiposMov[FactorStock],MATCH(tblMovimientos[[#This Row],[Tipo]],tblTiposMov[Tipo],0)),0))</f>
        <v/>
      </c>
      <c r="K25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7" s="37"/>
      <c r="O2577" s="37"/>
      <c r="P2577" s="37"/>
    </row>
    <row r="2578" spans="2:16" x14ac:dyDescent="0.25">
      <c r="B25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8" s="46"/>
      <c r="D2578" s="37"/>
      <c r="E2578" s="37"/>
      <c r="F2578" s="37"/>
      <c r="G2578" s="40" t="str">
        <f>IF(tblMovimientos[[#This Row],[Producto]]="","",TRIM(LEFT(tblMovimientos[[#This Row],[Producto]],FIND(" · ",tblMovimientos[[#This Row],[Producto]]&amp;" · ")-1)))</f>
        <v/>
      </c>
      <c r="H2578" s="40" t="str">
        <f>IF(tblMovimientos[[#This Row],[SKU]]="","",IFERROR(INDEX(tblProductos[Unidad],MATCH(tblMovimientos[[#This Row],[SKU]],tblProductos[SKU],0)),"?"))</f>
        <v/>
      </c>
      <c r="I2578" s="39"/>
      <c r="J2578" s="47" t="str">
        <f>IF(tblMovimientos[[#This Row],[Tipo]]="","",IFERROR(INDEX(tblTiposMov[FactorStock],MATCH(tblMovimientos[[#This Row],[Tipo]],tblTiposMov[Tipo],0)),0))</f>
        <v/>
      </c>
      <c r="K25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8" s="37"/>
      <c r="O2578" s="37"/>
      <c r="P2578" s="37"/>
    </row>
    <row r="2579" spans="2:16" x14ac:dyDescent="0.25">
      <c r="B25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79" s="46"/>
      <c r="D2579" s="37"/>
      <c r="E2579" s="37"/>
      <c r="F2579" s="37"/>
      <c r="G2579" s="40" t="str">
        <f>IF(tblMovimientos[[#This Row],[Producto]]="","",TRIM(LEFT(tblMovimientos[[#This Row],[Producto]],FIND(" · ",tblMovimientos[[#This Row],[Producto]]&amp;" · ")-1)))</f>
        <v/>
      </c>
      <c r="H2579" s="40" t="str">
        <f>IF(tblMovimientos[[#This Row],[SKU]]="","",IFERROR(INDEX(tblProductos[Unidad],MATCH(tblMovimientos[[#This Row],[SKU]],tblProductos[SKU],0)),"?"))</f>
        <v/>
      </c>
      <c r="I2579" s="39"/>
      <c r="J2579" s="47" t="str">
        <f>IF(tblMovimientos[[#This Row],[Tipo]]="","",IFERROR(INDEX(tblTiposMov[FactorStock],MATCH(tblMovimientos[[#This Row],[Tipo]],tblTiposMov[Tipo],0)),0))</f>
        <v/>
      </c>
      <c r="K25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79" s="37"/>
      <c r="O2579" s="37"/>
      <c r="P2579" s="37"/>
    </row>
    <row r="2580" spans="2:16" x14ac:dyDescent="0.25">
      <c r="B25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0" s="46"/>
      <c r="D2580" s="37"/>
      <c r="E2580" s="37"/>
      <c r="F2580" s="37"/>
      <c r="G2580" s="40" t="str">
        <f>IF(tblMovimientos[[#This Row],[Producto]]="","",TRIM(LEFT(tblMovimientos[[#This Row],[Producto]],FIND(" · ",tblMovimientos[[#This Row],[Producto]]&amp;" · ")-1)))</f>
        <v/>
      </c>
      <c r="H2580" s="40" t="str">
        <f>IF(tblMovimientos[[#This Row],[SKU]]="","",IFERROR(INDEX(tblProductos[Unidad],MATCH(tblMovimientos[[#This Row],[SKU]],tblProductos[SKU],0)),"?"))</f>
        <v/>
      </c>
      <c r="I2580" s="39"/>
      <c r="J2580" s="47" t="str">
        <f>IF(tblMovimientos[[#This Row],[Tipo]]="","",IFERROR(INDEX(tblTiposMov[FactorStock],MATCH(tblMovimientos[[#This Row],[Tipo]],tblTiposMov[Tipo],0)),0))</f>
        <v/>
      </c>
      <c r="K25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0" s="37"/>
      <c r="O2580" s="37"/>
      <c r="P2580" s="37"/>
    </row>
    <row r="2581" spans="2:16" x14ac:dyDescent="0.25">
      <c r="B25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1" s="46"/>
      <c r="D2581" s="37"/>
      <c r="E2581" s="37"/>
      <c r="F2581" s="37"/>
      <c r="G2581" s="40" t="str">
        <f>IF(tblMovimientos[[#This Row],[Producto]]="","",TRIM(LEFT(tblMovimientos[[#This Row],[Producto]],FIND(" · ",tblMovimientos[[#This Row],[Producto]]&amp;" · ")-1)))</f>
        <v/>
      </c>
      <c r="H2581" s="40" t="str">
        <f>IF(tblMovimientos[[#This Row],[SKU]]="","",IFERROR(INDEX(tblProductos[Unidad],MATCH(tblMovimientos[[#This Row],[SKU]],tblProductos[SKU],0)),"?"))</f>
        <v/>
      </c>
      <c r="I2581" s="39"/>
      <c r="J2581" s="47" t="str">
        <f>IF(tblMovimientos[[#This Row],[Tipo]]="","",IFERROR(INDEX(tblTiposMov[FactorStock],MATCH(tblMovimientos[[#This Row],[Tipo]],tblTiposMov[Tipo],0)),0))</f>
        <v/>
      </c>
      <c r="K25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1" s="37"/>
      <c r="O2581" s="37"/>
      <c r="P2581" s="37"/>
    </row>
    <row r="2582" spans="2:16" x14ac:dyDescent="0.25">
      <c r="B25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2" s="46"/>
      <c r="D2582" s="37"/>
      <c r="E2582" s="37"/>
      <c r="F2582" s="37"/>
      <c r="G2582" s="40" t="str">
        <f>IF(tblMovimientos[[#This Row],[Producto]]="","",TRIM(LEFT(tblMovimientos[[#This Row],[Producto]],FIND(" · ",tblMovimientos[[#This Row],[Producto]]&amp;" · ")-1)))</f>
        <v/>
      </c>
      <c r="H2582" s="40" t="str">
        <f>IF(tblMovimientos[[#This Row],[SKU]]="","",IFERROR(INDEX(tblProductos[Unidad],MATCH(tblMovimientos[[#This Row],[SKU]],tblProductos[SKU],0)),"?"))</f>
        <v/>
      </c>
      <c r="I2582" s="39"/>
      <c r="J2582" s="47" t="str">
        <f>IF(tblMovimientos[[#This Row],[Tipo]]="","",IFERROR(INDEX(tblTiposMov[FactorStock],MATCH(tblMovimientos[[#This Row],[Tipo]],tblTiposMov[Tipo],0)),0))</f>
        <v/>
      </c>
      <c r="K25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2" s="37"/>
      <c r="O2582" s="37"/>
      <c r="P2582" s="37"/>
    </row>
    <row r="2583" spans="2:16" x14ac:dyDescent="0.25">
      <c r="B25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3" s="46"/>
      <c r="D2583" s="37"/>
      <c r="E2583" s="37"/>
      <c r="F2583" s="37"/>
      <c r="G2583" s="40" t="str">
        <f>IF(tblMovimientos[[#This Row],[Producto]]="","",TRIM(LEFT(tblMovimientos[[#This Row],[Producto]],FIND(" · ",tblMovimientos[[#This Row],[Producto]]&amp;" · ")-1)))</f>
        <v/>
      </c>
      <c r="H2583" s="40" t="str">
        <f>IF(tblMovimientos[[#This Row],[SKU]]="","",IFERROR(INDEX(tblProductos[Unidad],MATCH(tblMovimientos[[#This Row],[SKU]],tblProductos[SKU],0)),"?"))</f>
        <v/>
      </c>
      <c r="I2583" s="39"/>
      <c r="J2583" s="47" t="str">
        <f>IF(tblMovimientos[[#This Row],[Tipo]]="","",IFERROR(INDEX(tblTiposMov[FactorStock],MATCH(tblMovimientos[[#This Row],[Tipo]],tblTiposMov[Tipo],0)),0))</f>
        <v/>
      </c>
      <c r="K25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3" s="37"/>
      <c r="O2583" s="37"/>
      <c r="P2583" s="37"/>
    </row>
    <row r="2584" spans="2:16" x14ac:dyDescent="0.25">
      <c r="B25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4" s="46"/>
      <c r="D2584" s="37"/>
      <c r="E2584" s="37"/>
      <c r="F2584" s="37"/>
      <c r="G2584" s="40" t="str">
        <f>IF(tblMovimientos[[#This Row],[Producto]]="","",TRIM(LEFT(tblMovimientos[[#This Row],[Producto]],FIND(" · ",tblMovimientos[[#This Row],[Producto]]&amp;" · ")-1)))</f>
        <v/>
      </c>
      <c r="H2584" s="40" t="str">
        <f>IF(tblMovimientos[[#This Row],[SKU]]="","",IFERROR(INDEX(tblProductos[Unidad],MATCH(tblMovimientos[[#This Row],[SKU]],tblProductos[SKU],0)),"?"))</f>
        <v/>
      </c>
      <c r="I2584" s="39"/>
      <c r="J2584" s="47" t="str">
        <f>IF(tblMovimientos[[#This Row],[Tipo]]="","",IFERROR(INDEX(tblTiposMov[FactorStock],MATCH(tblMovimientos[[#This Row],[Tipo]],tblTiposMov[Tipo],0)),0))</f>
        <v/>
      </c>
      <c r="K25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4" s="37"/>
      <c r="O2584" s="37"/>
      <c r="P2584" s="37"/>
    </row>
    <row r="2585" spans="2:16" x14ac:dyDescent="0.25">
      <c r="B25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5" s="46"/>
      <c r="D2585" s="37"/>
      <c r="E2585" s="37"/>
      <c r="F2585" s="37"/>
      <c r="G2585" s="40" t="str">
        <f>IF(tblMovimientos[[#This Row],[Producto]]="","",TRIM(LEFT(tblMovimientos[[#This Row],[Producto]],FIND(" · ",tblMovimientos[[#This Row],[Producto]]&amp;" · ")-1)))</f>
        <v/>
      </c>
      <c r="H2585" s="40" t="str">
        <f>IF(tblMovimientos[[#This Row],[SKU]]="","",IFERROR(INDEX(tblProductos[Unidad],MATCH(tblMovimientos[[#This Row],[SKU]],tblProductos[SKU],0)),"?"))</f>
        <v/>
      </c>
      <c r="I2585" s="39"/>
      <c r="J2585" s="47" t="str">
        <f>IF(tblMovimientos[[#This Row],[Tipo]]="","",IFERROR(INDEX(tblTiposMov[FactorStock],MATCH(tblMovimientos[[#This Row],[Tipo]],tblTiposMov[Tipo],0)),0))</f>
        <v/>
      </c>
      <c r="K25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5" s="37"/>
      <c r="O2585" s="37"/>
      <c r="P2585" s="37"/>
    </row>
    <row r="2586" spans="2:16" x14ac:dyDescent="0.25">
      <c r="B25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6" s="46"/>
      <c r="D2586" s="37"/>
      <c r="E2586" s="37"/>
      <c r="F2586" s="37"/>
      <c r="G2586" s="40" t="str">
        <f>IF(tblMovimientos[[#This Row],[Producto]]="","",TRIM(LEFT(tblMovimientos[[#This Row],[Producto]],FIND(" · ",tblMovimientos[[#This Row],[Producto]]&amp;" · ")-1)))</f>
        <v/>
      </c>
      <c r="H2586" s="40" t="str">
        <f>IF(tblMovimientos[[#This Row],[SKU]]="","",IFERROR(INDEX(tblProductos[Unidad],MATCH(tblMovimientos[[#This Row],[SKU]],tblProductos[SKU],0)),"?"))</f>
        <v/>
      </c>
      <c r="I2586" s="39"/>
      <c r="J2586" s="47" t="str">
        <f>IF(tblMovimientos[[#This Row],[Tipo]]="","",IFERROR(INDEX(tblTiposMov[FactorStock],MATCH(tblMovimientos[[#This Row],[Tipo]],tblTiposMov[Tipo],0)),0))</f>
        <v/>
      </c>
      <c r="K25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6" s="37"/>
      <c r="O2586" s="37"/>
      <c r="P2586" s="37"/>
    </row>
    <row r="2587" spans="2:16" x14ac:dyDescent="0.25">
      <c r="B25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7" s="46"/>
      <c r="D2587" s="37"/>
      <c r="E2587" s="37"/>
      <c r="F2587" s="37"/>
      <c r="G2587" s="40" t="str">
        <f>IF(tblMovimientos[[#This Row],[Producto]]="","",TRIM(LEFT(tblMovimientos[[#This Row],[Producto]],FIND(" · ",tblMovimientos[[#This Row],[Producto]]&amp;" · ")-1)))</f>
        <v/>
      </c>
      <c r="H2587" s="40" t="str">
        <f>IF(tblMovimientos[[#This Row],[SKU]]="","",IFERROR(INDEX(tblProductos[Unidad],MATCH(tblMovimientos[[#This Row],[SKU]],tblProductos[SKU],0)),"?"))</f>
        <v/>
      </c>
      <c r="I2587" s="39"/>
      <c r="J2587" s="47" t="str">
        <f>IF(tblMovimientos[[#This Row],[Tipo]]="","",IFERROR(INDEX(tblTiposMov[FactorStock],MATCH(tblMovimientos[[#This Row],[Tipo]],tblTiposMov[Tipo],0)),0))</f>
        <v/>
      </c>
      <c r="K25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7" s="37"/>
      <c r="O2587" s="37"/>
      <c r="P2587" s="37"/>
    </row>
    <row r="2588" spans="2:16" x14ac:dyDescent="0.25">
      <c r="B25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8" s="46"/>
      <c r="D2588" s="37"/>
      <c r="E2588" s="37"/>
      <c r="F2588" s="37"/>
      <c r="G2588" s="40" t="str">
        <f>IF(tblMovimientos[[#This Row],[Producto]]="","",TRIM(LEFT(tblMovimientos[[#This Row],[Producto]],FIND(" · ",tblMovimientos[[#This Row],[Producto]]&amp;" · ")-1)))</f>
        <v/>
      </c>
      <c r="H2588" s="40" t="str">
        <f>IF(tblMovimientos[[#This Row],[SKU]]="","",IFERROR(INDEX(tblProductos[Unidad],MATCH(tblMovimientos[[#This Row],[SKU]],tblProductos[SKU],0)),"?"))</f>
        <v/>
      </c>
      <c r="I2588" s="39"/>
      <c r="J2588" s="47" t="str">
        <f>IF(tblMovimientos[[#This Row],[Tipo]]="","",IFERROR(INDEX(tblTiposMov[FactorStock],MATCH(tblMovimientos[[#This Row],[Tipo]],tblTiposMov[Tipo],0)),0))</f>
        <v/>
      </c>
      <c r="K25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8" s="37"/>
      <c r="O2588" s="37"/>
      <c r="P2588" s="37"/>
    </row>
    <row r="2589" spans="2:16" x14ac:dyDescent="0.25">
      <c r="B25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89" s="46"/>
      <c r="D2589" s="37"/>
      <c r="E2589" s="37"/>
      <c r="F2589" s="37"/>
      <c r="G2589" s="40" t="str">
        <f>IF(tblMovimientos[[#This Row],[Producto]]="","",TRIM(LEFT(tblMovimientos[[#This Row],[Producto]],FIND(" · ",tblMovimientos[[#This Row],[Producto]]&amp;" · ")-1)))</f>
        <v/>
      </c>
      <c r="H2589" s="40" t="str">
        <f>IF(tblMovimientos[[#This Row],[SKU]]="","",IFERROR(INDEX(tblProductos[Unidad],MATCH(tblMovimientos[[#This Row],[SKU]],tblProductos[SKU],0)),"?"))</f>
        <v/>
      </c>
      <c r="I2589" s="39"/>
      <c r="J2589" s="47" t="str">
        <f>IF(tblMovimientos[[#This Row],[Tipo]]="","",IFERROR(INDEX(tblTiposMov[FactorStock],MATCH(tblMovimientos[[#This Row],[Tipo]],tblTiposMov[Tipo],0)),0))</f>
        <v/>
      </c>
      <c r="K25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89" s="37"/>
      <c r="O2589" s="37"/>
      <c r="P2589" s="37"/>
    </row>
    <row r="2590" spans="2:16" x14ac:dyDescent="0.25">
      <c r="B25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0" s="46"/>
      <c r="D2590" s="37"/>
      <c r="E2590" s="37"/>
      <c r="F2590" s="37"/>
      <c r="G2590" s="40" t="str">
        <f>IF(tblMovimientos[[#This Row],[Producto]]="","",TRIM(LEFT(tblMovimientos[[#This Row],[Producto]],FIND(" · ",tblMovimientos[[#This Row],[Producto]]&amp;" · ")-1)))</f>
        <v/>
      </c>
      <c r="H2590" s="40" t="str">
        <f>IF(tblMovimientos[[#This Row],[SKU]]="","",IFERROR(INDEX(tblProductos[Unidad],MATCH(tblMovimientos[[#This Row],[SKU]],tblProductos[SKU],0)),"?"))</f>
        <v/>
      </c>
      <c r="I2590" s="39"/>
      <c r="J2590" s="47" t="str">
        <f>IF(tblMovimientos[[#This Row],[Tipo]]="","",IFERROR(INDEX(tblTiposMov[FactorStock],MATCH(tblMovimientos[[#This Row],[Tipo]],tblTiposMov[Tipo],0)),0))</f>
        <v/>
      </c>
      <c r="K25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0" s="37"/>
      <c r="O2590" s="37"/>
      <c r="P2590" s="37"/>
    </row>
    <row r="2591" spans="2:16" x14ac:dyDescent="0.25">
      <c r="B25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1" s="46"/>
      <c r="D2591" s="37"/>
      <c r="E2591" s="37"/>
      <c r="F2591" s="37"/>
      <c r="G2591" s="40" t="str">
        <f>IF(tblMovimientos[[#This Row],[Producto]]="","",TRIM(LEFT(tblMovimientos[[#This Row],[Producto]],FIND(" · ",tblMovimientos[[#This Row],[Producto]]&amp;" · ")-1)))</f>
        <v/>
      </c>
      <c r="H2591" s="40" t="str">
        <f>IF(tblMovimientos[[#This Row],[SKU]]="","",IFERROR(INDEX(tblProductos[Unidad],MATCH(tblMovimientos[[#This Row],[SKU]],tblProductos[SKU],0)),"?"))</f>
        <v/>
      </c>
      <c r="I2591" s="39"/>
      <c r="J2591" s="47" t="str">
        <f>IF(tblMovimientos[[#This Row],[Tipo]]="","",IFERROR(INDEX(tblTiposMov[FactorStock],MATCH(tblMovimientos[[#This Row],[Tipo]],tblTiposMov[Tipo],0)),0))</f>
        <v/>
      </c>
      <c r="K25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1" s="37"/>
      <c r="O2591" s="37"/>
      <c r="P2591" s="37"/>
    </row>
    <row r="2592" spans="2:16" x14ac:dyDescent="0.25">
      <c r="B25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2" s="46"/>
      <c r="D2592" s="37"/>
      <c r="E2592" s="37"/>
      <c r="F2592" s="37"/>
      <c r="G2592" s="40" t="str">
        <f>IF(tblMovimientos[[#This Row],[Producto]]="","",TRIM(LEFT(tblMovimientos[[#This Row],[Producto]],FIND(" · ",tblMovimientos[[#This Row],[Producto]]&amp;" · ")-1)))</f>
        <v/>
      </c>
      <c r="H2592" s="40" t="str">
        <f>IF(tblMovimientos[[#This Row],[SKU]]="","",IFERROR(INDEX(tblProductos[Unidad],MATCH(tblMovimientos[[#This Row],[SKU]],tblProductos[SKU],0)),"?"))</f>
        <v/>
      </c>
      <c r="I2592" s="39"/>
      <c r="J2592" s="47" t="str">
        <f>IF(tblMovimientos[[#This Row],[Tipo]]="","",IFERROR(INDEX(tblTiposMov[FactorStock],MATCH(tblMovimientos[[#This Row],[Tipo]],tblTiposMov[Tipo],0)),0))</f>
        <v/>
      </c>
      <c r="K25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2" s="37"/>
      <c r="O2592" s="37"/>
      <c r="P2592" s="37"/>
    </row>
    <row r="2593" spans="2:16" x14ac:dyDescent="0.25">
      <c r="B25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3" s="46"/>
      <c r="D2593" s="37"/>
      <c r="E2593" s="37"/>
      <c r="F2593" s="37"/>
      <c r="G2593" s="40" t="str">
        <f>IF(tblMovimientos[[#This Row],[Producto]]="","",TRIM(LEFT(tblMovimientos[[#This Row],[Producto]],FIND(" · ",tblMovimientos[[#This Row],[Producto]]&amp;" · ")-1)))</f>
        <v/>
      </c>
      <c r="H2593" s="40" t="str">
        <f>IF(tblMovimientos[[#This Row],[SKU]]="","",IFERROR(INDEX(tblProductos[Unidad],MATCH(tblMovimientos[[#This Row],[SKU]],tblProductos[SKU],0)),"?"))</f>
        <v/>
      </c>
      <c r="I2593" s="39"/>
      <c r="J2593" s="47" t="str">
        <f>IF(tblMovimientos[[#This Row],[Tipo]]="","",IFERROR(INDEX(tblTiposMov[FactorStock],MATCH(tblMovimientos[[#This Row],[Tipo]],tblTiposMov[Tipo],0)),0))</f>
        <v/>
      </c>
      <c r="K25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3" s="37"/>
      <c r="O2593" s="37"/>
      <c r="P2593" s="37"/>
    </row>
    <row r="2594" spans="2:16" x14ac:dyDescent="0.25">
      <c r="B25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4" s="46"/>
      <c r="D2594" s="37"/>
      <c r="E2594" s="37"/>
      <c r="F2594" s="37"/>
      <c r="G2594" s="40" t="str">
        <f>IF(tblMovimientos[[#This Row],[Producto]]="","",TRIM(LEFT(tblMovimientos[[#This Row],[Producto]],FIND(" · ",tblMovimientos[[#This Row],[Producto]]&amp;" · ")-1)))</f>
        <v/>
      </c>
      <c r="H2594" s="40" t="str">
        <f>IF(tblMovimientos[[#This Row],[SKU]]="","",IFERROR(INDEX(tblProductos[Unidad],MATCH(tblMovimientos[[#This Row],[SKU]],tblProductos[SKU],0)),"?"))</f>
        <v/>
      </c>
      <c r="I2594" s="39"/>
      <c r="J2594" s="47" t="str">
        <f>IF(tblMovimientos[[#This Row],[Tipo]]="","",IFERROR(INDEX(tblTiposMov[FactorStock],MATCH(tblMovimientos[[#This Row],[Tipo]],tblTiposMov[Tipo],0)),0))</f>
        <v/>
      </c>
      <c r="K25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4" s="37"/>
      <c r="O2594" s="37"/>
      <c r="P2594" s="37"/>
    </row>
    <row r="2595" spans="2:16" x14ac:dyDescent="0.25">
      <c r="B25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5" s="46"/>
      <c r="D2595" s="37"/>
      <c r="E2595" s="37"/>
      <c r="F2595" s="37"/>
      <c r="G2595" s="40" t="str">
        <f>IF(tblMovimientos[[#This Row],[Producto]]="","",TRIM(LEFT(tblMovimientos[[#This Row],[Producto]],FIND(" · ",tblMovimientos[[#This Row],[Producto]]&amp;" · ")-1)))</f>
        <v/>
      </c>
      <c r="H2595" s="40" t="str">
        <f>IF(tblMovimientos[[#This Row],[SKU]]="","",IFERROR(INDEX(tblProductos[Unidad],MATCH(tblMovimientos[[#This Row],[SKU]],tblProductos[SKU],0)),"?"))</f>
        <v/>
      </c>
      <c r="I2595" s="39"/>
      <c r="J2595" s="47" t="str">
        <f>IF(tblMovimientos[[#This Row],[Tipo]]="","",IFERROR(INDEX(tblTiposMov[FactorStock],MATCH(tblMovimientos[[#This Row],[Tipo]],tblTiposMov[Tipo],0)),0))</f>
        <v/>
      </c>
      <c r="K25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5" s="37"/>
      <c r="O2595" s="37"/>
      <c r="P2595" s="37"/>
    </row>
    <row r="2596" spans="2:16" x14ac:dyDescent="0.25">
      <c r="B25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6" s="46"/>
      <c r="D2596" s="37"/>
      <c r="E2596" s="37"/>
      <c r="F2596" s="37"/>
      <c r="G2596" s="40" t="str">
        <f>IF(tblMovimientos[[#This Row],[Producto]]="","",TRIM(LEFT(tblMovimientos[[#This Row],[Producto]],FIND(" · ",tblMovimientos[[#This Row],[Producto]]&amp;" · ")-1)))</f>
        <v/>
      </c>
      <c r="H2596" s="40" t="str">
        <f>IF(tblMovimientos[[#This Row],[SKU]]="","",IFERROR(INDEX(tblProductos[Unidad],MATCH(tblMovimientos[[#This Row],[SKU]],tblProductos[SKU],0)),"?"))</f>
        <v/>
      </c>
      <c r="I2596" s="39"/>
      <c r="J2596" s="47" t="str">
        <f>IF(tblMovimientos[[#This Row],[Tipo]]="","",IFERROR(INDEX(tblTiposMov[FactorStock],MATCH(tblMovimientos[[#This Row],[Tipo]],tblTiposMov[Tipo],0)),0))</f>
        <v/>
      </c>
      <c r="K25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6" s="37"/>
      <c r="O2596" s="37"/>
      <c r="P2596" s="37"/>
    </row>
    <row r="2597" spans="2:16" x14ac:dyDescent="0.25">
      <c r="B25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7" s="46"/>
      <c r="D2597" s="37"/>
      <c r="E2597" s="37"/>
      <c r="F2597" s="37"/>
      <c r="G2597" s="40" t="str">
        <f>IF(tblMovimientos[[#This Row],[Producto]]="","",TRIM(LEFT(tblMovimientos[[#This Row],[Producto]],FIND(" · ",tblMovimientos[[#This Row],[Producto]]&amp;" · ")-1)))</f>
        <v/>
      </c>
      <c r="H2597" s="40" t="str">
        <f>IF(tblMovimientos[[#This Row],[SKU]]="","",IFERROR(INDEX(tblProductos[Unidad],MATCH(tblMovimientos[[#This Row],[SKU]],tblProductos[SKU],0)),"?"))</f>
        <v/>
      </c>
      <c r="I2597" s="39"/>
      <c r="J2597" s="47" t="str">
        <f>IF(tblMovimientos[[#This Row],[Tipo]]="","",IFERROR(INDEX(tblTiposMov[FactorStock],MATCH(tblMovimientos[[#This Row],[Tipo]],tblTiposMov[Tipo],0)),0))</f>
        <v/>
      </c>
      <c r="K25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7" s="37"/>
      <c r="O2597" s="37"/>
      <c r="P2597" s="37"/>
    </row>
    <row r="2598" spans="2:16" x14ac:dyDescent="0.25">
      <c r="B25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8" s="46"/>
      <c r="D2598" s="37"/>
      <c r="E2598" s="37"/>
      <c r="F2598" s="37"/>
      <c r="G2598" s="40" t="str">
        <f>IF(tblMovimientos[[#This Row],[Producto]]="","",TRIM(LEFT(tblMovimientos[[#This Row],[Producto]],FIND(" · ",tblMovimientos[[#This Row],[Producto]]&amp;" · ")-1)))</f>
        <v/>
      </c>
      <c r="H2598" s="40" t="str">
        <f>IF(tblMovimientos[[#This Row],[SKU]]="","",IFERROR(INDEX(tblProductos[Unidad],MATCH(tblMovimientos[[#This Row],[SKU]],tblProductos[SKU],0)),"?"))</f>
        <v/>
      </c>
      <c r="I2598" s="39"/>
      <c r="J2598" s="47" t="str">
        <f>IF(tblMovimientos[[#This Row],[Tipo]]="","",IFERROR(INDEX(tblTiposMov[FactorStock],MATCH(tblMovimientos[[#This Row],[Tipo]],tblTiposMov[Tipo],0)),0))</f>
        <v/>
      </c>
      <c r="K25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8" s="37"/>
      <c r="O2598" s="37"/>
      <c r="P2598" s="37"/>
    </row>
    <row r="2599" spans="2:16" x14ac:dyDescent="0.25">
      <c r="B25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599" s="46"/>
      <c r="D2599" s="37"/>
      <c r="E2599" s="37"/>
      <c r="F2599" s="37"/>
      <c r="G2599" s="40" t="str">
        <f>IF(tblMovimientos[[#This Row],[Producto]]="","",TRIM(LEFT(tblMovimientos[[#This Row],[Producto]],FIND(" · ",tblMovimientos[[#This Row],[Producto]]&amp;" · ")-1)))</f>
        <v/>
      </c>
      <c r="H2599" s="40" t="str">
        <f>IF(tblMovimientos[[#This Row],[SKU]]="","",IFERROR(INDEX(tblProductos[Unidad],MATCH(tblMovimientos[[#This Row],[SKU]],tblProductos[SKU],0)),"?"))</f>
        <v/>
      </c>
      <c r="I2599" s="39"/>
      <c r="J2599" s="47" t="str">
        <f>IF(tblMovimientos[[#This Row],[Tipo]]="","",IFERROR(INDEX(tblTiposMov[FactorStock],MATCH(tblMovimientos[[#This Row],[Tipo]],tblTiposMov[Tipo],0)),0))</f>
        <v/>
      </c>
      <c r="K25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5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599" s="37"/>
      <c r="O2599" s="37"/>
      <c r="P2599" s="37"/>
    </row>
    <row r="2600" spans="2:16" x14ac:dyDescent="0.25">
      <c r="B26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0" s="46"/>
      <c r="D2600" s="37"/>
      <c r="E2600" s="37"/>
      <c r="F2600" s="37"/>
      <c r="G2600" s="40" t="str">
        <f>IF(tblMovimientos[[#This Row],[Producto]]="","",TRIM(LEFT(tblMovimientos[[#This Row],[Producto]],FIND(" · ",tblMovimientos[[#This Row],[Producto]]&amp;" · ")-1)))</f>
        <v/>
      </c>
      <c r="H2600" s="40" t="str">
        <f>IF(tblMovimientos[[#This Row],[SKU]]="","",IFERROR(INDEX(tblProductos[Unidad],MATCH(tblMovimientos[[#This Row],[SKU]],tblProductos[SKU],0)),"?"))</f>
        <v/>
      </c>
      <c r="I2600" s="39"/>
      <c r="J2600" s="47" t="str">
        <f>IF(tblMovimientos[[#This Row],[Tipo]]="","",IFERROR(INDEX(tblTiposMov[FactorStock],MATCH(tblMovimientos[[#This Row],[Tipo]],tblTiposMov[Tipo],0)),0))</f>
        <v/>
      </c>
      <c r="K26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0" s="37"/>
      <c r="O2600" s="37"/>
      <c r="P2600" s="37"/>
    </row>
    <row r="2601" spans="2:16" x14ac:dyDescent="0.25">
      <c r="B26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1" s="46"/>
      <c r="D2601" s="37"/>
      <c r="E2601" s="37"/>
      <c r="F2601" s="37"/>
      <c r="G2601" s="40" t="str">
        <f>IF(tblMovimientos[[#This Row],[Producto]]="","",TRIM(LEFT(tblMovimientos[[#This Row],[Producto]],FIND(" · ",tblMovimientos[[#This Row],[Producto]]&amp;" · ")-1)))</f>
        <v/>
      </c>
      <c r="H2601" s="40" t="str">
        <f>IF(tblMovimientos[[#This Row],[SKU]]="","",IFERROR(INDEX(tblProductos[Unidad],MATCH(tblMovimientos[[#This Row],[SKU]],tblProductos[SKU],0)),"?"))</f>
        <v/>
      </c>
      <c r="I2601" s="39"/>
      <c r="J2601" s="47" t="str">
        <f>IF(tblMovimientos[[#This Row],[Tipo]]="","",IFERROR(INDEX(tblTiposMov[FactorStock],MATCH(tblMovimientos[[#This Row],[Tipo]],tblTiposMov[Tipo],0)),0))</f>
        <v/>
      </c>
      <c r="K26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1" s="37"/>
      <c r="O2601" s="37"/>
      <c r="P2601" s="37"/>
    </row>
    <row r="2602" spans="2:16" x14ac:dyDescent="0.25">
      <c r="B26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2" s="46"/>
      <c r="D2602" s="37"/>
      <c r="E2602" s="37"/>
      <c r="F2602" s="37"/>
      <c r="G2602" s="40" t="str">
        <f>IF(tblMovimientos[[#This Row],[Producto]]="","",TRIM(LEFT(tblMovimientos[[#This Row],[Producto]],FIND(" · ",tblMovimientos[[#This Row],[Producto]]&amp;" · ")-1)))</f>
        <v/>
      </c>
      <c r="H2602" s="40" t="str">
        <f>IF(tblMovimientos[[#This Row],[SKU]]="","",IFERROR(INDEX(tblProductos[Unidad],MATCH(tblMovimientos[[#This Row],[SKU]],tblProductos[SKU],0)),"?"))</f>
        <v/>
      </c>
      <c r="I2602" s="39"/>
      <c r="J2602" s="47" t="str">
        <f>IF(tblMovimientos[[#This Row],[Tipo]]="","",IFERROR(INDEX(tblTiposMov[FactorStock],MATCH(tblMovimientos[[#This Row],[Tipo]],tblTiposMov[Tipo],0)),0))</f>
        <v/>
      </c>
      <c r="K26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2" s="37"/>
      <c r="O2602" s="37"/>
      <c r="P2602" s="37"/>
    </row>
    <row r="2603" spans="2:16" x14ac:dyDescent="0.25">
      <c r="B26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3" s="46"/>
      <c r="D2603" s="37"/>
      <c r="E2603" s="37"/>
      <c r="F2603" s="37"/>
      <c r="G2603" s="40" t="str">
        <f>IF(tblMovimientos[[#This Row],[Producto]]="","",TRIM(LEFT(tblMovimientos[[#This Row],[Producto]],FIND(" · ",tblMovimientos[[#This Row],[Producto]]&amp;" · ")-1)))</f>
        <v/>
      </c>
      <c r="H2603" s="40" t="str">
        <f>IF(tblMovimientos[[#This Row],[SKU]]="","",IFERROR(INDEX(tblProductos[Unidad],MATCH(tblMovimientos[[#This Row],[SKU]],tblProductos[SKU],0)),"?"))</f>
        <v/>
      </c>
      <c r="I2603" s="39"/>
      <c r="J2603" s="47" t="str">
        <f>IF(tblMovimientos[[#This Row],[Tipo]]="","",IFERROR(INDEX(tblTiposMov[FactorStock],MATCH(tblMovimientos[[#This Row],[Tipo]],tblTiposMov[Tipo],0)),0))</f>
        <v/>
      </c>
      <c r="K26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3" s="37"/>
      <c r="O2603" s="37"/>
      <c r="P2603" s="37"/>
    </row>
    <row r="2604" spans="2:16" x14ac:dyDescent="0.25">
      <c r="B26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4" s="46"/>
      <c r="D2604" s="37"/>
      <c r="E2604" s="37"/>
      <c r="F2604" s="37"/>
      <c r="G2604" s="40" t="str">
        <f>IF(tblMovimientos[[#This Row],[Producto]]="","",TRIM(LEFT(tblMovimientos[[#This Row],[Producto]],FIND(" · ",tblMovimientos[[#This Row],[Producto]]&amp;" · ")-1)))</f>
        <v/>
      </c>
      <c r="H2604" s="40" t="str">
        <f>IF(tblMovimientos[[#This Row],[SKU]]="","",IFERROR(INDEX(tblProductos[Unidad],MATCH(tblMovimientos[[#This Row],[SKU]],tblProductos[SKU],0)),"?"))</f>
        <v/>
      </c>
      <c r="I2604" s="39"/>
      <c r="J2604" s="47" t="str">
        <f>IF(tblMovimientos[[#This Row],[Tipo]]="","",IFERROR(INDEX(tblTiposMov[FactorStock],MATCH(tblMovimientos[[#This Row],[Tipo]],tblTiposMov[Tipo],0)),0))</f>
        <v/>
      </c>
      <c r="K26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4" s="37"/>
      <c r="O2604" s="37"/>
      <c r="P2604" s="37"/>
    </row>
    <row r="2605" spans="2:16" x14ac:dyDescent="0.25">
      <c r="B26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5" s="46"/>
      <c r="D2605" s="37"/>
      <c r="E2605" s="37"/>
      <c r="F2605" s="37"/>
      <c r="G2605" s="40" t="str">
        <f>IF(tblMovimientos[[#This Row],[Producto]]="","",TRIM(LEFT(tblMovimientos[[#This Row],[Producto]],FIND(" · ",tblMovimientos[[#This Row],[Producto]]&amp;" · ")-1)))</f>
        <v/>
      </c>
      <c r="H2605" s="40" t="str">
        <f>IF(tblMovimientos[[#This Row],[SKU]]="","",IFERROR(INDEX(tblProductos[Unidad],MATCH(tblMovimientos[[#This Row],[SKU]],tblProductos[SKU],0)),"?"))</f>
        <v/>
      </c>
      <c r="I2605" s="39"/>
      <c r="J2605" s="47" t="str">
        <f>IF(tblMovimientos[[#This Row],[Tipo]]="","",IFERROR(INDEX(tblTiposMov[FactorStock],MATCH(tblMovimientos[[#This Row],[Tipo]],tblTiposMov[Tipo],0)),0))</f>
        <v/>
      </c>
      <c r="K26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5" s="37"/>
      <c r="O2605" s="37"/>
      <c r="P2605" s="37"/>
    </row>
    <row r="2606" spans="2:16" x14ac:dyDescent="0.25">
      <c r="B26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6" s="46"/>
      <c r="D2606" s="37"/>
      <c r="E2606" s="37"/>
      <c r="F2606" s="37"/>
      <c r="G2606" s="40" t="str">
        <f>IF(tblMovimientos[[#This Row],[Producto]]="","",TRIM(LEFT(tblMovimientos[[#This Row],[Producto]],FIND(" · ",tblMovimientos[[#This Row],[Producto]]&amp;" · ")-1)))</f>
        <v/>
      </c>
      <c r="H2606" s="40" t="str">
        <f>IF(tblMovimientos[[#This Row],[SKU]]="","",IFERROR(INDEX(tblProductos[Unidad],MATCH(tblMovimientos[[#This Row],[SKU]],tblProductos[SKU],0)),"?"))</f>
        <v/>
      </c>
      <c r="I2606" s="39"/>
      <c r="J2606" s="47" t="str">
        <f>IF(tblMovimientos[[#This Row],[Tipo]]="","",IFERROR(INDEX(tblTiposMov[FactorStock],MATCH(tblMovimientos[[#This Row],[Tipo]],tblTiposMov[Tipo],0)),0))</f>
        <v/>
      </c>
      <c r="K26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6" s="37"/>
      <c r="O2606" s="37"/>
      <c r="P2606" s="37"/>
    </row>
    <row r="2607" spans="2:16" x14ac:dyDescent="0.25">
      <c r="B26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7" s="46"/>
      <c r="D2607" s="37"/>
      <c r="E2607" s="37"/>
      <c r="F2607" s="37"/>
      <c r="G2607" s="40" t="str">
        <f>IF(tblMovimientos[[#This Row],[Producto]]="","",TRIM(LEFT(tblMovimientos[[#This Row],[Producto]],FIND(" · ",tblMovimientos[[#This Row],[Producto]]&amp;" · ")-1)))</f>
        <v/>
      </c>
      <c r="H2607" s="40" t="str">
        <f>IF(tblMovimientos[[#This Row],[SKU]]="","",IFERROR(INDEX(tblProductos[Unidad],MATCH(tblMovimientos[[#This Row],[SKU]],tblProductos[SKU],0)),"?"))</f>
        <v/>
      </c>
      <c r="I2607" s="39"/>
      <c r="J2607" s="47" t="str">
        <f>IF(tblMovimientos[[#This Row],[Tipo]]="","",IFERROR(INDEX(tblTiposMov[FactorStock],MATCH(tblMovimientos[[#This Row],[Tipo]],tblTiposMov[Tipo],0)),0))</f>
        <v/>
      </c>
      <c r="K26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7" s="37"/>
      <c r="O2607" s="37"/>
      <c r="P2607" s="37"/>
    </row>
    <row r="2608" spans="2:16" x14ac:dyDescent="0.25">
      <c r="B26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8" s="46"/>
      <c r="D2608" s="37"/>
      <c r="E2608" s="37"/>
      <c r="F2608" s="37"/>
      <c r="G2608" s="40" t="str">
        <f>IF(tblMovimientos[[#This Row],[Producto]]="","",TRIM(LEFT(tblMovimientos[[#This Row],[Producto]],FIND(" · ",tblMovimientos[[#This Row],[Producto]]&amp;" · ")-1)))</f>
        <v/>
      </c>
      <c r="H2608" s="40" t="str">
        <f>IF(tblMovimientos[[#This Row],[SKU]]="","",IFERROR(INDEX(tblProductos[Unidad],MATCH(tblMovimientos[[#This Row],[SKU]],tblProductos[SKU],0)),"?"))</f>
        <v/>
      </c>
      <c r="I2608" s="39"/>
      <c r="J2608" s="47" t="str">
        <f>IF(tblMovimientos[[#This Row],[Tipo]]="","",IFERROR(INDEX(tblTiposMov[FactorStock],MATCH(tblMovimientos[[#This Row],[Tipo]],tblTiposMov[Tipo],0)),0))</f>
        <v/>
      </c>
      <c r="K26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8" s="37"/>
      <c r="O2608" s="37"/>
      <c r="P2608" s="37"/>
    </row>
    <row r="2609" spans="2:16" x14ac:dyDescent="0.25">
      <c r="B26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09" s="46"/>
      <c r="D2609" s="37"/>
      <c r="E2609" s="37"/>
      <c r="F2609" s="37"/>
      <c r="G2609" s="40" t="str">
        <f>IF(tblMovimientos[[#This Row],[Producto]]="","",TRIM(LEFT(tblMovimientos[[#This Row],[Producto]],FIND(" · ",tblMovimientos[[#This Row],[Producto]]&amp;" · ")-1)))</f>
        <v/>
      </c>
      <c r="H2609" s="40" t="str">
        <f>IF(tblMovimientos[[#This Row],[SKU]]="","",IFERROR(INDEX(tblProductos[Unidad],MATCH(tblMovimientos[[#This Row],[SKU]],tblProductos[SKU],0)),"?"))</f>
        <v/>
      </c>
      <c r="I2609" s="39"/>
      <c r="J2609" s="47" t="str">
        <f>IF(tblMovimientos[[#This Row],[Tipo]]="","",IFERROR(INDEX(tblTiposMov[FactorStock],MATCH(tblMovimientos[[#This Row],[Tipo]],tblTiposMov[Tipo],0)),0))</f>
        <v/>
      </c>
      <c r="K26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09" s="37"/>
      <c r="O2609" s="37"/>
      <c r="P2609" s="37"/>
    </row>
    <row r="2610" spans="2:16" x14ac:dyDescent="0.25">
      <c r="B26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0" s="46"/>
      <c r="D2610" s="37"/>
      <c r="E2610" s="37"/>
      <c r="F2610" s="37"/>
      <c r="G2610" s="40" t="str">
        <f>IF(tblMovimientos[[#This Row],[Producto]]="","",TRIM(LEFT(tblMovimientos[[#This Row],[Producto]],FIND(" · ",tblMovimientos[[#This Row],[Producto]]&amp;" · ")-1)))</f>
        <v/>
      </c>
      <c r="H2610" s="40" t="str">
        <f>IF(tblMovimientos[[#This Row],[SKU]]="","",IFERROR(INDEX(tblProductos[Unidad],MATCH(tblMovimientos[[#This Row],[SKU]],tblProductos[SKU],0)),"?"))</f>
        <v/>
      </c>
      <c r="I2610" s="39"/>
      <c r="J2610" s="47" t="str">
        <f>IF(tblMovimientos[[#This Row],[Tipo]]="","",IFERROR(INDEX(tblTiposMov[FactorStock],MATCH(tblMovimientos[[#This Row],[Tipo]],tblTiposMov[Tipo],0)),0))</f>
        <v/>
      </c>
      <c r="K26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0" s="37"/>
      <c r="O2610" s="37"/>
      <c r="P2610" s="37"/>
    </row>
    <row r="2611" spans="2:16" x14ac:dyDescent="0.25">
      <c r="B26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1" s="46"/>
      <c r="D2611" s="37"/>
      <c r="E2611" s="37"/>
      <c r="F2611" s="37"/>
      <c r="G2611" s="40" t="str">
        <f>IF(tblMovimientos[[#This Row],[Producto]]="","",TRIM(LEFT(tblMovimientos[[#This Row],[Producto]],FIND(" · ",tblMovimientos[[#This Row],[Producto]]&amp;" · ")-1)))</f>
        <v/>
      </c>
      <c r="H2611" s="40" t="str">
        <f>IF(tblMovimientos[[#This Row],[SKU]]="","",IFERROR(INDEX(tblProductos[Unidad],MATCH(tblMovimientos[[#This Row],[SKU]],tblProductos[SKU],0)),"?"))</f>
        <v/>
      </c>
      <c r="I2611" s="39"/>
      <c r="J2611" s="47" t="str">
        <f>IF(tblMovimientos[[#This Row],[Tipo]]="","",IFERROR(INDEX(tblTiposMov[FactorStock],MATCH(tblMovimientos[[#This Row],[Tipo]],tblTiposMov[Tipo],0)),0))</f>
        <v/>
      </c>
      <c r="K26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1" s="37"/>
      <c r="O2611" s="37"/>
      <c r="P2611" s="37"/>
    </row>
    <row r="2612" spans="2:16" x14ac:dyDescent="0.25">
      <c r="B26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2" s="46"/>
      <c r="D2612" s="37"/>
      <c r="E2612" s="37"/>
      <c r="F2612" s="37"/>
      <c r="G2612" s="40" t="str">
        <f>IF(tblMovimientos[[#This Row],[Producto]]="","",TRIM(LEFT(tblMovimientos[[#This Row],[Producto]],FIND(" · ",tblMovimientos[[#This Row],[Producto]]&amp;" · ")-1)))</f>
        <v/>
      </c>
      <c r="H2612" s="40" t="str">
        <f>IF(tblMovimientos[[#This Row],[SKU]]="","",IFERROR(INDEX(tblProductos[Unidad],MATCH(tblMovimientos[[#This Row],[SKU]],tblProductos[SKU],0)),"?"))</f>
        <v/>
      </c>
      <c r="I2612" s="39"/>
      <c r="J2612" s="47" t="str">
        <f>IF(tblMovimientos[[#This Row],[Tipo]]="","",IFERROR(INDEX(tblTiposMov[FactorStock],MATCH(tblMovimientos[[#This Row],[Tipo]],tblTiposMov[Tipo],0)),0))</f>
        <v/>
      </c>
      <c r="K26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2" s="37"/>
      <c r="O2612" s="37"/>
      <c r="P2612" s="37"/>
    </row>
    <row r="2613" spans="2:16" x14ac:dyDescent="0.25">
      <c r="B26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3" s="46"/>
      <c r="D2613" s="37"/>
      <c r="E2613" s="37"/>
      <c r="F2613" s="37"/>
      <c r="G2613" s="40" t="str">
        <f>IF(tblMovimientos[[#This Row],[Producto]]="","",TRIM(LEFT(tblMovimientos[[#This Row],[Producto]],FIND(" · ",tblMovimientos[[#This Row],[Producto]]&amp;" · ")-1)))</f>
        <v/>
      </c>
      <c r="H2613" s="40" t="str">
        <f>IF(tblMovimientos[[#This Row],[SKU]]="","",IFERROR(INDEX(tblProductos[Unidad],MATCH(tblMovimientos[[#This Row],[SKU]],tblProductos[SKU],0)),"?"))</f>
        <v/>
      </c>
      <c r="I2613" s="39"/>
      <c r="J2613" s="47" t="str">
        <f>IF(tblMovimientos[[#This Row],[Tipo]]="","",IFERROR(INDEX(tblTiposMov[FactorStock],MATCH(tblMovimientos[[#This Row],[Tipo]],tblTiposMov[Tipo],0)),0))</f>
        <v/>
      </c>
      <c r="K26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3" s="37"/>
      <c r="O2613" s="37"/>
      <c r="P2613" s="37"/>
    </row>
    <row r="2614" spans="2:16" x14ac:dyDescent="0.25">
      <c r="B26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4" s="46"/>
      <c r="D2614" s="37"/>
      <c r="E2614" s="37"/>
      <c r="F2614" s="37"/>
      <c r="G2614" s="40" t="str">
        <f>IF(tblMovimientos[[#This Row],[Producto]]="","",TRIM(LEFT(tblMovimientos[[#This Row],[Producto]],FIND(" · ",tblMovimientos[[#This Row],[Producto]]&amp;" · ")-1)))</f>
        <v/>
      </c>
      <c r="H2614" s="40" t="str">
        <f>IF(tblMovimientos[[#This Row],[SKU]]="","",IFERROR(INDEX(tblProductos[Unidad],MATCH(tblMovimientos[[#This Row],[SKU]],tblProductos[SKU],0)),"?"))</f>
        <v/>
      </c>
      <c r="I2614" s="39"/>
      <c r="J2614" s="47" t="str">
        <f>IF(tblMovimientos[[#This Row],[Tipo]]="","",IFERROR(INDEX(tblTiposMov[FactorStock],MATCH(tblMovimientos[[#This Row],[Tipo]],tblTiposMov[Tipo],0)),0))</f>
        <v/>
      </c>
      <c r="K26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4" s="37"/>
      <c r="O2614" s="37"/>
      <c r="P2614" s="37"/>
    </row>
    <row r="2615" spans="2:16" x14ac:dyDescent="0.25">
      <c r="B26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5" s="46"/>
      <c r="D2615" s="37"/>
      <c r="E2615" s="37"/>
      <c r="F2615" s="37"/>
      <c r="G2615" s="40" t="str">
        <f>IF(tblMovimientos[[#This Row],[Producto]]="","",TRIM(LEFT(tblMovimientos[[#This Row],[Producto]],FIND(" · ",tblMovimientos[[#This Row],[Producto]]&amp;" · ")-1)))</f>
        <v/>
      </c>
      <c r="H2615" s="40" t="str">
        <f>IF(tblMovimientos[[#This Row],[SKU]]="","",IFERROR(INDEX(tblProductos[Unidad],MATCH(tblMovimientos[[#This Row],[SKU]],tblProductos[SKU],0)),"?"))</f>
        <v/>
      </c>
      <c r="I2615" s="39"/>
      <c r="J2615" s="47" t="str">
        <f>IF(tblMovimientos[[#This Row],[Tipo]]="","",IFERROR(INDEX(tblTiposMov[FactorStock],MATCH(tblMovimientos[[#This Row],[Tipo]],tblTiposMov[Tipo],0)),0))</f>
        <v/>
      </c>
      <c r="K26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5" s="37"/>
      <c r="O2615" s="37"/>
      <c r="P2615" s="37"/>
    </row>
    <row r="2616" spans="2:16" x14ac:dyDescent="0.25">
      <c r="B26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6" s="46"/>
      <c r="D2616" s="37"/>
      <c r="E2616" s="37"/>
      <c r="F2616" s="37"/>
      <c r="G2616" s="40" t="str">
        <f>IF(tblMovimientos[[#This Row],[Producto]]="","",TRIM(LEFT(tblMovimientos[[#This Row],[Producto]],FIND(" · ",tblMovimientos[[#This Row],[Producto]]&amp;" · ")-1)))</f>
        <v/>
      </c>
      <c r="H2616" s="40" t="str">
        <f>IF(tblMovimientos[[#This Row],[SKU]]="","",IFERROR(INDEX(tblProductos[Unidad],MATCH(tblMovimientos[[#This Row],[SKU]],tblProductos[SKU],0)),"?"))</f>
        <v/>
      </c>
      <c r="I2616" s="39"/>
      <c r="J2616" s="47" t="str">
        <f>IF(tblMovimientos[[#This Row],[Tipo]]="","",IFERROR(INDEX(tblTiposMov[FactorStock],MATCH(tblMovimientos[[#This Row],[Tipo]],tblTiposMov[Tipo],0)),0))</f>
        <v/>
      </c>
      <c r="K26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6" s="37"/>
      <c r="O2616" s="37"/>
      <c r="P2616" s="37"/>
    </row>
    <row r="2617" spans="2:16" x14ac:dyDescent="0.25">
      <c r="B26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7" s="46"/>
      <c r="D2617" s="37"/>
      <c r="E2617" s="37"/>
      <c r="F2617" s="37"/>
      <c r="G2617" s="40" t="str">
        <f>IF(tblMovimientos[[#This Row],[Producto]]="","",TRIM(LEFT(tblMovimientos[[#This Row],[Producto]],FIND(" · ",tblMovimientos[[#This Row],[Producto]]&amp;" · ")-1)))</f>
        <v/>
      </c>
      <c r="H2617" s="40" t="str">
        <f>IF(tblMovimientos[[#This Row],[SKU]]="","",IFERROR(INDEX(tblProductos[Unidad],MATCH(tblMovimientos[[#This Row],[SKU]],tblProductos[SKU],0)),"?"))</f>
        <v/>
      </c>
      <c r="I2617" s="39"/>
      <c r="J2617" s="47" t="str">
        <f>IF(tblMovimientos[[#This Row],[Tipo]]="","",IFERROR(INDEX(tblTiposMov[FactorStock],MATCH(tblMovimientos[[#This Row],[Tipo]],tblTiposMov[Tipo],0)),0))</f>
        <v/>
      </c>
      <c r="K26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7" s="37"/>
      <c r="O2617" s="37"/>
      <c r="P2617" s="37"/>
    </row>
    <row r="2618" spans="2:16" x14ac:dyDescent="0.25">
      <c r="B26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8" s="46"/>
      <c r="D2618" s="37"/>
      <c r="E2618" s="37"/>
      <c r="F2618" s="37"/>
      <c r="G2618" s="40" t="str">
        <f>IF(tblMovimientos[[#This Row],[Producto]]="","",TRIM(LEFT(tblMovimientos[[#This Row],[Producto]],FIND(" · ",tblMovimientos[[#This Row],[Producto]]&amp;" · ")-1)))</f>
        <v/>
      </c>
      <c r="H2618" s="40" t="str">
        <f>IF(tblMovimientos[[#This Row],[SKU]]="","",IFERROR(INDEX(tblProductos[Unidad],MATCH(tblMovimientos[[#This Row],[SKU]],tblProductos[SKU],0)),"?"))</f>
        <v/>
      </c>
      <c r="I2618" s="39"/>
      <c r="J2618" s="47" t="str">
        <f>IF(tblMovimientos[[#This Row],[Tipo]]="","",IFERROR(INDEX(tblTiposMov[FactorStock],MATCH(tblMovimientos[[#This Row],[Tipo]],tblTiposMov[Tipo],0)),0))</f>
        <v/>
      </c>
      <c r="K26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8" s="37"/>
      <c r="O2618" s="37"/>
      <c r="P2618" s="37"/>
    </row>
    <row r="2619" spans="2:16" x14ac:dyDescent="0.25">
      <c r="B26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19" s="46"/>
      <c r="D2619" s="37"/>
      <c r="E2619" s="37"/>
      <c r="F2619" s="37"/>
      <c r="G2619" s="40" t="str">
        <f>IF(tblMovimientos[[#This Row],[Producto]]="","",TRIM(LEFT(tblMovimientos[[#This Row],[Producto]],FIND(" · ",tblMovimientos[[#This Row],[Producto]]&amp;" · ")-1)))</f>
        <v/>
      </c>
      <c r="H2619" s="40" t="str">
        <f>IF(tblMovimientos[[#This Row],[SKU]]="","",IFERROR(INDEX(tblProductos[Unidad],MATCH(tblMovimientos[[#This Row],[SKU]],tblProductos[SKU],0)),"?"))</f>
        <v/>
      </c>
      <c r="I2619" s="39"/>
      <c r="J2619" s="47" t="str">
        <f>IF(tblMovimientos[[#This Row],[Tipo]]="","",IFERROR(INDEX(tblTiposMov[FactorStock],MATCH(tblMovimientos[[#This Row],[Tipo]],tblTiposMov[Tipo],0)),0))</f>
        <v/>
      </c>
      <c r="K26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19" s="37"/>
      <c r="O2619" s="37"/>
      <c r="P2619" s="37"/>
    </row>
    <row r="2620" spans="2:16" x14ac:dyDescent="0.25">
      <c r="B26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0" s="46"/>
      <c r="D2620" s="37"/>
      <c r="E2620" s="37"/>
      <c r="F2620" s="37"/>
      <c r="G2620" s="40" t="str">
        <f>IF(tblMovimientos[[#This Row],[Producto]]="","",TRIM(LEFT(tblMovimientos[[#This Row],[Producto]],FIND(" · ",tblMovimientos[[#This Row],[Producto]]&amp;" · ")-1)))</f>
        <v/>
      </c>
      <c r="H2620" s="40" t="str">
        <f>IF(tblMovimientos[[#This Row],[SKU]]="","",IFERROR(INDEX(tblProductos[Unidad],MATCH(tblMovimientos[[#This Row],[SKU]],tblProductos[SKU],0)),"?"))</f>
        <v/>
      </c>
      <c r="I2620" s="39"/>
      <c r="J2620" s="47" t="str">
        <f>IF(tblMovimientos[[#This Row],[Tipo]]="","",IFERROR(INDEX(tblTiposMov[FactorStock],MATCH(tblMovimientos[[#This Row],[Tipo]],tblTiposMov[Tipo],0)),0))</f>
        <v/>
      </c>
      <c r="K26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0" s="37"/>
      <c r="O2620" s="37"/>
      <c r="P2620" s="37"/>
    </row>
    <row r="2621" spans="2:16" x14ac:dyDescent="0.25">
      <c r="B26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1" s="46"/>
      <c r="D2621" s="37"/>
      <c r="E2621" s="37"/>
      <c r="F2621" s="37"/>
      <c r="G2621" s="40" t="str">
        <f>IF(tblMovimientos[[#This Row],[Producto]]="","",TRIM(LEFT(tblMovimientos[[#This Row],[Producto]],FIND(" · ",tblMovimientos[[#This Row],[Producto]]&amp;" · ")-1)))</f>
        <v/>
      </c>
      <c r="H2621" s="40" t="str">
        <f>IF(tblMovimientos[[#This Row],[SKU]]="","",IFERROR(INDEX(tblProductos[Unidad],MATCH(tblMovimientos[[#This Row],[SKU]],tblProductos[SKU],0)),"?"))</f>
        <v/>
      </c>
      <c r="I2621" s="39"/>
      <c r="J2621" s="47" t="str">
        <f>IF(tblMovimientos[[#This Row],[Tipo]]="","",IFERROR(INDEX(tblTiposMov[FactorStock],MATCH(tblMovimientos[[#This Row],[Tipo]],tblTiposMov[Tipo],0)),0))</f>
        <v/>
      </c>
      <c r="K26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1" s="37"/>
      <c r="O2621" s="37"/>
      <c r="P2621" s="37"/>
    </row>
    <row r="2622" spans="2:16" x14ac:dyDescent="0.25">
      <c r="B26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2" s="46"/>
      <c r="D2622" s="37"/>
      <c r="E2622" s="37"/>
      <c r="F2622" s="37"/>
      <c r="G2622" s="40" t="str">
        <f>IF(tblMovimientos[[#This Row],[Producto]]="","",TRIM(LEFT(tblMovimientos[[#This Row],[Producto]],FIND(" · ",tblMovimientos[[#This Row],[Producto]]&amp;" · ")-1)))</f>
        <v/>
      </c>
      <c r="H2622" s="40" t="str">
        <f>IF(tblMovimientos[[#This Row],[SKU]]="","",IFERROR(INDEX(tblProductos[Unidad],MATCH(tblMovimientos[[#This Row],[SKU]],tblProductos[SKU],0)),"?"))</f>
        <v/>
      </c>
      <c r="I2622" s="39"/>
      <c r="J2622" s="47" t="str">
        <f>IF(tblMovimientos[[#This Row],[Tipo]]="","",IFERROR(INDEX(tblTiposMov[FactorStock],MATCH(tblMovimientos[[#This Row],[Tipo]],tblTiposMov[Tipo],0)),0))</f>
        <v/>
      </c>
      <c r="K26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2" s="37"/>
      <c r="O2622" s="37"/>
      <c r="P2622" s="37"/>
    </row>
    <row r="2623" spans="2:16" x14ac:dyDescent="0.25">
      <c r="B26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3" s="46"/>
      <c r="D2623" s="37"/>
      <c r="E2623" s="37"/>
      <c r="F2623" s="37"/>
      <c r="G2623" s="40" t="str">
        <f>IF(tblMovimientos[[#This Row],[Producto]]="","",TRIM(LEFT(tblMovimientos[[#This Row],[Producto]],FIND(" · ",tblMovimientos[[#This Row],[Producto]]&amp;" · ")-1)))</f>
        <v/>
      </c>
      <c r="H2623" s="40" t="str">
        <f>IF(tblMovimientos[[#This Row],[SKU]]="","",IFERROR(INDEX(tblProductos[Unidad],MATCH(tblMovimientos[[#This Row],[SKU]],tblProductos[SKU],0)),"?"))</f>
        <v/>
      </c>
      <c r="I2623" s="39"/>
      <c r="J2623" s="47" t="str">
        <f>IF(tblMovimientos[[#This Row],[Tipo]]="","",IFERROR(INDEX(tblTiposMov[FactorStock],MATCH(tblMovimientos[[#This Row],[Tipo]],tblTiposMov[Tipo],0)),0))</f>
        <v/>
      </c>
      <c r="K26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3" s="37"/>
      <c r="O2623" s="37"/>
      <c r="P2623" s="37"/>
    </row>
    <row r="2624" spans="2:16" x14ac:dyDescent="0.25">
      <c r="B26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4" s="46"/>
      <c r="D2624" s="37"/>
      <c r="E2624" s="37"/>
      <c r="F2624" s="37"/>
      <c r="G2624" s="40" t="str">
        <f>IF(tblMovimientos[[#This Row],[Producto]]="","",TRIM(LEFT(tblMovimientos[[#This Row],[Producto]],FIND(" · ",tblMovimientos[[#This Row],[Producto]]&amp;" · ")-1)))</f>
        <v/>
      </c>
      <c r="H2624" s="40" t="str">
        <f>IF(tblMovimientos[[#This Row],[SKU]]="","",IFERROR(INDEX(tblProductos[Unidad],MATCH(tblMovimientos[[#This Row],[SKU]],tblProductos[SKU],0)),"?"))</f>
        <v/>
      </c>
      <c r="I2624" s="39"/>
      <c r="J2624" s="47" t="str">
        <f>IF(tblMovimientos[[#This Row],[Tipo]]="","",IFERROR(INDEX(tblTiposMov[FactorStock],MATCH(tblMovimientos[[#This Row],[Tipo]],tblTiposMov[Tipo],0)),0))</f>
        <v/>
      </c>
      <c r="K26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4" s="37"/>
      <c r="O2624" s="37"/>
      <c r="P2624" s="37"/>
    </row>
    <row r="2625" spans="2:16" x14ac:dyDescent="0.25">
      <c r="B26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5" s="46"/>
      <c r="D2625" s="37"/>
      <c r="E2625" s="37"/>
      <c r="F2625" s="37"/>
      <c r="G2625" s="40" t="str">
        <f>IF(tblMovimientos[[#This Row],[Producto]]="","",TRIM(LEFT(tblMovimientos[[#This Row],[Producto]],FIND(" · ",tblMovimientos[[#This Row],[Producto]]&amp;" · ")-1)))</f>
        <v/>
      </c>
      <c r="H2625" s="40" t="str">
        <f>IF(tblMovimientos[[#This Row],[SKU]]="","",IFERROR(INDEX(tblProductos[Unidad],MATCH(tblMovimientos[[#This Row],[SKU]],tblProductos[SKU],0)),"?"))</f>
        <v/>
      </c>
      <c r="I2625" s="39"/>
      <c r="J2625" s="47" t="str">
        <f>IF(tblMovimientos[[#This Row],[Tipo]]="","",IFERROR(INDEX(tblTiposMov[FactorStock],MATCH(tblMovimientos[[#This Row],[Tipo]],tblTiposMov[Tipo],0)),0))</f>
        <v/>
      </c>
      <c r="K26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5" s="37"/>
      <c r="O2625" s="37"/>
      <c r="P2625" s="37"/>
    </row>
    <row r="2626" spans="2:16" x14ac:dyDescent="0.25">
      <c r="B26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6" s="46"/>
      <c r="D2626" s="37"/>
      <c r="E2626" s="37"/>
      <c r="F2626" s="37"/>
      <c r="G2626" s="40" t="str">
        <f>IF(tblMovimientos[[#This Row],[Producto]]="","",TRIM(LEFT(tblMovimientos[[#This Row],[Producto]],FIND(" · ",tblMovimientos[[#This Row],[Producto]]&amp;" · ")-1)))</f>
        <v/>
      </c>
      <c r="H2626" s="40" t="str">
        <f>IF(tblMovimientos[[#This Row],[SKU]]="","",IFERROR(INDEX(tblProductos[Unidad],MATCH(tblMovimientos[[#This Row],[SKU]],tblProductos[SKU],0)),"?"))</f>
        <v/>
      </c>
      <c r="I2626" s="39"/>
      <c r="J2626" s="47" t="str">
        <f>IF(tblMovimientos[[#This Row],[Tipo]]="","",IFERROR(INDEX(tblTiposMov[FactorStock],MATCH(tblMovimientos[[#This Row],[Tipo]],tblTiposMov[Tipo],0)),0))</f>
        <v/>
      </c>
      <c r="K26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6" s="37"/>
      <c r="O2626" s="37"/>
      <c r="P2626" s="37"/>
    </row>
    <row r="2627" spans="2:16" x14ac:dyDescent="0.25">
      <c r="B26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7" s="46"/>
      <c r="D2627" s="37"/>
      <c r="E2627" s="37"/>
      <c r="F2627" s="37"/>
      <c r="G2627" s="40" t="str">
        <f>IF(tblMovimientos[[#This Row],[Producto]]="","",TRIM(LEFT(tblMovimientos[[#This Row],[Producto]],FIND(" · ",tblMovimientos[[#This Row],[Producto]]&amp;" · ")-1)))</f>
        <v/>
      </c>
      <c r="H2627" s="40" t="str">
        <f>IF(tblMovimientos[[#This Row],[SKU]]="","",IFERROR(INDEX(tblProductos[Unidad],MATCH(tblMovimientos[[#This Row],[SKU]],tblProductos[SKU],0)),"?"))</f>
        <v/>
      </c>
      <c r="I2627" s="39"/>
      <c r="J2627" s="47" t="str">
        <f>IF(tblMovimientos[[#This Row],[Tipo]]="","",IFERROR(INDEX(tblTiposMov[FactorStock],MATCH(tblMovimientos[[#This Row],[Tipo]],tblTiposMov[Tipo],0)),0))</f>
        <v/>
      </c>
      <c r="K26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7" s="37"/>
      <c r="O2627" s="37"/>
      <c r="P2627" s="37"/>
    </row>
    <row r="2628" spans="2:16" x14ac:dyDescent="0.25">
      <c r="B26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8" s="46"/>
      <c r="D2628" s="37"/>
      <c r="E2628" s="37"/>
      <c r="F2628" s="37"/>
      <c r="G2628" s="40" t="str">
        <f>IF(tblMovimientos[[#This Row],[Producto]]="","",TRIM(LEFT(tblMovimientos[[#This Row],[Producto]],FIND(" · ",tblMovimientos[[#This Row],[Producto]]&amp;" · ")-1)))</f>
        <v/>
      </c>
      <c r="H2628" s="40" t="str">
        <f>IF(tblMovimientos[[#This Row],[SKU]]="","",IFERROR(INDEX(tblProductos[Unidad],MATCH(tblMovimientos[[#This Row],[SKU]],tblProductos[SKU],0)),"?"))</f>
        <v/>
      </c>
      <c r="I2628" s="39"/>
      <c r="J2628" s="47" t="str">
        <f>IF(tblMovimientos[[#This Row],[Tipo]]="","",IFERROR(INDEX(tblTiposMov[FactorStock],MATCH(tblMovimientos[[#This Row],[Tipo]],tblTiposMov[Tipo],0)),0))</f>
        <v/>
      </c>
      <c r="K26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8" s="37"/>
      <c r="O2628" s="37"/>
      <c r="P2628" s="37"/>
    </row>
    <row r="2629" spans="2:16" x14ac:dyDescent="0.25">
      <c r="B26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29" s="46"/>
      <c r="D2629" s="37"/>
      <c r="E2629" s="37"/>
      <c r="F2629" s="37"/>
      <c r="G2629" s="40" t="str">
        <f>IF(tblMovimientos[[#This Row],[Producto]]="","",TRIM(LEFT(tblMovimientos[[#This Row],[Producto]],FIND(" · ",tblMovimientos[[#This Row],[Producto]]&amp;" · ")-1)))</f>
        <v/>
      </c>
      <c r="H2629" s="40" t="str">
        <f>IF(tblMovimientos[[#This Row],[SKU]]="","",IFERROR(INDEX(tblProductos[Unidad],MATCH(tblMovimientos[[#This Row],[SKU]],tblProductos[SKU],0)),"?"))</f>
        <v/>
      </c>
      <c r="I2629" s="39"/>
      <c r="J2629" s="47" t="str">
        <f>IF(tblMovimientos[[#This Row],[Tipo]]="","",IFERROR(INDEX(tblTiposMov[FactorStock],MATCH(tblMovimientos[[#This Row],[Tipo]],tblTiposMov[Tipo],0)),0))</f>
        <v/>
      </c>
      <c r="K26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29" s="37"/>
      <c r="O2629" s="37"/>
      <c r="P2629" s="37"/>
    </row>
    <row r="2630" spans="2:16" x14ac:dyDescent="0.25">
      <c r="B26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0" s="46"/>
      <c r="D2630" s="37"/>
      <c r="E2630" s="37"/>
      <c r="F2630" s="37"/>
      <c r="G2630" s="40" t="str">
        <f>IF(tblMovimientos[[#This Row],[Producto]]="","",TRIM(LEFT(tblMovimientos[[#This Row],[Producto]],FIND(" · ",tblMovimientos[[#This Row],[Producto]]&amp;" · ")-1)))</f>
        <v/>
      </c>
      <c r="H2630" s="40" t="str">
        <f>IF(tblMovimientos[[#This Row],[SKU]]="","",IFERROR(INDEX(tblProductos[Unidad],MATCH(tblMovimientos[[#This Row],[SKU]],tblProductos[SKU],0)),"?"))</f>
        <v/>
      </c>
      <c r="I2630" s="39"/>
      <c r="J2630" s="47" t="str">
        <f>IF(tblMovimientos[[#This Row],[Tipo]]="","",IFERROR(INDEX(tblTiposMov[FactorStock],MATCH(tblMovimientos[[#This Row],[Tipo]],tblTiposMov[Tipo],0)),0))</f>
        <v/>
      </c>
      <c r="K26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0" s="37"/>
      <c r="O2630" s="37"/>
      <c r="P2630" s="37"/>
    </row>
    <row r="2631" spans="2:16" x14ac:dyDescent="0.25">
      <c r="B26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1" s="46"/>
      <c r="D2631" s="37"/>
      <c r="E2631" s="37"/>
      <c r="F2631" s="37"/>
      <c r="G2631" s="40" t="str">
        <f>IF(tblMovimientos[[#This Row],[Producto]]="","",TRIM(LEFT(tblMovimientos[[#This Row],[Producto]],FIND(" · ",tblMovimientos[[#This Row],[Producto]]&amp;" · ")-1)))</f>
        <v/>
      </c>
      <c r="H2631" s="40" t="str">
        <f>IF(tblMovimientos[[#This Row],[SKU]]="","",IFERROR(INDEX(tblProductos[Unidad],MATCH(tblMovimientos[[#This Row],[SKU]],tblProductos[SKU],0)),"?"))</f>
        <v/>
      </c>
      <c r="I2631" s="39"/>
      <c r="J2631" s="47" t="str">
        <f>IF(tblMovimientos[[#This Row],[Tipo]]="","",IFERROR(INDEX(tblTiposMov[FactorStock],MATCH(tblMovimientos[[#This Row],[Tipo]],tblTiposMov[Tipo],0)),0))</f>
        <v/>
      </c>
      <c r="K26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1" s="37"/>
      <c r="O2631" s="37"/>
      <c r="P2631" s="37"/>
    </row>
    <row r="2632" spans="2:16" x14ac:dyDescent="0.25">
      <c r="B26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2" s="46"/>
      <c r="D2632" s="37"/>
      <c r="E2632" s="37"/>
      <c r="F2632" s="37"/>
      <c r="G2632" s="40" t="str">
        <f>IF(tblMovimientos[[#This Row],[Producto]]="","",TRIM(LEFT(tblMovimientos[[#This Row],[Producto]],FIND(" · ",tblMovimientos[[#This Row],[Producto]]&amp;" · ")-1)))</f>
        <v/>
      </c>
      <c r="H2632" s="40" t="str">
        <f>IF(tblMovimientos[[#This Row],[SKU]]="","",IFERROR(INDEX(tblProductos[Unidad],MATCH(tblMovimientos[[#This Row],[SKU]],tblProductos[SKU],0)),"?"))</f>
        <v/>
      </c>
      <c r="I2632" s="39"/>
      <c r="J2632" s="47" t="str">
        <f>IF(tblMovimientos[[#This Row],[Tipo]]="","",IFERROR(INDEX(tblTiposMov[FactorStock],MATCH(tblMovimientos[[#This Row],[Tipo]],tblTiposMov[Tipo],0)),0))</f>
        <v/>
      </c>
      <c r="K26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2" s="37"/>
      <c r="O2632" s="37"/>
      <c r="P2632" s="37"/>
    </row>
    <row r="2633" spans="2:16" x14ac:dyDescent="0.25">
      <c r="B26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3" s="46"/>
      <c r="D2633" s="37"/>
      <c r="E2633" s="37"/>
      <c r="F2633" s="37"/>
      <c r="G2633" s="40" t="str">
        <f>IF(tblMovimientos[[#This Row],[Producto]]="","",TRIM(LEFT(tblMovimientos[[#This Row],[Producto]],FIND(" · ",tblMovimientos[[#This Row],[Producto]]&amp;" · ")-1)))</f>
        <v/>
      </c>
      <c r="H2633" s="40" t="str">
        <f>IF(tblMovimientos[[#This Row],[SKU]]="","",IFERROR(INDEX(tblProductos[Unidad],MATCH(tblMovimientos[[#This Row],[SKU]],tblProductos[SKU],0)),"?"))</f>
        <v/>
      </c>
      <c r="I2633" s="39"/>
      <c r="J2633" s="47" t="str">
        <f>IF(tblMovimientos[[#This Row],[Tipo]]="","",IFERROR(INDEX(tblTiposMov[FactorStock],MATCH(tblMovimientos[[#This Row],[Tipo]],tblTiposMov[Tipo],0)),0))</f>
        <v/>
      </c>
      <c r="K26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3" s="37"/>
      <c r="O2633" s="37"/>
      <c r="P2633" s="37"/>
    </row>
    <row r="2634" spans="2:16" x14ac:dyDescent="0.25">
      <c r="B26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4" s="46"/>
      <c r="D2634" s="37"/>
      <c r="E2634" s="37"/>
      <c r="F2634" s="37"/>
      <c r="G2634" s="40" t="str">
        <f>IF(tblMovimientos[[#This Row],[Producto]]="","",TRIM(LEFT(tblMovimientos[[#This Row],[Producto]],FIND(" · ",tblMovimientos[[#This Row],[Producto]]&amp;" · ")-1)))</f>
        <v/>
      </c>
      <c r="H2634" s="40" t="str">
        <f>IF(tblMovimientos[[#This Row],[SKU]]="","",IFERROR(INDEX(tblProductos[Unidad],MATCH(tblMovimientos[[#This Row],[SKU]],tblProductos[SKU],0)),"?"))</f>
        <v/>
      </c>
      <c r="I2634" s="39"/>
      <c r="J2634" s="47" t="str">
        <f>IF(tblMovimientos[[#This Row],[Tipo]]="","",IFERROR(INDEX(tblTiposMov[FactorStock],MATCH(tblMovimientos[[#This Row],[Tipo]],tblTiposMov[Tipo],0)),0))</f>
        <v/>
      </c>
      <c r="K26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4" s="37"/>
      <c r="O2634" s="37"/>
      <c r="P2634" s="37"/>
    </row>
    <row r="2635" spans="2:16" x14ac:dyDescent="0.25">
      <c r="B26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5" s="46"/>
      <c r="D2635" s="37"/>
      <c r="E2635" s="37"/>
      <c r="F2635" s="37"/>
      <c r="G2635" s="40" t="str">
        <f>IF(tblMovimientos[[#This Row],[Producto]]="","",TRIM(LEFT(tblMovimientos[[#This Row],[Producto]],FIND(" · ",tblMovimientos[[#This Row],[Producto]]&amp;" · ")-1)))</f>
        <v/>
      </c>
      <c r="H2635" s="40" t="str">
        <f>IF(tblMovimientos[[#This Row],[SKU]]="","",IFERROR(INDEX(tblProductos[Unidad],MATCH(tblMovimientos[[#This Row],[SKU]],tblProductos[SKU],0)),"?"))</f>
        <v/>
      </c>
      <c r="I2635" s="39"/>
      <c r="J2635" s="47" t="str">
        <f>IF(tblMovimientos[[#This Row],[Tipo]]="","",IFERROR(INDEX(tblTiposMov[FactorStock],MATCH(tblMovimientos[[#This Row],[Tipo]],tblTiposMov[Tipo],0)),0))</f>
        <v/>
      </c>
      <c r="K26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5" s="37"/>
      <c r="O2635" s="37"/>
      <c r="P2635" s="37"/>
    </row>
    <row r="2636" spans="2:16" x14ac:dyDescent="0.25">
      <c r="B26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6" s="46"/>
      <c r="D2636" s="37"/>
      <c r="E2636" s="37"/>
      <c r="F2636" s="37"/>
      <c r="G2636" s="40" t="str">
        <f>IF(tblMovimientos[[#This Row],[Producto]]="","",TRIM(LEFT(tblMovimientos[[#This Row],[Producto]],FIND(" · ",tblMovimientos[[#This Row],[Producto]]&amp;" · ")-1)))</f>
        <v/>
      </c>
      <c r="H2636" s="40" t="str">
        <f>IF(tblMovimientos[[#This Row],[SKU]]="","",IFERROR(INDEX(tblProductos[Unidad],MATCH(tblMovimientos[[#This Row],[SKU]],tblProductos[SKU],0)),"?"))</f>
        <v/>
      </c>
      <c r="I2636" s="39"/>
      <c r="J2636" s="47" t="str">
        <f>IF(tblMovimientos[[#This Row],[Tipo]]="","",IFERROR(INDEX(tblTiposMov[FactorStock],MATCH(tblMovimientos[[#This Row],[Tipo]],tblTiposMov[Tipo],0)),0))</f>
        <v/>
      </c>
      <c r="K26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6" s="37"/>
      <c r="O2636" s="37"/>
      <c r="P2636" s="37"/>
    </row>
    <row r="2637" spans="2:16" x14ac:dyDescent="0.25">
      <c r="B26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7" s="46"/>
      <c r="D2637" s="37"/>
      <c r="E2637" s="37"/>
      <c r="F2637" s="37"/>
      <c r="G2637" s="40" t="str">
        <f>IF(tblMovimientos[[#This Row],[Producto]]="","",TRIM(LEFT(tblMovimientos[[#This Row],[Producto]],FIND(" · ",tblMovimientos[[#This Row],[Producto]]&amp;" · ")-1)))</f>
        <v/>
      </c>
      <c r="H2637" s="40" t="str">
        <f>IF(tblMovimientos[[#This Row],[SKU]]="","",IFERROR(INDEX(tblProductos[Unidad],MATCH(tblMovimientos[[#This Row],[SKU]],tblProductos[SKU],0)),"?"))</f>
        <v/>
      </c>
      <c r="I2637" s="39"/>
      <c r="J2637" s="47" t="str">
        <f>IF(tblMovimientos[[#This Row],[Tipo]]="","",IFERROR(INDEX(tblTiposMov[FactorStock],MATCH(tblMovimientos[[#This Row],[Tipo]],tblTiposMov[Tipo],0)),0))</f>
        <v/>
      </c>
      <c r="K26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7" s="37"/>
      <c r="O2637" s="37"/>
      <c r="P2637" s="37"/>
    </row>
    <row r="2638" spans="2:16" x14ac:dyDescent="0.25">
      <c r="B26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8" s="46"/>
      <c r="D2638" s="37"/>
      <c r="E2638" s="37"/>
      <c r="F2638" s="37"/>
      <c r="G2638" s="40" t="str">
        <f>IF(tblMovimientos[[#This Row],[Producto]]="","",TRIM(LEFT(tblMovimientos[[#This Row],[Producto]],FIND(" · ",tblMovimientos[[#This Row],[Producto]]&amp;" · ")-1)))</f>
        <v/>
      </c>
      <c r="H2638" s="40" t="str">
        <f>IF(tblMovimientos[[#This Row],[SKU]]="","",IFERROR(INDEX(tblProductos[Unidad],MATCH(tblMovimientos[[#This Row],[SKU]],tblProductos[SKU],0)),"?"))</f>
        <v/>
      </c>
      <c r="I2638" s="39"/>
      <c r="J2638" s="47" t="str">
        <f>IF(tblMovimientos[[#This Row],[Tipo]]="","",IFERROR(INDEX(tblTiposMov[FactorStock],MATCH(tblMovimientos[[#This Row],[Tipo]],tblTiposMov[Tipo],0)),0))</f>
        <v/>
      </c>
      <c r="K26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8" s="37"/>
      <c r="O2638" s="37"/>
      <c r="P2638" s="37"/>
    </row>
    <row r="2639" spans="2:16" x14ac:dyDescent="0.25">
      <c r="B26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39" s="46"/>
      <c r="D2639" s="37"/>
      <c r="E2639" s="37"/>
      <c r="F2639" s="37"/>
      <c r="G2639" s="40" t="str">
        <f>IF(tblMovimientos[[#This Row],[Producto]]="","",TRIM(LEFT(tblMovimientos[[#This Row],[Producto]],FIND(" · ",tblMovimientos[[#This Row],[Producto]]&amp;" · ")-1)))</f>
        <v/>
      </c>
      <c r="H2639" s="40" t="str">
        <f>IF(tblMovimientos[[#This Row],[SKU]]="","",IFERROR(INDEX(tblProductos[Unidad],MATCH(tblMovimientos[[#This Row],[SKU]],tblProductos[SKU],0)),"?"))</f>
        <v/>
      </c>
      <c r="I2639" s="39"/>
      <c r="J2639" s="47" t="str">
        <f>IF(tblMovimientos[[#This Row],[Tipo]]="","",IFERROR(INDEX(tblTiposMov[FactorStock],MATCH(tblMovimientos[[#This Row],[Tipo]],tblTiposMov[Tipo],0)),0))</f>
        <v/>
      </c>
      <c r="K26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39" s="37"/>
      <c r="O2639" s="37"/>
      <c r="P2639" s="37"/>
    </row>
    <row r="2640" spans="2:16" x14ac:dyDescent="0.25">
      <c r="B26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0" s="46"/>
      <c r="D2640" s="37"/>
      <c r="E2640" s="37"/>
      <c r="F2640" s="37"/>
      <c r="G2640" s="40" t="str">
        <f>IF(tblMovimientos[[#This Row],[Producto]]="","",TRIM(LEFT(tblMovimientos[[#This Row],[Producto]],FIND(" · ",tblMovimientos[[#This Row],[Producto]]&amp;" · ")-1)))</f>
        <v/>
      </c>
      <c r="H2640" s="40" t="str">
        <f>IF(tblMovimientos[[#This Row],[SKU]]="","",IFERROR(INDEX(tblProductos[Unidad],MATCH(tblMovimientos[[#This Row],[SKU]],tblProductos[SKU],0)),"?"))</f>
        <v/>
      </c>
      <c r="I2640" s="39"/>
      <c r="J2640" s="47" t="str">
        <f>IF(tblMovimientos[[#This Row],[Tipo]]="","",IFERROR(INDEX(tblTiposMov[FactorStock],MATCH(tblMovimientos[[#This Row],[Tipo]],tblTiposMov[Tipo],0)),0))</f>
        <v/>
      </c>
      <c r="K26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0" s="37"/>
      <c r="O2640" s="37"/>
      <c r="P2640" s="37"/>
    </row>
    <row r="2641" spans="2:16" x14ac:dyDescent="0.25">
      <c r="B26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1" s="46"/>
      <c r="D2641" s="37"/>
      <c r="E2641" s="37"/>
      <c r="F2641" s="37"/>
      <c r="G2641" s="40" t="str">
        <f>IF(tblMovimientos[[#This Row],[Producto]]="","",TRIM(LEFT(tblMovimientos[[#This Row],[Producto]],FIND(" · ",tblMovimientos[[#This Row],[Producto]]&amp;" · ")-1)))</f>
        <v/>
      </c>
      <c r="H2641" s="40" t="str">
        <f>IF(tblMovimientos[[#This Row],[SKU]]="","",IFERROR(INDEX(tblProductos[Unidad],MATCH(tblMovimientos[[#This Row],[SKU]],tblProductos[SKU],0)),"?"))</f>
        <v/>
      </c>
      <c r="I2641" s="39"/>
      <c r="J2641" s="47" t="str">
        <f>IF(tblMovimientos[[#This Row],[Tipo]]="","",IFERROR(INDEX(tblTiposMov[FactorStock],MATCH(tblMovimientos[[#This Row],[Tipo]],tblTiposMov[Tipo],0)),0))</f>
        <v/>
      </c>
      <c r="K26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1" s="37"/>
      <c r="O2641" s="37"/>
      <c r="P2641" s="37"/>
    </row>
    <row r="2642" spans="2:16" x14ac:dyDescent="0.25">
      <c r="B26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2" s="46"/>
      <c r="D2642" s="37"/>
      <c r="E2642" s="37"/>
      <c r="F2642" s="37"/>
      <c r="G2642" s="40" t="str">
        <f>IF(tblMovimientos[[#This Row],[Producto]]="","",TRIM(LEFT(tblMovimientos[[#This Row],[Producto]],FIND(" · ",tblMovimientos[[#This Row],[Producto]]&amp;" · ")-1)))</f>
        <v/>
      </c>
      <c r="H2642" s="40" t="str">
        <f>IF(tblMovimientos[[#This Row],[SKU]]="","",IFERROR(INDEX(tblProductos[Unidad],MATCH(tblMovimientos[[#This Row],[SKU]],tblProductos[SKU],0)),"?"))</f>
        <v/>
      </c>
      <c r="I2642" s="39"/>
      <c r="J2642" s="47" t="str">
        <f>IF(tblMovimientos[[#This Row],[Tipo]]="","",IFERROR(INDEX(tblTiposMov[FactorStock],MATCH(tblMovimientos[[#This Row],[Tipo]],tblTiposMov[Tipo],0)),0))</f>
        <v/>
      </c>
      <c r="K26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2" s="37"/>
      <c r="O2642" s="37"/>
      <c r="P2642" s="37"/>
    </row>
    <row r="2643" spans="2:16" x14ac:dyDescent="0.25">
      <c r="B26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3" s="46"/>
      <c r="D2643" s="37"/>
      <c r="E2643" s="37"/>
      <c r="F2643" s="37"/>
      <c r="G2643" s="40" t="str">
        <f>IF(tblMovimientos[[#This Row],[Producto]]="","",TRIM(LEFT(tblMovimientos[[#This Row],[Producto]],FIND(" · ",tblMovimientos[[#This Row],[Producto]]&amp;" · ")-1)))</f>
        <v/>
      </c>
      <c r="H2643" s="40" t="str">
        <f>IF(tblMovimientos[[#This Row],[SKU]]="","",IFERROR(INDEX(tblProductos[Unidad],MATCH(tblMovimientos[[#This Row],[SKU]],tblProductos[SKU],0)),"?"))</f>
        <v/>
      </c>
      <c r="I2643" s="39"/>
      <c r="J2643" s="47" t="str">
        <f>IF(tblMovimientos[[#This Row],[Tipo]]="","",IFERROR(INDEX(tblTiposMov[FactorStock],MATCH(tblMovimientos[[#This Row],[Tipo]],tblTiposMov[Tipo],0)),0))</f>
        <v/>
      </c>
      <c r="K26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3" s="37"/>
      <c r="O2643" s="37"/>
      <c r="P2643" s="37"/>
    </row>
    <row r="2644" spans="2:16" x14ac:dyDescent="0.25">
      <c r="B26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4" s="46"/>
      <c r="D2644" s="37"/>
      <c r="E2644" s="37"/>
      <c r="F2644" s="37"/>
      <c r="G2644" s="40" t="str">
        <f>IF(tblMovimientos[[#This Row],[Producto]]="","",TRIM(LEFT(tblMovimientos[[#This Row],[Producto]],FIND(" · ",tblMovimientos[[#This Row],[Producto]]&amp;" · ")-1)))</f>
        <v/>
      </c>
      <c r="H2644" s="40" t="str">
        <f>IF(tblMovimientos[[#This Row],[SKU]]="","",IFERROR(INDEX(tblProductos[Unidad],MATCH(tblMovimientos[[#This Row],[SKU]],tblProductos[SKU],0)),"?"))</f>
        <v/>
      </c>
      <c r="I2644" s="39"/>
      <c r="J2644" s="47" t="str">
        <f>IF(tblMovimientos[[#This Row],[Tipo]]="","",IFERROR(INDEX(tblTiposMov[FactorStock],MATCH(tblMovimientos[[#This Row],[Tipo]],tblTiposMov[Tipo],0)),0))</f>
        <v/>
      </c>
      <c r="K26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4" s="37"/>
      <c r="O2644" s="37"/>
      <c r="P2644" s="37"/>
    </row>
    <row r="2645" spans="2:16" x14ac:dyDescent="0.25">
      <c r="B26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5" s="46"/>
      <c r="D2645" s="37"/>
      <c r="E2645" s="37"/>
      <c r="F2645" s="37"/>
      <c r="G2645" s="40" t="str">
        <f>IF(tblMovimientos[[#This Row],[Producto]]="","",TRIM(LEFT(tblMovimientos[[#This Row],[Producto]],FIND(" · ",tblMovimientos[[#This Row],[Producto]]&amp;" · ")-1)))</f>
        <v/>
      </c>
      <c r="H2645" s="40" t="str">
        <f>IF(tblMovimientos[[#This Row],[SKU]]="","",IFERROR(INDEX(tblProductos[Unidad],MATCH(tblMovimientos[[#This Row],[SKU]],tblProductos[SKU],0)),"?"))</f>
        <v/>
      </c>
      <c r="I2645" s="39"/>
      <c r="J2645" s="47" t="str">
        <f>IF(tblMovimientos[[#This Row],[Tipo]]="","",IFERROR(INDEX(tblTiposMov[FactorStock],MATCH(tblMovimientos[[#This Row],[Tipo]],tblTiposMov[Tipo],0)),0))</f>
        <v/>
      </c>
      <c r="K26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5" s="37"/>
      <c r="O2645" s="37"/>
      <c r="P2645" s="37"/>
    </row>
    <row r="2646" spans="2:16" x14ac:dyDescent="0.25">
      <c r="B26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6" s="46"/>
      <c r="D2646" s="37"/>
      <c r="E2646" s="37"/>
      <c r="F2646" s="37"/>
      <c r="G2646" s="40" t="str">
        <f>IF(tblMovimientos[[#This Row],[Producto]]="","",TRIM(LEFT(tblMovimientos[[#This Row],[Producto]],FIND(" · ",tblMovimientos[[#This Row],[Producto]]&amp;" · ")-1)))</f>
        <v/>
      </c>
      <c r="H2646" s="40" t="str">
        <f>IF(tblMovimientos[[#This Row],[SKU]]="","",IFERROR(INDEX(tblProductos[Unidad],MATCH(tblMovimientos[[#This Row],[SKU]],tblProductos[SKU],0)),"?"))</f>
        <v/>
      </c>
      <c r="I2646" s="39"/>
      <c r="J2646" s="47" t="str">
        <f>IF(tblMovimientos[[#This Row],[Tipo]]="","",IFERROR(INDEX(tblTiposMov[FactorStock],MATCH(tblMovimientos[[#This Row],[Tipo]],tblTiposMov[Tipo],0)),0))</f>
        <v/>
      </c>
      <c r="K26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6" s="37"/>
      <c r="O2646" s="37"/>
      <c r="P2646" s="37"/>
    </row>
    <row r="2647" spans="2:16" x14ac:dyDescent="0.25">
      <c r="B26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7" s="46"/>
      <c r="D2647" s="37"/>
      <c r="E2647" s="37"/>
      <c r="F2647" s="37"/>
      <c r="G2647" s="40" t="str">
        <f>IF(tblMovimientos[[#This Row],[Producto]]="","",TRIM(LEFT(tblMovimientos[[#This Row],[Producto]],FIND(" · ",tblMovimientos[[#This Row],[Producto]]&amp;" · ")-1)))</f>
        <v/>
      </c>
      <c r="H2647" s="40" t="str">
        <f>IF(tblMovimientos[[#This Row],[SKU]]="","",IFERROR(INDEX(tblProductos[Unidad],MATCH(tblMovimientos[[#This Row],[SKU]],tblProductos[SKU],0)),"?"))</f>
        <v/>
      </c>
      <c r="I2647" s="39"/>
      <c r="J2647" s="47" t="str">
        <f>IF(tblMovimientos[[#This Row],[Tipo]]="","",IFERROR(INDEX(tblTiposMov[FactorStock],MATCH(tblMovimientos[[#This Row],[Tipo]],tblTiposMov[Tipo],0)),0))</f>
        <v/>
      </c>
      <c r="K26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7" s="37"/>
      <c r="O2647" s="37"/>
      <c r="P2647" s="37"/>
    </row>
    <row r="2648" spans="2:16" x14ac:dyDescent="0.25">
      <c r="B26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8" s="46"/>
      <c r="D2648" s="37"/>
      <c r="E2648" s="37"/>
      <c r="F2648" s="37"/>
      <c r="G2648" s="40" t="str">
        <f>IF(tblMovimientos[[#This Row],[Producto]]="","",TRIM(LEFT(tblMovimientos[[#This Row],[Producto]],FIND(" · ",tblMovimientos[[#This Row],[Producto]]&amp;" · ")-1)))</f>
        <v/>
      </c>
      <c r="H2648" s="40" t="str">
        <f>IF(tblMovimientos[[#This Row],[SKU]]="","",IFERROR(INDEX(tblProductos[Unidad],MATCH(tblMovimientos[[#This Row],[SKU]],tblProductos[SKU],0)),"?"))</f>
        <v/>
      </c>
      <c r="I2648" s="39"/>
      <c r="J2648" s="47" t="str">
        <f>IF(tblMovimientos[[#This Row],[Tipo]]="","",IFERROR(INDEX(tblTiposMov[FactorStock],MATCH(tblMovimientos[[#This Row],[Tipo]],tblTiposMov[Tipo],0)),0))</f>
        <v/>
      </c>
      <c r="K26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8" s="37"/>
      <c r="O2648" s="37"/>
      <c r="P2648" s="37"/>
    </row>
    <row r="2649" spans="2:16" x14ac:dyDescent="0.25">
      <c r="B26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49" s="46"/>
      <c r="D2649" s="37"/>
      <c r="E2649" s="37"/>
      <c r="F2649" s="37"/>
      <c r="G2649" s="40" t="str">
        <f>IF(tblMovimientos[[#This Row],[Producto]]="","",TRIM(LEFT(tblMovimientos[[#This Row],[Producto]],FIND(" · ",tblMovimientos[[#This Row],[Producto]]&amp;" · ")-1)))</f>
        <v/>
      </c>
      <c r="H2649" s="40" t="str">
        <f>IF(tblMovimientos[[#This Row],[SKU]]="","",IFERROR(INDEX(tblProductos[Unidad],MATCH(tblMovimientos[[#This Row],[SKU]],tblProductos[SKU],0)),"?"))</f>
        <v/>
      </c>
      <c r="I2649" s="39"/>
      <c r="J2649" s="47" t="str">
        <f>IF(tblMovimientos[[#This Row],[Tipo]]="","",IFERROR(INDEX(tblTiposMov[FactorStock],MATCH(tblMovimientos[[#This Row],[Tipo]],tblTiposMov[Tipo],0)),0))</f>
        <v/>
      </c>
      <c r="K26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49" s="37"/>
      <c r="O2649" s="37"/>
      <c r="P2649" s="37"/>
    </row>
    <row r="2650" spans="2:16" x14ac:dyDescent="0.25">
      <c r="B26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0" s="46"/>
      <c r="D2650" s="37"/>
      <c r="E2650" s="37"/>
      <c r="F2650" s="37"/>
      <c r="G2650" s="40" t="str">
        <f>IF(tblMovimientos[[#This Row],[Producto]]="","",TRIM(LEFT(tblMovimientos[[#This Row],[Producto]],FIND(" · ",tblMovimientos[[#This Row],[Producto]]&amp;" · ")-1)))</f>
        <v/>
      </c>
      <c r="H2650" s="40" t="str">
        <f>IF(tblMovimientos[[#This Row],[SKU]]="","",IFERROR(INDEX(tblProductos[Unidad],MATCH(tblMovimientos[[#This Row],[SKU]],tblProductos[SKU],0)),"?"))</f>
        <v/>
      </c>
      <c r="I2650" s="39"/>
      <c r="J2650" s="47" t="str">
        <f>IF(tblMovimientos[[#This Row],[Tipo]]="","",IFERROR(INDEX(tblTiposMov[FactorStock],MATCH(tblMovimientos[[#This Row],[Tipo]],tblTiposMov[Tipo],0)),0))</f>
        <v/>
      </c>
      <c r="K26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0" s="37"/>
      <c r="O2650" s="37"/>
      <c r="P2650" s="37"/>
    </row>
    <row r="2651" spans="2:16" x14ac:dyDescent="0.25">
      <c r="B26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1" s="46"/>
      <c r="D2651" s="37"/>
      <c r="E2651" s="37"/>
      <c r="F2651" s="37"/>
      <c r="G2651" s="40" t="str">
        <f>IF(tblMovimientos[[#This Row],[Producto]]="","",TRIM(LEFT(tblMovimientos[[#This Row],[Producto]],FIND(" · ",tblMovimientos[[#This Row],[Producto]]&amp;" · ")-1)))</f>
        <v/>
      </c>
      <c r="H2651" s="40" t="str">
        <f>IF(tblMovimientos[[#This Row],[SKU]]="","",IFERROR(INDEX(tblProductos[Unidad],MATCH(tblMovimientos[[#This Row],[SKU]],tblProductos[SKU],0)),"?"))</f>
        <v/>
      </c>
      <c r="I2651" s="39"/>
      <c r="J2651" s="47" t="str">
        <f>IF(tblMovimientos[[#This Row],[Tipo]]="","",IFERROR(INDEX(tblTiposMov[FactorStock],MATCH(tblMovimientos[[#This Row],[Tipo]],tblTiposMov[Tipo],0)),0))</f>
        <v/>
      </c>
      <c r="K26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1" s="37"/>
      <c r="O2651" s="37"/>
      <c r="P2651" s="37"/>
    </row>
    <row r="2652" spans="2:16" x14ac:dyDescent="0.25">
      <c r="B26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2" s="46"/>
      <c r="D2652" s="37"/>
      <c r="E2652" s="37"/>
      <c r="F2652" s="37"/>
      <c r="G2652" s="40" t="str">
        <f>IF(tblMovimientos[[#This Row],[Producto]]="","",TRIM(LEFT(tblMovimientos[[#This Row],[Producto]],FIND(" · ",tblMovimientos[[#This Row],[Producto]]&amp;" · ")-1)))</f>
        <v/>
      </c>
      <c r="H2652" s="40" t="str">
        <f>IF(tblMovimientos[[#This Row],[SKU]]="","",IFERROR(INDEX(tblProductos[Unidad],MATCH(tblMovimientos[[#This Row],[SKU]],tblProductos[SKU],0)),"?"))</f>
        <v/>
      </c>
      <c r="I2652" s="39"/>
      <c r="J2652" s="47" t="str">
        <f>IF(tblMovimientos[[#This Row],[Tipo]]="","",IFERROR(INDEX(tblTiposMov[FactorStock],MATCH(tblMovimientos[[#This Row],[Tipo]],tblTiposMov[Tipo],0)),0))</f>
        <v/>
      </c>
      <c r="K26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2" s="37"/>
      <c r="O2652" s="37"/>
      <c r="P2652" s="37"/>
    </row>
    <row r="2653" spans="2:16" x14ac:dyDescent="0.25">
      <c r="B26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3" s="46"/>
      <c r="D2653" s="37"/>
      <c r="E2653" s="37"/>
      <c r="F2653" s="37"/>
      <c r="G2653" s="40" t="str">
        <f>IF(tblMovimientos[[#This Row],[Producto]]="","",TRIM(LEFT(tblMovimientos[[#This Row],[Producto]],FIND(" · ",tblMovimientos[[#This Row],[Producto]]&amp;" · ")-1)))</f>
        <v/>
      </c>
      <c r="H2653" s="40" t="str">
        <f>IF(tblMovimientos[[#This Row],[SKU]]="","",IFERROR(INDEX(tblProductos[Unidad],MATCH(tblMovimientos[[#This Row],[SKU]],tblProductos[SKU],0)),"?"))</f>
        <v/>
      </c>
      <c r="I2653" s="39"/>
      <c r="J2653" s="47" t="str">
        <f>IF(tblMovimientos[[#This Row],[Tipo]]="","",IFERROR(INDEX(tblTiposMov[FactorStock],MATCH(tblMovimientos[[#This Row],[Tipo]],tblTiposMov[Tipo],0)),0))</f>
        <v/>
      </c>
      <c r="K26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3" s="37"/>
      <c r="O2653" s="37"/>
      <c r="P2653" s="37"/>
    </row>
    <row r="2654" spans="2:16" x14ac:dyDescent="0.25">
      <c r="B26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4" s="46"/>
      <c r="D2654" s="37"/>
      <c r="E2654" s="37"/>
      <c r="F2654" s="37"/>
      <c r="G2654" s="40" t="str">
        <f>IF(tblMovimientos[[#This Row],[Producto]]="","",TRIM(LEFT(tblMovimientos[[#This Row],[Producto]],FIND(" · ",tblMovimientos[[#This Row],[Producto]]&amp;" · ")-1)))</f>
        <v/>
      </c>
      <c r="H2654" s="40" t="str">
        <f>IF(tblMovimientos[[#This Row],[SKU]]="","",IFERROR(INDEX(tblProductos[Unidad],MATCH(tblMovimientos[[#This Row],[SKU]],tblProductos[SKU],0)),"?"))</f>
        <v/>
      </c>
      <c r="I2654" s="39"/>
      <c r="J2654" s="47" t="str">
        <f>IF(tblMovimientos[[#This Row],[Tipo]]="","",IFERROR(INDEX(tblTiposMov[FactorStock],MATCH(tblMovimientos[[#This Row],[Tipo]],tblTiposMov[Tipo],0)),0))</f>
        <v/>
      </c>
      <c r="K26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4" s="37"/>
      <c r="O2654" s="37"/>
      <c r="P2654" s="37"/>
    </row>
    <row r="2655" spans="2:16" x14ac:dyDescent="0.25">
      <c r="B26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5" s="46"/>
      <c r="D2655" s="37"/>
      <c r="E2655" s="37"/>
      <c r="F2655" s="37"/>
      <c r="G2655" s="40" t="str">
        <f>IF(tblMovimientos[[#This Row],[Producto]]="","",TRIM(LEFT(tblMovimientos[[#This Row],[Producto]],FIND(" · ",tblMovimientos[[#This Row],[Producto]]&amp;" · ")-1)))</f>
        <v/>
      </c>
      <c r="H2655" s="40" t="str">
        <f>IF(tblMovimientos[[#This Row],[SKU]]="","",IFERROR(INDEX(tblProductos[Unidad],MATCH(tblMovimientos[[#This Row],[SKU]],tblProductos[SKU],0)),"?"))</f>
        <v/>
      </c>
      <c r="I2655" s="39"/>
      <c r="J2655" s="47" t="str">
        <f>IF(tblMovimientos[[#This Row],[Tipo]]="","",IFERROR(INDEX(tblTiposMov[FactorStock],MATCH(tblMovimientos[[#This Row],[Tipo]],tblTiposMov[Tipo],0)),0))</f>
        <v/>
      </c>
      <c r="K26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5" s="37"/>
      <c r="O2655" s="37"/>
      <c r="P2655" s="37"/>
    </row>
    <row r="2656" spans="2:16" x14ac:dyDescent="0.25">
      <c r="B26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6" s="46"/>
      <c r="D2656" s="37"/>
      <c r="E2656" s="37"/>
      <c r="F2656" s="37"/>
      <c r="G2656" s="40" t="str">
        <f>IF(tblMovimientos[[#This Row],[Producto]]="","",TRIM(LEFT(tblMovimientos[[#This Row],[Producto]],FIND(" · ",tblMovimientos[[#This Row],[Producto]]&amp;" · ")-1)))</f>
        <v/>
      </c>
      <c r="H2656" s="40" t="str">
        <f>IF(tblMovimientos[[#This Row],[SKU]]="","",IFERROR(INDEX(tblProductos[Unidad],MATCH(tblMovimientos[[#This Row],[SKU]],tblProductos[SKU],0)),"?"))</f>
        <v/>
      </c>
      <c r="I2656" s="39"/>
      <c r="J2656" s="47" t="str">
        <f>IF(tblMovimientos[[#This Row],[Tipo]]="","",IFERROR(INDEX(tblTiposMov[FactorStock],MATCH(tblMovimientos[[#This Row],[Tipo]],tblTiposMov[Tipo],0)),0))</f>
        <v/>
      </c>
      <c r="K26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6" s="37"/>
      <c r="O2656" s="37"/>
      <c r="P2656" s="37"/>
    </row>
    <row r="2657" spans="2:16" x14ac:dyDescent="0.25">
      <c r="B26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7" s="46"/>
      <c r="D2657" s="37"/>
      <c r="E2657" s="37"/>
      <c r="F2657" s="37"/>
      <c r="G2657" s="40" t="str">
        <f>IF(tblMovimientos[[#This Row],[Producto]]="","",TRIM(LEFT(tblMovimientos[[#This Row],[Producto]],FIND(" · ",tblMovimientos[[#This Row],[Producto]]&amp;" · ")-1)))</f>
        <v/>
      </c>
      <c r="H2657" s="40" t="str">
        <f>IF(tblMovimientos[[#This Row],[SKU]]="","",IFERROR(INDEX(tblProductos[Unidad],MATCH(tblMovimientos[[#This Row],[SKU]],tblProductos[SKU],0)),"?"))</f>
        <v/>
      </c>
      <c r="I2657" s="39"/>
      <c r="J2657" s="47" t="str">
        <f>IF(tblMovimientos[[#This Row],[Tipo]]="","",IFERROR(INDEX(tblTiposMov[FactorStock],MATCH(tblMovimientos[[#This Row],[Tipo]],tblTiposMov[Tipo],0)),0))</f>
        <v/>
      </c>
      <c r="K26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7" s="37"/>
      <c r="O2657" s="37"/>
      <c r="P2657" s="37"/>
    </row>
    <row r="2658" spans="2:16" x14ac:dyDescent="0.25">
      <c r="B26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8" s="46"/>
      <c r="D2658" s="37"/>
      <c r="E2658" s="37"/>
      <c r="F2658" s="37"/>
      <c r="G2658" s="40" t="str">
        <f>IF(tblMovimientos[[#This Row],[Producto]]="","",TRIM(LEFT(tblMovimientos[[#This Row],[Producto]],FIND(" · ",tblMovimientos[[#This Row],[Producto]]&amp;" · ")-1)))</f>
        <v/>
      </c>
      <c r="H2658" s="40" t="str">
        <f>IF(tblMovimientos[[#This Row],[SKU]]="","",IFERROR(INDEX(tblProductos[Unidad],MATCH(tblMovimientos[[#This Row],[SKU]],tblProductos[SKU],0)),"?"))</f>
        <v/>
      </c>
      <c r="I2658" s="39"/>
      <c r="J2658" s="47" t="str">
        <f>IF(tblMovimientos[[#This Row],[Tipo]]="","",IFERROR(INDEX(tblTiposMov[FactorStock],MATCH(tblMovimientos[[#This Row],[Tipo]],tblTiposMov[Tipo],0)),0))</f>
        <v/>
      </c>
      <c r="K26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8" s="37"/>
      <c r="O2658" s="37"/>
      <c r="P2658" s="37"/>
    </row>
    <row r="2659" spans="2:16" x14ac:dyDescent="0.25">
      <c r="B26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59" s="46"/>
      <c r="D2659" s="37"/>
      <c r="E2659" s="37"/>
      <c r="F2659" s="37"/>
      <c r="G2659" s="40" t="str">
        <f>IF(tblMovimientos[[#This Row],[Producto]]="","",TRIM(LEFT(tblMovimientos[[#This Row],[Producto]],FIND(" · ",tblMovimientos[[#This Row],[Producto]]&amp;" · ")-1)))</f>
        <v/>
      </c>
      <c r="H2659" s="40" t="str">
        <f>IF(tblMovimientos[[#This Row],[SKU]]="","",IFERROR(INDEX(tblProductos[Unidad],MATCH(tblMovimientos[[#This Row],[SKU]],tblProductos[SKU],0)),"?"))</f>
        <v/>
      </c>
      <c r="I2659" s="39"/>
      <c r="J2659" s="47" t="str">
        <f>IF(tblMovimientos[[#This Row],[Tipo]]="","",IFERROR(INDEX(tblTiposMov[FactorStock],MATCH(tblMovimientos[[#This Row],[Tipo]],tblTiposMov[Tipo],0)),0))</f>
        <v/>
      </c>
      <c r="K26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59" s="37"/>
      <c r="O2659" s="37"/>
      <c r="P2659" s="37"/>
    </row>
    <row r="2660" spans="2:16" x14ac:dyDescent="0.25">
      <c r="B26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0" s="46"/>
      <c r="D2660" s="37"/>
      <c r="E2660" s="37"/>
      <c r="F2660" s="37"/>
      <c r="G2660" s="40" t="str">
        <f>IF(tblMovimientos[[#This Row],[Producto]]="","",TRIM(LEFT(tblMovimientos[[#This Row],[Producto]],FIND(" · ",tblMovimientos[[#This Row],[Producto]]&amp;" · ")-1)))</f>
        <v/>
      </c>
      <c r="H2660" s="40" t="str">
        <f>IF(tblMovimientos[[#This Row],[SKU]]="","",IFERROR(INDEX(tblProductos[Unidad],MATCH(tblMovimientos[[#This Row],[SKU]],tblProductos[SKU],0)),"?"))</f>
        <v/>
      </c>
      <c r="I2660" s="39"/>
      <c r="J2660" s="47" t="str">
        <f>IF(tblMovimientos[[#This Row],[Tipo]]="","",IFERROR(INDEX(tblTiposMov[FactorStock],MATCH(tblMovimientos[[#This Row],[Tipo]],tblTiposMov[Tipo],0)),0))</f>
        <v/>
      </c>
      <c r="K26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0" s="37"/>
      <c r="O2660" s="37"/>
      <c r="P2660" s="37"/>
    </row>
    <row r="2661" spans="2:16" x14ac:dyDescent="0.25">
      <c r="B26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1" s="46"/>
      <c r="D2661" s="37"/>
      <c r="E2661" s="37"/>
      <c r="F2661" s="37"/>
      <c r="G2661" s="40" t="str">
        <f>IF(tblMovimientos[[#This Row],[Producto]]="","",TRIM(LEFT(tblMovimientos[[#This Row],[Producto]],FIND(" · ",tblMovimientos[[#This Row],[Producto]]&amp;" · ")-1)))</f>
        <v/>
      </c>
      <c r="H2661" s="40" t="str">
        <f>IF(tblMovimientos[[#This Row],[SKU]]="","",IFERROR(INDEX(tblProductos[Unidad],MATCH(tblMovimientos[[#This Row],[SKU]],tblProductos[SKU],0)),"?"))</f>
        <v/>
      </c>
      <c r="I2661" s="39"/>
      <c r="J2661" s="47" t="str">
        <f>IF(tblMovimientos[[#This Row],[Tipo]]="","",IFERROR(INDEX(tblTiposMov[FactorStock],MATCH(tblMovimientos[[#This Row],[Tipo]],tblTiposMov[Tipo],0)),0))</f>
        <v/>
      </c>
      <c r="K26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1" s="37"/>
      <c r="O2661" s="37"/>
      <c r="P2661" s="37"/>
    </row>
    <row r="2662" spans="2:16" x14ac:dyDescent="0.25">
      <c r="B26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2" s="46"/>
      <c r="D2662" s="37"/>
      <c r="E2662" s="37"/>
      <c r="F2662" s="37"/>
      <c r="G2662" s="40" t="str">
        <f>IF(tblMovimientos[[#This Row],[Producto]]="","",TRIM(LEFT(tblMovimientos[[#This Row],[Producto]],FIND(" · ",tblMovimientos[[#This Row],[Producto]]&amp;" · ")-1)))</f>
        <v/>
      </c>
      <c r="H2662" s="40" t="str">
        <f>IF(tblMovimientos[[#This Row],[SKU]]="","",IFERROR(INDEX(tblProductos[Unidad],MATCH(tblMovimientos[[#This Row],[SKU]],tblProductos[SKU],0)),"?"))</f>
        <v/>
      </c>
      <c r="I2662" s="39"/>
      <c r="J2662" s="47" t="str">
        <f>IF(tblMovimientos[[#This Row],[Tipo]]="","",IFERROR(INDEX(tblTiposMov[FactorStock],MATCH(tblMovimientos[[#This Row],[Tipo]],tblTiposMov[Tipo],0)),0))</f>
        <v/>
      </c>
      <c r="K26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2" s="37"/>
      <c r="O2662" s="37"/>
      <c r="P2662" s="37"/>
    </row>
    <row r="2663" spans="2:16" x14ac:dyDescent="0.25">
      <c r="B26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3" s="46"/>
      <c r="D2663" s="37"/>
      <c r="E2663" s="37"/>
      <c r="F2663" s="37"/>
      <c r="G2663" s="40" t="str">
        <f>IF(tblMovimientos[[#This Row],[Producto]]="","",TRIM(LEFT(tblMovimientos[[#This Row],[Producto]],FIND(" · ",tblMovimientos[[#This Row],[Producto]]&amp;" · ")-1)))</f>
        <v/>
      </c>
      <c r="H2663" s="40" t="str">
        <f>IF(tblMovimientos[[#This Row],[SKU]]="","",IFERROR(INDEX(tblProductos[Unidad],MATCH(tblMovimientos[[#This Row],[SKU]],tblProductos[SKU],0)),"?"))</f>
        <v/>
      </c>
      <c r="I2663" s="39"/>
      <c r="J2663" s="47" t="str">
        <f>IF(tblMovimientos[[#This Row],[Tipo]]="","",IFERROR(INDEX(tblTiposMov[FactorStock],MATCH(tblMovimientos[[#This Row],[Tipo]],tblTiposMov[Tipo],0)),0))</f>
        <v/>
      </c>
      <c r="K26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3" s="37"/>
      <c r="O2663" s="37"/>
      <c r="P2663" s="37"/>
    </row>
    <row r="2664" spans="2:16" x14ac:dyDescent="0.25">
      <c r="B26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4" s="46"/>
      <c r="D2664" s="37"/>
      <c r="E2664" s="37"/>
      <c r="F2664" s="37"/>
      <c r="G2664" s="40" t="str">
        <f>IF(tblMovimientos[[#This Row],[Producto]]="","",TRIM(LEFT(tblMovimientos[[#This Row],[Producto]],FIND(" · ",tblMovimientos[[#This Row],[Producto]]&amp;" · ")-1)))</f>
        <v/>
      </c>
      <c r="H2664" s="40" t="str">
        <f>IF(tblMovimientos[[#This Row],[SKU]]="","",IFERROR(INDEX(tblProductos[Unidad],MATCH(tblMovimientos[[#This Row],[SKU]],tblProductos[SKU],0)),"?"))</f>
        <v/>
      </c>
      <c r="I2664" s="39"/>
      <c r="J2664" s="47" t="str">
        <f>IF(tblMovimientos[[#This Row],[Tipo]]="","",IFERROR(INDEX(tblTiposMov[FactorStock],MATCH(tblMovimientos[[#This Row],[Tipo]],tblTiposMov[Tipo],0)),0))</f>
        <v/>
      </c>
      <c r="K26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4" s="37"/>
      <c r="O2664" s="37"/>
      <c r="P2664" s="37"/>
    </row>
    <row r="2665" spans="2:16" x14ac:dyDescent="0.25">
      <c r="B26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5" s="46"/>
      <c r="D2665" s="37"/>
      <c r="E2665" s="37"/>
      <c r="F2665" s="37"/>
      <c r="G2665" s="40" t="str">
        <f>IF(tblMovimientos[[#This Row],[Producto]]="","",TRIM(LEFT(tblMovimientos[[#This Row],[Producto]],FIND(" · ",tblMovimientos[[#This Row],[Producto]]&amp;" · ")-1)))</f>
        <v/>
      </c>
      <c r="H2665" s="40" t="str">
        <f>IF(tblMovimientos[[#This Row],[SKU]]="","",IFERROR(INDEX(tblProductos[Unidad],MATCH(tblMovimientos[[#This Row],[SKU]],tblProductos[SKU],0)),"?"))</f>
        <v/>
      </c>
      <c r="I2665" s="39"/>
      <c r="J2665" s="47" t="str">
        <f>IF(tblMovimientos[[#This Row],[Tipo]]="","",IFERROR(INDEX(tblTiposMov[FactorStock],MATCH(tblMovimientos[[#This Row],[Tipo]],tblTiposMov[Tipo],0)),0))</f>
        <v/>
      </c>
      <c r="K26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5" s="37"/>
      <c r="O2665" s="37"/>
      <c r="P2665" s="37"/>
    </row>
    <row r="2666" spans="2:16" x14ac:dyDescent="0.25">
      <c r="B26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6" s="46"/>
      <c r="D2666" s="37"/>
      <c r="E2666" s="37"/>
      <c r="F2666" s="37"/>
      <c r="G2666" s="40" t="str">
        <f>IF(tblMovimientos[[#This Row],[Producto]]="","",TRIM(LEFT(tblMovimientos[[#This Row],[Producto]],FIND(" · ",tblMovimientos[[#This Row],[Producto]]&amp;" · ")-1)))</f>
        <v/>
      </c>
      <c r="H2666" s="40" t="str">
        <f>IF(tblMovimientos[[#This Row],[SKU]]="","",IFERROR(INDEX(tblProductos[Unidad],MATCH(tblMovimientos[[#This Row],[SKU]],tblProductos[SKU],0)),"?"))</f>
        <v/>
      </c>
      <c r="I2666" s="39"/>
      <c r="J2666" s="47" t="str">
        <f>IF(tblMovimientos[[#This Row],[Tipo]]="","",IFERROR(INDEX(tblTiposMov[FactorStock],MATCH(tblMovimientos[[#This Row],[Tipo]],tblTiposMov[Tipo],0)),0))</f>
        <v/>
      </c>
      <c r="K26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6" s="37"/>
      <c r="O2666" s="37"/>
      <c r="P2666" s="37"/>
    </row>
    <row r="2667" spans="2:16" x14ac:dyDescent="0.25">
      <c r="B26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7" s="46"/>
      <c r="D2667" s="37"/>
      <c r="E2667" s="37"/>
      <c r="F2667" s="37"/>
      <c r="G2667" s="40" t="str">
        <f>IF(tblMovimientos[[#This Row],[Producto]]="","",TRIM(LEFT(tblMovimientos[[#This Row],[Producto]],FIND(" · ",tblMovimientos[[#This Row],[Producto]]&amp;" · ")-1)))</f>
        <v/>
      </c>
      <c r="H2667" s="40" t="str">
        <f>IF(tblMovimientos[[#This Row],[SKU]]="","",IFERROR(INDEX(tblProductos[Unidad],MATCH(tblMovimientos[[#This Row],[SKU]],tblProductos[SKU],0)),"?"))</f>
        <v/>
      </c>
      <c r="I2667" s="39"/>
      <c r="J2667" s="47" t="str">
        <f>IF(tblMovimientos[[#This Row],[Tipo]]="","",IFERROR(INDEX(tblTiposMov[FactorStock],MATCH(tblMovimientos[[#This Row],[Tipo]],tblTiposMov[Tipo],0)),0))</f>
        <v/>
      </c>
      <c r="K26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7" s="37"/>
      <c r="O2667" s="37"/>
      <c r="P2667" s="37"/>
    </row>
    <row r="2668" spans="2:16" x14ac:dyDescent="0.25">
      <c r="B26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8" s="46"/>
      <c r="D2668" s="37"/>
      <c r="E2668" s="37"/>
      <c r="F2668" s="37"/>
      <c r="G2668" s="40" t="str">
        <f>IF(tblMovimientos[[#This Row],[Producto]]="","",TRIM(LEFT(tblMovimientos[[#This Row],[Producto]],FIND(" · ",tblMovimientos[[#This Row],[Producto]]&amp;" · ")-1)))</f>
        <v/>
      </c>
      <c r="H2668" s="40" t="str">
        <f>IF(tblMovimientos[[#This Row],[SKU]]="","",IFERROR(INDEX(tblProductos[Unidad],MATCH(tblMovimientos[[#This Row],[SKU]],tblProductos[SKU],0)),"?"))</f>
        <v/>
      </c>
      <c r="I2668" s="39"/>
      <c r="J2668" s="47" t="str">
        <f>IF(tblMovimientos[[#This Row],[Tipo]]="","",IFERROR(INDEX(tblTiposMov[FactorStock],MATCH(tblMovimientos[[#This Row],[Tipo]],tblTiposMov[Tipo],0)),0))</f>
        <v/>
      </c>
      <c r="K26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8" s="37"/>
      <c r="O2668" s="37"/>
      <c r="P2668" s="37"/>
    </row>
    <row r="2669" spans="2:16" x14ac:dyDescent="0.25">
      <c r="B26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69" s="46"/>
      <c r="D2669" s="37"/>
      <c r="E2669" s="37"/>
      <c r="F2669" s="37"/>
      <c r="G2669" s="40" t="str">
        <f>IF(tblMovimientos[[#This Row],[Producto]]="","",TRIM(LEFT(tblMovimientos[[#This Row],[Producto]],FIND(" · ",tblMovimientos[[#This Row],[Producto]]&amp;" · ")-1)))</f>
        <v/>
      </c>
      <c r="H2669" s="40" t="str">
        <f>IF(tblMovimientos[[#This Row],[SKU]]="","",IFERROR(INDEX(tblProductos[Unidad],MATCH(tblMovimientos[[#This Row],[SKU]],tblProductos[SKU],0)),"?"))</f>
        <v/>
      </c>
      <c r="I2669" s="39"/>
      <c r="J2669" s="47" t="str">
        <f>IF(tblMovimientos[[#This Row],[Tipo]]="","",IFERROR(INDEX(tblTiposMov[FactorStock],MATCH(tblMovimientos[[#This Row],[Tipo]],tblTiposMov[Tipo],0)),0))</f>
        <v/>
      </c>
      <c r="K26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69" s="37"/>
      <c r="O2669" s="37"/>
      <c r="P2669" s="37"/>
    </row>
    <row r="2670" spans="2:16" x14ac:dyDescent="0.25">
      <c r="B26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0" s="46"/>
      <c r="D2670" s="37"/>
      <c r="E2670" s="37"/>
      <c r="F2670" s="37"/>
      <c r="G2670" s="40" t="str">
        <f>IF(tblMovimientos[[#This Row],[Producto]]="","",TRIM(LEFT(tblMovimientos[[#This Row],[Producto]],FIND(" · ",tblMovimientos[[#This Row],[Producto]]&amp;" · ")-1)))</f>
        <v/>
      </c>
      <c r="H2670" s="40" t="str">
        <f>IF(tblMovimientos[[#This Row],[SKU]]="","",IFERROR(INDEX(tblProductos[Unidad],MATCH(tblMovimientos[[#This Row],[SKU]],tblProductos[SKU],0)),"?"))</f>
        <v/>
      </c>
      <c r="I2670" s="39"/>
      <c r="J2670" s="47" t="str">
        <f>IF(tblMovimientos[[#This Row],[Tipo]]="","",IFERROR(INDEX(tblTiposMov[FactorStock],MATCH(tblMovimientos[[#This Row],[Tipo]],tblTiposMov[Tipo],0)),0))</f>
        <v/>
      </c>
      <c r="K26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0" s="37"/>
      <c r="O2670" s="37"/>
      <c r="P2670" s="37"/>
    </row>
    <row r="2671" spans="2:16" x14ac:dyDescent="0.25">
      <c r="B26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1" s="46"/>
      <c r="D2671" s="37"/>
      <c r="E2671" s="37"/>
      <c r="F2671" s="37"/>
      <c r="G2671" s="40" t="str">
        <f>IF(tblMovimientos[[#This Row],[Producto]]="","",TRIM(LEFT(tblMovimientos[[#This Row],[Producto]],FIND(" · ",tblMovimientos[[#This Row],[Producto]]&amp;" · ")-1)))</f>
        <v/>
      </c>
      <c r="H2671" s="40" t="str">
        <f>IF(tblMovimientos[[#This Row],[SKU]]="","",IFERROR(INDEX(tblProductos[Unidad],MATCH(tblMovimientos[[#This Row],[SKU]],tblProductos[SKU],0)),"?"))</f>
        <v/>
      </c>
      <c r="I2671" s="39"/>
      <c r="J2671" s="47" t="str">
        <f>IF(tblMovimientos[[#This Row],[Tipo]]="","",IFERROR(INDEX(tblTiposMov[FactorStock],MATCH(tblMovimientos[[#This Row],[Tipo]],tblTiposMov[Tipo],0)),0))</f>
        <v/>
      </c>
      <c r="K26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1" s="37"/>
      <c r="O2671" s="37"/>
      <c r="P2671" s="37"/>
    </row>
    <row r="2672" spans="2:16" x14ac:dyDescent="0.25">
      <c r="B26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2" s="46"/>
      <c r="D2672" s="37"/>
      <c r="E2672" s="37"/>
      <c r="F2672" s="37"/>
      <c r="G2672" s="40" t="str">
        <f>IF(tblMovimientos[[#This Row],[Producto]]="","",TRIM(LEFT(tblMovimientos[[#This Row],[Producto]],FIND(" · ",tblMovimientos[[#This Row],[Producto]]&amp;" · ")-1)))</f>
        <v/>
      </c>
      <c r="H2672" s="40" t="str">
        <f>IF(tblMovimientos[[#This Row],[SKU]]="","",IFERROR(INDEX(tblProductos[Unidad],MATCH(tblMovimientos[[#This Row],[SKU]],tblProductos[SKU],0)),"?"))</f>
        <v/>
      </c>
      <c r="I2672" s="39"/>
      <c r="J2672" s="47" t="str">
        <f>IF(tblMovimientos[[#This Row],[Tipo]]="","",IFERROR(INDEX(tblTiposMov[FactorStock],MATCH(tblMovimientos[[#This Row],[Tipo]],tblTiposMov[Tipo],0)),0))</f>
        <v/>
      </c>
      <c r="K26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2" s="37"/>
      <c r="O2672" s="37"/>
      <c r="P2672" s="37"/>
    </row>
    <row r="2673" spans="2:16" x14ac:dyDescent="0.25">
      <c r="B26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3" s="46"/>
      <c r="D2673" s="37"/>
      <c r="E2673" s="37"/>
      <c r="F2673" s="37"/>
      <c r="G2673" s="40" t="str">
        <f>IF(tblMovimientos[[#This Row],[Producto]]="","",TRIM(LEFT(tblMovimientos[[#This Row],[Producto]],FIND(" · ",tblMovimientos[[#This Row],[Producto]]&amp;" · ")-1)))</f>
        <v/>
      </c>
      <c r="H2673" s="40" t="str">
        <f>IF(tblMovimientos[[#This Row],[SKU]]="","",IFERROR(INDEX(tblProductos[Unidad],MATCH(tblMovimientos[[#This Row],[SKU]],tblProductos[SKU],0)),"?"))</f>
        <v/>
      </c>
      <c r="I2673" s="39"/>
      <c r="J2673" s="47" t="str">
        <f>IF(tblMovimientos[[#This Row],[Tipo]]="","",IFERROR(INDEX(tblTiposMov[FactorStock],MATCH(tblMovimientos[[#This Row],[Tipo]],tblTiposMov[Tipo],0)),0))</f>
        <v/>
      </c>
      <c r="K26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3" s="37"/>
      <c r="O2673" s="37"/>
      <c r="P2673" s="37"/>
    </row>
    <row r="2674" spans="2:16" x14ac:dyDescent="0.25">
      <c r="B26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4" s="46"/>
      <c r="D2674" s="37"/>
      <c r="E2674" s="37"/>
      <c r="F2674" s="37"/>
      <c r="G2674" s="40" t="str">
        <f>IF(tblMovimientos[[#This Row],[Producto]]="","",TRIM(LEFT(tblMovimientos[[#This Row],[Producto]],FIND(" · ",tblMovimientos[[#This Row],[Producto]]&amp;" · ")-1)))</f>
        <v/>
      </c>
      <c r="H2674" s="40" t="str">
        <f>IF(tblMovimientos[[#This Row],[SKU]]="","",IFERROR(INDEX(tblProductos[Unidad],MATCH(tblMovimientos[[#This Row],[SKU]],tblProductos[SKU],0)),"?"))</f>
        <v/>
      </c>
      <c r="I2674" s="39"/>
      <c r="J2674" s="47" t="str">
        <f>IF(tblMovimientos[[#This Row],[Tipo]]="","",IFERROR(INDEX(tblTiposMov[FactorStock],MATCH(tblMovimientos[[#This Row],[Tipo]],tblTiposMov[Tipo],0)),0))</f>
        <v/>
      </c>
      <c r="K26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4" s="37"/>
      <c r="O2674" s="37"/>
      <c r="P2674" s="37"/>
    </row>
    <row r="2675" spans="2:16" x14ac:dyDescent="0.25">
      <c r="B26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5" s="46"/>
      <c r="D2675" s="37"/>
      <c r="E2675" s="37"/>
      <c r="F2675" s="37"/>
      <c r="G2675" s="40" t="str">
        <f>IF(tblMovimientos[[#This Row],[Producto]]="","",TRIM(LEFT(tblMovimientos[[#This Row],[Producto]],FIND(" · ",tblMovimientos[[#This Row],[Producto]]&amp;" · ")-1)))</f>
        <v/>
      </c>
      <c r="H2675" s="40" t="str">
        <f>IF(tblMovimientos[[#This Row],[SKU]]="","",IFERROR(INDEX(tblProductos[Unidad],MATCH(tblMovimientos[[#This Row],[SKU]],tblProductos[SKU],0)),"?"))</f>
        <v/>
      </c>
      <c r="I2675" s="39"/>
      <c r="J2675" s="47" t="str">
        <f>IF(tblMovimientos[[#This Row],[Tipo]]="","",IFERROR(INDEX(tblTiposMov[FactorStock],MATCH(tblMovimientos[[#This Row],[Tipo]],tblTiposMov[Tipo],0)),0))</f>
        <v/>
      </c>
      <c r="K26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5" s="37"/>
      <c r="O2675" s="37"/>
      <c r="P2675" s="37"/>
    </row>
    <row r="2676" spans="2:16" x14ac:dyDescent="0.25">
      <c r="B26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6" s="46"/>
      <c r="D2676" s="37"/>
      <c r="E2676" s="37"/>
      <c r="F2676" s="37"/>
      <c r="G2676" s="40" t="str">
        <f>IF(tblMovimientos[[#This Row],[Producto]]="","",TRIM(LEFT(tblMovimientos[[#This Row],[Producto]],FIND(" · ",tblMovimientos[[#This Row],[Producto]]&amp;" · ")-1)))</f>
        <v/>
      </c>
      <c r="H2676" s="40" t="str">
        <f>IF(tblMovimientos[[#This Row],[SKU]]="","",IFERROR(INDEX(tblProductos[Unidad],MATCH(tblMovimientos[[#This Row],[SKU]],tblProductos[SKU],0)),"?"))</f>
        <v/>
      </c>
      <c r="I2676" s="39"/>
      <c r="J2676" s="47" t="str">
        <f>IF(tblMovimientos[[#This Row],[Tipo]]="","",IFERROR(INDEX(tblTiposMov[FactorStock],MATCH(tblMovimientos[[#This Row],[Tipo]],tblTiposMov[Tipo],0)),0))</f>
        <v/>
      </c>
      <c r="K26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6" s="37"/>
      <c r="O2676" s="37"/>
      <c r="P2676" s="37"/>
    </row>
    <row r="2677" spans="2:16" x14ac:dyDescent="0.25">
      <c r="B26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7" s="46"/>
      <c r="D2677" s="37"/>
      <c r="E2677" s="37"/>
      <c r="F2677" s="37"/>
      <c r="G2677" s="40" t="str">
        <f>IF(tblMovimientos[[#This Row],[Producto]]="","",TRIM(LEFT(tblMovimientos[[#This Row],[Producto]],FIND(" · ",tblMovimientos[[#This Row],[Producto]]&amp;" · ")-1)))</f>
        <v/>
      </c>
      <c r="H2677" s="40" t="str">
        <f>IF(tblMovimientos[[#This Row],[SKU]]="","",IFERROR(INDEX(tblProductos[Unidad],MATCH(tblMovimientos[[#This Row],[SKU]],tblProductos[SKU],0)),"?"))</f>
        <v/>
      </c>
      <c r="I2677" s="39"/>
      <c r="J2677" s="47" t="str">
        <f>IF(tblMovimientos[[#This Row],[Tipo]]="","",IFERROR(INDEX(tblTiposMov[FactorStock],MATCH(tblMovimientos[[#This Row],[Tipo]],tblTiposMov[Tipo],0)),0))</f>
        <v/>
      </c>
      <c r="K26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7" s="37"/>
      <c r="O2677" s="37"/>
      <c r="P2677" s="37"/>
    </row>
    <row r="2678" spans="2:16" x14ac:dyDescent="0.25">
      <c r="B26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8" s="46"/>
      <c r="D2678" s="37"/>
      <c r="E2678" s="37"/>
      <c r="F2678" s="37"/>
      <c r="G2678" s="40" t="str">
        <f>IF(tblMovimientos[[#This Row],[Producto]]="","",TRIM(LEFT(tblMovimientos[[#This Row],[Producto]],FIND(" · ",tblMovimientos[[#This Row],[Producto]]&amp;" · ")-1)))</f>
        <v/>
      </c>
      <c r="H2678" s="40" t="str">
        <f>IF(tblMovimientos[[#This Row],[SKU]]="","",IFERROR(INDEX(tblProductos[Unidad],MATCH(tblMovimientos[[#This Row],[SKU]],tblProductos[SKU],0)),"?"))</f>
        <v/>
      </c>
      <c r="I2678" s="39"/>
      <c r="J2678" s="47" t="str">
        <f>IF(tblMovimientos[[#This Row],[Tipo]]="","",IFERROR(INDEX(tblTiposMov[FactorStock],MATCH(tblMovimientos[[#This Row],[Tipo]],tblTiposMov[Tipo],0)),0))</f>
        <v/>
      </c>
      <c r="K26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8" s="37"/>
      <c r="O2678" s="37"/>
      <c r="P2678" s="37"/>
    </row>
    <row r="2679" spans="2:16" x14ac:dyDescent="0.25">
      <c r="B26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79" s="46"/>
      <c r="D2679" s="37"/>
      <c r="E2679" s="37"/>
      <c r="F2679" s="37"/>
      <c r="G2679" s="40" t="str">
        <f>IF(tblMovimientos[[#This Row],[Producto]]="","",TRIM(LEFT(tblMovimientos[[#This Row],[Producto]],FIND(" · ",tblMovimientos[[#This Row],[Producto]]&amp;" · ")-1)))</f>
        <v/>
      </c>
      <c r="H2679" s="40" t="str">
        <f>IF(tblMovimientos[[#This Row],[SKU]]="","",IFERROR(INDEX(tblProductos[Unidad],MATCH(tblMovimientos[[#This Row],[SKU]],tblProductos[SKU],0)),"?"))</f>
        <v/>
      </c>
      <c r="I2679" s="39"/>
      <c r="J2679" s="47" t="str">
        <f>IF(tblMovimientos[[#This Row],[Tipo]]="","",IFERROR(INDEX(tblTiposMov[FactorStock],MATCH(tblMovimientos[[#This Row],[Tipo]],tblTiposMov[Tipo],0)),0))</f>
        <v/>
      </c>
      <c r="K26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79" s="37"/>
      <c r="O2679" s="37"/>
      <c r="P2679" s="37"/>
    </row>
    <row r="2680" spans="2:16" x14ac:dyDescent="0.25">
      <c r="B26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0" s="46"/>
      <c r="D2680" s="37"/>
      <c r="E2680" s="37"/>
      <c r="F2680" s="37"/>
      <c r="G2680" s="40" t="str">
        <f>IF(tblMovimientos[[#This Row],[Producto]]="","",TRIM(LEFT(tblMovimientos[[#This Row],[Producto]],FIND(" · ",tblMovimientos[[#This Row],[Producto]]&amp;" · ")-1)))</f>
        <v/>
      </c>
      <c r="H2680" s="40" t="str">
        <f>IF(tblMovimientos[[#This Row],[SKU]]="","",IFERROR(INDEX(tblProductos[Unidad],MATCH(tblMovimientos[[#This Row],[SKU]],tblProductos[SKU],0)),"?"))</f>
        <v/>
      </c>
      <c r="I2680" s="39"/>
      <c r="J2680" s="47" t="str">
        <f>IF(tblMovimientos[[#This Row],[Tipo]]="","",IFERROR(INDEX(tblTiposMov[FactorStock],MATCH(tblMovimientos[[#This Row],[Tipo]],tblTiposMov[Tipo],0)),0))</f>
        <v/>
      </c>
      <c r="K26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0" s="37"/>
      <c r="O2680" s="37"/>
      <c r="P2680" s="37"/>
    </row>
    <row r="2681" spans="2:16" x14ac:dyDescent="0.25">
      <c r="B26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1" s="46"/>
      <c r="D2681" s="37"/>
      <c r="E2681" s="37"/>
      <c r="F2681" s="37"/>
      <c r="G2681" s="40" t="str">
        <f>IF(tblMovimientos[[#This Row],[Producto]]="","",TRIM(LEFT(tblMovimientos[[#This Row],[Producto]],FIND(" · ",tblMovimientos[[#This Row],[Producto]]&amp;" · ")-1)))</f>
        <v/>
      </c>
      <c r="H2681" s="40" t="str">
        <f>IF(tblMovimientos[[#This Row],[SKU]]="","",IFERROR(INDEX(tblProductos[Unidad],MATCH(tblMovimientos[[#This Row],[SKU]],tblProductos[SKU],0)),"?"))</f>
        <v/>
      </c>
      <c r="I2681" s="39"/>
      <c r="J2681" s="47" t="str">
        <f>IF(tblMovimientos[[#This Row],[Tipo]]="","",IFERROR(INDEX(tblTiposMov[FactorStock],MATCH(tblMovimientos[[#This Row],[Tipo]],tblTiposMov[Tipo],0)),0))</f>
        <v/>
      </c>
      <c r="K26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1" s="37"/>
      <c r="O2681" s="37"/>
      <c r="P2681" s="37"/>
    </row>
    <row r="2682" spans="2:16" x14ac:dyDescent="0.25">
      <c r="B26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2" s="46"/>
      <c r="D2682" s="37"/>
      <c r="E2682" s="37"/>
      <c r="F2682" s="37"/>
      <c r="G2682" s="40" t="str">
        <f>IF(tblMovimientos[[#This Row],[Producto]]="","",TRIM(LEFT(tblMovimientos[[#This Row],[Producto]],FIND(" · ",tblMovimientos[[#This Row],[Producto]]&amp;" · ")-1)))</f>
        <v/>
      </c>
      <c r="H2682" s="40" t="str">
        <f>IF(tblMovimientos[[#This Row],[SKU]]="","",IFERROR(INDEX(tblProductos[Unidad],MATCH(tblMovimientos[[#This Row],[SKU]],tblProductos[SKU],0)),"?"))</f>
        <v/>
      </c>
      <c r="I2682" s="39"/>
      <c r="J2682" s="47" t="str">
        <f>IF(tblMovimientos[[#This Row],[Tipo]]="","",IFERROR(INDEX(tblTiposMov[FactorStock],MATCH(tblMovimientos[[#This Row],[Tipo]],tblTiposMov[Tipo],0)),0))</f>
        <v/>
      </c>
      <c r="K26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2" s="37"/>
      <c r="O2682" s="37"/>
      <c r="P2682" s="37"/>
    </row>
    <row r="2683" spans="2:16" x14ac:dyDescent="0.25">
      <c r="B26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3" s="46"/>
      <c r="D2683" s="37"/>
      <c r="E2683" s="37"/>
      <c r="F2683" s="37"/>
      <c r="G2683" s="40" t="str">
        <f>IF(tblMovimientos[[#This Row],[Producto]]="","",TRIM(LEFT(tblMovimientos[[#This Row],[Producto]],FIND(" · ",tblMovimientos[[#This Row],[Producto]]&amp;" · ")-1)))</f>
        <v/>
      </c>
      <c r="H2683" s="40" t="str">
        <f>IF(tblMovimientos[[#This Row],[SKU]]="","",IFERROR(INDEX(tblProductos[Unidad],MATCH(tblMovimientos[[#This Row],[SKU]],tblProductos[SKU],0)),"?"))</f>
        <v/>
      </c>
      <c r="I2683" s="39"/>
      <c r="J2683" s="47" t="str">
        <f>IF(tblMovimientos[[#This Row],[Tipo]]="","",IFERROR(INDEX(tblTiposMov[FactorStock],MATCH(tblMovimientos[[#This Row],[Tipo]],tblTiposMov[Tipo],0)),0))</f>
        <v/>
      </c>
      <c r="K26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3" s="37"/>
      <c r="O2683" s="37"/>
      <c r="P2683" s="37"/>
    </row>
    <row r="2684" spans="2:16" x14ac:dyDescent="0.25">
      <c r="B26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4" s="46"/>
      <c r="D2684" s="37"/>
      <c r="E2684" s="37"/>
      <c r="F2684" s="37"/>
      <c r="G2684" s="40" t="str">
        <f>IF(tblMovimientos[[#This Row],[Producto]]="","",TRIM(LEFT(tblMovimientos[[#This Row],[Producto]],FIND(" · ",tblMovimientos[[#This Row],[Producto]]&amp;" · ")-1)))</f>
        <v/>
      </c>
      <c r="H2684" s="40" t="str">
        <f>IF(tblMovimientos[[#This Row],[SKU]]="","",IFERROR(INDEX(tblProductos[Unidad],MATCH(tblMovimientos[[#This Row],[SKU]],tblProductos[SKU],0)),"?"))</f>
        <v/>
      </c>
      <c r="I2684" s="39"/>
      <c r="J2684" s="47" t="str">
        <f>IF(tblMovimientos[[#This Row],[Tipo]]="","",IFERROR(INDEX(tblTiposMov[FactorStock],MATCH(tblMovimientos[[#This Row],[Tipo]],tblTiposMov[Tipo],0)),0))</f>
        <v/>
      </c>
      <c r="K26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4" s="37"/>
      <c r="O2684" s="37"/>
      <c r="P2684" s="37"/>
    </row>
    <row r="2685" spans="2:16" x14ac:dyDescent="0.25">
      <c r="B26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5" s="46"/>
      <c r="D2685" s="37"/>
      <c r="E2685" s="37"/>
      <c r="F2685" s="37"/>
      <c r="G2685" s="40" t="str">
        <f>IF(tblMovimientos[[#This Row],[Producto]]="","",TRIM(LEFT(tblMovimientos[[#This Row],[Producto]],FIND(" · ",tblMovimientos[[#This Row],[Producto]]&amp;" · ")-1)))</f>
        <v/>
      </c>
      <c r="H2685" s="40" t="str">
        <f>IF(tblMovimientos[[#This Row],[SKU]]="","",IFERROR(INDEX(tblProductos[Unidad],MATCH(tblMovimientos[[#This Row],[SKU]],tblProductos[SKU],0)),"?"))</f>
        <v/>
      </c>
      <c r="I2685" s="39"/>
      <c r="J2685" s="47" t="str">
        <f>IF(tblMovimientos[[#This Row],[Tipo]]="","",IFERROR(INDEX(tblTiposMov[FactorStock],MATCH(tblMovimientos[[#This Row],[Tipo]],tblTiposMov[Tipo],0)),0))</f>
        <v/>
      </c>
      <c r="K26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5" s="37"/>
      <c r="O2685" s="37"/>
      <c r="P2685" s="37"/>
    </row>
    <row r="2686" spans="2:16" x14ac:dyDescent="0.25">
      <c r="B26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6" s="46"/>
      <c r="D2686" s="37"/>
      <c r="E2686" s="37"/>
      <c r="F2686" s="37"/>
      <c r="G2686" s="40" t="str">
        <f>IF(tblMovimientos[[#This Row],[Producto]]="","",TRIM(LEFT(tblMovimientos[[#This Row],[Producto]],FIND(" · ",tblMovimientos[[#This Row],[Producto]]&amp;" · ")-1)))</f>
        <v/>
      </c>
      <c r="H2686" s="40" t="str">
        <f>IF(tblMovimientos[[#This Row],[SKU]]="","",IFERROR(INDEX(tblProductos[Unidad],MATCH(tblMovimientos[[#This Row],[SKU]],tblProductos[SKU],0)),"?"))</f>
        <v/>
      </c>
      <c r="I2686" s="39"/>
      <c r="J2686" s="47" t="str">
        <f>IF(tblMovimientos[[#This Row],[Tipo]]="","",IFERROR(INDEX(tblTiposMov[FactorStock],MATCH(tblMovimientos[[#This Row],[Tipo]],tblTiposMov[Tipo],0)),0))</f>
        <v/>
      </c>
      <c r="K26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6" s="37"/>
      <c r="O2686" s="37"/>
      <c r="P2686" s="37"/>
    </row>
    <row r="2687" spans="2:16" x14ac:dyDescent="0.25">
      <c r="B26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7" s="46"/>
      <c r="D2687" s="37"/>
      <c r="E2687" s="37"/>
      <c r="F2687" s="37"/>
      <c r="G2687" s="40" t="str">
        <f>IF(tblMovimientos[[#This Row],[Producto]]="","",TRIM(LEFT(tblMovimientos[[#This Row],[Producto]],FIND(" · ",tblMovimientos[[#This Row],[Producto]]&amp;" · ")-1)))</f>
        <v/>
      </c>
      <c r="H2687" s="40" t="str">
        <f>IF(tblMovimientos[[#This Row],[SKU]]="","",IFERROR(INDEX(tblProductos[Unidad],MATCH(tblMovimientos[[#This Row],[SKU]],tblProductos[SKU],0)),"?"))</f>
        <v/>
      </c>
      <c r="I2687" s="39"/>
      <c r="J2687" s="47" t="str">
        <f>IF(tblMovimientos[[#This Row],[Tipo]]="","",IFERROR(INDEX(tblTiposMov[FactorStock],MATCH(tblMovimientos[[#This Row],[Tipo]],tblTiposMov[Tipo],0)),0))</f>
        <v/>
      </c>
      <c r="K26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7" s="37"/>
      <c r="O2687" s="37"/>
      <c r="P2687" s="37"/>
    </row>
    <row r="2688" spans="2:16" x14ac:dyDescent="0.25">
      <c r="B26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8" s="46"/>
      <c r="D2688" s="37"/>
      <c r="E2688" s="37"/>
      <c r="F2688" s="37"/>
      <c r="G2688" s="40" t="str">
        <f>IF(tblMovimientos[[#This Row],[Producto]]="","",TRIM(LEFT(tblMovimientos[[#This Row],[Producto]],FIND(" · ",tblMovimientos[[#This Row],[Producto]]&amp;" · ")-1)))</f>
        <v/>
      </c>
      <c r="H2688" s="40" t="str">
        <f>IF(tblMovimientos[[#This Row],[SKU]]="","",IFERROR(INDEX(tblProductos[Unidad],MATCH(tblMovimientos[[#This Row],[SKU]],tblProductos[SKU],0)),"?"))</f>
        <v/>
      </c>
      <c r="I2688" s="39"/>
      <c r="J2688" s="47" t="str">
        <f>IF(tblMovimientos[[#This Row],[Tipo]]="","",IFERROR(INDEX(tblTiposMov[FactorStock],MATCH(tblMovimientos[[#This Row],[Tipo]],tblTiposMov[Tipo],0)),0))</f>
        <v/>
      </c>
      <c r="K26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8" s="37"/>
      <c r="O2688" s="37"/>
      <c r="P2688" s="37"/>
    </row>
    <row r="2689" spans="2:16" x14ac:dyDescent="0.25">
      <c r="B26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89" s="46"/>
      <c r="D2689" s="37"/>
      <c r="E2689" s="37"/>
      <c r="F2689" s="37"/>
      <c r="G2689" s="40" t="str">
        <f>IF(tblMovimientos[[#This Row],[Producto]]="","",TRIM(LEFT(tblMovimientos[[#This Row],[Producto]],FIND(" · ",tblMovimientos[[#This Row],[Producto]]&amp;" · ")-1)))</f>
        <v/>
      </c>
      <c r="H2689" s="40" t="str">
        <f>IF(tblMovimientos[[#This Row],[SKU]]="","",IFERROR(INDEX(tblProductos[Unidad],MATCH(tblMovimientos[[#This Row],[SKU]],tblProductos[SKU],0)),"?"))</f>
        <v/>
      </c>
      <c r="I2689" s="39"/>
      <c r="J2689" s="47" t="str">
        <f>IF(tblMovimientos[[#This Row],[Tipo]]="","",IFERROR(INDEX(tblTiposMov[FactorStock],MATCH(tblMovimientos[[#This Row],[Tipo]],tblTiposMov[Tipo],0)),0))</f>
        <v/>
      </c>
      <c r="K26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89" s="37"/>
      <c r="O2689" s="37"/>
      <c r="P2689" s="37"/>
    </row>
    <row r="2690" spans="2:16" x14ac:dyDescent="0.25">
      <c r="B26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0" s="46"/>
      <c r="D2690" s="37"/>
      <c r="E2690" s="37"/>
      <c r="F2690" s="37"/>
      <c r="G2690" s="40" t="str">
        <f>IF(tblMovimientos[[#This Row],[Producto]]="","",TRIM(LEFT(tblMovimientos[[#This Row],[Producto]],FIND(" · ",tblMovimientos[[#This Row],[Producto]]&amp;" · ")-1)))</f>
        <v/>
      </c>
      <c r="H2690" s="40" t="str">
        <f>IF(tblMovimientos[[#This Row],[SKU]]="","",IFERROR(INDEX(tblProductos[Unidad],MATCH(tblMovimientos[[#This Row],[SKU]],tblProductos[SKU],0)),"?"))</f>
        <v/>
      </c>
      <c r="I2690" s="39"/>
      <c r="J2690" s="47" t="str">
        <f>IF(tblMovimientos[[#This Row],[Tipo]]="","",IFERROR(INDEX(tblTiposMov[FactorStock],MATCH(tblMovimientos[[#This Row],[Tipo]],tblTiposMov[Tipo],0)),0))</f>
        <v/>
      </c>
      <c r="K26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0" s="37"/>
      <c r="O2690" s="37"/>
      <c r="P2690" s="37"/>
    </row>
    <row r="2691" spans="2:16" x14ac:dyDescent="0.25">
      <c r="B26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1" s="46"/>
      <c r="D2691" s="37"/>
      <c r="E2691" s="37"/>
      <c r="F2691" s="37"/>
      <c r="G2691" s="40" t="str">
        <f>IF(tblMovimientos[[#This Row],[Producto]]="","",TRIM(LEFT(tblMovimientos[[#This Row],[Producto]],FIND(" · ",tblMovimientos[[#This Row],[Producto]]&amp;" · ")-1)))</f>
        <v/>
      </c>
      <c r="H2691" s="40" t="str">
        <f>IF(tblMovimientos[[#This Row],[SKU]]="","",IFERROR(INDEX(tblProductos[Unidad],MATCH(tblMovimientos[[#This Row],[SKU]],tblProductos[SKU],0)),"?"))</f>
        <v/>
      </c>
      <c r="I2691" s="39"/>
      <c r="J2691" s="47" t="str">
        <f>IF(tblMovimientos[[#This Row],[Tipo]]="","",IFERROR(INDEX(tblTiposMov[FactorStock],MATCH(tblMovimientos[[#This Row],[Tipo]],tblTiposMov[Tipo],0)),0))</f>
        <v/>
      </c>
      <c r="K26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1" s="37"/>
      <c r="O2691" s="37"/>
      <c r="P2691" s="37"/>
    </row>
    <row r="2692" spans="2:16" x14ac:dyDescent="0.25">
      <c r="B26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2" s="46"/>
      <c r="D2692" s="37"/>
      <c r="E2692" s="37"/>
      <c r="F2692" s="37"/>
      <c r="G2692" s="40" t="str">
        <f>IF(tblMovimientos[[#This Row],[Producto]]="","",TRIM(LEFT(tblMovimientos[[#This Row],[Producto]],FIND(" · ",tblMovimientos[[#This Row],[Producto]]&amp;" · ")-1)))</f>
        <v/>
      </c>
      <c r="H2692" s="40" t="str">
        <f>IF(tblMovimientos[[#This Row],[SKU]]="","",IFERROR(INDEX(tblProductos[Unidad],MATCH(tblMovimientos[[#This Row],[SKU]],tblProductos[SKU],0)),"?"))</f>
        <v/>
      </c>
      <c r="I2692" s="39"/>
      <c r="J2692" s="47" t="str">
        <f>IF(tblMovimientos[[#This Row],[Tipo]]="","",IFERROR(INDEX(tblTiposMov[FactorStock],MATCH(tblMovimientos[[#This Row],[Tipo]],tblTiposMov[Tipo],0)),0))</f>
        <v/>
      </c>
      <c r="K26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2" s="37"/>
      <c r="O2692" s="37"/>
      <c r="P2692" s="37"/>
    </row>
    <row r="2693" spans="2:16" x14ac:dyDescent="0.25">
      <c r="B26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3" s="46"/>
      <c r="D2693" s="37"/>
      <c r="E2693" s="37"/>
      <c r="F2693" s="37"/>
      <c r="G2693" s="40" t="str">
        <f>IF(tblMovimientos[[#This Row],[Producto]]="","",TRIM(LEFT(tblMovimientos[[#This Row],[Producto]],FIND(" · ",tblMovimientos[[#This Row],[Producto]]&amp;" · ")-1)))</f>
        <v/>
      </c>
      <c r="H2693" s="40" t="str">
        <f>IF(tblMovimientos[[#This Row],[SKU]]="","",IFERROR(INDEX(tblProductos[Unidad],MATCH(tblMovimientos[[#This Row],[SKU]],tblProductos[SKU],0)),"?"))</f>
        <v/>
      </c>
      <c r="I2693" s="39"/>
      <c r="J2693" s="47" t="str">
        <f>IF(tblMovimientos[[#This Row],[Tipo]]="","",IFERROR(INDEX(tblTiposMov[FactorStock],MATCH(tblMovimientos[[#This Row],[Tipo]],tblTiposMov[Tipo],0)),0))</f>
        <v/>
      </c>
      <c r="K26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3" s="37"/>
      <c r="O2693" s="37"/>
      <c r="P2693" s="37"/>
    </row>
    <row r="2694" spans="2:16" x14ac:dyDescent="0.25">
      <c r="B26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4" s="46"/>
      <c r="D2694" s="37"/>
      <c r="E2694" s="37"/>
      <c r="F2694" s="37"/>
      <c r="G2694" s="40" t="str">
        <f>IF(tblMovimientos[[#This Row],[Producto]]="","",TRIM(LEFT(tblMovimientos[[#This Row],[Producto]],FIND(" · ",tblMovimientos[[#This Row],[Producto]]&amp;" · ")-1)))</f>
        <v/>
      </c>
      <c r="H2694" s="40" t="str">
        <f>IF(tblMovimientos[[#This Row],[SKU]]="","",IFERROR(INDEX(tblProductos[Unidad],MATCH(tblMovimientos[[#This Row],[SKU]],tblProductos[SKU],0)),"?"))</f>
        <v/>
      </c>
      <c r="I2694" s="39"/>
      <c r="J2694" s="47" t="str">
        <f>IF(tblMovimientos[[#This Row],[Tipo]]="","",IFERROR(INDEX(tblTiposMov[FactorStock],MATCH(tblMovimientos[[#This Row],[Tipo]],tblTiposMov[Tipo],0)),0))</f>
        <v/>
      </c>
      <c r="K26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4" s="37"/>
      <c r="O2694" s="37"/>
      <c r="P2694" s="37"/>
    </row>
    <row r="2695" spans="2:16" x14ac:dyDescent="0.25">
      <c r="B26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5" s="46"/>
      <c r="D2695" s="37"/>
      <c r="E2695" s="37"/>
      <c r="F2695" s="37"/>
      <c r="G2695" s="40" t="str">
        <f>IF(tblMovimientos[[#This Row],[Producto]]="","",TRIM(LEFT(tblMovimientos[[#This Row],[Producto]],FIND(" · ",tblMovimientos[[#This Row],[Producto]]&amp;" · ")-1)))</f>
        <v/>
      </c>
      <c r="H2695" s="40" t="str">
        <f>IF(tblMovimientos[[#This Row],[SKU]]="","",IFERROR(INDEX(tblProductos[Unidad],MATCH(tblMovimientos[[#This Row],[SKU]],tblProductos[SKU],0)),"?"))</f>
        <v/>
      </c>
      <c r="I2695" s="39"/>
      <c r="J2695" s="47" t="str">
        <f>IF(tblMovimientos[[#This Row],[Tipo]]="","",IFERROR(INDEX(tblTiposMov[FactorStock],MATCH(tblMovimientos[[#This Row],[Tipo]],tblTiposMov[Tipo],0)),0))</f>
        <v/>
      </c>
      <c r="K26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5" s="37"/>
      <c r="O2695" s="37"/>
      <c r="P2695" s="37"/>
    </row>
    <row r="2696" spans="2:16" x14ac:dyDescent="0.25">
      <c r="B26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6" s="46"/>
      <c r="D2696" s="37"/>
      <c r="E2696" s="37"/>
      <c r="F2696" s="37"/>
      <c r="G2696" s="40" t="str">
        <f>IF(tblMovimientos[[#This Row],[Producto]]="","",TRIM(LEFT(tblMovimientos[[#This Row],[Producto]],FIND(" · ",tblMovimientos[[#This Row],[Producto]]&amp;" · ")-1)))</f>
        <v/>
      </c>
      <c r="H2696" s="40" t="str">
        <f>IF(tblMovimientos[[#This Row],[SKU]]="","",IFERROR(INDEX(tblProductos[Unidad],MATCH(tblMovimientos[[#This Row],[SKU]],tblProductos[SKU],0)),"?"))</f>
        <v/>
      </c>
      <c r="I2696" s="39"/>
      <c r="J2696" s="47" t="str">
        <f>IF(tblMovimientos[[#This Row],[Tipo]]="","",IFERROR(INDEX(tblTiposMov[FactorStock],MATCH(tblMovimientos[[#This Row],[Tipo]],tblTiposMov[Tipo],0)),0))</f>
        <v/>
      </c>
      <c r="K26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6" s="37"/>
      <c r="O2696" s="37"/>
      <c r="P2696" s="37"/>
    </row>
    <row r="2697" spans="2:16" x14ac:dyDescent="0.25">
      <c r="B26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7" s="46"/>
      <c r="D2697" s="37"/>
      <c r="E2697" s="37"/>
      <c r="F2697" s="37"/>
      <c r="G2697" s="40" t="str">
        <f>IF(tblMovimientos[[#This Row],[Producto]]="","",TRIM(LEFT(tblMovimientos[[#This Row],[Producto]],FIND(" · ",tblMovimientos[[#This Row],[Producto]]&amp;" · ")-1)))</f>
        <v/>
      </c>
      <c r="H2697" s="40" t="str">
        <f>IF(tblMovimientos[[#This Row],[SKU]]="","",IFERROR(INDEX(tblProductos[Unidad],MATCH(tblMovimientos[[#This Row],[SKU]],tblProductos[SKU],0)),"?"))</f>
        <v/>
      </c>
      <c r="I2697" s="39"/>
      <c r="J2697" s="47" t="str">
        <f>IF(tblMovimientos[[#This Row],[Tipo]]="","",IFERROR(INDEX(tblTiposMov[FactorStock],MATCH(tblMovimientos[[#This Row],[Tipo]],tblTiposMov[Tipo],0)),0))</f>
        <v/>
      </c>
      <c r="K26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7" s="37"/>
      <c r="O2697" s="37"/>
      <c r="P2697" s="37"/>
    </row>
    <row r="2698" spans="2:16" x14ac:dyDescent="0.25">
      <c r="B26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8" s="46"/>
      <c r="D2698" s="37"/>
      <c r="E2698" s="37"/>
      <c r="F2698" s="37"/>
      <c r="G2698" s="40" t="str">
        <f>IF(tblMovimientos[[#This Row],[Producto]]="","",TRIM(LEFT(tblMovimientos[[#This Row],[Producto]],FIND(" · ",tblMovimientos[[#This Row],[Producto]]&amp;" · ")-1)))</f>
        <v/>
      </c>
      <c r="H2698" s="40" t="str">
        <f>IF(tblMovimientos[[#This Row],[SKU]]="","",IFERROR(INDEX(tblProductos[Unidad],MATCH(tblMovimientos[[#This Row],[SKU]],tblProductos[SKU],0)),"?"))</f>
        <v/>
      </c>
      <c r="I2698" s="39"/>
      <c r="J2698" s="47" t="str">
        <f>IF(tblMovimientos[[#This Row],[Tipo]]="","",IFERROR(INDEX(tblTiposMov[FactorStock],MATCH(tblMovimientos[[#This Row],[Tipo]],tblTiposMov[Tipo],0)),0))</f>
        <v/>
      </c>
      <c r="K26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8" s="37"/>
      <c r="O2698" s="37"/>
      <c r="P2698" s="37"/>
    </row>
    <row r="2699" spans="2:16" x14ac:dyDescent="0.25">
      <c r="B26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699" s="46"/>
      <c r="D2699" s="37"/>
      <c r="E2699" s="37"/>
      <c r="F2699" s="37"/>
      <c r="G2699" s="40" t="str">
        <f>IF(tblMovimientos[[#This Row],[Producto]]="","",TRIM(LEFT(tblMovimientos[[#This Row],[Producto]],FIND(" · ",tblMovimientos[[#This Row],[Producto]]&amp;" · ")-1)))</f>
        <v/>
      </c>
      <c r="H2699" s="40" t="str">
        <f>IF(tblMovimientos[[#This Row],[SKU]]="","",IFERROR(INDEX(tblProductos[Unidad],MATCH(tblMovimientos[[#This Row],[SKU]],tblProductos[SKU],0)),"?"))</f>
        <v/>
      </c>
      <c r="I2699" s="39"/>
      <c r="J2699" s="47" t="str">
        <f>IF(tblMovimientos[[#This Row],[Tipo]]="","",IFERROR(INDEX(tblTiposMov[FactorStock],MATCH(tblMovimientos[[#This Row],[Tipo]],tblTiposMov[Tipo],0)),0))</f>
        <v/>
      </c>
      <c r="K26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6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699" s="37"/>
      <c r="O2699" s="37"/>
      <c r="P2699" s="37"/>
    </row>
    <row r="2700" spans="2:16" x14ac:dyDescent="0.25">
      <c r="B27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0" s="46"/>
      <c r="D2700" s="37"/>
      <c r="E2700" s="37"/>
      <c r="F2700" s="37"/>
      <c r="G2700" s="40" t="str">
        <f>IF(tblMovimientos[[#This Row],[Producto]]="","",TRIM(LEFT(tblMovimientos[[#This Row],[Producto]],FIND(" · ",tblMovimientos[[#This Row],[Producto]]&amp;" · ")-1)))</f>
        <v/>
      </c>
      <c r="H2700" s="40" t="str">
        <f>IF(tblMovimientos[[#This Row],[SKU]]="","",IFERROR(INDEX(tblProductos[Unidad],MATCH(tblMovimientos[[#This Row],[SKU]],tblProductos[SKU],0)),"?"))</f>
        <v/>
      </c>
      <c r="I2700" s="39"/>
      <c r="J2700" s="47" t="str">
        <f>IF(tblMovimientos[[#This Row],[Tipo]]="","",IFERROR(INDEX(tblTiposMov[FactorStock],MATCH(tblMovimientos[[#This Row],[Tipo]],tblTiposMov[Tipo],0)),0))</f>
        <v/>
      </c>
      <c r="K27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0" s="37"/>
      <c r="O2700" s="37"/>
      <c r="P2700" s="37"/>
    </row>
    <row r="2701" spans="2:16" x14ac:dyDescent="0.25">
      <c r="B27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1" s="46"/>
      <c r="D2701" s="37"/>
      <c r="E2701" s="37"/>
      <c r="F2701" s="37"/>
      <c r="G2701" s="40" t="str">
        <f>IF(tblMovimientos[[#This Row],[Producto]]="","",TRIM(LEFT(tblMovimientos[[#This Row],[Producto]],FIND(" · ",tblMovimientos[[#This Row],[Producto]]&amp;" · ")-1)))</f>
        <v/>
      </c>
      <c r="H2701" s="40" t="str">
        <f>IF(tblMovimientos[[#This Row],[SKU]]="","",IFERROR(INDEX(tblProductos[Unidad],MATCH(tblMovimientos[[#This Row],[SKU]],tblProductos[SKU],0)),"?"))</f>
        <v/>
      </c>
      <c r="I2701" s="39"/>
      <c r="J2701" s="47" t="str">
        <f>IF(tblMovimientos[[#This Row],[Tipo]]="","",IFERROR(INDEX(tblTiposMov[FactorStock],MATCH(tblMovimientos[[#This Row],[Tipo]],tblTiposMov[Tipo],0)),0))</f>
        <v/>
      </c>
      <c r="K27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1" s="37"/>
      <c r="O2701" s="37"/>
      <c r="P2701" s="37"/>
    </row>
    <row r="2702" spans="2:16" x14ac:dyDescent="0.25">
      <c r="B27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2" s="46"/>
      <c r="D2702" s="37"/>
      <c r="E2702" s="37"/>
      <c r="F2702" s="37"/>
      <c r="G2702" s="40" t="str">
        <f>IF(tblMovimientos[[#This Row],[Producto]]="","",TRIM(LEFT(tblMovimientos[[#This Row],[Producto]],FIND(" · ",tblMovimientos[[#This Row],[Producto]]&amp;" · ")-1)))</f>
        <v/>
      </c>
      <c r="H2702" s="40" t="str">
        <f>IF(tblMovimientos[[#This Row],[SKU]]="","",IFERROR(INDEX(tblProductos[Unidad],MATCH(tblMovimientos[[#This Row],[SKU]],tblProductos[SKU],0)),"?"))</f>
        <v/>
      </c>
      <c r="I2702" s="39"/>
      <c r="J2702" s="47" t="str">
        <f>IF(tblMovimientos[[#This Row],[Tipo]]="","",IFERROR(INDEX(tblTiposMov[FactorStock],MATCH(tblMovimientos[[#This Row],[Tipo]],tblTiposMov[Tipo],0)),0))</f>
        <v/>
      </c>
      <c r="K27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2" s="37"/>
      <c r="O2702" s="37"/>
      <c r="P2702" s="37"/>
    </row>
    <row r="2703" spans="2:16" x14ac:dyDescent="0.25">
      <c r="B27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3" s="46"/>
      <c r="D2703" s="37"/>
      <c r="E2703" s="37"/>
      <c r="F2703" s="37"/>
      <c r="G2703" s="40" t="str">
        <f>IF(tblMovimientos[[#This Row],[Producto]]="","",TRIM(LEFT(tblMovimientos[[#This Row],[Producto]],FIND(" · ",tblMovimientos[[#This Row],[Producto]]&amp;" · ")-1)))</f>
        <v/>
      </c>
      <c r="H2703" s="40" t="str">
        <f>IF(tblMovimientos[[#This Row],[SKU]]="","",IFERROR(INDEX(tblProductos[Unidad],MATCH(tblMovimientos[[#This Row],[SKU]],tblProductos[SKU],0)),"?"))</f>
        <v/>
      </c>
      <c r="I2703" s="39"/>
      <c r="J2703" s="47" t="str">
        <f>IF(tblMovimientos[[#This Row],[Tipo]]="","",IFERROR(INDEX(tblTiposMov[FactorStock],MATCH(tblMovimientos[[#This Row],[Tipo]],tblTiposMov[Tipo],0)),0))</f>
        <v/>
      </c>
      <c r="K27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3" s="37"/>
      <c r="O2703" s="37"/>
      <c r="P2703" s="37"/>
    </row>
    <row r="2704" spans="2:16" x14ac:dyDescent="0.25">
      <c r="B27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4" s="46"/>
      <c r="D2704" s="37"/>
      <c r="E2704" s="37"/>
      <c r="F2704" s="37"/>
      <c r="G2704" s="40" t="str">
        <f>IF(tblMovimientos[[#This Row],[Producto]]="","",TRIM(LEFT(tblMovimientos[[#This Row],[Producto]],FIND(" · ",tblMovimientos[[#This Row],[Producto]]&amp;" · ")-1)))</f>
        <v/>
      </c>
      <c r="H2704" s="40" t="str">
        <f>IF(tblMovimientos[[#This Row],[SKU]]="","",IFERROR(INDEX(tblProductos[Unidad],MATCH(tblMovimientos[[#This Row],[SKU]],tblProductos[SKU],0)),"?"))</f>
        <v/>
      </c>
      <c r="I2704" s="39"/>
      <c r="J2704" s="47" t="str">
        <f>IF(tblMovimientos[[#This Row],[Tipo]]="","",IFERROR(INDEX(tblTiposMov[FactorStock],MATCH(tblMovimientos[[#This Row],[Tipo]],tblTiposMov[Tipo],0)),0))</f>
        <v/>
      </c>
      <c r="K27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4" s="37"/>
      <c r="O2704" s="37"/>
      <c r="P2704" s="37"/>
    </row>
    <row r="2705" spans="2:16" x14ac:dyDescent="0.25">
      <c r="B27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5" s="46"/>
      <c r="D2705" s="37"/>
      <c r="E2705" s="37"/>
      <c r="F2705" s="37"/>
      <c r="G2705" s="40" t="str">
        <f>IF(tblMovimientos[[#This Row],[Producto]]="","",TRIM(LEFT(tblMovimientos[[#This Row],[Producto]],FIND(" · ",tblMovimientos[[#This Row],[Producto]]&amp;" · ")-1)))</f>
        <v/>
      </c>
      <c r="H2705" s="40" t="str">
        <f>IF(tblMovimientos[[#This Row],[SKU]]="","",IFERROR(INDEX(tblProductos[Unidad],MATCH(tblMovimientos[[#This Row],[SKU]],tblProductos[SKU],0)),"?"))</f>
        <v/>
      </c>
      <c r="I2705" s="39"/>
      <c r="J2705" s="47" t="str">
        <f>IF(tblMovimientos[[#This Row],[Tipo]]="","",IFERROR(INDEX(tblTiposMov[FactorStock],MATCH(tblMovimientos[[#This Row],[Tipo]],tblTiposMov[Tipo],0)),0))</f>
        <v/>
      </c>
      <c r="K27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5" s="37"/>
      <c r="O2705" s="37"/>
      <c r="P2705" s="37"/>
    </row>
    <row r="2706" spans="2:16" x14ac:dyDescent="0.25">
      <c r="B27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6" s="46"/>
      <c r="D2706" s="37"/>
      <c r="E2706" s="37"/>
      <c r="F2706" s="37"/>
      <c r="G2706" s="40" t="str">
        <f>IF(tblMovimientos[[#This Row],[Producto]]="","",TRIM(LEFT(tblMovimientos[[#This Row],[Producto]],FIND(" · ",tblMovimientos[[#This Row],[Producto]]&amp;" · ")-1)))</f>
        <v/>
      </c>
      <c r="H2706" s="40" t="str">
        <f>IF(tblMovimientos[[#This Row],[SKU]]="","",IFERROR(INDEX(tblProductos[Unidad],MATCH(tblMovimientos[[#This Row],[SKU]],tblProductos[SKU],0)),"?"))</f>
        <v/>
      </c>
      <c r="I2706" s="39"/>
      <c r="J2706" s="47" t="str">
        <f>IF(tblMovimientos[[#This Row],[Tipo]]="","",IFERROR(INDEX(tblTiposMov[FactorStock],MATCH(tblMovimientos[[#This Row],[Tipo]],tblTiposMov[Tipo],0)),0))</f>
        <v/>
      </c>
      <c r="K27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6" s="37"/>
      <c r="O2706" s="37"/>
      <c r="P2706" s="37"/>
    </row>
    <row r="2707" spans="2:16" x14ac:dyDescent="0.25">
      <c r="B27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7" s="46"/>
      <c r="D2707" s="37"/>
      <c r="E2707" s="37"/>
      <c r="F2707" s="37"/>
      <c r="G2707" s="40" t="str">
        <f>IF(tblMovimientos[[#This Row],[Producto]]="","",TRIM(LEFT(tblMovimientos[[#This Row],[Producto]],FIND(" · ",tblMovimientos[[#This Row],[Producto]]&amp;" · ")-1)))</f>
        <v/>
      </c>
      <c r="H2707" s="40" t="str">
        <f>IF(tblMovimientos[[#This Row],[SKU]]="","",IFERROR(INDEX(tblProductos[Unidad],MATCH(tblMovimientos[[#This Row],[SKU]],tblProductos[SKU],0)),"?"))</f>
        <v/>
      </c>
      <c r="I2707" s="39"/>
      <c r="J2707" s="47" t="str">
        <f>IF(tblMovimientos[[#This Row],[Tipo]]="","",IFERROR(INDEX(tblTiposMov[FactorStock],MATCH(tblMovimientos[[#This Row],[Tipo]],tblTiposMov[Tipo],0)),0))</f>
        <v/>
      </c>
      <c r="K27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7" s="37"/>
      <c r="O2707" s="37"/>
      <c r="P2707" s="37"/>
    </row>
    <row r="2708" spans="2:16" x14ac:dyDescent="0.25">
      <c r="B27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8" s="46"/>
      <c r="D2708" s="37"/>
      <c r="E2708" s="37"/>
      <c r="F2708" s="37"/>
      <c r="G2708" s="40" t="str">
        <f>IF(tblMovimientos[[#This Row],[Producto]]="","",TRIM(LEFT(tblMovimientos[[#This Row],[Producto]],FIND(" · ",tblMovimientos[[#This Row],[Producto]]&amp;" · ")-1)))</f>
        <v/>
      </c>
      <c r="H2708" s="40" t="str">
        <f>IF(tblMovimientos[[#This Row],[SKU]]="","",IFERROR(INDEX(tblProductos[Unidad],MATCH(tblMovimientos[[#This Row],[SKU]],tblProductos[SKU],0)),"?"))</f>
        <v/>
      </c>
      <c r="I2708" s="39"/>
      <c r="J2708" s="47" t="str">
        <f>IF(tblMovimientos[[#This Row],[Tipo]]="","",IFERROR(INDEX(tblTiposMov[FactorStock],MATCH(tblMovimientos[[#This Row],[Tipo]],tblTiposMov[Tipo],0)),0))</f>
        <v/>
      </c>
      <c r="K27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8" s="37"/>
      <c r="O2708" s="37"/>
      <c r="P2708" s="37"/>
    </row>
    <row r="2709" spans="2:16" x14ac:dyDescent="0.25">
      <c r="B27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09" s="46"/>
      <c r="D2709" s="37"/>
      <c r="E2709" s="37"/>
      <c r="F2709" s="37"/>
      <c r="G2709" s="40" t="str">
        <f>IF(tblMovimientos[[#This Row],[Producto]]="","",TRIM(LEFT(tblMovimientos[[#This Row],[Producto]],FIND(" · ",tblMovimientos[[#This Row],[Producto]]&amp;" · ")-1)))</f>
        <v/>
      </c>
      <c r="H2709" s="40" t="str">
        <f>IF(tblMovimientos[[#This Row],[SKU]]="","",IFERROR(INDEX(tblProductos[Unidad],MATCH(tblMovimientos[[#This Row],[SKU]],tblProductos[SKU],0)),"?"))</f>
        <v/>
      </c>
      <c r="I2709" s="39"/>
      <c r="J2709" s="47" t="str">
        <f>IF(tblMovimientos[[#This Row],[Tipo]]="","",IFERROR(INDEX(tblTiposMov[FactorStock],MATCH(tblMovimientos[[#This Row],[Tipo]],tblTiposMov[Tipo],0)),0))</f>
        <v/>
      </c>
      <c r="K27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09" s="37"/>
      <c r="O2709" s="37"/>
      <c r="P2709" s="37"/>
    </row>
    <row r="2710" spans="2:16" x14ac:dyDescent="0.25">
      <c r="B27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0" s="46"/>
      <c r="D2710" s="37"/>
      <c r="E2710" s="37"/>
      <c r="F2710" s="37"/>
      <c r="G2710" s="40" t="str">
        <f>IF(tblMovimientos[[#This Row],[Producto]]="","",TRIM(LEFT(tblMovimientos[[#This Row],[Producto]],FIND(" · ",tblMovimientos[[#This Row],[Producto]]&amp;" · ")-1)))</f>
        <v/>
      </c>
      <c r="H2710" s="40" t="str">
        <f>IF(tblMovimientos[[#This Row],[SKU]]="","",IFERROR(INDEX(tblProductos[Unidad],MATCH(tblMovimientos[[#This Row],[SKU]],tblProductos[SKU],0)),"?"))</f>
        <v/>
      </c>
      <c r="I2710" s="39"/>
      <c r="J2710" s="47" t="str">
        <f>IF(tblMovimientos[[#This Row],[Tipo]]="","",IFERROR(INDEX(tblTiposMov[FactorStock],MATCH(tblMovimientos[[#This Row],[Tipo]],tblTiposMov[Tipo],0)),0))</f>
        <v/>
      </c>
      <c r="K27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0" s="37"/>
      <c r="O2710" s="37"/>
      <c r="P2710" s="37"/>
    </row>
    <row r="2711" spans="2:16" x14ac:dyDescent="0.25">
      <c r="B27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1" s="46"/>
      <c r="D2711" s="37"/>
      <c r="E2711" s="37"/>
      <c r="F2711" s="37"/>
      <c r="G2711" s="40" t="str">
        <f>IF(tblMovimientos[[#This Row],[Producto]]="","",TRIM(LEFT(tblMovimientos[[#This Row],[Producto]],FIND(" · ",tblMovimientos[[#This Row],[Producto]]&amp;" · ")-1)))</f>
        <v/>
      </c>
      <c r="H2711" s="40" t="str">
        <f>IF(tblMovimientos[[#This Row],[SKU]]="","",IFERROR(INDEX(tblProductos[Unidad],MATCH(tblMovimientos[[#This Row],[SKU]],tblProductos[SKU],0)),"?"))</f>
        <v/>
      </c>
      <c r="I2711" s="39"/>
      <c r="J2711" s="47" t="str">
        <f>IF(tblMovimientos[[#This Row],[Tipo]]="","",IFERROR(INDEX(tblTiposMov[FactorStock],MATCH(tblMovimientos[[#This Row],[Tipo]],tblTiposMov[Tipo],0)),0))</f>
        <v/>
      </c>
      <c r="K27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1" s="37"/>
      <c r="O2711" s="37"/>
      <c r="P2711" s="37"/>
    </row>
    <row r="2712" spans="2:16" x14ac:dyDescent="0.25">
      <c r="B27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2" s="46"/>
      <c r="D2712" s="37"/>
      <c r="E2712" s="37"/>
      <c r="F2712" s="37"/>
      <c r="G2712" s="40" t="str">
        <f>IF(tblMovimientos[[#This Row],[Producto]]="","",TRIM(LEFT(tblMovimientos[[#This Row],[Producto]],FIND(" · ",tblMovimientos[[#This Row],[Producto]]&amp;" · ")-1)))</f>
        <v/>
      </c>
      <c r="H2712" s="40" t="str">
        <f>IF(tblMovimientos[[#This Row],[SKU]]="","",IFERROR(INDEX(tblProductos[Unidad],MATCH(tblMovimientos[[#This Row],[SKU]],tblProductos[SKU],0)),"?"))</f>
        <v/>
      </c>
      <c r="I2712" s="39"/>
      <c r="J2712" s="47" t="str">
        <f>IF(tblMovimientos[[#This Row],[Tipo]]="","",IFERROR(INDEX(tblTiposMov[FactorStock],MATCH(tblMovimientos[[#This Row],[Tipo]],tblTiposMov[Tipo],0)),0))</f>
        <v/>
      </c>
      <c r="K27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2" s="37"/>
      <c r="O2712" s="37"/>
      <c r="P2712" s="37"/>
    </row>
    <row r="2713" spans="2:16" x14ac:dyDescent="0.25">
      <c r="B27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3" s="46"/>
      <c r="D2713" s="37"/>
      <c r="E2713" s="37"/>
      <c r="F2713" s="37"/>
      <c r="G2713" s="40" t="str">
        <f>IF(tblMovimientos[[#This Row],[Producto]]="","",TRIM(LEFT(tblMovimientos[[#This Row],[Producto]],FIND(" · ",tblMovimientos[[#This Row],[Producto]]&amp;" · ")-1)))</f>
        <v/>
      </c>
      <c r="H2713" s="40" t="str">
        <f>IF(tblMovimientos[[#This Row],[SKU]]="","",IFERROR(INDEX(tblProductos[Unidad],MATCH(tblMovimientos[[#This Row],[SKU]],tblProductos[SKU],0)),"?"))</f>
        <v/>
      </c>
      <c r="I2713" s="39"/>
      <c r="J2713" s="47" t="str">
        <f>IF(tblMovimientos[[#This Row],[Tipo]]="","",IFERROR(INDEX(tblTiposMov[FactorStock],MATCH(tblMovimientos[[#This Row],[Tipo]],tblTiposMov[Tipo],0)),0))</f>
        <v/>
      </c>
      <c r="K27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3" s="37"/>
      <c r="O2713" s="37"/>
      <c r="P2713" s="37"/>
    </row>
    <row r="2714" spans="2:16" x14ac:dyDescent="0.25">
      <c r="B27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4" s="46"/>
      <c r="D2714" s="37"/>
      <c r="E2714" s="37"/>
      <c r="F2714" s="37"/>
      <c r="G2714" s="40" t="str">
        <f>IF(tblMovimientos[[#This Row],[Producto]]="","",TRIM(LEFT(tblMovimientos[[#This Row],[Producto]],FIND(" · ",tblMovimientos[[#This Row],[Producto]]&amp;" · ")-1)))</f>
        <v/>
      </c>
      <c r="H2714" s="40" t="str">
        <f>IF(tblMovimientos[[#This Row],[SKU]]="","",IFERROR(INDEX(tblProductos[Unidad],MATCH(tblMovimientos[[#This Row],[SKU]],tblProductos[SKU],0)),"?"))</f>
        <v/>
      </c>
      <c r="I2714" s="39"/>
      <c r="J2714" s="47" t="str">
        <f>IF(tblMovimientos[[#This Row],[Tipo]]="","",IFERROR(INDEX(tblTiposMov[FactorStock],MATCH(tblMovimientos[[#This Row],[Tipo]],tblTiposMov[Tipo],0)),0))</f>
        <v/>
      </c>
      <c r="K27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4" s="37"/>
      <c r="O2714" s="37"/>
      <c r="P2714" s="37"/>
    </row>
    <row r="2715" spans="2:16" x14ac:dyDescent="0.25">
      <c r="B27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5" s="46"/>
      <c r="D2715" s="37"/>
      <c r="E2715" s="37"/>
      <c r="F2715" s="37"/>
      <c r="G2715" s="40" t="str">
        <f>IF(tblMovimientos[[#This Row],[Producto]]="","",TRIM(LEFT(tblMovimientos[[#This Row],[Producto]],FIND(" · ",tblMovimientos[[#This Row],[Producto]]&amp;" · ")-1)))</f>
        <v/>
      </c>
      <c r="H2715" s="40" t="str">
        <f>IF(tblMovimientos[[#This Row],[SKU]]="","",IFERROR(INDEX(tblProductos[Unidad],MATCH(tblMovimientos[[#This Row],[SKU]],tblProductos[SKU],0)),"?"))</f>
        <v/>
      </c>
      <c r="I2715" s="39"/>
      <c r="J2715" s="47" t="str">
        <f>IF(tblMovimientos[[#This Row],[Tipo]]="","",IFERROR(INDEX(tblTiposMov[FactorStock],MATCH(tblMovimientos[[#This Row],[Tipo]],tblTiposMov[Tipo],0)),0))</f>
        <v/>
      </c>
      <c r="K27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5" s="37"/>
      <c r="O2715" s="37"/>
      <c r="P2715" s="37"/>
    </row>
    <row r="2716" spans="2:16" x14ac:dyDescent="0.25">
      <c r="B27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6" s="46"/>
      <c r="D2716" s="37"/>
      <c r="E2716" s="37"/>
      <c r="F2716" s="37"/>
      <c r="G2716" s="40" t="str">
        <f>IF(tblMovimientos[[#This Row],[Producto]]="","",TRIM(LEFT(tblMovimientos[[#This Row],[Producto]],FIND(" · ",tblMovimientos[[#This Row],[Producto]]&amp;" · ")-1)))</f>
        <v/>
      </c>
      <c r="H2716" s="40" t="str">
        <f>IF(tblMovimientos[[#This Row],[SKU]]="","",IFERROR(INDEX(tblProductos[Unidad],MATCH(tblMovimientos[[#This Row],[SKU]],tblProductos[SKU],0)),"?"))</f>
        <v/>
      </c>
      <c r="I2716" s="39"/>
      <c r="J2716" s="47" t="str">
        <f>IF(tblMovimientos[[#This Row],[Tipo]]="","",IFERROR(INDEX(tblTiposMov[FactorStock],MATCH(tblMovimientos[[#This Row],[Tipo]],tblTiposMov[Tipo],0)),0))</f>
        <v/>
      </c>
      <c r="K27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6" s="37"/>
      <c r="O2716" s="37"/>
      <c r="P2716" s="37"/>
    </row>
    <row r="2717" spans="2:16" x14ac:dyDescent="0.25">
      <c r="B27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7" s="46"/>
      <c r="D2717" s="37"/>
      <c r="E2717" s="37"/>
      <c r="F2717" s="37"/>
      <c r="G2717" s="40" t="str">
        <f>IF(tblMovimientos[[#This Row],[Producto]]="","",TRIM(LEFT(tblMovimientos[[#This Row],[Producto]],FIND(" · ",tblMovimientos[[#This Row],[Producto]]&amp;" · ")-1)))</f>
        <v/>
      </c>
      <c r="H2717" s="40" t="str">
        <f>IF(tblMovimientos[[#This Row],[SKU]]="","",IFERROR(INDEX(tblProductos[Unidad],MATCH(tblMovimientos[[#This Row],[SKU]],tblProductos[SKU],0)),"?"))</f>
        <v/>
      </c>
      <c r="I2717" s="39"/>
      <c r="J2717" s="47" t="str">
        <f>IF(tblMovimientos[[#This Row],[Tipo]]="","",IFERROR(INDEX(tblTiposMov[FactorStock],MATCH(tblMovimientos[[#This Row],[Tipo]],tblTiposMov[Tipo],0)),0))</f>
        <v/>
      </c>
      <c r="K27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7" s="37"/>
      <c r="O2717" s="37"/>
      <c r="P2717" s="37"/>
    </row>
    <row r="2718" spans="2:16" x14ac:dyDescent="0.25">
      <c r="B27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8" s="46"/>
      <c r="D2718" s="37"/>
      <c r="E2718" s="37"/>
      <c r="F2718" s="37"/>
      <c r="G2718" s="40" t="str">
        <f>IF(tblMovimientos[[#This Row],[Producto]]="","",TRIM(LEFT(tblMovimientos[[#This Row],[Producto]],FIND(" · ",tblMovimientos[[#This Row],[Producto]]&amp;" · ")-1)))</f>
        <v/>
      </c>
      <c r="H2718" s="40" t="str">
        <f>IF(tblMovimientos[[#This Row],[SKU]]="","",IFERROR(INDEX(tblProductos[Unidad],MATCH(tblMovimientos[[#This Row],[SKU]],tblProductos[SKU],0)),"?"))</f>
        <v/>
      </c>
      <c r="I2718" s="39"/>
      <c r="J2718" s="47" t="str">
        <f>IF(tblMovimientos[[#This Row],[Tipo]]="","",IFERROR(INDEX(tblTiposMov[FactorStock],MATCH(tblMovimientos[[#This Row],[Tipo]],tblTiposMov[Tipo],0)),0))</f>
        <v/>
      </c>
      <c r="K27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8" s="37"/>
      <c r="O2718" s="37"/>
      <c r="P2718" s="37"/>
    </row>
    <row r="2719" spans="2:16" x14ac:dyDescent="0.25">
      <c r="B27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19" s="46"/>
      <c r="D2719" s="37"/>
      <c r="E2719" s="37"/>
      <c r="F2719" s="37"/>
      <c r="G2719" s="40" t="str">
        <f>IF(tblMovimientos[[#This Row],[Producto]]="","",TRIM(LEFT(tblMovimientos[[#This Row],[Producto]],FIND(" · ",tblMovimientos[[#This Row],[Producto]]&amp;" · ")-1)))</f>
        <v/>
      </c>
      <c r="H2719" s="40" t="str">
        <f>IF(tblMovimientos[[#This Row],[SKU]]="","",IFERROR(INDEX(tblProductos[Unidad],MATCH(tblMovimientos[[#This Row],[SKU]],tblProductos[SKU],0)),"?"))</f>
        <v/>
      </c>
      <c r="I2719" s="39"/>
      <c r="J2719" s="47" t="str">
        <f>IF(tblMovimientos[[#This Row],[Tipo]]="","",IFERROR(INDEX(tblTiposMov[FactorStock],MATCH(tblMovimientos[[#This Row],[Tipo]],tblTiposMov[Tipo],0)),0))</f>
        <v/>
      </c>
      <c r="K27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19" s="37"/>
      <c r="O2719" s="37"/>
      <c r="P2719" s="37"/>
    </row>
    <row r="2720" spans="2:16" x14ac:dyDescent="0.25">
      <c r="B27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0" s="46"/>
      <c r="D2720" s="37"/>
      <c r="E2720" s="37"/>
      <c r="F2720" s="37"/>
      <c r="G2720" s="40" t="str">
        <f>IF(tblMovimientos[[#This Row],[Producto]]="","",TRIM(LEFT(tblMovimientos[[#This Row],[Producto]],FIND(" · ",tblMovimientos[[#This Row],[Producto]]&amp;" · ")-1)))</f>
        <v/>
      </c>
      <c r="H2720" s="40" t="str">
        <f>IF(tblMovimientos[[#This Row],[SKU]]="","",IFERROR(INDEX(tblProductos[Unidad],MATCH(tblMovimientos[[#This Row],[SKU]],tblProductos[SKU],0)),"?"))</f>
        <v/>
      </c>
      <c r="I2720" s="39"/>
      <c r="J2720" s="47" t="str">
        <f>IF(tblMovimientos[[#This Row],[Tipo]]="","",IFERROR(INDEX(tblTiposMov[FactorStock],MATCH(tblMovimientos[[#This Row],[Tipo]],tblTiposMov[Tipo],0)),0))</f>
        <v/>
      </c>
      <c r="K27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0" s="37"/>
      <c r="O2720" s="37"/>
      <c r="P2720" s="37"/>
    </row>
    <row r="2721" spans="2:16" x14ac:dyDescent="0.25">
      <c r="B27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1" s="46"/>
      <c r="D2721" s="37"/>
      <c r="E2721" s="37"/>
      <c r="F2721" s="37"/>
      <c r="G2721" s="40" t="str">
        <f>IF(tblMovimientos[[#This Row],[Producto]]="","",TRIM(LEFT(tblMovimientos[[#This Row],[Producto]],FIND(" · ",tblMovimientos[[#This Row],[Producto]]&amp;" · ")-1)))</f>
        <v/>
      </c>
      <c r="H2721" s="40" t="str">
        <f>IF(tblMovimientos[[#This Row],[SKU]]="","",IFERROR(INDEX(tblProductos[Unidad],MATCH(tblMovimientos[[#This Row],[SKU]],tblProductos[SKU],0)),"?"))</f>
        <v/>
      </c>
      <c r="I2721" s="39"/>
      <c r="J2721" s="47" t="str">
        <f>IF(tblMovimientos[[#This Row],[Tipo]]="","",IFERROR(INDEX(tblTiposMov[FactorStock],MATCH(tblMovimientos[[#This Row],[Tipo]],tblTiposMov[Tipo],0)),0))</f>
        <v/>
      </c>
      <c r="K27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1" s="37"/>
      <c r="O2721" s="37"/>
      <c r="P2721" s="37"/>
    </row>
    <row r="2722" spans="2:16" x14ac:dyDescent="0.25">
      <c r="B27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2" s="46"/>
      <c r="D2722" s="37"/>
      <c r="E2722" s="37"/>
      <c r="F2722" s="37"/>
      <c r="G2722" s="40" t="str">
        <f>IF(tblMovimientos[[#This Row],[Producto]]="","",TRIM(LEFT(tblMovimientos[[#This Row],[Producto]],FIND(" · ",tblMovimientos[[#This Row],[Producto]]&amp;" · ")-1)))</f>
        <v/>
      </c>
      <c r="H2722" s="40" t="str">
        <f>IF(tblMovimientos[[#This Row],[SKU]]="","",IFERROR(INDEX(tblProductos[Unidad],MATCH(tblMovimientos[[#This Row],[SKU]],tblProductos[SKU],0)),"?"))</f>
        <v/>
      </c>
      <c r="I2722" s="39"/>
      <c r="J2722" s="47" t="str">
        <f>IF(tblMovimientos[[#This Row],[Tipo]]="","",IFERROR(INDEX(tblTiposMov[FactorStock],MATCH(tblMovimientos[[#This Row],[Tipo]],tblTiposMov[Tipo],0)),0))</f>
        <v/>
      </c>
      <c r="K27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2" s="37"/>
      <c r="O2722" s="37"/>
      <c r="P2722" s="37"/>
    </row>
    <row r="2723" spans="2:16" x14ac:dyDescent="0.25">
      <c r="B27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3" s="46"/>
      <c r="D2723" s="37"/>
      <c r="E2723" s="37"/>
      <c r="F2723" s="37"/>
      <c r="G2723" s="40" t="str">
        <f>IF(tblMovimientos[[#This Row],[Producto]]="","",TRIM(LEFT(tblMovimientos[[#This Row],[Producto]],FIND(" · ",tblMovimientos[[#This Row],[Producto]]&amp;" · ")-1)))</f>
        <v/>
      </c>
      <c r="H2723" s="40" t="str">
        <f>IF(tblMovimientos[[#This Row],[SKU]]="","",IFERROR(INDEX(tblProductos[Unidad],MATCH(tblMovimientos[[#This Row],[SKU]],tblProductos[SKU],0)),"?"))</f>
        <v/>
      </c>
      <c r="I2723" s="39"/>
      <c r="J2723" s="47" t="str">
        <f>IF(tblMovimientos[[#This Row],[Tipo]]="","",IFERROR(INDEX(tblTiposMov[FactorStock],MATCH(tblMovimientos[[#This Row],[Tipo]],tblTiposMov[Tipo],0)),0))</f>
        <v/>
      </c>
      <c r="K27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3" s="37"/>
      <c r="O2723" s="37"/>
      <c r="P2723" s="37"/>
    </row>
    <row r="2724" spans="2:16" x14ac:dyDescent="0.25">
      <c r="B27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4" s="46"/>
      <c r="D2724" s="37"/>
      <c r="E2724" s="37"/>
      <c r="F2724" s="37"/>
      <c r="G2724" s="40" t="str">
        <f>IF(tblMovimientos[[#This Row],[Producto]]="","",TRIM(LEFT(tblMovimientos[[#This Row],[Producto]],FIND(" · ",tblMovimientos[[#This Row],[Producto]]&amp;" · ")-1)))</f>
        <v/>
      </c>
      <c r="H2724" s="40" t="str">
        <f>IF(tblMovimientos[[#This Row],[SKU]]="","",IFERROR(INDEX(tblProductos[Unidad],MATCH(tblMovimientos[[#This Row],[SKU]],tblProductos[SKU],0)),"?"))</f>
        <v/>
      </c>
      <c r="I2724" s="39"/>
      <c r="J2724" s="47" t="str">
        <f>IF(tblMovimientos[[#This Row],[Tipo]]="","",IFERROR(INDEX(tblTiposMov[FactorStock],MATCH(tblMovimientos[[#This Row],[Tipo]],tblTiposMov[Tipo],0)),0))</f>
        <v/>
      </c>
      <c r="K27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4" s="37"/>
      <c r="O2724" s="37"/>
      <c r="P2724" s="37"/>
    </row>
    <row r="2725" spans="2:16" x14ac:dyDescent="0.25">
      <c r="B27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5" s="46"/>
      <c r="D2725" s="37"/>
      <c r="E2725" s="37"/>
      <c r="F2725" s="37"/>
      <c r="G2725" s="40" t="str">
        <f>IF(tblMovimientos[[#This Row],[Producto]]="","",TRIM(LEFT(tblMovimientos[[#This Row],[Producto]],FIND(" · ",tblMovimientos[[#This Row],[Producto]]&amp;" · ")-1)))</f>
        <v/>
      </c>
      <c r="H2725" s="40" t="str">
        <f>IF(tblMovimientos[[#This Row],[SKU]]="","",IFERROR(INDEX(tblProductos[Unidad],MATCH(tblMovimientos[[#This Row],[SKU]],tblProductos[SKU],0)),"?"))</f>
        <v/>
      </c>
      <c r="I2725" s="39"/>
      <c r="J2725" s="47" t="str">
        <f>IF(tblMovimientos[[#This Row],[Tipo]]="","",IFERROR(INDEX(tblTiposMov[FactorStock],MATCH(tblMovimientos[[#This Row],[Tipo]],tblTiposMov[Tipo],0)),0))</f>
        <v/>
      </c>
      <c r="K27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5" s="37"/>
      <c r="O2725" s="37"/>
      <c r="P2725" s="37"/>
    </row>
    <row r="2726" spans="2:16" x14ac:dyDescent="0.25">
      <c r="B27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6" s="46"/>
      <c r="D2726" s="37"/>
      <c r="E2726" s="37"/>
      <c r="F2726" s="37"/>
      <c r="G2726" s="40" t="str">
        <f>IF(tblMovimientos[[#This Row],[Producto]]="","",TRIM(LEFT(tblMovimientos[[#This Row],[Producto]],FIND(" · ",tblMovimientos[[#This Row],[Producto]]&amp;" · ")-1)))</f>
        <v/>
      </c>
      <c r="H2726" s="40" t="str">
        <f>IF(tblMovimientos[[#This Row],[SKU]]="","",IFERROR(INDEX(tblProductos[Unidad],MATCH(tblMovimientos[[#This Row],[SKU]],tblProductos[SKU],0)),"?"))</f>
        <v/>
      </c>
      <c r="I2726" s="39"/>
      <c r="J2726" s="47" t="str">
        <f>IF(tblMovimientos[[#This Row],[Tipo]]="","",IFERROR(INDEX(tblTiposMov[FactorStock],MATCH(tblMovimientos[[#This Row],[Tipo]],tblTiposMov[Tipo],0)),0))</f>
        <v/>
      </c>
      <c r="K27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6" s="37"/>
      <c r="O2726" s="37"/>
      <c r="P2726" s="37"/>
    </row>
    <row r="2727" spans="2:16" x14ac:dyDescent="0.25">
      <c r="B27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7" s="46"/>
      <c r="D2727" s="37"/>
      <c r="E2727" s="37"/>
      <c r="F2727" s="37"/>
      <c r="G2727" s="40" t="str">
        <f>IF(tblMovimientos[[#This Row],[Producto]]="","",TRIM(LEFT(tblMovimientos[[#This Row],[Producto]],FIND(" · ",tblMovimientos[[#This Row],[Producto]]&amp;" · ")-1)))</f>
        <v/>
      </c>
      <c r="H2727" s="40" t="str">
        <f>IF(tblMovimientos[[#This Row],[SKU]]="","",IFERROR(INDEX(tblProductos[Unidad],MATCH(tblMovimientos[[#This Row],[SKU]],tblProductos[SKU],0)),"?"))</f>
        <v/>
      </c>
      <c r="I2727" s="39"/>
      <c r="J2727" s="47" t="str">
        <f>IF(tblMovimientos[[#This Row],[Tipo]]="","",IFERROR(INDEX(tblTiposMov[FactorStock],MATCH(tblMovimientos[[#This Row],[Tipo]],tblTiposMov[Tipo],0)),0))</f>
        <v/>
      </c>
      <c r="K27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7" s="37"/>
      <c r="O2727" s="37"/>
      <c r="P2727" s="37"/>
    </row>
    <row r="2728" spans="2:16" x14ac:dyDescent="0.25">
      <c r="B27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8" s="46"/>
      <c r="D2728" s="37"/>
      <c r="E2728" s="37"/>
      <c r="F2728" s="37"/>
      <c r="G2728" s="40" t="str">
        <f>IF(tblMovimientos[[#This Row],[Producto]]="","",TRIM(LEFT(tblMovimientos[[#This Row],[Producto]],FIND(" · ",tblMovimientos[[#This Row],[Producto]]&amp;" · ")-1)))</f>
        <v/>
      </c>
      <c r="H2728" s="40" t="str">
        <f>IF(tblMovimientos[[#This Row],[SKU]]="","",IFERROR(INDEX(tblProductos[Unidad],MATCH(tblMovimientos[[#This Row],[SKU]],tblProductos[SKU],0)),"?"))</f>
        <v/>
      </c>
      <c r="I2728" s="39"/>
      <c r="J2728" s="47" t="str">
        <f>IF(tblMovimientos[[#This Row],[Tipo]]="","",IFERROR(INDEX(tblTiposMov[FactorStock],MATCH(tblMovimientos[[#This Row],[Tipo]],tblTiposMov[Tipo],0)),0))</f>
        <v/>
      </c>
      <c r="K27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8" s="37"/>
      <c r="O2728" s="37"/>
      <c r="P2728" s="37"/>
    </row>
    <row r="2729" spans="2:16" x14ac:dyDescent="0.25">
      <c r="B27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29" s="46"/>
      <c r="D2729" s="37"/>
      <c r="E2729" s="37"/>
      <c r="F2729" s="37"/>
      <c r="G2729" s="40" t="str">
        <f>IF(tblMovimientos[[#This Row],[Producto]]="","",TRIM(LEFT(tblMovimientos[[#This Row],[Producto]],FIND(" · ",tblMovimientos[[#This Row],[Producto]]&amp;" · ")-1)))</f>
        <v/>
      </c>
      <c r="H2729" s="40" t="str">
        <f>IF(tblMovimientos[[#This Row],[SKU]]="","",IFERROR(INDEX(tblProductos[Unidad],MATCH(tblMovimientos[[#This Row],[SKU]],tblProductos[SKU],0)),"?"))</f>
        <v/>
      </c>
      <c r="I2729" s="39"/>
      <c r="J2729" s="47" t="str">
        <f>IF(tblMovimientos[[#This Row],[Tipo]]="","",IFERROR(INDEX(tblTiposMov[FactorStock],MATCH(tblMovimientos[[#This Row],[Tipo]],tblTiposMov[Tipo],0)),0))</f>
        <v/>
      </c>
      <c r="K27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29" s="37"/>
      <c r="O2729" s="37"/>
      <c r="P2729" s="37"/>
    </row>
    <row r="2730" spans="2:16" x14ac:dyDescent="0.25">
      <c r="B27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0" s="46"/>
      <c r="D2730" s="37"/>
      <c r="E2730" s="37"/>
      <c r="F2730" s="37"/>
      <c r="G2730" s="40" t="str">
        <f>IF(tblMovimientos[[#This Row],[Producto]]="","",TRIM(LEFT(tblMovimientos[[#This Row],[Producto]],FIND(" · ",tblMovimientos[[#This Row],[Producto]]&amp;" · ")-1)))</f>
        <v/>
      </c>
      <c r="H2730" s="40" t="str">
        <f>IF(tblMovimientos[[#This Row],[SKU]]="","",IFERROR(INDEX(tblProductos[Unidad],MATCH(tblMovimientos[[#This Row],[SKU]],tblProductos[SKU],0)),"?"))</f>
        <v/>
      </c>
      <c r="I2730" s="39"/>
      <c r="J2730" s="47" t="str">
        <f>IF(tblMovimientos[[#This Row],[Tipo]]="","",IFERROR(INDEX(tblTiposMov[FactorStock],MATCH(tblMovimientos[[#This Row],[Tipo]],tblTiposMov[Tipo],0)),0))</f>
        <v/>
      </c>
      <c r="K27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0" s="37"/>
      <c r="O2730" s="37"/>
      <c r="P2730" s="37"/>
    </row>
    <row r="2731" spans="2:16" x14ac:dyDescent="0.25">
      <c r="B27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1" s="46"/>
      <c r="D2731" s="37"/>
      <c r="E2731" s="37"/>
      <c r="F2731" s="37"/>
      <c r="G2731" s="40" t="str">
        <f>IF(tblMovimientos[[#This Row],[Producto]]="","",TRIM(LEFT(tblMovimientos[[#This Row],[Producto]],FIND(" · ",tblMovimientos[[#This Row],[Producto]]&amp;" · ")-1)))</f>
        <v/>
      </c>
      <c r="H2731" s="40" t="str">
        <f>IF(tblMovimientos[[#This Row],[SKU]]="","",IFERROR(INDEX(tblProductos[Unidad],MATCH(tblMovimientos[[#This Row],[SKU]],tblProductos[SKU],0)),"?"))</f>
        <v/>
      </c>
      <c r="I2731" s="39"/>
      <c r="J2731" s="47" t="str">
        <f>IF(tblMovimientos[[#This Row],[Tipo]]="","",IFERROR(INDEX(tblTiposMov[FactorStock],MATCH(tblMovimientos[[#This Row],[Tipo]],tblTiposMov[Tipo],0)),0))</f>
        <v/>
      </c>
      <c r="K27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1" s="37"/>
      <c r="O2731" s="37"/>
      <c r="P2731" s="37"/>
    </row>
    <row r="2732" spans="2:16" x14ac:dyDescent="0.25">
      <c r="B27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2" s="46"/>
      <c r="D2732" s="37"/>
      <c r="E2732" s="37"/>
      <c r="F2732" s="37"/>
      <c r="G2732" s="40" t="str">
        <f>IF(tblMovimientos[[#This Row],[Producto]]="","",TRIM(LEFT(tblMovimientos[[#This Row],[Producto]],FIND(" · ",tblMovimientos[[#This Row],[Producto]]&amp;" · ")-1)))</f>
        <v/>
      </c>
      <c r="H2732" s="40" t="str">
        <f>IF(tblMovimientos[[#This Row],[SKU]]="","",IFERROR(INDEX(tblProductos[Unidad],MATCH(tblMovimientos[[#This Row],[SKU]],tblProductos[SKU],0)),"?"))</f>
        <v/>
      </c>
      <c r="I2732" s="39"/>
      <c r="J2732" s="47" t="str">
        <f>IF(tblMovimientos[[#This Row],[Tipo]]="","",IFERROR(INDEX(tblTiposMov[FactorStock],MATCH(tblMovimientos[[#This Row],[Tipo]],tblTiposMov[Tipo],0)),0))</f>
        <v/>
      </c>
      <c r="K27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2" s="37"/>
      <c r="O2732" s="37"/>
      <c r="P2732" s="37"/>
    </row>
    <row r="2733" spans="2:16" x14ac:dyDescent="0.25">
      <c r="B27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3" s="46"/>
      <c r="D2733" s="37"/>
      <c r="E2733" s="37"/>
      <c r="F2733" s="37"/>
      <c r="G2733" s="40" t="str">
        <f>IF(tblMovimientos[[#This Row],[Producto]]="","",TRIM(LEFT(tblMovimientos[[#This Row],[Producto]],FIND(" · ",tblMovimientos[[#This Row],[Producto]]&amp;" · ")-1)))</f>
        <v/>
      </c>
      <c r="H2733" s="40" t="str">
        <f>IF(tblMovimientos[[#This Row],[SKU]]="","",IFERROR(INDEX(tblProductos[Unidad],MATCH(tblMovimientos[[#This Row],[SKU]],tblProductos[SKU],0)),"?"))</f>
        <v/>
      </c>
      <c r="I2733" s="39"/>
      <c r="J2733" s="47" t="str">
        <f>IF(tblMovimientos[[#This Row],[Tipo]]="","",IFERROR(INDEX(tblTiposMov[FactorStock],MATCH(tblMovimientos[[#This Row],[Tipo]],tblTiposMov[Tipo],0)),0))</f>
        <v/>
      </c>
      <c r="K27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3" s="37"/>
      <c r="O2733" s="37"/>
      <c r="P2733" s="37"/>
    </row>
    <row r="2734" spans="2:16" x14ac:dyDescent="0.25">
      <c r="B27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4" s="46"/>
      <c r="D2734" s="37"/>
      <c r="E2734" s="37"/>
      <c r="F2734" s="37"/>
      <c r="G2734" s="40" t="str">
        <f>IF(tblMovimientos[[#This Row],[Producto]]="","",TRIM(LEFT(tblMovimientos[[#This Row],[Producto]],FIND(" · ",tblMovimientos[[#This Row],[Producto]]&amp;" · ")-1)))</f>
        <v/>
      </c>
      <c r="H2734" s="40" t="str">
        <f>IF(tblMovimientos[[#This Row],[SKU]]="","",IFERROR(INDEX(tblProductos[Unidad],MATCH(tblMovimientos[[#This Row],[SKU]],tblProductos[SKU],0)),"?"))</f>
        <v/>
      </c>
      <c r="I2734" s="39"/>
      <c r="J2734" s="47" t="str">
        <f>IF(tblMovimientos[[#This Row],[Tipo]]="","",IFERROR(INDEX(tblTiposMov[FactorStock],MATCH(tblMovimientos[[#This Row],[Tipo]],tblTiposMov[Tipo],0)),0))</f>
        <v/>
      </c>
      <c r="K27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4" s="37"/>
      <c r="O2734" s="37"/>
      <c r="P2734" s="37"/>
    </row>
    <row r="2735" spans="2:16" x14ac:dyDescent="0.25">
      <c r="B27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5" s="46"/>
      <c r="D2735" s="37"/>
      <c r="E2735" s="37"/>
      <c r="F2735" s="37"/>
      <c r="G2735" s="40" t="str">
        <f>IF(tblMovimientos[[#This Row],[Producto]]="","",TRIM(LEFT(tblMovimientos[[#This Row],[Producto]],FIND(" · ",tblMovimientos[[#This Row],[Producto]]&amp;" · ")-1)))</f>
        <v/>
      </c>
      <c r="H2735" s="40" t="str">
        <f>IF(tblMovimientos[[#This Row],[SKU]]="","",IFERROR(INDEX(tblProductos[Unidad],MATCH(tblMovimientos[[#This Row],[SKU]],tblProductos[SKU],0)),"?"))</f>
        <v/>
      </c>
      <c r="I2735" s="39"/>
      <c r="J2735" s="47" t="str">
        <f>IF(tblMovimientos[[#This Row],[Tipo]]="","",IFERROR(INDEX(tblTiposMov[FactorStock],MATCH(tblMovimientos[[#This Row],[Tipo]],tblTiposMov[Tipo],0)),0))</f>
        <v/>
      </c>
      <c r="K27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5" s="37"/>
      <c r="O2735" s="37"/>
      <c r="P2735" s="37"/>
    </row>
    <row r="2736" spans="2:16" x14ac:dyDescent="0.25">
      <c r="B27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6" s="46"/>
      <c r="D2736" s="37"/>
      <c r="E2736" s="37"/>
      <c r="F2736" s="37"/>
      <c r="G2736" s="40" t="str">
        <f>IF(tblMovimientos[[#This Row],[Producto]]="","",TRIM(LEFT(tblMovimientos[[#This Row],[Producto]],FIND(" · ",tblMovimientos[[#This Row],[Producto]]&amp;" · ")-1)))</f>
        <v/>
      </c>
      <c r="H2736" s="40" t="str">
        <f>IF(tblMovimientos[[#This Row],[SKU]]="","",IFERROR(INDEX(tblProductos[Unidad],MATCH(tblMovimientos[[#This Row],[SKU]],tblProductos[SKU],0)),"?"))</f>
        <v/>
      </c>
      <c r="I2736" s="39"/>
      <c r="J2736" s="47" t="str">
        <f>IF(tblMovimientos[[#This Row],[Tipo]]="","",IFERROR(INDEX(tblTiposMov[FactorStock],MATCH(tblMovimientos[[#This Row],[Tipo]],tblTiposMov[Tipo],0)),0))</f>
        <v/>
      </c>
      <c r="K27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6" s="37"/>
      <c r="O2736" s="37"/>
      <c r="P2736" s="37"/>
    </row>
    <row r="2737" spans="2:16" x14ac:dyDescent="0.25">
      <c r="B27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7" s="46"/>
      <c r="D2737" s="37"/>
      <c r="E2737" s="37"/>
      <c r="F2737" s="37"/>
      <c r="G2737" s="40" t="str">
        <f>IF(tblMovimientos[[#This Row],[Producto]]="","",TRIM(LEFT(tblMovimientos[[#This Row],[Producto]],FIND(" · ",tblMovimientos[[#This Row],[Producto]]&amp;" · ")-1)))</f>
        <v/>
      </c>
      <c r="H2737" s="40" t="str">
        <f>IF(tblMovimientos[[#This Row],[SKU]]="","",IFERROR(INDEX(tblProductos[Unidad],MATCH(tblMovimientos[[#This Row],[SKU]],tblProductos[SKU],0)),"?"))</f>
        <v/>
      </c>
      <c r="I2737" s="39"/>
      <c r="J2737" s="47" t="str">
        <f>IF(tblMovimientos[[#This Row],[Tipo]]="","",IFERROR(INDEX(tblTiposMov[FactorStock],MATCH(tblMovimientos[[#This Row],[Tipo]],tblTiposMov[Tipo],0)),0))</f>
        <v/>
      </c>
      <c r="K27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7" s="37"/>
      <c r="O2737" s="37"/>
      <c r="P2737" s="37"/>
    </row>
    <row r="2738" spans="2:16" x14ac:dyDescent="0.25">
      <c r="B27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8" s="46"/>
      <c r="D2738" s="37"/>
      <c r="E2738" s="37"/>
      <c r="F2738" s="37"/>
      <c r="G2738" s="40" t="str">
        <f>IF(tblMovimientos[[#This Row],[Producto]]="","",TRIM(LEFT(tblMovimientos[[#This Row],[Producto]],FIND(" · ",tblMovimientos[[#This Row],[Producto]]&amp;" · ")-1)))</f>
        <v/>
      </c>
      <c r="H2738" s="40" t="str">
        <f>IF(tblMovimientos[[#This Row],[SKU]]="","",IFERROR(INDEX(tblProductos[Unidad],MATCH(tblMovimientos[[#This Row],[SKU]],tblProductos[SKU],0)),"?"))</f>
        <v/>
      </c>
      <c r="I2738" s="39"/>
      <c r="J2738" s="47" t="str">
        <f>IF(tblMovimientos[[#This Row],[Tipo]]="","",IFERROR(INDEX(tblTiposMov[FactorStock],MATCH(tblMovimientos[[#This Row],[Tipo]],tblTiposMov[Tipo],0)),0))</f>
        <v/>
      </c>
      <c r="K27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8" s="37"/>
      <c r="O2738" s="37"/>
      <c r="P2738" s="37"/>
    </row>
    <row r="2739" spans="2:16" x14ac:dyDescent="0.25">
      <c r="B27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39" s="46"/>
      <c r="D2739" s="37"/>
      <c r="E2739" s="37"/>
      <c r="F2739" s="37"/>
      <c r="G2739" s="40" t="str">
        <f>IF(tblMovimientos[[#This Row],[Producto]]="","",TRIM(LEFT(tblMovimientos[[#This Row],[Producto]],FIND(" · ",tblMovimientos[[#This Row],[Producto]]&amp;" · ")-1)))</f>
        <v/>
      </c>
      <c r="H2739" s="40" t="str">
        <f>IF(tblMovimientos[[#This Row],[SKU]]="","",IFERROR(INDEX(tblProductos[Unidad],MATCH(tblMovimientos[[#This Row],[SKU]],tblProductos[SKU],0)),"?"))</f>
        <v/>
      </c>
      <c r="I2739" s="39"/>
      <c r="J2739" s="47" t="str">
        <f>IF(tblMovimientos[[#This Row],[Tipo]]="","",IFERROR(INDEX(tblTiposMov[FactorStock],MATCH(tblMovimientos[[#This Row],[Tipo]],tblTiposMov[Tipo],0)),0))</f>
        <v/>
      </c>
      <c r="K27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39" s="37"/>
      <c r="O2739" s="37"/>
      <c r="P2739" s="37"/>
    </row>
    <row r="2740" spans="2:16" x14ac:dyDescent="0.25">
      <c r="B27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0" s="46"/>
      <c r="D2740" s="37"/>
      <c r="E2740" s="37"/>
      <c r="F2740" s="37"/>
      <c r="G2740" s="40" t="str">
        <f>IF(tblMovimientos[[#This Row],[Producto]]="","",TRIM(LEFT(tblMovimientos[[#This Row],[Producto]],FIND(" · ",tblMovimientos[[#This Row],[Producto]]&amp;" · ")-1)))</f>
        <v/>
      </c>
      <c r="H2740" s="40" t="str">
        <f>IF(tblMovimientos[[#This Row],[SKU]]="","",IFERROR(INDEX(tblProductos[Unidad],MATCH(tblMovimientos[[#This Row],[SKU]],tblProductos[SKU],0)),"?"))</f>
        <v/>
      </c>
      <c r="I2740" s="39"/>
      <c r="J2740" s="47" t="str">
        <f>IF(tblMovimientos[[#This Row],[Tipo]]="","",IFERROR(INDEX(tblTiposMov[FactorStock],MATCH(tblMovimientos[[#This Row],[Tipo]],tblTiposMov[Tipo],0)),0))</f>
        <v/>
      </c>
      <c r="K27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0" s="37"/>
      <c r="O2740" s="37"/>
      <c r="P2740" s="37"/>
    </row>
    <row r="2741" spans="2:16" x14ac:dyDescent="0.25">
      <c r="B27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1" s="46"/>
      <c r="D2741" s="37"/>
      <c r="E2741" s="37"/>
      <c r="F2741" s="37"/>
      <c r="G2741" s="40" t="str">
        <f>IF(tblMovimientos[[#This Row],[Producto]]="","",TRIM(LEFT(tblMovimientos[[#This Row],[Producto]],FIND(" · ",tblMovimientos[[#This Row],[Producto]]&amp;" · ")-1)))</f>
        <v/>
      </c>
      <c r="H2741" s="40" t="str">
        <f>IF(tblMovimientos[[#This Row],[SKU]]="","",IFERROR(INDEX(tblProductos[Unidad],MATCH(tblMovimientos[[#This Row],[SKU]],tblProductos[SKU],0)),"?"))</f>
        <v/>
      </c>
      <c r="I2741" s="39"/>
      <c r="J2741" s="47" t="str">
        <f>IF(tblMovimientos[[#This Row],[Tipo]]="","",IFERROR(INDEX(tblTiposMov[FactorStock],MATCH(tblMovimientos[[#This Row],[Tipo]],tblTiposMov[Tipo],0)),0))</f>
        <v/>
      </c>
      <c r="K27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1" s="37"/>
      <c r="O2741" s="37"/>
      <c r="P2741" s="37"/>
    </row>
    <row r="2742" spans="2:16" x14ac:dyDescent="0.25">
      <c r="B27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2" s="46"/>
      <c r="D2742" s="37"/>
      <c r="E2742" s="37"/>
      <c r="F2742" s="37"/>
      <c r="G2742" s="40" t="str">
        <f>IF(tblMovimientos[[#This Row],[Producto]]="","",TRIM(LEFT(tblMovimientos[[#This Row],[Producto]],FIND(" · ",tblMovimientos[[#This Row],[Producto]]&amp;" · ")-1)))</f>
        <v/>
      </c>
      <c r="H2742" s="40" t="str">
        <f>IF(tblMovimientos[[#This Row],[SKU]]="","",IFERROR(INDEX(tblProductos[Unidad],MATCH(tblMovimientos[[#This Row],[SKU]],tblProductos[SKU],0)),"?"))</f>
        <v/>
      </c>
      <c r="I2742" s="39"/>
      <c r="J2742" s="47" t="str">
        <f>IF(tblMovimientos[[#This Row],[Tipo]]="","",IFERROR(INDEX(tblTiposMov[FactorStock],MATCH(tblMovimientos[[#This Row],[Tipo]],tblTiposMov[Tipo],0)),0))</f>
        <v/>
      </c>
      <c r="K27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2" s="37"/>
      <c r="O2742" s="37"/>
      <c r="P2742" s="37"/>
    </row>
    <row r="2743" spans="2:16" x14ac:dyDescent="0.25">
      <c r="B27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3" s="46"/>
      <c r="D2743" s="37"/>
      <c r="E2743" s="37"/>
      <c r="F2743" s="37"/>
      <c r="G2743" s="40" t="str">
        <f>IF(tblMovimientos[[#This Row],[Producto]]="","",TRIM(LEFT(tblMovimientos[[#This Row],[Producto]],FIND(" · ",tblMovimientos[[#This Row],[Producto]]&amp;" · ")-1)))</f>
        <v/>
      </c>
      <c r="H2743" s="40" t="str">
        <f>IF(tblMovimientos[[#This Row],[SKU]]="","",IFERROR(INDEX(tblProductos[Unidad],MATCH(tblMovimientos[[#This Row],[SKU]],tblProductos[SKU],0)),"?"))</f>
        <v/>
      </c>
      <c r="I2743" s="39"/>
      <c r="J2743" s="47" t="str">
        <f>IF(tblMovimientos[[#This Row],[Tipo]]="","",IFERROR(INDEX(tblTiposMov[FactorStock],MATCH(tblMovimientos[[#This Row],[Tipo]],tblTiposMov[Tipo],0)),0))</f>
        <v/>
      </c>
      <c r="K27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3" s="37"/>
      <c r="O2743" s="37"/>
      <c r="P2743" s="37"/>
    </row>
    <row r="2744" spans="2:16" x14ac:dyDescent="0.25">
      <c r="B27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4" s="46"/>
      <c r="D2744" s="37"/>
      <c r="E2744" s="37"/>
      <c r="F2744" s="37"/>
      <c r="G2744" s="40" t="str">
        <f>IF(tblMovimientos[[#This Row],[Producto]]="","",TRIM(LEFT(tblMovimientos[[#This Row],[Producto]],FIND(" · ",tblMovimientos[[#This Row],[Producto]]&amp;" · ")-1)))</f>
        <v/>
      </c>
      <c r="H2744" s="40" t="str">
        <f>IF(tblMovimientos[[#This Row],[SKU]]="","",IFERROR(INDEX(tblProductos[Unidad],MATCH(tblMovimientos[[#This Row],[SKU]],tblProductos[SKU],0)),"?"))</f>
        <v/>
      </c>
      <c r="I2744" s="39"/>
      <c r="J2744" s="47" t="str">
        <f>IF(tblMovimientos[[#This Row],[Tipo]]="","",IFERROR(INDEX(tblTiposMov[FactorStock],MATCH(tblMovimientos[[#This Row],[Tipo]],tblTiposMov[Tipo],0)),0))</f>
        <v/>
      </c>
      <c r="K27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4" s="37"/>
      <c r="O2744" s="37"/>
      <c r="P2744" s="37"/>
    </row>
    <row r="2745" spans="2:16" x14ac:dyDescent="0.25">
      <c r="B27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5" s="46"/>
      <c r="D2745" s="37"/>
      <c r="E2745" s="37"/>
      <c r="F2745" s="37"/>
      <c r="G2745" s="40" t="str">
        <f>IF(tblMovimientos[[#This Row],[Producto]]="","",TRIM(LEFT(tblMovimientos[[#This Row],[Producto]],FIND(" · ",tblMovimientos[[#This Row],[Producto]]&amp;" · ")-1)))</f>
        <v/>
      </c>
      <c r="H2745" s="40" t="str">
        <f>IF(tblMovimientos[[#This Row],[SKU]]="","",IFERROR(INDEX(tblProductos[Unidad],MATCH(tblMovimientos[[#This Row],[SKU]],tblProductos[SKU],0)),"?"))</f>
        <v/>
      </c>
      <c r="I2745" s="39"/>
      <c r="J2745" s="47" t="str">
        <f>IF(tblMovimientos[[#This Row],[Tipo]]="","",IFERROR(INDEX(tblTiposMov[FactorStock],MATCH(tblMovimientos[[#This Row],[Tipo]],tblTiposMov[Tipo],0)),0))</f>
        <v/>
      </c>
      <c r="K27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5" s="37"/>
      <c r="O2745" s="37"/>
      <c r="P2745" s="37"/>
    </row>
    <row r="2746" spans="2:16" x14ac:dyDescent="0.25">
      <c r="B27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6" s="46"/>
      <c r="D2746" s="37"/>
      <c r="E2746" s="37"/>
      <c r="F2746" s="37"/>
      <c r="G2746" s="40" t="str">
        <f>IF(tblMovimientos[[#This Row],[Producto]]="","",TRIM(LEFT(tblMovimientos[[#This Row],[Producto]],FIND(" · ",tblMovimientos[[#This Row],[Producto]]&amp;" · ")-1)))</f>
        <v/>
      </c>
      <c r="H2746" s="40" t="str">
        <f>IF(tblMovimientos[[#This Row],[SKU]]="","",IFERROR(INDEX(tblProductos[Unidad],MATCH(tblMovimientos[[#This Row],[SKU]],tblProductos[SKU],0)),"?"))</f>
        <v/>
      </c>
      <c r="I2746" s="39"/>
      <c r="J2746" s="47" t="str">
        <f>IF(tblMovimientos[[#This Row],[Tipo]]="","",IFERROR(INDEX(tblTiposMov[FactorStock],MATCH(tblMovimientos[[#This Row],[Tipo]],tblTiposMov[Tipo],0)),0))</f>
        <v/>
      </c>
      <c r="K27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6" s="37"/>
      <c r="O2746" s="37"/>
      <c r="P2746" s="37"/>
    </row>
    <row r="2747" spans="2:16" x14ac:dyDescent="0.25">
      <c r="B27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7" s="46"/>
      <c r="D2747" s="37"/>
      <c r="E2747" s="37"/>
      <c r="F2747" s="37"/>
      <c r="G2747" s="40" t="str">
        <f>IF(tblMovimientos[[#This Row],[Producto]]="","",TRIM(LEFT(tblMovimientos[[#This Row],[Producto]],FIND(" · ",tblMovimientos[[#This Row],[Producto]]&amp;" · ")-1)))</f>
        <v/>
      </c>
      <c r="H2747" s="40" t="str">
        <f>IF(tblMovimientos[[#This Row],[SKU]]="","",IFERROR(INDEX(tblProductos[Unidad],MATCH(tblMovimientos[[#This Row],[SKU]],tblProductos[SKU],0)),"?"))</f>
        <v/>
      </c>
      <c r="I2747" s="39"/>
      <c r="J2747" s="47" t="str">
        <f>IF(tblMovimientos[[#This Row],[Tipo]]="","",IFERROR(INDEX(tblTiposMov[FactorStock],MATCH(tblMovimientos[[#This Row],[Tipo]],tblTiposMov[Tipo],0)),0))</f>
        <v/>
      </c>
      <c r="K27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7" s="37"/>
      <c r="O2747" s="37"/>
      <c r="P2747" s="37"/>
    </row>
    <row r="2748" spans="2:16" x14ac:dyDescent="0.25">
      <c r="B27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8" s="46"/>
      <c r="D2748" s="37"/>
      <c r="E2748" s="37"/>
      <c r="F2748" s="37"/>
      <c r="G2748" s="40" t="str">
        <f>IF(tblMovimientos[[#This Row],[Producto]]="","",TRIM(LEFT(tblMovimientos[[#This Row],[Producto]],FIND(" · ",tblMovimientos[[#This Row],[Producto]]&amp;" · ")-1)))</f>
        <v/>
      </c>
      <c r="H2748" s="40" t="str">
        <f>IF(tblMovimientos[[#This Row],[SKU]]="","",IFERROR(INDEX(tblProductos[Unidad],MATCH(tblMovimientos[[#This Row],[SKU]],tblProductos[SKU],0)),"?"))</f>
        <v/>
      </c>
      <c r="I2748" s="39"/>
      <c r="J2748" s="47" t="str">
        <f>IF(tblMovimientos[[#This Row],[Tipo]]="","",IFERROR(INDEX(tblTiposMov[FactorStock],MATCH(tblMovimientos[[#This Row],[Tipo]],tblTiposMov[Tipo],0)),0))</f>
        <v/>
      </c>
      <c r="K27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8" s="37"/>
      <c r="O2748" s="37"/>
      <c r="P2748" s="37"/>
    </row>
    <row r="2749" spans="2:16" x14ac:dyDescent="0.25">
      <c r="B27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49" s="46"/>
      <c r="D2749" s="37"/>
      <c r="E2749" s="37"/>
      <c r="F2749" s="37"/>
      <c r="G2749" s="40" t="str">
        <f>IF(tblMovimientos[[#This Row],[Producto]]="","",TRIM(LEFT(tblMovimientos[[#This Row],[Producto]],FIND(" · ",tblMovimientos[[#This Row],[Producto]]&amp;" · ")-1)))</f>
        <v/>
      </c>
      <c r="H2749" s="40" t="str">
        <f>IF(tblMovimientos[[#This Row],[SKU]]="","",IFERROR(INDEX(tblProductos[Unidad],MATCH(tblMovimientos[[#This Row],[SKU]],tblProductos[SKU],0)),"?"))</f>
        <v/>
      </c>
      <c r="I2749" s="39"/>
      <c r="J2749" s="47" t="str">
        <f>IF(tblMovimientos[[#This Row],[Tipo]]="","",IFERROR(INDEX(tblTiposMov[FactorStock],MATCH(tblMovimientos[[#This Row],[Tipo]],tblTiposMov[Tipo],0)),0))</f>
        <v/>
      </c>
      <c r="K27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49" s="37"/>
      <c r="O2749" s="37"/>
      <c r="P2749" s="37"/>
    </row>
    <row r="2750" spans="2:16" x14ac:dyDescent="0.25">
      <c r="B27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0" s="46"/>
      <c r="D2750" s="37"/>
      <c r="E2750" s="37"/>
      <c r="F2750" s="37"/>
      <c r="G2750" s="40" t="str">
        <f>IF(tblMovimientos[[#This Row],[Producto]]="","",TRIM(LEFT(tblMovimientos[[#This Row],[Producto]],FIND(" · ",tblMovimientos[[#This Row],[Producto]]&amp;" · ")-1)))</f>
        <v/>
      </c>
      <c r="H2750" s="40" t="str">
        <f>IF(tblMovimientos[[#This Row],[SKU]]="","",IFERROR(INDEX(tblProductos[Unidad],MATCH(tblMovimientos[[#This Row],[SKU]],tblProductos[SKU],0)),"?"))</f>
        <v/>
      </c>
      <c r="I2750" s="39"/>
      <c r="J2750" s="47" t="str">
        <f>IF(tblMovimientos[[#This Row],[Tipo]]="","",IFERROR(INDEX(tblTiposMov[FactorStock],MATCH(tblMovimientos[[#This Row],[Tipo]],tblTiposMov[Tipo],0)),0))</f>
        <v/>
      </c>
      <c r="K27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0" s="37"/>
      <c r="O2750" s="37"/>
      <c r="P2750" s="37"/>
    </row>
    <row r="2751" spans="2:16" x14ac:dyDescent="0.25">
      <c r="B27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1" s="46"/>
      <c r="D2751" s="37"/>
      <c r="E2751" s="37"/>
      <c r="F2751" s="37"/>
      <c r="G2751" s="40" t="str">
        <f>IF(tblMovimientos[[#This Row],[Producto]]="","",TRIM(LEFT(tblMovimientos[[#This Row],[Producto]],FIND(" · ",tblMovimientos[[#This Row],[Producto]]&amp;" · ")-1)))</f>
        <v/>
      </c>
      <c r="H2751" s="40" t="str">
        <f>IF(tblMovimientos[[#This Row],[SKU]]="","",IFERROR(INDEX(tblProductos[Unidad],MATCH(tblMovimientos[[#This Row],[SKU]],tblProductos[SKU],0)),"?"))</f>
        <v/>
      </c>
      <c r="I2751" s="39"/>
      <c r="J2751" s="47" t="str">
        <f>IF(tblMovimientos[[#This Row],[Tipo]]="","",IFERROR(INDEX(tblTiposMov[FactorStock],MATCH(tblMovimientos[[#This Row],[Tipo]],tblTiposMov[Tipo],0)),0))</f>
        <v/>
      </c>
      <c r="K27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1" s="37"/>
      <c r="O2751" s="37"/>
      <c r="P2751" s="37"/>
    </row>
    <row r="2752" spans="2:16" x14ac:dyDescent="0.25">
      <c r="B27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2" s="46"/>
      <c r="D2752" s="37"/>
      <c r="E2752" s="37"/>
      <c r="F2752" s="37"/>
      <c r="G2752" s="40" t="str">
        <f>IF(tblMovimientos[[#This Row],[Producto]]="","",TRIM(LEFT(tblMovimientos[[#This Row],[Producto]],FIND(" · ",tblMovimientos[[#This Row],[Producto]]&amp;" · ")-1)))</f>
        <v/>
      </c>
      <c r="H2752" s="40" t="str">
        <f>IF(tblMovimientos[[#This Row],[SKU]]="","",IFERROR(INDEX(tblProductos[Unidad],MATCH(tblMovimientos[[#This Row],[SKU]],tblProductos[SKU],0)),"?"))</f>
        <v/>
      </c>
      <c r="I2752" s="39"/>
      <c r="J2752" s="47" t="str">
        <f>IF(tblMovimientos[[#This Row],[Tipo]]="","",IFERROR(INDEX(tblTiposMov[FactorStock],MATCH(tblMovimientos[[#This Row],[Tipo]],tblTiposMov[Tipo],0)),0))</f>
        <v/>
      </c>
      <c r="K27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2" s="37"/>
      <c r="O2752" s="37"/>
      <c r="P2752" s="37"/>
    </row>
    <row r="2753" spans="2:16" x14ac:dyDescent="0.25">
      <c r="B27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3" s="46"/>
      <c r="D2753" s="37"/>
      <c r="E2753" s="37"/>
      <c r="F2753" s="37"/>
      <c r="G2753" s="40" t="str">
        <f>IF(tblMovimientos[[#This Row],[Producto]]="","",TRIM(LEFT(tblMovimientos[[#This Row],[Producto]],FIND(" · ",tblMovimientos[[#This Row],[Producto]]&amp;" · ")-1)))</f>
        <v/>
      </c>
      <c r="H2753" s="40" t="str">
        <f>IF(tblMovimientos[[#This Row],[SKU]]="","",IFERROR(INDEX(tblProductos[Unidad],MATCH(tblMovimientos[[#This Row],[SKU]],tblProductos[SKU],0)),"?"))</f>
        <v/>
      </c>
      <c r="I2753" s="39"/>
      <c r="J2753" s="47" t="str">
        <f>IF(tblMovimientos[[#This Row],[Tipo]]="","",IFERROR(INDEX(tblTiposMov[FactorStock],MATCH(tblMovimientos[[#This Row],[Tipo]],tblTiposMov[Tipo],0)),0))</f>
        <v/>
      </c>
      <c r="K27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3" s="37"/>
      <c r="O2753" s="37"/>
      <c r="P2753" s="37"/>
    </row>
    <row r="2754" spans="2:16" x14ac:dyDescent="0.25">
      <c r="B27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4" s="46"/>
      <c r="D2754" s="37"/>
      <c r="E2754" s="37"/>
      <c r="F2754" s="37"/>
      <c r="G2754" s="40" t="str">
        <f>IF(tblMovimientos[[#This Row],[Producto]]="","",TRIM(LEFT(tblMovimientos[[#This Row],[Producto]],FIND(" · ",tblMovimientos[[#This Row],[Producto]]&amp;" · ")-1)))</f>
        <v/>
      </c>
      <c r="H2754" s="40" t="str">
        <f>IF(tblMovimientos[[#This Row],[SKU]]="","",IFERROR(INDEX(tblProductos[Unidad],MATCH(tblMovimientos[[#This Row],[SKU]],tblProductos[SKU],0)),"?"))</f>
        <v/>
      </c>
      <c r="I2754" s="39"/>
      <c r="J2754" s="47" t="str">
        <f>IF(tblMovimientos[[#This Row],[Tipo]]="","",IFERROR(INDEX(tblTiposMov[FactorStock],MATCH(tblMovimientos[[#This Row],[Tipo]],tblTiposMov[Tipo],0)),0))</f>
        <v/>
      </c>
      <c r="K27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4" s="37"/>
      <c r="O2754" s="37"/>
      <c r="P2754" s="37"/>
    </row>
    <row r="2755" spans="2:16" x14ac:dyDescent="0.25">
      <c r="B27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5" s="46"/>
      <c r="D2755" s="37"/>
      <c r="E2755" s="37"/>
      <c r="F2755" s="37"/>
      <c r="G2755" s="40" t="str">
        <f>IF(tblMovimientos[[#This Row],[Producto]]="","",TRIM(LEFT(tblMovimientos[[#This Row],[Producto]],FIND(" · ",tblMovimientos[[#This Row],[Producto]]&amp;" · ")-1)))</f>
        <v/>
      </c>
      <c r="H2755" s="40" t="str">
        <f>IF(tblMovimientos[[#This Row],[SKU]]="","",IFERROR(INDEX(tblProductos[Unidad],MATCH(tblMovimientos[[#This Row],[SKU]],tblProductos[SKU],0)),"?"))</f>
        <v/>
      </c>
      <c r="I2755" s="39"/>
      <c r="J2755" s="47" t="str">
        <f>IF(tblMovimientos[[#This Row],[Tipo]]="","",IFERROR(INDEX(tblTiposMov[FactorStock],MATCH(tblMovimientos[[#This Row],[Tipo]],tblTiposMov[Tipo],0)),0))</f>
        <v/>
      </c>
      <c r="K27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5" s="37"/>
      <c r="O2755" s="37"/>
      <c r="P2755" s="37"/>
    </row>
    <row r="2756" spans="2:16" x14ac:dyDescent="0.25">
      <c r="B27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6" s="46"/>
      <c r="D2756" s="37"/>
      <c r="E2756" s="37"/>
      <c r="F2756" s="37"/>
      <c r="G2756" s="40" t="str">
        <f>IF(tblMovimientos[[#This Row],[Producto]]="","",TRIM(LEFT(tblMovimientos[[#This Row],[Producto]],FIND(" · ",tblMovimientos[[#This Row],[Producto]]&amp;" · ")-1)))</f>
        <v/>
      </c>
      <c r="H2756" s="40" t="str">
        <f>IF(tblMovimientos[[#This Row],[SKU]]="","",IFERROR(INDEX(tblProductos[Unidad],MATCH(tblMovimientos[[#This Row],[SKU]],tblProductos[SKU],0)),"?"))</f>
        <v/>
      </c>
      <c r="I2756" s="39"/>
      <c r="J2756" s="47" t="str">
        <f>IF(tblMovimientos[[#This Row],[Tipo]]="","",IFERROR(INDEX(tblTiposMov[FactorStock],MATCH(tblMovimientos[[#This Row],[Tipo]],tblTiposMov[Tipo],0)),0))</f>
        <v/>
      </c>
      <c r="K27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6" s="37"/>
      <c r="O2756" s="37"/>
      <c r="P2756" s="37"/>
    </row>
    <row r="2757" spans="2:16" x14ac:dyDescent="0.25">
      <c r="B27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7" s="46"/>
      <c r="D2757" s="37"/>
      <c r="E2757" s="37"/>
      <c r="F2757" s="37"/>
      <c r="G2757" s="40" t="str">
        <f>IF(tblMovimientos[[#This Row],[Producto]]="","",TRIM(LEFT(tblMovimientos[[#This Row],[Producto]],FIND(" · ",tblMovimientos[[#This Row],[Producto]]&amp;" · ")-1)))</f>
        <v/>
      </c>
      <c r="H2757" s="40" t="str">
        <f>IF(tblMovimientos[[#This Row],[SKU]]="","",IFERROR(INDEX(tblProductos[Unidad],MATCH(tblMovimientos[[#This Row],[SKU]],tblProductos[SKU],0)),"?"))</f>
        <v/>
      </c>
      <c r="I2757" s="39"/>
      <c r="J2757" s="47" t="str">
        <f>IF(tblMovimientos[[#This Row],[Tipo]]="","",IFERROR(INDEX(tblTiposMov[FactorStock],MATCH(tblMovimientos[[#This Row],[Tipo]],tblTiposMov[Tipo],0)),0))</f>
        <v/>
      </c>
      <c r="K27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7" s="37"/>
      <c r="O2757" s="37"/>
      <c r="P2757" s="37"/>
    </row>
    <row r="2758" spans="2:16" x14ac:dyDescent="0.25">
      <c r="B27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8" s="46"/>
      <c r="D2758" s="37"/>
      <c r="E2758" s="37"/>
      <c r="F2758" s="37"/>
      <c r="G2758" s="40" t="str">
        <f>IF(tblMovimientos[[#This Row],[Producto]]="","",TRIM(LEFT(tblMovimientos[[#This Row],[Producto]],FIND(" · ",tblMovimientos[[#This Row],[Producto]]&amp;" · ")-1)))</f>
        <v/>
      </c>
      <c r="H2758" s="40" t="str">
        <f>IF(tblMovimientos[[#This Row],[SKU]]="","",IFERROR(INDEX(tblProductos[Unidad],MATCH(tblMovimientos[[#This Row],[SKU]],tblProductos[SKU],0)),"?"))</f>
        <v/>
      </c>
      <c r="I2758" s="39"/>
      <c r="J2758" s="47" t="str">
        <f>IF(tblMovimientos[[#This Row],[Tipo]]="","",IFERROR(INDEX(tblTiposMov[FactorStock],MATCH(tblMovimientos[[#This Row],[Tipo]],tblTiposMov[Tipo],0)),0))</f>
        <v/>
      </c>
      <c r="K27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8" s="37"/>
      <c r="O2758" s="37"/>
      <c r="P2758" s="37"/>
    </row>
    <row r="2759" spans="2:16" x14ac:dyDescent="0.25">
      <c r="B27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59" s="46"/>
      <c r="D2759" s="37"/>
      <c r="E2759" s="37"/>
      <c r="F2759" s="37"/>
      <c r="G2759" s="40" t="str">
        <f>IF(tblMovimientos[[#This Row],[Producto]]="","",TRIM(LEFT(tblMovimientos[[#This Row],[Producto]],FIND(" · ",tblMovimientos[[#This Row],[Producto]]&amp;" · ")-1)))</f>
        <v/>
      </c>
      <c r="H2759" s="40" t="str">
        <f>IF(tblMovimientos[[#This Row],[SKU]]="","",IFERROR(INDEX(tblProductos[Unidad],MATCH(tblMovimientos[[#This Row],[SKU]],tblProductos[SKU],0)),"?"))</f>
        <v/>
      </c>
      <c r="I2759" s="39"/>
      <c r="J2759" s="47" t="str">
        <f>IF(tblMovimientos[[#This Row],[Tipo]]="","",IFERROR(INDEX(tblTiposMov[FactorStock],MATCH(tblMovimientos[[#This Row],[Tipo]],tblTiposMov[Tipo],0)),0))</f>
        <v/>
      </c>
      <c r="K27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59" s="37"/>
      <c r="O2759" s="37"/>
      <c r="P2759" s="37"/>
    </row>
    <row r="2760" spans="2:16" x14ac:dyDescent="0.25">
      <c r="B27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0" s="46"/>
      <c r="D2760" s="37"/>
      <c r="E2760" s="37"/>
      <c r="F2760" s="37"/>
      <c r="G2760" s="40" t="str">
        <f>IF(tblMovimientos[[#This Row],[Producto]]="","",TRIM(LEFT(tblMovimientos[[#This Row],[Producto]],FIND(" · ",tblMovimientos[[#This Row],[Producto]]&amp;" · ")-1)))</f>
        <v/>
      </c>
      <c r="H2760" s="40" t="str">
        <f>IF(tblMovimientos[[#This Row],[SKU]]="","",IFERROR(INDEX(tblProductos[Unidad],MATCH(tblMovimientos[[#This Row],[SKU]],tblProductos[SKU],0)),"?"))</f>
        <v/>
      </c>
      <c r="I2760" s="39"/>
      <c r="J2760" s="47" t="str">
        <f>IF(tblMovimientos[[#This Row],[Tipo]]="","",IFERROR(INDEX(tblTiposMov[FactorStock],MATCH(tblMovimientos[[#This Row],[Tipo]],tblTiposMov[Tipo],0)),0))</f>
        <v/>
      </c>
      <c r="K27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0" s="37"/>
      <c r="O2760" s="37"/>
      <c r="P2760" s="37"/>
    </row>
    <row r="2761" spans="2:16" x14ac:dyDescent="0.25">
      <c r="B27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1" s="46"/>
      <c r="D2761" s="37"/>
      <c r="E2761" s="37"/>
      <c r="F2761" s="37"/>
      <c r="G2761" s="40" t="str">
        <f>IF(tblMovimientos[[#This Row],[Producto]]="","",TRIM(LEFT(tblMovimientos[[#This Row],[Producto]],FIND(" · ",tblMovimientos[[#This Row],[Producto]]&amp;" · ")-1)))</f>
        <v/>
      </c>
      <c r="H2761" s="40" t="str">
        <f>IF(tblMovimientos[[#This Row],[SKU]]="","",IFERROR(INDEX(tblProductos[Unidad],MATCH(tblMovimientos[[#This Row],[SKU]],tblProductos[SKU],0)),"?"))</f>
        <v/>
      </c>
      <c r="I2761" s="39"/>
      <c r="J2761" s="47" t="str">
        <f>IF(tblMovimientos[[#This Row],[Tipo]]="","",IFERROR(INDEX(tblTiposMov[FactorStock],MATCH(tblMovimientos[[#This Row],[Tipo]],tblTiposMov[Tipo],0)),0))</f>
        <v/>
      </c>
      <c r="K27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1" s="37"/>
      <c r="O2761" s="37"/>
      <c r="P2761" s="37"/>
    </row>
    <row r="2762" spans="2:16" x14ac:dyDescent="0.25">
      <c r="B27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2" s="46"/>
      <c r="D2762" s="37"/>
      <c r="E2762" s="37"/>
      <c r="F2762" s="37"/>
      <c r="G2762" s="40" t="str">
        <f>IF(tblMovimientos[[#This Row],[Producto]]="","",TRIM(LEFT(tblMovimientos[[#This Row],[Producto]],FIND(" · ",tblMovimientos[[#This Row],[Producto]]&amp;" · ")-1)))</f>
        <v/>
      </c>
      <c r="H2762" s="40" t="str">
        <f>IF(tblMovimientos[[#This Row],[SKU]]="","",IFERROR(INDEX(tblProductos[Unidad],MATCH(tblMovimientos[[#This Row],[SKU]],tblProductos[SKU],0)),"?"))</f>
        <v/>
      </c>
      <c r="I2762" s="39"/>
      <c r="J2762" s="47" t="str">
        <f>IF(tblMovimientos[[#This Row],[Tipo]]="","",IFERROR(INDEX(tblTiposMov[FactorStock],MATCH(tblMovimientos[[#This Row],[Tipo]],tblTiposMov[Tipo],0)),0))</f>
        <v/>
      </c>
      <c r="K27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2" s="37"/>
      <c r="O2762" s="37"/>
      <c r="P2762" s="37"/>
    </row>
    <row r="2763" spans="2:16" x14ac:dyDescent="0.25">
      <c r="B27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3" s="46"/>
      <c r="D2763" s="37"/>
      <c r="E2763" s="37"/>
      <c r="F2763" s="37"/>
      <c r="G2763" s="40" t="str">
        <f>IF(tblMovimientos[[#This Row],[Producto]]="","",TRIM(LEFT(tblMovimientos[[#This Row],[Producto]],FIND(" · ",tblMovimientos[[#This Row],[Producto]]&amp;" · ")-1)))</f>
        <v/>
      </c>
      <c r="H2763" s="40" t="str">
        <f>IF(tblMovimientos[[#This Row],[SKU]]="","",IFERROR(INDEX(tblProductos[Unidad],MATCH(tblMovimientos[[#This Row],[SKU]],tblProductos[SKU],0)),"?"))</f>
        <v/>
      </c>
      <c r="I2763" s="39"/>
      <c r="J2763" s="47" t="str">
        <f>IF(tblMovimientos[[#This Row],[Tipo]]="","",IFERROR(INDEX(tblTiposMov[FactorStock],MATCH(tblMovimientos[[#This Row],[Tipo]],tblTiposMov[Tipo],0)),0))</f>
        <v/>
      </c>
      <c r="K27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3" s="37"/>
      <c r="O2763" s="37"/>
      <c r="P2763" s="37"/>
    </row>
    <row r="2764" spans="2:16" x14ac:dyDescent="0.25">
      <c r="B27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4" s="46"/>
      <c r="D2764" s="37"/>
      <c r="E2764" s="37"/>
      <c r="F2764" s="37"/>
      <c r="G2764" s="40" t="str">
        <f>IF(tblMovimientos[[#This Row],[Producto]]="","",TRIM(LEFT(tblMovimientos[[#This Row],[Producto]],FIND(" · ",tblMovimientos[[#This Row],[Producto]]&amp;" · ")-1)))</f>
        <v/>
      </c>
      <c r="H2764" s="40" t="str">
        <f>IF(tblMovimientos[[#This Row],[SKU]]="","",IFERROR(INDEX(tblProductos[Unidad],MATCH(tblMovimientos[[#This Row],[SKU]],tblProductos[SKU],0)),"?"))</f>
        <v/>
      </c>
      <c r="I2764" s="39"/>
      <c r="J2764" s="47" t="str">
        <f>IF(tblMovimientos[[#This Row],[Tipo]]="","",IFERROR(INDEX(tblTiposMov[FactorStock],MATCH(tblMovimientos[[#This Row],[Tipo]],tblTiposMov[Tipo],0)),0))</f>
        <v/>
      </c>
      <c r="K27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4" s="37"/>
      <c r="O2764" s="37"/>
      <c r="P2764" s="37"/>
    </row>
    <row r="2765" spans="2:16" x14ac:dyDescent="0.25">
      <c r="B27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5" s="46"/>
      <c r="D2765" s="37"/>
      <c r="E2765" s="37"/>
      <c r="F2765" s="37"/>
      <c r="G2765" s="40" t="str">
        <f>IF(tblMovimientos[[#This Row],[Producto]]="","",TRIM(LEFT(tblMovimientos[[#This Row],[Producto]],FIND(" · ",tblMovimientos[[#This Row],[Producto]]&amp;" · ")-1)))</f>
        <v/>
      </c>
      <c r="H2765" s="40" t="str">
        <f>IF(tblMovimientos[[#This Row],[SKU]]="","",IFERROR(INDEX(tblProductos[Unidad],MATCH(tblMovimientos[[#This Row],[SKU]],tblProductos[SKU],0)),"?"))</f>
        <v/>
      </c>
      <c r="I2765" s="39"/>
      <c r="J2765" s="47" t="str">
        <f>IF(tblMovimientos[[#This Row],[Tipo]]="","",IFERROR(INDEX(tblTiposMov[FactorStock],MATCH(tblMovimientos[[#This Row],[Tipo]],tblTiposMov[Tipo],0)),0))</f>
        <v/>
      </c>
      <c r="K27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5" s="37"/>
      <c r="O2765" s="37"/>
      <c r="P2765" s="37"/>
    </row>
    <row r="2766" spans="2:16" x14ac:dyDescent="0.25">
      <c r="B27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6" s="46"/>
      <c r="D2766" s="37"/>
      <c r="E2766" s="37"/>
      <c r="F2766" s="37"/>
      <c r="G2766" s="40" t="str">
        <f>IF(tblMovimientos[[#This Row],[Producto]]="","",TRIM(LEFT(tblMovimientos[[#This Row],[Producto]],FIND(" · ",tblMovimientos[[#This Row],[Producto]]&amp;" · ")-1)))</f>
        <v/>
      </c>
      <c r="H2766" s="40" t="str">
        <f>IF(tblMovimientos[[#This Row],[SKU]]="","",IFERROR(INDEX(tblProductos[Unidad],MATCH(tblMovimientos[[#This Row],[SKU]],tblProductos[SKU],0)),"?"))</f>
        <v/>
      </c>
      <c r="I2766" s="39"/>
      <c r="J2766" s="47" t="str">
        <f>IF(tblMovimientos[[#This Row],[Tipo]]="","",IFERROR(INDEX(tblTiposMov[FactorStock],MATCH(tblMovimientos[[#This Row],[Tipo]],tblTiposMov[Tipo],0)),0))</f>
        <v/>
      </c>
      <c r="K27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6" s="37"/>
      <c r="O2766" s="37"/>
      <c r="P2766" s="37"/>
    </row>
    <row r="2767" spans="2:16" x14ac:dyDescent="0.25">
      <c r="B27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7" s="46"/>
      <c r="D2767" s="37"/>
      <c r="E2767" s="37"/>
      <c r="F2767" s="37"/>
      <c r="G2767" s="40" t="str">
        <f>IF(tblMovimientos[[#This Row],[Producto]]="","",TRIM(LEFT(tblMovimientos[[#This Row],[Producto]],FIND(" · ",tblMovimientos[[#This Row],[Producto]]&amp;" · ")-1)))</f>
        <v/>
      </c>
      <c r="H2767" s="40" t="str">
        <f>IF(tblMovimientos[[#This Row],[SKU]]="","",IFERROR(INDEX(tblProductos[Unidad],MATCH(tblMovimientos[[#This Row],[SKU]],tblProductos[SKU],0)),"?"))</f>
        <v/>
      </c>
      <c r="I2767" s="39"/>
      <c r="J2767" s="47" t="str">
        <f>IF(tblMovimientos[[#This Row],[Tipo]]="","",IFERROR(INDEX(tblTiposMov[FactorStock],MATCH(tblMovimientos[[#This Row],[Tipo]],tblTiposMov[Tipo],0)),0))</f>
        <v/>
      </c>
      <c r="K27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7" s="37"/>
      <c r="O2767" s="37"/>
      <c r="P2767" s="37"/>
    </row>
    <row r="2768" spans="2:16" x14ac:dyDescent="0.25">
      <c r="B27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8" s="46"/>
      <c r="D2768" s="37"/>
      <c r="E2768" s="37"/>
      <c r="F2768" s="37"/>
      <c r="G2768" s="40" t="str">
        <f>IF(tblMovimientos[[#This Row],[Producto]]="","",TRIM(LEFT(tblMovimientos[[#This Row],[Producto]],FIND(" · ",tblMovimientos[[#This Row],[Producto]]&amp;" · ")-1)))</f>
        <v/>
      </c>
      <c r="H2768" s="40" t="str">
        <f>IF(tblMovimientos[[#This Row],[SKU]]="","",IFERROR(INDEX(tblProductos[Unidad],MATCH(tblMovimientos[[#This Row],[SKU]],tblProductos[SKU],0)),"?"))</f>
        <v/>
      </c>
      <c r="I2768" s="39"/>
      <c r="J2768" s="47" t="str">
        <f>IF(tblMovimientos[[#This Row],[Tipo]]="","",IFERROR(INDEX(tblTiposMov[FactorStock],MATCH(tblMovimientos[[#This Row],[Tipo]],tblTiposMov[Tipo],0)),0))</f>
        <v/>
      </c>
      <c r="K27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8" s="37"/>
      <c r="O2768" s="37"/>
      <c r="P2768" s="37"/>
    </row>
    <row r="2769" spans="2:16" x14ac:dyDescent="0.25">
      <c r="B27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69" s="46"/>
      <c r="D2769" s="37"/>
      <c r="E2769" s="37"/>
      <c r="F2769" s="37"/>
      <c r="G2769" s="40" t="str">
        <f>IF(tblMovimientos[[#This Row],[Producto]]="","",TRIM(LEFT(tblMovimientos[[#This Row],[Producto]],FIND(" · ",tblMovimientos[[#This Row],[Producto]]&amp;" · ")-1)))</f>
        <v/>
      </c>
      <c r="H2769" s="40" t="str">
        <f>IF(tblMovimientos[[#This Row],[SKU]]="","",IFERROR(INDEX(tblProductos[Unidad],MATCH(tblMovimientos[[#This Row],[SKU]],tblProductos[SKU],0)),"?"))</f>
        <v/>
      </c>
      <c r="I2769" s="39"/>
      <c r="J2769" s="47" t="str">
        <f>IF(tblMovimientos[[#This Row],[Tipo]]="","",IFERROR(INDEX(tblTiposMov[FactorStock],MATCH(tblMovimientos[[#This Row],[Tipo]],tblTiposMov[Tipo],0)),0))</f>
        <v/>
      </c>
      <c r="K27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69" s="37"/>
      <c r="O2769" s="37"/>
      <c r="P2769" s="37"/>
    </row>
    <row r="2770" spans="2:16" x14ac:dyDescent="0.25">
      <c r="B27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0" s="46"/>
      <c r="D2770" s="37"/>
      <c r="E2770" s="37"/>
      <c r="F2770" s="37"/>
      <c r="G2770" s="40" t="str">
        <f>IF(tblMovimientos[[#This Row],[Producto]]="","",TRIM(LEFT(tblMovimientos[[#This Row],[Producto]],FIND(" · ",tblMovimientos[[#This Row],[Producto]]&amp;" · ")-1)))</f>
        <v/>
      </c>
      <c r="H2770" s="40" t="str">
        <f>IF(tblMovimientos[[#This Row],[SKU]]="","",IFERROR(INDEX(tblProductos[Unidad],MATCH(tblMovimientos[[#This Row],[SKU]],tblProductos[SKU],0)),"?"))</f>
        <v/>
      </c>
      <c r="I2770" s="39"/>
      <c r="J2770" s="47" t="str">
        <f>IF(tblMovimientos[[#This Row],[Tipo]]="","",IFERROR(INDEX(tblTiposMov[FactorStock],MATCH(tblMovimientos[[#This Row],[Tipo]],tblTiposMov[Tipo],0)),0))</f>
        <v/>
      </c>
      <c r="K27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0" s="37"/>
      <c r="O2770" s="37"/>
      <c r="P2770" s="37"/>
    </row>
    <row r="2771" spans="2:16" x14ac:dyDescent="0.25">
      <c r="B27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1" s="46"/>
      <c r="D2771" s="37"/>
      <c r="E2771" s="37"/>
      <c r="F2771" s="37"/>
      <c r="G2771" s="40" t="str">
        <f>IF(tblMovimientos[[#This Row],[Producto]]="","",TRIM(LEFT(tblMovimientos[[#This Row],[Producto]],FIND(" · ",tblMovimientos[[#This Row],[Producto]]&amp;" · ")-1)))</f>
        <v/>
      </c>
      <c r="H2771" s="40" t="str">
        <f>IF(tblMovimientos[[#This Row],[SKU]]="","",IFERROR(INDEX(tblProductos[Unidad],MATCH(tblMovimientos[[#This Row],[SKU]],tblProductos[SKU],0)),"?"))</f>
        <v/>
      </c>
      <c r="I2771" s="39"/>
      <c r="J2771" s="47" t="str">
        <f>IF(tblMovimientos[[#This Row],[Tipo]]="","",IFERROR(INDEX(tblTiposMov[FactorStock],MATCH(tblMovimientos[[#This Row],[Tipo]],tblTiposMov[Tipo],0)),0))</f>
        <v/>
      </c>
      <c r="K27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1" s="37"/>
      <c r="O2771" s="37"/>
      <c r="P2771" s="37"/>
    </row>
    <row r="2772" spans="2:16" x14ac:dyDescent="0.25">
      <c r="B27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2" s="46"/>
      <c r="D2772" s="37"/>
      <c r="E2772" s="37"/>
      <c r="F2772" s="37"/>
      <c r="G2772" s="40" t="str">
        <f>IF(tblMovimientos[[#This Row],[Producto]]="","",TRIM(LEFT(tblMovimientos[[#This Row],[Producto]],FIND(" · ",tblMovimientos[[#This Row],[Producto]]&amp;" · ")-1)))</f>
        <v/>
      </c>
      <c r="H2772" s="40" t="str">
        <f>IF(tblMovimientos[[#This Row],[SKU]]="","",IFERROR(INDEX(tblProductos[Unidad],MATCH(tblMovimientos[[#This Row],[SKU]],tblProductos[SKU],0)),"?"))</f>
        <v/>
      </c>
      <c r="I2772" s="39"/>
      <c r="J2772" s="47" t="str">
        <f>IF(tblMovimientos[[#This Row],[Tipo]]="","",IFERROR(INDEX(tblTiposMov[FactorStock],MATCH(tblMovimientos[[#This Row],[Tipo]],tblTiposMov[Tipo],0)),0))</f>
        <v/>
      </c>
      <c r="K27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2" s="37"/>
      <c r="O2772" s="37"/>
      <c r="P2772" s="37"/>
    </row>
    <row r="2773" spans="2:16" x14ac:dyDescent="0.25">
      <c r="B27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3" s="46"/>
      <c r="D2773" s="37"/>
      <c r="E2773" s="37"/>
      <c r="F2773" s="37"/>
      <c r="G2773" s="40" t="str">
        <f>IF(tblMovimientos[[#This Row],[Producto]]="","",TRIM(LEFT(tblMovimientos[[#This Row],[Producto]],FIND(" · ",tblMovimientos[[#This Row],[Producto]]&amp;" · ")-1)))</f>
        <v/>
      </c>
      <c r="H2773" s="40" t="str">
        <f>IF(tblMovimientos[[#This Row],[SKU]]="","",IFERROR(INDEX(tblProductos[Unidad],MATCH(tblMovimientos[[#This Row],[SKU]],tblProductos[SKU],0)),"?"))</f>
        <v/>
      </c>
      <c r="I2773" s="39"/>
      <c r="J2773" s="47" t="str">
        <f>IF(tblMovimientos[[#This Row],[Tipo]]="","",IFERROR(INDEX(tblTiposMov[FactorStock],MATCH(tblMovimientos[[#This Row],[Tipo]],tblTiposMov[Tipo],0)),0))</f>
        <v/>
      </c>
      <c r="K27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3" s="37"/>
      <c r="O2773" s="37"/>
      <c r="P2773" s="37"/>
    </row>
    <row r="2774" spans="2:16" x14ac:dyDescent="0.25">
      <c r="B27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4" s="46"/>
      <c r="D2774" s="37"/>
      <c r="E2774" s="37"/>
      <c r="F2774" s="37"/>
      <c r="G2774" s="40" t="str">
        <f>IF(tblMovimientos[[#This Row],[Producto]]="","",TRIM(LEFT(tblMovimientos[[#This Row],[Producto]],FIND(" · ",tblMovimientos[[#This Row],[Producto]]&amp;" · ")-1)))</f>
        <v/>
      </c>
      <c r="H2774" s="40" t="str">
        <f>IF(tblMovimientos[[#This Row],[SKU]]="","",IFERROR(INDEX(tblProductos[Unidad],MATCH(tblMovimientos[[#This Row],[SKU]],tblProductos[SKU],0)),"?"))</f>
        <v/>
      </c>
      <c r="I2774" s="39"/>
      <c r="J2774" s="47" t="str">
        <f>IF(tblMovimientos[[#This Row],[Tipo]]="","",IFERROR(INDEX(tblTiposMov[FactorStock],MATCH(tblMovimientos[[#This Row],[Tipo]],tblTiposMov[Tipo],0)),0))</f>
        <v/>
      </c>
      <c r="K27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4" s="37"/>
      <c r="O2774" s="37"/>
      <c r="P2774" s="37"/>
    </row>
    <row r="2775" spans="2:16" x14ac:dyDescent="0.25">
      <c r="B27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5" s="46"/>
      <c r="D2775" s="37"/>
      <c r="E2775" s="37"/>
      <c r="F2775" s="37"/>
      <c r="G2775" s="40" t="str">
        <f>IF(tblMovimientos[[#This Row],[Producto]]="","",TRIM(LEFT(tblMovimientos[[#This Row],[Producto]],FIND(" · ",tblMovimientos[[#This Row],[Producto]]&amp;" · ")-1)))</f>
        <v/>
      </c>
      <c r="H2775" s="40" t="str">
        <f>IF(tblMovimientos[[#This Row],[SKU]]="","",IFERROR(INDEX(tblProductos[Unidad],MATCH(tblMovimientos[[#This Row],[SKU]],tblProductos[SKU],0)),"?"))</f>
        <v/>
      </c>
      <c r="I2775" s="39"/>
      <c r="J2775" s="47" t="str">
        <f>IF(tblMovimientos[[#This Row],[Tipo]]="","",IFERROR(INDEX(tblTiposMov[FactorStock],MATCH(tblMovimientos[[#This Row],[Tipo]],tblTiposMov[Tipo],0)),0))</f>
        <v/>
      </c>
      <c r="K27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5" s="37"/>
      <c r="O2775" s="37"/>
      <c r="P2775" s="37"/>
    </row>
    <row r="2776" spans="2:16" x14ac:dyDescent="0.25">
      <c r="B27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6" s="46"/>
      <c r="D2776" s="37"/>
      <c r="E2776" s="37"/>
      <c r="F2776" s="37"/>
      <c r="G2776" s="40" t="str">
        <f>IF(tblMovimientos[[#This Row],[Producto]]="","",TRIM(LEFT(tblMovimientos[[#This Row],[Producto]],FIND(" · ",tblMovimientos[[#This Row],[Producto]]&amp;" · ")-1)))</f>
        <v/>
      </c>
      <c r="H2776" s="40" t="str">
        <f>IF(tblMovimientos[[#This Row],[SKU]]="","",IFERROR(INDEX(tblProductos[Unidad],MATCH(tblMovimientos[[#This Row],[SKU]],tblProductos[SKU],0)),"?"))</f>
        <v/>
      </c>
      <c r="I2776" s="39"/>
      <c r="J2776" s="47" t="str">
        <f>IF(tblMovimientos[[#This Row],[Tipo]]="","",IFERROR(INDEX(tblTiposMov[FactorStock],MATCH(tblMovimientos[[#This Row],[Tipo]],tblTiposMov[Tipo],0)),0))</f>
        <v/>
      </c>
      <c r="K27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6" s="37"/>
      <c r="O2776" s="37"/>
      <c r="P2776" s="37"/>
    </row>
    <row r="2777" spans="2:16" x14ac:dyDescent="0.25">
      <c r="B27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7" s="46"/>
      <c r="D2777" s="37"/>
      <c r="E2777" s="37"/>
      <c r="F2777" s="37"/>
      <c r="G2777" s="40" t="str">
        <f>IF(tblMovimientos[[#This Row],[Producto]]="","",TRIM(LEFT(tblMovimientos[[#This Row],[Producto]],FIND(" · ",tblMovimientos[[#This Row],[Producto]]&amp;" · ")-1)))</f>
        <v/>
      </c>
      <c r="H2777" s="40" t="str">
        <f>IF(tblMovimientos[[#This Row],[SKU]]="","",IFERROR(INDEX(tblProductos[Unidad],MATCH(tblMovimientos[[#This Row],[SKU]],tblProductos[SKU],0)),"?"))</f>
        <v/>
      </c>
      <c r="I2777" s="39"/>
      <c r="J2777" s="47" t="str">
        <f>IF(tblMovimientos[[#This Row],[Tipo]]="","",IFERROR(INDEX(tblTiposMov[FactorStock],MATCH(tblMovimientos[[#This Row],[Tipo]],tblTiposMov[Tipo],0)),0))</f>
        <v/>
      </c>
      <c r="K27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7" s="37"/>
      <c r="O2777" s="37"/>
      <c r="P2777" s="37"/>
    </row>
    <row r="2778" spans="2:16" x14ac:dyDescent="0.25">
      <c r="B27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8" s="46"/>
      <c r="D2778" s="37"/>
      <c r="E2778" s="37"/>
      <c r="F2778" s="37"/>
      <c r="G2778" s="40" t="str">
        <f>IF(tblMovimientos[[#This Row],[Producto]]="","",TRIM(LEFT(tblMovimientos[[#This Row],[Producto]],FIND(" · ",tblMovimientos[[#This Row],[Producto]]&amp;" · ")-1)))</f>
        <v/>
      </c>
      <c r="H2778" s="40" t="str">
        <f>IF(tblMovimientos[[#This Row],[SKU]]="","",IFERROR(INDEX(tblProductos[Unidad],MATCH(tblMovimientos[[#This Row],[SKU]],tblProductos[SKU],0)),"?"))</f>
        <v/>
      </c>
      <c r="I2778" s="39"/>
      <c r="J2778" s="47" t="str">
        <f>IF(tblMovimientos[[#This Row],[Tipo]]="","",IFERROR(INDEX(tblTiposMov[FactorStock],MATCH(tblMovimientos[[#This Row],[Tipo]],tblTiposMov[Tipo],0)),0))</f>
        <v/>
      </c>
      <c r="K27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8" s="37"/>
      <c r="O2778" s="37"/>
      <c r="P2778" s="37"/>
    </row>
    <row r="2779" spans="2:16" x14ac:dyDescent="0.25">
      <c r="B27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79" s="46"/>
      <c r="D2779" s="37"/>
      <c r="E2779" s="37"/>
      <c r="F2779" s="37"/>
      <c r="G2779" s="40" t="str">
        <f>IF(tblMovimientos[[#This Row],[Producto]]="","",TRIM(LEFT(tblMovimientos[[#This Row],[Producto]],FIND(" · ",tblMovimientos[[#This Row],[Producto]]&amp;" · ")-1)))</f>
        <v/>
      </c>
      <c r="H2779" s="40" t="str">
        <f>IF(tblMovimientos[[#This Row],[SKU]]="","",IFERROR(INDEX(tblProductos[Unidad],MATCH(tblMovimientos[[#This Row],[SKU]],tblProductos[SKU],0)),"?"))</f>
        <v/>
      </c>
      <c r="I2779" s="39"/>
      <c r="J2779" s="47" t="str">
        <f>IF(tblMovimientos[[#This Row],[Tipo]]="","",IFERROR(INDEX(tblTiposMov[FactorStock],MATCH(tblMovimientos[[#This Row],[Tipo]],tblTiposMov[Tipo],0)),0))</f>
        <v/>
      </c>
      <c r="K27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79" s="37"/>
      <c r="O2779" s="37"/>
      <c r="P2779" s="37"/>
    </row>
    <row r="2780" spans="2:16" x14ac:dyDescent="0.25">
      <c r="B27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0" s="46"/>
      <c r="D2780" s="37"/>
      <c r="E2780" s="37"/>
      <c r="F2780" s="37"/>
      <c r="G2780" s="40" t="str">
        <f>IF(tblMovimientos[[#This Row],[Producto]]="","",TRIM(LEFT(tblMovimientos[[#This Row],[Producto]],FIND(" · ",tblMovimientos[[#This Row],[Producto]]&amp;" · ")-1)))</f>
        <v/>
      </c>
      <c r="H2780" s="40" t="str">
        <f>IF(tblMovimientos[[#This Row],[SKU]]="","",IFERROR(INDEX(tblProductos[Unidad],MATCH(tblMovimientos[[#This Row],[SKU]],tblProductos[SKU],0)),"?"))</f>
        <v/>
      </c>
      <c r="I2780" s="39"/>
      <c r="J2780" s="47" t="str">
        <f>IF(tblMovimientos[[#This Row],[Tipo]]="","",IFERROR(INDEX(tblTiposMov[FactorStock],MATCH(tblMovimientos[[#This Row],[Tipo]],tblTiposMov[Tipo],0)),0))</f>
        <v/>
      </c>
      <c r="K27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0" s="37"/>
      <c r="O2780" s="37"/>
      <c r="P2780" s="37"/>
    </row>
    <row r="2781" spans="2:16" x14ac:dyDescent="0.25">
      <c r="B27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1" s="46"/>
      <c r="D2781" s="37"/>
      <c r="E2781" s="37"/>
      <c r="F2781" s="37"/>
      <c r="G2781" s="40" t="str">
        <f>IF(tblMovimientos[[#This Row],[Producto]]="","",TRIM(LEFT(tblMovimientos[[#This Row],[Producto]],FIND(" · ",tblMovimientos[[#This Row],[Producto]]&amp;" · ")-1)))</f>
        <v/>
      </c>
      <c r="H2781" s="40" t="str">
        <f>IF(tblMovimientos[[#This Row],[SKU]]="","",IFERROR(INDEX(tblProductos[Unidad],MATCH(tblMovimientos[[#This Row],[SKU]],tblProductos[SKU],0)),"?"))</f>
        <v/>
      </c>
      <c r="I2781" s="39"/>
      <c r="J2781" s="47" t="str">
        <f>IF(tblMovimientos[[#This Row],[Tipo]]="","",IFERROR(INDEX(tblTiposMov[FactorStock],MATCH(tblMovimientos[[#This Row],[Tipo]],tblTiposMov[Tipo],0)),0))</f>
        <v/>
      </c>
      <c r="K27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1" s="37"/>
      <c r="O2781" s="37"/>
      <c r="P2781" s="37"/>
    </row>
    <row r="2782" spans="2:16" x14ac:dyDescent="0.25">
      <c r="B27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2" s="46"/>
      <c r="D2782" s="37"/>
      <c r="E2782" s="37"/>
      <c r="F2782" s="37"/>
      <c r="G2782" s="40" t="str">
        <f>IF(tblMovimientos[[#This Row],[Producto]]="","",TRIM(LEFT(tblMovimientos[[#This Row],[Producto]],FIND(" · ",tblMovimientos[[#This Row],[Producto]]&amp;" · ")-1)))</f>
        <v/>
      </c>
      <c r="H2782" s="40" t="str">
        <f>IF(tblMovimientos[[#This Row],[SKU]]="","",IFERROR(INDEX(tblProductos[Unidad],MATCH(tblMovimientos[[#This Row],[SKU]],tblProductos[SKU],0)),"?"))</f>
        <v/>
      </c>
      <c r="I2782" s="39"/>
      <c r="J2782" s="47" t="str">
        <f>IF(tblMovimientos[[#This Row],[Tipo]]="","",IFERROR(INDEX(tblTiposMov[FactorStock],MATCH(tblMovimientos[[#This Row],[Tipo]],tblTiposMov[Tipo],0)),0))</f>
        <v/>
      </c>
      <c r="K27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2" s="37"/>
      <c r="O2782" s="37"/>
      <c r="P2782" s="37"/>
    </row>
    <row r="2783" spans="2:16" x14ac:dyDescent="0.25">
      <c r="B27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3" s="46"/>
      <c r="D2783" s="37"/>
      <c r="E2783" s="37"/>
      <c r="F2783" s="37"/>
      <c r="G2783" s="40" t="str">
        <f>IF(tblMovimientos[[#This Row],[Producto]]="","",TRIM(LEFT(tblMovimientos[[#This Row],[Producto]],FIND(" · ",tblMovimientos[[#This Row],[Producto]]&amp;" · ")-1)))</f>
        <v/>
      </c>
      <c r="H2783" s="40" t="str">
        <f>IF(tblMovimientos[[#This Row],[SKU]]="","",IFERROR(INDEX(tblProductos[Unidad],MATCH(tblMovimientos[[#This Row],[SKU]],tblProductos[SKU],0)),"?"))</f>
        <v/>
      </c>
      <c r="I2783" s="39"/>
      <c r="J2783" s="47" t="str">
        <f>IF(tblMovimientos[[#This Row],[Tipo]]="","",IFERROR(INDEX(tblTiposMov[FactorStock],MATCH(tblMovimientos[[#This Row],[Tipo]],tblTiposMov[Tipo],0)),0))</f>
        <v/>
      </c>
      <c r="K27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3" s="37"/>
      <c r="O2783" s="37"/>
      <c r="P2783" s="37"/>
    </row>
    <row r="2784" spans="2:16" x14ac:dyDescent="0.25">
      <c r="B27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4" s="46"/>
      <c r="D2784" s="37"/>
      <c r="E2784" s="37"/>
      <c r="F2784" s="37"/>
      <c r="G2784" s="40" t="str">
        <f>IF(tblMovimientos[[#This Row],[Producto]]="","",TRIM(LEFT(tblMovimientos[[#This Row],[Producto]],FIND(" · ",tblMovimientos[[#This Row],[Producto]]&amp;" · ")-1)))</f>
        <v/>
      </c>
      <c r="H2784" s="40" t="str">
        <f>IF(tblMovimientos[[#This Row],[SKU]]="","",IFERROR(INDEX(tblProductos[Unidad],MATCH(tblMovimientos[[#This Row],[SKU]],tblProductos[SKU],0)),"?"))</f>
        <v/>
      </c>
      <c r="I2784" s="39"/>
      <c r="J2784" s="47" t="str">
        <f>IF(tblMovimientos[[#This Row],[Tipo]]="","",IFERROR(INDEX(tblTiposMov[FactorStock],MATCH(tblMovimientos[[#This Row],[Tipo]],tblTiposMov[Tipo],0)),0))</f>
        <v/>
      </c>
      <c r="K27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4" s="37"/>
      <c r="O2784" s="37"/>
      <c r="P2784" s="37"/>
    </row>
    <row r="2785" spans="2:16" x14ac:dyDescent="0.25">
      <c r="B27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5" s="46"/>
      <c r="D2785" s="37"/>
      <c r="E2785" s="37"/>
      <c r="F2785" s="37"/>
      <c r="G2785" s="40" t="str">
        <f>IF(tblMovimientos[[#This Row],[Producto]]="","",TRIM(LEFT(tblMovimientos[[#This Row],[Producto]],FIND(" · ",tblMovimientos[[#This Row],[Producto]]&amp;" · ")-1)))</f>
        <v/>
      </c>
      <c r="H2785" s="40" t="str">
        <f>IF(tblMovimientos[[#This Row],[SKU]]="","",IFERROR(INDEX(tblProductos[Unidad],MATCH(tblMovimientos[[#This Row],[SKU]],tblProductos[SKU],0)),"?"))</f>
        <v/>
      </c>
      <c r="I2785" s="39"/>
      <c r="J2785" s="47" t="str">
        <f>IF(tblMovimientos[[#This Row],[Tipo]]="","",IFERROR(INDEX(tblTiposMov[FactorStock],MATCH(tblMovimientos[[#This Row],[Tipo]],tblTiposMov[Tipo],0)),0))</f>
        <v/>
      </c>
      <c r="K27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5" s="37"/>
      <c r="O2785" s="37"/>
      <c r="P2785" s="37"/>
    </row>
    <row r="2786" spans="2:16" x14ac:dyDescent="0.25">
      <c r="B27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6" s="46"/>
      <c r="D2786" s="37"/>
      <c r="E2786" s="37"/>
      <c r="F2786" s="37"/>
      <c r="G2786" s="40" t="str">
        <f>IF(tblMovimientos[[#This Row],[Producto]]="","",TRIM(LEFT(tblMovimientos[[#This Row],[Producto]],FIND(" · ",tblMovimientos[[#This Row],[Producto]]&amp;" · ")-1)))</f>
        <v/>
      </c>
      <c r="H2786" s="40" t="str">
        <f>IF(tblMovimientos[[#This Row],[SKU]]="","",IFERROR(INDEX(tblProductos[Unidad],MATCH(tblMovimientos[[#This Row],[SKU]],tblProductos[SKU],0)),"?"))</f>
        <v/>
      </c>
      <c r="I2786" s="39"/>
      <c r="J2786" s="47" t="str">
        <f>IF(tblMovimientos[[#This Row],[Tipo]]="","",IFERROR(INDEX(tblTiposMov[FactorStock],MATCH(tblMovimientos[[#This Row],[Tipo]],tblTiposMov[Tipo],0)),0))</f>
        <v/>
      </c>
      <c r="K27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6" s="37"/>
      <c r="O2786" s="37"/>
      <c r="P2786" s="37"/>
    </row>
    <row r="2787" spans="2:16" x14ac:dyDescent="0.25">
      <c r="B27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7" s="46"/>
      <c r="D2787" s="37"/>
      <c r="E2787" s="37"/>
      <c r="F2787" s="37"/>
      <c r="G2787" s="40" t="str">
        <f>IF(tblMovimientos[[#This Row],[Producto]]="","",TRIM(LEFT(tblMovimientos[[#This Row],[Producto]],FIND(" · ",tblMovimientos[[#This Row],[Producto]]&amp;" · ")-1)))</f>
        <v/>
      </c>
      <c r="H2787" s="40" t="str">
        <f>IF(tblMovimientos[[#This Row],[SKU]]="","",IFERROR(INDEX(tblProductos[Unidad],MATCH(tblMovimientos[[#This Row],[SKU]],tblProductos[SKU],0)),"?"))</f>
        <v/>
      </c>
      <c r="I2787" s="39"/>
      <c r="J2787" s="47" t="str">
        <f>IF(tblMovimientos[[#This Row],[Tipo]]="","",IFERROR(INDEX(tblTiposMov[FactorStock],MATCH(tblMovimientos[[#This Row],[Tipo]],tblTiposMov[Tipo],0)),0))</f>
        <v/>
      </c>
      <c r="K27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7" s="37"/>
      <c r="O2787" s="37"/>
      <c r="P2787" s="37"/>
    </row>
    <row r="2788" spans="2:16" x14ac:dyDescent="0.25">
      <c r="B27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8" s="46"/>
      <c r="D2788" s="37"/>
      <c r="E2788" s="37"/>
      <c r="F2788" s="37"/>
      <c r="G2788" s="40" t="str">
        <f>IF(tblMovimientos[[#This Row],[Producto]]="","",TRIM(LEFT(tblMovimientos[[#This Row],[Producto]],FIND(" · ",tblMovimientos[[#This Row],[Producto]]&amp;" · ")-1)))</f>
        <v/>
      </c>
      <c r="H2788" s="40" t="str">
        <f>IF(tblMovimientos[[#This Row],[SKU]]="","",IFERROR(INDEX(tblProductos[Unidad],MATCH(tblMovimientos[[#This Row],[SKU]],tblProductos[SKU],0)),"?"))</f>
        <v/>
      </c>
      <c r="I2788" s="39"/>
      <c r="J2788" s="47" t="str">
        <f>IF(tblMovimientos[[#This Row],[Tipo]]="","",IFERROR(INDEX(tblTiposMov[FactorStock],MATCH(tblMovimientos[[#This Row],[Tipo]],tblTiposMov[Tipo],0)),0))</f>
        <v/>
      </c>
      <c r="K27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8" s="37"/>
      <c r="O2788" s="37"/>
      <c r="P2788" s="37"/>
    </row>
    <row r="2789" spans="2:16" x14ac:dyDescent="0.25">
      <c r="B27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89" s="46"/>
      <c r="D2789" s="37"/>
      <c r="E2789" s="37"/>
      <c r="F2789" s="37"/>
      <c r="G2789" s="40" t="str">
        <f>IF(tblMovimientos[[#This Row],[Producto]]="","",TRIM(LEFT(tblMovimientos[[#This Row],[Producto]],FIND(" · ",tblMovimientos[[#This Row],[Producto]]&amp;" · ")-1)))</f>
        <v/>
      </c>
      <c r="H2789" s="40" t="str">
        <f>IF(tblMovimientos[[#This Row],[SKU]]="","",IFERROR(INDEX(tblProductos[Unidad],MATCH(tblMovimientos[[#This Row],[SKU]],tblProductos[SKU],0)),"?"))</f>
        <v/>
      </c>
      <c r="I2789" s="39"/>
      <c r="J2789" s="47" t="str">
        <f>IF(tblMovimientos[[#This Row],[Tipo]]="","",IFERROR(INDEX(tblTiposMov[FactorStock],MATCH(tblMovimientos[[#This Row],[Tipo]],tblTiposMov[Tipo],0)),0))</f>
        <v/>
      </c>
      <c r="K27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89" s="37"/>
      <c r="O2789" s="37"/>
      <c r="P2789" s="37"/>
    </row>
    <row r="2790" spans="2:16" x14ac:dyDescent="0.25">
      <c r="B27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0" s="46"/>
      <c r="D2790" s="37"/>
      <c r="E2790" s="37"/>
      <c r="F2790" s="37"/>
      <c r="G2790" s="40" t="str">
        <f>IF(tblMovimientos[[#This Row],[Producto]]="","",TRIM(LEFT(tblMovimientos[[#This Row],[Producto]],FIND(" · ",tblMovimientos[[#This Row],[Producto]]&amp;" · ")-1)))</f>
        <v/>
      </c>
      <c r="H2790" s="40" t="str">
        <f>IF(tblMovimientos[[#This Row],[SKU]]="","",IFERROR(INDEX(tblProductos[Unidad],MATCH(tblMovimientos[[#This Row],[SKU]],tblProductos[SKU],0)),"?"))</f>
        <v/>
      </c>
      <c r="I2790" s="39"/>
      <c r="J2790" s="47" t="str">
        <f>IF(tblMovimientos[[#This Row],[Tipo]]="","",IFERROR(INDEX(tblTiposMov[FactorStock],MATCH(tblMovimientos[[#This Row],[Tipo]],tblTiposMov[Tipo],0)),0))</f>
        <v/>
      </c>
      <c r="K27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0" s="37"/>
      <c r="O2790" s="37"/>
      <c r="P2790" s="37"/>
    </row>
    <row r="2791" spans="2:16" x14ac:dyDescent="0.25">
      <c r="B27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1" s="46"/>
      <c r="D2791" s="37"/>
      <c r="E2791" s="37"/>
      <c r="F2791" s="37"/>
      <c r="G2791" s="40" t="str">
        <f>IF(tblMovimientos[[#This Row],[Producto]]="","",TRIM(LEFT(tblMovimientos[[#This Row],[Producto]],FIND(" · ",tblMovimientos[[#This Row],[Producto]]&amp;" · ")-1)))</f>
        <v/>
      </c>
      <c r="H2791" s="40" t="str">
        <f>IF(tblMovimientos[[#This Row],[SKU]]="","",IFERROR(INDEX(tblProductos[Unidad],MATCH(tblMovimientos[[#This Row],[SKU]],tblProductos[SKU],0)),"?"))</f>
        <v/>
      </c>
      <c r="I2791" s="39"/>
      <c r="J2791" s="47" t="str">
        <f>IF(tblMovimientos[[#This Row],[Tipo]]="","",IFERROR(INDEX(tblTiposMov[FactorStock],MATCH(tblMovimientos[[#This Row],[Tipo]],tblTiposMov[Tipo],0)),0))</f>
        <v/>
      </c>
      <c r="K27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1" s="37"/>
      <c r="O2791" s="37"/>
      <c r="P2791" s="37"/>
    </row>
    <row r="2792" spans="2:16" x14ac:dyDescent="0.25">
      <c r="B27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2" s="46"/>
      <c r="D2792" s="37"/>
      <c r="E2792" s="37"/>
      <c r="F2792" s="37"/>
      <c r="G2792" s="40" t="str">
        <f>IF(tblMovimientos[[#This Row],[Producto]]="","",TRIM(LEFT(tblMovimientos[[#This Row],[Producto]],FIND(" · ",tblMovimientos[[#This Row],[Producto]]&amp;" · ")-1)))</f>
        <v/>
      </c>
      <c r="H2792" s="40" t="str">
        <f>IF(tblMovimientos[[#This Row],[SKU]]="","",IFERROR(INDEX(tblProductos[Unidad],MATCH(tblMovimientos[[#This Row],[SKU]],tblProductos[SKU],0)),"?"))</f>
        <v/>
      </c>
      <c r="I2792" s="39"/>
      <c r="J2792" s="47" t="str">
        <f>IF(tblMovimientos[[#This Row],[Tipo]]="","",IFERROR(INDEX(tblTiposMov[FactorStock],MATCH(tblMovimientos[[#This Row],[Tipo]],tblTiposMov[Tipo],0)),0))</f>
        <v/>
      </c>
      <c r="K27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2" s="37"/>
      <c r="O2792" s="37"/>
      <c r="P2792" s="37"/>
    </row>
    <row r="2793" spans="2:16" x14ac:dyDescent="0.25">
      <c r="B27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3" s="46"/>
      <c r="D2793" s="37"/>
      <c r="E2793" s="37"/>
      <c r="F2793" s="37"/>
      <c r="G2793" s="40" t="str">
        <f>IF(tblMovimientos[[#This Row],[Producto]]="","",TRIM(LEFT(tblMovimientos[[#This Row],[Producto]],FIND(" · ",tblMovimientos[[#This Row],[Producto]]&amp;" · ")-1)))</f>
        <v/>
      </c>
      <c r="H2793" s="40" t="str">
        <f>IF(tblMovimientos[[#This Row],[SKU]]="","",IFERROR(INDEX(tblProductos[Unidad],MATCH(tblMovimientos[[#This Row],[SKU]],tblProductos[SKU],0)),"?"))</f>
        <v/>
      </c>
      <c r="I2793" s="39"/>
      <c r="J2793" s="47" t="str">
        <f>IF(tblMovimientos[[#This Row],[Tipo]]="","",IFERROR(INDEX(tblTiposMov[FactorStock],MATCH(tblMovimientos[[#This Row],[Tipo]],tblTiposMov[Tipo],0)),0))</f>
        <v/>
      </c>
      <c r="K27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3" s="37"/>
      <c r="O2793" s="37"/>
      <c r="P2793" s="37"/>
    </row>
    <row r="2794" spans="2:16" x14ac:dyDescent="0.25">
      <c r="B27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4" s="46"/>
      <c r="D2794" s="37"/>
      <c r="E2794" s="37"/>
      <c r="F2794" s="37"/>
      <c r="G2794" s="40" t="str">
        <f>IF(tblMovimientos[[#This Row],[Producto]]="","",TRIM(LEFT(tblMovimientos[[#This Row],[Producto]],FIND(" · ",tblMovimientos[[#This Row],[Producto]]&amp;" · ")-1)))</f>
        <v/>
      </c>
      <c r="H2794" s="40" t="str">
        <f>IF(tblMovimientos[[#This Row],[SKU]]="","",IFERROR(INDEX(tblProductos[Unidad],MATCH(tblMovimientos[[#This Row],[SKU]],tblProductos[SKU],0)),"?"))</f>
        <v/>
      </c>
      <c r="I2794" s="39"/>
      <c r="J2794" s="47" t="str">
        <f>IF(tblMovimientos[[#This Row],[Tipo]]="","",IFERROR(INDEX(tblTiposMov[FactorStock],MATCH(tblMovimientos[[#This Row],[Tipo]],tblTiposMov[Tipo],0)),0))</f>
        <v/>
      </c>
      <c r="K27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4" s="37"/>
      <c r="O2794" s="37"/>
      <c r="P2794" s="37"/>
    </row>
    <row r="2795" spans="2:16" x14ac:dyDescent="0.25">
      <c r="B27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5" s="46"/>
      <c r="D2795" s="37"/>
      <c r="E2795" s="37"/>
      <c r="F2795" s="37"/>
      <c r="G2795" s="40" t="str">
        <f>IF(tblMovimientos[[#This Row],[Producto]]="","",TRIM(LEFT(tblMovimientos[[#This Row],[Producto]],FIND(" · ",tblMovimientos[[#This Row],[Producto]]&amp;" · ")-1)))</f>
        <v/>
      </c>
      <c r="H2795" s="40" t="str">
        <f>IF(tblMovimientos[[#This Row],[SKU]]="","",IFERROR(INDEX(tblProductos[Unidad],MATCH(tblMovimientos[[#This Row],[SKU]],tblProductos[SKU],0)),"?"))</f>
        <v/>
      </c>
      <c r="I2795" s="39"/>
      <c r="J2795" s="47" t="str">
        <f>IF(tblMovimientos[[#This Row],[Tipo]]="","",IFERROR(INDEX(tblTiposMov[FactorStock],MATCH(tblMovimientos[[#This Row],[Tipo]],tblTiposMov[Tipo],0)),0))</f>
        <v/>
      </c>
      <c r="K27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5" s="37"/>
      <c r="O2795" s="37"/>
      <c r="P2795" s="37"/>
    </row>
    <row r="2796" spans="2:16" x14ac:dyDescent="0.25">
      <c r="B27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6" s="46"/>
      <c r="D2796" s="37"/>
      <c r="E2796" s="37"/>
      <c r="F2796" s="37"/>
      <c r="G2796" s="40" t="str">
        <f>IF(tblMovimientos[[#This Row],[Producto]]="","",TRIM(LEFT(tblMovimientos[[#This Row],[Producto]],FIND(" · ",tblMovimientos[[#This Row],[Producto]]&amp;" · ")-1)))</f>
        <v/>
      </c>
      <c r="H2796" s="40" t="str">
        <f>IF(tblMovimientos[[#This Row],[SKU]]="","",IFERROR(INDEX(tblProductos[Unidad],MATCH(tblMovimientos[[#This Row],[SKU]],tblProductos[SKU],0)),"?"))</f>
        <v/>
      </c>
      <c r="I2796" s="39"/>
      <c r="J2796" s="47" t="str">
        <f>IF(tblMovimientos[[#This Row],[Tipo]]="","",IFERROR(INDEX(tblTiposMov[FactorStock],MATCH(tblMovimientos[[#This Row],[Tipo]],tblTiposMov[Tipo],0)),0))</f>
        <v/>
      </c>
      <c r="K27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6" s="37"/>
      <c r="O2796" s="37"/>
      <c r="P2796" s="37"/>
    </row>
    <row r="2797" spans="2:16" x14ac:dyDescent="0.25">
      <c r="B27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7" s="46"/>
      <c r="D2797" s="37"/>
      <c r="E2797" s="37"/>
      <c r="F2797" s="37"/>
      <c r="G2797" s="40" t="str">
        <f>IF(tblMovimientos[[#This Row],[Producto]]="","",TRIM(LEFT(tblMovimientos[[#This Row],[Producto]],FIND(" · ",tblMovimientos[[#This Row],[Producto]]&amp;" · ")-1)))</f>
        <v/>
      </c>
      <c r="H2797" s="40" t="str">
        <f>IF(tblMovimientos[[#This Row],[SKU]]="","",IFERROR(INDEX(tblProductos[Unidad],MATCH(tblMovimientos[[#This Row],[SKU]],tblProductos[SKU],0)),"?"))</f>
        <v/>
      </c>
      <c r="I2797" s="39"/>
      <c r="J2797" s="47" t="str">
        <f>IF(tblMovimientos[[#This Row],[Tipo]]="","",IFERROR(INDEX(tblTiposMov[FactorStock],MATCH(tblMovimientos[[#This Row],[Tipo]],tblTiposMov[Tipo],0)),0))</f>
        <v/>
      </c>
      <c r="K27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7" s="37"/>
      <c r="O2797" s="37"/>
      <c r="P2797" s="37"/>
    </row>
    <row r="2798" spans="2:16" x14ac:dyDescent="0.25">
      <c r="B27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8" s="46"/>
      <c r="D2798" s="37"/>
      <c r="E2798" s="37"/>
      <c r="F2798" s="37"/>
      <c r="G2798" s="40" t="str">
        <f>IF(tblMovimientos[[#This Row],[Producto]]="","",TRIM(LEFT(tblMovimientos[[#This Row],[Producto]],FIND(" · ",tblMovimientos[[#This Row],[Producto]]&amp;" · ")-1)))</f>
        <v/>
      </c>
      <c r="H2798" s="40" t="str">
        <f>IF(tblMovimientos[[#This Row],[SKU]]="","",IFERROR(INDEX(tblProductos[Unidad],MATCH(tblMovimientos[[#This Row],[SKU]],tblProductos[SKU],0)),"?"))</f>
        <v/>
      </c>
      <c r="I2798" s="39"/>
      <c r="J2798" s="47" t="str">
        <f>IF(tblMovimientos[[#This Row],[Tipo]]="","",IFERROR(INDEX(tblTiposMov[FactorStock],MATCH(tblMovimientos[[#This Row],[Tipo]],tblTiposMov[Tipo],0)),0))</f>
        <v/>
      </c>
      <c r="K27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8" s="37"/>
      <c r="O2798" s="37"/>
      <c r="P2798" s="37"/>
    </row>
    <row r="2799" spans="2:16" x14ac:dyDescent="0.25">
      <c r="B27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799" s="46"/>
      <c r="D2799" s="37"/>
      <c r="E2799" s="37"/>
      <c r="F2799" s="37"/>
      <c r="G2799" s="40" t="str">
        <f>IF(tblMovimientos[[#This Row],[Producto]]="","",TRIM(LEFT(tblMovimientos[[#This Row],[Producto]],FIND(" · ",tblMovimientos[[#This Row],[Producto]]&amp;" · ")-1)))</f>
        <v/>
      </c>
      <c r="H2799" s="40" t="str">
        <f>IF(tblMovimientos[[#This Row],[SKU]]="","",IFERROR(INDEX(tblProductos[Unidad],MATCH(tblMovimientos[[#This Row],[SKU]],tblProductos[SKU],0)),"?"))</f>
        <v/>
      </c>
      <c r="I2799" s="39"/>
      <c r="J2799" s="47" t="str">
        <f>IF(tblMovimientos[[#This Row],[Tipo]]="","",IFERROR(INDEX(tblTiposMov[FactorStock],MATCH(tblMovimientos[[#This Row],[Tipo]],tblTiposMov[Tipo],0)),0))</f>
        <v/>
      </c>
      <c r="K27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7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799" s="37"/>
      <c r="O2799" s="37"/>
      <c r="P2799" s="37"/>
    </row>
    <row r="2800" spans="2:16" x14ac:dyDescent="0.25">
      <c r="B28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0" s="46"/>
      <c r="D2800" s="37"/>
      <c r="E2800" s="37"/>
      <c r="F2800" s="37"/>
      <c r="G2800" s="40" t="str">
        <f>IF(tblMovimientos[[#This Row],[Producto]]="","",TRIM(LEFT(tblMovimientos[[#This Row],[Producto]],FIND(" · ",tblMovimientos[[#This Row],[Producto]]&amp;" · ")-1)))</f>
        <v/>
      </c>
      <c r="H2800" s="40" t="str">
        <f>IF(tblMovimientos[[#This Row],[SKU]]="","",IFERROR(INDEX(tblProductos[Unidad],MATCH(tblMovimientos[[#This Row],[SKU]],tblProductos[SKU],0)),"?"))</f>
        <v/>
      </c>
      <c r="I2800" s="39"/>
      <c r="J2800" s="47" t="str">
        <f>IF(tblMovimientos[[#This Row],[Tipo]]="","",IFERROR(INDEX(tblTiposMov[FactorStock],MATCH(tblMovimientos[[#This Row],[Tipo]],tblTiposMov[Tipo],0)),0))</f>
        <v/>
      </c>
      <c r="K28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0" s="37"/>
      <c r="O2800" s="37"/>
      <c r="P2800" s="37"/>
    </row>
    <row r="2801" spans="2:16" x14ac:dyDescent="0.25">
      <c r="B28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1" s="46"/>
      <c r="D2801" s="37"/>
      <c r="E2801" s="37"/>
      <c r="F2801" s="37"/>
      <c r="G2801" s="40" t="str">
        <f>IF(tblMovimientos[[#This Row],[Producto]]="","",TRIM(LEFT(tblMovimientos[[#This Row],[Producto]],FIND(" · ",tblMovimientos[[#This Row],[Producto]]&amp;" · ")-1)))</f>
        <v/>
      </c>
      <c r="H2801" s="40" t="str">
        <f>IF(tblMovimientos[[#This Row],[SKU]]="","",IFERROR(INDEX(tblProductos[Unidad],MATCH(tblMovimientos[[#This Row],[SKU]],tblProductos[SKU],0)),"?"))</f>
        <v/>
      </c>
      <c r="I2801" s="39"/>
      <c r="J2801" s="47" t="str">
        <f>IF(tblMovimientos[[#This Row],[Tipo]]="","",IFERROR(INDEX(tblTiposMov[FactorStock],MATCH(tblMovimientos[[#This Row],[Tipo]],tblTiposMov[Tipo],0)),0))</f>
        <v/>
      </c>
      <c r="K28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1" s="37"/>
      <c r="O2801" s="37"/>
      <c r="P2801" s="37"/>
    </row>
    <row r="2802" spans="2:16" x14ac:dyDescent="0.25">
      <c r="B28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2" s="46"/>
      <c r="D2802" s="37"/>
      <c r="E2802" s="37"/>
      <c r="F2802" s="37"/>
      <c r="G2802" s="40" t="str">
        <f>IF(tblMovimientos[[#This Row],[Producto]]="","",TRIM(LEFT(tblMovimientos[[#This Row],[Producto]],FIND(" · ",tblMovimientos[[#This Row],[Producto]]&amp;" · ")-1)))</f>
        <v/>
      </c>
      <c r="H2802" s="40" t="str">
        <f>IF(tblMovimientos[[#This Row],[SKU]]="","",IFERROR(INDEX(tblProductos[Unidad],MATCH(tblMovimientos[[#This Row],[SKU]],tblProductos[SKU],0)),"?"))</f>
        <v/>
      </c>
      <c r="I2802" s="39"/>
      <c r="J2802" s="47" t="str">
        <f>IF(tblMovimientos[[#This Row],[Tipo]]="","",IFERROR(INDEX(tblTiposMov[FactorStock],MATCH(tblMovimientos[[#This Row],[Tipo]],tblTiposMov[Tipo],0)),0))</f>
        <v/>
      </c>
      <c r="K28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2" s="37"/>
      <c r="O2802" s="37"/>
      <c r="P2802" s="37"/>
    </row>
    <row r="2803" spans="2:16" x14ac:dyDescent="0.25">
      <c r="B28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3" s="46"/>
      <c r="D2803" s="37"/>
      <c r="E2803" s="37"/>
      <c r="F2803" s="37"/>
      <c r="G2803" s="40" t="str">
        <f>IF(tblMovimientos[[#This Row],[Producto]]="","",TRIM(LEFT(tblMovimientos[[#This Row],[Producto]],FIND(" · ",tblMovimientos[[#This Row],[Producto]]&amp;" · ")-1)))</f>
        <v/>
      </c>
      <c r="H2803" s="40" t="str">
        <f>IF(tblMovimientos[[#This Row],[SKU]]="","",IFERROR(INDEX(tblProductos[Unidad],MATCH(tblMovimientos[[#This Row],[SKU]],tblProductos[SKU],0)),"?"))</f>
        <v/>
      </c>
      <c r="I2803" s="39"/>
      <c r="J2803" s="47" t="str">
        <f>IF(tblMovimientos[[#This Row],[Tipo]]="","",IFERROR(INDEX(tblTiposMov[FactorStock],MATCH(tblMovimientos[[#This Row],[Tipo]],tblTiposMov[Tipo],0)),0))</f>
        <v/>
      </c>
      <c r="K28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3" s="37"/>
      <c r="O2803" s="37"/>
      <c r="P2803" s="37"/>
    </row>
    <row r="2804" spans="2:16" x14ac:dyDescent="0.25">
      <c r="B28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4" s="46"/>
      <c r="D2804" s="37"/>
      <c r="E2804" s="37"/>
      <c r="F2804" s="37"/>
      <c r="G2804" s="40" t="str">
        <f>IF(tblMovimientos[[#This Row],[Producto]]="","",TRIM(LEFT(tblMovimientos[[#This Row],[Producto]],FIND(" · ",tblMovimientos[[#This Row],[Producto]]&amp;" · ")-1)))</f>
        <v/>
      </c>
      <c r="H2804" s="40" t="str">
        <f>IF(tblMovimientos[[#This Row],[SKU]]="","",IFERROR(INDEX(tblProductos[Unidad],MATCH(tblMovimientos[[#This Row],[SKU]],tblProductos[SKU],0)),"?"))</f>
        <v/>
      </c>
      <c r="I2804" s="39"/>
      <c r="J2804" s="47" t="str">
        <f>IF(tblMovimientos[[#This Row],[Tipo]]="","",IFERROR(INDEX(tblTiposMov[FactorStock],MATCH(tblMovimientos[[#This Row],[Tipo]],tblTiposMov[Tipo],0)),0))</f>
        <v/>
      </c>
      <c r="K28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4" s="37"/>
      <c r="O2804" s="37"/>
      <c r="P2804" s="37"/>
    </row>
    <row r="2805" spans="2:16" x14ac:dyDescent="0.25">
      <c r="B28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5" s="46"/>
      <c r="D2805" s="37"/>
      <c r="E2805" s="37"/>
      <c r="F2805" s="37"/>
      <c r="G2805" s="40" t="str">
        <f>IF(tblMovimientos[[#This Row],[Producto]]="","",TRIM(LEFT(tblMovimientos[[#This Row],[Producto]],FIND(" · ",tblMovimientos[[#This Row],[Producto]]&amp;" · ")-1)))</f>
        <v/>
      </c>
      <c r="H2805" s="40" t="str">
        <f>IF(tblMovimientos[[#This Row],[SKU]]="","",IFERROR(INDEX(tblProductos[Unidad],MATCH(tblMovimientos[[#This Row],[SKU]],tblProductos[SKU],0)),"?"))</f>
        <v/>
      </c>
      <c r="I2805" s="39"/>
      <c r="J2805" s="47" t="str">
        <f>IF(tblMovimientos[[#This Row],[Tipo]]="","",IFERROR(INDEX(tblTiposMov[FactorStock],MATCH(tblMovimientos[[#This Row],[Tipo]],tblTiposMov[Tipo],0)),0))</f>
        <v/>
      </c>
      <c r="K28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5" s="37"/>
      <c r="O2805" s="37"/>
      <c r="P2805" s="37"/>
    </row>
    <row r="2806" spans="2:16" x14ac:dyDescent="0.25">
      <c r="B28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6" s="46"/>
      <c r="D2806" s="37"/>
      <c r="E2806" s="37"/>
      <c r="F2806" s="37"/>
      <c r="G2806" s="40" t="str">
        <f>IF(tblMovimientos[[#This Row],[Producto]]="","",TRIM(LEFT(tblMovimientos[[#This Row],[Producto]],FIND(" · ",tblMovimientos[[#This Row],[Producto]]&amp;" · ")-1)))</f>
        <v/>
      </c>
      <c r="H2806" s="40" t="str">
        <f>IF(tblMovimientos[[#This Row],[SKU]]="","",IFERROR(INDEX(tblProductos[Unidad],MATCH(tblMovimientos[[#This Row],[SKU]],tblProductos[SKU],0)),"?"))</f>
        <v/>
      </c>
      <c r="I2806" s="39"/>
      <c r="J2806" s="47" t="str">
        <f>IF(tblMovimientos[[#This Row],[Tipo]]="","",IFERROR(INDEX(tblTiposMov[FactorStock],MATCH(tblMovimientos[[#This Row],[Tipo]],tblTiposMov[Tipo],0)),0))</f>
        <v/>
      </c>
      <c r="K28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6" s="37"/>
      <c r="O2806" s="37"/>
      <c r="P2806" s="37"/>
    </row>
    <row r="2807" spans="2:16" x14ac:dyDescent="0.25">
      <c r="B28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7" s="46"/>
      <c r="D2807" s="37"/>
      <c r="E2807" s="37"/>
      <c r="F2807" s="37"/>
      <c r="G2807" s="40" t="str">
        <f>IF(tblMovimientos[[#This Row],[Producto]]="","",TRIM(LEFT(tblMovimientos[[#This Row],[Producto]],FIND(" · ",tblMovimientos[[#This Row],[Producto]]&amp;" · ")-1)))</f>
        <v/>
      </c>
      <c r="H2807" s="40" t="str">
        <f>IF(tblMovimientos[[#This Row],[SKU]]="","",IFERROR(INDEX(tblProductos[Unidad],MATCH(tblMovimientos[[#This Row],[SKU]],tblProductos[SKU],0)),"?"))</f>
        <v/>
      </c>
      <c r="I2807" s="39"/>
      <c r="J2807" s="47" t="str">
        <f>IF(tblMovimientos[[#This Row],[Tipo]]="","",IFERROR(INDEX(tblTiposMov[FactorStock],MATCH(tblMovimientos[[#This Row],[Tipo]],tblTiposMov[Tipo],0)),0))</f>
        <v/>
      </c>
      <c r="K28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7" s="37"/>
      <c r="O2807" s="37"/>
      <c r="P2807" s="37"/>
    </row>
    <row r="2808" spans="2:16" x14ac:dyDescent="0.25">
      <c r="B28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8" s="46"/>
      <c r="D2808" s="37"/>
      <c r="E2808" s="37"/>
      <c r="F2808" s="37"/>
      <c r="G2808" s="40" t="str">
        <f>IF(tblMovimientos[[#This Row],[Producto]]="","",TRIM(LEFT(tblMovimientos[[#This Row],[Producto]],FIND(" · ",tblMovimientos[[#This Row],[Producto]]&amp;" · ")-1)))</f>
        <v/>
      </c>
      <c r="H2808" s="40" t="str">
        <f>IF(tblMovimientos[[#This Row],[SKU]]="","",IFERROR(INDEX(tblProductos[Unidad],MATCH(tblMovimientos[[#This Row],[SKU]],tblProductos[SKU],0)),"?"))</f>
        <v/>
      </c>
      <c r="I2808" s="39"/>
      <c r="J2808" s="47" t="str">
        <f>IF(tblMovimientos[[#This Row],[Tipo]]="","",IFERROR(INDEX(tblTiposMov[FactorStock],MATCH(tblMovimientos[[#This Row],[Tipo]],tblTiposMov[Tipo],0)),0))</f>
        <v/>
      </c>
      <c r="K28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8" s="37"/>
      <c r="O2808" s="37"/>
      <c r="P2808" s="37"/>
    </row>
    <row r="2809" spans="2:16" x14ac:dyDescent="0.25">
      <c r="B28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09" s="46"/>
      <c r="D2809" s="37"/>
      <c r="E2809" s="37"/>
      <c r="F2809" s="37"/>
      <c r="G2809" s="40" t="str">
        <f>IF(tblMovimientos[[#This Row],[Producto]]="","",TRIM(LEFT(tblMovimientos[[#This Row],[Producto]],FIND(" · ",tblMovimientos[[#This Row],[Producto]]&amp;" · ")-1)))</f>
        <v/>
      </c>
      <c r="H2809" s="40" t="str">
        <f>IF(tblMovimientos[[#This Row],[SKU]]="","",IFERROR(INDEX(tblProductos[Unidad],MATCH(tblMovimientos[[#This Row],[SKU]],tblProductos[SKU],0)),"?"))</f>
        <v/>
      </c>
      <c r="I2809" s="39"/>
      <c r="J2809" s="47" t="str">
        <f>IF(tblMovimientos[[#This Row],[Tipo]]="","",IFERROR(INDEX(tblTiposMov[FactorStock],MATCH(tblMovimientos[[#This Row],[Tipo]],tblTiposMov[Tipo],0)),0))</f>
        <v/>
      </c>
      <c r="K28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09" s="37"/>
      <c r="O2809" s="37"/>
      <c r="P2809" s="37"/>
    </row>
    <row r="2810" spans="2:16" x14ac:dyDescent="0.25">
      <c r="B28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0" s="46"/>
      <c r="D2810" s="37"/>
      <c r="E2810" s="37"/>
      <c r="F2810" s="37"/>
      <c r="G2810" s="40" t="str">
        <f>IF(tblMovimientos[[#This Row],[Producto]]="","",TRIM(LEFT(tblMovimientos[[#This Row],[Producto]],FIND(" · ",tblMovimientos[[#This Row],[Producto]]&amp;" · ")-1)))</f>
        <v/>
      </c>
      <c r="H2810" s="40" t="str">
        <f>IF(tblMovimientos[[#This Row],[SKU]]="","",IFERROR(INDEX(tblProductos[Unidad],MATCH(tblMovimientos[[#This Row],[SKU]],tblProductos[SKU],0)),"?"))</f>
        <v/>
      </c>
      <c r="I2810" s="39"/>
      <c r="J2810" s="47" t="str">
        <f>IF(tblMovimientos[[#This Row],[Tipo]]="","",IFERROR(INDEX(tblTiposMov[FactorStock],MATCH(tblMovimientos[[#This Row],[Tipo]],tblTiposMov[Tipo],0)),0))</f>
        <v/>
      </c>
      <c r="K28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0" s="37"/>
      <c r="O2810" s="37"/>
      <c r="P2810" s="37"/>
    </row>
    <row r="2811" spans="2:16" x14ac:dyDescent="0.25">
      <c r="B28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1" s="46"/>
      <c r="D2811" s="37"/>
      <c r="E2811" s="37"/>
      <c r="F2811" s="37"/>
      <c r="G2811" s="40" t="str">
        <f>IF(tblMovimientos[[#This Row],[Producto]]="","",TRIM(LEFT(tblMovimientos[[#This Row],[Producto]],FIND(" · ",tblMovimientos[[#This Row],[Producto]]&amp;" · ")-1)))</f>
        <v/>
      </c>
      <c r="H2811" s="40" t="str">
        <f>IF(tblMovimientos[[#This Row],[SKU]]="","",IFERROR(INDEX(tblProductos[Unidad],MATCH(tblMovimientos[[#This Row],[SKU]],tblProductos[SKU],0)),"?"))</f>
        <v/>
      </c>
      <c r="I2811" s="39"/>
      <c r="J2811" s="47" t="str">
        <f>IF(tblMovimientos[[#This Row],[Tipo]]="","",IFERROR(INDEX(tblTiposMov[FactorStock],MATCH(tblMovimientos[[#This Row],[Tipo]],tblTiposMov[Tipo],0)),0))</f>
        <v/>
      </c>
      <c r="K28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1" s="37"/>
      <c r="O2811" s="37"/>
      <c r="P2811" s="37"/>
    </row>
    <row r="2812" spans="2:16" x14ac:dyDescent="0.25">
      <c r="B28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2" s="46"/>
      <c r="D2812" s="37"/>
      <c r="E2812" s="37"/>
      <c r="F2812" s="37"/>
      <c r="G2812" s="40" t="str">
        <f>IF(tblMovimientos[[#This Row],[Producto]]="","",TRIM(LEFT(tblMovimientos[[#This Row],[Producto]],FIND(" · ",tblMovimientos[[#This Row],[Producto]]&amp;" · ")-1)))</f>
        <v/>
      </c>
      <c r="H2812" s="40" t="str">
        <f>IF(tblMovimientos[[#This Row],[SKU]]="","",IFERROR(INDEX(tblProductos[Unidad],MATCH(tblMovimientos[[#This Row],[SKU]],tblProductos[SKU],0)),"?"))</f>
        <v/>
      </c>
      <c r="I2812" s="39"/>
      <c r="J2812" s="47" t="str">
        <f>IF(tblMovimientos[[#This Row],[Tipo]]="","",IFERROR(INDEX(tblTiposMov[FactorStock],MATCH(tblMovimientos[[#This Row],[Tipo]],tblTiposMov[Tipo],0)),0))</f>
        <v/>
      </c>
      <c r="K28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2" s="37"/>
      <c r="O2812" s="37"/>
      <c r="P2812" s="37"/>
    </row>
    <row r="2813" spans="2:16" x14ac:dyDescent="0.25">
      <c r="B28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3" s="46"/>
      <c r="D2813" s="37"/>
      <c r="E2813" s="37"/>
      <c r="F2813" s="37"/>
      <c r="G2813" s="40" t="str">
        <f>IF(tblMovimientos[[#This Row],[Producto]]="","",TRIM(LEFT(tblMovimientos[[#This Row],[Producto]],FIND(" · ",tblMovimientos[[#This Row],[Producto]]&amp;" · ")-1)))</f>
        <v/>
      </c>
      <c r="H2813" s="40" t="str">
        <f>IF(tblMovimientos[[#This Row],[SKU]]="","",IFERROR(INDEX(tblProductos[Unidad],MATCH(tblMovimientos[[#This Row],[SKU]],tblProductos[SKU],0)),"?"))</f>
        <v/>
      </c>
      <c r="I2813" s="39"/>
      <c r="J2813" s="47" t="str">
        <f>IF(tblMovimientos[[#This Row],[Tipo]]="","",IFERROR(INDEX(tblTiposMov[FactorStock],MATCH(tblMovimientos[[#This Row],[Tipo]],tblTiposMov[Tipo],0)),0))</f>
        <v/>
      </c>
      <c r="K28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3" s="37"/>
      <c r="O2813" s="37"/>
      <c r="P2813" s="37"/>
    </row>
    <row r="2814" spans="2:16" x14ac:dyDescent="0.25">
      <c r="B28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4" s="46"/>
      <c r="D2814" s="37"/>
      <c r="E2814" s="37"/>
      <c r="F2814" s="37"/>
      <c r="G2814" s="40" t="str">
        <f>IF(tblMovimientos[[#This Row],[Producto]]="","",TRIM(LEFT(tblMovimientos[[#This Row],[Producto]],FIND(" · ",tblMovimientos[[#This Row],[Producto]]&amp;" · ")-1)))</f>
        <v/>
      </c>
      <c r="H2814" s="40" t="str">
        <f>IF(tblMovimientos[[#This Row],[SKU]]="","",IFERROR(INDEX(tblProductos[Unidad],MATCH(tblMovimientos[[#This Row],[SKU]],tblProductos[SKU],0)),"?"))</f>
        <v/>
      </c>
      <c r="I2814" s="39"/>
      <c r="J2814" s="47" t="str">
        <f>IF(tblMovimientos[[#This Row],[Tipo]]="","",IFERROR(INDEX(tblTiposMov[FactorStock],MATCH(tblMovimientos[[#This Row],[Tipo]],tblTiposMov[Tipo],0)),0))</f>
        <v/>
      </c>
      <c r="K28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4" s="37"/>
      <c r="O2814" s="37"/>
      <c r="P2814" s="37"/>
    </row>
    <row r="2815" spans="2:16" x14ac:dyDescent="0.25">
      <c r="B28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5" s="46"/>
      <c r="D2815" s="37"/>
      <c r="E2815" s="37"/>
      <c r="F2815" s="37"/>
      <c r="G2815" s="40" t="str">
        <f>IF(tblMovimientos[[#This Row],[Producto]]="","",TRIM(LEFT(tblMovimientos[[#This Row],[Producto]],FIND(" · ",tblMovimientos[[#This Row],[Producto]]&amp;" · ")-1)))</f>
        <v/>
      </c>
      <c r="H2815" s="40" t="str">
        <f>IF(tblMovimientos[[#This Row],[SKU]]="","",IFERROR(INDEX(tblProductos[Unidad],MATCH(tblMovimientos[[#This Row],[SKU]],tblProductos[SKU],0)),"?"))</f>
        <v/>
      </c>
      <c r="I2815" s="39"/>
      <c r="J2815" s="47" t="str">
        <f>IF(tblMovimientos[[#This Row],[Tipo]]="","",IFERROR(INDEX(tblTiposMov[FactorStock],MATCH(tblMovimientos[[#This Row],[Tipo]],tblTiposMov[Tipo],0)),0))</f>
        <v/>
      </c>
      <c r="K28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5" s="37"/>
      <c r="O2815" s="37"/>
      <c r="P2815" s="37"/>
    </row>
    <row r="2816" spans="2:16" x14ac:dyDescent="0.25">
      <c r="B28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6" s="46"/>
      <c r="D2816" s="37"/>
      <c r="E2816" s="37"/>
      <c r="F2816" s="37"/>
      <c r="G2816" s="40" t="str">
        <f>IF(tblMovimientos[[#This Row],[Producto]]="","",TRIM(LEFT(tblMovimientos[[#This Row],[Producto]],FIND(" · ",tblMovimientos[[#This Row],[Producto]]&amp;" · ")-1)))</f>
        <v/>
      </c>
      <c r="H2816" s="40" t="str">
        <f>IF(tblMovimientos[[#This Row],[SKU]]="","",IFERROR(INDEX(tblProductos[Unidad],MATCH(tblMovimientos[[#This Row],[SKU]],tblProductos[SKU],0)),"?"))</f>
        <v/>
      </c>
      <c r="I2816" s="39"/>
      <c r="J2816" s="47" t="str">
        <f>IF(tblMovimientos[[#This Row],[Tipo]]="","",IFERROR(INDEX(tblTiposMov[FactorStock],MATCH(tblMovimientos[[#This Row],[Tipo]],tblTiposMov[Tipo],0)),0))</f>
        <v/>
      </c>
      <c r="K28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6" s="37"/>
      <c r="O2816" s="37"/>
      <c r="P2816" s="37"/>
    </row>
    <row r="2817" spans="2:16" x14ac:dyDescent="0.25">
      <c r="B28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7" s="46"/>
      <c r="D2817" s="37"/>
      <c r="E2817" s="37"/>
      <c r="F2817" s="37"/>
      <c r="G2817" s="40" t="str">
        <f>IF(tblMovimientos[[#This Row],[Producto]]="","",TRIM(LEFT(tblMovimientos[[#This Row],[Producto]],FIND(" · ",tblMovimientos[[#This Row],[Producto]]&amp;" · ")-1)))</f>
        <v/>
      </c>
      <c r="H2817" s="40" t="str">
        <f>IF(tblMovimientos[[#This Row],[SKU]]="","",IFERROR(INDEX(tblProductos[Unidad],MATCH(tblMovimientos[[#This Row],[SKU]],tblProductos[SKU],0)),"?"))</f>
        <v/>
      </c>
      <c r="I2817" s="39"/>
      <c r="J2817" s="47" t="str">
        <f>IF(tblMovimientos[[#This Row],[Tipo]]="","",IFERROR(INDEX(tblTiposMov[FactorStock],MATCH(tblMovimientos[[#This Row],[Tipo]],tblTiposMov[Tipo],0)),0))</f>
        <v/>
      </c>
      <c r="K28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7" s="37"/>
      <c r="O2817" s="37"/>
      <c r="P2817" s="37"/>
    </row>
    <row r="2818" spans="2:16" x14ac:dyDescent="0.25">
      <c r="B28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8" s="46"/>
      <c r="D2818" s="37"/>
      <c r="E2818" s="37"/>
      <c r="F2818" s="37"/>
      <c r="G2818" s="40" t="str">
        <f>IF(tblMovimientos[[#This Row],[Producto]]="","",TRIM(LEFT(tblMovimientos[[#This Row],[Producto]],FIND(" · ",tblMovimientos[[#This Row],[Producto]]&amp;" · ")-1)))</f>
        <v/>
      </c>
      <c r="H2818" s="40" t="str">
        <f>IF(tblMovimientos[[#This Row],[SKU]]="","",IFERROR(INDEX(tblProductos[Unidad],MATCH(tblMovimientos[[#This Row],[SKU]],tblProductos[SKU],0)),"?"))</f>
        <v/>
      </c>
      <c r="I2818" s="39"/>
      <c r="J2818" s="47" t="str">
        <f>IF(tblMovimientos[[#This Row],[Tipo]]="","",IFERROR(INDEX(tblTiposMov[FactorStock],MATCH(tblMovimientos[[#This Row],[Tipo]],tblTiposMov[Tipo],0)),0))</f>
        <v/>
      </c>
      <c r="K28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8" s="37"/>
      <c r="O2818" s="37"/>
      <c r="P2818" s="37"/>
    </row>
    <row r="2819" spans="2:16" x14ac:dyDescent="0.25">
      <c r="B28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19" s="46"/>
      <c r="D2819" s="37"/>
      <c r="E2819" s="37"/>
      <c r="F2819" s="37"/>
      <c r="G2819" s="40" t="str">
        <f>IF(tblMovimientos[[#This Row],[Producto]]="","",TRIM(LEFT(tblMovimientos[[#This Row],[Producto]],FIND(" · ",tblMovimientos[[#This Row],[Producto]]&amp;" · ")-1)))</f>
        <v/>
      </c>
      <c r="H2819" s="40" t="str">
        <f>IF(tblMovimientos[[#This Row],[SKU]]="","",IFERROR(INDEX(tblProductos[Unidad],MATCH(tblMovimientos[[#This Row],[SKU]],tblProductos[SKU],0)),"?"))</f>
        <v/>
      </c>
      <c r="I2819" s="39"/>
      <c r="J2819" s="47" t="str">
        <f>IF(tblMovimientos[[#This Row],[Tipo]]="","",IFERROR(INDEX(tblTiposMov[FactorStock],MATCH(tblMovimientos[[#This Row],[Tipo]],tblTiposMov[Tipo],0)),0))</f>
        <v/>
      </c>
      <c r="K28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19" s="37"/>
      <c r="O2819" s="37"/>
      <c r="P2819" s="37"/>
    </row>
    <row r="2820" spans="2:16" x14ac:dyDescent="0.25">
      <c r="B28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0" s="46"/>
      <c r="D2820" s="37"/>
      <c r="E2820" s="37"/>
      <c r="F2820" s="37"/>
      <c r="G2820" s="40" t="str">
        <f>IF(tblMovimientos[[#This Row],[Producto]]="","",TRIM(LEFT(tblMovimientos[[#This Row],[Producto]],FIND(" · ",tblMovimientos[[#This Row],[Producto]]&amp;" · ")-1)))</f>
        <v/>
      </c>
      <c r="H2820" s="40" t="str">
        <f>IF(tblMovimientos[[#This Row],[SKU]]="","",IFERROR(INDEX(tblProductos[Unidad],MATCH(tblMovimientos[[#This Row],[SKU]],tblProductos[SKU],0)),"?"))</f>
        <v/>
      </c>
      <c r="I2820" s="39"/>
      <c r="J2820" s="47" t="str">
        <f>IF(tblMovimientos[[#This Row],[Tipo]]="","",IFERROR(INDEX(tblTiposMov[FactorStock],MATCH(tblMovimientos[[#This Row],[Tipo]],tblTiposMov[Tipo],0)),0))</f>
        <v/>
      </c>
      <c r="K28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0" s="37"/>
      <c r="O2820" s="37"/>
      <c r="P2820" s="37"/>
    </row>
    <row r="2821" spans="2:16" x14ac:dyDescent="0.25">
      <c r="B28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1" s="46"/>
      <c r="D2821" s="37"/>
      <c r="E2821" s="37"/>
      <c r="F2821" s="37"/>
      <c r="G2821" s="40" t="str">
        <f>IF(tblMovimientos[[#This Row],[Producto]]="","",TRIM(LEFT(tblMovimientos[[#This Row],[Producto]],FIND(" · ",tblMovimientos[[#This Row],[Producto]]&amp;" · ")-1)))</f>
        <v/>
      </c>
      <c r="H2821" s="40" t="str">
        <f>IF(tblMovimientos[[#This Row],[SKU]]="","",IFERROR(INDEX(tblProductos[Unidad],MATCH(tblMovimientos[[#This Row],[SKU]],tblProductos[SKU],0)),"?"))</f>
        <v/>
      </c>
      <c r="I2821" s="39"/>
      <c r="J2821" s="47" t="str">
        <f>IF(tblMovimientos[[#This Row],[Tipo]]="","",IFERROR(INDEX(tblTiposMov[FactorStock],MATCH(tblMovimientos[[#This Row],[Tipo]],tblTiposMov[Tipo],0)),0))</f>
        <v/>
      </c>
      <c r="K28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1" s="37"/>
      <c r="O2821" s="37"/>
      <c r="P2821" s="37"/>
    </row>
    <row r="2822" spans="2:16" x14ac:dyDescent="0.25">
      <c r="B28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2" s="46"/>
      <c r="D2822" s="37"/>
      <c r="E2822" s="37"/>
      <c r="F2822" s="37"/>
      <c r="G2822" s="40" t="str">
        <f>IF(tblMovimientos[[#This Row],[Producto]]="","",TRIM(LEFT(tblMovimientos[[#This Row],[Producto]],FIND(" · ",tblMovimientos[[#This Row],[Producto]]&amp;" · ")-1)))</f>
        <v/>
      </c>
      <c r="H2822" s="40" t="str">
        <f>IF(tblMovimientos[[#This Row],[SKU]]="","",IFERROR(INDEX(tblProductos[Unidad],MATCH(tblMovimientos[[#This Row],[SKU]],tblProductos[SKU],0)),"?"))</f>
        <v/>
      </c>
      <c r="I2822" s="39"/>
      <c r="J2822" s="47" t="str">
        <f>IF(tblMovimientos[[#This Row],[Tipo]]="","",IFERROR(INDEX(tblTiposMov[FactorStock],MATCH(tblMovimientos[[#This Row],[Tipo]],tblTiposMov[Tipo],0)),0))</f>
        <v/>
      </c>
      <c r="K28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2" s="37"/>
      <c r="O2822" s="37"/>
      <c r="P2822" s="37"/>
    </row>
    <row r="2823" spans="2:16" x14ac:dyDescent="0.25">
      <c r="B28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3" s="46"/>
      <c r="D2823" s="37"/>
      <c r="E2823" s="37"/>
      <c r="F2823" s="37"/>
      <c r="G2823" s="40" t="str">
        <f>IF(tblMovimientos[[#This Row],[Producto]]="","",TRIM(LEFT(tblMovimientos[[#This Row],[Producto]],FIND(" · ",tblMovimientos[[#This Row],[Producto]]&amp;" · ")-1)))</f>
        <v/>
      </c>
      <c r="H2823" s="40" t="str">
        <f>IF(tblMovimientos[[#This Row],[SKU]]="","",IFERROR(INDEX(tblProductos[Unidad],MATCH(tblMovimientos[[#This Row],[SKU]],tblProductos[SKU],0)),"?"))</f>
        <v/>
      </c>
      <c r="I2823" s="39"/>
      <c r="J2823" s="47" t="str">
        <f>IF(tblMovimientos[[#This Row],[Tipo]]="","",IFERROR(INDEX(tblTiposMov[FactorStock],MATCH(tblMovimientos[[#This Row],[Tipo]],tblTiposMov[Tipo],0)),0))</f>
        <v/>
      </c>
      <c r="K28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3" s="37"/>
      <c r="O2823" s="37"/>
      <c r="P2823" s="37"/>
    </row>
    <row r="2824" spans="2:16" x14ac:dyDescent="0.25">
      <c r="B28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4" s="46"/>
      <c r="D2824" s="37"/>
      <c r="E2824" s="37"/>
      <c r="F2824" s="37"/>
      <c r="G2824" s="40" t="str">
        <f>IF(tblMovimientos[[#This Row],[Producto]]="","",TRIM(LEFT(tblMovimientos[[#This Row],[Producto]],FIND(" · ",tblMovimientos[[#This Row],[Producto]]&amp;" · ")-1)))</f>
        <v/>
      </c>
      <c r="H2824" s="40" t="str">
        <f>IF(tblMovimientos[[#This Row],[SKU]]="","",IFERROR(INDEX(tblProductos[Unidad],MATCH(tblMovimientos[[#This Row],[SKU]],tblProductos[SKU],0)),"?"))</f>
        <v/>
      </c>
      <c r="I2824" s="39"/>
      <c r="J2824" s="47" t="str">
        <f>IF(tblMovimientos[[#This Row],[Tipo]]="","",IFERROR(INDEX(tblTiposMov[FactorStock],MATCH(tblMovimientos[[#This Row],[Tipo]],tblTiposMov[Tipo],0)),0))</f>
        <v/>
      </c>
      <c r="K28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4" s="37"/>
      <c r="O2824" s="37"/>
      <c r="P2824" s="37"/>
    </row>
    <row r="2825" spans="2:16" x14ac:dyDescent="0.25">
      <c r="B28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5" s="46"/>
      <c r="D2825" s="37"/>
      <c r="E2825" s="37"/>
      <c r="F2825" s="37"/>
      <c r="G2825" s="40" t="str">
        <f>IF(tblMovimientos[[#This Row],[Producto]]="","",TRIM(LEFT(tblMovimientos[[#This Row],[Producto]],FIND(" · ",tblMovimientos[[#This Row],[Producto]]&amp;" · ")-1)))</f>
        <v/>
      </c>
      <c r="H2825" s="40" t="str">
        <f>IF(tblMovimientos[[#This Row],[SKU]]="","",IFERROR(INDEX(tblProductos[Unidad],MATCH(tblMovimientos[[#This Row],[SKU]],tblProductos[SKU],0)),"?"))</f>
        <v/>
      </c>
      <c r="I2825" s="39"/>
      <c r="J2825" s="47" t="str">
        <f>IF(tblMovimientos[[#This Row],[Tipo]]="","",IFERROR(INDEX(tblTiposMov[FactorStock],MATCH(tblMovimientos[[#This Row],[Tipo]],tblTiposMov[Tipo],0)),0))</f>
        <v/>
      </c>
      <c r="K28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5" s="37"/>
      <c r="O2825" s="37"/>
      <c r="P2825" s="37"/>
    </row>
    <row r="2826" spans="2:16" x14ac:dyDescent="0.25">
      <c r="B28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6" s="46"/>
      <c r="D2826" s="37"/>
      <c r="E2826" s="37"/>
      <c r="F2826" s="37"/>
      <c r="G2826" s="40" t="str">
        <f>IF(tblMovimientos[[#This Row],[Producto]]="","",TRIM(LEFT(tblMovimientos[[#This Row],[Producto]],FIND(" · ",tblMovimientos[[#This Row],[Producto]]&amp;" · ")-1)))</f>
        <v/>
      </c>
      <c r="H2826" s="40" t="str">
        <f>IF(tblMovimientos[[#This Row],[SKU]]="","",IFERROR(INDEX(tblProductos[Unidad],MATCH(tblMovimientos[[#This Row],[SKU]],tblProductos[SKU],0)),"?"))</f>
        <v/>
      </c>
      <c r="I2826" s="39"/>
      <c r="J2826" s="47" t="str">
        <f>IF(tblMovimientos[[#This Row],[Tipo]]="","",IFERROR(INDEX(tblTiposMov[FactorStock],MATCH(tblMovimientos[[#This Row],[Tipo]],tblTiposMov[Tipo],0)),0))</f>
        <v/>
      </c>
      <c r="K28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6" s="37"/>
      <c r="O2826" s="37"/>
      <c r="P2826" s="37"/>
    </row>
    <row r="2827" spans="2:16" x14ac:dyDescent="0.25">
      <c r="B28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7" s="46"/>
      <c r="D2827" s="37"/>
      <c r="E2827" s="37"/>
      <c r="F2827" s="37"/>
      <c r="G2827" s="40" t="str">
        <f>IF(tblMovimientos[[#This Row],[Producto]]="","",TRIM(LEFT(tblMovimientos[[#This Row],[Producto]],FIND(" · ",tblMovimientos[[#This Row],[Producto]]&amp;" · ")-1)))</f>
        <v/>
      </c>
      <c r="H2827" s="40" t="str">
        <f>IF(tblMovimientos[[#This Row],[SKU]]="","",IFERROR(INDEX(tblProductos[Unidad],MATCH(tblMovimientos[[#This Row],[SKU]],tblProductos[SKU],0)),"?"))</f>
        <v/>
      </c>
      <c r="I2827" s="39"/>
      <c r="J2827" s="47" t="str">
        <f>IF(tblMovimientos[[#This Row],[Tipo]]="","",IFERROR(INDEX(tblTiposMov[FactorStock],MATCH(tblMovimientos[[#This Row],[Tipo]],tblTiposMov[Tipo],0)),0))</f>
        <v/>
      </c>
      <c r="K28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7" s="37"/>
      <c r="O2827" s="37"/>
      <c r="P2827" s="37"/>
    </row>
    <row r="2828" spans="2:16" x14ac:dyDescent="0.25">
      <c r="B28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8" s="46"/>
      <c r="D2828" s="37"/>
      <c r="E2828" s="37"/>
      <c r="F2828" s="37"/>
      <c r="G2828" s="40" t="str">
        <f>IF(tblMovimientos[[#This Row],[Producto]]="","",TRIM(LEFT(tblMovimientos[[#This Row],[Producto]],FIND(" · ",tblMovimientos[[#This Row],[Producto]]&amp;" · ")-1)))</f>
        <v/>
      </c>
      <c r="H2828" s="40" t="str">
        <f>IF(tblMovimientos[[#This Row],[SKU]]="","",IFERROR(INDEX(tblProductos[Unidad],MATCH(tblMovimientos[[#This Row],[SKU]],tblProductos[SKU],0)),"?"))</f>
        <v/>
      </c>
      <c r="I2828" s="39"/>
      <c r="J2828" s="47" t="str">
        <f>IF(tblMovimientos[[#This Row],[Tipo]]="","",IFERROR(INDEX(tblTiposMov[FactorStock],MATCH(tblMovimientos[[#This Row],[Tipo]],tblTiposMov[Tipo],0)),0))</f>
        <v/>
      </c>
      <c r="K28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8" s="37"/>
      <c r="O2828" s="37"/>
      <c r="P2828" s="37"/>
    </row>
    <row r="2829" spans="2:16" x14ac:dyDescent="0.25">
      <c r="B28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29" s="46"/>
      <c r="D2829" s="37"/>
      <c r="E2829" s="37"/>
      <c r="F2829" s="37"/>
      <c r="G2829" s="40" t="str">
        <f>IF(tblMovimientos[[#This Row],[Producto]]="","",TRIM(LEFT(tblMovimientos[[#This Row],[Producto]],FIND(" · ",tblMovimientos[[#This Row],[Producto]]&amp;" · ")-1)))</f>
        <v/>
      </c>
      <c r="H2829" s="40" t="str">
        <f>IF(tblMovimientos[[#This Row],[SKU]]="","",IFERROR(INDEX(tblProductos[Unidad],MATCH(tblMovimientos[[#This Row],[SKU]],tblProductos[SKU],0)),"?"))</f>
        <v/>
      </c>
      <c r="I2829" s="39"/>
      <c r="J2829" s="47" t="str">
        <f>IF(tblMovimientos[[#This Row],[Tipo]]="","",IFERROR(INDEX(tblTiposMov[FactorStock],MATCH(tblMovimientos[[#This Row],[Tipo]],tblTiposMov[Tipo],0)),0))</f>
        <v/>
      </c>
      <c r="K28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29" s="37"/>
      <c r="O2829" s="37"/>
      <c r="P2829" s="37"/>
    </row>
    <row r="2830" spans="2:16" x14ac:dyDescent="0.25">
      <c r="B28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0" s="46"/>
      <c r="D2830" s="37"/>
      <c r="E2830" s="37"/>
      <c r="F2830" s="37"/>
      <c r="G2830" s="40" t="str">
        <f>IF(tblMovimientos[[#This Row],[Producto]]="","",TRIM(LEFT(tblMovimientos[[#This Row],[Producto]],FIND(" · ",tblMovimientos[[#This Row],[Producto]]&amp;" · ")-1)))</f>
        <v/>
      </c>
      <c r="H2830" s="40" t="str">
        <f>IF(tblMovimientos[[#This Row],[SKU]]="","",IFERROR(INDEX(tblProductos[Unidad],MATCH(tblMovimientos[[#This Row],[SKU]],tblProductos[SKU],0)),"?"))</f>
        <v/>
      </c>
      <c r="I2830" s="39"/>
      <c r="J2830" s="47" t="str">
        <f>IF(tblMovimientos[[#This Row],[Tipo]]="","",IFERROR(INDEX(tblTiposMov[FactorStock],MATCH(tblMovimientos[[#This Row],[Tipo]],tblTiposMov[Tipo],0)),0))</f>
        <v/>
      </c>
      <c r="K28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0" s="37"/>
      <c r="O2830" s="37"/>
      <c r="P2830" s="37"/>
    </row>
    <row r="2831" spans="2:16" x14ac:dyDescent="0.25">
      <c r="B28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1" s="46"/>
      <c r="D2831" s="37"/>
      <c r="E2831" s="37"/>
      <c r="F2831" s="37"/>
      <c r="G2831" s="40" t="str">
        <f>IF(tblMovimientos[[#This Row],[Producto]]="","",TRIM(LEFT(tblMovimientos[[#This Row],[Producto]],FIND(" · ",tblMovimientos[[#This Row],[Producto]]&amp;" · ")-1)))</f>
        <v/>
      </c>
      <c r="H2831" s="40" t="str">
        <f>IF(tblMovimientos[[#This Row],[SKU]]="","",IFERROR(INDEX(tblProductos[Unidad],MATCH(tblMovimientos[[#This Row],[SKU]],tblProductos[SKU],0)),"?"))</f>
        <v/>
      </c>
      <c r="I2831" s="39"/>
      <c r="J2831" s="47" t="str">
        <f>IF(tblMovimientos[[#This Row],[Tipo]]="","",IFERROR(INDEX(tblTiposMov[FactorStock],MATCH(tblMovimientos[[#This Row],[Tipo]],tblTiposMov[Tipo],0)),0))</f>
        <v/>
      </c>
      <c r="K28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1" s="37"/>
      <c r="O2831" s="37"/>
      <c r="P2831" s="37"/>
    </row>
    <row r="2832" spans="2:16" x14ac:dyDescent="0.25">
      <c r="B28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2" s="46"/>
      <c r="D2832" s="37"/>
      <c r="E2832" s="37"/>
      <c r="F2832" s="37"/>
      <c r="G2832" s="40" t="str">
        <f>IF(tblMovimientos[[#This Row],[Producto]]="","",TRIM(LEFT(tblMovimientos[[#This Row],[Producto]],FIND(" · ",tblMovimientos[[#This Row],[Producto]]&amp;" · ")-1)))</f>
        <v/>
      </c>
      <c r="H2832" s="40" t="str">
        <f>IF(tblMovimientos[[#This Row],[SKU]]="","",IFERROR(INDEX(tblProductos[Unidad],MATCH(tblMovimientos[[#This Row],[SKU]],tblProductos[SKU],0)),"?"))</f>
        <v/>
      </c>
      <c r="I2832" s="39"/>
      <c r="J2832" s="47" t="str">
        <f>IF(tblMovimientos[[#This Row],[Tipo]]="","",IFERROR(INDEX(tblTiposMov[FactorStock],MATCH(tblMovimientos[[#This Row],[Tipo]],tblTiposMov[Tipo],0)),0))</f>
        <v/>
      </c>
      <c r="K28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2" s="37"/>
      <c r="O2832" s="37"/>
      <c r="P2832" s="37"/>
    </row>
    <row r="2833" spans="2:16" x14ac:dyDescent="0.25">
      <c r="B28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3" s="46"/>
      <c r="D2833" s="37"/>
      <c r="E2833" s="37"/>
      <c r="F2833" s="37"/>
      <c r="G2833" s="40" t="str">
        <f>IF(tblMovimientos[[#This Row],[Producto]]="","",TRIM(LEFT(tblMovimientos[[#This Row],[Producto]],FIND(" · ",tblMovimientos[[#This Row],[Producto]]&amp;" · ")-1)))</f>
        <v/>
      </c>
      <c r="H2833" s="40" t="str">
        <f>IF(tblMovimientos[[#This Row],[SKU]]="","",IFERROR(INDEX(tblProductos[Unidad],MATCH(tblMovimientos[[#This Row],[SKU]],tblProductos[SKU],0)),"?"))</f>
        <v/>
      </c>
      <c r="I2833" s="39"/>
      <c r="J2833" s="47" t="str">
        <f>IF(tblMovimientos[[#This Row],[Tipo]]="","",IFERROR(INDEX(tblTiposMov[FactorStock],MATCH(tblMovimientos[[#This Row],[Tipo]],tblTiposMov[Tipo],0)),0))</f>
        <v/>
      </c>
      <c r="K28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3" s="37"/>
      <c r="O2833" s="37"/>
      <c r="P2833" s="37"/>
    </row>
    <row r="2834" spans="2:16" x14ac:dyDescent="0.25">
      <c r="B28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4" s="46"/>
      <c r="D2834" s="37"/>
      <c r="E2834" s="37"/>
      <c r="F2834" s="37"/>
      <c r="G2834" s="40" t="str">
        <f>IF(tblMovimientos[[#This Row],[Producto]]="","",TRIM(LEFT(tblMovimientos[[#This Row],[Producto]],FIND(" · ",tblMovimientos[[#This Row],[Producto]]&amp;" · ")-1)))</f>
        <v/>
      </c>
      <c r="H2834" s="40" t="str">
        <f>IF(tblMovimientos[[#This Row],[SKU]]="","",IFERROR(INDEX(tblProductos[Unidad],MATCH(tblMovimientos[[#This Row],[SKU]],tblProductos[SKU],0)),"?"))</f>
        <v/>
      </c>
      <c r="I2834" s="39"/>
      <c r="J2834" s="47" t="str">
        <f>IF(tblMovimientos[[#This Row],[Tipo]]="","",IFERROR(INDEX(tblTiposMov[FactorStock],MATCH(tblMovimientos[[#This Row],[Tipo]],tblTiposMov[Tipo],0)),0))</f>
        <v/>
      </c>
      <c r="K28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4" s="37"/>
      <c r="O2834" s="37"/>
      <c r="P2834" s="37"/>
    </row>
    <row r="2835" spans="2:16" x14ac:dyDescent="0.25">
      <c r="B28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5" s="46"/>
      <c r="D2835" s="37"/>
      <c r="E2835" s="37"/>
      <c r="F2835" s="37"/>
      <c r="G2835" s="40" t="str">
        <f>IF(tblMovimientos[[#This Row],[Producto]]="","",TRIM(LEFT(tblMovimientos[[#This Row],[Producto]],FIND(" · ",tblMovimientos[[#This Row],[Producto]]&amp;" · ")-1)))</f>
        <v/>
      </c>
      <c r="H2835" s="40" t="str">
        <f>IF(tblMovimientos[[#This Row],[SKU]]="","",IFERROR(INDEX(tblProductos[Unidad],MATCH(tblMovimientos[[#This Row],[SKU]],tblProductos[SKU],0)),"?"))</f>
        <v/>
      </c>
      <c r="I2835" s="39"/>
      <c r="J2835" s="47" t="str">
        <f>IF(tblMovimientos[[#This Row],[Tipo]]="","",IFERROR(INDEX(tblTiposMov[FactorStock],MATCH(tblMovimientos[[#This Row],[Tipo]],tblTiposMov[Tipo],0)),0))</f>
        <v/>
      </c>
      <c r="K28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5" s="37"/>
      <c r="O2835" s="37"/>
      <c r="P2835" s="37"/>
    </row>
    <row r="2836" spans="2:16" x14ac:dyDescent="0.25">
      <c r="B28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6" s="46"/>
      <c r="D2836" s="37"/>
      <c r="E2836" s="37"/>
      <c r="F2836" s="37"/>
      <c r="G2836" s="40" t="str">
        <f>IF(tblMovimientos[[#This Row],[Producto]]="","",TRIM(LEFT(tblMovimientos[[#This Row],[Producto]],FIND(" · ",tblMovimientos[[#This Row],[Producto]]&amp;" · ")-1)))</f>
        <v/>
      </c>
      <c r="H2836" s="40" t="str">
        <f>IF(tblMovimientos[[#This Row],[SKU]]="","",IFERROR(INDEX(tblProductos[Unidad],MATCH(tblMovimientos[[#This Row],[SKU]],tblProductos[SKU],0)),"?"))</f>
        <v/>
      </c>
      <c r="I2836" s="39"/>
      <c r="J2836" s="47" t="str">
        <f>IF(tblMovimientos[[#This Row],[Tipo]]="","",IFERROR(INDEX(tblTiposMov[FactorStock],MATCH(tblMovimientos[[#This Row],[Tipo]],tblTiposMov[Tipo],0)),0))</f>
        <v/>
      </c>
      <c r="K28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6" s="37"/>
      <c r="O2836" s="37"/>
      <c r="P2836" s="37"/>
    </row>
    <row r="2837" spans="2:16" x14ac:dyDescent="0.25">
      <c r="B28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7" s="46"/>
      <c r="D2837" s="37"/>
      <c r="E2837" s="37"/>
      <c r="F2837" s="37"/>
      <c r="G2837" s="40" t="str">
        <f>IF(tblMovimientos[[#This Row],[Producto]]="","",TRIM(LEFT(tblMovimientos[[#This Row],[Producto]],FIND(" · ",tblMovimientos[[#This Row],[Producto]]&amp;" · ")-1)))</f>
        <v/>
      </c>
      <c r="H2837" s="40" t="str">
        <f>IF(tblMovimientos[[#This Row],[SKU]]="","",IFERROR(INDEX(tblProductos[Unidad],MATCH(tblMovimientos[[#This Row],[SKU]],tblProductos[SKU],0)),"?"))</f>
        <v/>
      </c>
      <c r="I2837" s="39"/>
      <c r="J2837" s="47" t="str">
        <f>IF(tblMovimientos[[#This Row],[Tipo]]="","",IFERROR(INDEX(tblTiposMov[FactorStock],MATCH(tblMovimientos[[#This Row],[Tipo]],tblTiposMov[Tipo],0)),0))</f>
        <v/>
      </c>
      <c r="K28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7" s="37"/>
      <c r="O2837" s="37"/>
      <c r="P2837" s="37"/>
    </row>
    <row r="2838" spans="2:16" x14ac:dyDescent="0.25">
      <c r="B28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8" s="46"/>
      <c r="D2838" s="37"/>
      <c r="E2838" s="37"/>
      <c r="F2838" s="37"/>
      <c r="G2838" s="40" t="str">
        <f>IF(tblMovimientos[[#This Row],[Producto]]="","",TRIM(LEFT(tblMovimientos[[#This Row],[Producto]],FIND(" · ",tblMovimientos[[#This Row],[Producto]]&amp;" · ")-1)))</f>
        <v/>
      </c>
      <c r="H2838" s="40" t="str">
        <f>IF(tblMovimientos[[#This Row],[SKU]]="","",IFERROR(INDEX(tblProductos[Unidad],MATCH(tblMovimientos[[#This Row],[SKU]],tblProductos[SKU],0)),"?"))</f>
        <v/>
      </c>
      <c r="I2838" s="39"/>
      <c r="J2838" s="47" t="str">
        <f>IF(tblMovimientos[[#This Row],[Tipo]]="","",IFERROR(INDEX(tblTiposMov[FactorStock],MATCH(tblMovimientos[[#This Row],[Tipo]],tblTiposMov[Tipo],0)),0))</f>
        <v/>
      </c>
      <c r="K28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8" s="37"/>
      <c r="O2838" s="37"/>
      <c r="P2838" s="37"/>
    </row>
    <row r="2839" spans="2:16" x14ac:dyDescent="0.25">
      <c r="B28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39" s="46"/>
      <c r="D2839" s="37"/>
      <c r="E2839" s="37"/>
      <c r="F2839" s="37"/>
      <c r="G2839" s="40" t="str">
        <f>IF(tblMovimientos[[#This Row],[Producto]]="","",TRIM(LEFT(tblMovimientos[[#This Row],[Producto]],FIND(" · ",tblMovimientos[[#This Row],[Producto]]&amp;" · ")-1)))</f>
        <v/>
      </c>
      <c r="H2839" s="40" t="str">
        <f>IF(tblMovimientos[[#This Row],[SKU]]="","",IFERROR(INDEX(tblProductos[Unidad],MATCH(tblMovimientos[[#This Row],[SKU]],tblProductos[SKU],0)),"?"))</f>
        <v/>
      </c>
      <c r="I2839" s="39"/>
      <c r="J2839" s="47" t="str">
        <f>IF(tblMovimientos[[#This Row],[Tipo]]="","",IFERROR(INDEX(tblTiposMov[FactorStock],MATCH(tblMovimientos[[#This Row],[Tipo]],tblTiposMov[Tipo],0)),0))</f>
        <v/>
      </c>
      <c r="K28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39" s="37"/>
      <c r="O2839" s="37"/>
      <c r="P2839" s="37"/>
    </row>
    <row r="2840" spans="2:16" x14ac:dyDescent="0.25">
      <c r="B28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0" s="46"/>
      <c r="D2840" s="37"/>
      <c r="E2840" s="37"/>
      <c r="F2840" s="37"/>
      <c r="G2840" s="40" t="str">
        <f>IF(tblMovimientos[[#This Row],[Producto]]="","",TRIM(LEFT(tblMovimientos[[#This Row],[Producto]],FIND(" · ",tblMovimientos[[#This Row],[Producto]]&amp;" · ")-1)))</f>
        <v/>
      </c>
      <c r="H2840" s="40" t="str">
        <f>IF(tblMovimientos[[#This Row],[SKU]]="","",IFERROR(INDEX(tblProductos[Unidad],MATCH(tblMovimientos[[#This Row],[SKU]],tblProductos[SKU],0)),"?"))</f>
        <v/>
      </c>
      <c r="I2840" s="39"/>
      <c r="J2840" s="47" t="str">
        <f>IF(tblMovimientos[[#This Row],[Tipo]]="","",IFERROR(INDEX(tblTiposMov[FactorStock],MATCH(tblMovimientos[[#This Row],[Tipo]],tblTiposMov[Tipo],0)),0))</f>
        <v/>
      </c>
      <c r="K28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0" s="37"/>
      <c r="O2840" s="37"/>
      <c r="P2840" s="37"/>
    </row>
    <row r="2841" spans="2:16" x14ac:dyDescent="0.25">
      <c r="B28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1" s="46"/>
      <c r="D2841" s="37"/>
      <c r="E2841" s="37"/>
      <c r="F2841" s="37"/>
      <c r="G2841" s="40" t="str">
        <f>IF(tblMovimientos[[#This Row],[Producto]]="","",TRIM(LEFT(tblMovimientos[[#This Row],[Producto]],FIND(" · ",tblMovimientos[[#This Row],[Producto]]&amp;" · ")-1)))</f>
        <v/>
      </c>
      <c r="H2841" s="40" t="str">
        <f>IF(tblMovimientos[[#This Row],[SKU]]="","",IFERROR(INDEX(tblProductos[Unidad],MATCH(tblMovimientos[[#This Row],[SKU]],tblProductos[SKU],0)),"?"))</f>
        <v/>
      </c>
      <c r="I2841" s="39"/>
      <c r="J2841" s="47" t="str">
        <f>IF(tblMovimientos[[#This Row],[Tipo]]="","",IFERROR(INDEX(tblTiposMov[FactorStock],MATCH(tblMovimientos[[#This Row],[Tipo]],tblTiposMov[Tipo],0)),0))</f>
        <v/>
      </c>
      <c r="K28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1" s="37"/>
      <c r="O2841" s="37"/>
      <c r="P2841" s="37"/>
    </row>
    <row r="2842" spans="2:16" x14ac:dyDescent="0.25">
      <c r="B28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2" s="46"/>
      <c r="D2842" s="37"/>
      <c r="E2842" s="37"/>
      <c r="F2842" s="37"/>
      <c r="G2842" s="40" t="str">
        <f>IF(tblMovimientos[[#This Row],[Producto]]="","",TRIM(LEFT(tblMovimientos[[#This Row],[Producto]],FIND(" · ",tblMovimientos[[#This Row],[Producto]]&amp;" · ")-1)))</f>
        <v/>
      </c>
      <c r="H2842" s="40" t="str">
        <f>IF(tblMovimientos[[#This Row],[SKU]]="","",IFERROR(INDEX(tblProductos[Unidad],MATCH(tblMovimientos[[#This Row],[SKU]],tblProductos[SKU],0)),"?"))</f>
        <v/>
      </c>
      <c r="I2842" s="39"/>
      <c r="J2842" s="47" t="str">
        <f>IF(tblMovimientos[[#This Row],[Tipo]]="","",IFERROR(INDEX(tblTiposMov[FactorStock],MATCH(tblMovimientos[[#This Row],[Tipo]],tblTiposMov[Tipo],0)),0))</f>
        <v/>
      </c>
      <c r="K28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2" s="37"/>
      <c r="O2842" s="37"/>
      <c r="P2842" s="37"/>
    </row>
    <row r="2843" spans="2:16" x14ac:dyDescent="0.25">
      <c r="B28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3" s="46"/>
      <c r="D2843" s="37"/>
      <c r="E2843" s="37"/>
      <c r="F2843" s="37"/>
      <c r="G2843" s="40" t="str">
        <f>IF(tblMovimientos[[#This Row],[Producto]]="","",TRIM(LEFT(tblMovimientos[[#This Row],[Producto]],FIND(" · ",tblMovimientos[[#This Row],[Producto]]&amp;" · ")-1)))</f>
        <v/>
      </c>
      <c r="H2843" s="40" t="str">
        <f>IF(tblMovimientos[[#This Row],[SKU]]="","",IFERROR(INDEX(tblProductos[Unidad],MATCH(tblMovimientos[[#This Row],[SKU]],tblProductos[SKU],0)),"?"))</f>
        <v/>
      </c>
      <c r="I2843" s="39"/>
      <c r="J2843" s="47" t="str">
        <f>IF(tblMovimientos[[#This Row],[Tipo]]="","",IFERROR(INDEX(tblTiposMov[FactorStock],MATCH(tblMovimientos[[#This Row],[Tipo]],tblTiposMov[Tipo],0)),0))</f>
        <v/>
      </c>
      <c r="K28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3" s="37"/>
      <c r="O2843" s="37"/>
      <c r="P2843" s="37"/>
    </row>
    <row r="2844" spans="2:16" x14ac:dyDescent="0.25">
      <c r="B28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4" s="46"/>
      <c r="D2844" s="37"/>
      <c r="E2844" s="37"/>
      <c r="F2844" s="37"/>
      <c r="G2844" s="40" t="str">
        <f>IF(tblMovimientos[[#This Row],[Producto]]="","",TRIM(LEFT(tblMovimientos[[#This Row],[Producto]],FIND(" · ",tblMovimientos[[#This Row],[Producto]]&amp;" · ")-1)))</f>
        <v/>
      </c>
      <c r="H2844" s="40" t="str">
        <f>IF(tblMovimientos[[#This Row],[SKU]]="","",IFERROR(INDEX(tblProductos[Unidad],MATCH(tblMovimientos[[#This Row],[SKU]],tblProductos[SKU],0)),"?"))</f>
        <v/>
      </c>
      <c r="I2844" s="39"/>
      <c r="J2844" s="47" t="str">
        <f>IF(tblMovimientos[[#This Row],[Tipo]]="","",IFERROR(INDEX(tblTiposMov[FactorStock],MATCH(tblMovimientos[[#This Row],[Tipo]],tblTiposMov[Tipo],0)),0))</f>
        <v/>
      </c>
      <c r="K28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4" s="37"/>
      <c r="O2844" s="37"/>
      <c r="P2844" s="37"/>
    </row>
    <row r="2845" spans="2:16" x14ac:dyDescent="0.25">
      <c r="B28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5" s="46"/>
      <c r="D2845" s="37"/>
      <c r="E2845" s="37"/>
      <c r="F2845" s="37"/>
      <c r="G2845" s="40" t="str">
        <f>IF(tblMovimientos[[#This Row],[Producto]]="","",TRIM(LEFT(tblMovimientos[[#This Row],[Producto]],FIND(" · ",tblMovimientos[[#This Row],[Producto]]&amp;" · ")-1)))</f>
        <v/>
      </c>
      <c r="H2845" s="40" t="str">
        <f>IF(tblMovimientos[[#This Row],[SKU]]="","",IFERROR(INDEX(tblProductos[Unidad],MATCH(tblMovimientos[[#This Row],[SKU]],tblProductos[SKU],0)),"?"))</f>
        <v/>
      </c>
      <c r="I2845" s="39"/>
      <c r="J2845" s="47" t="str">
        <f>IF(tblMovimientos[[#This Row],[Tipo]]="","",IFERROR(INDEX(tblTiposMov[FactorStock],MATCH(tblMovimientos[[#This Row],[Tipo]],tblTiposMov[Tipo],0)),0))</f>
        <v/>
      </c>
      <c r="K28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5" s="37"/>
      <c r="O2845" s="37"/>
      <c r="P2845" s="37"/>
    </row>
    <row r="2846" spans="2:16" x14ac:dyDescent="0.25">
      <c r="B28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6" s="46"/>
      <c r="D2846" s="37"/>
      <c r="E2846" s="37"/>
      <c r="F2846" s="37"/>
      <c r="G2846" s="40" t="str">
        <f>IF(tblMovimientos[[#This Row],[Producto]]="","",TRIM(LEFT(tblMovimientos[[#This Row],[Producto]],FIND(" · ",tblMovimientos[[#This Row],[Producto]]&amp;" · ")-1)))</f>
        <v/>
      </c>
      <c r="H2846" s="40" t="str">
        <f>IF(tblMovimientos[[#This Row],[SKU]]="","",IFERROR(INDEX(tblProductos[Unidad],MATCH(tblMovimientos[[#This Row],[SKU]],tblProductos[SKU],0)),"?"))</f>
        <v/>
      </c>
      <c r="I2846" s="39"/>
      <c r="J2846" s="47" t="str">
        <f>IF(tblMovimientos[[#This Row],[Tipo]]="","",IFERROR(INDEX(tblTiposMov[FactorStock],MATCH(tblMovimientos[[#This Row],[Tipo]],tblTiposMov[Tipo],0)),0))</f>
        <v/>
      </c>
      <c r="K28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6" s="37"/>
      <c r="O2846" s="37"/>
      <c r="P2846" s="37"/>
    </row>
    <row r="2847" spans="2:16" x14ac:dyDescent="0.25">
      <c r="B28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7" s="46"/>
      <c r="D2847" s="37"/>
      <c r="E2847" s="37"/>
      <c r="F2847" s="37"/>
      <c r="G2847" s="40" t="str">
        <f>IF(tblMovimientos[[#This Row],[Producto]]="","",TRIM(LEFT(tblMovimientos[[#This Row],[Producto]],FIND(" · ",tblMovimientos[[#This Row],[Producto]]&amp;" · ")-1)))</f>
        <v/>
      </c>
      <c r="H2847" s="40" t="str">
        <f>IF(tblMovimientos[[#This Row],[SKU]]="","",IFERROR(INDEX(tblProductos[Unidad],MATCH(tblMovimientos[[#This Row],[SKU]],tblProductos[SKU],0)),"?"))</f>
        <v/>
      </c>
      <c r="I2847" s="39"/>
      <c r="J2847" s="47" t="str">
        <f>IF(tblMovimientos[[#This Row],[Tipo]]="","",IFERROR(INDEX(tblTiposMov[FactorStock],MATCH(tblMovimientos[[#This Row],[Tipo]],tblTiposMov[Tipo],0)),0))</f>
        <v/>
      </c>
      <c r="K28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7" s="37"/>
      <c r="O2847" s="37"/>
      <c r="P2847" s="37"/>
    </row>
    <row r="2848" spans="2:16" x14ac:dyDescent="0.25">
      <c r="B28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8" s="46"/>
      <c r="D2848" s="37"/>
      <c r="E2848" s="37"/>
      <c r="F2848" s="37"/>
      <c r="G2848" s="40" t="str">
        <f>IF(tblMovimientos[[#This Row],[Producto]]="","",TRIM(LEFT(tblMovimientos[[#This Row],[Producto]],FIND(" · ",tblMovimientos[[#This Row],[Producto]]&amp;" · ")-1)))</f>
        <v/>
      </c>
      <c r="H2848" s="40" t="str">
        <f>IF(tblMovimientos[[#This Row],[SKU]]="","",IFERROR(INDEX(tblProductos[Unidad],MATCH(tblMovimientos[[#This Row],[SKU]],tblProductos[SKU],0)),"?"))</f>
        <v/>
      </c>
      <c r="I2848" s="39"/>
      <c r="J2848" s="47" t="str">
        <f>IF(tblMovimientos[[#This Row],[Tipo]]="","",IFERROR(INDEX(tblTiposMov[FactorStock],MATCH(tblMovimientos[[#This Row],[Tipo]],tblTiposMov[Tipo],0)),0))</f>
        <v/>
      </c>
      <c r="K28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8" s="37"/>
      <c r="O2848" s="37"/>
      <c r="P2848" s="37"/>
    </row>
    <row r="2849" spans="2:16" x14ac:dyDescent="0.25">
      <c r="B28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49" s="46"/>
      <c r="D2849" s="37"/>
      <c r="E2849" s="37"/>
      <c r="F2849" s="37"/>
      <c r="G2849" s="40" t="str">
        <f>IF(tblMovimientos[[#This Row],[Producto]]="","",TRIM(LEFT(tblMovimientos[[#This Row],[Producto]],FIND(" · ",tblMovimientos[[#This Row],[Producto]]&amp;" · ")-1)))</f>
        <v/>
      </c>
      <c r="H2849" s="40" t="str">
        <f>IF(tblMovimientos[[#This Row],[SKU]]="","",IFERROR(INDEX(tblProductos[Unidad],MATCH(tblMovimientos[[#This Row],[SKU]],tblProductos[SKU],0)),"?"))</f>
        <v/>
      </c>
      <c r="I2849" s="39"/>
      <c r="J2849" s="47" t="str">
        <f>IF(tblMovimientos[[#This Row],[Tipo]]="","",IFERROR(INDEX(tblTiposMov[FactorStock],MATCH(tblMovimientos[[#This Row],[Tipo]],tblTiposMov[Tipo],0)),0))</f>
        <v/>
      </c>
      <c r="K28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49" s="37"/>
      <c r="O2849" s="37"/>
      <c r="P2849" s="37"/>
    </row>
    <row r="2850" spans="2:16" x14ac:dyDescent="0.25">
      <c r="B28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0" s="46"/>
      <c r="D2850" s="37"/>
      <c r="E2850" s="37"/>
      <c r="F2850" s="37"/>
      <c r="G2850" s="40" t="str">
        <f>IF(tblMovimientos[[#This Row],[Producto]]="","",TRIM(LEFT(tblMovimientos[[#This Row],[Producto]],FIND(" · ",tblMovimientos[[#This Row],[Producto]]&amp;" · ")-1)))</f>
        <v/>
      </c>
      <c r="H2850" s="40" t="str">
        <f>IF(tblMovimientos[[#This Row],[SKU]]="","",IFERROR(INDEX(tblProductos[Unidad],MATCH(tblMovimientos[[#This Row],[SKU]],tblProductos[SKU],0)),"?"))</f>
        <v/>
      </c>
      <c r="I2850" s="39"/>
      <c r="J2850" s="47" t="str">
        <f>IF(tblMovimientos[[#This Row],[Tipo]]="","",IFERROR(INDEX(tblTiposMov[FactorStock],MATCH(tblMovimientos[[#This Row],[Tipo]],tblTiposMov[Tipo],0)),0))</f>
        <v/>
      </c>
      <c r="K28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0" s="37"/>
      <c r="O2850" s="37"/>
      <c r="P2850" s="37"/>
    </row>
    <row r="2851" spans="2:16" x14ac:dyDescent="0.25">
      <c r="B28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1" s="46"/>
      <c r="D2851" s="37"/>
      <c r="E2851" s="37"/>
      <c r="F2851" s="37"/>
      <c r="G2851" s="40" t="str">
        <f>IF(tblMovimientos[[#This Row],[Producto]]="","",TRIM(LEFT(tblMovimientos[[#This Row],[Producto]],FIND(" · ",tblMovimientos[[#This Row],[Producto]]&amp;" · ")-1)))</f>
        <v/>
      </c>
      <c r="H2851" s="40" t="str">
        <f>IF(tblMovimientos[[#This Row],[SKU]]="","",IFERROR(INDEX(tblProductos[Unidad],MATCH(tblMovimientos[[#This Row],[SKU]],tblProductos[SKU],0)),"?"))</f>
        <v/>
      </c>
      <c r="I2851" s="39"/>
      <c r="J2851" s="47" t="str">
        <f>IF(tblMovimientos[[#This Row],[Tipo]]="","",IFERROR(INDEX(tblTiposMov[FactorStock],MATCH(tblMovimientos[[#This Row],[Tipo]],tblTiposMov[Tipo],0)),0))</f>
        <v/>
      </c>
      <c r="K28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1" s="37"/>
      <c r="O2851" s="37"/>
      <c r="P2851" s="37"/>
    </row>
    <row r="2852" spans="2:16" x14ac:dyDescent="0.25">
      <c r="B28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2" s="46"/>
      <c r="D2852" s="37"/>
      <c r="E2852" s="37"/>
      <c r="F2852" s="37"/>
      <c r="G2852" s="40" t="str">
        <f>IF(tblMovimientos[[#This Row],[Producto]]="","",TRIM(LEFT(tblMovimientos[[#This Row],[Producto]],FIND(" · ",tblMovimientos[[#This Row],[Producto]]&amp;" · ")-1)))</f>
        <v/>
      </c>
      <c r="H2852" s="40" t="str">
        <f>IF(tblMovimientos[[#This Row],[SKU]]="","",IFERROR(INDEX(tblProductos[Unidad],MATCH(tblMovimientos[[#This Row],[SKU]],tblProductos[SKU],0)),"?"))</f>
        <v/>
      </c>
      <c r="I2852" s="39"/>
      <c r="J2852" s="47" t="str">
        <f>IF(tblMovimientos[[#This Row],[Tipo]]="","",IFERROR(INDEX(tblTiposMov[FactorStock],MATCH(tblMovimientos[[#This Row],[Tipo]],tblTiposMov[Tipo],0)),0))</f>
        <v/>
      </c>
      <c r="K28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2" s="37"/>
      <c r="O2852" s="37"/>
      <c r="P2852" s="37"/>
    </row>
    <row r="2853" spans="2:16" x14ac:dyDescent="0.25">
      <c r="B28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3" s="46"/>
      <c r="D2853" s="37"/>
      <c r="E2853" s="37"/>
      <c r="F2853" s="37"/>
      <c r="G2853" s="40" t="str">
        <f>IF(tblMovimientos[[#This Row],[Producto]]="","",TRIM(LEFT(tblMovimientos[[#This Row],[Producto]],FIND(" · ",tblMovimientos[[#This Row],[Producto]]&amp;" · ")-1)))</f>
        <v/>
      </c>
      <c r="H2853" s="40" t="str">
        <f>IF(tblMovimientos[[#This Row],[SKU]]="","",IFERROR(INDEX(tblProductos[Unidad],MATCH(tblMovimientos[[#This Row],[SKU]],tblProductos[SKU],0)),"?"))</f>
        <v/>
      </c>
      <c r="I2853" s="39"/>
      <c r="J2853" s="47" t="str">
        <f>IF(tblMovimientos[[#This Row],[Tipo]]="","",IFERROR(INDEX(tblTiposMov[FactorStock],MATCH(tblMovimientos[[#This Row],[Tipo]],tblTiposMov[Tipo],0)),0))</f>
        <v/>
      </c>
      <c r="K28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3" s="37"/>
      <c r="O2853" s="37"/>
      <c r="P2853" s="37"/>
    </row>
    <row r="2854" spans="2:16" x14ac:dyDescent="0.25">
      <c r="B28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4" s="46"/>
      <c r="D2854" s="37"/>
      <c r="E2854" s="37"/>
      <c r="F2854" s="37"/>
      <c r="G2854" s="40" t="str">
        <f>IF(tblMovimientos[[#This Row],[Producto]]="","",TRIM(LEFT(tblMovimientos[[#This Row],[Producto]],FIND(" · ",tblMovimientos[[#This Row],[Producto]]&amp;" · ")-1)))</f>
        <v/>
      </c>
      <c r="H2854" s="40" t="str">
        <f>IF(tblMovimientos[[#This Row],[SKU]]="","",IFERROR(INDEX(tblProductos[Unidad],MATCH(tblMovimientos[[#This Row],[SKU]],tblProductos[SKU],0)),"?"))</f>
        <v/>
      </c>
      <c r="I2854" s="39"/>
      <c r="J2854" s="47" t="str">
        <f>IF(tblMovimientos[[#This Row],[Tipo]]="","",IFERROR(INDEX(tblTiposMov[FactorStock],MATCH(tblMovimientos[[#This Row],[Tipo]],tblTiposMov[Tipo],0)),0))</f>
        <v/>
      </c>
      <c r="K28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4" s="37"/>
      <c r="O2854" s="37"/>
      <c r="P2854" s="37"/>
    </row>
    <row r="2855" spans="2:16" x14ac:dyDescent="0.25">
      <c r="B28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5" s="46"/>
      <c r="D2855" s="37"/>
      <c r="E2855" s="37"/>
      <c r="F2855" s="37"/>
      <c r="G2855" s="40" t="str">
        <f>IF(tblMovimientos[[#This Row],[Producto]]="","",TRIM(LEFT(tblMovimientos[[#This Row],[Producto]],FIND(" · ",tblMovimientos[[#This Row],[Producto]]&amp;" · ")-1)))</f>
        <v/>
      </c>
      <c r="H2855" s="40" t="str">
        <f>IF(tblMovimientos[[#This Row],[SKU]]="","",IFERROR(INDEX(tblProductos[Unidad],MATCH(tblMovimientos[[#This Row],[SKU]],tblProductos[SKU],0)),"?"))</f>
        <v/>
      </c>
      <c r="I2855" s="39"/>
      <c r="J2855" s="47" t="str">
        <f>IF(tblMovimientos[[#This Row],[Tipo]]="","",IFERROR(INDEX(tblTiposMov[FactorStock],MATCH(tblMovimientos[[#This Row],[Tipo]],tblTiposMov[Tipo],0)),0))</f>
        <v/>
      </c>
      <c r="K28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5" s="37"/>
      <c r="O2855" s="37"/>
      <c r="P2855" s="37"/>
    </row>
    <row r="2856" spans="2:16" x14ac:dyDescent="0.25">
      <c r="B28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6" s="46"/>
      <c r="D2856" s="37"/>
      <c r="E2856" s="37"/>
      <c r="F2856" s="37"/>
      <c r="G2856" s="40" t="str">
        <f>IF(tblMovimientos[[#This Row],[Producto]]="","",TRIM(LEFT(tblMovimientos[[#This Row],[Producto]],FIND(" · ",tblMovimientos[[#This Row],[Producto]]&amp;" · ")-1)))</f>
        <v/>
      </c>
      <c r="H2856" s="40" t="str">
        <f>IF(tblMovimientos[[#This Row],[SKU]]="","",IFERROR(INDEX(tblProductos[Unidad],MATCH(tblMovimientos[[#This Row],[SKU]],tblProductos[SKU],0)),"?"))</f>
        <v/>
      </c>
      <c r="I2856" s="39"/>
      <c r="J2856" s="47" t="str">
        <f>IF(tblMovimientos[[#This Row],[Tipo]]="","",IFERROR(INDEX(tblTiposMov[FactorStock],MATCH(tblMovimientos[[#This Row],[Tipo]],tblTiposMov[Tipo],0)),0))</f>
        <v/>
      </c>
      <c r="K28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6" s="37"/>
      <c r="O2856" s="37"/>
      <c r="P2856" s="37"/>
    </row>
    <row r="2857" spans="2:16" x14ac:dyDescent="0.25">
      <c r="B28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7" s="46"/>
      <c r="D2857" s="37"/>
      <c r="E2857" s="37"/>
      <c r="F2857" s="37"/>
      <c r="G2857" s="40" t="str">
        <f>IF(tblMovimientos[[#This Row],[Producto]]="","",TRIM(LEFT(tblMovimientos[[#This Row],[Producto]],FIND(" · ",tblMovimientos[[#This Row],[Producto]]&amp;" · ")-1)))</f>
        <v/>
      </c>
      <c r="H2857" s="40" t="str">
        <f>IF(tblMovimientos[[#This Row],[SKU]]="","",IFERROR(INDEX(tblProductos[Unidad],MATCH(tblMovimientos[[#This Row],[SKU]],tblProductos[SKU],0)),"?"))</f>
        <v/>
      </c>
      <c r="I2857" s="39"/>
      <c r="J2857" s="47" t="str">
        <f>IF(tblMovimientos[[#This Row],[Tipo]]="","",IFERROR(INDEX(tblTiposMov[FactorStock],MATCH(tblMovimientos[[#This Row],[Tipo]],tblTiposMov[Tipo],0)),0))</f>
        <v/>
      </c>
      <c r="K28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7" s="37"/>
      <c r="O2857" s="37"/>
      <c r="P2857" s="37"/>
    </row>
    <row r="2858" spans="2:16" x14ac:dyDescent="0.25">
      <c r="B28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8" s="46"/>
      <c r="D2858" s="37"/>
      <c r="E2858" s="37"/>
      <c r="F2858" s="37"/>
      <c r="G2858" s="40" t="str">
        <f>IF(tblMovimientos[[#This Row],[Producto]]="","",TRIM(LEFT(tblMovimientos[[#This Row],[Producto]],FIND(" · ",tblMovimientos[[#This Row],[Producto]]&amp;" · ")-1)))</f>
        <v/>
      </c>
      <c r="H2858" s="40" t="str">
        <f>IF(tblMovimientos[[#This Row],[SKU]]="","",IFERROR(INDEX(tblProductos[Unidad],MATCH(tblMovimientos[[#This Row],[SKU]],tblProductos[SKU],0)),"?"))</f>
        <v/>
      </c>
      <c r="I2858" s="39"/>
      <c r="J2858" s="47" t="str">
        <f>IF(tblMovimientos[[#This Row],[Tipo]]="","",IFERROR(INDEX(tblTiposMov[FactorStock],MATCH(tblMovimientos[[#This Row],[Tipo]],tblTiposMov[Tipo],0)),0))</f>
        <v/>
      </c>
      <c r="K28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8" s="37"/>
      <c r="O2858" s="37"/>
      <c r="P2858" s="37"/>
    </row>
    <row r="2859" spans="2:16" x14ac:dyDescent="0.25">
      <c r="B28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59" s="46"/>
      <c r="D2859" s="37"/>
      <c r="E2859" s="37"/>
      <c r="F2859" s="37"/>
      <c r="G2859" s="40" t="str">
        <f>IF(tblMovimientos[[#This Row],[Producto]]="","",TRIM(LEFT(tblMovimientos[[#This Row],[Producto]],FIND(" · ",tblMovimientos[[#This Row],[Producto]]&amp;" · ")-1)))</f>
        <v/>
      </c>
      <c r="H2859" s="40" t="str">
        <f>IF(tblMovimientos[[#This Row],[SKU]]="","",IFERROR(INDEX(tblProductos[Unidad],MATCH(tblMovimientos[[#This Row],[SKU]],tblProductos[SKU],0)),"?"))</f>
        <v/>
      </c>
      <c r="I2859" s="39"/>
      <c r="J2859" s="47" t="str">
        <f>IF(tblMovimientos[[#This Row],[Tipo]]="","",IFERROR(INDEX(tblTiposMov[FactorStock],MATCH(tblMovimientos[[#This Row],[Tipo]],tblTiposMov[Tipo],0)),0))</f>
        <v/>
      </c>
      <c r="K28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59" s="37"/>
      <c r="O2859" s="37"/>
      <c r="P2859" s="37"/>
    </row>
    <row r="2860" spans="2:16" x14ac:dyDescent="0.25">
      <c r="B28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0" s="46"/>
      <c r="D2860" s="37"/>
      <c r="E2860" s="37"/>
      <c r="F2860" s="37"/>
      <c r="G2860" s="40" t="str">
        <f>IF(tblMovimientos[[#This Row],[Producto]]="","",TRIM(LEFT(tblMovimientos[[#This Row],[Producto]],FIND(" · ",tblMovimientos[[#This Row],[Producto]]&amp;" · ")-1)))</f>
        <v/>
      </c>
      <c r="H2860" s="40" t="str">
        <f>IF(tblMovimientos[[#This Row],[SKU]]="","",IFERROR(INDEX(tblProductos[Unidad],MATCH(tblMovimientos[[#This Row],[SKU]],tblProductos[SKU],0)),"?"))</f>
        <v/>
      </c>
      <c r="I2860" s="39"/>
      <c r="J2860" s="47" t="str">
        <f>IF(tblMovimientos[[#This Row],[Tipo]]="","",IFERROR(INDEX(tblTiposMov[FactorStock],MATCH(tblMovimientos[[#This Row],[Tipo]],tblTiposMov[Tipo],0)),0))</f>
        <v/>
      </c>
      <c r="K28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0" s="37"/>
      <c r="O2860" s="37"/>
      <c r="P2860" s="37"/>
    </row>
    <row r="2861" spans="2:16" x14ac:dyDescent="0.25">
      <c r="B28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1" s="46"/>
      <c r="D2861" s="37"/>
      <c r="E2861" s="37"/>
      <c r="F2861" s="37"/>
      <c r="G2861" s="40" t="str">
        <f>IF(tblMovimientos[[#This Row],[Producto]]="","",TRIM(LEFT(tblMovimientos[[#This Row],[Producto]],FIND(" · ",tblMovimientos[[#This Row],[Producto]]&amp;" · ")-1)))</f>
        <v/>
      </c>
      <c r="H2861" s="40" t="str">
        <f>IF(tblMovimientos[[#This Row],[SKU]]="","",IFERROR(INDEX(tblProductos[Unidad],MATCH(tblMovimientos[[#This Row],[SKU]],tblProductos[SKU],0)),"?"))</f>
        <v/>
      </c>
      <c r="I2861" s="39"/>
      <c r="J2861" s="47" t="str">
        <f>IF(tblMovimientos[[#This Row],[Tipo]]="","",IFERROR(INDEX(tblTiposMov[FactorStock],MATCH(tblMovimientos[[#This Row],[Tipo]],tblTiposMov[Tipo],0)),0))</f>
        <v/>
      </c>
      <c r="K28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1" s="37"/>
      <c r="O2861" s="37"/>
      <c r="P2861" s="37"/>
    </row>
    <row r="2862" spans="2:16" x14ac:dyDescent="0.25">
      <c r="B28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2" s="46"/>
      <c r="D2862" s="37"/>
      <c r="E2862" s="37"/>
      <c r="F2862" s="37"/>
      <c r="G2862" s="40" t="str">
        <f>IF(tblMovimientos[[#This Row],[Producto]]="","",TRIM(LEFT(tblMovimientos[[#This Row],[Producto]],FIND(" · ",tblMovimientos[[#This Row],[Producto]]&amp;" · ")-1)))</f>
        <v/>
      </c>
      <c r="H2862" s="40" t="str">
        <f>IF(tblMovimientos[[#This Row],[SKU]]="","",IFERROR(INDEX(tblProductos[Unidad],MATCH(tblMovimientos[[#This Row],[SKU]],tblProductos[SKU],0)),"?"))</f>
        <v/>
      </c>
      <c r="I2862" s="39"/>
      <c r="J2862" s="47" t="str">
        <f>IF(tblMovimientos[[#This Row],[Tipo]]="","",IFERROR(INDEX(tblTiposMov[FactorStock],MATCH(tblMovimientos[[#This Row],[Tipo]],tblTiposMov[Tipo],0)),0))</f>
        <v/>
      </c>
      <c r="K28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2" s="37"/>
      <c r="O2862" s="37"/>
      <c r="P2862" s="37"/>
    </row>
    <row r="2863" spans="2:16" x14ac:dyDescent="0.25">
      <c r="B28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3" s="46"/>
      <c r="D2863" s="37"/>
      <c r="E2863" s="37"/>
      <c r="F2863" s="37"/>
      <c r="G2863" s="40" t="str">
        <f>IF(tblMovimientos[[#This Row],[Producto]]="","",TRIM(LEFT(tblMovimientos[[#This Row],[Producto]],FIND(" · ",tblMovimientos[[#This Row],[Producto]]&amp;" · ")-1)))</f>
        <v/>
      </c>
      <c r="H2863" s="40" t="str">
        <f>IF(tblMovimientos[[#This Row],[SKU]]="","",IFERROR(INDEX(tblProductos[Unidad],MATCH(tblMovimientos[[#This Row],[SKU]],tblProductos[SKU],0)),"?"))</f>
        <v/>
      </c>
      <c r="I2863" s="39"/>
      <c r="J2863" s="47" t="str">
        <f>IF(tblMovimientos[[#This Row],[Tipo]]="","",IFERROR(INDEX(tblTiposMov[FactorStock],MATCH(tblMovimientos[[#This Row],[Tipo]],tblTiposMov[Tipo],0)),0))</f>
        <v/>
      </c>
      <c r="K28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3" s="37"/>
      <c r="O2863" s="37"/>
      <c r="P2863" s="37"/>
    </row>
    <row r="2864" spans="2:16" x14ac:dyDescent="0.25">
      <c r="B28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4" s="46"/>
      <c r="D2864" s="37"/>
      <c r="E2864" s="37"/>
      <c r="F2864" s="37"/>
      <c r="G2864" s="40" t="str">
        <f>IF(tblMovimientos[[#This Row],[Producto]]="","",TRIM(LEFT(tblMovimientos[[#This Row],[Producto]],FIND(" · ",tblMovimientos[[#This Row],[Producto]]&amp;" · ")-1)))</f>
        <v/>
      </c>
      <c r="H2864" s="40" t="str">
        <f>IF(tblMovimientos[[#This Row],[SKU]]="","",IFERROR(INDEX(tblProductos[Unidad],MATCH(tblMovimientos[[#This Row],[SKU]],tblProductos[SKU],0)),"?"))</f>
        <v/>
      </c>
      <c r="I2864" s="39"/>
      <c r="J2864" s="47" t="str">
        <f>IF(tblMovimientos[[#This Row],[Tipo]]="","",IFERROR(INDEX(tblTiposMov[FactorStock],MATCH(tblMovimientos[[#This Row],[Tipo]],tblTiposMov[Tipo],0)),0))</f>
        <v/>
      </c>
      <c r="K28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4" s="37"/>
      <c r="O2864" s="37"/>
      <c r="P2864" s="37"/>
    </row>
    <row r="2865" spans="2:16" x14ac:dyDescent="0.25">
      <c r="B28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5" s="46"/>
      <c r="D2865" s="37"/>
      <c r="E2865" s="37"/>
      <c r="F2865" s="37"/>
      <c r="G2865" s="40" t="str">
        <f>IF(tblMovimientos[[#This Row],[Producto]]="","",TRIM(LEFT(tblMovimientos[[#This Row],[Producto]],FIND(" · ",tblMovimientos[[#This Row],[Producto]]&amp;" · ")-1)))</f>
        <v/>
      </c>
      <c r="H2865" s="40" t="str">
        <f>IF(tblMovimientos[[#This Row],[SKU]]="","",IFERROR(INDEX(tblProductos[Unidad],MATCH(tblMovimientos[[#This Row],[SKU]],tblProductos[SKU],0)),"?"))</f>
        <v/>
      </c>
      <c r="I2865" s="39"/>
      <c r="J2865" s="47" t="str">
        <f>IF(tblMovimientos[[#This Row],[Tipo]]="","",IFERROR(INDEX(tblTiposMov[FactorStock],MATCH(tblMovimientos[[#This Row],[Tipo]],tblTiposMov[Tipo],0)),0))</f>
        <v/>
      </c>
      <c r="K28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5" s="37"/>
      <c r="O2865" s="37"/>
      <c r="P2865" s="37"/>
    </row>
    <row r="2866" spans="2:16" x14ac:dyDescent="0.25">
      <c r="B28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6" s="46"/>
      <c r="D2866" s="37"/>
      <c r="E2866" s="37"/>
      <c r="F2866" s="37"/>
      <c r="G2866" s="40" t="str">
        <f>IF(tblMovimientos[[#This Row],[Producto]]="","",TRIM(LEFT(tblMovimientos[[#This Row],[Producto]],FIND(" · ",tblMovimientos[[#This Row],[Producto]]&amp;" · ")-1)))</f>
        <v/>
      </c>
      <c r="H2866" s="40" t="str">
        <f>IF(tblMovimientos[[#This Row],[SKU]]="","",IFERROR(INDEX(tblProductos[Unidad],MATCH(tblMovimientos[[#This Row],[SKU]],tblProductos[SKU],0)),"?"))</f>
        <v/>
      </c>
      <c r="I2866" s="39"/>
      <c r="J2866" s="47" t="str">
        <f>IF(tblMovimientos[[#This Row],[Tipo]]="","",IFERROR(INDEX(tblTiposMov[FactorStock],MATCH(tblMovimientos[[#This Row],[Tipo]],tblTiposMov[Tipo],0)),0))</f>
        <v/>
      </c>
      <c r="K28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6" s="37"/>
      <c r="O2866" s="37"/>
      <c r="P2866" s="37"/>
    </row>
    <row r="2867" spans="2:16" x14ac:dyDescent="0.25">
      <c r="B28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7" s="46"/>
      <c r="D2867" s="37"/>
      <c r="E2867" s="37"/>
      <c r="F2867" s="37"/>
      <c r="G2867" s="40" t="str">
        <f>IF(tblMovimientos[[#This Row],[Producto]]="","",TRIM(LEFT(tblMovimientos[[#This Row],[Producto]],FIND(" · ",tblMovimientos[[#This Row],[Producto]]&amp;" · ")-1)))</f>
        <v/>
      </c>
      <c r="H2867" s="40" t="str">
        <f>IF(tblMovimientos[[#This Row],[SKU]]="","",IFERROR(INDEX(tblProductos[Unidad],MATCH(tblMovimientos[[#This Row],[SKU]],tblProductos[SKU],0)),"?"))</f>
        <v/>
      </c>
      <c r="I2867" s="39"/>
      <c r="J2867" s="47" t="str">
        <f>IF(tblMovimientos[[#This Row],[Tipo]]="","",IFERROR(INDEX(tblTiposMov[FactorStock],MATCH(tblMovimientos[[#This Row],[Tipo]],tblTiposMov[Tipo],0)),0))</f>
        <v/>
      </c>
      <c r="K28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7" s="37"/>
      <c r="O2867" s="37"/>
      <c r="P2867" s="37"/>
    </row>
    <row r="2868" spans="2:16" x14ac:dyDescent="0.25">
      <c r="B28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8" s="46"/>
      <c r="D2868" s="37"/>
      <c r="E2868" s="37"/>
      <c r="F2868" s="37"/>
      <c r="G2868" s="40" t="str">
        <f>IF(tblMovimientos[[#This Row],[Producto]]="","",TRIM(LEFT(tblMovimientos[[#This Row],[Producto]],FIND(" · ",tblMovimientos[[#This Row],[Producto]]&amp;" · ")-1)))</f>
        <v/>
      </c>
      <c r="H2868" s="40" t="str">
        <f>IF(tblMovimientos[[#This Row],[SKU]]="","",IFERROR(INDEX(tblProductos[Unidad],MATCH(tblMovimientos[[#This Row],[SKU]],tblProductos[SKU],0)),"?"))</f>
        <v/>
      </c>
      <c r="I2868" s="39"/>
      <c r="J2868" s="47" t="str">
        <f>IF(tblMovimientos[[#This Row],[Tipo]]="","",IFERROR(INDEX(tblTiposMov[FactorStock],MATCH(tblMovimientos[[#This Row],[Tipo]],tblTiposMov[Tipo],0)),0))</f>
        <v/>
      </c>
      <c r="K28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8" s="37"/>
      <c r="O2868" s="37"/>
      <c r="P2868" s="37"/>
    </row>
    <row r="2869" spans="2:16" x14ac:dyDescent="0.25">
      <c r="B28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69" s="46"/>
      <c r="D2869" s="37"/>
      <c r="E2869" s="37"/>
      <c r="F2869" s="37"/>
      <c r="G2869" s="40" t="str">
        <f>IF(tblMovimientos[[#This Row],[Producto]]="","",TRIM(LEFT(tblMovimientos[[#This Row],[Producto]],FIND(" · ",tblMovimientos[[#This Row],[Producto]]&amp;" · ")-1)))</f>
        <v/>
      </c>
      <c r="H2869" s="40" t="str">
        <f>IF(tblMovimientos[[#This Row],[SKU]]="","",IFERROR(INDEX(tblProductos[Unidad],MATCH(tblMovimientos[[#This Row],[SKU]],tblProductos[SKU],0)),"?"))</f>
        <v/>
      </c>
      <c r="I2869" s="39"/>
      <c r="J2869" s="47" t="str">
        <f>IF(tblMovimientos[[#This Row],[Tipo]]="","",IFERROR(INDEX(tblTiposMov[FactorStock],MATCH(tblMovimientos[[#This Row],[Tipo]],tblTiposMov[Tipo],0)),0))</f>
        <v/>
      </c>
      <c r="K28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69" s="37"/>
      <c r="O2869" s="37"/>
      <c r="P2869" s="37"/>
    </row>
    <row r="2870" spans="2:16" x14ac:dyDescent="0.25">
      <c r="B28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0" s="46"/>
      <c r="D2870" s="37"/>
      <c r="E2870" s="37"/>
      <c r="F2870" s="37"/>
      <c r="G2870" s="40" t="str">
        <f>IF(tblMovimientos[[#This Row],[Producto]]="","",TRIM(LEFT(tblMovimientos[[#This Row],[Producto]],FIND(" · ",tblMovimientos[[#This Row],[Producto]]&amp;" · ")-1)))</f>
        <v/>
      </c>
      <c r="H2870" s="40" t="str">
        <f>IF(tblMovimientos[[#This Row],[SKU]]="","",IFERROR(INDEX(tblProductos[Unidad],MATCH(tblMovimientos[[#This Row],[SKU]],tblProductos[SKU],0)),"?"))</f>
        <v/>
      </c>
      <c r="I2870" s="39"/>
      <c r="J2870" s="47" t="str">
        <f>IF(tblMovimientos[[#This Row],[Tipo]]="","",IFERROR(INDEX(tblTiposMov[FactorStock],MATCH(tblMovimientos[[#This Row],[Tipo]],tblTiposMov[Tipo],0)),0))</f>
        <v/>
      </c>
      <c r="K28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0" s="37"/>
      <c r="O2870" s="37"/>
      <c r="P2870" s="37"/>
    </row>
    <row r="2871" spans="2:16" x14ac:dyDescent="0.25">
      <c r="B28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1" s="46"/>
      <c r="D2871" s="37"/>
      <c r="E2871" s="37"/>
      <c r="F2871" s="37"/>
      <c r="G2871" s="40" t="str">
        <f>IF(tblMovimientos[[#This Row],[Producto]]="","",TRIM(LEFT(tblMovimientos[[#This Row],[Producto]],FIND(" · ",tblMovimientos[[#This Row],[Producto]]&amp;" · ")-1)))</f>
        <v/>
      </c>
      <c r="H2871" s="40" t="str">
        <f>IF(tblMovimientos[[#This Row],[SKU]]="","",IFERROR(INDEX(tblProductos[Unidad],MATCH(tblMovimientos[[#This Row],[SKU]],tblProductos[SKU],0)),"?"))</f>
        <v/>
      </c>
      <c r="I2871" s="39"/>
      <c r="J2871" s="47" t="str">
        <f>IF(tblMovimientos[[#This Row],[Tipo]]="","",IFERROR(INDEX(tblTiposMov[FactorStock],MATCH(tblMovimientos[[#This Row],[Tipo]],tblTiposMov[Tipo],0)),0))</f>
        <v/>
      </c>
      <c r="K28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1" s="37"/>
      <c r="O2871" s="37"/>
      <c r="P2871" s="37"/>
    </row>
    <row r="2872" spans="2:16" x14ac:dyDescent="0.25">
      <c r="B28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2" s="46"/>
      <c r="D2872" s="37"/>
      <c r="E2872" s="37"/>
      <c r="F2872" s="37"/>
      <c r="G2872" s="40" t="str">
        <f>IF(tblMovimientos[[#This Row],[Producto]]="","",TRIM(LEFT(tblMovimientos[[#This Row],[Producto]],FIND(" · ",tblMovimientos[[#This Row],[Producto]]&amp;" · ")-1)))</f>
        <v/>
      </c>
      <c r="H2872" s="40" t="str">
        <f>IF(tblMovimientos[[#This Row],[SKU]]="","",IFERROR(INDEX(tblProductos[Unidad],MATCH(tblMovimientos[[#This Row],[SKU]],tblProductos[SKU],0)),"?"))</f>
        <v/>
      </c>
      <c r="I2872" s="39"/>
      <c r="J2872" s="47" t="str">
        <f>IF(tblMovimientos[[#This Row],[Tipo]]="","",IFERROR(INDEX(tblTiposMov[FactorStock],MATCH(tblMovimientos[[#This Row],[Tipo]],tblTiposMov[Tipo],0)),0))</f>
        <v/>
      </c>
      <c r="K28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2" s="37"/>
      <c r="O2872" s="37"/>
      <c r="P2872" s="37"/>
    </row>
    <row r="2873" spans="2:16" x14ac:dyDescent="0.25">
      <c r="B28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3" s="46"/>
      <c r="D2873" s="37"/>
      <c r="E2873" s="37"/>
      <c r="F2873" s="37"/>
      <c r="G2873" s="40" t="str">
        <f>IF(tblMovimientos[[#This Row],[Producto]]="","",TRIM(LEFT(tblMovimientos[[#This Row],[Producto]],FIND(" · ",tblMovimientos[[#This Row],[Producto]]&amp;" · ")-1)))</f>
        <v/>
      </c>
      <c r="H2873" s="40" t="str">
        <f>IF(tblMovimientos[[#This Row],[SKU]]="","",IFERROR(INDEX(tblProductos[Unidad],MATCH(tblMovimientos[[#This Row],[SKU]],tblProductos[SKU],0)),"?"))</f>
        <v/>
      </c>
      <c r="I2873" s="39"/>
      <c r="J2873" s="47" t="str">
        <f>IF(tblMovimientos[[#This Row],[Tipo]]="","",IFERROR(INDEX(tblTiposMov[FactorStock],MATCH(tblMovimientos[[#This Row],[Tipo]],tblTiposMov[Tipo],0)),0))</f>
        <v/>
      </c>
      <c r="K28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3" s="37"/>
      <c r="O2873" s="37"/>
      <c r="P2873" s="37"/>
    </row>
    <row r="2874" spans="2:16" x14ac:dyDescent="0.25">
      <c r="B28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4" s="46"/>
      <c r="D2874" s="37"/>
      <c r="E2874" s="37"/>
      <c r="F2874" s="37"/>
      <c r="G2874" s="40" t="str">
        <f>IF(tblMovimientos[[#This Row],[Producto]]="","",TRIM(LEFT(tblMovimientos[[#This Row],[Producto]],FIND(" · ",tblMovimientos[[#This Row],[Producto]]&amp;" · ")-1)))</f>
        <v/>
      </c>
      <c r="H2874" s="40" t="str">
        <f>IF(tblMovimientos[[#This Row],[SKU]]="","",IFERROR(INDEX(tblProductos[Unidad],MATCH(tblMovimientos[[#This Row],[SKU]],tblProductos[SKU],0)),"?"))</f>
        <v/>
      </c>
      <c r="I2874" s="39"/>
      <c r="J2874" s="47" t="str">
        <f>IF(tblMovimientos[[#This Row],[Tipo]]="","",IFERROR(INDEX(tblTiposMov[FactorStock],MATCH(tblMovimientos[[#This Row],[Tipo]],tblTiposMov[Tipo],0)),0))</f>
        <v/>
      </c>
      <c r="K28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4" s="37"/>
      <c r="O2874" s="37"/>
      <c r="P2874" s="37"/>
    </row>
    <row r="2875" spans="2:16" x14ac:dyDescent="0.25">
      <c r="B28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5" s="46"/>
      <c r="D2875" s="37"/>
      <c r="E2875" s="37"/>
      <c r="F2875" s="37"/>
      <c r="G2875" s="40" t="str">
        <f>IF(tblMovimientos[[#This Row],[Producto]]="","",TRIM(LEFT(tblMovimientos[[#This Row],[Producto]],FIND(" · ",tblMovimientos[[#This Row],[Producto]]&amp;" · ")-1)))</f>
        <v/>
      </c>
      <c r="H2875" s="40" t="str">
        <f>IF(tblMovimientos[[#This Row],[SKU]]="","",IFERROR(INDEX(tblProductos[Unidad],MATCH(tblMovimientos[[#This Row],[SKU]],tblProductos[SKU],0)),"?"))</f>
        <v/>
      </c>
      <c r="I2875" s="39"/>
      <c r="J2875" s="47" t="str">
        <f>IF(tblMovimientos[[#This Row],[Tipo]]="","",IFERROR(INDEX(tblTiposMov[FactorStock],MATCH(tblMovimientos[[#This Row],[Tipo]],tblTiposMov[Tipo],0)),0))</f>
        <v/>
      </c>
      <c r="K28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5" s="37"/>
      <c r="O2875" s="37"/>
      <c r="P2875" s="37"/>
    </row>
    <row r="2876" spans="2:16" x14ac:dyDescent="0.25">
      <c r="B28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6" s="46"/>
      <c r="D2876" s="37"/>
      <c r="E2876" s="37"/>
      <c r="F2876" s="37"/>
      <c r="G2876" s="40" t="str">
        <f>IF(tblMovimientos[[#This Row],[Producto]]="","",TRIM(LEFT(tblMovimientos[[#This Row],[Producto]],FIND(" · ",tblMovimientos[[#This Row],[Producto]]&amp;" · ")-1)))</f>
        <v/>
      </c>
      <c r="H2876" s="40" t="str">
        <f>IF(tblMovimientos[[#This Row],[SKU]]="","",IFERROR(INDEX(tblProductos[Unidad],MATCH(tblMovimientos[[#This Row],[SKU]],tblProductos[SKU],0)),"?"))</f>
        <v/>
      </c>
      <c r="I2876" s="39"/>
      <c r="J2876" s="47" t="str">
        <f>IF(tblMovimientos[[#This Row],[Tipo]]="","",IFERROR(INDEX(tblTiposMov[FactorStock],MATCH(tblMovimientos[[#This Row],[Tipo]],tblTiposMov[Tipo],0)),0))</f>
        <v/>
      </c>
      <c r="K28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6" s="37"/>
      <c r="O2876" s="37"/>
      <c r="P2876" s="37"/>
    </row>
    <row r="2877" spans="2:16" x14ac:dyDescent="0.25">
      <c r="B28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7" s="46"/>
      <c r="D2877" s="37"/>
      <c r="E2877" s="37"/>
      <c r="F2877" s="37"/>
      <c r="G2877" s="40" t="str">
        <f>IF(tblMovimientos[[#This Row],[Producto]]="","",TRIM(LEFT(tblMovimientos[[#This Row],[Producto]],FIND(" · ",tblMovimientos[[#This Row],[Producto]]&amp;" · ")-1)))</f>
        <v/>
      </c>
      <c r="H2877" s="40" t="str">
        <f>IF(tblMovimientos[[#This Row],[SKU]]="","",IFERROR(INDEX(tblProductos[Unidad],MATCH(tblMovimientos[[#This Row],[SKU]],tblProductos[SKU],0)),"?"))</f>
        <v/>
      </c>
      <c r="I2877" s="39"/>
      <c r="J2877" s="47" t="str">
        <f>IF(tblMovimientos[[#This Row],[Tipo]]="","",IFERROR(INDEX(tblTiposMov[FactorStock],MATCH(tblMovimientos[[#This Row],[Tipo]],tblTiposMov[Tipo],0)),0))</f>
        <v/>
      </c>
      <c r="K28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7" s="37"/>
      <c r="O2877" s="37"/>
      <c r="P2877" s="37"/>
    </row>
    <row r="2878" spans="2:16" x14ac:dyDescent="0.25">
      <c r="B28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8" s="46"/>
      <c r="D2878" s="37"/>
      <c r="E2878" s="37"/>
      <c r="F2878" s="37"/>
      <c r="G2878" s="40" t="str">
        <f>IF(tblMovimientos[[#This Row],[Producto]]="","",TRIM(LEFT(tblMovimientos[[#This Row],[Producto]],FIND(" · ",tblMovimientos[[#This Row],[Producto]]&amp;" · ")-1)))</f>
        <v/>
      </c>
      <c r="H2878" s="40" t="str">
        <f>IF(tblMovimientos[[#This Row],[SKU]]="","",IFERROR(INDEX(tblProductos[Unidad],MATCH(tblMovimientos[[#This Row],[SKU]],tblProductos[SKU],0)),"?"))</f>
        <v/>
      </c>
      <c r="I2878" s="39"/>
      <c r="J2878" s="47" t="str">
        <f>IF(tblMovimientos[[#This Row],[Tipo]]="","",IFERROR(INDEX(tblTiposMov[FactorStock],MATCH(tblMovimientos[[#This Row],[Tipo]],tblTiposMov[Tipo],0)),0))</f>
        <v/>
      </c>
      <c r="K28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8" s="37"/>
      <c r="O2878" s="37"/>
      <c r="P2878" s="37"/>
    </row>
    <row r="2879" spans="2:16" x14ac:dyDescent="0.25">
      <c r="B28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79" s="46"/>
      <c r="D2879" s="37"/>
      <c r="E2879" s="37"/>
      <c r="F2879" s="37"/>
      <c r="G2879" s="40" t="str">
        <f>IF(tblMovimientos[[#This Row],[Producto]]="","",TRIM(LEFT(tblMovimientos[[#This Row],[Producto]],FIND(" · ",tblMovimientos[[#This Row],[Producto]]&amp;" · ")-1)))</f>
        <v/>
      </c>
      <c r="H2879" s="40" t="str">
        <f>IF(tblMovimientos[[#This Row],[SKU]]="","",IFERROR(INDEX(tblProductos[Unidad],MATCH(tblMovimientos[[#This Row],[SKU]],tblProductos[SKU],0)),"?"))</f>
        <v/>
      </c>
      <c r="I2879" s="39"/>
      <c r="J2879" s="47" t="str">
        <f>IF(tblMovimientos[[#This Row],[Tipo]]="","",IFERROR(INDEX(tblTiposMov[FactorStock],MATCH(tblMovimientos[[#This Row],[Tipo]],tblTiposMov[Tipo],0)),0))</f>
        <v/>
      </c>
      <c r="K28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79" s="37"/>
      <c r="O2879" s="37"/>
      <c r="P2879" s="37"/>
    </row>
    <row r="2880" spans="2:16" x14ac:dyDescent="0.25">
      <c r="B28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0" s="46"/>
      <c r="D2880" s="37"/>
      <c r="E2880" s="37"/>
      <c r="F2880" s="37"/>
      <c r="G2880" s="40" t="str">
        <f>IF(tblMovimientos[[#This Row],[Producto]]="","",TRIM(LEFT(tblMovimientos[[#This Row],[Producto]],FIND(" · ",tblMovimientos[[#This Row],[Producto]]&amp;" · ")-1)))</f>
        <v/>
      </c>
      <c r="H2880" s="40" t="str">
        <f>IF(tblMovimientos[[#This Row],[SKU]]="","",IFERROR(INDEX(tblProductos[Unidad],MATCH(tblMovimientos[[#This Row],[SKU]],tblProductos[SKU],0)),"?"))</f>
        <v/>
      </c>
      <c r="I2880" s="39"/>
      <c r="J2880" s="47" t="str">
        <f>IF(tblMovimientos[[#This Row],[Tipo]]="","",IFERROR(INDEX(tblTiposMov[FactorStock],MATCH(tblMovimientos[[#This Row],[Tipo]],tblTiposMov[Tipo],0)),0))</f>
        <v/>
      </c>
      <c r="K28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0" s="37"/>
      <c r="O2880" s="37"/>
      <c r="P2880" s="37"/>
    </row>
    <row r="2881" spans="2:16" x14ac:dyDescent="0.25">
      <c r="B28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1" s="46"/>
      <c r="D2881" s="37"/>
      <c r="E2881" s="37"/>
      <c r="F2881" s="37"/>
      <c r="G2881" s="40" t="str">
        <f>IF(tblMovimientos[[#This Row],[Producto]]="","",TRIM(LEFT(tblMovimientos[[#This Row],[Producto]],FIND(" · ",tblMovimientos[[#This Row],[Producto]]&amp;" · ")-1)))</f>
        <v/>
      </c>
      <c r="H2881" s="40" t="str">
        <f>IF(tblMovimientos[[#This Row],[SKU]]="","",IFERROR(INDEX(tblProductos[Unidad],MATCH(tblMovimientos[[#This Row],[SKU]],tblProductos[SKU],0)),"?"))</f>
        <v/>
      </c>
      <c r="I2881" s="39"/>
      <c r="J2881" s="47" t="str">
        <f>IF(tblMovimientos[[#This Row],[Tipo]]="","",IFERROR(INDEX(tblTiposMov[FactorStock],MATCH(tblMovimientos[[#This Row],[Tipo]],tblTiposMov[Tipo],0)),0))</f>
        <v/>
      </c>
      <c r="K28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1" s="37"/>
      <c r="O2881" s="37"/>
      <c r="P2881" s="37"/>
    </row>
    <row r="2882" spans="2:16" x14ac:dyDescent="0.25">
      <c r="B28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2" s="46"/>
      <c r="D2882" s="37"/>
      <c r="E2882" s="37"/>
      <c r="F2882" s="37"/>
      <c r="G2882" s="40" t="str">
        <f>IF(tblMovimientos[[#This Row],[Producto]]="","",TRIM(LEFT(tblMovimientos[[#This Row],[Producto]],FIND(" · ",tblMovimientos[[#This Row],[Producto]]&amp;" · ")-1)))</f>
        <v/>
      </c>
      <c r="H2882" s="40" t="str">
        <f>IF(tblMovimientos[[#This Row],[SKU]]="","",IFERROR(INDEX(tblProductos[Unidad],MATCH(tblMovimientos[[#This Row],[SKU]],tblProductos[SKU],0)),"?"))</f>
        <v/>
      </c>
      <c r="I2882" s="39"/>
      <c r="J2882" s="47" t="str">
        <f>IF(tblMovimientos[[#This Row],[Tipo]]="","",IFERROR(INDEX(tblTiposMov[FactorStock],MATCH(tblMovimientos[[#This Row],[Tipo]],tblTiposMov[Tipo],0)),0))</f>
        <v/>
      </c>
      <c r="K28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2" s="37"/>
      <c r="O2882" s="37"/>
      <c r="P2882" s="37"/>
    </row>
    <row r="2883" spans="2:16" x14ac:dyDescent="0.25">
      <c r="B28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3" s="46"/>
      <c r="D2883" s="37"/>
      <c r="E2883" s="37"/>
      <c r="F2883" s="37"/>
      <c r="G2883" s="40" t="str">
        <f>IF(tblMovimientos[[#This Row],[Producto]]="","",TRIM(LEFT(tblMovimientos[[#This Row],[Producto]],FIND(" · ",tblMovimientos[[#This Row],[Producto]]&amp;" · ")-1)))</f>
        <v/>
      </c>
      <c r="H2883" s="40" t="str">
        <f>IF(tblMovimientos[[#This Row],[SKU]]="","",IFERROR(INDEX(tblProductos[Unidad],MATCH(tblMovimientos[[#This Row],[SKU]],tblProductos[SKU],0)),"?"))</f>
        <v/>
      </c>
      <c r="I2883" s="39"/>
      <c r="J2883" s="47" t="str">
        <f>IF(tblMovimientos[[#This Row],[Tipo]]="","",IFERROR(INDEX(tblTiposMov[FactorStock],MATCH(tblMovimientos[[#This Row],[Tipo]],tblTiposMov[Tipo],0)),0))</f>
        <v/>
      </c>
      <c r="K28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3" s="37"/>
      <c r="O2883" s="37"/>
      <c r="P2883" s="37"/>
    </row>
    <row r="2884" spans="2:16" x14ac:dyDescent="0.25">
      <c r="B28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4" s="46"/>
      <c r="D2884" s="37"/>
      <c r="E2884" s="37"/>
      <c r="F2884" s="37"/>
      <c r="G2884" s="40" t="str">
        <f>IF(tblMovimientos[[#This Row],[Producto]]="","",TRIM(LEFT(tblMovimientos[[#This Row],[Producto]],FIND(" · ",tblMovimientos[[#This Row],[Producto]]&amp;" · ")-1)))</f>
        <v/>
      </c>
      <c r="H2884" s="40" t="str">
        <f>IF(tblMovimientos[[#This Row],[SKU]]="","",IFERROR(INDEX(tblProductos[Unidad],MATCH(tblMovimientos[[#This Row],[SKU]],tblProductos[SKU],0)),"?"))</f>
        <v/>
      </c>
      <c r="I2884" s="39"/>
      <c r="J2884" s="47" t="str">
        <f>IF(tblMovimientos[[#This Row],[Tipo]]="","",IFERROR(INDEX(tblTiposMov[FactorStock],MATCH(tblMovimientos[[#This Row],[Tipo]],tblTiposMov[Tipo],0)),0))</f>
        <v/>
      </c>
      <c r="K28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4" s="37"/>
      <c r="O2884" s="37"/>
      <c r="P2884" s="37"/>
    </row>
    <row r="2885" spans="2:16" x14ac:dyDescent="0.25">
      <c r="B28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5" s="46"/>
      <c r="D2885" s="37"/>
      <c r="E2885" s="37"/>
      <c r="F2885" s="37"/>
      <c r="G2885" s="40" t="str">
        <f>IF(tblMovimientos[[#This Row],[Producto]]="","",TRIM(LEFT(tblMovimientos[[#This Row],[Producto]],FIND(" · ",tblMovimientos[[#This Row],[Producto]]&amp;" · ")-1)))</f>
        <v/>
      </c>
      <c r="H2885" s="40" t="str">
        <f>IF(tblMovimientos[[#This Row],[SKU]]="","",IFERROR(INDEX(tblProductos[Unidad],MATCH(tblMovimientos[[#This Row],[SKU]],tblProductos[SKU],0)),"?"))</f>
        <v/>
      </c>
      <c r="I2885" s="39"/>
      <c r="J2885" s="47" t="str">
        <f>IF(tblMovimientos[[#This Row],[Tipo]]="","",IFERROR(INDEX(tblTiposMov[FactorStock],MATCH(tblMovimientos[[#This Row],[Tipo]],tblTiposMov[Tipo],0)),0))</f>
        <v/>
      </c>
      <c r="K28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5" s="37"/>
      <c r="O2885" s="37"/>
      <c r="P2885" s="37"/>
    </row>
    <row r="2886" spans="2:16" x14ac:dyDescent="0.25">
      <c r="B28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6" s="46"/>
      <c r="D2886" s="37"/>
      <c r="E2886" s="37"/>
      <c r="F2886" s="37"/>
      <c r="G2886" s="40" t="str">
        <f>IF(tblMovimientos[[#This Row],[Producto]]="","",TRIM(LEFT(tblMovimientos[[#This Row],[Producto]],FIND(" · ",tblMovimientos[[#This Row],[Producto]]&amp;" · ")-1)))</f>
        <v/>
      </c>
      <c r="H2886" s="40" t="str">
        <f>IF(tblMovimientos[[#This Row],[SKU]]="","",IFERROR(INDEX(tblProductos[Unidad],MATCH(tblMovimientos[[#This Row],[SKU]],tblProductos[SKU],0)),"?"))</f>
        <v/>
      </c>
      <c r="I2886" s="39"/>
      <c r="J2886" s="47" t="str">
        <f>IF(tblMovimientos[[#This Row],[Tipo]]="","",IFERROR(INDEX(tblTiposMov[FactorStock],MATCH(tblMovimientos[[#This Row],[Tipo]],tblTiposMov[Tipo],0)),0))</f>
        <v/>
      </c>
      <c r="K28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6" s="37"/>
      <c r="O2886" s="37"/>
      <c r="P2886" s="37"/>
    </row>
    <row r="2887" spans="2:16" x14ac:dyDescent="0.25">
      <c r="B28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7" s="46"/>
      <c r="D2887" s="37"/>
      <c r="E2887" s="37"/>
      <c r="F2887" s="37"/>
      <c r="G2887" s="40" t="str">
        <f>IF(tblMovimientos[[#This Row],[Producto]]="","",TRIM(LEFT(tblMovimientos[[#This Row],[Producto]],FIND(" · ",tblMovimientos[[#This Row],[Producto]]&amp;" · ")-1)))</f>
        <v/>
      </c>
      <c r="H2887" s="40" t="str">
        <f>IF(tblMovimientos[[#This Row],[SKU]]="","",IFERROR(INDEX(tblProductos[Unidad],MATCH(tblMovimientos[[#This Row],[SKU]],tblProductos[SKU],0)),"?"))</f>
        <v/>
      </c>
      <c r="I2887" s="39"/>
      <c r="J2887" s="47" t="str">
        <f>IF(tblMovimientos[[#This Row],[Tipo]]="","",IFERROR(INDEX(tblTiposMov[FactorStock],MATCH(tblMovimientos[[#This Row],[Tipo]],tblTiposMov[Tipo],0)),0))</f>
        <v/>
      </c>
      <c r="K28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7" s="37"/>
      <c r="O2887" s="37"/>
      <c r="P2887" s="37"/>
    </row>
    <row r="2888" spans="2:16" x14ac:dyDescent="0.25">
      <c r="B28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8" s="46"/>
      <c r="D2888" s="37"/>
      <c r="E2888" s="37"/>
      <c r="F2888" s="37"/>
      <c r="G2888" s="40" t="str">
        <f>IF(tblMovimientos[[#This Row],[Producto]]="","",TRIM(LEFT(tblMovimientos[[#This Row],[Producto]],FIND(" · ",tblMovimientos[[#This Row],[Producto]]&amp;" · ")-1)))</f>
        <v/>
      </c>
      <c r="H2888" s="40" t="str">
        <f>IF(tblMovimientos[[#This Row],[SKU]]="","",IFERROR(INDEX(tblProductos[Unidad],MATCH(tblMovimientos[[#This Row],[SKU]],tblProductos[SKU],0)),"?"))</f>
        <v/>
      </c>
      <c r="I2888" s="39"/>
      <c r="J2888" s="47" t="str">
        <f>IF(tblMovimientos[[#This Row],[Tipo]]="","",IFERROR(INDEX(tblTiposMov[FactorStock],MATCH(tblMovimientos[[#This Row],[Tipo]],tblTiposMov[Tipo],0)),0))</f>
        <v/>
      </c>
      <c r="K28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8" s="37"/>
      <c r="O2888" s="37"/>
      <c r="P2888" s="37"/>
    </row>
    <row r="2889" spans="2:16" x14ac:dyDescent="0.25">
      <c r="B28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89" s="46"/>
      <c r="D2889" s="37"/>
      <c r="E2889" s="37"/>
      <c r="F2889" s="37"/>
      <c r="G2889" s="40" t="str">
        <f>IF(tblMovimientos[[#This Row],[Producto]]="","",TRIM(LEFT(tblMovimientos[[#This Row],[Producto]],FIND(" · ",tblMovimientos[[#This Row],[Producto]]&amp;" · ")-1)))</f>
        <v/>
      </c>
      <c r="H2889" s="40" t="str">
        <f>IF(tblMovimientos[[#This Row],[SKU]]="","",IFERROR(INDEX(tblProductos[Unidad],MATCH(tblMovimientos[[#This Row],[SKU]],tblProductos[SKU],0)),"?"))</f>
        <v/>
      </c>
      <c r="I2889" s="39"/>
      <c r="J2889" s="47" t="str">
        <f>IF(tblMovimientos[[#This Row],[Tipo]]="","",IFERROR(INDEX(tblTiposMov[FactorStock],MATCH(tblMovimientos[[#This Row],[Tipo]],tblTiposMov[Tipo],0)),0))</f>
        <v/>
      </c>
      <c r="K28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89" s="37"/>
      <c r="O2889" s="37"/>
      <c r="P2889" s="37"/>
    </row>
    <row r="2890" spans="2:16" x14ac:dyDescent="0.25">
      <c r="B28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0" s="46"/>
      <c r="D2890" s="37"/>
      <c r="E2890" s="37"/>
      <c r="F2890" s="37"/>
      <c r="G2890" s="40" t="str">
        <f>IF(tblMovimientos[[#This Row],[Producto]]="","",TRIM(LEFT(tblMovimientos[[#This Row],[Producto]],FIND(" · ",tblMovimientos[[#This Row],[Producto]]&amp;" · ")-1)))</f>
        <v/>
      </c>
      <c r="H2890" s="40" t="str">
        <f>IF(tblMovimientos[[#This Row],[SKU]]="","",IFERROR(INDEX(tblProductos[Unidad],MATCH(tblMovimientos[[#This Row],[SKU]],tblProductos[SKU],0)),"?"))</f>
        <v/>
      </c>
      <c r="I2890" s="39"/>
      <c r="J2890" s="47" t="str">
        <f>IF(tblMovimientos[[#This Row],[Tipo]]="","",IFERROR(INDEX(tblTiposMov[FactorStock],MATCH(tblMovimientos[[#This Row],[Tipo]],tblTiposMov[Tipo],0)),0))</f>
        <v/>
      </c>
      <c r="K28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0" s="37"/>
      <c r="O2890" s="37"/>
      <c r="P2890" s="37"/>
    </row>
    <row r="2891" spans="2:16" x14ac:dyDescent="0.25">
      <c r="B28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1" s="46"/>
      <c r="D2891" s="37"/>
      <c r="E2891" s="37"/>
      <c r="F2891" s="37"/>
      <c r="G2891" s="40" t="str">
        <f>IF(tblMovimientos[[#This Row],[Producto]]="","",TRIM(LEFT(tblMovimientos[[#This Row],[Producto]],FIND(" · ",tblMovimientos[[#This Row],[Producto]]&amp;" · ")-1)))</f>
        <v/>
      </c>
      <c r="H2891" s="40" t="str">
        <f>IF(tblMovimientos[[#This Row],[SKU]]="","",IFERROR(INDEX(tblProductos[Unidad],MATCH(tblMovimientos[[#This Row],[SKU]],tblProductos[SKU],0)),"?"))</f>
        <v/>
      </c>
      <c r="I2891" s="39"/>
      <c r="J2891" s="47" t="str">
        <f>IF(tblMovimientos[[#This Row],[Tipo]]="","",IFERROR(INDEX(tblTiposMov[FactorStock],MATCH(tblMovimientos[[#This Row],[Tipo]],tblTiposMov[Tipo],0)),0))</f>
        <v/>
      </c>
      <c r="K28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1" s="37"/>
      <c r="O2891" s="37"/>
      <c r="P2891" s="37"/>
    </row>
    <row r="2892" spans="2:16" x14ac:dyDescent="0.25">
      <c r="B28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2" s="46"/>
      <c r="D2892" s="37"/>
      <c r="E2892" s="37"/>
      <c r="F2892" s="37"/>
      <c r="G2892" s="40" t="str">
        <f>IF(tblMovimientos[[#This Row],[Producto]]="","",TRIM(LEFT(tblMovimientos[[#This Row],[Producto]],FIND(" · ",tblMovimientos[[#This Row],[Producto]]&amp;" · ")-1)))</f>
        <v/>
      </c>
      <c r="H2892" s="40" t="str">
        <f>IF(tblMovimientos[[#This Row],[SKU]]="","",IFERROR(INDEX(tblProductos[Unidad],MATCH(tblMovimientos[[#This Row],[SKU]],tblProductos[SKU],0)),"?"))</f>
        <v/>
      </c>
      <c r="I2892" s="39"/>
      <c r="J2892" s="47" t="str">
        <f>IF(tblMovimientos[[#This Row],[Tipo]]="","",IFERROR(INDEX(tblTiposMov[FactorStock],MATCH(tblMovimientos[[#This Row],[Tipo]],tblTiposMov[Tipo],0)),0))</f>
        <v/>
      </c>
      <c r="K28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2" s="37"/>
      <c r="O2892" s="37"/>
      <c r="P2892" s="37"/>
    </row>
    <row r="2893" spans="2:16" x14ac:dyDescent="0.25">
      <c r="B28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3" s="46"/>
      <c r="D2893" s="37"/>
      <c r="E2893" s="37"/>
      <c r="F2893" s="37"/>
      <c r="G2893" s="40" t="str">
        <f>IF(tblMovimientos[[#This Row],[Producto]]="","",TRIM(LEFT(tblMovimientos[[#This Row],[Producto]],FIND(" · ",tblMovimientos[[#This Row],[Producto]]&amp;" · ")-1)))</f>
        <v/>
      </c>
      <c r="H2893" s="40" t="str">
        <f>IF(tblMovimientos[[#This Row],[SKU]]="","",IFERROR(INDEX(tblProductos[Unidad],MATCH(tblMovimientos[[#This Row],[SKU]],tblProductos[SKU],0)),"?"))</f>
        <v/>
      </c>
      <c r="I2893" s="39"/>
      <c r="J2893" s="47" t="str">
        <f>IF(tblMovimientos[[#This Row],[Tipo]]="","",IFERROR(INDEX(tblTiposMov[FactorStock],MATCH(tblMovimientos[[#This Row],[Tipo]],tblTiposMov[Tipo],0)),0))</f>
        <v/>
      </c>
      <c r="K28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3" s="37"/>
      <c r="O2893" s="37"/>
      <c r="P2893" s="37"/>
    </row>
    <row r="2894" spans="2:16" x14ac:dyDescent="0.25">
      <c r="B28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4" s="46"/>
      <c r="D2894" s="37"/>
      <c r="E2894" s="37"/>
      <c r="F2894" s="37"/>
      <c r="G2894" s="40" t="str">
        <f>IF(tblMovimientos[[#This Row],[Producto]]="","",TRIM(LEFT(tblMovimientos[[#This Row],[Producto]],FIND(" · ",tblMovimientos[[#This Row],[Producto]]&amp;" · ")-1)))</f>
        <v/>
      </c>
      <c r="H2894" s="40" t="str">
        <f>IF(tblMovimientos[[#This Row],[SKU]]="","",IFERROR(INDEX(tblProductos[Unidad],MATCH(tblMovimientos[[#This Row],[SKU]],tblProductos[SKU],0)),"?"))</f>
        <v/>
      </c>
      <c r="I2894" s="39"/>
      <c r="J2894" s="47" t="str">
        <f>IF(tblMovimientos[[#This Row],[Tipo]]="","",IFERROR(INDEX(tblTiposMov[FactorStock],MATCH(tblMovimientos[[#This Row],[Tipo]],tblTiposMov[Tipo],0)),0))</f>
        <v/>
      </c>
      <c r="K28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4" s="37"/>
      <c r="O2894" s="37"/>
      <c r="P2894" s="37"/>
    </row>
    <row r="2895" spans="2:16" x14ac:dyDescent="0.25">
      <c r="B28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5" s="46"/>
      <c r="D2895" s="37"/>
      <c r="E2895" s="37"/>
      <c r="F2895" s="37"/>
      <c r="G2895" s="40" t="str">
        <f>IF(tblMovimientos[[#This Row],[Producto]]="","",TRIM(LEFT(tblMovimientos[[#This Row],[Producto]],FIND(" · ",tblMovimientos[[#This Row],[Producto]]&amp;" · ")-1)))</f>
        <v/>
      </c>
      <c r="H2895" s="40" t="str">
        <f>IF(tblMovimientos[[#This Row],[SKU]]="","",IFERROR(INDEX(tblProductos[Unidad],MATCH(tblMovimientos[[#This Row],[SKU]],tblProductos[SKU],0)),"?"))</f>
        <v/>
      </c>
      <c r="I2895" s="39"/>
      <c r="J2895" s="47" t="str">
        <f>IF(tblMovimientos[[#This Row],[Tipo]]="","",IFERROR(INDEX(tblTiposMov[FactorStock],MATCH(tblMovimientos[[#This Row],[Tipo]],tblTiposMov[Tipo],0)),0))</f>
        <v/>
      </c>
      <c r="K28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5" s="37"/>
      <c r="O2895" s="37"/>
      <c r="P2895" s="37"/>
    </row>
    <row r="2896" spans="2:16" x14ac:dyDescent="0.25">
      <c r="B28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6" s="46"/>
      <c r="D2896" s="37"/>
      <c r="E2896" s="37"/>
      <c r="F2896" s="37"/>
      <c r="G2896" s="40" t="str">
        <f>IF(tblMovimientos[[#This Row],[Producto]]="","",TRIM(LEFT(tblMovimientos[[#This Row],[Producto]],FIND(" · ",tblMovimientos[[#This Row],[Producto]]&amp;" · ")-1)))</f>
        <v/>
      </c>
      <c r="H2896" s="40" t="str">
        <f>IF(tblMovimientos[[#This Row],[SKU]]="","",IFERROR(INDEX(tblProductos[Unidad],MATCH(tblMovimientos[[#This Row],[SKU]],tblProductos[SKU],0)),"?"))</f>
        <v/>
      </c>
      <c r="I2896" s="39"/>
      <c r="J2896" s="47" t="str">
        <f>IF(tblMovimientos[[#This Row],[Tipo]]="","",IFERROR(INDEX(tblTiposMov[FactorStock],MATCH(tblMovimientos[[#This Row],[Tipo]],tblTiposMov[Tipo],0)),0))</f>
        <v/>
      </c>
      <c r="K28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6" s="37"/>
      <c r="O2896" s="37"/>
      <c r="P2896" s="37"/>
    </row>
    <row r="2897" spans="2:16" x14ac:dyDescent="0.25">
      <c r="B28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7" s="46"/>
      <c r="D2897" s="37"/>
      <c r="E2897" s="37"/>
      <c r="F2897" s="37"/>
      <c r="G2897" s="40" t="str">
        <f>IF(tblMovimientos[[#This Row],[Producto]]="","",TRIM(LEFT(tblMovimientos[[#This Row],[Producto]],FIND(" · ",tblMovimientos[[#This Row],[Producto]]&amp;" · ")-1)))</f>
        <v/>
      </c>
      <c r="H2897" s="40" t="str">
        <f>IF(tblMovimientos[[#This Row],[SKU]]="","",IFERROR(INDEX(tblProductos[Unidad],MATCH(tblMovimientos[[#This Row],[SKU]],tblProductos[SKU],0)),"?"))</f>
        <v/>
      </c>
      <c r="I2897" s="39"/>
      <c r="J2897" s="47" t="str">
        <f>IF(tblMovimientos[[#This Row],[Tipo]]="","",IFERROR(INDEX(tblTiposMov[FactorStock],MATCH(tblMovimientos[[#This Row],[Tipo]],tblTiposMov[Tipo],0)),0))</f>
        <v/>
      </c>
      <c r="K28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7" s="37"/>
      <c r="O2897" s="37"/>
      <c r="P2897" s="37"/>
    </row>
    <row r="2898" spans="2:16" x14ac:dyDescent="0.25">
      <c r="B28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8" s="46"/>
      <c r="D2898" s="37"/>
      <c r="E2898" s="37"/>
      <c r="F2898" s="37"/>
      <c r="G2898" s="40" t="str">
        <f>IF(tblMovimientos[[#This Row],[Producto]]="","",TRIM(LEFT(tblMovimientos[[#This Row],[Producto]],FIND(" · ",tblMovimientos[[#This Row],[Producto]]&amp;" · ")-1)))</f>
        <v/>
      </c>
      <c r="H2898" s="40" t="str">
        <f>IF(tblMovimientos[[#This Row],[SKU]]="","",IFERROR(INDEX(tblProductos[Unidad],MATCH(tblMovimientos[[#This Row],[SKU]],tblProductos[SKU],0)),"?"))</f>
        <v/>
      </c>
      <c r="I2898" s="39"/>
      <c r="J2898" s="47" t="str">
        <f>IF(tblMovimientos[[#This Row],[Tipo]]="","",IFERROR(INDEX(tblTiposMov[FactorStock],MATCH(tblMovimientos[[#This Row],[Tipo]],tblTiposMov[Tipo],0)),0))</f>
        <v/>
      </c>
      <c r="K28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8" s="37"/>
      <c r="O2898" s="37"/>
      <c r="P2898" s="37"/>
    </row>
    <row r="2899" spans="2:16" x14ac:dyDescent="0.25">
      <c r="B28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899" s="46"/>
      <c r="D2899" s="37"/>
      <c r="E2899" s="37"/>
      <c r="F2899" s="37"/>
      <c r="G2899" s="40" t="str">
        <f>IF(tblMovimientos[[#This Row],[Producto]]="","",TRIM(LEFT(tblMovimientos[[#This Row],[Producto]],FIND(" · ",tblMovimientos[[#This Row],[Producto]]&amp;" · ")-1)))</f>
        <v/>
      </c>
      <c r="H2899" s="40" t="str">
        <f>IF(tblMovimientos[[#This Row],[SKU]]="","",IFERROR(INDEX(tblProductos[Unidad],MATCH(tblMovimientos[[#This Row],[SKU]],tblProductos[SKU],0)),"?"))</f>
        <v/>
      </c>
      <c r="I2899" s="39"/>
      <c r="J2899" s="47" t="str">
        <f>IF(tblMovimientos[[#This Row],[Tipo]]="","",IFERROR(INDEX(tblTiposMov[FactorStock],MATCH(tblMovimientos[[#This Row],[Tipo]],tblTiposMov[Tipo],0)),0))</f>
        <v/>
      </c>
      <c r="K28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8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899" s="37"/>
      <c r="O2899" s="37"/>
      <c r="P2899" s="37"/>
    </row>
    <row r="2900" spans="2:16" x14ac:dyDescent="0.25">
      <c r="B29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0" s="46"/>
      <c r="D2900" s="37"/>
      <c r="E2900" s="37"/>
      <c r="F2900" s="37"/>
      <c r="G2900" s="40" t="str">
        <f>IF(tblMovimientos[[#This Row],[Producto]]="","",TRIM(LEFT(tblMovimientos[[#This Row],[Producto]],FIND(" · ",tblMovimientos[[#This Row],[Producto]]&amp;" · ")-1)))</f>
        <v/>
      </c>
      <c r="H2900" s="40" t="str">
        <f>IF(tblMovimientos[[#This Row],[SKU]]="","",IFERROR(INDEX(tblProductos[Unidad],MATCH(tblMovimientos[[#This Row],[SKU]],tblProductos[SKU],0)),"?"))</f>
        <v/>
      </c>
      <c r="I2900" s="39"/>
      <c r="J2900" s="47" t="str">
        <f>IF(tblMovimientos[[#This Row],[Tipo]]="","",IFERROR(INDEX(tblTiposMov[FactorStock],MATCH(tblMovimientos[[#This Row],[Tipo]],tblTiposMov[Tipo],0)),0))</f>
        <v/>
      </c>
      <c r="K29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0" s="37"/>
      <c r="O2900" s="37"/>
      <c r="P2900" s="37"/>
    </row>
    <row r="2901" spans="2:16" x14ac:dyDescent="0.25">
      <c r="B29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1" s="46"/>
      <c r="D2901" s="37"/>
      <c r="E2901" s="37"/>
      <c r="F2901" s="37"/>
      <c r="G2901" s="40" t="str">
        <f>IF(tblMovimientos[[#This Row],[Producto]]="","",TRIM(LEFT(tblMovimientos[[#This Row],[Producto]],FIND(" · ",tblMovimientos[[#This Row],[Producto]]&amp;" · ")-1)))</f>
        <v/>
      </c>
      <c r="H2901" s="40" t="str">
        <f>IF(tblMovimientos[[#This Row],[SKU]]="","",IFERROR(INDEX(tblProductos[Unidad],MATCH(tblMovimientos[[#This Row],[SKU]],tblProductos[SKU],0)),"?"))</f>
        <v/>
      </c>
      <c r="I2901" s="39"/>
      <c r="J2901" s="47" t="str">
        <f>IF(tblMovimientos[[#This Row],[Tipo]]="","",IFERROR(INDEX(tblTiposMov[FactorStock],MATCH(tblMovimientos[[#This Row],[Tipo]],tblTiposMov[Tipo],0)),0))</f>
        <v/>
      </c>
      <c r="K29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1" s="37"/>
      <c r="O2901" s="37"/>
      <c r="P2901" s="37"/>
    </row>
    <row r="2902" spans="2:16" x14ac:dyDescent="0.25">
      <c r="B29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2" s="46"/>
      <c r="D2902" s="37"/>
      <c r="E2902" s="37"/>
      <c r="F2902" s="37"/>
      <c r="G2902" s="40" t="str">
        <f>IF(tblMovimientos[[#This Row],[Producto]]="","",TRIM(LEFT(tblMovimientos[[#This Row],[Producto]],FIND(" · ",tblMovimientos[[#This Row],[Producto]]&amp;" · ")-1)))</f>
        <v/>
      </c>
      <c r="H2902" s="40" t="str">
        <f>IF(tblMovimientos[[#This Row],[SKU]]="","",IFERROR(INDEX(tblProductos[Unidad],MATCH(tblMovimientos[[#This Row],[SKU]],tblProductos[SKU],0)),"?"))</f>
        <v/>
      </c>
      <c r="I2902" s="39"/>
      <c r="J2902" s="47" t="str">
        <f>IF(tblMovimientos[[#This Row],[Tipo]]="","",IFERROR(INDEX(tblTiposMov[FactorStock],MATCH(tblMovimientos[[#This Row],[Tipo]],tblTiposMov[Tipo],0)),0))</f>
        <v/>
      </c>
      <c r="K29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2" s="37"/>
      <c r="O2902" s="37"/>
      <c r="P2902" s="37"/>
    </row>
    <row r="2903" spans="2:16" x14ac:dyDescent="0.25">
      <c r="B29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3" s="46"/>
      <c r="D2903" s="37"/>
      <c r="E2903" s="37"/>
      <c r="F2903" s="37"/>
      <c r="G2903" s="40" t="str">
        <f>IF(tblMovimientos[[#This Row],[Producto]]="","",TRIM(LEFT(tblMovimientos[[#This Row],[Producto]],FIND(" · ",tblMovimientos[[#This Row],[Producto]]&amp;" · ")-1)))</f>
        <v/>
      </c>
      <c r="H2903" s="40" t="str">
        <f>IF(tblMovimientos[[#This Row],[SKU]]="","",IFERROR(INDEX(tblProductos[Unidad],MATCH(tblMovimientos[[#This Row],[SKU]],tblProductos[SKU],0)),"?"))</f>
        <v/>
      </c>
      <c r="I2903" s="39"/>
      <c r="J2903" s="47" t="str">
        <f>IF(tblMovimientos[[#This Row],[Tipo]]="","",IFERROR(INDEX(tblTiposMov[FactorStock],MATCH(tblMovimientos[[#This Row],[Tipo]],tblTiposMov[Tipo],0)),0))</f>
        <v/>
      </c>
      <c r="K29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3" s="37"/>
      <c r="O2903" s="37"/>
      <c r="P2903" s="37"/>
    </row>
    <row r="2904" spans="2:16" x14ac:dyDescent="0.25">
      <c r="B29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4" s="46"/>
      <c r="D2904" s="37"/>
      <c r="E2904" s="37"/>
      <c r="F2904" s="37"/>
      <c r="G2904" s="40" t="str">
        <f>IF(tblMovimientos[[#This Row],[Producto]]="","",TRIM(LEFT(tblMovimientos[[#This Row],[Producto]],FIND(" · ",tblMovimientos[[#This Row],[Producto]]&amp;" · ")-1)))</f>
        <v/>
      </c>
      <c r="H2904" s="40" t="str">
        <f>IF(tblMovimientos[[#This Row],[SKU]]="","",IFERROR(INDEX(tblProductos[Unidad],MATCH(tblMovimientos[[#This Row],[SKU]],tblProductos[SKU],0)),"?"))</f>
        <v/>
      </c>
      <c r="I2904" s="39"/>
      <c r="J2904" s="47" t="str">
        <f>IF(tblMovimientos[[#This Row],[Tipo]]="","",IFERROR(INDEX(tblTiposMov[FactorStock],MATCH(tblMovimientos[[#This Row],[Tipo]],tblTiposMov[Tipo],0)),0))</f>
        <v/>
      </c>
      <c r="K29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4" s="37"/>
      <c r="O2904" s="37"/>
      <c r="P2904" s="37"/>
    </row>
    <row r="2905" spans="2:16" x14ac:dyDescent="0.25">
      <c r="B29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5" s="46"/>
      <c r="D2905" s="37"/>
      <c r="E2905" s="37"/>
      <c r="F2905" s="37"/>
      <c r="G2905" s="40" t="str">
        <f>IF(tblMovimientos[[#This Row],[Producto]]="","",TRIM(LEFT(tblMovimientos[[#This Row],[Producto]],FIND(" · ",tblMovimientos[[#This Row],[Producto]]&amp;" · ")-1)))</f>
        <v/>
      </c>
      <c r="H2905" s="40" t="str">
        <f>IF(tblMovimientos[[#This Row],[SKU]]="","",IFERROR(INDEX(tblProductos[Unidad],MATCH(tblMovimientos[[#This Row],[SKU]],tblProductos[SKU],0)),"?"))</f>
        <v/>
      </c>
      <c r="I2905" s="39"/>
      <c r="J2905" s="47" t="str">
        <f>IF(tblMovimientos[[#This Row],[Tipo]]="","",IFERROR(INDEX(tblTiposMov[FactorStock],MATCH(tblMovimientos[[#This Row],[Tipo]],tblTiposMov[Tipo],0)),0))</f>
        <v/>
      </c>
      <c r="K29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5" s="37"/>
      <c r="O2905" s="37"/>
      <c r="P2905" s="37"/>
    </row>
    <row r="2906" spans="2:16" x14ac:dyDescent="0.25">
      <c r="B29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6" s="46"/>
      <c r="D2906" s="37"/>
      <c r="E2906" s="37"/>
      <c r="F2906" s="37"/>
      <c r="G2906" s="40" t="str">
        <f>IF(tblMovimientos[[#This Row],[Producto]]="","",TRIM(LEFT(tblMovimientos[[#This Row],[Producto]],FIND(" · ",tblMovimientos[[#This Row],[Producto]]&amp;" · ")-1)))</f>
        <v/>
      </c>
      <c r="H2906" s="40" t="str">
        <f>IF(tblMovimientos[[#This Row],[SKU]]="","",IFERROR(INDEX(tblProductos[Unidad],MATCH(tblMovimientos[[#This Row],[SKU]],tblProductos[SKU],0)),"?"))</f>
        <v/>
      </c>
      <c r="I2906" s="39"/>
      <c r="J2906" s="47" t="str">
        <f>IF(tblMovimientos[[#This Row],[Tipo]]="","",IFERROR(INDEX(tblTiposMov[FactorStock],MATCH(tblMovimientos[[#This Row],[Tipo]],tblTiposMov[Tipo],0)),0))</f>
        <v/>
      </c>
      <c r="K29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6" s="37"/>
      <c r="O2906" s="37"/>
      <c r="P2906" s="37"/>
    </row>
    <row r="2907" spans="2:16" x14ac:dyDescent="0.25">
      <c r="B29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7" s="46"/>
      <c r="D2907" s="37"/>
      <c r="E2907" s="37"/>
      <c r="F2907" s="37"/>
      <c r="G2907" s="40" t="str">
        <f>IF(tblMovimientos[[#This Row],[Producto]]="","",TRIM(LEFT(tblMovimientos[[#This Row],[Producto]],FIND(" · ",tblMovimientos[[#This Row],[Producto]]&amp;" · ")-1)))</f>
        <v/>
      </c>
      <c r="H2907" s="40" t="str">
        <f>IF(tblMovimientos[[#This Row],[SKU]]="","",IFERROR(INDEX(tblProductos[Unidad],MATCH(tblMovimientos[[#This Row],[SKU]],tblProductos[SKU],0)),"?"))</f>
        <v/>
      </c>
      <c r="I2907" s="39"/>
      <c r="J2907" s="47" t="str">
        <f>IF(tblMovimientos[[#This Row],[Tipo]]="","",IFERROR(INDEX(tblTiposMov[FactorStock],MATCH(tblMovimientos[[#This Row],[Tipo]],tblTiposMov[Tipo],0)),0))</f>
        <v/>
      </c>
      <c r="K29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7" s="37"/>
      <c r="O2907" s="37"/>
      <c r="P2907" s="37"/>
    </row>
    <row r="2908" spans="2:16" x14ac:dyDescent="0.25">
      <c r="B29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8" s="46"/>
      <c r="D2908" s="37"/>
      <c r="E2908" s="37"/>
      <c r="F2908" s="37"/>
      <c r="G2908" s="40" t="str">
        <f>IF(tblMovimientos[[#This Row],[Producto]]="","",TRIM(LEFT(tblMovimientos[[#This Row],[Producto]],FIND(" · ",tblMovimientos[[#This Row],[Producto]]&amp;" · ")-1)))</f>
        <v/>
      </c>
      <c r="H2908" s="40" t="str">
        <f>IF(tblMovimientos[[#This Row],[SKU]]="","",IFERROR(INDEX(tblProductos[Unidad],MATCH(tblMovimientos[[#This Row],[SKU]],tblProductos[SKU],0)),"?"))</f>
        <v/>
      </c>
      <c r="I2908" s="39"/>
      <c r="J2908" s="47" t="str">
        <f>IF(tblMovimientos[[#This Row],[Tipo]]="","",IFERROR(INDEX(tblTiposMov[FactorStock],MATCH(tblMovimientos[[#This Row],[Tipo]],tblTiposMov[Tipo],0)),0))</f>
        <v/>
      </c>
      <c r="K29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8" s="37"/>
      <c r="O2908" s="37"/>
      <c r="P2908" s="37"/>
    </row>
    <row r="2909" spans="2:16" x14ac:dyDescent="0.25">
      <c r="B29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09" s="46"/>
      <c r="D2909" s="37"/>
      <c r="E2909" s="37"/>
      <c r="F2909" s="37"/>
      <c r="G2909" s="40" t="str">
        <f>IF(tblMovimientos[[#This Row],[Producto]]="","",TRIM(LEFT(tblMovimientos[[#This Row],[Producto]],FIND(" · ",tblMovimientos[[#This Row],[Producto]]&amp;" · ")-1)))</f>
        <v/>
      </c>
      <c r="H2909" s="40" t="str">
        <f>IF(tblMovimientos[[#This Row],[SKU]]="","",IFERROR(INDEX(tblProductos[Unidad],MATCH(tblMovimientos[[#This Row],[SKU]],tblProductos[SKU],0)),"?"))</f>
        <v/>
      </c>
      <c r="I2909" s="39"/>
      <c r="J2909" s="47" t="str">
        <f>IF(tblMovimientos[[#This Row],[Tipo]]="","",IFERROR(INDEX(tblTiposMov[FactorStock],MATCH(tblMovimientos[[#This Row],[Tipo]],tblTiposMov[Tipo],0)),0))</f>
        <v/>
      </c>
      <c r="K29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09" s="37"/>
      <c r="O2909" s="37"/>
      <c r="P2909" s="37"/>
    </row>
    <row r="2910" spans="2:16" x14ac:dyDescent="0.25">
      <c r="B29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0" s="46"/>
      <c r="D2910" s="37"/>
      <c r="E2910" s="37"/>
      <c r="F2910" s="37"/>
      <c r="G2910" s="40" t="str">
        <f>IF(tblMovimientos[[#This Row],[Producto]]="","",TRIM(LEFT(tblMovimientos[[#This Row],[Producto]],FIND(" · ",tblMovimientos[[#This Row],[Producto]]&amp;" · ")-1)))</f>
        <v/>
      </c>
      <c r="H2910" s="40" t="str">
        <f>IF(tblMovimientos[[#This Row],[SKU]]="","",IFERROR(INDEX(tblProductos[Unidad],MATCH(tblMovimientos[[#This Row],[SKU]],tblProductos[SKU],0)),"?"))</f>
        <v/>
      </c>
      <c r="I2910" s="39"/>
      <c r="J2910" s="47" t="str">
        <f>IF(tblMovimientos[[#This Row],[Tipo]]="","",IFERROR(INDEX(tblTiposMov[FactorStock],MATCH(tblMovimientos[[#This Row],[Tipo]],tblTiposMov[Tipo],0)),0))</f>
        <v/>
      </c>
      <c r="K29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0" s="37"/>
      <c r="O2910" s="37"/>
      <c r="P2910" s="37"/>
    </row>
    <row r="2911" spans="2:16" x14ac:dyDescent="0.25">
      <c r="B29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1" s="46"/>
      <c r="D2911" s="37"/>
      <c r="E2911" s="37"/>
      <c r="F2911" s="37"/>
      <c r="G2911" s="40" t="str">
        <f>IF(tblMovimientos[[#This Row],[Producto]]="","",TRIM(LEFT(tblMovimientos[[#This Row],[Producto]],FIND(" · ",tblMovimientos[[#This Row],[Producto]]&amp;" · ")-1)))</f>
        <v/>
      </c>
      <c r="H2911" s="40" t="str">
        <f>IF(tblMovimientos[[#This Row],[SKU]]="","",IFERROR(INDEX(tblProductos[Unidad],MATCH(tblMovimientos[[#This Row],[SKU]],tblProductos[SKU],0)),"?"))</f>
        <v/>
      </c>
      <c r="I2911" s="39"/>
      <c r="J2911" s="47" t="str">
        <f>IF(tblMovimientos[[#This Row],[Tipo]]="","",IFERROR(INDEX(tblTiposMov[FactorStock],MATCH(tblMovimientos[[#This Row],[Tipo]],tblTiposMov[Tipo],0)),0))</f>
        <v/>
      </c>
      <c r="K29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1" s="37"/>
      <c r="O2911" s="37"/>
      <c r="P2911" s="37"/>
    </row>
    <row r="2912" spans="2:16" x14ac:dyDescent="0.25">
      <c r="B29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2" s="46"/>
      <c r="D2912" s="37"/>
      <c r="E2912" s="37"/>
      <c r="F2912" s="37"/>
      <c r="G2912" s="40" t="str">
        <f>IF(tblMovimientos[[#This Row],[Producto]]="","",TRIM(LEFT(tblMovimientos[[#This Row],[Producto]],FIND(" · ",tblMovimientos[[#This Row],[Producto]]&amp;" · ")-1)))</f>
        <v/>
      </c>
      <c r="H2912" s="40" t="str">
        <f>IF(tblMovimientos[[#This Row],[SKU]]="","",IFERROR(INDEX(tblProductos[Unidad],MATCH(tblMovimientos[[#This Row],[SKU]],tblProductos[SKU],0)),"?"))</f>
        <v/>
      </c>
      <c r="I2912" s="39"/>
      <c r="J2912" s="47" t="str">
        <f>IF(tblMovimientos[[#This Row],[Tipo]]="","",IFERROR(INDEX(tblTiposMov[FactorStock],MATCH(tblMovimientos[[#This Row],[Tipo]],tblTiposMov[Tipo],0)),0))</f>
        <v/>
      </c>
      <c r="K29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2" s="37"/>
      <c r="O2912" s="37"/>
      <c r="P2912" s="37"/>
    </row>
    <row r="2913" spans="2:16" x14ac:dyDescent="0.25">
      <c r="B29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3" s="46"/>
      <c r="D2913" s="37"/>
      <c r="E2913" s="37"/>
      <c r="F2913" s="37"/>
      <c r="G2913" s="40" t="str">
        <f>IF(tblMovimientos[[#This Row],[Producto]]="","",TRIM(LEFT(tblMovimientos[[#This Row],[Producto]],FIND(" · ",tblMovimientos[[#This Row],[Producto]]&amp;" · ")-1)))</f>
        <v/>
      </c>
      <c r="H2913" s="40" t="str">
        <f>IF(tblMovimientos[[#This Row],[SKU]]="","",IFERROR(INDEX(tblProductos[Unidad],MATCH(tblMovimientos[[#This Row],[SKU]],tblProductos[SKU],0)),"?"))</f>
        <v/>
      </c>
      <c r="I2913" s="39"/>
      <c r="J2913" s="47" t="str">
        <f>IF(tblMovimientos[[#This Row],[Tipo]]="","",IFERROR(INDEX(tblTiposMov[FactorStock],MATCH(tblMovimientos[[#This Row],[Tipo]],tblTiposMov[Tipo],0)),0))</f>
        <v/>
      </c>
      <c r="K29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3" s="37"/>
      <c r="O2913" s="37"/>
      <c r="P2913" s="37"/>
    </row>
    <row r="2914" spans="2:16" x14ac:dyDescent="0.25">
      <c r="B29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4" s="46"/>
      <c r="D2914" s="37"/>
      <c r="E2914" s="37"/>
      <c r="F2914" s="37"/>
      <c r="G2914" s="40" t="str">
        <f>IF(tblMovimientos[[#This Row],[Producto]]="","",TRIM(LEFT(tblMovimientos[[#This Row],[Producto]],FIND(" · ",tblMovimientos[[#This Row],[Producto]]&amp;" · ")-1)))</f>
        <v/>
      </c>
      <c r="H2914" s="40" t="str">
        <f>IF(tblMovimientos[[#This Row],[SKU]]="","",IFERROR(INDEX(tblProductos[Unidad],MATCH(tblMovimientos[[#This Row],[SKU]],tblProductos[SKU],0)),"?"))</f>
        <v/>
      </c>
      <c r="I2914" s="39"/>
      <c r="J2914" s="47" t="str">
        <f>IF(tblMovimientos[[#This Row],[Tipo]]="","",IFERROR(INDEX(tblTiposMov[FactorStock],MATCH(tblMovimientos[[#This Row],[Tipo]],tblTiposMov[Tipo],0)),0))</f>
        <v/>
      </c>
      <c r="K29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4" s="37"/>
      <c r="O2914" s="37"/>
      <c r="P2914" s="37"/>
    </row>
    <row r="2915" spans="2:16" x14ac:dyDescent="0.25">
      <c r="B29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5" s="46"/>
      <c r="D2915" s="37"/>
      <c r="E2915" s="37"/>
      <c r="F2915" s="37"/>
      <c r="G2915" s="40" t="str">
        <f>IF(tblMovimientos[[#This Row],[Producto]]="","",TRIM(LEFT(tblMovimientos[[#This Row],[Producto]],FIND(" · ",tblMovimientos[[#This Row],[Producto]]&amp;" · ")-1)))</f>
        <v/>
      </c>
      <c r="H2915" s="40" t="str">
        <f>IF(tblMovimientos[[#This Row],[SKU]]="","",IFERROR(INDEX(tblProductos[Unidad],MATCH(tblMovimientos[[#This Row],[SKU]],tblProductos[SKU],0)),"?"))</f>
        <v/>
      </c>
      <c r="I2915" s="39"/>
      <c r="J2915" s="47" t="str">
        <f>IF(tblMovimientos[[#This Row],[Tipo]]="","",IFERROR(INDEX(tblTiposMov[FactorStock],MATCH(tblMovimientos[[#This Row],[Tipo]],tblTiposMov[Tipo],0)),0))</f>
        <v/>
      </c>
      <c r="K29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5" s="37"/>
      <c r="O2915" s="37"/>
      <c r="P2915" s="37"/>
    </row>
    <row r="2916" spans="2:16" x14ac:dyDescent="0.25">
      <c r="B29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6" s="46"/>
      <c r="D2916" s="37"/>
      <c r="E2916" s="37"/>
      <c r="F2916" s="37"/>
      <c r="G2916" s="40" t="str">
        <f>IF(tblMovimientos[[#This Row],[Producto]]="","",TRIM(LEFT(tblMovimientos[[#This Row],[Producto]],FIND(" · ",tblMovimientos[[#This Row],[Producto]]&amp;" · ")-1)))</f>
        <v/>
      </c>
      <c r="H2916" s="40" t="str">
        <f>IF(tblMovimientos[[#This Row],[SKU]]="","",IFERROR(INDEX(tblProductos[Unidad],MATCH(tblMovimientos[[#This Row],[SKU]],tblProductos[SKU],0)),"?"))</f>
        <v/>
      </c>
      <c r="I2916" s="39"/>
      <c r="J2916" s="47" t="str">
        <f>IF(tblMovimientos[[#This Row],[Tipo]]="","",IFERROR(INDEX(tblTiposMov[FactorStock],MATCH(tblMovimientos[[#This Row],[Tipo]],tblTiposMov[Tipo],0)),0))</f>
        <v/>
      </c>
      <c r="K29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6" s="37"/>
      <c r="O2916" s="37"/>
      <c r="P2916" s="37"/>
    </row>
    <row r="2917" spans="2:16" x14ac:dyDescent="0.25">
      <c r="B29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7" s="46"/>
      <c r="D2917" s="37"/>
      <c r="E2917" s="37"/>
      <c r="F2917" s="37"/>
      <c r="G2917" s="40" t="str">
        <f>IF(tblMovimientos[[#This Row],[Producto]]="","",TRIM(LEFT(tblMovimientos[[#This Row],[Producto]],FIND(" · ",tblMovimientos[[#This Row],[Producto]]&amp;" · ")-1)))</f>
        <v/>
      </c>
      <c r="H2917" s="40" t="str">
        <f>IF(tblMovimientos[[#This Row],[SKU]]="","",IFERROR(INDEX(tblProductos[Unidad],MATCH(tblMovimientos[[#This Row],[SKU]],tblProductos[SKU],0)),"?"))</f>
        <v/>
      </c>
      <c r="I2917" s="39"/>
      <c r="J2917" s="47" t="str">
        <f>IF(tblMovimientos[[#This Row],[Tipo]]="","",IFERROR(INDEX(tblTiposMov[FactorStock],MATCH(tblMovimientos[[#This Row],[Tipo]],tblTiposMov[Tipo],0)),0))</f>
        <v/>
      </c>
      <c r="K29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7" s="37"/>
      <c r="O2917" s="37"/>
      <c r="P2917" s="37"/>
    </row>
    <row r="2918" spans="2:16" x14ac:dyDescent="0.25">
      <c r="B29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8" s="46"/>
      <c r="D2918" s="37"/>
      <c r="E2918" s="37"/>
      <c r="F2918" s="37"/>
      <c r="G2918" s="40" t="str">
        <f>IF(tblMovimientos[[#This Row],[Producto]]="","",TRIM(LEFT(tblMovimientos[[#This Row],[Producto]],FIND(" · ",tblMovimientos[[#This Row],[Producto]]&amp;" · ")-1)))</f>
        <v/>
      </c>
      <c r="H2918" s="40" t="str">
        <f>IF(tblMovimientos[[#This Row],[SKU]]="","",IFERROR(INDEX(tblProductos[Unidad],MATCH(tblMovimientos[[#This Row],[SKU]],tblProductos[SKU],0)),"?"))</f>
        <v/>
      </c>
      <c r="I2918" s="39"/>
      <c r="J2918" s="47" t="str">
        <f>IF(tblMovimientos[[#This Row],[Tipo]]="","",IFERROR(INDEX(tblTiposMov[FactorStock],MATCH(tblMovimientos[[#This Row],[Tipo]],tblTiposMov[Tipo],0)),0))</f>
        <v/>
      </c>
      <c r="K29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8" s="37"/>
      <c r="O2918" s="37"/>
      <c r="P2918" s="37"/>
    </row>
    <row r="2919" spans="2:16" x14ac:dyDescent="0.25">
      <c r="B29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19" s="46"/>
      <c r="D2919" s="37"/>
      <c r="E2919" s="37"/>
      <c r="F2919" s="37"/>
      <c r="G2919" s="40" t="str">
        <f>IF(tblMovimientos[[#This Row],[Producto]]="","",TRIM(LEFT(tblMovimientos[[#This Row],[Producto]],FIND(" · ",tblMovimientos[[#This Row],[Producto]]&amp;" · ")-1)))</f>
        <v/>
      </c>
      <c r="H2919" s="40" t="str">
        <f>IF(tblMovimientos[[#This Row],[SKU]]="","",IFERROR(INDEX(tblProductos[Unidad],MATCH(tblMovimientos[[#This Row],[SKU]],tblProductos[SKU],0)),"?"))</f>
        <v/>
      </c>
      <c r="I2919" s="39"/>
      <c r="J2919" s="47" t="str">
        <f>IF(tblMovimientos[[#This Row],[Tipo]]="","",IFERROR(INDEX(tblTiposMov[FactorStock],MATCH(tblMovimientos[[#This Row],[Tipo]],tblTiposMov[Tipo],0)),0))</f>
        <v/>
      </c>
      <c r="K29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19" s="37"/>
      <c r="O2919" s="37"/>
      <c r="P2919" s="37"/>
    </row>
    <row r="2920" spans="2:16" x14ac:dyDescent="0.25">
      <c r="B29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0" s="46"/>
      <c r="D2920" s="37"/>
      <c r="E2920" s="37"/>
      <c r="F2920" s="37"/>
      <c r="G2920" s="40" t="str">
        <f>IF(tblMovimientos[[#This Row],[Producto]]="","",TRIM(LEFT(tblMovimientos[[#This Row],[Producto]],FIND(" · ",tblMovimientos[[#This Row],[Producto]]&amp;" · ")-1)))</f>
        <v/>
      </c>
      <c r="H2920" s="40" t="str">
        <f>IF(tblMovimientos[[#This Row],[SKU]]="","",IFERROR(INDEX(tblProductos[Unidad],MATCH(tblMovimientos[[#This Row],[SKU]],tblProductos[SKU],0)),"?"))</f>
        <v/>
      </c>
      <c r="I2920" s="39"/>
      <c r="J2920" s="47" t="str">
        <f>IF(tblMovimientos[[#This Row],[Tipo]]="","",IFERROR(INDEX(tblTiposMov[FactorStock],MATCH(tblMovimientos[[#This Row],[Tipo]],tblTiposMov[Tipo],0)),0))</f>
        <v/>
      </c>
      <c r="K29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0" s="37"/>
      <c r="O2920" s="37"/>
      <c r="P2920" s="37"/>
    </row>
    <row r="2921" spans="2:16" x14ac:dyDescent="0.25">
      <c r="B29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1" s="46"/>
      <c r="D2921" s="37"/>
      <c r="E2921" s="37"/>
      <c r="F2921" s="37"/>
      <c r="G2921" s="40" t="str">
        <f>IF(tblMovimientos[[#This Row],[Producto]]="","",TRIM(LEFT(tblMovimientos[[#This Row],[Producto]],FIND(" · ",tblMovimientos[[#This Row],[Producto]]&amp;" · ")-1)))</f>
        <v/>
      </c>
      <c r="H2921" s="40" t="str">
        <f>IF(tblMovimientos[[#This Row],[SKU]]="","",IFERROR(INDEX(tblProductos[Unidad],MATCH(tblMovimientos[[#This Row],[SKU]],tblProductos[SKU],0)),"?"))</f>
        <v/>
      </c>
      <c r="I2921" s="39"/>
      <c r="J2921" s="47" t="str">
        <f>IF(tblMovimientos[[#This Row],[Tipo]]="","",IFERROR(INDEX(tblTiposMov[FactorStock],MATCH(tblMovimientos[[#This Row],[Tipo]],tblTiposMov[Tipo],0)),0))</f>
        <v/>
      </c>
      <c r="K29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1" s="37"/>
      <c r="O2921" s="37"/>
      <c r="P2921" s="37"/>
    </row>
    <row r="2922" spans="2:16" x14ac:dyDescent="0.25">
      <c r="B29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2" s="46"/>
      <c r="D2922" s="37"/>
      <c r="E2922" s="37"/>
      <c r="F2922" s="37"/>
      <c r="G2922" s="40" t="str">
        <f>IF(tblMovimientos[[#This Row],[Producto]]="","",TRIM(LEFT(tblMovimientos[[#This Row],[Producto]],FIND(" · ",tblMovimientos[[#This Row],[Producto]]&amp;" · ")-1)))</f>
        <v/>
      </c>
      <c r="H2922" s="40" t="str">
        <f>IF(tblMovimientos[[#This Row],[SKU]]="","",IFERROR(INDEX(tblProductos[Unidad],MATCH(tblMovimientos[[#This Row],[SKU]],tblProductos[SKU],0)),"?"))</f>
        <v/>
      </c>
      <c r="I2922" s="39"/>
      <c r="J2922" s="47" t="str">
        <f>IF(tblMovimientos[[#This Row],[Tipo]]="","",IFERROR(INDEX(tblTiposMov[FactorStock],MATCH(tblMovimientos[[#This Row],[Tipo]],tblTiposMov[Tipo],0)),0))</f>
        <v/>
      </c>
      <c r="K29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2" s="37"/>
      <c r="O2922" s="37"/>
      <c r="P2922" s="37"/>
    </row>
    <row r="2923" spans="2:16" x14ac:dyDescent="0.25">
      <c r="B29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3" s="46"/>
      <c r="D2923" s="37"/>
      <c r="E2923" s="37"/>
      <c r="F2923" s="37"/>
      <c r="G2923" s="40" t="str">
        <f>IF(tblMovimientos[[#This Row],[Producto]]="","",TRIM(LEFT(tblMovimientos[[#This Row],[Producto]],FIND(" · ",tblMovimientos[[#This Row],[Producto]]&amp;" · ")-1)))</f>
        <v/>
      </c>
      <c r="H2923" s="40" t="str">
        <f>IF(tblMovimientos[[#This Row],[SKU]]="","",IFERROR(INDEX(tblProductos[Unidad],MATCH(tblMovimientos[[#This Row],[SKU]],tblProductos[SKU],0)),"?"))</f>
        <v/>
      </c>
      <c r="I2923" s="39"/>
      <c r="J2923" s="47" t="str">
        <f>IF(tblMovimientos[[#This Row],[Tipo]]="","",IFERROR(INDEX(tblTiposMov[FactorStock],MATCH(tblMovimientos[[#This Row],[Tipo]],tblTiposMov[Tipo],0)),0))</f>
        <v/>
      </c>
      <c r="K29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3" s="37"/>
      <c r="O2923" s="37"/>
      <c r="P2923" s="37"/>
    </row>
    <row r="2924" spans="2:16" x14ac:dyDescent="0.25">
      <c r="B29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4" s="46"/>
      <c r="D2924" s="37"/>
      <c r="E2924" s="37"/>
      <c r="F2924" s="37"/>
      <c r="G2924" s="40" t="str">
        <f>IF(tblMovimientos[[#This Row],[Producto]]="","",TRIM(LEFT(tblMovimientos[[#This Row],[Producto]],FIND(" · ",tblMovimientos[[#This Row],[Producto]]&amp;" · ")-1)))</f>
        <v/>
      </c>
      <c r="H2924" s="40" t="str">
        <f>IF(tblMovimientos[[#This Row],[SKU]]="","",IFERROR(INDEX(tblProductos[Unidad],MATCH(tblMovimientos[[#This Row],[SKU]],tblProductos[SKU],0)),"?"))</f>
        <v/>
      </c>
      <c r="I2924" s="39"/>
      <c r="J2924" s="47" t="str">
        <f>IF(tblMovimientos[[#This Row],[Tipo]]="","",IFERROR(INDEX(tblTiposMov[FactorStock],MATCH(tblMovimientos[[#This Row],[Tipo]],tblTiposMov[Tipo],0)),0))</f>
        <v/>
      </c>
      <c r="K29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4" s="37"/>
      <c r="O2924" s="37"/>
      <c r="P2924" s="37"/>
    </row>
    <row r="2925" spans="2:16" x14ac:dyDescent="0.25">
      <c r="B29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5" s="46"/>
      <c r="D2925" s="37"/>
      <c r="E2925" s="37"/>
      <c r="F2925" s="37"/>
      <c r="G2925" s="40" t="str">
        <f>IF(tblMovimientos[[#This Row],[Producto]]="","",TRIM(LEFT(tblMovimientos[[#This Row],[Producto]],FIND(" · ",tblMovimientos[[#This Row],[Producto]]&amp;" · ")-1)))</f>
        <v/>
      </c>
      <c r="H2925" s="40" t="str">
        <f>IF(tblMovimientos[[#This Row],[SKU]]="","",IFERROR(INDEX(tblProductos[Unidad],MATCH(tblMovimientos[[#This Row],[SKU]],tblProductos[SKU],0)),"?"))</f>
        <v/>
      </c>
      <c r="I2925" s="39"/>
      <c r="J2925" s="47" t="str">
        <f>IF(tblMovimientos[[#This Row],[Tipo]]="","",IFERROR(INDEX(tblTiposMov[FactorStock],MATCH(tblMovimientos[[#This Row],[Tipo]],tblTiposMov[Tipo],0)),0))</f>
        <v/>
      </c>
      <c r="K29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5" s="37"/>
      <c r="O2925" s="37"/>
      <c r="P2925" s="37"/>
    </row>
    <row r="2926" spans="2:16" x14ac:dyDescent="0.25">
      <c r="B29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6" s="46"/>
      <c r="D2926" s="37"/>
      <c r="E2926" s="37"/>
      <c r="F2926" s="37"/>
      <c r="G2926" s="40" t="str">
        <f>IF(tblMovimientos[[#This Row],[Producto]]="","",TRIM(LEFT(tblMovimientos[[#This Row],[Producto]],FIND(" · ",tblMovimientos[[#This Row],[Producto]]&amp;" · ")-1)))</f>
        <v/>
      </c>
      <c r="H2926" s="40" t="str">
        <f>IF(tblMovimientos[[#This Row],[SKU]]="","",IFERROR(INDEX(tblProductos[Unidad],MATCH(tblMovimientos[[#This Row],[SKU]],tblProductos[SKU],0)),"?"))</f>
        <v/>
      </c>
      <c r="I2926" s="39"/>
      <c r="J2926" s="47" t="str">
        <f>IF(tblMovimientos[[#This Row],[Tipo]]="","",IFERROR(INDEX(tblTiposMov[FactorStock],MATCH(tblMovimientos[[#This Row],[Tipo]],tblTiposMov[Tipo],0)),0))</f>
        <v/>
      </c>
      <c r="K29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6" s="37"/>
      <c r="O2926" s="37"/>
      <c r="P2926" s="37"/>
    </row>
    <row r="2927" spans="2:16" x14ac:dyDescent="0.25">
      <c r="B29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7" s="46"/>
      <c r="D2927" s="37"/>
      <c r="E2927" s="37"/>
      <c r="F2927" s="37"/>
      <c r="G2927" s="40" t="str">
        <f>IF(tblMovimientos[[#This Row],[Producto]]="","",TRIM(LEFT(tblMovimientos[[#This Row],[Producto]],FIND(" · ",tblMovimientos[[#This Row],[Producto]]&amp;" · ")-1)))</f>
        <v/>
      </c>
      <c r="H2927" s="40" t="str">
        <f>IF(tblMovimientos[[#This Row],[SKU]]="","",IFERROR(INDEX(tblProductos[Unidad],MATCH(tblMovimientos[[#This Row],[SKU]],tblProductos[SKU],0)),"?"))</f>
        <v/>
      </c>
      <c r="I2927" s="39"/>
      <c r="J2927" s="47" t="str">
        <f>IF(tblMovimientos[[#This Row],[Tipo]]="","",IFERROR(INDEX(tblTiposMov[FactorStock],MATCH(tblMovimientos[[#This Row],[Tipo]],tblTiposMov[Tipo],0)),0))</f>
        <v/>
      </c>
      <c r="K29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7" s="37"/>
      <c r="O2927" s="37"/>
      <c r="P2927" s="37"/>
    </row>
    <row r="2928" spans="2:16" x14ac:dyDescent="0.25">
      <c r="B29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8" s="46"/>
      <c r="D2928" s="37"/>
      <c r="E2928" s="37"/>
      <c r="F2928" s="37"/>
      <c r="G2928" s="40" t="str">
        <f>IF(tblMovimientos[[#This Row],[Producto]]="","",TRIM(LEFT(tblMovimientos[[#This Row],[Producto]],FIND(" · ",tblMovimientos[[#This Row],[Producto]]&amp;" · ")-1)))</f>
        <v/>
      </c>
      <c r="H2928" s="40" t="str">
        <f>IF(tblMovimientos[[#This Row],[SKU]]="","",IFERROR(INDEX(tblProductos[Unidad],MATCH(tblMovimientos[[#This Row],[SKU]],tblProductos[SKU],0)),"?"))</f>
        <v/>
      </c>
      <c r="I2928" s="39"/>
      <c r="J2928" s="47" t="str">
        <f>IF(tblMovimientos[[#This Row],[Tipo]]="","",IFERROR(INDEX(tblTiposMov[FactorStock],MATCH(tblMovimientos[[#This Row],[Tipo]],tblTiposMov[Tipo],0)),0))</f>
        <v/>
      </c>
      <c r="K29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8" s="37"/>
      <c r="O2928" s="37"/>
      <c r="P2928" s="37"/>
    </row>
    <row r="2929" spans="2:16" x14ac:dyDescent="0.25">
      <c r="B29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29" s="46"/>
      <c r="D2929" s="37"/>
      <c r="E2929" s="37"/>
      <c r="F2929" s="37"/>
      <c r="G2929" s="40" t="str">
        <f>IF(tblMovimientos[[#This Row],[Producto]]="","",TRIM(LEFT(tblMovimientos[[#This Row],[Producto]],FIND(" · ",tblMovimientos[[#This Row],[Producto]]&amp;" · ")-1)))</f>
        <v/>
      </c>
      <c r="H2929" s="40" t="str">
        <f>IF(tblMovimientos[[#This Row],[SKU]]="","",IFERROR(INDEX(tblProductos[Unidad],MATCH(tblMovimientos[[#This Row],[SKU]],tblProductos[SKU],0)),"?"))</f>
        <v/>
      </c>
      <c r="I2929" s="39"/>
      <c r="J2929" s="47" t="str">
        <f>IF(tblMovimientos[[#This Row],[Tipo]]="","",IFERROR(INDEX(tblTiposMov[FactorStock],MATCH(tblMovimientos[[#This Row],[Tipo]],tblTiposMov[Tipo],0)),0))</f>
        <v/>
      </c>
      <c r="K29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29" s="37"/>
      <c r="O2929" s="37"/>
      <c r="P2929" s="37"/>
    </row>
    <row r="2930" spans="2:16" x14ac:dyDescent="0.25">
      <c r="B29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0" s="46"/>
      <c r="D2930" s="37"/>
      <c r="E2930" s="37"/>
      <c r="F2930" s="37"/>
      <c r="G2930" s="40" t="str">
        <f>IF(tblMovimientos[[#This Row],[Producto]]="","",TRIM(LEFT(tblMovimientos[[#This Row],[Producto]],FIND(" · ",tblMovimientos[[#This Row],[Producto]]&amp;" · ")-1)))</f>
        <v/>
      </c>
      <c r="H2930" s="40" t="str">
        <f>IF(tblMovimientos[[#This Row],[SKU]]="","",IFERROR(INDEX(tblProductos[Unidad],MATCH(tblMovimientos[[#This Row],[SKU]],tblProductos[SKU],0)),"?"))</f>
        <v/>
      </c>
      <c r="I2930" s="39"/>
      <c r="J2930" s="47" t="str">
        <f>IF(tblMovimientos[[#This Row],[Tipo]]="","",IFERROR(INDEX(tblTiposMov[FactorStock],MATCH(tblMovimientos[[#This Row],[Tipo]],tblTiposMov[Tipo],0)),0))</f>
        <v/>
      </c>
      <c r="K29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0" s="37"/>
      <c r="O2930" s="37"/>
      <c r="P2930" s="37"/>
    </row>
    <row r="2931" spans="2:16" x14ac:dyDescent="0.25">
      <c r="B29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1" s="46"/>
      <c r="D2931" s="37"/>
      <c r="E2931" s="37"/>
      <c r="F2931" s="37"/>
      <c r="G2931" s="40" t="str">
        <f>IF(tblMovimientos[[#This Row],[Producto]]="","",TRIM(LEFT(tblMovimientos[[#This Row],[Producto]],FIND(" · ",tblMovimientos[[#This Row],[Producto]]&amp;" · ")-1)))</f>
        <v/>
      </c>
      <c r="H2931" s="40" t="str">
        <f>IF(tblMovimientos[[#This Row],[SKU]]="","",IFERROR(INDEX(tblProductos[Unidad],MATCH(tblMovimientos[[#This Row],[SKU]],tblProductos[SKU],0)),"?"))</f>
        <v/>
      </c>
      <c r="I2931" s="39"/>
      <c r="J2931" s="47" t="str">
        <f>IF(tblMovimientos[[#This Row],[Tipo]]="","",IFERROR(INDEX(tblTiposMov[FactorStock],MATCH(tblMovimientos[[#This Row],[Tipo]],tblTiposMov[Tipo],0)),0))</f>
        <v/>
      </c>
      <c r="K29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1" s="37"/>
      <c r="O2931" s="37"/>
      <c r="P2931" s="37"/>
    </row>
    <row r="2932" spans="2:16" x14ac:dyDescent="0.25">
      <c r="B29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2" s="46"/>
      <c r="D2932" s="37"/>
      <c r="E2932" s="37"/>
      <c r="F2932" s="37"/>
      <c r="G2932" s="40" t="str">
        <f>IF(tblMovimientos[[#This Row],[Producto]]="","",TRIM(LEFT(tblMovimientos[[#This Row],[Producto]],FIND(" · ",tblMovimientos[[#This Row],[Producto]]&amp;" · ")-1)))</f>
        <v/>
      </c>
      <c r="H2932" s="40" t="str">
        <f>IF(tblMovimientos[[#This Row],[SKU]]="","",IFERROR(INDEX(tblProductos[Unidad],MATCH(tblMovimientos[[#This Row],[SKU]],tblProductos[SKU],0)),"?"))</f>
        <v/>
      </c>
      <c r="I2932" s="39"/>
      <c r="J2932" s="47" t="str">
        <f>IF(tblMovimientos[[#This Row],[Tipo]]="","",IFERROR(INDEX(tblTiposMov[FactorStock],MATCH(tblMovimientos[[#This Row],[Tipo]],tblTiposMov[Tipo],0)),0))</f>
        <v/>
      </c>
      <c r="K29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2" s="37"/>
      <c r="O2932" s="37"/>
      <c r="P2932" s="37"/>
    </row>
    <row r="2933" spans="2:16" x14ac:dyDescent="0.25">
      <c r="B29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3" s="46"/>
      <c r="D2933" s="37"/>
      <c r="E2933" s="37"/>
      <c r="F2933" s="37"/>
      <c r="G2933" s="40" t="str">
        <f>IF(tblMovimientos[[#This Row],[Producto]]="","",TRIM(LEFT(tblMovimientos[[#This Row],[Producto]],FIND(" · ",tblMovimientos[[#This Row],[Producto]]&amp;" · ")-1)))</f>
        <v/>
      </c>
      <c r="H2933" s="40" t="str">
        <f>IF(tblMovimientos[[#This Row],[SKU]]="","",IFERROR(INDEX(tblProductos[Unidad],MATCH(tblMovimientos[[#This Row],[SKU]],tblProductos[SKU],0)),"?"))</f>
        <v/>
      </c>
      <c r="I2933" s="39"/>
      <c r="J2933" s="47" t="str">
        <f>IF(tblMovimientos[[#This Row],[Tipo]]="","",IFERROR(INDEX(tblTiposMov[FactorStock],MATCH(tblMovimientos[[#This Row],[Tipo]],tblTiposMov[Tipo],0)),0))</f>
        <v/>
      </c>
      <c r="K29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3" s="37"/>
      <c r="O2933" s="37"/>
      <c r="P2933" s="37"/>
    </row>
    <row r="2934" spans="2:16" x14ac:dyDescent="0.25">
      <c r="B29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4" s="46"/>
      <c r="D2934" s="37"/>
      <c r="E2934" s="37"/>
      <c r="F2934" s="37"/>
      <c r="G2934" s="40" t="str">
        <f>IF(tblMovimientos[[#This Row],[Producto]]="","",TRIM(LEFT(tblMovimientos[[#This Row],[Producto]],FIND(" · ",tblMovimientos[[#This Row],[Producto]]&amp;" · ")-1)))</f>
        <v/>
      </c>
      <c r="H2934" s="40" t="str">
        <f>IF(tblMovimientos[[#This Row],[SKU]]="","",IFERROR(INDEX(tblProductos[Unidad],MATCH(tblMovimientos[[#This Row],[SKU]],tblProductos[SKU],0)),"?"))</f>
        <v/>
      </c>
      <c r="I2934" s="39"/>
      <c r="J2934" s="47" t="str">
        <f>IF(tblMovimientos[[#This Row],[Tipo]]="","",IFERROR(INDEX(tblTiposMov[FactorStock],MATCH(tblMovimientos[[#This Row],[Tipo]],tblTiposMov[Tipo],0)),0))</f>
        <v/>
      </c>
      <c r="K29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4" s="37"/>
      <c r="O2934" s="37"/>
      <c r="P2934" s="37"/>
    </row>
    <row r="2935" spans="2:16" x14ac:dyDescent="0.25">
      <c r="B29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5" s="46"/>
      <c r="D2935" s="37"/>
      <c r="E2935" s="37"/>
      <c r="F2935" s="37"/>
      <c r="G2935" s="40" t="str">
        <f>IF(tblMovimientos[[#This Row],[Producto]]="","",TRIM(LEFT(tblMovimientos[[#This Row],[Producto]],FIND(" · ",tblMovimientos[[#This Row],[Producto]]&amp;" · ")-1)))</f>
        <v/>
      </c>
      <c r="H2935" s="40" t="str">
        <f>IF(tblMovimientos[[#This Row],[SKU]]="","",IFERROR(INDEX(tblProductos[Unidad],MATCH(tblMovimientos[[#This Row],[SKU]],tblProductos[SKU],0)),"?"))</f>
        <v/>
      </c>
      <c r="I2935" s="39"/>
      <c r="J2935" s="47" t="str">
        <f>IF(tblMovimientos[[#This Row],[Tipo]]="","",IFERROR(INDEX(tblTiposMov[FactorStock],MATCH(tblMovimientos[[#This Row],[Tipo]],tblTiposMov[Tipo],0)),0))</f>
        <v/>
      </c>
      <c r="K29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5" s="37"/>
      <c r="O2935" s="37"/>
      <c r="P2935" s="37"/>
    </row>
    <row r="2936" spans="2:16" x14ac:dyDescent="0.25">
      <c r="B29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6" s="46"/>
      <c r="D2936" s="37"/>
      <c r="E2936" s="37"/>
      <c r="F2936" s="37"/>
      <c r="G2936" s="40" t="str">
        <f>IF(tblMovimientos[[#This Row],[Producto]]="","",TRIM(LEFT(tblMovimientos[[#This Row],[Producto]],FIND(" · ",tblMovimientos[[#This Row],[Producto]]&amp;" · ")-1)))</f>
        <v/>
      </c>
      <c r="H2936" s="40" t="str">
        <f>IF(tblMovimientos[[#This Row],[SKU]]="","",IFERROR(INDEX(tblProductos[Unidad],MATCH(tblMovimientos[[#This Row],[SKU]],tblProductos[SKU],0)),"?"))</f>
        <v/>
      </c>
      <c r="I2936" s="39"/>
      <c r="J2936" s="47" t="str">
        <f>IF(tblMovimientos[[#This Row],[Tipo]]="","",IFERROR(INDEX(tblTiposMov[FactorStock],MATCH(tblMovimientos[[#This Row],[Tipo]],tblTiposMov[Tipo],0)),0))</f>
        <v/>
      </c>
      <c r="K29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6" s="37"/>
      <c r="O2936" s="37"/>
      <c r="P2936" s="37"/>
    </row>
    <row r="2937" spans="2:16" x14ac:dyDescent="0.25">
      <c r="B29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7" s="46"/>
      <c r="D2937" s="37"/>
      <c r="E2937" s="37"/>
      <c r="F2937" s="37"/>
      <c r="G2937" s="40" t="str">
        <f>IF(tblMovimientos[[#This Row],[Producto]]="","",TRIM(LEFT(tblMovimientos[[#This Row],[Producto]],FIND(" · ",tblMovimientos[[#This Row],[Producto]]&amp;" · ")-1)))</f>
        <v/>
      </c>
      <c r="H2937" s="40" t="str">
        <f>IF(tblMovimientos[[#This Row],[SKU]]="","",IFERROR(INDEX(tblProductos[Unidad],MATCH(tblMovimientos[[#This Row],[SKU]],tblProductos[SKU],0)),"?"))</f>
        <v/>
      </c>
      <c r="I2937" s="39"/>
      <c r="J2937" s="47" t="str">
        <f>IF(tblMovimientos[[#This Row],[Tipo]]="","",IFERROR(INDEX(tblTiposMov[FactorStock],MATCH(tblMovimientos[[#This Row],[Tipo]],tblTiposMov[Tipo],0)),0))</f>
        <v/>
      </c>
      <c r="K29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7" s="37"/>
      <c r="O2937" s="37"/>
      <c r="P2937" s="37"/>
    </row>
    <row r="2938" spans="2:16" x14ac:dyDescent="0.25">
      <c r="B29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8" s="46"/>
      <c r="D2938" s="37"/>
      <c r="E2938" s="37"/>
      <c r="F2938" s="37"/>
      <c r="G2938" s="40" t="str">
        <f>IF(tblMovimientos[[#This Row],[Producto]]="","",TRIM(LEFT(tblMovimientos[[#This Row],[Producto]],FIND(" · ",tblMovimientos[[#This Row],[Producto]]&amp;" · ")-1)))</f>
        <v/>
      </c>
      <c r="H2938" s="40" t="str">
        <f>IF(tblMovimientos[[#This Row],[SKU]]="","",IFERROR(INDEX(tblProductos[Unidad],MATCH(tblMovimientos[[#This Row],[SKU]],tblProductos[SKU],0)),"?"))</f>
        <v/>
      </c>
      <c r="I2938" s="39"/>
      <c r="J2938" s="47" t="str">
        <f>IF(tblMovimientos[[#This Row],[Tipo]]="","",IFERROR(INDEX(tblTiposMov[FactorStock],MATCH(tblMovimientos[[#This Row],[Tipo]],tblTiposMov[Tipo],0)),0))</f>
        <v/>
      </c>
      <c r="K29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8" s="37"/>
      <c r="O2938" s="37"/>
      <c r="P2938" s="37"/>
    </row>
    <row r="2939" spans="2:16" x14ac:dyDescent="0.25">
      <c r="B29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39" s="46"/>
      <c r="D2939" s="37"/>
      <c r="E2939" s="37"/>
      <c r="F2939" s="37"/>
      <c r="G2939" s="40" t="str">
        <f>IF(tblMovimientos[[#This Row],[Producto]]="","",TRIM(LEFT(tblMovimientos[[#This Row],[Producto]],FIND(" · ",tblMovimientos[[#This Row],[Producto]]&amp;" · ")-1)))</f>
        <v/>
      </c>
      <c r="H2939" s="40" t="str">
        <f>IF(tblMovimientos[[#This Row],[SKU]]="","",IFERROR(INDEX(tblProductos[Unidad],MATCH(tblMovimientos[[#This Row],[SKU]],tblProductos[SKU],0)),"?"))</f>
        <v/>
      </c>
      <c r="I2939" s="39"/>
      <c r="J2939" s="47" t="str">
        <f>IF(tblMovimientos[[#This Row],[Tipo]]="","",IFERROR(INDEX(tblTiposMov[FactorStock],MATCH(tblMovimientos[[#This Row],[Tipo]],tblTiposMov[Tipo],0)),0))</f>
        <v/>
      </c>
      <c r="K29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39" s="37"/>
      <c r="O2939" s="37"/>
      <c r="P2939" s="37"/>
    </row>
    <row r="2940" spans="2:16" x14ac:dyDescent="0.25">
      <c r="B29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0" s="46"/>
      <c r="D2940" s="37"/>
      <c r="E2940" s="37"/>
      <c r="F2940" s="37"/>
      <c r="G2940" s="40" t="str">
        <f>IF(tblMovimientos[[#This Row],[Producto]]="","",TRIM(LEFT(tblMovimientos[[#This Row],[Producto]],FIND(" · ",tblMovimientos[[#This Row],[Producto]]&amp;" · ")-1)))</f>
        <v/>
      </c>
      <c r="H2940" s="40" t="str">
        <f>IF(tblMovimientos[[#This Row],[SKU]]="","",IFERROR(INDEX(tblProductos[Unidad],MATCH(tblMovimientos[[#This Row],[SKU]],tblProductos[SKU],0)),"?"))</f>
        <v/>
      </c>
      <c r="I2940" s="39"/>
      <c r="J2940" s="47" t="str">
        <f>IF(tblMovimientos[[#This Row],[Tipo]]="","",IFERROR(INDEX(tblTiposMov[FactorStock],MATCH(tblMovimientos[[#This Row],[Tipo]],tblTiposMov[Tipo],0)),0))</f>
        <v/>
      </c>
      <c r="K29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0" s="37"/>
      <c r="O2940" s="37"/>
      <c r="P2940" s="37"/>
    </row>
    <row r="2941" spans="2:16" x14ac:dyDescent="0.25">
      <c r="B29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1" s="46"/>
      <c r="D2941" s="37"/>
      <c r="E2941" s="37"/>
      <c r="F2941" s="37"/>
      <c r="G2941" s="40" t="str">
        <f>IF(tblMovimientos[[#This Row],[Producto]]="","",TRIM(LEFT(tblMovimientos[[#This Row],[Producto]],FIND(" · ",tblMovimientos[[#This Row],[Producto]]&amp;" · ")-1)))</f>
        <v/>
      </c>
      <c r="H2941" s="40" t="str">
        <f>IF(tblMovimientos[[#This Row],[SKU]]="","",IFERROR(INDEX(tblProductos[Unidad],MATCH(tblMovimientos[[#This Row],[SKU]],tblProductos[SKU],0)),"?"))</f>
        <v/>
      </c>
      <c r="I2941" s="39"/>
      <c r="J2941" s="47" t="str">
        <f>IF(tblMovimientos[[#This Row],[Tipo]]="","",IFERROR(INDEX(tblTiposMov[FactorStock],MATCH(tblMovimientos[[#This Row],[Tipo]],tblTiposMov[Tipo],0)),0))</f>
        <v/>
      </c>
      <c r="K29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1" s="37"/>
      <c r="O2941" s="37"/>
      <c r="P2941" s="37"/>
    </row>
    <row r="2942" spans="2:16" x14ac:dyDescent="0.25">
      <c r="B29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2" s="46"/>
      <c r="D2942" s="37"/>
      <c r="E2942" s="37"/>
      <c r="F2942" s="37"/>
      <c r="G2942" s="40" t="str">
        <f>IF(tblMovimientos[[#This Row],[Producto]]="","",TRIM(LEFT(tblMovimientos[[#This Row],[Producto]],FIND(" · ",tblMovimientos[[#This Row],[Producto]]&amp;" · ")-1)))</f>
        <v/>
      </c>
      <c r="H2942" s="40" t="str">
        <f>IF(tblMovimientos[[#This Row],[SKU]]="","",IFERROR(INDEX(tblProductos[Unidad],MATCH(tblMovimientos[[#This Row],[SKU]],tblProductos[SKU],0)),"?"))</f>
        <v/>
      </c>
      <c r="I2942" s="39"/>
      <c r="J2942" s="47" t="str">
        <f>IF(tblMovimientos[[#This Row],[Tipo]]="","",IFERROR(INDEX(tblTiposMov[FactorStock],MATCH(tblMovimientos[[#This Row],[Tipo]],tblTiposMov[Tipo],0)),0))</f>
        <v/>
      </c>
      <c r="K29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2" s="37"/>
      <c r="O2942" s="37"/>
      <c r="P2942" s="37"/>
    </row>
    <row r="2943" spans="2:16" x14ac:dyDescent="0.25">
      <c r="B29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3" s="46"/>
      <c r="D2943" s="37"/>
      <c r="E2943" s="37"/>
      <c r="F2943" s="37"/>
      <c r="G2943" s="40" t="str">
        <f>IF(tblMovimientos[[#This Row],[Producto]]="","",TRIM(LEFT(tblMovimientos[[#This Row],[Producto]],FIND(" · ",tblMovimientos[[#This Row],[Producto]]&amp;" · ")-1)))</f>
        <v/>
      </c>
      <c r="H2943" s="40" t="str">
        <f>IF(tblMovimientos[[#This Row],[SKU]]="","",IFERROR(INDEX(tblProductos[Unidad],MATCH(tblMovimientos[[#This Row],[SKU]],tblProductos[SKU],0)),"?"))</f>
        <v/>
      </c>
      <c r="I2943" s="39"/>
      <c r="J2943" s="47" t="str">
        <f>IF(tblMovimientos[[#This Row],[Tipo]]="","",IFERROR(INDEX(tblTiposMov[FactorStock],MATCH(tblMovimientos[[#This Row],[Tipo]],tblTiposMov[Tipo],0)),0))</f>
        <v/>
      </c>
      <c r="K29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3" s="37"/>
      <c r="O2943" s="37"/>
      <c r="P2943" s="37"/>
    </row>
    <row r="2944" spans="2:16" x14ac:dyDescent="0.25">
      <c r="B29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4" s="46"/>
      <c r="D2944" s="37"/>
      <c r="E2944" s="37"/>
      <c r="F2944" s="37"/>
      <c r="G2944" s="40" t="str">
        <f>IF(tblMovimientos[[#This Row],[Producto]]="","",TRIM(LEFT(tblMovimientos[[#This Row],[Producto]],FIND(" · ",tblMovimientos[[#This Row],[Producto]]&amp;" · ")-1)))</f>
        <v/>
      </c>
      <c r="H2944" s="40" t="str">
        <f>IF(tblMovimientos[[#This Row],[SKU]]="","",IFERROR(INDEX(tblProductos[Unidad],MATCH(tblMovimientos[[#This Row],[SKU]],tblProductos[SKU],0)),"?"))</f>
        <v/>
      </c>
      <c r="I2944" s="39"/>
      <c r="J2944" s="47" t="str">
        <f>IF(tblMovimientos[[#This Row],[Tipo]]="","",IFERROR(INDEX(tblTiposMov[FactorStock],MATCH(tblMovimientos[[#This Row],[Tipo]],tblTiposMov[Tipo],0)),0))</f>
        <v/>
      </c>
      <c r="K29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4" s="37"/>
      <c r="O2944" s="37"/>
      <c r="P2944" s="37"/>
    </row>
    <row r="2945" spans="2:16" x14ac:dyDescent="0.25">
      <c r="B29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5" s="46"/>
      <c r="D2945" s="37"/>
      <c r="E2945" s="37"/>
      <c r="F2945" s="37"/>
      <c r="G2945" s="40" t="str">
        <f>IF(tblMovimientos[[#This Row],[Producto]]="","",TRIM(LEFT(tblMovimientos[[#This Row],[Producto]],FIND(" · ",tblMovimientos[[#This Row],[Producto]]&amp;" · ")-1)))</f>
        <v/>
      </c>
      <c r="H2945" s="40" t="str">
        <f>IF(tblMovimientos[[#This Row],[SKU]]="","",IFERROR(INDEX(tblProductos[Unidad],MATCH(tblMovimientos[[#This Row],[SKU]],tblProductos[SKU],0)),"?"))</f>
        <v/>
      </c>
      <c r="I2945" s="39"/>
      <c r="J2945" s="47" t="str">
        <f>IF(tblMovimientos[[#This Row],[Tipo]]="","",IFERROR(INDEX(tblTiposMov[FactorStock],MATCH(tblMovimientos[[#This Row],[Tipo]],tblTiposMov[Tipo],0)),0))</f>
        <v/>
      </c>
      <c r="K29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5" s="37"/>
      <c r="O2945" s="37"/>
      <c r="P2945" s="37"/>
    </row>
    <row r="2946" spans="2:16" x14ac:dyDescent="0.25">
      <c r="B29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6" s="46"/>
      <c r="D2946" s="37"/>
      <c r="E2946" s="37"/>
      <c r="F2946" s="37"/>
      <c r="G2946" s="40" t="str">
        <f>IF(tblMovimientos[[#This Row],[Producto]]="","",TRIM(LEFT(tblMovimientos[[#This Row],[Producto]],FIND(" · ",tblMovimientos[[#This Row],[Producto]]&amp;" · ")-1)))</f>
        <v/>
      </c>
      <c r="H2946" s="40" t="str">
        <f>IF(tblMovimientos[[#This Row],[SKU]]="","",IFERROR(INDEX(tblProductos[Unidad],MATCH(tblMovimientos[[#This Row],[SKU]],tblProductos[SKU],0)),"?"))</f>
        <v/>
      </c>
      <c r="I2946" s="39"/>
      <c r="J2946" s="47" t="str">
        <f>IF(tblMovimientos[[#This Row],[Tipo]]="","",IFERROR(INDEX(tblTiposMov[FactorStock],MATCH(tblMovimientos[[#This Row],[Tipo]],tblTiposMov[Tipo],0)),0))</f>
        <v/>
      </c>
      <c r="K29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6" s="37"/>
      <c r="O2946" s="37"/>
      <c r="P2946" s="37"/>
    </row>
    <row r="2947" spans="2:16" x14ac:dyDescent="0.25">
      <c r="B29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7" s="46"/>
      <c r="D2947" s="37"/>
      <c r="E2947" s="37"/>
      <c r="F2947" s="37"/>
      <c r="G2947" s="40" t="str">
        <f>IF(tblMovimientos[[#This Row],[Producto]]="","",TRIM(LEFT(tblMovimientos[[#This Row],[Producto]],FIND(" · ",tblMovimientos[[#This Row],[Producto]]&amp;" · ")-1)))</f>
        <v/>
      </c>
      <c r="H2947" s="40" t="str">
        <f>IF(tblMovimientos[[#This Row],[SKU]]="","",IFERROR(INDEX(tblProductos[Unidad],MATCH(tblMovimientos[[#This Row],[SKU]],tblProductos[SKU],0)),"?"))</f>
        <v/>
      </c>
      <c r="I2947" s="39"/>
      <c r="J2947" s="47" t="str">
        <f>IF(tblMovimientos[[#This Row],[Tipo]]="","",IFERROR(INDEX(tblTiposMov[FactorStock],MATCH(tblMovimientos[[#This Row],[Tipo]],tblTiposMov[Tipo],0)),0))</f>
        <v/>
      </c>
      <c r="K29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7" s="37"/>
      <c r="O2947" s="37"/>
      <c r="P2947" s="37"/>
    </row>
    <row r="2948" spans="2:16" x14ac:dyDescent="0.25">
      <c r="B29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8" s="46"/>
      <c r="D2948" s="37"/>
      <c r="E2948" s="37"/>
      <c r="F2948" s="37"/>
      <c r="G2948" s="40" t="str">
        <f>IF(tblMovimientos[[#This Row],[Producto]]="","",TRIM(LEFT(tblMovimientos[[#This Row],[Producto]],FIND(" · ",tblMovimientos[[#This Row],[Producto]]&amp;" · ")-1)))</f>
        <v/>
      </c>
      <c r="H2948" s="40" t="str">
        <f>IF(tblMovimientos[[#This Row],[SKU]]="","",IFERROR(INDEX(tblProductos[Unidad],MATCH(tblMovimientos[[#This Row],[SKU]],tblProductos[SKU],0)),"?"))</f>
        <v/>
      </c>
      <c r="I2948" s="39"/>
      <c r="J2948" s="47" t="str">
        <f>IF(tblMovimientos[[#This Row],[Tipo]]="","",IFERROR(INDEX(tblTiposMov[FactorStock],MATCH(tblMovimientos[[#This Row],[Tipo]],tblTiposMov[Tipo],0)),0))</f>
        <v/>
      </c>
      <c r="K29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8" s="37"/>
      <c r="O2948" s="37"/>
      <c r="P2948" s="37"/>
    </row>
    <row r="2949" spans="2:16" x14ac:dyDescent="0.25">
      <c r="B29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49" s="46"/>
      <c r="D2949" s="37"/>
      <c r="E2949" s="37"/>
      <c r="F2949" s="37"/>
      <c r="G2949" s="40" t="str">
        <f>IF(tblMovimientos[[#This Row],[Producto]]="","",TRIM(LEFT(tblMovimientos[[#This Row],[Producto]],FIND(" · ",tblMovimientos[[#This Row],[Producto]]&amp;" · ")-1)))</f>
        <v/>
      </c>
      <c r="H2949" s="40" t="str">
        <f>IF(tblMovimientos[[#This Row],[SKU]]="","",IFERROR(INDEX(tblProductos[Unidad],MATCH(tblMovimientos[[#This Row],[SKU]],tblProductos[SKU],0)),"?"))</f>
        <v/>
      </c>
      <c r="I2949" s="39"/>
      <c r="J2949" s="47" t="str">
        <f>IF(tblMovimientos[[#This Row],[Tipo]]="","",IFERROR(INDEX(tblTiposMov[FactorStock],MATCH(tblMovimientos[[#This Row],[Tipo]],tblTiposMov[Tipo],0)),0))</f>
        <v/>
      </c>
      <c r="K29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49" s="37"/>
      <c r="O2949" s="37"/>
      <c r="P2949" s="37"/>
    </row>
    <row r="2950" spans="2:16" x14ac:dyDescent="0.25">
      <c r="B29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0" s="46"/>
      <c r="D2950" s="37"/>
      <c r="E2950" s="37"/>
      <c r="F2950" s="37"/>
      <c r="G2950" s="40" t="str">
        <f>IF(tblMovimientos[[#This Row],[Producto]]="","",TRIM(LEFT(tblMovimientos[[#This Row],[Producto]],FIND(" · ",tblMovimientos[[#This Row],[Producto]]&amp;" · ")-1)))</f>
        <v/>
      </c>
      <c r="H2950" s="40" t="str">
        <f>IF(tblMovimientos[[#This Row],[SKU]]="","",IFERROR(INDEX(tblProductos[Unidad],MATCH(tblMovimientos[[#This Row],[SKU]],tblProductos[SKU],0)),"?"))</f>
        <v/>
      </c>
      <c r="I2950" s="39"/>
      <c r="J2950" s="47" t="str">
        <f>IF(tblMovimientos[[#This Row],[Tipo]]="","",IFERROR(INDEX(tblTiposMov[FactorStock],MATCH(tblMovimientos[[#This Row],[Tipo]],tblTiposMov[Tipo],0)),0))</f>
        <v/>
      </c>
      <c r="K29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0" s="37"/>
      <c r="O2950" s="37"/>
      <c r="P2950" s="37"/>
    </row>
    <row r="2951" spans="2:16" x14ac:dyDescent="0.25">
      <c r="B29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1" s="46"/>
      <c r="D2951" s="37"/>
      <c r="E2951" s="37"/>
      <c r="F2951" s="37"/>
      <c r="G2951" s="40" t="str">
        <f>IF(tblMovimientos[[#This Row],[Producto]]="","",TRIM(LEFT(tblMovimientos[[#This Row],[Producto]],FIND(" · ",tblMovimientos[[#This Row],[Producto]]&amp;" · ")-1)))</f>
        <v/>
      </c>
      <c r="H2951" s="40" t="str">
        <f>IF(tblMovimientos[[#This Row],[SKU]]="","",IFERROR(INDEX(tblProductos[Unidad],MATCH(tblMovimientos[[#This Row],[SKU]],tblProductos[SKU],0)),"?"))</f>
        <v/>
      </c>
      <c r="I2951" s="39"/>
      <c r="J2951" s="47" t="str">
        <f>IF(tblMovimientos[[#This Row],[Tipo]]="","",IFERROR(INDEX(tblTiposMov[FactorStock],MATCH(tblMovimientos[[#This Row],[Tipo]],tblTiposMov[Tipo],0)),0))</f>
        <v/>
      </c>
      <c r="K29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1" s="37"/>
      <c r="O2951" s="37"/>
      <c r="P2951" s="37"/>
    </row>
    <row r="2952" spans="2:16" x14ac:dyDescent="0.25">
      <c r="B29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2" s="46"/>
      <c r="D2952" s="37"/>
      <c r="E2952" s="37"/>
      <c r="F2952" s="37"/>
      <c r="G2952" s="40" t="str">
        <f>IF(tblMovimientos[[#This Row],[Producto]]="","",TRIM(LEFT(tblMovimientos[[#This Row],[Producto]],FIND(" · ",tblMovimientos[[#This Row],[Producto]]&amp;" · ")-1)))</f>
        <v/>
      </c>
      <c r="H2952" s="40" t="str">
        <f>IF(tblMovimientos[[#This Row],[SKU]]="","",IFERROR(INDEX(tblProductos[Unidad],MATCH(tblMovimientos[[#This Row],[SKU]],tblProductos[SKU],0)),"?"))</f>
        <v/>
      </c>
      <c r="I2952" s="39"/>
      <c r="J2952" s="47" t="str">
        <f>IF(tblMovimientos[[#This Row],[Tipo]]="","",IFERROR(INDEX(tblTiposMov[FactorStock],MATCH(tblMovimientos[[#This Row],[Tipo]],tblTiposMov[Tipo],0)),0))</f>
        <v/>
      </c>
      <c r="K29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2" s="37"/>
      <c r="O2952" s="37"/>
      <c r="P2952" s="37"/>
    </row>
    <row r="2953" spans="2:16" x14ac:dyDescent="0.25">
      <c r="B29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3" s="46"/>
      <c r="D2953" s="37"/>
      <c r="E2953" s="37"/>
      <c r="F2953" s="37"/>
      <c r="G2953" s="40" t="str">
        <f>IF(tblMovimientos[[#This Row],[Producto]]="","",TRIM(LEFT(tblMovimientos[[#This Row],[Producto]],FIND(" · ",tblMovimientos[[#This Row],[Producto]]&amp;" · ")-1)))</f>
        <v/>
      </c>
      <c r="H2953" s="40" t="str">
        <f>IF(tblMovimientos[[#This Row],[SKU]]="","",IFERROR(INDEX(tblProductos[Unidad],MATCH(tblMovimientos[[#This Row],[SKU]],tblProductos[SKU],0)),"?"))</f>
        <v/>
      </c>
      <c r="I2953" s="39"/>
      <c r="J2953" s="47" t="str">
        <f>IF(tblMovimientos[[#This Row],[Tipo]]="","",IFERROR(INDEX(tblTiposMov[FactorStock],MATCH(tblMovimientos[[#This Row],[Tipo]],tblTiposMov[Tipo],0)),0))</f>
        <v/>
      </c>
      <c r="K29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3" s="37"/>
      <c r="O2953" s="37"/>
      <c r="P2953" s="37"/>
    </row>
    <row r="2954" spans="2:16" x14ac:dyDescent="0.25">
      <c r="B29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4" s="46"/>
      <c r="D2954" s="37"/>
      <c r="E2954" s="37"/>
      <c r="F2954" s="37"/>
      <c r="G2954" s="40" t="str">
        <f>IF(tblMovimientos[[#This Row],[Producto]]="","",TRIM(LEFT(tblMovimientos[[#This Row],[Producto]],FIND(" · ",tblMovimientos[[#This Row],[Producto]]&amp;" · ")-1)))</f>
        <v/>
      </c>
      <c r="H2954" s="40" t="str">
        <f>IF(tblMovimientos[[#This Row],[SKU]]="","",IFERROR(INDEX(tblProductos[Unidad],MATCH(tblMovimientos[[#This Row],[SKU]],tblProductos[SKU],0)),"?"))</f>
        <v/>
      </c>
      <c r="I2954" s="39"/>
      <c r="J2954" s="47" t="str">
        <f>IF(tblMovimientos[[#This Row],[Tipo]]="","",IFERROR(INDEX(tblTiposMov[FactorStock],MATCH(tblMovimientos[[#This Row],[Tipo]],tblTiposMov[Tipo],0)),0))</f>
        <v/>
      </c>
      <c r="K29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4" s="37"/>
      <c r="O2954" s="37"/>
      <c r="P2954" s="37"/>
    </row>
    <row r="2955" spans="2:16" x14ac:dyDescent="0.25">
      <c r="B29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5" s="46"/>
      <c r="D2955" s="37"/>
      <c r="E2955" s="37"/>
      <c r="F2955" s="37"/>
      <c r="G2955" s="40" t="str">
        <f>IF(tblMovimientos[[#This Row],[Producto]]="","",TRIM(LEFT(tblMovimientos[[#This Row],[Producto]],FIND(" · ",tblMovimientos[[#This Row],[Producto]]&amp;" · ")-1)))</f>
        <v/>
      </c>
      <c r="H2955" s="40" t="str">
        <f>IF(tblMovimientos[[#This Row],[SKU]]="","",IFERROR(INDEX(tblProductos[Unidad],MATCH(tblMovimientos[[#This Row],[SKU]],tblProductos[SKU],0)),"?"))</f>
        <v/>
      </c>
      <c r="I2955" s="39"/>
      <c r="J2955" s="47" t="str">
        <f>IF(tblMovimientos[[#This Row],[Tipo]]="","",IFERROR(INDEX(tblTiposMov[FactorStock],MATCH(tblMovimientos[[#This Row],[Tipo]],tblTiposMov[Tipo],0)),0))</f>
        <v/>
      </c>
      <c r="K29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5" s="37"/>
      <c r="O2955" s="37"/>
      <c r="P2955" s="37"/>
    </row>
    <row r="2956" spans="2:16" x14ac:dyDescent="0.25">
      <c r="B29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6" s="46"/>
      <c r="D2956" s="37"/>
      <c r="E2956" s="37"/>
      <c r="F2956" s="37"/>
      <c r="G2956" s="40" t="str">
        <f>IF(tblMovimientos[[#This Row],[Producto]]="","",TRIM(LEFT(tblMovimientos[[#This Row],[Producto]],FIND(" · ",tblMovimientos[[#This Row],[Producto]]&amp;" · ")-1)))</f>
        <v/>
      </c>
      <c r="H2956" s="40" t="str">
        <f>IF(tblMovimientos[[#This Row],[SKU]]="","",IFERROR(INDEX(tblProductos[Unidad],MATCH(tblMovimientos[[#This Row],[SKU]],tblProductos[SKU],0)),"?"))</f>
        <v/>
      </c>
      <c r="I2956" s="39"/>
      <c r="J2956" s="47" t="str">
        <f>IF(tblMovimientos[[#This Row],[Tipo]]="","",IFERROR(INDEX(tblTiposMov[FactorStock],MATCH(tblMovimientos[[#This Row],[Tipo]],tblTiposMov[Tipo],0)),0))</f>
        <v/>
      </c>
      <c r="K29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6" s="37"/>
      <c r="O2956" s="37"/>
      <c r="P2956" s="37"/>
    </row>
    <row r="2957" spans="2:16" x14ac:dyDescent="0.25">
      <c r="B29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7" s="46"/>
      <c r="D2957" s="37"/>
      <c r="E2957" s="37"/>
      <c r="F2957" s="37"/>
      <c r="G2957" s="40" t="str">
        <f>IF(tblMovimientos[[#This Row],[Producto]]="","",TRIM(LEFT(tblMovimientos[[#This Row],[Producto]],FIND(" · ",tblMovimientos[[#This Row],[Producto]]&amp;" · ")-1)))</f>
        <v/>
      </c>
      <c r="H2957" s="40" t="str">
        <f>IF(tblMovimientos[[#This Row],[SKU]]="","",IFERROR(INDEX(tblProductos[Unidad],MATCH(tblMovimientos[[#This Row],[SKU]],tblProductos[SKU],0)),"?"))</f>
        <v/>
      </c>
      <c r="I2957" s="39"/>
      <c r="J2957" s="47" t="str">
        <f>IF(tblMovimientos[[#This Row],[Tipo]]="","",IFERROR(INDEX(tblTiposMov[FactorStock],MATCH(tblMovimientos[[#This Row],[Tipo]],tblTiposMov[Tipo],0)),0))</f>
        <v/>
      </c>
      <c r="K29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7" s="37"/>
      <c r="O2957" s="37"/>
      <c r="P2957" s="37"/>
    </row>
    <row r="2958" spans="2:16" x14ac:dyDescent="0.25">
      <c r="B29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8" s="46"/>
      <c r="D2958" s="37"/>
      <c r="E2958" s="37"/>
      <c r="F2958" s="37"/>
      <c r="G2958" s="40" t="str">
        <f>IF(tblMovimientos[[#This Row],[Producto]]="","",TRIM(LEFT(tblMovimientos[[#This Row],[Producto]],FIND(" · ",tblMovimientos[[#This Row],[Producto]]&amp;" · ")-1)))</f>
        <v/>
      </c>
      <c r="H2958" s="40" t="str">
        <f>IF(tblMovimientos[[#This Row],[SKU]]="","",IFERROR(INDEX(tblProductos[Unidad],MATCH(tblMovimientos[[#This Row],[SKU]],tblProductos[SKU],0)),"?"))</f>
        <v/>
      </c>
      <c r="I2958" s="39"/>
      <c r="J2958" s="47" t="str">
        <f>IF(tblMovimientos[[#This Row],[Tipo]]="","",IFERROR(INDEX(tblTiposMov[FactorStock],MATCH(tblMovimientos[[#This Row],[Tipo]],tblTiposMov[Tipo],0)),0))</f>
        <v/>
      </c>
      <c r="K29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8" s="37"/>
      <c r="O2958" s="37"/>
      <c r="P2958" s="37"/>
    </row>
    <row r="2959" spans="2:16" x14ac:dyDescent="0.25">
      <c r="B29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59" s="46"/>
      <c r="D2959" s="37"/>
      <c r="E2959" s="37"/>
      <c r="F2959" s="37"/>
      <c r="G2959" s="40" t="str">
        <f>IF(tblMovimientos[[#This Row],[Producto]]="","",TRIM(LEFT(tblMovimientos[[#This Row],[Producto]],FIND(" · ",tblMovimientos[[#This Row],[Producto]]&amp;" · ")-1)))</f>
        <v/>
      </c>
      <c r="H2959" s="40" t="str">
        <f>IF(tblMovimientos[[#This Row],[SKU]]="","",IFERROR(INDEX(tblProductos[Unidad],MATCH(tblMovimientos[[#This Row],[SKU]],tblProductos[SKU],0)),"?"))</f>
        <v/>
      </c>
      <c r="I2959" s="39"/>
      <c r="J2959" s="47" t="str">
        <f>IF(tblMovimientos[[#This Row],[Tipo]]="","",IFERROR(INDEX(tblTiposMov[FactorStock],MATCH(tblMovimientos[[#This Row],[Tipo]],tblTiposMov[Tipo],0)),0))</f>
        <v/>
      </c>
      <c r="K29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59" s="37"/>
      <c r="O2959" s="37"/>
      <c r="P2959" s="37"/>
    </row>
    <row r="2960" spans="2:16" x14ac:dyDescent="0.25">
      <c r="B29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0" s="46"/>
      <c r="D2960" s="37"/>
      <c r="E2960" s="37"/>
      <c r="F2960" s="37"/>
      <c r="G2960" s="40" t="str">
        <f>IF(tblMovimientos[[#This Row],[Producto]]="","",TRIM(LEFT(tblMovimientos[[#This Row],[Producto]],FIND(" · ",tblMovimientos[[#This Row],[Producto]]&amp;" · ")-1)))</f>
        <v/>
      </c>
      <c r="H2960" s="40" t="str">
        <f>IF(tblMovimientos[[#This Row],[SKU]]="","",IFERROR(INDEX(tblProductos[Unidad],MATCH(tblMovimientos[[#This Row],[SKU]],tblProductos[SKU],0)),"?"))</f>
        <v/>
      </c>
      <c r="I2960" s="39"/>
      <c r="J2960" s="47" t="str">
        <f>IF(tblMovimientos[[#This Row],[Tipo]]="","",IFERROR(INDEX(tblTiposMov[FactorStock],MATCH(tblMovimientos[[#This Row],[Tipo]],tblTiposMov[Tipo],0)),0))</f>
        <v/>
      </c>
      <c r="K29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0" s="37"/>
      <c r="O2960" s="37"/>
      <c r="P2960" s="37"/>
    </row>
    <row r="2961" spans="2:16" x14ac:dyDescent="0.25">
      <c r="B29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1" s="46"/>
      <c r="D2961" s="37"/>
      <c r="E2961" s="37"/>
      <c r="F2961" s="37"/>
      <c r="G2961" s="40" t="str">
        <f>IF(tblMovimientos[[#This Row],[Producto]]="","",TRIM(LEFT(tblMovimientos[[#This Row],[Producto]],FIND(" · ",tblMovimientos[[#This Row],[Producto]]&amp;" · ")-1)))</f>
        <v/>
      </c>
      <c r="H2961" s="40" t="str">
        <f>IF(tblMovimientos[[#This Row],[SKU]]="","",IFERROR(INDEX(tblProductos[Unidad],MATCH(tblMovimientos[[#This Row],[SKU]],tblProductos[SKU],0)),"?"))</f>
        <v/>
      </c>
      <c r="I2961" s="39"/>
      <c r="J2961" s="47" t="str">
        <f>IF(tblMovimientos[[#This Row],[Tipo]]="","",IFERROR(INDEX(tblTiposMov[FactorStock],MATCH(tblMovimientos[[#This Row],[Tipo]],tblTiposMov[Tipo],0)),0))</f>
        <v/>
      </c>
      <c r="K29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1" s="37"/>
      <c r="O2961" s="37"/>
      <c r="P2961" s="37"/>
    </row>
    <row r="2962" spans="2:16" x14ac:dyDescent="0.25">
      <c r="B29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2" s="46"/>
      <c r="D2962" s="37"/>
      <c r="E2962" s="37"/>
      <c r="F2962" s="37"/>
      <c r="G2962" s="40" t="str">
        <f>IF(tblMovimientos[[#This Row],[Producto]]="","",TRIM(LEFT(tblMovimientos[[#This Row],[Producto]],FIND(" · ",tblMovimientos[[#This Row],[Producto]]&amp;" · ")-1)))</f>
        <v/>
      </c>
      <c r="H2962" s="40" t="str">
        <f>IF(tblMovimientos[[#This Row],[SKU]]="","",IFERROR(INDEX(tblProductos[Unidad],MATCH(tblMovimientos[[#This Row],[SKU]],tblProductos[SKU],0)),"?"))</f>
        <v/>
      </c>
      <c r="I2962" s="39"/>
      <c r="J2962" s="47" t="str">
        <f>IF(tblMovimientos[[#This Row],[Tipo]]="","",IFERROR(INDEX(tblTiposMov[FactorStock],MATCH(tblMovimientos[[#This Row],[Tipo]],tblTiposMov[Tipo],0)),0))</f>
        <v/>
      </c>
      <c r="K29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2" s="37"/>
      <c r="O2962" s="37"/>
      <c r="P2962" s="37"/>
    </row>
    <row r="2963" spans="2:16" x14ac:dyDescent="0.25">
      <c r="B29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3" s="46"/>
      <c r="D2963" s="37"/>
      <c r="E2963" s="37"/>
      <c r="F2963" s="37"/>
      <c r="G2963" s="40" t="str">
        <f>IF(tblMovimientos[[#This Row],[Producto]]="","",TRIM(LEFT(tblMovimientos[[#This Row],[Producto]],FIND(" · ",tblMovimientos[[#This Row],[Producto]]&amp;" · ")-1)))</f>
        <v/>
      </c>
      <c r="H2963" s="40" t="str">
        <f>IF(tblMovimientos[[#This Row],[SKU]]="","",IFERROR(INDEX(tblProductos[Unidad],MATCH(tblMovimientos[[#This Row],[SKU]],tblProductos[SKU],0)),"?"))</f>
        <v/>
      </c>
      <c r="I2963" s="39"/>
      <c r="J2963" s="47" t="str">
        <f>IF(tblMovimientos[[#This Row],[Tipo]]="","",IFERROR(INDEX(tblTiposMov[FactorStock],MATCH(tblMovimientos[[#This Row],[Tipo]],tblTiposMov[Tipo],0)),0))</f>
        <v/>
      </c>
      <c r="K29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3" s="37"/>
      <c r="O2963" s="37"/>
      <c r="P2963" s="37"/>
    </row>
    <row r="2964" spans="2:16" x14ac:dyDescent="0.25">
      <c r="B29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4" s="46"/>
      <c r="D2964" s="37"/>
      <c r="E2964" s="37"/>
      <c r="F2964" s="37"/>
      <c r="G2964" s="40" t="str">
        <f>IF(tblMovimientos[[#This Row],[Producto]]="","",TRIM(LEFT(tblMovimientos[[#This Row],[Producto]],FIND(" · ",tblMovimientos[[#This Row],[Producto]]&amp;" · ")-1)))</f>
        <v/>
      </c>
      <c r="H2964" s="40" t="str">
        <f>IF(tblMovimientos[[#This Row],[SKU]]="","",IFERROR(INDEX(tblProductos[Unidad],MATCH(tblMovimientos[[#This Row],[SKU]],tblProductos[SKU],0)),"?"))</f>
        <v/>
      </c>
      <c r="I2964" s="39"/>
      <c r="J2964" s="47" t="str">
        <f>IF(tblMovimientos[[#This Row],[Tipo]]="","",IFERROR(INDEX(tblTiposMov[FactorStock],MATCH(tblMovimientos[[#This Row],[Tipo]],tblTiposMov[Tipo],0)),0))</f>
        <v/>
      </c>
      <c r="K29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4" s="37"/>
      <c r="O2964" s="37"/>
      <c r="P2964" s="37"/>
    </row>
    <row r="2965" spans="2:16" x14ac:dyDescent="0.25">
      <c r="B29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5" s="46"/>
      <c r="D2965" s="37"/>
      <c r="E2965" s="37"/>
      <c r="F2965" s="37"/>
      <c r="G2965" s="40" t="str">
        <f>IF(tblMovimientos[[#This Row],[Producto]]="","",TRIM(LEFT(tblMovimientos[[#This Row],[Producto]],FIND(" · ",tblMovimientos[[#This Row],[Producto]]&amp;" · ")-1)))</f>
        <v/>
      </c>
      <c r="H2965" s="40" t="str">
        <f>IF(tblMovimientos[[#This Row],[SKU]]="","",IFERROR(INDEX(tblProductos[Unidad],MATCH(tblMovimientos[[#This Row],[SKU]],tblProductos[SKU],0)),"?"))</f>
        <v/>
      </c>
      <c r="I2965" s="39"/>
      <c r="J2965" s="47" t="str">
        <f>IF(tblMovimientos[[#This Row],[Tipo]]="","",IFERROR(INDEX(tblTiposMov[FactorStock],MATCH(tblMovimientos[[#This Row],[Tipo]],tblTiposMov[Tipo],0)),0))</f>
        <v/>
      </c>
      <c r="K29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5" s="37"/>
      <c r="O2965" s="37"/>
      <c r="P2965" s="37"/>
    </row>
    <row r="2966" spans="2:16" x14ac:dyDescent="0.25">
      <c r="B29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6" s="46"/>
      <c r="D2966" s="37"/>
      <c r="E2966" s="37"/>
      <c r="F2966" s="37"/>
      <c r="G2966" s="40" t="str">
        <f>IF(tblMovimientos[[#This Row],[Producto]]="","",TRIM(LEFT(tblMovimientos[[#This Row],[Producto]],FIND(" · ",tblMovimientos[[#This Row],[Producto]]&amp;" · ")-1)))</f>
        <v/>
      </c>
      <c r="H2966" s="40" t="str">
        <f>IF(tblMovimientos[[#This Row],[SKU]]="","",IFERROR(INDEX(tblProductos[Unidad],MATCH(tblMovimientos[[#This Row],[SKU]],tblProductos[SKU],0)),"?"))</f>
        <v/>
      </c>
      <c r="I2966" s="39"/>
      <c r="J2966" s="47" t="str">
        <f>IF(tblMovimientos[[#This Row],[Tipo]]="","",IFERROR(INDEX(tblTiposMov[FactorStock],MATCH(tblMovimientos[[#This Row],[Tipo]],tblTiposMov[Tipo],0)),0))</f>
        <v/>
      </c>
      <c r="K29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6" s="37"/>
      <c r="O2966" s="37"/>
      <c r="P2966" s="37"/>
    </row>
    <row r="2967" spans="2:16" x14ac:dyDescent="0.25">
      <c r="B29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7" s="46"/>
      <c r="D2967" s="37"/>
      <c r="E2967" s="37"/>
      <c r="F2967" s="37"/>
      <c r="G2967" s="40" t="str">
        <f>IF(tblMovimientos[[#This Row],[Producto]]="","",TRIM(LEFT(tblMovimientos[[#This Row],[Producto]],FIND(" · ",tblMovimientos[[#This Row],[Producto]]&amp;" · ")-1)))</f>
        <v/>
      </c>
      <c r="H2967" s="40" t="str">
        <f>IF(tblMovimientos[[#This Row],[SKU]]="","",IFERROR(INDEX(tblProductos[Unidad],MATCH(tblMovimientos[[#This Row],[SKU]],tblProductos[SKU],0)),"?"))</f>
        <v/>
      </c>
      <c r="I2967" s="39"/>
      <c r="J2967" s="47" t="str">
        <f>IF(tblMovimientos[[#This Row],[Tipo]]="","",IFERROR(INDEX(tblTiposMov[FactorStock],MATCH(tblMovimientos[[#This Row],[Tipo]],tblTiposMov[Tipo],0)),0))</f>
        <v/>
      </c>
      <c r="K29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7" s="37"/>
      <c r="O2967" s="37"/>
      <c r="P2967" s="37"/>
    </row>
    <row r="2968" spans="2:16" x14ac:dyDescent="0.25">
      <c r="B29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8" s="46"/>
      <c r="D2968" s="37"/>
      <c r="E2968" s="37"/>
      <c r="F2968" s="37"/>
      <c r="G2968" s="40" t="str">
        <f>IF(tblMovimientos[[#This Row],[Producto]]="","",TRIM(LEFT(tblMovimientos[[#This Row],[Producto]],FIND(" · ",tblMovimientos[[#This Row],[Producto]]&amp;" · ")-1)))</f>
        <v/>
      </c>
      <c r="H2968" s="40" t="str">
        <f>IF(tblMovimientos[[#This Row],[SKU]]="","",IFERROR(INDEX(tblProductos[Unidad],MATCH(tblMovimientos[[#This Row],[SKU]],tblProductos[SKU],0)),"?"))</f>
        <v/>
      </c>
      <c r="I2968" s="39"/>
      <c r="J2968" s="47" t="str">
        <f>IF(tblMovimientos[[#This Row],[Tipo]]="","",IFERROR(INDEX(tblTiposMov[FactorStock],MATCH(tblMovimientos[[#This Row],[Tipo]],tblTiposMov[Tipo],0)),0))</f>
        <v/>
      </c>
      <c r="K29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8" s="37"/>
      <c r="O2968" s="37"/>
      <c r="P2968" s="37"/>
    </row>
    <row r="2969" spans="2:16" x14ac:dyDescent="0.25">
      <c r="B29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69" s="46"/>
      <c r="D2969" s="37"/>
      <c r="E2969" s="37"/>
      <c r="F2969" s="37"/>
      <c r="G2969" s="40" t="str">
        <f>IF(tblMovimientos[[#This Row],[Producto]]="","",TRIM(LEFT(tblMovimientos[[#This Row],[Producto]],FIND(" · ",tblMovimientos[[#This Row],[Producto]]&amp;" · ")-1)))</f>
        <v/>
      </c>
      <c r="H2969" s="40" t="str">
        <f>IF(tblMovimientos[[#This Row],[SKU]]="","",IFERROR(INDEX(tblProductos[Unidad],MATCH(tblMovimientos[[#This Row],[SKU]],tblProductos[SKU],0)),"?"))</f>
        <v/>
      </c>
      <c r="I2969" s="39"/>
      <c r="J2969" s="47" t="str">
        <f>IF(tblMovimientos[[#This Row],[Tipo]]="","",IFERROR(INDEX(tblTiposMov[FactorStock],MATCH(tblMovimientos[[#This Row],[Tipo]],tblTiposMov[Tipo],0)),0))</f>
        <v/>
      </c>
      <c r="K29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69" s="37"/>
      <c r="O2969" s="37"/>
      <c r="P2969" s="37"/>
    </row>
    <row r="2970" spans="2:16" x14ac:dyDescent="0.25">
      <c r="B29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0" s="46"/>
      <c r="D2970" s="37"/>
      <c r="E2970" s="37"/>
      <c r="F2970" s="37"/>
      <c r="G2970" s="40" t="str">
        <f>IF(tblMovimientos[[#This Row],[Producto]]="","",TRIM(LEFT(tblMovimientos[[#This Row],[Producto]],FIND(" · ",tblMovimientos[[#This Row],[Producto]]&amp;" · ")-1)))</f>
        <v/>
      </c>
      <c r="H2970" s="40" t="str">
        <f>IF(tblMovimientos[[#This Row],[SKU]]="","",IFERROR(INDEX(tblProductos[Unidad],MATCH(tblMovimientos[[#This Row],[SKU]],tblProductos[SKU],0)),"?"))</f>
        <v/>
      </c>
      <c r="I2970" s="39"/>
      <c r="J2970" s="47" t="str">
        <f>IF(tblMovimientos[[#This Row],[Tipo]]="","",IFERROR(INDEX(tblTiposMov[FactorStock],MATCH(tblMovimientos[[#This Row],[Tipo]],tblTiposMov[Tipo],0)),0))</f>
        <v/>
      </c>
      <c r="K29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0" s="37"/>
      <c r="O2970" s="37"/>
      <c r="P2970" s="37"/>
    </row>
    <row r="2971" spans="2:16" x14ac:dyDescent="0.25">
      <c r="B29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1" s="46"/>
      <c r="D2971" s="37"/>
      <c r="E2971" s="37"/>
      <c r="F2971" s="37"/>
      <c r="G2971" s="40" t="str">
        <f>IF(tblMovimientos[[#This Row],[Producto]]="","",TRIM(LEFT(tblMovimientos[[#This Row],[Producto]],FIND(" · ",tblMovimientos[[#This Row],[Producto]]&amp;" · ")-1)))</f>
        <v/>
      </c>
      <c r="H2971" s="40" t="str">
        <f>IF(tblMovimientos[[#This Row],[SKU]]="","",IFERROR(INDEX(tblProductos[Unidad],MATCH(tblMovimientos[[#This Row],[SKU]],tblProductos[SKU],0)),"?"))</f>
        <v/>
      </c>
      <c r="I2971" s="39"/>
      <c r="J2971" s="47" t="str">
        <f>IF(tblMovimientos[[#This Row],[Tipo]]="","",IFERROR(INDEX(tblTiposMov[FactorStock],MATCH(tblMovimientos[[#This Row],[Tipo]],tblTiposMov[Tipo],0)),0))</f>
        <v/>
      </c>
      <c r="K29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1" s="37"/>
      <c r="O2971" s="37"/>
      <c r="P2971" s="37"/>
    </row>
    <row r="2972" spans="2:16" x14ac:dyDescent="0.25">
      <c r="B29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2" s="46"/>
      <c r="D2972" s="37"/>
      <c r="E2972" s="37"/>
      <c r="F2972" s="37"/>
      <c r="G2972" s="40" t="str">
        <f>IF(tblMovimientos[[#This Row],[Producto]]="","",TRIM(LEFT(tblMovimientos[[#This Row],[Producto]],FIND(" · ",tblMovimientos[[#This Row],[Producto]]&amp;" · ")-1)))</f>
        <v/>
      </c>
      <c r="H2972" s="40" t="str">
        <f>IF(tblMovimientos[[#This Row],[SKU]]="","",IFERROR(INDEX(tblProductos[Unidad],MATCH(tblMovimientos[[#This Row],[SKU]],tblProductos[SKU],0)),"?"))</f>
        <v/>
      </c>
      <c r="I2972" s="39"/>
      <c r="J2972" s="47" t="str">
        <f>IF(tblMovimientos[[#This Row],[Tipo]]="","",IFERROR(INDEX(tblTiposMov[FactorStock],MATCH(tblMovimientos[[#This Row],[Tipo]],tblTiposMov[Tipo],0)),0))</f>
        <v/>
      </c>
      <c r="K29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2" s="37"/>
      <c r="O2972" s="37"/>
      <c r="P2972" s="37"/>
    </row>
    <row r="2973" spans="2:16" x14ac:dyDescent="0.25">
      <c r="B29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3" s="46"/>
      <c r="D2973" s="37"/>
      <c r="E2973" s="37"/>
      <c r="F2973" s="37"/>
      <c r="G2973" s="40" t="str">
        <f>IF(tblMovimientos[[#This Row],[Producto]]="","",TRIM(LEFT(tblMovimientos[[#This Row],[Producto]],FIND(" · ",tblMovimientos[[#This Row],[Producto]]&amp;" · ")-1)))</f>
        <v/>
      </c>
      <c r="H2973" s="40" t="str">
        <f>IF(tblMovimientos[[#This Row],[SKU]]="","",IFERROR(INDEX(tblProductos[Unidad],MATCH(tblMovimientos[[#This Row],[SKU]],tblProductos[SKU],0)),"?"))</f>
        <v/>
      </c>
      <c r="I2973" s="39"/>
      <c r="J2973" s="47" t="str">
        <f>IF(tblMovimientos[[#This Row],[Tipo]]="","",IFERROR(INDEX(tblTiposMov[FactorStock],MATCH(tblMovimientos[[#This Row],[Tipo]],tblTiposMov[Tipo],0)),0))</f>
        <v/>
      </c>
      <c r="K29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3" s="37"/>
      <c r="O2973" s="37"/>
      <c r="P2973" s="37"/>
    </row>
    <row r="2974" spans="2:16" x14ac:dyDescent="0.25">
      <c r="B29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4" s="46"/>
      <c r="D2974" s="37"/>
      <c r="E2974" s="37"/>
      <c r="F2974" s="37"/>
      <c r="G2974" s="40" t="str">
        <f>IF(tblMovimientos[[#This Row],[Producto]]="","",TRIM(LEFT(tblMovimientos[[#This Row],[Producto]],FIND(" · ",tblMovimientos[[#This Row],[Producto]]&amp;" · ")-1)))</f>
        <v/>
      </c>
      <c r="H2974" s="40" t="str">
        <f>IF(tblMovimientos[[#This Row],[SKU]]="","",IFERROR(INDEX(tblProductos[Unidad],MATCH(tblMovimientos[[#This Row],[SKU]],tblProductos[SKU],0)),"?"))</f>
        <v/>
      </c>
      <c r="I2974" s="39"/>
      <c r="J2974" s="47" t="str">
        <f>IF(tblMovimientos[[#This Row],[Tipo]]="","",IFERROR(INDEX(tblTiposMov[FactorStock],MATCH(tblMovimientos[[#This Row],[Tipo]],tblTiposMov[Tipo],0)),0))</f>
        <v/>
      </c>
      <c r="K29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4" s="37"/>
      <c r="O2974" s="37"/>
      <c r="P2974" s="37"/>
    </row>
    <row r="2975" spans="2:16" x14ac:dyDescent="0.25">
      <c r="B29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5" s="46"/>
      <c r="D2975" s="37"/>
      <c r="E2975" s="37"/>
      <c r="F2975" s="37"/>
      <c r="G2975" s="40" t="str">
        <f>IF(tblMovimientos[[#This Row],[Producto]]="","",TRIM(LEFT(tblMovimientos[[#This Row],[Producto]],FIND(" · ",tblMovimientos[[#This Row],[Producto]]&amp;" · ")-1)))</f>
        <v/>
      </c>
      <c r="H2975" s="40" t="str">
        <f>IF(tblMovimientos[[#This Row],[SKU]]="","",IFERROR(INDEX(tblProductos[Unidad],MATCH(tblMovimientos[[#This Row],[SKU]],tblProductos[SKU],0)),"?"))</f>
        <v/>
      </c>
      <c r="I2975" s="39"/>
      <c r="J2975" s="47" t="str">
        <f>IF(tblMovimientos[[#This Row],[Tipo]]="","",IFERROR(INDEX(tblTiposMov[FactorStock],MATCH(tblMovimientos[[#This Row],[Tipo]],tblTiposMov[Tipo],0)),0))</f>
        <v/>
      </c>
      <c r="K29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5" s="37"/>
      <c r="O2975" s="37"/>
      <c r="P2975" s="37"/>
    </row>
    <row r="2976" spans="2:16" x14ac:dyDescent="0.25">
      <c r="B29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6" s="46"/>
      <c r="D2976" s="37"/>
      <c r="E2976" s="37"/>
      <c r="F2976" s="37"/>
      <c r="G2976" s="40" t="str">
        <f>IF(tblMovimientos[[#This Row],[Producto]]="","",TRIM(LEFT(tblMovimientos[[#This Row],[Producto]],FIND(" · ",tblMovimientos[[#This Row],[Producto]]&amp;" · ")-1)))</f>
        <v/>
      </c>
      <c r="H2976" s="40" t="str">
        <f>IF(tblMovimientos[[#This Row],[SKU]]="","",IFERROR(INDEX(tblProductos[Unidad],MATCH(tblMovimientos[[#This Row],[SKU]],tblProductos[SKU],0)),"?"))</f>
        <v/>
      </c>
      <c r="I2976" s="39"/>
      <c r="J2976" s="47" t="str">
        <f>IF(tblMovimientos[[#This Row],[Tipo]]="","",IFERROR(INDEX(tblTiposMov[FactorStock],MATCH(tblMovimientos[[#This Row],[Tipo]],tblTiposMov[Tipo],0)),0))</f>
        <v/>
      </c>
      <c r="K29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6" s="37"/>
      <c r="O2976" s="37"/>
      <c r="P2976" s="37"/>
    </row>
    <row r="2977" spans="2:16" x14ac:dyDescent="0.25">
      <c r="B29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7" s="46"/>
      <c r="D2977" s="37"/>
      <c r="E2977" s="37"/>
      <c r="F2977" s="37"/>
      <c r="G2977" s="40" t="str">
        <f>IF(tblMovimientos[[#This Row],[Producto]]="","",TRIM(LEFT(tblMovimientos[[#This Row],[Producto]],FIND(" · ",tblMovimientos[[#This Row],[Producto]]&amp;" · ")-1)))</f>
        <v/>
      </c>
      <c r="H2977" s="40" t="str">
        <f>IF(tblMovimientos[[#This Row],[SKU]]="","",IFERROR(INDEX(tblProductos[Unidad],MATCH(tblMovimientos[[#This Row],[SKU]],tblProductos[SKU],0)),"?"))</f>
        <v/>
      </c>
      <c r="I2977" s="39"/>
      <c r="J2977" s="47" t="str">
        <f>IF(tblMovimientos[[#This Row],[Tipo]]="","",IFERROR(INDEX(tblTiposMov[FactorStock],MATCH(tblMovimientos[[#This Row],[Tipo]],tblTiposMov[Tipo],0)),0))</f>
        <v/>
      </c>
      <c r="K29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7" s="37"/>
      <c r="O2977" s="37"/>
      <c r="P2977" s="37"/>
    </row>
    <row r="2978" spans="2:16" x14ac:dyDescent="0.25">
      <c r="B29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8" s="46"/>
      <c r="D2978" s="37"/>
      <c r="E2978" s="37"/>
      <c r="F2978" s="37"/>
      <c r="G2978" s="40" t="str">
        <f>IF(tblMovimientos[[#This Row],[Producto]]="","",TRIM(LEFT(tblMovimientos[[#This Row],[Producto]],FIND(" · ",tblMovimientos[[#This Row],[Producto]]&amp;" · ")-1)))</f>
        <v/>
      </c>
      <c r="H2978" s="40" t="str">
        <f>IF(tblMovimientos[[#This Row],[SKU]]="","",IFERROR(INDEX(tblProductos[Unidad],MATCH(tblMovimientos[[#This Row],[SKU]],tblProductos[SKU],0)),"?"))</f>
        <v/>
      </c>
      <c r="I2978" s="39"/>
      <c r="J2978" s="47" t="str">
        <f>IF(tblMovimientos[[#This Row],[Tipo]]="","",IFERROR(INDEX(tblTiposMov[FactorStock],MATCH(tblMovimientos[[#This Row],[Tipo]],tblTiposMov[Tipo],0)),0))</f>
        <v/>
      </c>
      <c r="K29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8" s="37"/>
      <c r="O2978" s="37"/>
      <c r="P2978" s="37"/>
    </row>
    <row r="2979" spans="2:16" x14ac:dyDescent="0.25">
      <c r="B29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79" s="46"/>
      <c r="D2979" s="37"/>
      <c r="E2979" s="37"/>
      <c r="F2979" s="37"/>
      <c r="G2979" s="40" t="str">
        <f>IF(tblMovimientos[[#This Row],[Producto]]="","",TRIM(LEFT(tblMovimientos[[#This Row],[Producto]],FIND(" · ",tblMovimientos[[#This Row],[Producto]]&amp;" · ")-1)))</f>
        <v/>
      </c>
      <c r="H2979" s="40" t="str">
        <f>IF(tblMovimientos[[#This Row],[SKU]]="","",IFERROR(INDEX(tblProductos[Unidad],MATCH(tblMovimientos[[#This Row],[SKU]],tblProductos[SKU],0)),"?"))</f>
        <v/>
      </c>
      <c r="I2979" s="39"/>
      <c r="J2979" s="47" t="str">
        <f>IF(tblMovimientos[[#This Row],[Tipo]]="","",IFERROR(INDEX(tblTiposMov[FactorStock],MATCH(tblMovimientos[[#This Row],[Tipo]],tblTiposMov[Tipo],0)),0))</f>
        <v/>
      </c>
      <c r="K29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79" s="37"/>
      <c r="O2979" s="37"/>
      <c r="P2979" s="37"/>
    </row>
    <row r="2980" spans="2:16" x14ac:dyDescent="0.25">
      <c r="B29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0" s="46"/>
      <c r="D2980" s="37"/>
      <c r="E2980" s="37"/>
      <c r="F2980" s="37"/>
      <c r="G2980" s="40" t="str">
        <f>IF(tblMovimientos[[#This Row],[Producto]]="","",TRIM(LEFT(tblMovimientos[[#This Row],[Producto]],FIND(" · ",tblMovimientos[[#This Row],[Producto]]&amp;" · ")-1)))</f>
        <v/>
      </c>
      <c r="H2980" s="40" t="str">
        <f>IF(tblMovimientos[[#This Row],[SKU]]="","",IFERROR(INDEX(tblProductos[Unidad],MATCH(tblMovimientos[[#This Row],[SKU]],tblProductos[SKU],0)),"?"))</f>
        <v/>
      </c>
      <c r="I2980" s="39"/>
      <c r="J2980" s="47" t="str">
        <f>IF(tblMovimientos[[#This Row],[Tipo]]="","",IFERROR(INDEX(tblTiposMov[FactorStock],MATCH(tblMovimientos[[#This Row],[Tipo]],tblTiposMov[Tipo],0)),0))</f>
        <v/>
      </c>
      <c r="K29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0" s="37"/>
      <c r="O2980" s="37"/>
      <c r="P2980" s="37"/>
    </row>
    <row r="2981" spans="2:16" x14ac:dyDescent="0.25">
      <c r="B29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1" s="46"/>
      <c r="D2981" s="37"/>
      <c r="E2981" s="37"/>
      <c r="F2981" s="37"/>
      <c r="G2981" s="40" t="str">
        <f>IF(tblMovimientos[[#This Row],[Producto]]="","",TRIM(LEFT(tblMovimientos[[#This Row],[Producto]],FIND(" · ",tblMovimientos[[#This Row],[Producto]]&amp;" · ")-1)))</f>
        <v/>
      </c>
      <c r="H2981" s="40" t="str">
        <f>IF(tblMovimientos[[#This Row],[SKU]]="","",IFERROR(INDEX(tblProductos[Unidad],MATCH(tblMovimientos[[#This Row],[SKU]],tblProductos[SKU],0)),"?"))</f>
        <v/>
      </c>
      <c r="I2981" s="39"/>
      <c r="J2981" s="47" t="str">
        <f>IF(tblMovimientos[[#This Row],[Tipo]]="","",IFERROR(INDEX(tblTiposMov[FactorStock],MATCH(tblMovimientos[[#This Row],[Tipo]],tblTiposMov[Tipo],0)),0))</f>
        <v/>
      </c>
      <c r="K29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1" s="37"/>
      <c r="O2981" s="37"/>
      <c r="P2981" s="37"/>
    </row>
    <row r="2982" spans="2:16" x14ac:dyDescent="0.25">
      <c r="B29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2" s="46"/>
      <c r="D2982" s="37"/>
      <c r="E2982" s="37"/>
      <c r="F2982" s="37"/>
      <c r="G2982" s="40" t="str">
        <f>IF(tblMovimientos[[#This Row],[Producto]]="","",TRIM(LEFT(tblMovimientos[[#This Row],[Producto]],FIND(" · ",tblMovimientos[[#This Row],[Producto]]&amp;" · ")-1)))</f>
        <v/>
      </c>
      <c r="H2982" s="40" t="str">
        <f>IF(tblMovimientos[[#This Row],[SKU]]="","",IFERROR(INDEX(tblProductos[Unidad],MATCH(tblMovimientos[[#This Row],[SKU]],tblProductos[SKU],0)),"?"))</f>
        <v/>
      </c>
      <c r="I2982" s="39"/>
      <c r="J2982" s="47" t="str">
        <f>IF(tblMovimientos[[#This Row],[Tipo]]="","",IFERROR(INDEX(tblTiposMov[FactorStock],MATCH(tblMovimientos[[#This Row],[Tipo]],tblTiposMov[Tipo],0)),0))</f>
        <v/>
      </c>
      <c r="K29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2" s="37"/>
      <c r="O2982" s="37"/>
      <c r="P2982" s="37"/>
    </row>
    <row r="2983" spans="2:16" x14ac:dyDescent="0.25">
      <c r="B29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3" s="46"/>
      <c r="D2983" s="37"/>
      <c r="E2983" s="37"/>
      <c r="F2983" s="37"/>
      <c r="G2983" s="40" t="str">
        <f>IF(tblMovimientos[[#This Row],[Producto]]="","",TRIM(LEFT(tblMovimientos[[#This Row],[Producto]],FIND(" · ",tblMovimientos[[#This Row],[Producto]]&amp;" · ")-1)))</f>
        <v/>
      </c>
      <c r="H2983" s="40" t="str">
        <f>IF(tblMovimientos[[#This Row],[SKU]]="","",IFERROR(INDEX(tblProductos[Unidad],MATCH(tblMovimientos[[#This Row],[SKU]],tblProductos[SKU],0)),"?"))</f>
        <v/>
      </c>
      <c r="I2983" s="39"/>
      <c r="J2983" s="47" t="str">
        <f>IF(tblMovimientos[[#This Row],[Tipo]]="","",IFERROR(INDEX(tblTiposMov[FactorStock],MATCH(tblMovimientos[[#This Row],[Tipo]],tblTiposMov[Tipo],0)),0))</f>
        <v/>
      </c>
      <c r="K29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3" s="37"/>
      <c r="O2983" s="37"/>
      <c r="P2983" s="37"/>
    </row>
    <row r="2984" spans="2:16" x14ac:dyDescent="0.25">
      <c r="B29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4" s="46"/>
      <c r="D2984" s="37"/>
      <c r="E2984" s="37"/>
      <c r="F2984" s="37"/>
      <c r="G2984" s="40" t="str">
        <f>IF(tblMovimientos[[#This Row],[Producto]]="","",TRIM(LEFT(tblMovimientos[[#This Row],[Producto]],FIND(" · ",tblMovimientos[[#This Row],[Producto]]&amp;" · ")-1)))</f>
        <v/>
      </c>
      <c r="H2984" s="40" t="str">
        <f>IF(tblMovimientos[[#This Row],[SKU]]="","",IFERROR(INDEX(tblProductos[Unidad],MATCH(tblMovimientos[[#This Row],[SKU]],tblProductos[SKU],0)),"?"))</f>
        <v/>
      </c>
      <c r="I2984" s="39"/>
      <c r="J2984" s="47" t="str">
        <f>IF(tblMovimientos[[#This Row],[Tipo]]="","",IFERROR(INDEX(tblTiposMov[FactorStock],MATCH(tblMovimientos[[#This Row],[Tipo]],tblTiposMov[Tipo],0)),0))</f>
        <v/>
      </c>
      <c r="K29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4" s="37"/>
      <c r="O2984" s="37"/>
      <c r="P2984" s="37"/>
    </row>
    <row r="2985" spans="2:16" x14ac:dyDescent="0.25">
      <c r="B29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5" s="46"/>
      <c r="D2985" s="37"/>
      <c r="E2985" s="37"/>
      <c r="F2985" s="37"/>
      <c r="G2985" s="40" t="str">
        <f>IF(tblMovimientos[[#This Row],[Producto]]="","",TRIM(LEFT(tblMovimientos[[#This Row],[Producto]],FIND(" · ",tblMovimientos[[#This Row],[Producto]]&amp;" · ")-1)))</f>
        <v/>
      </c>
      <c r="H2985" s="40" t="str">
        <f>IF(tblMovimientos[[#This Row],[SKU]]="","",IFERROR(INDEX(tblProductos[Unidad],MATCH(tblMovimientos[[#This Row],[SKU]],tblProductos[SKU],0)),"?"))</f>
        <v/>
      </c>
      <c r="I2985" s="39"/>
      <c r="J2985" s="47" t="str">
        <f>IF(tblMovimientos[[#This Row],[Tipo]]="","",IFERROR(INDEX(tblTiposMov[FactorStock],MATCH(tblMovimientos[[#This Row],[Tipo]],tblTiposMov[Tipo],0)),0))</f>
        <v/>
      </c>
      <c r="K29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5" s="37"/>
      <c r="O2985" s="37"/>
      <c r="P2985" s="37"/>
    </row>
    <row r="2986" spans="2:16" x14ac:dyDescent="0.25">
      <c r="B29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6" s="46"/>
      <c r="D2986" s="37"/>
      <c r="E2986" s="37"/>
      <c r="F2986" s="37"/>
      <c r="G2986" s="40" t="str">
        <f>IF(tblMovimientos[[#This Row],[Producto]]="","",TRIM(LEFT(tblMovimientos[[#This Row],[Producto]],FIND(" · ",tblMovimientos[[#This Row],[Producto]]&amp;" · ")-1)))</f>
        <v/>
      </c>
      <c r="H2986" s="40" t="str">
        <f>IF(tblMovimientos[[#This Row],[SKU]]="","",IFERROR(INDEX(tblProductos[Unidad],MATCH(tblMovimientos[[#This Row],[SKU]],tblProductos[SKU],0)),"?"))</f>
        <v/>
      </c>
      <c r="I2986" s="39"/>
      <c r="J2986" s="47" t="str">
        <f>IF(tblMovimientos[[#This Row],[Tipo]]="","",IFERROR(INDEX(tblTiposMov[FactorStock],MATCH(tblMovimientos[[#This Row],[Tipo]],tblTiposMov[Tipo],0)),0))</f>
        <v/>
      </c>
      <c r="K29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6" s="37"/>
      <c r="O2986" s="37"/>
      <c r="P2986" s="37"/>
    </row>
    <row r="2987" spans="2:16" x14ac:dyDescent="0.25">
      <c r="B29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7" s="46"/>
      <c r="D2987" s="37"/>
      <c r="E2987" s="37"/>
      <c r="F2987" s="37"/>
      <c r="G2987" s="40" t="str">
        <f>IF(tblMovimientos[[#This Row],[Producto]]="","",TRIM(LEFT(tblMovimientos[[#This Row],[Producto]],FIND(" · ",tblMovimientos[[#This Row],[Producto]]&amp;" · ")-1)))</f>
        <v/>
      </c>
      <c r="H2987" s="40" t="str">
        <f>IF(tblMovimientos[[#This Row],[SKU]]="","",IFERROR(INDEX(tblProductos[Unidad],MATCH(tblMovimientos[[#This Row],[SKU]],tblProductos[SKU],0)),"?"))</f>
        <v/>
      </c>
      <c r="I2987" s="39"/>
      <c r="J2987" s="47" t="str">
        <f>IF(tblMovimientos[[#This Row],[Tipo]]="","",IFERROR(INDEX(tblTiposMov[FactorStock],MATCH(tblMovimientos[[#This Row],[Tipo]],tblTiposMov[Tipo],0)),0))</f>
        <v/>
      </c>
      <c r="K29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7" s="37"/>
      <c r="O2987" s="37"/>
      <c r="P2987" s="37"/>
    </row>
    <row r="2988" spans="2:16" x14ac:dyDescent="0.25">
      <c r="B29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8" s="46"/>
      <c r="D2988" s="37"/>
      <c r="E2988" s="37"/>
      <c r="F2988" s="37"/>
      <c r="G2988" s="40" t="str">
        <f>IF(tblMovimientos[[#This Row],[Producto]]="","",TRIM(LEFT(tblMovimientos[[#This Row],[Producto]],FIND(" · ",tblMovimientos[[#This Row],[Producto]]&amp;" · ")-1)))</f>
        <v/>
      </c>
      <c r="H2988" s="40" t="str">
        <f>IF(tblMovimientos[[#This Row],[SKU]]="","",IFERROR(INDEX(tblProductos[Unidad],MATCH(tblMovimientos[[#This Row],[SKU]],tblProductos[SKU],0)),"?"))</f>
        <v/>
      </c>
      <c r="I2988" s="39"/>
      <c r="J2988" s="47" t="str">
        <f>IF(tblMovimientos[[#This Row],[Tipo]]="","",IFERROR(INDEX(tblTiposMov[FactorStock],MATCH(tblMovimientos[[#This Row],[Tipo]],tblTiposMov[Tipo],0)),0))</f>
        <v/>
      </c>
      <c r="K29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8" s="37"/>
      <c r="O2988" s="37"/>
      <c r="P2988" s="37"/>
    </row>
    <row r="2989" spans="2:16" x14ac:dyDescent="0.25">
      <c r="B29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89" s="46"/>
      <c r="D2989" s="37"/>
      <c r="E2989" s="37"/>
      <c r="F2989" s="37"/>
      <c r="G2989" s="40" t="str">
        <f>IF(tblMovimientos[[#This Row],[Producto]]="","",TRIM(LEFT(tblMovimientos[[#This Row],[Producto]],FIND(" · ",tblMovimientos[[#This Row],[Producto]]&amp;" · ")-1)))</f>
        <v/>
      </c>
      <c r="H2989" s="40" t="str">
        <f>IF(tblMovimientos[[#This Row],[SKU]]="","",IFERROR(INDEX(tblProductos[Unidad],MATCH(tblMovimientos[[#This Row],[SKU]],tblProductos[SKU],0)),"?"))</f>
        <v/>
      </c>
      <c r="I2989" s="39"/>
      <c r="J2989" s="47" t="str">
        <f>IF(tblMovimientos[[#This Row],[Tipo]]="","",IFERROR(INDEX(tblTiposMov[FactorStock],MATCH(tblMovimientos[[#This Row],[Tipo]],tblTiposMov[Tipo],0)),0))</f>
        <v/>
      </c>
      <c r="K29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89" s="37"/>
      <c r="O2989" s="37"/>
      <c r="P2989" s="37"/>
    </row>
    <row r="2990" spans="2:16" x14ac:dyDescent="0.25">
      <c r="B29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0" s="46"/>
      <c r="D2990" s="37"/>
      <c r="E2990" s="37"/>
      <c r="F2990" s="37"/>
      <c r="G2990" s="40" t="str">
        <f>IF(tblMovimientos[[#This Row],[Producto]]="","",TRIM(LEFT(tblMovimientos[[#This Row],[Producto]],FIND(" · ",tblMovimientos[[#This Row],[Producto]]&amp;" · ")-1)))</f>
        <v/>
      </c>
      <c r="H2990" s="40" t="str">
        <f>IF(tblMovimientos[[#This Row],[SKU]]="","",IFERROR(INDEX(tblProductos[Unidad],MATCH(tblMovimientos[[#This Row],[SKU]],tblProductos[SKU],0)),"?"))</f>
        <v/>
      </c>
      <c r="I2990" s="39"/>
      <c r="J2990" s="47" t="str">
        <f>IF(tblMovimientos[[#This Row],[Tipo]]="","",IFERROR(INDEX(tblTiposMov[FactorStock],MATCH(tblMovimientos[[#This Row],[Tipo]],tblTiposMov[Tipo],0)),0))</f>
        <v/>
      </c>
      <c r="K29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0" s="37"/>
      <c r="O2990" s="37"/>
      <c r="P2990" s="37"/>
    </row>
    <row r="2991" spans="2:16" x14ac:dyDescent="0.25">
      <c r="B29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1" s="46"/>
      <c r="D2991" s="37"/>
      <c r="E2991" s="37"/>
      <c r="F2991" s="37"/>
      <c r="G2991" s="40" t="str">
        <f>IF(tblMovimientos[[#This Row],[Producto]]="","",TRIM(LEFT(tblMovimientos[[#This Row],[Producto]],FIND(" · ",tblMovimientos[[#This Row],[Producto]]&amp;" · ")-1)))</f>
        <v/>
      </c>
      <c r="H2991" s="40" t="str">
        <f>IF(tblMovimientos[[#This Row],[SKU]]="","",IFERROR(INDEX(tblProductos[Unidad],MATCH(tblMovimientos[[#This Row],[SKU]],tblProductos[SKU],0)),"?"))</f>
        <v/>
      </c>
      <c r="I2991" s="39"/>
      <c r="J2991" s="47" t="str">
        <f>IF(tblMovimientos[[#This Row],[Tipo]]="","",IFERROR(INDEX(tblTiposMov[FactorStock],MATCH(tblMovimientos[[#This Row],[Tipo]],tblTiposMov[Tipo],0)),0))</f>
        <v/>
      </c>
      <c r="K29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1" s="37"/>
      <c r="O2991" s="37"/>
      <c r="P2991" s="37"/>
    </row>
    <row r="2992" spans="2:16" x14ac:dyDescent="0.25">
      <c r="B29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2" s="46"/>
      <c r="D2992" s="37"/>
      <c r="E2992" s="37"/>
      <c r="F2992" s="37"/>
      <c r="G2992" s="40" t="str">
        <f>IF(tblMovimientos[[#This Row],[Producto]]="","",TRIM(LEFT(tblMovimientos[[#This Row],[Producto]],FIND(" · ",tblMovimientos[[#This Row],[Producto]]&amp;" · ")-1)))</f>
        <v/>
      </c>
      <c r="H2992" s="40" t="str">
        <f>IF(tblMovimientos[[#This Row],[SKU]]="","",IFERROR(INDEX(tblProductos[Unidad],MATCH(tblMovimientos[[#This Row],[SKU]],tblProductos[SKU],0)),"?"))</f>
        <v/>
      </c>
      <c r="I2992" s="39"/>
      <c r="J2992" s="47" t="str">
        <f>IF(tblMovimientos[[#This Row],[Tipo]]="","",IFERROR(INDEX(tblTiposMov[FactorStock],MATCH(tblMovimientos[[#This Row],[Tipo]],tblTiposMov[Tipo],0)),0))</f>
        <v/>
      </c>
      <c r="K29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2" s="37"/>
      <c r="O2992" s="37"/>
      <c r="P2992" s="37"/>
    </row>
    <row r="2993" spans="2:16" x14ac:dyDescent="0.25">
      <c r="B29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3" s="46"/>
      <c r="D2993" s="37"/>
      <c r="E2993" s="37"/>
      <c r="F2993" s="37"/>
      <c r="G2993" s="40" t="str">
        <f>IF(tblMovimientos[[#This Row],[Producto]]="","",TRIM(LEFT(tblMovimientos[[#This Row],[Producto]],FIND(" · ",tblMovimientos[[#This Row],[Producto]]&amp;" · ")-1)))</f>
        <v/>
      </c>
      <c r="H2993" s="40" t="str">
        <f>IF(tblMovimientos[[#This Row],[SKU]]="","",IFERROR(INDEX(tblProductos[Unidad],MATCH(tblMovimientos[[#This Row],[SKU]],tblProductos[SKU],0)),"?"))</f>
        <v/>
      </c>
      <c r="I2993" s="39"/>
      <c r="J2993" s="47" t="str">
        <f>IF(tblMovimientos[[#This Row],[Tipo]]="","",IFERROR(INDEX(tblTiposMov[FactorStock],MATCH(tblMovimientos[[#This Row],[Tipo]],tblTiposMov[Tipo],0)),0))</f>
        <v/>
      </c>
      <c r="K29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3" s="37"/>
      <c r="O2993" s="37"/>
      <c r="P2993" s="37"/>
    </row>
    <row r="2994" spans="2:16" x14ac:dyDescent="0.25">
      <c r="B29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4" s="46"/>
      <c r="D2994" s="37"/>
      <c r="E2994" s="37"/>
      <c r="F2994" s="37"/>
      <c r="G2994" s="40" t="str">
        <f>IF(tblMovimientos[[#This Row],[Producto]]="","",TRIM(LEFT(tblMovimientos[[#This Row],[Producto]],FIND(" · ",tblMovimientos[[#This Row],[Producto]]&amp;" · ")-1)))</f>
        <v/>
      </c>
      <c r="H2994" s="40" t="str">
        <f>IF(tblMovimientos[[#This Row],[SKU]]="","",IFERROR(INDEX(tblProductos[Unidad],MATCH(tblMovimientos[[#This Row],[SKU]],tblProductos[SKU],0)),"?"))</f>
        <v/>
      </c>
      <c r="I2994" s="39"/>
      <c r="J2994" s="47" t="str">
        <f>IF(tblMovimientos[[#This Row],[Tipo]]="","",IFERROR(INDEX(tblTiposMov[FactorStock],MATCH(tblMovimientos[[#This Row],[Tipo]],tblTiposMov[Tipo],0)),0))</f>
        <v/>
      </c>
      <c r="K29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4" s="37"/>
      <c r="O2994" s="37"/>
      <c r="P2994" s="37"/>
    </row>
    <row r="2995" spans="2:16" x14ac:dyDescent="0.25">
      <c r="B29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5" s="46"/>
      <c r="D2995" s="37"/>
      <c r="E2995" s="37"/>
      <c r="F2995" s="37"/>
      <c r="G2995" s="40" t="str">
        <f>IF(tblMovimientos[[#This Row],[Producto]]="","",TRIM(LEFT(tblMovimientos[[#This Row],[Producto]],FIND(" · ",tblMovimientos[[#This Row],[Producto]]&amp;" · ")-1)))</f>
        <v/>
      </c>
      <c r="H2995" s="40" t="str">
        <f>IF(tblMovimientos[[#This Row],[SKU]]="","",IFERROR(INDEX(tblProductos[Unidad],MATCH(tblMovimientos[[#This Row],[SKU]],tblProductos[SKU],0)),"?"))</f>
        <v/>
      </c>
      <c r="I2995" s="39"/>
      <c r="J2995" s="47" t="str">
        <f>IF(tblMovimientos[[#This Row],[Tipo]]="","",IFERROR(INDEX(tblTiposMov[FactorStock],MATCH(tblMovimientos[[#This Row],[Tipo]],tblTiposMov[Tipo],0)),0))</f>
        <v/>
      </c>
      <c r="K29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5" s="37"/>
      <c r="O2995" s="37"/>
      <c r="P2995" s="37"/>
    </row>
    <row r="2996" spans="2:16" x14ac:dyDescent="0.25">
      <c r="B29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6" s="46"/>
      <c r="D2996" s="37"/>
      <c r="E2996" s="37"/>
      <c r="F2996" s="37"/>
      <c r="G2996" s="40" t="str">
        <f>IF(tblMovimientos[[#This Row],[Producto]]="","",TRIM(LEFT(tblMovimientos[[#This Row],[Producto]],FIND(" · ",tblMovimientos[[#This Row],[Producto]]&amp;" · ")-1)))</f>
        <v/>
      </c>
      <c r="H2996" s="40" t="str">
        <f>IF(tblMovimientos[[#This Row],[SKU]]="","",IFERROR(INDEX(tblProductos[Unidad],MATCH(tblMovimientos[[#This Row],[SKU]],tblProductos[SKU],0)),"?"))</f>
        <v/>
      </c>
      <c r="I2996" s="39"/>
      <c r="J2996" s="47" t="str">
        <f>IF(tblMovimientos[[#This Row],[Tipo]]="","",IFERROR(INDEX(tblTiposMov[FactorStock],MATCH(tblMovimientos[[#This Row],[Tipo]],tblTiposMov[Tipo],0)),0))</f>
        <v/>
      </c>
      <c r="K29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6" s="37"/>
      <c r="O2996" s="37"/>
      <c r="P2996" s="37"/>
    </row>
    <row r="2997" spans="2:16" x14ac:dyDescent="0.25">
      <c r="B29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7" s="46"/>
      <c r="D2997" s="37"/>
      <c r="E2997" s="37"/>
      <c r="F2997" s="37"/>
      <c r="G2997" s="40" t="str">
        <f>IF(tblMovimientos[[#This Row],[Producto]]="","",TRIM(LEFT(tblMovimientos[[#This Row],[Producto]],FIND(" · ",tblMovimientos[[#This Row],[Producto]]&amp;" · ")-1)))</f>
        <v/>
      </c>
      <c r="H2997" s="40" t="str">
        <f>IF(tblMovimientos[[#This Row],[SKU]]="","",IFERROR(INDEX(tblProductos[Unidad],MATCH(tblMovimientos[[#This Row],[SKU]],tblProductos[SKU],0)),"?"))</f>
        <v/>
      </c>
      <c r="I2997" s="39"/>
      <c r="J2997" s="47" t="str">
        <f>IF(tblMovimientos[[#This Row],[Tipo]]="","",IFERROR(INDEX(tblTiposMov[FactorStock],MATCH(tblMovimientos[[#This Row],[Tipo]],tblTiposMov[Tipo],0)),0))</f>
        <v/>
      </c>
      <c r="K29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7" s="37"/>
      <c r="O2997" s="37"/>
      <c r="P2997" s="37"/>
    </row>
    <row r="2998" spans="2:16" x14ac:dyDescent="0.25">
      <c r="B29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8" s="46"/>
      <c r="D2998" s="37"/>
      <c r="E2998" s="37"/>
      <c r="F2998" s="37"/>
      <c r="G2998" s="40" t="str">
        <f>IF(tblMovimientos[[#This Row],[Producto]]="","",TRIM(LEFT(tblMovimientos[[#This Row],[Producto]],FIND(" · ",tblMovimientos[[#This Row],[Producto]]&amp;" · ")-1)))</f>
        <v/>
      </c>
      <c r="H2998" s="40" t="str">
        <f>IF(tblMovimientos[[#This Row],[SKU]]="","",IFERROR(INDEX(tblProductos[Unidad],MATCH(tblMovimientos[[#This Row],[SKU]],tblProductos[SKU],0)),"?"))</f>
        <v/>
      </c>
      <c r="I2998" s="39"/>
      <c r="J2998" s="47" t="str">
        <f>IF(tblMovimientos[[#This Row],[Tipo]]="","",IFERROR(INDEX(tblTiposMov[FactorStock],MATCH(tblMovimientos[[#This Row],[Tipo]],tblTiposMov[Tipo],0)),0))</f>
        <v/>
      </c>
      <c r="K29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8" s="37"/>
      <c r="O2998" s="37"/>
      <c r="P2998" s="37"/>
    </row>
    <row r="2999" spans="2:16" x14ac:dyDescent="0.25">
      <c r="B29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2999" s="46"/>
      <c r="D2999" s="37"/>
      <c r="E2999" s="37"/>
      <c r="F2999" s="37"/>
      <c r="G2999" s="40" t="str">
        <f>IF(tblMovimientos[[#This Row],[Producto]]="","",TRIM(LEFT(tblMovimientos[[#This Row],[Producto]],FIND(" · ",tblMovimientos[[#This Row],[Producto]]&amp;" · ")-1)))</f>
        <v/>
      </c>
      <c r="H2999" s="40" t="str">
        <f>IF(tblMovimientos[[#This Row],[SKU]]="","",IFERROR(INDEX(tblProductos[Unidad],MATCH(tblMovimientos[[#This Row],[SKU]],tblProductos[SKU],0)),"?"))</f>
        <v/>
      </c>
      <c r="I2999" s="39"/>
      <c r="J2999" s="47" t="str">
        <f>IF(tblMovimientos[[#This Row],[Tipo]]="","",IFERROR(INDEX(tblTiposMov[FactorStock],MATCH(tblMovimientos[[#This Row],[Tipo]],tblTiposMov[Tipo],0)),0))</f>
        <v/>
      </c>
      <c r="K29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29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2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2999" s="37"/>
      <c r="O2999" s="37"/>
      <c r="P2999" s="37"/>
    </row>
    <row r="3000" spans="2:16" x14ac:dyDescent="0.25">
      <c r="B30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0" s="46"/>
      <c r="D3000" s="37"/>
      <c r="E3000" s="37"/>
      <c r="F3000" s="37"/>
      <c r="G3000" s="40" t="str">
        <f>IF(tblMovimientos[[#This Row],[Producto]]="","",TRIM(LEFT(tblMovimientos[[#This Row],[Producto]],FIND(" · ",tblMovimientos[[#This Row],[Producto]]&amp;" · ")-1)))</f>
        <v/>
      </c>
      <c r="H3000" s="40" t="str">
        <f>IF(tblMovimientos[[#This Row],[SKU]]="","",IFERROR(INDEX(tblProductos[Unidad],MATCH(tblMovimientos[[#This Row],[SKU]],tblProductos[SKU],0)),"?"))</f>
        <v/>
      </c>
      <c r="I3000" s="39"/>
      <c r="J3000" s="47" t="str">
        <f>IF(tblMovimientos[[#This Row],[Tipo]]="","",IFERROR(INDEX(tblTiposMov[FactorStock],MATCH(tblMovimientos[[#This Row],[Tipo]],tblTiposMov[Tipo],0)),0))</f>
        <v/>
      </c>
      <c r="K30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0" s="37"/>
      <c r="O3000" s="37"/>
      <c r="P3000" s="37"/>
    </row>
    <row r="3001" spans="2:16" x14ac:dyDescent="0.25">
      <c r="B30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1" s="46"/>
      <c r="D3001" s="37"/>
      <c r="E3001" s="37"/>
      <c r="F3001" s="37"/>
      <c r="G3001" s="40" t="str">
        <f>IF(tblMovimientos[[#This Row],[Producto]]="","",TRIM(LEFT(tblMovimientos[[#This Row],[Producto]],FIND(" · ",tblMovimientos[[#This Row],[Producto]]&amp;" · ")-1)))</f>
        <v/>
      </c>
      <c r="H3001" s="40" t="str">
        <f>IF(tblMovimientos[[#This Row],[SKU]]="","",IFERROR(INDEX(tblProductos[Unidad],MATCH(tblMovimientos[[#This Row],[SKU]],tblProductos[SKU],0)),"?"))</f>
        <v/>
      </c>
      <c r="I3001" s="39"/>
      <c r="J3001" s="47" t="str">
        <f>IF(tblMovimientos[[#This Row],[Tipo]]="","",IFERROR(INDEX(tblTiposMov[FactorStock],MATCH(tblMovimientos[[#This Row],[Tipo]],tblTiposMov[Tipo],0)),0))</f>
        <v/>
      </c>
      <c r="K30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1" s="37"/>
      <c r="O3001" s="37"/>
      <c r="P3001" s="37"/>
    </row>
    <row r="3002" spans="2:16" x14ac:dyDescent="0.25">
      <c r="B30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2" s="46"/>
      <c r="D3002" s="37"/>
      <c r="E3002" s="37"/>
      <c r="F3002" s="37"/>
      <c r="G3002" s="40" t="str">
        <f>IF(tblMovimientos[[#This Row],[Producto]]="","",TRIM(LEFT(tblMovimientos[[#This Row],[Producto]],FIND(" · ",tblMovimientos[[#This Row],[Producto]]&amp;" · ")-1)))</f>
        <v/>
      </c>
      <c r="H3002" s="40" t="str">
        <f>IF(tblMovimientos[[#This Row],[SKU]]="","",IFERROR(INDEX(tblProductos[Unidad],MATCH(tblMovimientos[[#This Row],[SKU]],tblProductos[SKU],0)),"?"))</f>
        <v/>
      </c>
      <c r="I3002" s="39"/>
      <c r="J3002" s="47" t="str">
        <f>IF(tblMovimientos[[#This Row],[Tipo]]="","",IFERROR(INDEX(tblTiposMov[FactorStock],MATCH(tblMovimientos[[#This Row],[Tipo]],tblTiposMov[Tipo],0)),0))</f>
        <v/>
      </c>
      <c r="K30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2" s="37"/>
      <c r="O3002" s="37"/>
      <c r="P3002" s="37"/>
    </row>
    <row r="3003" spans="2:16" x14ac:dyDescent="0.25">
      <c r="B30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3" s="46"/>
      <c r="D3003" s="37"/>
      <c r="E3003" s="37"/>
      <c r="F3003" s="37"/>
      <c r="G3003" s="40" t="str">
        <f>IF(tblMovimientos[[#This Row],[Producto]]="","",TRIM(LEFT(tblMovimientos[[#This Row],[Producto]],FIND(" · ",tblMovimientos[[#This Row],[Producto]]&amp;" · ")-1)))</f>
        <v/>
      </c>
      <c r="H3003" s="40" t="str">
        <f>IF(tblMovimientos[[#This Row],[SKU]]="","",IFERROR(INDEX(tblProductos[Unidad],MATCH(tblMovimientos[[#This Row],[SKU]],tblProductos[SKU],0)),"?"))</f>
        <v/>
      </c>
      <c r="I3003" s="39"/>
      <c r="J3003" s="47" t="str">
        <f>IF(tblMovimientos[[#This Row],[Tipo]]="","",IFERROR(INDEX(tblTiposMov[FactorStock],MATCH(tblMovimientos[[#This Row],[Tipo]],tblTiposMov[Tipo],0)),0))</f>
        <v/>
      </c>
      <c r="K30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3" s="37"/>
      <c r="O3003" s="37"/>
      <c r="P3003" s="37"/>
    </row>
    <row r="3004" spans="2:16" x14ac:dyDescent="0.25">
      <c r="B30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4" s="46"/>
      <c r="D3004" s="37"/>
      <c r="E3004" s="37"/>
      <c r="F3004" s="37"/>
      <c r="G3004" s="40" t="str">
        <f>IF(tblMovimientos[[#This Row],[Producto]]="","",TRIM(LEFT(tblMovimientos[[#This Row],[Producto]],FIND(" · ",tblMovimientos[[#This Row],[Producto]]&amp;" · ")-1)))</f>
        <v/>
      </c>
      <c r="H3004" s="40" t="str">
        <f>IF(tblMovimientos[[#This Row],[SKU]]="","",IFERROR(INDEX(tblProductos[Unidad],MATCH(tblMovimientos[[#This Row],[SKU]],tblProductos[SKU],0)),"?"))</f>
        <v/>
      </c>
      <c r="I3004" s="39"/>
      <c r="J3004" s="47" t="str">
        <f>IF(tblMovimientos[[#This Row],[Tipo]]="","",IFERROR(INDEX(tblTiposMov[FactorStock],MATCH(tblMovimientos[[#This Row],[Tipo]],tblTiposMov[Tipo],0)),0))</f>
        <v/>
      </c>
      <c r="K30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4" s="37"/>
      <c r="O3004" s="37"/>
      <c r="P3004" s="37"/>
    </row>
    <row r="3005" spans="2:16" x14ac:dyDescent="0.25">
      <c r="B30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5" s="46"/>
      <c r="D3005" s="37"/>
      <c r="E3005" s="37"/>
      <c r="F3005" s="37"/>
      <c r="G3005" s="40" t="str">
        <f>IF(tblMovimientos[[#This Row],[Producto]]="","",TRIM(LEFT(tblMovimientos[[#This Row],[Producto]],FIND(" · ",tblMovimientos[[#This Row],[Producto]]&amp;" · ")-1)))</f>
        <v/>
      </c>
      <c r="H3005" s="40" t="str">
        <f>IF(tblMovimientos[[#This Row],[SKU]]="","",IFERROR(INDEX(tblProductos[Unidad],MATCH(tblMovimientos[[#This Row],[SKU]],tblProductos[SKU],0)),"?"))</f>
        <v/>
      </c>
      <c r="I3005" s="39"/>
      <c r="J3005" s="47" t="str">
        <f>IF(tblMovimientos[[#This Row],[Tipo]]="","",IFERROR(INDEX(tblTiposMov[FactorStock],MATCH(tblMovimientos[[#This Row],[Tipo]],tblTiposMov[Tipo],0)),0))</f>
        <v/>
      </c>
      <c r="K30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5" s="37"/>
      <c r="O3005" s="37"/>
      <c r="P3005" s="37"/>
    </row>
    <row r="3006" spans="2:16" x14ac:dyDescent="0.25">
      <c r="B30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6" s="46"/>
      <c r="D3006" s="37"/>
      <c r="E3006" s="37"/>
      <c r="F3006" s="37"/>
      <c r="G3006" s="40" t="str">
        <f>IF(tblMovimientos[[#This Row],[Producto]]="","",TRIM(LEFT(tblMovimientos[[#This Row],[Producto]],FIND(" · ",tblMovimientos[[#This Row],[Producto]]&amp;" · ")-1)))</f>
        <v/>
      </c>
      <c r="H3006" s="40" t="str">
        <f>IF(tblMovimientos[[#This Row],[SKU]]="","",IFERROR(INDEX(tblProductos[Unidad],MATCH(tblMovimientos[[#This Row],[SKU]],tblProductos[SKU],0)),"?"))</f>
        <v/>
      </c>
      <c r="I3006" s="39"/>
      <c r="J3006" s="47" t="str">
        <f>IF(tblMovimientos[[#This Row],[Tipo]]="","",IFERROR(INDEX(tblTiposMov[FactorStock],MATCH(tblMovimientos[[#This Row],[Tipo]],tblTiposMov[Tipo],0)),0))</f>
        <v/>
      </c>
      <c r="K30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6" s="37"/>
      <c r="O3006" s="37"/>
      <c r="P3006" s="37"/>
    </row>
    <row r="3007" spans="2:16" x14ac:dyDescent="0.25">
      <c r="B30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7" s="46"/>
      <c r="D3007" s="37"/>
      <c r="E3007" s="37"/>
      <c r="F3007" s="37"/>
      <c r="G3007" s="40" t="str">
        <f>IF(tblMovimientos[[#This Row],[Producto]]="","",TRIM(LEFT(tblMovimientos[[#This Row],[Producto]],FIND(" · ",tblMovimientos[[#This Row],[Producto]]&amp;" · ")-1)))</f>
        <v/>
      </c>
      <c r="H3007" s="40" t="str">
        <f>IF(tblMovimientos[[#This Row],[SKU]]="","",IFERROR(INDEX(tblProductos[Unidad],MATCH(tblMovimientos[[#This Row],[SKU]],tblProductos[SKU],0)),"?"))</f>
        <v/>
      </c>
      <c r="I3007" s="39"/>
      <c r="J3007" s="47" t="str">
        <f>IF(tblMovimientos[[#This Row],[Tipo]]="","",IFERROR(INDEX(tblTiposMov[FactorStock],MATCH(tblMovimientos[[#This Row],[Tipo]],tblTiposMov[Tipo],0)),0))</f>
        <v/>
      </c>
      <c r="K30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7" s="37"/>
      <c r="O3007" s="37"/>
      <c r="P3007" s="37"/>
    </row>
    <row r="3008" spans="2:16" x14ac:dyDescent="0.25">
      <c r="B30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8" s="46"/>
      <c r="D3008" s="37"/>
      <c r="E3008" s="37"/>
      <c r="F3008" s="37"/>
      <c r="G3008" s="40" t="str">
        <f>IF(tblMovimientos[[#This Row],[Producto]]="","",TRIM(LEFT(tblMovimientos[[#This Row],[Producto]],FIND(" · ",tblMovimientos[[#This Row],[Producto]]&amp;" · ")-1)))</f>
        <v/>
      </c>
      <c r="H3008" s="40" t="str">
        <f>IF(tblMovimientos[[#This Row],[SKU]]="","",IFERROR(INDEX(tblProductos[Unidad],MATCH(tblMovimientos[[#This Row],[SKU]],tblProductos[SKU],0)),"?"))</f>
        <v/>
      </c>
      <c r="I3008" s="39"/>
      <c r="J3008" s="47" t="str">
        <f>IF(tblMovimientos[[#This Row],[Tipo]]="","",IFERROR(INDEX(tblTiposMov[FactorStock],MATCH(tblMovimientos[[#This Row],[Tipo]],tblTiposMov[Tipo],0)),0))</f>
        <v/>
      </c>
      <c r="K30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8" s="37"/>
      <c r="O3008" s="37"/>
      <c r="P3008" s="37"/>
    </row>
    <row r="3009" spans="2:16" x14ac:dyDescent="0.25">
      <c r="B30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09" s="46"/>
      <c r="D3009" s="37"/>
      <c r="E3009" s="37"/>
      <c r="F3009" s="37"/>
      <c r="G3009" s="40" t="str">
        <f>IF(tblMovimientos[[#This Row],[Producto]]="","",TRIM(LEFT(tblMovimientos[[#This Row],[Producto]],FIND(" · ",tblMovimientos[[#This Row],[Producto]]&amp;" · ")-1)))</f>
        <v/>
      </c>
      <c r="H3009" s="40" t="str">
        <f>IF(tblMovimientos[[#This Row],[SKU]]="","",IFERROR(INDEX(tblProductos[Unidad],MATCH(tblMovimientos[[#This Row],[SKU]],tblProductos[SKU],0)),"?"))</f>
        <v/>
      </c>
      <c r="I3009" s="39"/>
      <c r="J3009" s="47" t="str">
        <f>IF(tblMovimientos[[#This Row],[Tipo]]="","",IFERROR(INDEX(tblTiposMov[FactorStock],MATCH(tblMovimientos[[#This Row],[Tipo]],tblTiposMov[Tipo],0)),0))</f>
        <v/>
      </c>
      <c r="K30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09" s="37"/>
      <c r="O3009" s="37"/>
      <c r="P3009" s="37"/>
    </row>
    <row r="3010" spans="2:16" x14ac:dyDescent="0.25">
      <c r="B30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0" s="46"/>
      <c r="D3010" s="37"/>
      <c r="E3010" s="37"/>
      <c r="F3010" s="37"/>
      <c r="G3010" s="40" t="str">
        <f>IF(tblMovimientos[[#This Row],[Producto]]="","",TRIM(LEFT(tblMovimientos[[#This Row],[Producto]],FIND(" · ",tblMovimientos[[#This Row],[Producto]]&amp;" · ")-1)))</f>
        <v/>
      </c>
      <c r="H3010" s="40" t="str">
        <f>IF(tblMovimientos[[#This Row],[SKU]]="","",IFERROR(INDEX(tblProductos[Unidad],MATCH(tblMovimientos[[#This Row],[SKU]],tblProductos[SKU],0)),"?"))</f>
        <v/>
      </c>
      <c r="I3010" s="39"/>
      <c r="J3010" s="47" t="str">
        <f>IF(tblMovimientos[[#This Row],[Tipo]]="","",IFERROR(INDEX(tblTiposMov[FactorStock],MATCH(tblMovimientos[[#This Row],[Tipo]],tblTiposMov[Tipo],0)),0))</f>
        <v/>
      </c>
      <c r="K30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0" s="37"/>
      <c r="O3010" s="37"/>
      <c r="P3010" s="37"/>
    </row>
    <row r="3011" spans="2:16" x14ac:dyDescent="0.25">
      <c r="B30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1" s="46"/>
      <c r="D3011" s="37"/>
      <c r="E3011" s="37"/>
      <c r="F3011" s="37"/>
      <c r="G3011" s="40" t="str">
        <f>IF(tblMovimientos[[#This Row],[Producto]]="","",TRIM(LEFT(tblMovimientos[[#This Row],[Producto]],FIND(" · ",tblMovimientos[[#This Row],[Producto]]&amp;" · ")-1)))</f>
        <v/>
      </c>
      <c r="H3011" s="40" t="str">
        <f>IF(tblMovimientos[[#This Row],[SKU]]="","",IFERROR(INDEX(tblProductos[Unidad],MATCH(tblMovimientos[[#This Row],[SKU]],tblProductos[SKU],0)),"?"))</f>
        <v/>
      </c>
      <c r="I3011" s="39"/>
      <c r="J3011" s="47" t="str">
        <f>IF(tblMovimientos[[#This Row],[Tipo]]="","",IFERROR(INDEX(tblTiposMov[FactorStock],MATCH(tblMovimientos[[#This Row],[Tipo]],tblTiposMov[Tipo],0)),0))</f>
        <v/>
      </c>
      <c r="K30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1" s="37"/>
      <c r="O3011" s="37"/>
      <c r="P3011" s="37"/>
    </row>
    <row r="3012" spans="2:16" x14ac:dyDescent="0.25">
      <c r="B30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2" s="46"/>
      <c r="D3012" s="37"/>
      <c r="E3012" s="37"/>
      <c r="F3012" s="37"/>
      <c r="G3012" s="40" t="str">
        <f>IF(tblMovimientos[[#This Row],[Producto]]="","",TRIM(LEFT(tblMovimientos[[#This Row],[Producto]],FIND(" · ",tblMovimientos[[#This Row],[Producto]]&amp;" · ")-1)))</f>
        <v/>
      </c>
      <c r="H3012" s="40" t="str">
        <f>IF(tblMovimientos[[#This Row],[SKU]]="","",IFERROR(INDEX(tblProductos[Unidad],MATCH(tblMovimientos[[#This Row],[SKU]],tblProductos[SKU],0)),"?"))</f>
        <v/>
      </c>
      <c r="I3012" s="39"/>
      <c r="J3012" s="47" t="str">
        <f>IF(tblMovimientos[[#This Row],[Tipo]]="","",IFERROR(INDEX(tblTiposMov[FactorStock],MATCH(tblMovimientos[[#This Row],[Tipo]],tblTiposMov[Tipo],0)),0))</f>
        <v/>
      </c>
      <c r="K30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2" s="37"/>
      <c r="O3012" s="37"/>
      <c r="P3012" s="37"/>
    </row>
    <row r="3013" spans="2:16" x14ac:dyDescent="0.25">
      <c r="B30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3" s="46"/>
      <c r="D3013" s="37"/>
      <c r="E3013" s="37"/>
      <c r="F3013" s="37"/>
      <c r="G3013" s="40" t="str">
        <f>IF(tblMovimientos[[#This Row],[Producto]]="","",TRIM(LEFT(tblMovimientos[[#This Row],[Producto]],FIND(" · ",tblMovimientos[[#This Row],[Producto]]&amp;" · ")-1)))</f>
        <v/>
      </c>
      <c r="H3013" s="40" t="str">
        <f>IF(tblMovimientos[[#This Row],[SKU]]="","",IFERROR(INDEX(tblProductos[Unidad],MATCH(tblMovimientos[[#This Row],[SKU]],tblProductos[SKU],0)),"?"))</f>
        <v/>
      </c>
      <c r="I3013" s="39"/>
      <c r="J3013" s="47" t="str">
        <f>IF(tblMovimientos[[#This Row],[Tipo]]="","",IFERROR(INDEX(tblTiposMov[FactorStock],MATCH(tblMovimientos[[#This Row],[Tipo]],tblTiposMov[Tipo],0)),0))</f>
        <v/>
      </c>
      <c r="K30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3" s="37"/>
      <c r="O3013" s="37"/>
      <c r="P3013" s="37"/>
    </row>
    <row r="3014" spans="2:16" x14ac:dyDescent="0.25">
      <c r="B30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4" s="46"/>
      <c r="D3014" s="37"/>
      <c r="E3014" s="37"/>
      <c r="F3014" s="37"/>
      <c r="G3014" s="40" t="str">
        <f>IF(tblMovimientos[[#This Row],[Producto]]="","",TRIM(LEFT(tblMovimientos[[#This Row],[Producto]],FIND(" · ",tblMovimientos[[#This Row],[Producto]]&amp;" · ")-1)))</f>
        <v/>
      </c>
      <c r="H3014" s="40" t="str">
        <f>IF(tblMovimientos[[#This Row],[SKU]]="","",IFERROR(INDEX(tblProductos[Unidad],MATCH(tblMovimientos[[#This Row],[SKU]],tblProductos[SKU],0)),"?"))</f>
        <v/>
      </c>
      <c r="I3014" s="39"/>
      <c r="J3014" s="47" t="str">
        <f>IF(tblMovimientos[[#This Row],[Tipo]]="","",IFERROR(INDEX(tblTiposMov[FactorStock],MATCH(tblMovimientos[[#This Row],[Tipo]],tblTiposMov[Tipo],0)),0))</f>
        <v/>
      </c>
      <c r="K30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4" s="37"/>
      <c r="O3014" s="37"/>
      <c r="P3014" s="37"/>
    </row>
    <row r="3015" spans="2:16" x14ac:dyDescent="0.25">
      <c r="B30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5" s="46"/>
      <c r="D3015" s="37"/>
      <c r="E3015" s="37"/>
      <c r="F3015" s="37"/>
      <c r="G3015" s="40" t="str">
        <f>IF(tblMovimientos[[#This Row],[Producto]]="","",TRIM(LEFT(tblMovimientos[[#This Row],[Producto]],FIND(" · ",tblMovimientos[[#This Row],[Producto]]&amp;" · ")-1)))</f>
        <v/>
      </c>
      <c r="H3015" s="40" t="str">
        <f>IF(tblMovimientos[[#This Row],[SKU]]="","",IFERROR(INDEX(tblProductos[Unidad],MATCH(tblMovimientos[[#This Row],[SKU]],tblProductos[SKU],0)),"?"))</f>
        <v/>
      </c>
      <c r="I3015" s="39"/>
      <c r="J3015" s="47" t="str">
        <f>IF(tblMovimientos[[#This Row],[Tipo]]="","",IFERROR(INDEX(tblTiposMov[FactorStock],MATCH(tblMovimientos[[#This Row],[Tipo]],tblTiposMov[Tipo],0)),0))</f>
        <v/>
      </c>
      <c r="K30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5" s="37"/>
      <c r="O3015" s="37"/>
      <c r="P3015" s="37"/>
    </row>
    <row r="3016" spans="2:16" x14ac:dyDescent="0.25">
      <c r="B30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6" s="46"/>
      <c r="D3016" s="37"/>
      <c r="E3016" s="37"/>
      <c r="F3016" s="37"/>
      <c r="G3016" s="40" t="str">
        <f>IF(tblMovimientos[[#This Row],[Producto]]="","",TRIM(LEFT(tblMovimientos[[#This Row],[Producto]],FIND(" · ",tblMovimientos[[#This Row],[Producto]]&amp;" · ")-1)))</f>
        <v/>
      </c>
      <c r="H3016" s="40" t="str">
        <f>IF(tblMovimientos[[#This Row],[SKU]]="","",IFERROR(INDEX(tblProductos[Unidad],MATCH(tblMovimientos[[#This Row],[SKU]],tblProductos[SKU],0)),"?"))</f>
        <v/>
      </c>
      <c r="I3016" s="39"/>
      <c r="J3016" s="47" t="str">
        <f>IF(tblMovimientos[[#This Row],[Tipo]]="","",IFERROR(INDEX(tblTiposMov[FactorStock],MATCH(tblMovimientos[[#This Row],[Tipo]],tblTiposMov[Tipo],0)),0))</f>
        <v/>
      </c>
      <c r="K30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6" s="37"/>
      <c r="O3016" s="37"/>
      <c r="P3016" s="37"/>
    </row>
    <row r="3017" spans="2:16" x14ac:dyDescent="0.25">
      <c r="B30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7" s="46"/>
      <c r="D3017" s="37"/>
      <c r="E3017" s="37"/>
      <c r="F3017" s="37"/>
      <c r="G3017" s="40" t="str">
        <f>IF(tblMovimientos[[#This Row],[Producto]]="","",TRIM(LEFT(tblMovimientos[[#This Row],[Producto]],FIND(" · ",tblMovimientos[[#This Row],[Producto]]&amp;" · ")-1)))</f>
        <v/>
      </c>
      <c r="H3017" s="40" t="str">
        <f>IF(tblMovimientos[[#This Row],[SKU]]="","",IFERROR(INDEX(tblProductos[Unidad],MATCH(tblMovimientos[[#This Row],[SKU]],tblProductos[SKU],0)),"?"))</f>
        <v/>
      </c>
      <c r="I3017" s="39"/>
      <c r="J3017" s="47" t="str">
        <f>IF(tblMovimientos[[#This Row],[Tipo]]="","",IFERROR(INDEX(tblTiposMov[FactorStock],MATCH(tblMovimientos[[#This Row],[Tipo]],tblTiposMov[Tipo],0)),0))</f>
        <v/>
      </c>
      <c r="K30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7" s="37"/>
      <c r="O3017" s="37"/>
      <c r="P3017" s="37"/>
    </row>
    <row r="3018" spans="2:16" x14ac:dyDescent="0.25">
      <c r="B30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8" s="46"/>
      <c r="D3018" s="37"/>
      <c r="E3018" s="37"/>
      <c r="F3018" s="37"/>
      <c r="G3018" s="40" t="str">
        <f>IF(tblMovimientos[[#This Row],[Producto]]="","",TRIM(LEFT(tblMovimientos[[#This Row],[Producto]],FIND(" · ",tblMovimientos[[#This Row],[Producto]]&amp;" · ")-1)))</f>
        <v/>
      </c>
      <c r="H3018" s="40" t="str">
        <f>IF(tblMovimientos[[#This Row],[SKU]]="","",IFERROR(INDEX(tblProductos[Unidad],MATCH(tblMovimientos[[#This Row],[SKU]],tblProductos[SKU],0)),"?"))</f>
        <v/>
      </c>
      <c r="I3018" s="39"/>
      <c r="J3018" s="47" t="str">
        <f>IF(tblMovimientos[[#This Row],[Tipo]]="","",IFERROR(INDEX(tblTiposMov[FactorStock],MATCH(tblMovimientos[[#This Row],[Tipo]],tblTiposMov[Tipo],0)),0))</f>
        <v/>
      </c>
      <c r="K30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8" s="37"/>
      <c r="O3018" s="37"/>
      <c r="P3018" s="37"/>
    </row>
    <row r="3019" spans="2:16" x14ac:dyDescent="0.25">
      <c r="B30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19" s="46"/>
      <c r="D3019" s="37"/>
      <c r="E3019" s="37"/>
      <c r="F3019" s="37"/>
      <c r="G3019" s="40" t="str">
        <f>IF(tblMovimientos[[#This Row],[Producto]]="","",TRIM(LEFT(tblMovimientos[[#This Row],[Producto]],FIND(" · ",tblMovimientos[[#This Row],[Producto]]&amp;" · ")-1)))</f>
        <v/>
      </c>
      <c r="H3019" s="40" t="str">
        <f>IF(tblMovimientos[[#This Row],[SKU]]="","",IFERROR(INDEX(tblProductos[Unidad],MATCH(tblMovimientos[[#This Row],[SKU]],tblProductos[SKU],0)),"?"))</f>
        <v/>
      </c>
      <c r="I3019" s="39"/>
      <c r="J3019" s="47" t="str">
        <f>IF(tblMovimientos[[#This Row],[Tipo]]="","",IFERROR(INDEX(tblTiposMov[FactorStock],MATCH(tblMovimientos[[#This Row],[Tipo]],tblTiposMov[Tipo],0)),0))</f>
        <v/>
      </c>
      <c r="K30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19" s="37"/>
      <c r="O3019" s="37"/>
      <c r="P3019" s="37"/>
    </row>
    <row r="3020" spans="2:16" x14ac:dyDescent="0.25">
      <c r="B30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0" s="46"/>
      <c r="D3020" s="37"/>
      <c r="E3020" s="37"/>
      <c r="F3020" s="37"/>
      <c r="G3020" s="40" t="str">
        <f>IF(tblMovimientos[[#This Row],[Producto]]="","",TRIM(LEFT(tblMovimientos[[#This Row],[Producto]],FIND(" · ",tblMovimientos[[#This Row],[Producto]]&amp;" · ")-1)))</f>
        <v/>
      </c>
      <c r="H3020" s="40" t="str">
        <f>IF(tblMovimientos[[#This Row],[SKU]]="","",IFERROR(INDEX(tblProductos[Unidad],MATCH(tblMovimientos[[#This Row],[SKU]],tblProductos[SKU],0)),"?"))</f>
        <v/>
      </c>
      <c r="I3020" s="39"/>
      <c r="J3020" s="47" t="str">
        <f>IF(tblMovimientos[[#This Row],[Tipo]]="","",IFERROR(INDEX(tblTiposMov[FactorStock],MATCH(tblMovimientos[[#This Row],[Tipo]],tblTiposMov[Tipo],0)),0))</f>
        <v/>
      </c>
      <c r="K30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0" s="37"/>
      <c r="O3020" s="37"/>
      <c r="P3020" s="37"/>
    </row>
    <row r="3021" spans="2:16" x14ac:dyDescent="0.25">
      <c r="B30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1" s="46"/>
      <c r="D3021" s="37"/>
      <c r="E3021" s="37"/>
      <c r="F3021" s="37"/>
      <c r="G3021" s="40" t="str">
        <f>IF(tblMovimientos[[#This Row],[Producto]]="","",TRIM(LEFT(tblMovimientos[[#This Row],[Producto]],FIND(" · ",tblMovimientos[[#This Row],[Producto]]&amp;" · ")-1)))</f>
        <v/>
      </c>
      <c r="H3021" s="40" t="str">
        <f>IF(tblMovimientos[[#This Row],[SKU]]="","",IFERROR(INDEX(tblProductos[Unidad],MATCH(tblMovimientos[[#This Row],[SKU]],tblProductos[SKU],0)),"?"))</f>
        <v/>
      </c>
      <c r="I3021" s="39"/>
      <c r="J3021" s="47" t="str">
        <f>IF(tblMovimientos[[#This Row],[Tipo]]="","",IFERROR(INDEX(tblTiposMov[FactorStock],MATCH(tblMovimientos[[#This Row],[Tipo]],tblTiposMov[Tipo],0)),0))</f>
        <v/>
      </c>
      <c r="K30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1" s="37"/>
      <c r="O3021" s="37"/>
      <c r="P3021" s="37"/>
    </row>
    <row r="3022" spans="2:16" x14ac:dyDescent="0.25">
      <c r="B30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2" s="46"/>
      <c r="D3022" s="37"/>
      <c r="E3022" s="37"/>
      <c r="F3022" s="37"/>
      <c r="G3022" s="40" t="str">
        <f>IF(tblMovimientos[[#This Row],[Producto]]="","",TRIM(LEFT(tblMovimientos[[#This Row],[Producto]],FIND(" · ",tblMovimientos[[#This Row],[Producto]]&amp;" · ")-1)))</f>
        <v/>
      </c>
      <c r="H3022" s="40" t="str">
        <f>IF(tblMovimientos[[#This Row],[SKU]]="","",IFERROR(INDEX(tblProductos[Unidad],MATCH(tblMovimientos[[#This Row],[SKU]],tblProductos[SKU],0)),"?"))</f>
        <v/>
      </c>
      <c r="I3022" s="39"/>
      <c r="J3022" s="47" t="str">
        <f>IF(tblMovimientos[[#This Row],[Tipo]]="","",IFERROR(INDEX(tblTiposMov[FactorStock],MATCH(tblMovimientos[[#This Row],[Tipo]],tblTiposMov[Tipo],0)),0))</f>
        <v/>
      </c>
      <c r="K30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2" s="37"/>
      <c r="O3022" s="37"/>
      <c r="P3022" s="37"/>
    </row>
    <row r="3023" spans="2:16" x14ac:dyDescent="0.25">
      <c r="B30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3" s="46"/>
      <c r="D3023" s="37"/>
      <c r="E3023" s="37"/>
      <c r="F3023" s="37"/>
      <c r="G3023" s="40" t="str">
        <f>IF(tblMovimientos[[#This Row],[Producto]]="","",TRIM(LEFT(tblMovimientos[[#This Row],[Producto]],FIND(" · ",tblMovimientos[[#This Row],[Producto]]&amp;" · ")-1)))</f>
        <v/>
      </c>
      <c r="H3023" s="40" t="str">
        <f>IF(tblMovimientos[[#This Row],[SKU]]="","",IFERROR(INDEX(tblProductos[Unidad],MATCH(tblMovimientos[[#This Row],[SKU]],tblProductos[SKU],0)),"?"))</f>
        <v/>
      </c>
      <c r="I3023" s="39"/>
      <c r="J3023" s="47" t="str">
        <f>IF(tblMovimientos[[#This Row],[Tipo]]="","",IFERROR(INDEX(tblTiposMov[FactorStock],MATCH(tblMovimientos[[#This Row],[Tipo]],tblTiposMov[Tipo],0)),0))</f>
        <v/>
      </c>
      <c r="K30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3" s="37"/>
      <c r="O3023" s="37"/>
      <c r="P3023" s="37"/>
    </row>
    <row r="3024" spans="2:16" x14ac:dyDescent="0.25">
      <c r="B30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4" s="46"/>
      <c r="D3024" s="37"/>
      <c r="E3024" s="37"/>
      <c r="F3024" s="37"/>
      <c r="G3024" s="40" t="str">
        <f>IF(tblMovimientos[[#This Row],[Producto]]="","",TRIM(LEFT(tblMovimientos[[#This Row],[Producto]],FIND(" · ",tblMovimientos[[#This Row],[Producto]]&amp;" · ")-1)))</f>
        <v/>
      </c>
      <c r="H3024" s="40" t="str">
        <f>IF(tblMovimientos[[#This Row],[SKU]]="","",IFERROR(INDEX(tblProductos[Unidad],MATCH(tblMovimientos[[#This Row],[SKU]],tblProductos[SKU],0)),"?"))</f>
        <v/>
      </c>
      <c r="I3024" s="39"/>
      <c r="J3024" s="47" t="str">
        <f>IF(tblMovimientos[[#This Row],[Tipo]]="","",IFERROR(INDEX(tblTiposMov[FactorStock],MATCH(tblMovimientos[[#This Row],[Tipo]],tblTiposMov[Tipo],0)),0))</f>
        <v/>
      </c>
      <c r="K30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4" s="37"/>
      <c r="O3024" s="37"/>
      <c r="P3024" s="37"/>
    </row>
    <row r="3025" spans="2:16" x14ac:dyDescent="0.25">
      <c r="B30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5" s="46"/>
      <c r="D3025" s="37"/>
      <c r="E3025" s="37"/>
      <c r="F3025" s="37"/>
      <c r="G3025" s="40" t="str">
        <f>IF(tblMovimientos[[#This Row],[Producto]]="","",TRIM(LEFT(tblMovimientos[[#This Row],[Producto]],FIND(" · ",tblMovimientos[[#This Row],[Producto]]&amp;" · ")-1)))</f>
        <v/>
      </c>
      <c r="H3025" s="40" t="str">
        <f>IF(tblMovimientos[[#This Row],[SKU]]="","",IFERROR(INDEX(tblProductos[Unidad],MATCH(tblMovimientos[[#This Row],[SKU]],tblProductos[SKU],0)),"?"))</f>
        <v/>
      </c>
      <c r="I3025" s="39"/>
      <c r="J3025" s="47" t="str">
        <f>IF(tblMovimientos[[#This Row],[Tipo]]="","",IFERROR(INDEX(tblTiposMov[FactorStock],MATCH(tblMovimientos[[#This Row],[Tipo]],tblTiposMov[Tipo],0)),0))</f>
        <v/>
      </c>
      <c r="K30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5" s="37"/>
      <c r="O3025" s="37"/>
      <c r="P3025" s="37"/>
    </row>
    <row r="3026" spans="2:16" x14ac:dyDescent="0.25">
      <c r="B30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6" s="46"/>
      <c r="D3026" s="37"/>
      <c r="E3026" s="37"/>
      <c r="F3026" s="37"/>
      <c r="G3026" s="40" t="str">
        <f>IF(tblMovimientos[[#This Row],[Producto]]="","",TRIM(LEFT(tblMovimientos[[#This Row],[Producto]],FIND(" · ",tblMovimientos[[#This Row],[Producto]]&amp;" · ")-1)))</f>
        <v/>
      </c>
      <c r="H3026" s="40" t="str">
        <f>IF(tblMovimientos[[#This Row],[SKU]]="","",IFERROR(INDEX(tblProductos[Unidad],MATCH(tblMovimientos[[#This Row],[SKU]],tblProductos[SKU],0)),"?"))</f>
        <v/>
      </c>
      <c r="I3026" s="39"/>
      <c r="J3026" s="47" t="str">
        <f>IF(tblMovimientos[[#This Row],[Tipo]]="","",IFERROR(INDEX(tblTiposMov[FactorStock],MATCH(tblMovimientos[[#This Row],[Tipo]],tblTiposMov[Tipo],0)),0))</f>
        <v/>
      </c>
      <c r="K30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6" s="37"/>
      <c r="O3026" s="37"/>
      <c r="P3026" s="37"/>
    </row>
    <row r="3027" spans="2:16" x14ac:dyDescent="0.25">
      <c r="B30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7" s="46"/>
      <c r="D3027" s="37"/>
      <c r="E3027" s="37"/>
      <c r="F3027" s="37"/>
      <c r="G3027" s="40" t="str">
        <f>IF(tblMovimientos[[#This Row],[Producto]]="","",TRIM(LEFT(tblMovimientos[[#This Row],[Producto]],FIND(" · ",tblMovimientos[[#This Row],[Producto]]&amp;" · ")-1)))</f>
        <v/>
      </c>
      <c r="H3027" s="40" t="str">
        <f>IF(tblMovimientos[[#This Row],[SKU]]="","",IFERROR(INDEX(tblProductos[Unidad],MATCH(tblMovimientos[[#This Row],[SKU]],tblProductos[SKU],0)),"?"))</f>
        <v/>
      </c>
      <c r="I3027" s="39"/>
      <c r="J3027" s="47" t="str">
        <f>IF(tblMovimientos[[#This Row],[Tipo]]="","",IFERROR(INDEX(tblTiposMov[FactorStock],MATCH(tblMovimientos[[#This Row],[Tipo]],tblTiposMov[Tipo],0)),0))</f>
        <v/>
      </c>
      <c r="K30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7" s="37"/>
      <c r="O3027" s="37"/>
      <c r="P3027" s="37"/>
    </row>
    <row r="3028" spans="2:16" x14ac:dyDescent="0.25">
      <c r="B30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8" s="46"/>
      <c r="D3028" s="37"/>
      <c r="E3028" s="37"/>
      <c r="F3028" s="37"/>
      <c r="G3028" s="40" t="str">
        <f>IF(tblMovimientos[[#This Row],[Producto]]="","",TRIM(LEFT(tblMovimientos[[#This Row],[Producto]],FIND(" · ",tblMovimientos[[#This Row],[Producto]]&amp;" · ")-1)))</f>
        <v/>
      </c>
      <c r="H3028" s="40" t="str">
        <f>IF(tblMovimientos[[#This Row],[SKU]]="","",IFERROR(INDEX(tblProductos[Unidad],MATCH(tblMovimientos[[#This Row],[SKU]],tblProductos[SKU],0)),"?"))</f>
        <v/>
      </c>
      <c r="I3028" s="39"/>
      <c r="J3028" s="47" t="str">
        <f>IF(tblMovimientos[[#This Row],[Tipo]]="","",IFERROR(INDEX(tblTiposMov[FactorStock],MATCH(tblMovimientos[[#This Row],[Tipo]],tblTiposMov[Tipo],0)),0))</f>
        <v/>
      </c>
      <c r="K30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8" s="37"/>
      <c r="O3028" s="37"/>
      <c r="P3028" s="37"/>
    </row>
    <row r="3029" spans="2:16" x14ac:dyDescent="0.25">
      <c r="B30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29" s="46"/>
      <c r="D3029" s="37"/>
      <c r="E3029" s="37"/>
      <c r="F3029" s="37"/>
      <c r="G3029" s="40" t="str">
        <f>IF(tblMovimientos[[#This Row],[Producto]]="","",TRIM(LEFT(tblMovimientos[[#This Row],[Producto]],FIND(" · ",tblMovimientos[[#This Row],[Producto]]&amp;" · ")-1)))</f>
        <v/>
      </c>
      <c r="H3029" s="40" t="str">
        <f>IF(tblMovimientos[[#This Row],[SKU]]="","",IFERROR(INDEX(tblProductos[Unidad],MATCH(tblMovimientos[[#This Row],[SKU]],tblProductos[SKU],0)),"?"))</f>
        <v/>
      </c>
      <c r="I3029" s="39"/>
      <c r="J3029" s="47" t="str">
        <f>IF(tblMovimientos[[#This Row],[Tipo]]="","",IFERROR(INDEX(tblTiposMov[FactorStock],MATCH(tblMovimientos[[#This Row],[Tipo]],tblTiposMov[Tipo],0)),0))</f>
        <v/>
      </c>
      <c r="K30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29" s="37"/>
      <c r="O3029" s="37"/>
      <c r="P3029" s="37"/>
    </row>
    <row r="3030" spans="2:16" x14ac:dyDescent="0.25">
      <c r="B30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0" s="46"/>
      <c r="D3030" s="37"/>
      <c r="E3030" s="37"/>
      <c r="F3030" s="37"/>
      <c r="G3030" s="40" t="str">
        <f>IF(tblMovimientos[[#This Row],[Producto]]="","",TRIM(LEFT(tblMovimientos[[#This Row],[Producto]],FIND(" · ",tblMovimientos[[#This Row],[Producto]]&amp;" · ")-1)))</f>
        <v/>
      </c>
      <c r="H3030" s="40" t="str">
        <f>IF(tblMovimientos[[#This Row],[SKU]]="","",IFERROR(INDEX(tblProductos[Unidad],MATCH(tblMovimientos[[#This Row],[SKU]],tblProductos[SKU],0)),"?"))</f>
        <v/>
      </c>
      <c r="I3030" s="39"/>
      <c r="J3030" s="47" t="str">
        <f>IF(tblMovimientos[[#This Row],[Tipo]]="","",IFERROR(INDEX(tblTiposMov[FactorStock],MATCH(tblMovimientos[[#This Row],[Tipo]],tblTiposMov[Tipo],0)),0))</f>
        <v/>
      </c>
      <c r="K30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0" s="37"/>
      <c r="O3030" s="37"/>
      <c r="P3030" s="37"/>
    </row>
    <row r="3031" spans="2:16" x14ac:dyDescent="0.25">
      <c r="B30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1" s="46"/>
      <c r="D3031" s="37"/>
      <c r="E3031" s="37"/>
      <c r="F3031" s="37"/>
      <c r="G3031" s="40" t="str">
        <f>IF(tblMovimientos[[#This Row],[Producto]]="","",TRIM(LEFT(tblMovimientos[[#This Row],[Producto]],FIND(" · ",tblMovimientos[[#This Row],[Producto]]&amp;" · ")-1)))</f>
        <v/>
      </c>
      <c r="H3031" s="40" t="str">
        <f>IF(tblMovimientos[[#This Row],[SKU]]="","",IFERROR(INDEX(tblProductos[Unidad],MATCH(tblMovimientos[[#This Row],[SKU]],tblProductos[SKU],0)),"?"))</f>
        <v/>
      </c>
      <c r="I3031" s="39"/>
      <c r="J3031" s="47" t="str">
        <f>IF(tblMovimientos[[#This Row],[Tipo]]="","",IFERROR(INDEX(tblTiposMov[FactorStock],MATCH(tblMovimientos[[#This Row],[Tipo]],tblTiposMov[Tipo],0)),0))</f>
        <v/>
      </c>
      <c r="K30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1" s="37"/>
      <c r="O3031" s="37"/>
      <c r="P3031" s="37"/>
    </row>
    <row r="3032" spans="2:16" x14ac:dyDescent="0.25">
      <c r="B30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2" s="46"/>
      <c r="D3032" s="37"/>
      <c r="E3032" s="37"/>
      <c r="F3032" s="37"/>
      <c r="G3032" s="40" t="str">
        <f>IF(tblMovimientos[[#This Row],[Producto]]="","",TRIM(LEFT(tblMovimientos[[#This Row],[Producto]],FIND(" · ",tblMovimientos[[#This Row],[Producto]]&amp;" · ")-1)))</f>
        <v/>
      </c>
      <c r="H3032" s="40" t="str">
        <f>IF(tblMovimientos[[#This Row],[SKU]]="","",IFERROR(INDEX(tblProductos[Unidad],MATCH(tblMovimientos[[#This Row],[SKU]],tblProductos[SKU],0)),"?"))</f>
        <v/>
      </c>
      <c r="I3032" s="39"/>
      <c r="J3032" s="47" t="str">
        <f>IF(tblMovimientos[[#This Row],[Tipo]]="","",IFERROR(INDEX(tblTiposMov[FactorStock],MATCH(tblMovimientos[[#This Row],[Tipo]],tblTiposMov[Tipo],0)),0))</f>
        <v/>
      </c>
      <c r="K30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2" s="37"/>
      <c r="O3032" s="37"/>
      <c r="P3032" s="37"/>
    </row>
    <row r="3033" spans="2:16" x14ac:dyDescent="0.25">
      <c r="B30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3" s="46"/>
      <c r="D3033" s="37"/>
      <c r="E3033" s="37"/>
      <c r="F3033" s="37"/>
      <c r="G3033" s="40" t="str">
        <f>IF(tblMovimientos[[#This Row],[Producto]]="","",TRIM(LEFT(tblMovimientos[[#This Row],[Producto]],FIND(" · ",tblMovimientos[[#This Row],[Producto]]&amp;" · ")-1)))</f>
        <v/>
      </c>
      <c r="H3033" s="40" t="str">
        <f>IF(tblMovimientos[[#This Row],[SKU]]="","",IFERROR(INDEX(tblProductos[Unidad],MATCH(tblMovimientos[[#This Row],[SKU]],tblProductos[SKU],0)),"?"))</f>
        <v/>
      </c>
      <c r="I3033" s="39"/>
      <c r="J3033" s="47" t="str">
        <f>IF(tblMovimientos[[#This Row],[Tipo]]="","",IFERROR(INDEX(tblTiposMov[FactorStock],MATCH(tblMovimientos[[#This Row],[Tipo]],tblTiposMov[Tipo],0)),0))</f>
        <v/>
      </c>
      <c r="K30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3" s="37"/>
      <c r="O3033" s="37"/>
      <c r="P3033" s="37"/>
    </row>
    <row r="3034" spans="2:16" x14ac:dyDescent="0.25">
      <c r="B30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4" s="46"/>
      <c r="D3034" s="37"/>
      <c r="E3034" s="37"/>
      <c r="F3034" s="37"/>
      <c r="G3034" s="40" t="str">
        <f>IF(tblMovimientos[[#This Row],[Producto]]="","",TRIM(LEFT(tblMovimientos[[#This Row],[Producto]],FIND(" · ",tblMovimientos[[#This Row],[Producto]]&amp;" · ")-1)))</f>
        <v/>
      </c>
      <c r="H3034" s="40" t="str">
        <f>IF(tblMovimientos[[#This Row],[SKU]]="","",IFERROR(INDEX(tblProductos[Unidad],MATCH(tblMovimientos[[#This Row],[SKU]],tblProductos[SKU],0)),"?"))</f>
        <v/>
      </c>
      <c r="I3034" s="39"/>
      <c r="J3034" s="47" t="str">
        <f>IF(tblMovimientos[[#This Row],[Tipo]]="","",IFERROR(INDEX(tblTiposMov[FactorStock],MATCH(tblMovimientos[[#This Row],[Tipo]],tblTiposMov[Tipo],0)),0))</f>
        <v/>
      </c>
      <c r="K30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4" s="37"/>
      <c r="O3034" s="37"/>
      <c r="P3034" s="37"/>
    </row>
    <row r="3035" spans="2:16" x14ac:dyDescent="0.25">
      <c r="B30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5" s="46"/>
      <c r="D3035" s="37"/>
      <c r="E3035" s="37"/>
      <c r="F3035" s="37"/>
      <c r="G3035" s="40" t="str">
        <f>IF(tblMovimientos[[#This Row],[Producto]]="","",TRIM(LEFT(tblMovimientos[[#This Row],[Producto]],FIND(" · ",tblMovimientos[[#This Row],[Producto]]&amp;" · ")-1)))</f>
        <v/>
      </c>
      <c r="H3035" s="40" t="str">
        <f>IF(tblMovimientos[[#This Row],[SKU]]="","",IFERROR(INDEX(tblProductos[Unidad],MATCH(tblMovimientos[[#This Row],[SKU]],tblProductos[SKU],0)),"?"))</f>
        <v/>
      </c>
      <c r="I3035" s="39"/>
      <c r="J3035" s="47" t="str">
        <f>IF(tblMovimientos[[#This Row],[Tipo]]="","",IFERROR(INDEX(tblTiposMov[FactorStock],MATCH(tblMovimientos[[#This Row],[Tipo]],tblTiposMov[Tipo],0)),0))</f>
        <v/>
      </c>
      <c r="K30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5" s="37"/>
      <c r="O3035" s="37"/>
      <c r="P3035" s="37"/>
    </row>
    <row r="3036" spans="2:16" x14ac:dyDescent="0.25">
      <c r="B30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6" s="46"/>
      <c r="D3036" s="37"/>
      <c r="E3036" s="37"/>
      <c r="F3036" s="37"/>
      <c r="G3036" s="40" t="str">
        <f>IF(tblMovimientos[[#This Row],[Producto]]="","",TRIM(LEFT(tblMovimientos[[#This Row],[Producto]],FIND(" · ",tblMovimientos[[#This Row],[Producto]]&amp;" · ")-1)))</f>
        <v/>
      </c>
      <c r="H3036" s="40" t="str">
        <f>IF(tblMovimientos[[#This Row],[SKU]]="","",IFERROR(INDEX(tblProductos[Unidad],MATCH(tblMovimientos[[#This Row],[SKU]],tblProductos[SKU],0)),"?"))</f>
        <v/>
      </c>
      <c r="I3036" s="39"/>
      <c r="J3036" s="47" t="str">
        <f>IF(tblMovimientos[[#This Row],[Tipo]]="","",IFERROR(INDEX(tblTiposMov[FactorStock],MATCH(tblMovimientos[[#This Row],[Tipo]],tblTiposMov[Tipo],0)),0))</f>
        <v/>
      </c>
      <c r="K30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6" s="37"/>
      <c r="O3036" s="37"/>
      <c r="P3036" s="37"/>
    </row>
    <row r="3037" spans="2:16" x14ac:dyDescent="0.25">
      <c r="B30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7" s="46"/>
      <c r="D3037" s="37"/>
      <c r="E3037" s="37"/>
      <c r="F3037" s="37"/>
      <c r="G3037" s="40" t="str">
        <f>IF(tblMovimientos[[#This Row],[Producto]]="","",TRIM(LEFT(tblMovimientos[[#This Row],[Producto]],FIND(" · ",tblMovimientos[[#This Row],[Producto]]&amp;" · ")-1)))</f>
        <v/>
      </c>
      <c r="H3037" s="40" t="str">
        <f>IF(tblMovimientos[[#This Row],[SKU]]="","",IFERROR(INDEX(tblProductos[Unidad],MATCH(tblMovimientos[[#This Row],[SKU]],tblProductos[SKU],0)),"?"))</f>
        <v/>
      </c>
      <c r="I3037" s="39"/>
      <c r="J3037" s="47" t="str">
        <f>IF(tblMovimientos[[#This Row],[Tipo]]="","",IFERROR(INDEX(tblTiposMov[FactorStock],MATCH(tblMovimientos[[#This Row],[Tipo]],tblTiposMov[Tipo],0)),0))</f>
        <v/>
      </c>
      <c r="K30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7" s="37"/>
      <c r="O3037" s="37"/>
      <c r="P3037" s="37"/>
    </row>
    <row r="3038" spans="2:16" x14ac:dyDescent="0.25">
      <c r="B30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8" s="46"/>
      <c r="D3038" s="37"/>
      <c r="E3038" s="37"/>
      <c r="F3038" s="37"/>
      <c r="G3038" s="40" t="str">
        <f>IF(tblMovimientos[[#This Row],[Producto]]="","",TRIM(LEFT(tblMovimientos[[#This Row],[Producto]],FIND(" · ",tblMovimientos[[#This Row],[Producto]]&amp;" · ")-1)))</f>
        <v/>
      </c>
      <c r="H3038" s="40" t="str">
        <f>IF(tblMovimientos[[#This Row],[SKU]]="","",IFERROR(INDEX(tblProductos[Unidad],MATCH(tblMovimientos[[#This Row],[SKU]],tblProductos[SKU],0)),"?"))</f>
        <v/>
      </c>
      <c r="I3038" s="39"/>
      <c r="J3038" s="47" t="str">
        <f>IF(tblMovimientos[[#This Row],[Tipo]]="","",IFERROR(INDEX(tblTiposMov[FactorStock],MATCH(tblMovimientos[[#This Row],[Tipo]],tblTiposMov[Tipo],0)),0))</f>
        <v/>
      </c>
      <c r="K30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8" s="37"/>
      <c r="O3038" s="37"/>
      <c r="P3038" s="37"/>
    </row>
    <row r="3039" spans="2:16" x14ac:dyDescent="0.25">
      <c r="B30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39" s="46"/>
      <c r="D3039" s="37"/>
      <c r="E3039" s="37"/>
      <c r="F3039" s="37"/>
      <c r="G3039" s="40" t="str">
        <f>IF(tblMovimientos[[#This Row],[Producto]]="","",TRIM(LEFT(tblMovimientos[[#This Row],[Producto]],FIND(" · ",tblMovimientos[[#This Row],[Producto]]&amp;" · ")-1)))</f>
        <v/>
      </c>
      <c r="H3039" s="40" t="str">
        <f>IF(tblMovimientos[[#This Row],[SKU]]="","",IFERROR(INDEX(tblProductos[Unidad],MATCH(tblMovimientos[[#This Row],[SKU]],tblProductos[SKU],0)),"?"))</f>
        <v/>
      </c>
      <c r="I3039" s="39"/>
      <c r="J3039" s="47" t="str">
        <f>IF(tblMovimientos[[#This Row],[Tipo]]="","",IFERROR(INDEX(tblTiposMov[FactorStock],MATCH(tblMovimientos[[#This Row],[Tipo]],tblTiposMov[Tipo],0)),0))</f>
        <v/>
      </c>
      <c r="K30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39" s="37"/>
      <c r="O3039" s="37"/>
      <c r="P3039" s="37"/>
    </row>
    <row r="3040" spans="2:16" x14ac:dyDescent="0.25">
      <c r="B30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0" s="46"/>
      <c r="D3040" s="37"/>
      <c r="E3040" s="37"/>
      <c r="F3040" s="37"/>
      <c r="G3040" s="40" t="str">
        <f>IF(tblMovimientos[[#This Row],[Producto]]="","",TRIM(LEFT(tblMovimientos[[#This Row],[Producto]],FIND(" · ",tblMovimientos[[#This Row],[Producto]]&amp;" · ")-1)))</f>
        <v/>
      </c>
      <c r="H3040" s="40" t="str">
        <f>IF(tblMovimientos[[#This Row],[SKU]]="","",IFERROR(INDEX(tblProductos[Unidad],MATCH(tblMovimientos[[#This Row],[SKU]],tblProductos[SKU],0)),"?"))</f>
        <v/>
      </c>
      <c r="I3040" s="39"/>
      <c r="J3040" s="47" t="str">
        <f>IF(tblMovimientos[[#This Row],[Tipo]]="","",IFERROR(INDEX(tblTiposMov[FactorStock],MATCH(tblMovimientos[[#This Row],[Tipo]],tblTiposMov[Tipo],0)),0))</f>
        <v/>
      </c>
      <c r="K30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0" s="37"/>
      <c r="O3040" s="37"/>
      <c r="P3040" s="37"/>
    </row>
    <row r="3041" spans="2:16" x14ac:dyDescent="0.25">
      <c r="B30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1" s="46"/>
      <c r="D3041" s="37"/>
      <c r="E3041" s="37"/>
      <c r="F3041" s="37"/>
      <c r="G3041" s="40" t="str">
        <f>IF(tblMovimientos[[#This Row],[Producto]]="","",TRIM(LEFT(tblMovimientos[[#This Row],[Producto]],FIND(" · ",tblMovimientos[[#This Row],[Producto]]&amp;" · ")-1)))</f>
        <v/>
      </c>
      <c r="H3041" s="40" t="str">
        <f>IF(tblMovimientos[[#This Row],[SKU]]="","",IFERROR(INDEX(tblProductos[Unidad],MATCH(tblMovimientos[[#This Row],[SKU]],tblProductos[SKU],0)),"?"))</f>
        <v/>
      </c>
      <c r="I3041" s="39"/>
      <c r="J3041" s="47" t="str">
        <f>IF(tblMovimientos[[#This Row],[Tipo]]="","",IFERROR(INDEX(tblTiposMov[FactorStock],MATCH(tblMovimientos[[#This Row],[Tipo]],tblTiposMov[Tipo],0)),0))</f>
        <v/>
      </c>
      <c r="K30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1" s="37"/>
      <c r="O3041" s="37"/>
      <c r="P3041" s="37"/>
    </row>
    <row r="3042" spans="2:16" x14ac:dyDescent="0.25">
      <c r="B30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2" s="46"/>
      <c r="D3042" s="37"/>
      <c r="E3042" s="37"/>
      <c r="F3042" s="37"/>
      <c r="G3042" s="40" t="str">
        <f>IF(tblMovimientos[[#This Row],[Producto]]="","",TRIM(LEFT(tblMovimientos[[#This Row],[Producto]],FIND(" · ",tblMovimientos[[#This Row],[Producto]]&amp;" · ")-1)))</f>
        <v/>
      </c>
      <c r="H3042" s="40" t="str">
        <f>IF(tblMovimientos[[#This Row],[SKU]]="","",IFERROR(INDEX(tblProductos[Unidad],MATCH(tblMovimientos[[#This Row],[SKU]],tblProductos[SKU],0)),"?"))</f>
        <v/>
      </c>
      <c r="I3042" s="39"/>
      <c r="J3042" s="47" t="str">
        <f>IF(tblMovimientos[[#This Row],[Tipo]]="","",IFERROR(INDEX(tblTiposMov[FactorStock],MATCH(tblMovimientos[[#This Row],[Tipo]],tblTiposMov[Tipo],0)),0))</f>
        <v/>
      </c>
      <c r="K30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2" s="37"/>
      <c r="O3042" s="37"/>
      <c r="P3042" s="37"/>
    </row>
    <row r="3043" spans="2:16" x14ac:dyDescent="0.25">
      <c r="B30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3" s="46"/>
      <c r="D3043" s="37"/>
      <c r="E3043" s="37"/>
      <c r="F3043" s="37"/>
      <c r="G3043" s="40" t="str">
        <f>IF(tblMovimientos[[#This Row],[Producto]]="","",TRIM(LEFT(tblMovimientos[[#This Row],[Producto]],FIND(" · ",tblMovimientos[[#This Row],[Producto]]&amp;" · ")-1)))</f>
        <v/>
      </c>
      <c r="H3043" s="40" t="str">
        <f>IF(tblMovimientos[[#This Row],[SKU]]="","",IFERROR(INDEX(tblProductos[Unidad],MATCH(tblMovimientos[[#This Row],[SKU]],tblProductos[SKU],0)),"?"))</f>
        <v/>
      </c>
      <c r="I3043" s="39"/>
      <c r="J3043" s="47" t="str">
        <f>IF(tblMovimientos[[#This Row],[Tipo]]="","",IFERROR(INDEX(tblTiposMov[FactorStock],MATCH(tblMovimientos[[#This Row],[Tipo]],tblTiposMov[Tipo],0)),0))</f>
        <v/>
      </c>
      <c r="K30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3" s="37"/>
      <c r="O3043" s="37"/>
      <c r="P3043" s="37"/>
    </row>
    <row r="3044" spans="2:16" x14ac:dyDescent="0.25">
      <c r="B30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4" s="46"/>
      <c r="D3044" s="37"/>
      <c r="E3044" s="37"/>
      <c r="F3044" s="37"/>
      <c r="G3044" s="40" t="str">
        <f>IF(tblMovimientos[[#This Row],[Producto]]="","",TRIM(LEFT(tblMovimientos[[#This Row],[Producto]],FIND(" · ",tblMovimientos[[#This Row],[Producto]]&amp;" · ")-1)))</f>
        <v/>
      </c>
      <c r="H3044" s="40" t="str">
        <f>IF(tblMovimientos[[#This Row],[SKU]]="","",IFERROR(INDEX(tblProductos[Unidad],MATCH(tblMovimientos[[#This Row],[SKU]],tblProductos[SKU],0)),"?"))</f>
        <v/>
      </c>
      <c r="I3044" s="39"/>
      <c r="J3044" s="47" t="str">
        <f>IF(tblMovimientos[[#This Row],[Tipo]]="","",IFERROR(INDEX(tblTiposMov[FactorStock],MATCH(tblMovimientos[[#This Row],[Tipo]],tblTiposMov[Tipo],0)),0))</f>
        <v/>
      </c>
      <c r="K30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4" s="37"/>
      <c r="O3044" s="37"/>
      <c r="P3044" s="37"/>
    </row>
    <row r="3045" spans="2:16" x14ac:dyDescent="0.25">
      <c r="B30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5" s="46"/>
      <c r="D3045" s="37"/>
      <c r="E3045" s="37"/>
      <c r="F3045" s="37"/>
      <c r="G3045" s="40" t="str">
        <f>IF(tblMovimientos[[#This Row],[Producto]]="","",TRIM(LEFT(tblMovimientos[[#This Row],[Producto]],FIND(" · ",tblMovimientos[[#This Row],[Producto]]&amp;" · ")-1)))</f>
        <v/>
      </c>
      <c r="H3045" s="40" t="str">
        <f>IF(tblMovimientos[[#This Row],[SKU]]="","",IFERROR(INDEX(tblProductos[Unidad],MATCH(tblMovimientos[[#This Row],[SKU]],tblProductos[SKU],0)),"?"))</f>
        <v/>
      </c>
      <c r="I3045" s="39"/>
      <c r="J3045" s="47" t="str">
        <f>IF(tblMovimientos[[#This Row],[Tipo]]="","",IFERROR(INDEX(tblTiposMov[FactorStock],MATCH(tblMovimientos[[#This Row],[Tipo]],tblTiposMov[Tipo],0)),0))</f>
        <v/>
      </c>
      <c r="K30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5" s="37"/>
      <c r="O3045" s="37"/>
      <c r="P3045" s="37"/>
    </row>
    <row r="3046" spans="2:16" x14ac:dyDescent="0.25">
      <c r="B30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6" s="46"/>
      <c r="D3046" s="37"/>
      <c r="E3046" s="37"/>
      <c r="F3046" s="37"/>
      <c r="G3046" s="40" t="str">
        <f>IF(tblMovimientos[[#This Row],[Producto]]="","",TRIM(LEFT(tblMovimientos[[#This Row],[Producto]],FIND(" · ",tblMovimientos[[#This Row],[Producto]]&amp;" · ")-1)))</f>
        <v/>
      </c>
      <c r="H3046" s="40" t="str">
        <f>IF(tblMovimientos[[#This Row],[SKU]]="","",IFERROR(INDEX(tblProductos[Unidad],MATCH(tblMovimientos[[#This Row],[SKU]],tblProductos[SKU],0)),"?"))</f>
        <v/>
      </c>
      <c r="I3046" s="39"/>
      <c r="J3046" s="47" t="str">
        <f>IF(tblMovimientos[[#This Row],[Tipo]]="","",IFERROR(INDEX(tblTiposMov[FactorStock],MATCH(tblMovimientos[[#This Row],[Tipo]],tblTiposMov[Tipo],0)),0))</f>
        <v/>
      </c>
      <c r="K30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6" s="37"/>
      <c r="O3046" s="37"/>
      <c r="P3046" s="37"/>
    </row>
    <row r="3047" spans="2:16" x14ac:dyDescent="0.25">
      <c r="B30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7" s="46"/>
      <c r="D3047" s="37"/>
      <c r="E3047" s="37"/>
      <c r="F3047" s="37"/>
      <c r="G3047" s="40" t="str">
        <f>IF(tblMovimientos[[#This Row],[Producto]]="","",TRIM(LEFT(tblMovimientos[[#This Row],[Producto]],FIND(" · ",tblMovimientos[[#This Row],[Producto]]&amp;" · ")-1)))</f>
        <v/>
      </c>
      <c r="H3047" s="40" t="str">
        <f>IF(tblMovimientos[[#This Row],[SKU]]="","",IFERROR(INDEX(tblProductos[Unidad],MATCH(tblMovimientos[[#This Row],[SKU]],tblProductos[SKU],0)),"?"))</f>
        <v/>
      </c>
      <c r="I3047" s="39"/>
      <c r="J3047" s="47" t="str">
        <f>IF(tblMovimientos[[#This Row],[Tipo]]="","",IFERROR(INDEX(tblTiposMov[FactorStock],MATCH(tblMovimientos[[#This Row],[Tipo]],tblTiposMov[Tipo],0)),0))</f>
        <v/>
      </c>
      <c r="K30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7" s="37"/>
      <c r="O3047" s="37"/>
      <c r="P3047" s="37"/>
    </row>
    <row r="3048" spans="2:16" x14ac:dyDescent="0.25">
      <c r="B30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8" s="46"/>
      <c r="D3048" s="37"/>
      <c r="E3048" s="37"/>
      <c r="F3048" s="37"/>
      <c r="G3048" s="40" t="str">
        <f>IF(tblMovimientos[[#This Row],[Producto]]="","",TRIM(LEFT(tblMovimientos[[#This Row],[Producto]],FIND(" · ",tblMovimientos[[#This Row],[Producto]]&amp;" · ")-1)))</f>
        <v/>
      </c>
      <c r="H3048" s="40" t="str">
        <f>IF(tblMovimientos[[#This Row],[SKU]]="","",IFERROR(INDEX(tblProductos[Unidad],MATCH(tblMovimientos[[#This Row],[SKU]],tblProductos[SKU],0)),"?"))</f>
        <v/>
      </c>
      <c r="I3048" s="39"/>
      <c r="J3048" s="47" t="str">
        <f>IF(tblMovimientos[[#This Row],[Tipo]]="","",IFERROR(INDEX(tblTiposMov[FactorStock],MATCH(tblMovimientos[[#This Row],[Tipo]],tblTiposMov[Tipo],0)),0))</f>
        <v/>
      </c>
      <c r="K30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8" s="37"/>
      <c r="O3048" s="37"/>
      <c r="P3048" s="37"/>
    </row>
    <row r="3049" spans="2:16" x14ac:dyDescent="0.25">
      <c r="B30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49" s="46"/>
      <c r="D3049" s="37"/>
      <c r="E3049" s="37"/>
      <c r="F3049" s="37"/>
      <c r="G3049" s="40" t="str">
        <f>IF(tblMovimientos[[#This Row],[Producto]]="","",TRIM(LEFT(tblMovimientos[[#This Row],[Producto]],FIND(" · ",tblMovimientos[[#This Row],[Producto]]&amp;" · ")-1)))</f>
        <v/>
      </c>
      <c r="H3049" s="40" t="str">
        <f>IF(tblMovimientos[[#This Row],[SKU]]="","",IFERROR(INDEX(tblProductos[Unidad],MATCH(tblMovimientos[[#This Row],[SKU]],tblProductos[SKU],0)),"?"))</f>
        <v/>
      </c>
      <c r="I3049" s="39"/>
      <c r="J3049" s="47" t="str">
        <f>IF(tblMovimientos[[#This Row],[Tipo]]="","",IFERROR(INDEX(tblTiposMov[FactorStock],MATCH(tblMovimientos[[#This Row],[Tipo]],tblTiposMov[Tipo],0)),0))</f>
        <v/>
      </c>
      <c r="K30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49" s="37"/>
      <c r="O3049" s="37"/>
      <c r="P3049" s="37"/>
    </row>
    <row r="3050" spans="2:16" x14ac:dyDescent="0.25">
      <c r="B30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0" s="46"/>
      <c r="D3050" s="37"/>
      <c r="E3050" s="37"/>
      <c r="F3050" s="37"/>
      <c r="G3050" s="40" t="str">
        <f>IF(tblMovimientos[[#This Row],[Producto]]="","",TRIM(LEFT(tblMovimientos[[#This Row],[Producto]],FIND(" · ",tblMovimientos[[#This Row],[Producto]]&amp;" · ")-1)))</f>
        <v/>
      </c>
      <c r="H3050" s="40" t="str">
        <f>IF(tblMovimientos[[#This Row],[SKU]]="","",IFERROR(INDEX(tblProductos[Unidad],MATCH(tblMovimientos[[#This Row],[SKU]],tblProductos[SKU],0)),"?"))</f>
        <v/>
      </c>
      <c r="I3050" s="39"/>
      <c r="J3050" s="47" t="str">
        <f>IF(tblMovimientos[[#This Row],[Tipo]]="","",IFERROR(INDEX(tblTiposMov[FactorStock],MATCH(tblMovimientos[[#This Row],[Tipo]],tblTiposMov[Tipo],0)),0))</f>
        <v/>
      </c>
      <c r="K30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0" s="37"/>
      <c r="O3050" s="37"/>
      <c r="P3050" s="37"/>
    </row>
    <row r="3051" spans="2:16" x14ac:dyDescent="0.25">
      <c r="B30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1" s="46"/>
      <c r="D3051" s="37"/>
      <c r="E3051" s="37"/>
      <c r="F3051" s="37"/>
      <c r="G3051" s="40" t="str">
        <f>IF(tblMovimientos[[#This Row],[Producto]]="","",TRIM(LEFT(tblMovimientos[[#This Row],[Producto]],FIND(" · ",tblMovimientos[[#This Row],[Producto]]&amp;" · ")-1)))</f>
        <v/>
      </c>
      <c r="H3051" s="40" t="str">
        <f>IF(tblMovimientos[[#This Row],[SKU]]="","",IFERROR(INDEX(tblProductos[Unidad],MATCH(tblMovimientos[[#This Row],[SKU]],tblProductos[SKU],0)),"?"))</f>
        <v/>
      </c>
      <c r="I3051" s="39"/>
      <c r="J3051" s="47" t="str">
        <f>IF(tblMovimientos[[#This Row],[Tipo]]="","",IFERROR(INDEX(tblTiposMov[FactorStock],MATCH(tblMovimientos[[#This Row],[Tipo]],tblTiposMov[Tipo],0)),0))</f>
        <v/>
      </c>
      <c r="K30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1" s="37"/>
      <c r="O3051" s="37"/>
      <c r="P3051" s="37"/>
    </row>
    <row r="3052" spans="2:16" x14ac:dyDescent="0.25">
      <c r="B30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2" s="46"/>
      <c r="D3052" s="37"/>
      <c r="E3052" s="37"/>
      <c r="F3052" s="37"/>
      <c r="G3052" s="40" t="str">
        <f>IF(tblMovimientos[[#This Row],[Producto]]="","",TRIM(LEFT(tblMovimientos[[#This Row],[Producto]],FIND(" · ",tblMovimientos[[#This Row],[Producto]]&amp;" · ")-1)))</f>
        <v/>
      </c>
      <c r="H3052" s="40" t="str">
        <f>IF(tblMovimientos[[#This Row],[SKU]]="","",IFERROR(INDEX(tblProductos[Unidad],MATCH(tblMovimientos[[#This Row],[SKU]],tblProductos[SKU],0)),"?"))</f>
        <v/>
      </c>
      <c r="I3052" s="39"/>
      <c r="J3052" s="47" t="str">
        <f>IF(tblMovimientos[[#This Row],[Tipo]]="","",IFERROR(INDEX(tblTiposMov[FactorStock],MATCH(tblMovimientos[[#This Row],[Tipo]],tblTiposMov[Tipo],0)),0))</f>
        <v/>
      </c>
      <c r="K30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2" s="37"/>
      <c r="O3052" s="37"/>
      <c r="P3052" s="37"/>
    </row>
    <row r="3053" spans="2:16" x14ac:dyDescent="0.25">
      <c r="B30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3" s="46"/>
      <c r="D3053" s="37"/>
      <c r="E3053" s="37"/>
      <c r="F3053" s="37"/>
      <c r="G3053" s="40" t="str">
        <f>IF(tblMovimientos[[#This Row],[Producto]]="","",TRIM(LEFT(tblMovimientos[[#This Row],[Producto]],FIND(" · ",tblMovimientos[[#This Row],[Producto]]&amp;" · ")-1)))</f>
        <v/>
      </c>
      <c r="H3053" s="40" t="str">
        <f>IF(tblMovimientos[[#This Row],[SKU]]="","",IFERROR(INDEX(tblProductos[Unidad],MATCH(tblMovimientos[[#This Row],[SKU]],tblProductos[SKU],0)),"?"))</f>
        <v/>
      </c>
      <c r="I3053" s="39"/>
      <c r="J3053" s="47" t="str">
        <f>IF(tblMovimientos[[#This Row],[Tipo]]="","",IFERROR(INDEX(tblTiposMov[FactorStock],MATCH(tblMovimientos[[#This Row],[Tipo]],tblTiposMov[Tipo],0)),0))</f>
        <v/>
      </c>
      <c r="K30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3" s="37"/>
      <c r="O3053" s="37"/>
      <c r="P3053" s="37"/>
    </row>
    <row r="3054" spans="2:16" x14ac:dyDescent="0.25">
      <c r="B30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4" s="46"/>
      <c r="D3054" s="37"/>
      <c r="E3054" s="37"/>
      <c r="F3054" s="37"/>
      <c r="G3054" s="40" t="str">
        <f>IF(tblMovimientos[[#This Row],[Producto]]="","",TRIM(LEFT(tblMovimientos[[#This Row],[Producto]],FIND(" · ",tblMovimientos[[#This Row],[Producto]]&amp;" · ")-1)))</f>
        <v/>
      </c>
      <c r="H3054" s="40" t="str">
        <f>IF(tblMovimientos[[#This Row],[SKU]]="","",IFERROR(INDEX(tblProductos[Unidad],MATCH(tblMovimientos[[#This Row],[SKU]],tblProductos[SKU],0)),"?"))</f>
        <v/>
      </c>
      <c r="I3054" s="39"/>
      <c r="J3054" s="47" t="str">
        <f>IF(tblMovimientos[[#This Row],[Tipo]]="","",IFERROR(INDEX(tblTiposMov[FactorStock],MATCH(tblMovimientos[[#This Row],[Tipo]],tblTiposMov[Tipo],0)),0))</f>
        <v/>
      </c>
      <c r="K30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4" s="37"/>
      <c r="O3054" s="37"/>
      <c r="P3054" s="37"/>
    </row>
    <row r="3055" spans="2:16" x14ac:dyDescent="0.25">
      <c r="B30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5" s="46"/>
      <c r="D3055" s="37"/>
      <c r="E3055" s="37"/>
      <c r="F3055" s="37"/>
      <c r="G3055" s="40" t="str">
        <f>IF(tblMovimientos[[#This Row],[Producto]]="","",TRIM(LEFT(tblMovimientos[[#This Row],[Producto]],FIND(" · ",tblMovimientos[[#This Row],[Producto]]&amp;" · ")-1)))</f>
        <v/>
      </c>
      <c r="H3055" s="40" t="str">
        <f>IF(tblMovimientos[[#This Row],[SKU]]="","",IFERROR(INDEX(tblProductos[Unidad],MATCH(tblMovimientos[[#This Row],[SKU]],tblProductos[SKU],0)),"?"))</f>
        <v/>
      </c>
      <c r="I3055" s="39"/>
      <c r="J3055" s="47" t="str">
        <f>IF(tblMovimientos[[#This Row],[Tipo]]="","",IFERROR(INDEX(tblTiposMov[FactorStock],MATCH(tblMovimientos[[#This Row],[Tipo]],tblTiposMov[Tipo],0)),0))</f>
        <v/>
      </c>
      <c r="K30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5" s="37"/>
      <c r="O3055" s="37"/>
      <c r="P3055" s="37"/>
    </row>
    <row r="3056" spans="2:16" x14ac:dyDescent="0.25">
      <c r="B30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6" s="46"/>
      <c r="D3056" s="37"/>
      <c r="E3056" s="37"/>
      <c r="F3056" s="37"/>
      <c r="G3056" s="40" t="str">
        <f>IF(tblMovimientos[[#This Row],[Producto]]="","",TRIM(LEFT(tblMovimientos[[#This Row],[Producto]],FIND(" · ",tblMovimientos[[#This Row],[Producto]]&amp;" · ")-1)))</f>
        <v/>
      </c>
      <c r="H3056" s="40" t="str">
        <f>IF(tblMovimientos[[#This Row],[SKU]]="","",IFERROR(INDEX(tblProductos[Unidad],MATCH(tblMovimientos[[#This Row],[SKU]],tblProductos[SKU],0)),"?"))</f>
        <v/>
      </c>
      <c r="I3056" s="39"/>
      <c r="J3056" s="47" t="str">
        <f>IF(tblMovimientos[[#This Row],[Tipo]]="","",IFERROR(INDEX(tblTiposMov[FactorStock],MATCH(tblMovimientos[[#This Row],[Tipo]],tblTiposMov[Tipo],0)),0))</f>
        <v/>
      </c>
      <c r="K30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6" s="37"/>
      <c r="O3056" s="37"/>
      <c r="P3056" s="37"/>
    </row>
    <row r="3057" spans="2:16" x14ac:dyDescent="0.25">
      <c r="B30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7" s="46"/>
      <c r="D3057" s="37"/>
      <c r="E3057" s="37"/>
      <c r="F3057" s="37"/>
      <c r="G3057" s="40" t="str">
        <f>IF(tblMovimientos[[#This Row],[Producto]]="","",TRIM(LEFT(tblMovimientos[[#This Row],[Producto]],FIND(" · ",tblMovimientos[[#This Row],[Producto]]&amp;" · ")-1)))</f>
        <v/>
      </c>
      <c r="H3057" s="40" t="str">
        <f>IF(tblMovimientos[[#This Row],[SKU]]="","",IFERROR(INDEX(tblProductos[Unidad],MATCH(tblMovimientos[[#This Row],[SKU]],tblProductos[SKU],0)),"?"))</f>
        <v/>
      </c>
      <c r="I3057" s="39"/>
      <c r="J3057" s="47" t="str">
        <f>IF(tblMovimientos[[#This Row],[Tipo]]="","",IFERROR(INDEX(tblTiposMov[FactorStock],MATCH(tblMovimientos[[#This Row],[Tipo]],tblTiposMov[Tipo],0)),0))</f>
        <v/>
      </c>
      <c r="K30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7" s="37"/>
      <c r="O3057" s="37"/>
      <c r="P3057" s="37"/>
    </row>
    <row r="3058" spans="2:16" x14ac:dyDescent="0.25">
      <c r="B30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8" s="46"/>
      <c r="D3058" s="37"/>
      <c r="E3058" s="37"/>
      <c r="F3058" s="37"/>
      <c r="G3058" s="40" t="str">
        <f>IF(tblMovimientos[[#This Row],[Producto]]="","",TRIM(LEFT(tblMovimientos[[#This Row],[Producto]],FIND(" · ",tblMovimientos[[#This Row],[Producto]]&amp;" · ")-1)))</f>
        <v/>
      </c>
      <c r="H3058" s="40" t="str">
        <f>IF(tblMovimientos[[#This Row],[SKU]]="","",IFERROR(INDEX(tblProductos[Unidad],MATCH(tblMovimientos[[#This Row],[SKU]],tblProductos[SKU],0)),"?"))</f>
        <v/>
      </c>
      <c r="I3058" s="39"/>
      <c r="J3058" s="47" t="str">
        <f>IF(tblMovimientos[[#This Row],[Tipo]]="","",IFERROR(INDEX(tblTiposMov[FactorStock],MATCH(tblMovimientos[[#This Row],[Tipo]],tblTiposMov[Tipo],0)),0))</f>
        <v/>
      </c>
      <c r="K30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8" s="37"/>
      <c r="O3058" s="37"/>
      <c r="P3058" s="37"/>
    </row>
    <row r="3059" spans="2:16" x14ac:dyDescent="0.25">
      <c r="B30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59" s="46"/>
      <c r="D3059" s="37"/>
      <c r="E3059" s="37"/>
      <c r="F3059" s="37"/>
      <c r="G3059" s="40" t="str">
        <f>IF(tblMovimientos[[#This Row],[Producto]]="","",TRIM(LEFT(tblMovimientos[[#This Row],[Producto]],FIND(" · ",tblMovimientos[[#This Row],[Producto]]&amp;" · ")-1)))</f>
        <v/>
      </c>
      <c r="H3059" s="40" t="str">
        <f>IF(tblMovimientos[[#This Row],[SKU]]="","",IFERROR(INDEX(tblProductos[Unidad],MATCH(tblMovimientos[[#This Row],[SKU]],tblProductos[SKU],0)),"?"))</f>
        <v/>
      </c>
      <c r="I3059" s="39"/>
      <c r="J3059" s="47" t="str">
        <f>IF(tblMovimientos[[#This Row],[Tipo]]="","",IFERROR(INDEX(tblTiposMov[FactorStock],MATCH(tblMovimientos[[#This Row],[Tipo]],tblTiposMov[Tipo],0)),0))</f>
        <v/>
      </c>
      <c r="K30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59" s="37"/>
      <c r="O3059" s="37"/>
      <c r="P3059" s="37"/>
    </row>
    <row r="3060" spans="2:16" x14ac:dyDescent="0.25">
      <c r="B30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0" s="46"/>
      <c r="D3060" s="37"/>
      <c r="E3060" s="37"/>
      <c r="F3060" s="37"/>
      <c r="G3060" s="40" t="str">
        <f>IF(tblMovimientos[[#This Row],[Producto]]="","",TRIM(LEFT(tblMovimientos[[#This Row],[Producto]],FIND(" · ",tblMovimientos[[#This Row],[Producto]]&amp;" · ")-1)))</f>
        <v/>
      </c>
      <c r="H3060" s="40" t="str">
        <f>IF(tblMovimientos[[#This Row],[SKU]]="","",IFERROR(INDEX(tblProductos[Unidad],MATCH(tblMovimientos[[#This Row],[SKU]],tblProductos[SKU],0)),"?"))</f>
        <v/>
      </c>
      <c r="I3060" s="39"/>
      <c r="J3060" s="47" t="str">
        <f>IF(tblMovimientos[[#This Row],[Tipo]]="","",IFERROR(INDEX(tblTiposMov[FactorStock],MATCH(tblMovimientos[[#This Row],[Tipo]],tblTiposMov[Tipo],0)),0))</f>
        <v/>
      </c>
      <c r="K30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0" s="37"/>
      <c r="O3060" s="37"/>
      <c r="P3060" s="37"/>
    </row>
    <row r="3061" spans="2:16" x14ac:dyDescent="0.25">
      <c r="B30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1" s="46"/>
      <c r="D3061" s="37"/>
      <c r="E3061" s="37"/>
      <c r="F3061" s="37"/>
      <c r="G3061" s="40" t="str">
        <f>IF(tblMovimientos[[#This Row],[Producto]]="","",TRIM(LEFT(tblMovimientos[[#This Row],[Producto]],FIND(" · ",tblMovimientos[[#This Row],[Producto]]&amp;" · ")-1)))</f>
        <v/>
      </c>
      <c r="H3061" s="40" t="str">
        <f>IF(tblMovimientos[[#This Row],[SKU]]="","",IFERROR(INDEX(tblProductos[Unidad],MATCH(tblMovimientos[[#This Row],[SKU]],tblProductos[SKU],0)),"?"))</f>
        <v/>
      </c>
      <c r="I3061" s="39"/>
      <c r="J3061" s="47" t="str">
        <f>IF(tblMovimientos[[#This Row],[Tipo]]="","",IFERROR(INDEX(tblTiposMov[FactorStock],MATCH(tblMovimientos[[#This Row],[Tipo]],tblTiposMov[Tipo],0)),0))</f>
        <v/>
      </c>
      <c r="K30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1" s="37"/>
      <c r="O3061" s="37"/>
      <c r="P3061" s="37"/>
    </row>
    <row r="3062" spans="2:16" x14ac:dyDescent="0.25">
      <c r="B30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2" s="46"/>
      <c r="D3062" s="37"/>
      <c r="E3062" s="37"/>
      <c r="F3062" s="37"/>
      <c r="G3062" s="40" t="str">
        <f>IF(tblMovimientos[[#This Row],[Producto]]="","",TRIM(LEFT(tblMovimientos[[#This Row],[Producto]],FIND(" · ",tblMovimientos[[#This Row],[Producto]]&amp;" · ")-1)))</f>
        <v/>
      </c>
      <c r="H3062" s="40" t="str">
        <f>IF(tblMovimientos[[#This Row],[SKU]]="","",IFERROR(INDEX(tblProductos[Unidad],MATCH(tblMovimientos[[#This Row],[SKU]],tblProductos[SKU],0)),"?"))</f>
        <v/>
      </c>
      <c r="I3062" s="39"/>
      <c r="J3062" s="47" t="str">
        <f>IF(tblMovimientos[[#This Row],[Tipo]]="","",IFERROR(INDEX(tblTiposMov[FactorStock],MATCH(tblMovimientos[[#This Row],[Tipo]],tblTiposMov[Tipo],0)),0))</f>
        <v/>
      </c>
      <c r="K30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2" s="37"/>
      <c r="O3062" s="37"/>
      <c r="P3062" s="37"/>
    </row>
    <row r="3063" spans="2:16" x14ac:dyDescent="0.25">
      <c r="B30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3" s="46"/>
      <c r="D3063" s="37"/>
      <c r="E3063" s="37"/>
      <c r="F3063" s="37"/>
      <c r="G3063" s="40" t="str">
        <f>IF(tblMovimientos[[#This Row],[Producto]]="","",TRIM(LEFT(tblMovimientos[[#This Row],[Producto]],FIND(" · ",tblMovimientos[[#This Row],[Producto]]&amp;" · ")-1)))</f>
        <v/>
      </c>
      <c r="H3063" s="40" t="str">
        <f>IF(tblMovimientos[[#This Row],[SKU]]="","",IFERROR(INDEX(tblProductos[Unidad],MATCH(tblMovimientos[[#This Row],[SKU]],tblProductos[SKU],0)),"?"))</f>
        <v/>
      </c>
      <c r="I3063" s="39"/>
      <c r="J3063" s="47" t="str">
        <f>IF(tblMovimientos[[#This Row],[Tipo]]="","",IFERROR(INDEX(tblTiposMov[FactorStock],MATCH(tblMovimientos[[#This Row],[Tipo]],tblTiposMov[Tipo],0)),0))</f>
        <v/>
      </c>
      <c r="K30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3" s="37"/>
      <c r="O3063" s="37"/>
      <c r="P3063" s="37"/>
    </row>
    <row r="3064" spans="2:16" x14ac:dyDescent="0.25">
      <c r="B30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4" s="46"/>
      <c r="D3064" s="37"/>
      <c r="E3064" s="37"/>
      <c r="F3064" s="37"/>
      <c r="G3064" s="40" t="str">
        <f>IF(tblMovimientos[[#This Row],[Producto]]="","",TRIM(LEFT(tblMovimientos[[#This Row],[Producto]],FIND(" · ",tblMovimientos[[#This Row],[Producto]]&amp;" · ")-1)))</f>
        <v/>
      </c>
      <c r="H3064" s="40" t="str">
        <f>IF(tblMovimientos[[#This Row],[SKU]]="","",IFERROR(INDEX(tblProductos[Unidad],MATCH(tblMovimientos[[#This Row],[SKU]],tblProductos[SKU],0)),"?"))</f>
        <v/>
      </c>
      <c r="I3064" s="39"/>
      <c r="J3064" s="47" t="str">
        <f>IF(tblMovimientos[[#This Row],[Tipo]]="","",IFERROR(INDEX(tblTiposMov[FactorStock],MATCH(tblMovimientos[[#This Row],[Tipo]],tblTiposMov[Tipo],0)),0))</f>
        <v/>
      </c>
      <c r="K30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4" s="37"/>
      <c r="O3064" s="37"/>
      <c r="P3064" s="37"/>
    </row>
    <row r="3065" spans="2:16" x14ac:dyDescent="0.25">
      <c r="B30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5" s="46"/>
      <c r="D3065" s="37"/>
      <c r="E3065" s="37"/>
      <c r="F3065" s="37"/>
      <c r="G3065" s="40" t="str">
        <f>IF(tblMovimientos[[#This Row],[Producto]]="","",TRIM(LEFT(tblMovimientos[[#This Row],[Producto]],FIND(" · ",tblMovimientos[[#This Row],[Producto]]&amp;" · ")-1)))</f>
        <v/>
      </c>
      <c r="H3065" s="40" t="str">
        <f>IF(tblMovimientos[[#This Row],[SKU]]="","",IFERROR(INDEX(tblProductos[Unidad],MATCH(tblMovimientos[[#This Row],[SKU]],tblProductos[SKU],0)),"?"))</f>
        <v/>
      </c>
      <c r="I3065" s="39"/>
      <c r="J3065" s="47" t="str">
        <f>IF(tblMovimientos[[#This Row],[Tipo]]="","",IFERROR(INDEX(tblTiposMov[FactorStock],MATCH(tblMovimientos[[#This Row],[Tipo]],tblTiposMov[Tipo],0)),0))</f>
        <v/>
      </c>
      <c r="K30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5" s="37"/>
      <c r="O3065" s="37"/>
      <c r="P3065" s="37"/>
    </row>
    <row r="3066" spans="2:16" x14ac:dyDescent="0.25">
      <c r="B30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6" s="46"/>
      <c r="D3066" s="37"/>
      <c r="E3066" s="37"/>
      <c r="F3066" s="37"/>
      <c r="G3066" s="40" t="str">
        <f>IF(tblMovimientos[[#This Row],[Producto]]="","",TRIM(LEFT(tblMovimientos[[#This Row],[Producto]],FIND(" · ",tblMovimientos[[#This Row],[Producto]]&amp;" · ")-1)))</f>
        <v/>
      </c>
      <c r="H3066" s="40" t="str">
        <f>IF(tblMovimientos[[#This Row],[SKU]]="","",IFERROR(INDEX(tblProductos[Unidad],MATCH(tblMovimientos[[#This Row],[SKU]],tblProductos[SKU],0)),"?"))</f>
        <v/>
      </c>
      <c r="I3066" s="39"/>
      <c r="J3066" s="47" t="str">
        <f>IF(tblMovimientos[[#This Row],[Tipo]]="","",IFERROR(INDEX(tblTiposMov[FactorStock],MATCH(tblMovimientos[[#This Row],[Tipo]],tblTiposMov[Tipo],0)),0))</f>
        <v/>
      </c>
      <c r="K30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6" s="37"/>
      <c r="O3066" s="37"/>
      <c r="P3066" s="37"/>
    </row>
    <row r="3067" spans="2:16" x14ac:dyDescent="0.25">
      <c r="B30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7" s="46"/>
      <c r="D3067" s="37"/>
      <c r="E3067" s="37"/>
      <c r="F3067" s="37"/>
      <c r="G3067" s="40" t="str">
        <f>IF(tblMovimientos[[#This Row],[Producto]]="","",TRIM(LEFT(tblMovimientos[[#This Row],[Producto]],FIND(" · ",tblMovimientos[[#This Row],[Producto]]&amp;" · ")-1)))</f>
        <v/>
      </c>
      <c r="H3067" s="40" t="str">
        <f>IF(tblMovimientos[[#This Row],[SKU]]="","",IFERROR(INDEX(tblProductos[Unidad],MATCH(tblMovimientos[[#This Row],[SKU]],tblProductos[SKU],0)),"?"))</f>
        <v/>
      </c>
      <c r="I3067" s="39"/>
      <c r="J3067" s="47" t="str">
        <f>IF(tblMovimientos[[#This Row],[Tipo]]="","",IFERROR(INDEX(tblTiposMov[FactorStock],MATCH(tblMovimientos[[#This Row],[Tipo]],tblTiposMov[Tipo],0)),0))</f>
        <v/>
      </c>
      <c r="K30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7" s="37"/>
      <c r="O3067" s="37"/>
      <c r="P3067" s="37"/>
    </row>
    <row r="3068" spans="2:16" x14ac:dyDescent="0.25">
      <c r="B30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8" s="46"/>
      <c r="D3068" s="37"/>
      <c r="E3068" s="37"/>
      <c r="F3068" s="37"/>
      <c r="G3068" s="40" t="str">
        <f>IF(tblMovimientos[[#This Row],[Producto]]="","",TRIM(LEFT(tblMovimientos[[#This Row],[Producto]],FIND(" · ",tblMovimientos[[#This Row],[Producto]]&amp;" · ")-1)))</f>
        <v/>
      </c>
      <c r="H3068" s="40" t="str">
        <f>IF(tblMovimientos[[#This Row],[SKU]]="","",IFERROR(INDEX(tblProductos[Unidad],MATCH(tblMovimientos[[#This Row],[SKU]],tblProductos[SKU],0)),"?"))</f>
        <v/>
      </c>
      <c r="I3068" s="39"/>
      <c r="J3068" s="47" t="str">
        <f>IF(tblMovimientos[[#This Row],[Tipo]]="","",IFERROR(INDEX(tblTiposMov[FactorStock],MATCH(tblMovimientos[[#This Row],[Tipo]],tblTiposMov[Tipo],0)),0))</f>
        <v/>
      </c>
      <c r="K30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8" s="37"/>
      <c r="O3068" s="37"/>
      <c r="P3068" s="37"/>
    </row>
    <row r="3069" spans="2:16" x14ac:dyDescent="0.25">
      <c r="B30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69" s="46"/>
      <c r="D3069" s="37"/>
      <c r="E3069" s="37"/>
      <c r="F3069" s="37"/>
      <c r="G3069" s="40" t="str">
        <f>IF(tblMovimientos[[#This Row],[Producto]]="","",TRIM(LEFT(tblMovimientos[[#This Row],[Producto]],FIND(" · ",tblMovimientos[[#This Row],[Producto]]&amp;" · ")-1)))</f>
        <v/>
      </c>
      <c r="H3069" s="40" t="str">
        <f>IF(tblMovimientos[[#This Row],[SKU]]="","",IFERROR(INDEX(tblProductos[Unidad],MATCH(tblMovimientos[[#This Row],[SKU]],tblProductos[SKU],0)),"?"))</f>
        <v/>
      </c>
      <c r="I3069" s="39"/>
      <c r="J3069" s="47" t="str">
        <f>IF(tblMovimientos[[#This Row],[Tipo]]="","",IFERROR(INDEX(tblTiposMov[FactorStock],MATCH(tblMovimientos[[#This Row],[Tipo]],tblTiposMov[Tipo],0)),0))</f>
        <v/>
      </c>
      <c r="K30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69" s="37"/>
      <c r="O3069" s="37"/>
      <c r="P3069" s="37"/>
    </row>
    <row r="3070" spans="2:16" x14ac:dyDescent="0.25">
      <c r="B30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0" s="46"/>
      <c r="D3070" s="37"/>
      <c r="E3070" s="37"/>
      <c r="F3070" s="37"/>
      <c r="G3070" s="40" t="str">
        <f>IF(tblMovimientos[[#This Row],[Producto]]="","",TRIM(LEFT(tblMovimientos[[#This Row],[Producto]],FIND(" · ",tblMovimientos[[#This Row],[Producto]]&amp;" · ")-1)))</f>
        <v/>
      </c>
      <c r="H3070" s="40" t="str">
        <f>IF(tblMovimientos[[#This Row],[SKU]]="","",IFERROR(INDEX(tblProductos[Unidad],MATCH(tblMovimientos[[#This Row],[SKU]],tblProductos[SKU],0)),"?"))</f>
        <v/>
      </c>
      <c r="I3070" s="39"/>
      <c r="J3070" s="47" t="str">
        <f>IF(tblMovimientos[[#This Row],[Tipo]]="","",IFERROR(INDEX(tblTiposMov[FactorStock],MATCH(tblMovimientos[[#This Row],[Tipo]],tblTiposMov[Tipo],0)),0))</f>
        <v/>
      </c>
      <c r="K30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0" s="37"/>
      <c r="O3070" s="37"/>
      <c r="P3070" s="37"/>
    </row>
    <row r="3071" spans="2:16" x14ac:dyDescent="0.25">
      <c r="B30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1" s="46"/>
      <c r="D3071" s="37"/>
      <c r="E3071" s="37"/>
      <c r="F3071" s="37"/>
      <c r="G3071" s="40" t="str">
        <f>IF(tblMovimientos[[#This Row],[Producto]]="","",TRIM(LEFT(tblMovimientos[[#This Row],[Producto]],FIND(" · ",tblMovimientos[[#This Row],[Producto]]&amp;" · ")-1)))</f>
        <v/>
      </c>
      <c r="H3071" s="40" t="str">
        <f>IF(tblMovimientos[[#This Row],[SKU]]="","",IFERROR(INDEX(tblProductos[Unidad],MATCH(tblMovimientos[[#This Row],[SKU]],tblProductos[SKU],0)),"?"))</f>
        <v/>
      </c>
      <c r="I3071" s="39"/>
      <c r="J3071" s="47" t="str">
        <f>IF(tblMovimientos[[#This Row],[Tipo]]="","",IFERROR(INDEX(tblTiposMov[FactorStock],MATCH(tblMovimientos[[#This Row],[Tipo]],tblTiposMov[Tipo],0)),0))</f>
        <v/>
      </c>
      <c r="K30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1" s="37"/>
      <c r="O3071" s="37"/>
      <c r="P3071" s="37"/>
    </row>
    <row r="3072" spans="2:16" x14ac:dyDescent="0.25">
      <c r="B30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2" s="46"/>
      <c r="D3072" s="37"/>
      <c r="E3072" s="37"/>
      <c r="F3072" s="37"/>
      <c r="G3072" s="40" t="str">
        <f>IF(tblMovimientos[[#This Row],[Producto]]="","",TRIM(LEFT(tblMovimientos[[#This Row],[Producto]],FIND(" · ",tblMovimientos[[#This Row],[Producto]]&amp;" · ")-1)))</f>
        <v/>
      </c>
      <c r="H3072" s="40" t="str">
        <f>IF(tblMovimientos[[#This Row],[SKU]]="","",IFERROR(INDEX(tblProductos[Unidad],MATCH(tblMovimientos[[#This Row],[SKU]],tblProductos[SKU],0)),"?"))</f>
        <v/>
      </c>
      <c r="I3072" s="39"/>
      <c r="J3072" s="47" t="str">
        <f>IF(tblMovimientos[[#This Row],[Tipo]]="","",IFERROR(INDEX(tblTiposMov[FactorStock],MATCH(tblMovimientos[[#This Row],[Tipo]],tblTiposMov[Tipo],0)),0))</f>
        <v/>
      </c>
      <c r="K30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2" s="37"/>
      <c r="O3072" s="37"/>
      <c r="P3072" s="37"/>
    </row>
    <row r="3073" spans="2:16" x14ac:dyDescent="0.25">
      <c r="B30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3" s="46"/>
      <c r="D3073" s="37"/>
      <c r="E3073" s="37"/>
      <c r="F3073" s="37"/>
      <c r="G3073" s="40" t="str">
        <f>IF(tblMovimientos[[#This Row],[Producto]]="","",TRIM(LEFT(tblMovimientos[[#This Row],[Producto]],FIND(" · ",tblMovimientos[[#This Row],[Producto]]&amp;" · ")-1)))</f>
        <v/>
      </c>
      <c r="H3073" s="40" t="str">
        <f>IF(tblMovimientos[[#This Row],[SKU]]="","",IFERROR(INDEX(tblProductos[Unidad],MATCH(tblMovimientos[[#This Row],[SKU]],tblProductos[SKU],0)),"?"))</f>
        <v/>
      </c>
      <c r="I3073" s="39"/>
      <c r="J3073" s="47" t="str">
        <f>IF(tblMovimientos[[#This Row],[Tipo]]="","",IFERROR(INDEX(tblTiposMov[FactorStock],MATCH(tblMovimientos[[#This Row],[Tipo]],tblTiposMov[Tipo],0)),0))</f>
        <v/>
      </c>
      <c r="K30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3" s="37"/>
      <c r="O3073" s="37"/>
      <c r="P3073" s="37"/>
    </row>
    <row r="3074" spans="2:16" x14ac:dyDescent="0.25">
      <c r="B30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4" s="46"/>
      <c r="D3074" s="37"/>
      <c r="E3074" s="37"/>
      <c r="F3074" s="37"/>
      <c r="G3074" s="40" t="str">
        <f>IF(tblMovimientos[[#This Row],[Producto]]="","",TRIM(LEFT(tblMovimientos[[#This Row],[Producto]],FIND(" · ",tblMovimientos[[#This Row],[Producto]]&amp;" · ")-1)))</f>
        <v/>
      </c>
      <c r="H3074" s="40" t="str">
        <f>IF(tblMovimientos[[#This Row],[SKU]]="","",IFERROR(INDEX(tblProductos[Unidad],MATCH(tblMovimientos[[#This Row],[SKU]],tblProductos[SKU],0)),"?"))</f>
        <v/>
      </c>
      <c r="I3074" s="39"/>
      <c r="J3074" s="47" t="str">
        <f>IF(tblMovimientos[[#This Row],[Tipo]]="","",IFERROR(INDEX(tblTiposMov[FactorStock],MATCH(tblMovimientos[[#This Row],[Tipo]],tblTiposMov[Tipo],0)),0))</f>
        <v/>
      </c>
      <c r="K30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4" s="37"/>
      <c r="O3074" s="37"/>
      <c r="P3074" s="37"/>
    </row>
    <row r="3075" spans="2:16" x14ac:dyDescent="0.25">
      <c r="B30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5" s="46"/>
      <c r="D3075" s="37"/>
      <c r="E3075" s="37"/>
      <c r="F3075" s="37"/>
      <c r="G3075" s="40" t="str">
        <f>IF(tblMovimientos[[#This Row],[Producto]]="","",TRIM(LEFT(tblMovimientos[[#This Row],[Producto]],FIND(" · ",tblMovimientos[[#This Row],[Producto]]&amp;" · ")-1)))</f>
        <v/>
      </c>
      <c r="H3075" s="40" t="str">
        <f>IF(tblMovimientos[[#This Row],[SKU]]="","",IFERROR(INDEX(tblProductos[Unidad],MATCH(tblMovimientos[[#This Row],[SKU]],tblProductos[SKU],0)),"?"))</f>
        <v/>
      </c>
      <c r="I3075" s="39"/>
      <c r="J3075" s="47" t="str">
        <f>IF(tblMovimientos[[#This Row],[Tipo]]="","",IFERROR(INDEX(tblTiposMov[FactorStock],MATCH(tblMovimientos[[#This Row],[Tipo]],tblTiposMov[Tipo],0)),0))</f>
        <v/>
      </c>
      <c r="K30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5" s="37"/>
      <c r="O3075" s="37"/>
      <c r="P3075" s="37"/>
    </row>
    <row r="3076" spans="2:16" x14ac:dyDescent="0.25">
      <c r="B30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6" s="46"/>
      <c r="D3076" s="37"/>
      <c r="E3076" s="37"/>
      <c r="F3076" s="37"/>
      <c r="G3076" s="40" t="str">
        <f>IF(tblMovimientos[[#This Row],[Producto]]="","",TRIM(LEFT(tblMovimientos[[#This Row],[Producto]],FIND(" · ",tblMovimientos[[#This Row],[Producto]]&amp;" · ")-1)))</f>
        <v/>
      </c>
      <c r="H3076" s="40" t="str">
        <f>IF(tblMovimientos[[#This Row],[SKU]]="","",IFERROR(INDEX(tblProductos[Unidad],MATCH(tblMovimientos[[#This Row],[SKU]],tblProductos[SKU],0)),"?"))</f>
        <v/>
      </c>
      <c r="I3076" s="39"/>
      <c r="J3076" s="47" t="str">
        <f>IF(tblMovimientos[[#This Row],[Tipo]]="","",IFERROR(INDEX(tblTiposMov[FactorStock],MATCH(tblMovimientos[[#This Row],[Tipo]],tblTiposMov[Tipo],0)),0))</f>
        <v/>
      </c>
      <c r="K30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6" s="37"/>
      <c r="O3076" s="37"/>
      <c r="P3076" s="37"/>
    </row>
    <row r="3077" spans="2:16" x14ac:dyDescent="0.25">
      <c r="B30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7" s="46"/>
      <c r="D3077" s="37"/>
      <c r="E3077" s="37"/>
      <c r="F3077" s="37"/>
      <c r="G3077" s="40" t="str">
        <f>IF(tblMovimientos[[#This Row],[Producto]]="","",TRIM(LEFT(tblMovimientos[[#This Row],[Producto]],FIND(" · ",tblMovimientos[[#This Row],[Producto]]&amp;" · ")-1)))</f>
        <v/>
      </c>
      <c r="H3077" s="40" t="str">
        <f>IF(tblMovimientos[[#This Row],[SKU]]="","",IFERROR(INDEX(tblProductos[Unidad],MATCH(tblMovimientos[[#This Row],[SKU]],tblProductos[SKU],0)),"?"))</f>
        <v/>
      </c>
      <c r="I3077" s="39"/>
      <c r="J3077" s="47" t="str">
        <f>IF(tblMovimientos[[#This Row],[Tipo]]="","",IFERROR(INDEX(tblTiposMov[FactorStock],MATCH(tblMovimientos[[#This Row],[Tipo]],tblTiposMov[Tipo],0)),0))</f>
        <v/>
      </c>
      <c r="K30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7" s="37"/>
      <c r="O3077" s="37"/>
      <c r="P3077" s="37"/>
    </row>
    <row r="3078" spans="2:16" x14ac:dyDescent="0.25">
      <c r="B30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8" s="46"/>
      <c r="D3078" s="37"/>
      <c r="E3078" s="37"/>
      <c r="F3078" s="37"/>
      <c r="G3078" s="40" t="str">
        <f>IF(tblMovimientos[[#This Row],[Producto]]="","",TRIM(LEFT(tblMovimientos[[#This Row],[Producto]],FIND(" · ",tblMovimientos[[#This Row],[Producto]]&amp;" · ")-1)))</f>
        <v/>
      </c>
      <c r="H3078" s="40" t="str">
        <f>IF(tblMovimientos[[#This Row],[SKU]]="","",IFERROR(INDEX(tblProductos[Unidad],MATCH(tblMovimientos[[#This Row],[SKU]],tblProductos[SKU],0)),"?"))</f>
        <v/>
      </c>
      <c r="I3078" s="39"/>
      <c r="J3078" s="47" t="str">
        <f>IF(tblMovimientos[[#This Row],[Tipo]]="","",IFERROR(INDEX(tblTiposMov[FactorStock],MATCH(tblMovimientos[[#This Row],[Tipo]],tblTiposMov[Tipo],0)),0))</f>
        <v/>
      </c>
      <c r="K30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8" s="37"/>
      <c r="O3078" s="37"/>
      <c r="P3078" s="37"/>
    </row>
    <row r="3079" spans="2:16" x14ac:dyDescent="0.25">
      <c r="B30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79" s="46"/>
      <c r="D3079" s="37"/>
      <c r="E3079" s="37"/>
      <c r="F3079" s="37"/>
      <c r="G3079" s="40" t="str">
        <f>IF(tblMovimientos[[#This Row],[Producto]]="","",TRIM(LEFT(tblMovimientos[[#This Row],[Producto]],FIND(" · ",tblMovimientos[[#This Row],[Producto]]&amp;" · ")-1)))</f>
        <v/>
      </c>
      <c r="H3079" s="40" t="str">
        <f>IF(tblMovimientos[[#This Row],[SKU]]="","",IFERROR(INDEX(tblProductos[Unidad],MATCH(tblMovimientos[[#This Row],[SKU]],tblProductos[SKU],0)),"?"))</f>
        <v/>
      </c>
      <c r="I3079" s="39"/>
      <c r="J3079" s="47" t="str">
        <f>IF(tblMovimientos[[#This Row],[Tipo]]="","",IFERROR(INDEX(tblTiposMov[FactorStock],MATCH(tblMovimientos[[#This Row],[Tipo]],tblTiposMov[Tipo],0)),0))</f>
        <v/>
      </c>
      <c r="K30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79" s="37"/>
      <c r="O3079" s="37"/>
      <c r="P3079" s="37"/>
    </row>
    <row r="3080" spans="2:16" x14ac:dyDescent="0.25">
      <c r="B30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0" s="46"/>
      <c r="D3080" s="37"/>
      <c r="E3080" s="37"/>
      <c r="F3080" s="37"/>
      <c r="G3080" s="40" t="str">
        <f>IF(tblMovimientos[[#This Row],[Producto]]="","",TRIM(LEFT(tblMovimientos[[#This Row],[Producto]],FIND(" · ",tblMovimientos[[#This Row],[Producto]]&amp;" · ")-1)))</f>
        <v/>
      </c>
      <c r="H3080" s="40" t="str">
        <f>IF(tblMovimientos[[#This Row],[SKU]]="","",IFERROR(INDEX(tblProductos[Unidad],MATCH(tblMovimientos[[#This Row],[SKU]],tblProductos[SKU],0)),"?"))</f>
        <v/>
      </c>
      <c r="I3080" s="39"/>
      <c r="J3080" s="47" t="str">
        <f>IF(tblMovimientos[[#This Row],[Tipo]]="","",IFERROR(INDEX(tblTiposMov[FactorStock],MATCH(tblMovimientos[[#This Row],[Tipo]],tblTiposMov[Tipo],0)),0))</f>
        <v/>
      </c>
      <c r="K30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0" s="37"/>
      <c r="O3080" s="37"/>
      <c r="P3080" s="37"/>
    </row>
    <row r="3081" spans="2:16" x14ac:dyDescent="0.25">
      <c r="B30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1" s="46"/>
      <c r="D3081" s="37"/>
      <c r="E3081" s="37"/>
      <c r="F3081" s="37"/>
      <c r="G3081" s="40" t="str">
        <f>IF(tblMovimientos[[#This Row],[Producto]]="","",TRIM(LEFT(tblMovimientos[[#This Row],[Producto]],FIND(" · ",tblMovimientos[[#This Row],[Producto]]&amp;" · ")-1)))</f>
        <v/>
      </c>
      <c r="H3081" s="40" t="str">
        <f>IF(tblMovimientos[[#This Row],[SKU]]="","",IFERROR(INDEX(tblProductos[Unidad],MATCH(tblMovimientos[[#This Row],[SKU]],tblProductos[SKU],0)),"?"))</f>
        <v/>
      </c>
      <c r="I3081" s="39"/>
      <c r="J3081" s="47" t="str">
        <f>IF(tblMovimientos[[#This Row],[Tipo]]="","",IFERROR(INDEX(tblTiposMov[FactorStock],MATCH(tblMovimientos[[#This Row],[Tipo]],tblTiposMov[Tipo],0)),0))</f>
        <v/>
      </c>
      <c r="K30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1" s="37"/>
      <c r="O3081" s="37"/>
      <c r="P3081" s="37"/>
    </row>
    <row r="3082" spans="2:16" x14ac:dyDescent="0.25">
      <c r="B30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2" s="46"/>
      <c r="D3082" s="37"/>
      <c r="E3082" s="37"/>
      <c r="F3082" s="37"/>
      <c r="G3082" s="40" t="str">
        <f>IF(tblMovimientos[[#This Row],[Producto]]="","",TRIM(LEFT(tblMovimientos[[#This Row],[Producto]],FIND(" · ",tblMovimientos[[#This Row],[Producto]]&amp;" · ")-1)))</f>
        <v/>
      </c>
      <c r="H3082" s="40" t="str">
        <f>IF(tblMovimientos[[#This Row],[SKU]]="","",IFERROR(INDEX(tblProductos[Unidad],MATCH(tblMovimientos[[#This Row],[SKU]],tblProductos[SKU],0)),"?"))</f>
        <v/>
      </c>
      <c r="I3082" s="39"/>
      <c r="J3082" s="47" t="str">
        <f>IF(tblMovimientos[[#This Row],[Tipo]]="","",IFERROR(INDEX(tblTiposMov[FactorStock],MATCH(tblMovimientos[[#This Row],[Tipo]],tblTiposMov[Tipo],0)),0))</f>
        <v/>
      </c>
      <c r="K30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2" s="37"/>
      <c r="O3082" s="37"/>
      <c r="P3082" s="37"/>
    </row>
    <row r="3083" spans="2:16" x14ac:dyDescent="0.25">
      <c r="B30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3" s="46"/>
      <c r="D3083" s="37"/>
      <c r="E3083" s="37"/>
      <c r="F3083" s="37"/>
      <c r="G3083" s="40" t="str">
        <f>IF(tblMovimientos[[#This Row],[Producto]]="","",TRIM(LEFT(tblMovimientos[[#This Row],[Producto]],FIND(" · ",tblMovimientos[[#This Row],[Producto]]&amp;" · ")-1)))</f>
        <v/>
      </c>
      <c r="H3083" s="40" t="str">
        <f>IF(tblMovimientos[[#This Row],[SKU]]="","",IFERROR(INDEX(tblProductos[Unidad],MATCH(tblMovimientos[[#This Row],[SKU]],tblProductos[SKU],0)),"?"))</f>
        <v/>
      </c>
      <c r="I3083" s="39"/>
      <c r="J3083" s="47" t="str">
        <f>IF(tblMovimientos[[#This Row],[Tipo]]="","",IFERROR(INDEX(tblTiposMov[FactorStock],MATCH(tblMovimientos[[#This Row],[Tipo]],tblTiposMov[Tipo],0)),0))</f>
        <v/>
      </c>
      <c r="K30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3" s="37"/>
      <c r="O3083" s="37"/>
      <c r="P3083" s="37"/>
    </row>
    <row r="3084" spans="2:16" x14ac:dyDescent="0.25">
      <c r="B30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4" s="46"/>
      <c r="D3084" s="37"/>
      <c r="E3084" s="37"/>
      <c r="F3084" s="37"/>
      <c r="G3084" s="40" t="str">
        <f>IF(tblMovimientos[[#This Row],[Producto]]="","",TRIM(LEFT(tblMovimientos[[#This Row],[Producto]],FIND(" · ",tblMovimientos[[#This Row],[Producto]]&amp;" · ")-1)))</f>
        <v/>
      </c>
      <c r="H3084" s="40" t="str">
        <f>IF(tblMovimientos[[#This Row],[SKU]]="","",IFERROR(INDEX(tblProductos[Unidad],MATCH(tblMovimientos[[#This Row],[SKU]],tblProductos[SKU],0)),"?"))</f>
        <v/>
      </c>
      <c r="I3084" s="39"/>
      <c r="J3084" s="47" t="str">
        <f>IF(tblMovimientos[[#This Row],[Tipo]]="","",IFERROR(INDEX(tblTiposMov[FactorStock],MATCH(tblMovimientos[[#This Row],[Tipo]],tblTiposMov[Tipo],0)),0))</f>
        <v/>
      </c>
      <c r="K30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4" s="37"/>
      <c r="O3084" s="37"/>
      <c r="P3084" s="37"/>
    </row>
    <row r="3085" spans="2:16" x14ac:dyDescent="0.25">
      <c r="B30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5" s="46"/>
      <c r="D3085" s="37"/>
      <c r="E3085" s="37"/>
      <c r="F3085" s="37"/>
      <c r="G3085" s="40" t="str">
        <f>IF(tblMovimientos[[#This Row],[Producto]]="","",TRIM(LEFT(tblMovimientos[[#This Row],[Producto]],FIND(" · ",tblMovimientos[[#This Row],[Producto]]&amp;" · ")-1)))</f>
        <v/>
      </c>
      <c r="H3085" s="40" t="str">
        <f>IF(tblMovimientos[[#This Row],[SKU]]="","",IFERROR(INDEX(tblProductos[Unidad],MATCH(tblMovimientos[[#This Row],[SKU]],tblProductos[SKU],0)),"?"))</f>
        <v/>
      </c>
      <c r="I3085" s="39"/>
      <c r="J3085" s="47" t="str">
        <f>IF(tblMovimientos[[#This Row],[Tipo]]="","",IFERROR(INDEX(tblTiposMov[FactorStock],MATCH(tblMovimientos[[#This Row],[Tipo]],tblTiposMov[Tipo],0)),0))</f>
        <v/>
      </c>
      <c r="K30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5" s="37"/>
      <c r="O3085" s="37"/>
      <c r="P3085" s="37"/>
    </row>
    <row r="3086" spans="2:16" x14ac:dyDescent="0.25">
      <c r="B30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6" s="46"/>
      <c r="D3086" s="37"/>
      <c r="E3086" s="37"/>
      <c r="F3086" s="37"/>
      <c r="G3086" s="40" t="str">
        <f>IF(tblMovimientos[[#This Row],[Producto]]="","",TRIM(LEFT(tblMovimientos[[#This Row],[Producto]],FIND(" · ",tblMovimientos[[#This Row],[Producto]]&amp;" · ")-1)))</f>
        <v/>
      </c>
      <c r="H3086" s="40" t="str">
        <f>IF(tblMovimientos[[#This Row],[SKU]]="","",IFERROR(INDEX(tblProductos[Unidad],MATCH(tblMovimientos[[#This Row],[SKU]],tblProductos[SKU],0)),"?"))</f>
        <v/>
      </c>
      <c r="I3086" s="39"/>
      <c r="J3086" s="47" t="str">
        <f>IF(tblMovimientos[[#This Row],[Tipo]]="","",IFERROR(INDEX(tblTiposMov[FactorStock],MATCH(tblMovimientos[[#This Row],[Tipo]],tblTiposMov[Tipo],0)),0))</f>
        <v/>
      </c>
      <c r="K30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6" s="37"/>
      <c r="O3086" s="37"/>
      <c r="P3086" s="37"/>
    </row>
    <row r="3087" spans="2:16" x14ac:dyDescent="0.25">
      <c r="B30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7" s="46"/>
      <c r="D3087" s="37"/>
      <c r="E3087" s="37"/>
      <c r="F3087" s="37"/>
      <c r="G3087" s="40" t="str">
        <f>IF(tblMovimientos[[#This Row],[Producto]]="","",TRIM(LEFT(tblMovimientos[[#This Row],[Producto]],FIND(" · ",tblMovimientos[[#This Row],[Producto]]&amp;" · ")-1)))</f>
        <v/>
      </c>
      <c r="H3087" s="40" t="str">
        <f>IF(tblMovimientos[[#This Row],[SKU]]="","",IFERROR(INDEX(tblProductos[Unidad],MATCH(tblMovimientos[[#This Row],[SKU]],tblProductos[SKU],0)),"?"))</f>
        <v/>
      </c>
      <c r="I3087" s="39"/>
      <c r="J3087" s="47" t="str">
        <f>IF(tblMovimientos[[#This Row],[Tipo]]="","",IFERROR(INDEX(tblTiposMov[FactorStock],MATCH(tblMovimientos[[#This Row],[Tipo]],tblTiposMov[Tipo],0)),0))</f>
        <v/>
      </c>
      <c r="K30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7" s="37"/>
      <c r="O3087" s="37"/>
      <c r="P3087" s="37"/>
    </row>
    <row r="3088" spans="2:16" x14ac:dyDescent="0.25">
      <c r="B30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8" s="46"/>
      <c r="D3088" s="37"/>
      <c r="E3088" s="37"/>
      <c r="F3088" s="37"/>
      <c r="G3088" s="40" t="str">
        <f>IF(tblMovimientos[[#This Row],[Producto]]="","",TRIM(LEFT(tblMovimientos[[#This Row],[Producto]],FIND(" · ",tblMovimientos[[#This Row],[Producto]]&amp;" · ")-1)))</f>
        <v/>
      </c>
      <c r="H3088" s="40" t="str">
        <f>IF(tblMovimientos[[#This Row],[SKU]]="","",IFERROR(INDEX(tblProductos[Unidad],MATCH(tblMovimientos[[#This Row],[SKU]],tblProductos[SKU],0)),"?"))</f>
        <v/>
      </c>
      <c r="I3088" s="39"/>
      <c r="J3088" s="47" t="str">
        <f>IF(tblMovimientos[[#This Row],[Tipo]]="","",IFERROR(INDEX(tblTiposMov[FactorStock],MATCH(tblMovimientos[[#This Row],[Tipo]],tblTiposMov[Tipo],0)),0))</f>
        <v/>
      </c>
      <c r="K30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8" s="37"/>
      <c r="O3088" s="37"/>
      <c r="P3088" s="37"/>
    </row>
    <row r="3089" spans="2:16" x14ac:dyDescent="0.25">
      <c r="B30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89" s="46"/>
      <c r="D3089" s="37"/>
      <c r="E3089" s="37"/>
      <c r="F3089" s="37"/>
      <c r="G3089" s="40" t="str">
        <f>IF(tblMovimientos[[#This Row],[Producto]]="","",TRIM(LEFT(tblMovimientos[[#This Row],[Producto]],FIND(" · ",tblMovimientos[[#This Row],[Producto]]&amp;" · ")-1)))</f>
        <v/>
      </c>
      <c r="H3089" s="40" t="str">
        <f>IF(tblMovimientos[[#This Row],[SKU]]="","",IFERROR(INDEX(tblProductos[Unidad],MATCH(tblMovimientos[[#This Row],[SKU]],tblProductos[SKU],0)),"?"))</f>
        <v/>
      </c>
      <c r="I3089" s="39"/>
      <c r="J3089" s="47" t="str">
        <f>IF(tblMovimientos[[#This Row],[Tipo]]="","",IFERROR(INDEX(tblTiposMov[FactorStock],MATCH(tblMovimientos[[#This Row],[Tipo]],tblTiposMov[Tipo],0)),0))</f>
        <v/>
      </c>
      <c r="K30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89" s="37"/>
      <c r="O3089" s="37"/>
      <c r="P3089" s="37"/>
    </row>
    <row r="3090" spans="2:16" x14ac:dyDescent="0.25">
      <c r="B30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0" s="46"/>
      <c r="D3090" s="37"/>
      <c r="E3090" s="37"/>
      <c r="F3090" s="37"/>
      <c r="G3090" s="40" t="str">
        <f>IF(tblMovimientos[[#This Row],[Producto]]="","",TRIM(LEFT(tblMovimientos[[#This Row],[Producto]],FIND(" · ",tblMovimientos[[#This Row],[Producto]]&amp;" · ")-1)))</f>
        <v/>
      </c>
      <c r="H3090" s="40" t="str">
        <f>IF(tblMovimientos[[#This Row],[SKU]]="","",IFERROR(INDEX(tblProductos[Unidad],MATCH(tblMovimientos[[#This Row],[SKU]],tblProductos[SKU],0)),"?"))</f>
        <v/>
      </c>
      <c r="I3090" s="39"/>
      <c r="J3090" s="47" t="str">
        <f>IF(tblMovimientos[[#This Row],[Tipo]]="","",IFERROR(INDEX(tblTiposMov[FactorStock],MATCH(tblMovimientos[[#This Row],[Tipo]],tblTiposMov[Tipo],0)),0))</f>
        <v/>
      </c>
      <c r="K30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0" s="37"/>
      <c r="O3090" s="37"/>
      <c r="P3090" s="37"/>
    </row>
    <row r="3091" spans="2:16" x14ac:dyDescent="0.25">
      <c r="B30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1" s="46"/>
      <c r="D3091" s="37"/>
      <c r="E3091" s="37"/>
      <c r="F3091" s="37"/>
      <c r="G3091" s="40" t="str">
        <f>IF(tblMovimientos[[#This Row],[Producto]]="","",TRIM(LEFT(tblMovimientos[[#This Row],[Producto]],FIND(" · ",tblMovimientos[[#This Row],[Producto]]&amp;" · ")-1)))</f>
        <v/>
      </c>
      <c r="H3091" s="40" t="str">
        <f>IF(tblMovimientos[[#This Row],[SKU]]="","",IFERROR(INDEX(tblProductos[Unidad],MATCH(tblMovimientos[[#This Row],[SKU]],tblProductos[SKU],0)),"?"))</f>
        <v/>
      </c>
      <c r="I3091" s="39"/>
      <c r="J3091" s="47" t="str">
        <f>IF(tblMovimientos[[#This Row],[Tipo]]="","",IFERROR(INDEX(tblTiposMov[FactorStock],MATCH(tblMovimientos[[#This Row],[Tipo]],tblTiposMov[Tipo],0)),0))</f>
        <v/>
      </c>
      <c r="K30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1" s="37"/>
      <c r="O3091" s="37"/>
      <c r="P3091" s="37"/>
    </row>
    <row r="3092" spans="2:16" x14ac:dyDescent="0.25">
      <c r="B30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2" s="46"/>
      <c r="D3092" s="37"/>
      <c r="E3092" s="37"/>
      <c r="F3092" s="37"/>
      <c r="G3092" s="40" t="str">
        <f>IF(tblMovimientos[[#This Row],[Producto]]="","",TRIM(LEFT(tblMovimientos[[#This Row],[Producto]],FIND(" · ",tblMovimientos[[#This Row],[Producto]]&amp;" · ")-1)))</f>
        <v/>
      </c>
      <c r="H3092" s="40" t="str">
        <f>IF(tblMovimientos[[#This Row],[SKU]]="","",IFERROR(INDEX(tblProductos[Unidad],MATCH(tblMovimientos[[#This Row],[SKU]],tblProductos[SKU],0)),"?"))</f>
        <v/>
      </c>
      <c r="I3092" s="39"/>
      <c r="J3092" s="47" t="str">
        <f>IF(tblMovimientos[[#This Row],[Tipo]]="","",IFERROR(INDEX(tblTiposMov[FactorStock],MATCH(tblMovimientos[[#This Row],[Tipo]],tblTiposMov[Tipo],0)),0))</f>
        <v/>
      </c>
      <c r="K30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2" s="37"/>
      <c r="O3092" s="37"/>
      <c r="P3092" s="37"/>
    </row>
    <row r="3093" spans="2:16" x14ac:dyDescent="0.25">
      <c r="B30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3" s="46"/>
      <c r="D3093" s="37"/>
      <c r="E3093" s="37"/>
      <c r="F3093" s="37"/>
      <c r="G3093" s="40" t="str">
        <f>IF(tblMovimientos[[#This Row],[Producto]]="","",TRIM(LEFT(tblMovimientos[[#This Row],[Producto]],FIND(" · ",tblMovimientos[[#This Row],[Producto]]&amp;" · ")-1)))</f>
        <v/>
      </c>
      <c r="H3093" s="40" t="str">
        <f>IF(tblMovimientos[[#This Row],[SKU]]="","",IFERROR(INDEX(tblProductos[Unidad],MATCH(tblMovimientos[[#This Row],[SKU]],tblProductos[SKU],0)),"?"))</f>
        <v/>
      </c>
      <c r="I3093" s="39"/>
      <c r="J3093" s="47" t="str">
        <f>IF(tblMovimientos[[#This Row],[Tipo]]="","",IFERROR(INDEX(tblTiposMov[FactorStock],MATCH(tblMovimientos[[#This Row],[Tipo]],tblTiposMov[Tipo],0)),0))</f>
        <v/>
      </c>
      <c r="K30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3" s="37"/>
      <c r="O3093" s="37"/>
      <c r="P3093" s="37"/>
    </row>
    <row r="3094" spans="2:16" x14ac:dyDescent="0.25">
      <c r="B30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4" s="46"/>
      <c r="D3094" s="37"/>
      <c r="E3094" s="37"/>
      <c r="F3094" s="37"/>
      <c r="G3094" s="40" t="str">
        <f>IF(tblMovimientos[[#This Row],[Producto]]="","",TRIM(LEFT(tblMovimientos[[#This Row],[Producto]],FIND(" · ",tblMovimientos[[#This Row],[Producto]]&amp;" · ")-1)))</f>
        <v/>
      </c>
      <c r="H3094" s="40" t="str">
        <f>IF(tblMovimientos[[#This Row],[SKU]]="","",IFERROR(INDEX(tblProductos[Unidad],MATCH(tblMovimientos[[#This Row],[SKU]],tblProductos[SKU],0)),"?"))</f>
        <v/>
      </c>
      <c r="I3094" s="39"/>
      <c r="J3094" s="47" t="str">
        <f>IF(tblMovimientos[[#This Row],[Tipo]]="","",IFERROR(INDEX(tblTiposMov[FactorStock],MATCH(tblMovimientos[[#This Row],[Tipo]],tblTiposMov[Tipo],0)),0))</f>
        <v/>
      </c>
      <c r="K30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4" s="37"/>
      <c r="O3094" s="37"/>
      <c r="P3094" s="37"/>
    </row>
    <row r="3095" spans="2:16" x14ac:dyDescent="0.25">
      <c r="B30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5" s="46"/>
      <c r="D3095" s="37"/>
      <c r="E3095" s="37"/>
      <c r="F3095" s="37"/>
      <c r="G3095" s="40" t="str">
        <f>IF(tblMovimientos[[#This Row],[Producto]]="","",TRIM(LEFT(tblMovimientos[[#This Row],[Producto]],FIND(" · ",tblMovimientos[[#This Row],[Producto]]&amp;" · ")-1)))</f>
        <v/>
      </c>
      <c r="H3095" s="40" t="str">
        <f>IF(tblMovimientos[[#This Row],[SKU]]="","",IFERROR(INDEX(tblProductos[Unidad],MATCH(tblMovimientos[[#This Row],[SKU]],tblProductos[SKU],0)),"?"))</f>
        <v/>
      </c>
      <c r="I3095" s="39"/>
      <c r="J3095" s="47" t="str">
        <f>IF(tblMovimientos[[#This Row],[Tipo]]="","",IFERROR(INDEX(tblTiposMov[FactorStock],MATCH(tblMovimientos[[#This Row],[Tipo]],tblTiposMov[Tipo],0)),0))</f>
        <v/>
      </c>
      <c r="K30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5" s="37"/>
      <c r="O3095" s="37"/>
      <c r="P3095" s="37"/>
    </row>
    <row r="3096" spans="2:16" x14ac:dyDescent="0.25">
      <c r="B30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6" s="46"/>
      <c r="D3096" s="37"/>
      <c r="E3096" s="37"/>
      <c r="F3096" s="37"/>
      <c r="G3096" s="40" t="str">
        <f>IF(tblMovimientos[[#This Row],[Producto]]="","",TRIM(LEFT(tblMovimientos[[#This Row],[Producto]],FIND(" · ",tblMovimientos[[#This Row],[Producto]]&amp;" · ")-1)))</f>
        <v/>
      </c>
      <c r="H3096" s="40" t="str">
        <f>IF(tblMovimientos[[#This Row],[SKU]]="","",IFERROR(INDEX(tblProductos[Unidad],MATCH(tblMovimientos[[#This Row],[SKU]],tblProductos[SKU],0)),"?"))</f>
        <v/>
      </c>
      <c r="I3096" s="39"/>
      <c r="J3096" s="47" t="str">
        <f>IF(tblMovimientos[[#This Row],[Tipo]]="","",IFERROR(INDEX(tblTiposMov[FactorStock],MATCH(tblMovimientos[[#This Row],[Tipo]],tblTiposMov[Tipo],0)),0))</f>
        <v/>
      </c>
      <c r="K30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6" s="37"/>
      <c r="O3096" s="37"/>
      <c r="P3096" s="37"/>
    </row>
    <row r="3097" spans="2:16" x14ac:dyDescent="0.25">
      <c r="B30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7" s="46"/>
      <c r="D3097" s="37"/>
      <c r="E3097" s="37"/>
      <c r="F3097" s="37"/>
      <c r="G3097" s="40" t="str">
        <f>IF(tblMovimientos[[#This Row],[Producto]]="","",TRIM(LEFT(tblMovimientos[[#This Row],[Producto]],FIND(" · ",tblMovimientos[[#This Row],[Producto]]&amp;" · ")-1)))</f>
        <v/>
      </c>
      <c r="H3097" s="40" t="str">
        <f>IF(tblMovimientos[[#This Row],[SKU]]="","",IFERROR(INDEX(tblProductos[Unidad],MATCH(tblMovimientos[[#This Row],[SKU]],tblProductos[SKU],0)),"?"))</f>
        <v/>
      </c>
      <c r="I3097" s="39"/>
      <c r="J3097" s="47" t="str">
        <f>IF(tblMovimientos[[#This Row],[Tipo]]="","",IFERROR(INDEX(tblTiposMov[FactorStock],MATCH(tblMovimientos[[#This Row],[Tipo]],tblTiposMov[Tipo],0)),0))</f>
        <v/>
      </c>
      <c r="K30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7" s="37"/>
      <c r="O3097" s="37"/>
      <c r="P3097" s="37"/>
    </row>
    <row r="3098" spans="2:16" x14ac:dyDescent="0.25">
      <c r="B30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8" s="46"/>
      <c r="D3098" s="37"/>
      <c r="E3098" s="37"/>
      <c r="F3098" s="37"/>
      <c r="G3098" s="40" t="str">
        <f>IF(tblMovimientos[[#This Row],[Producto]]="","",TRIM(LEFT(tblMovimientos[[#This Row],[Producto]],FIND(" · ",tblMovimientos[[#This Row],[Producto]]&amp;" · ")-1)))</f>
        <v/>
      </c>
      <c r="H3098" s="40" t="str">
        <f>IF(tblMovimientos[[#This Row],[SKU]]="","",IFERROR(INDEX(tblProductos[Unidad],MATCH(tblMovimientos[[#This Row],[SKU]],tblProductos[SKU],0)),"?"))</f>
        <v/>
      </c>
      <c r="I3098" s="39"/>
      <c r="J3098" s="47" t="str">
        <f>IF(tblMovimientos[[#This Row],[Tipo]]="","",IFERROR(INDEX(tblTiposMov[FactorStock],MATCH(tblMovimientos[[#This Row],[Tipo]],tblTiposMov[Tipo],0)),0))</f>
        <v/>
      </c>
      <c r="K30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8" s="37"/>
      <c r="O3098" s="37"/>
      <c r="P3098" s="37"/>
    </row>
    <row r="3099" spans="2:16" x14ac:dyDescent="0.25">
      <c r="B30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099" s="46"/>
      <c r="D3099" s="37"/>
      <c r="E3099" s="37"/>
      <c r="F3099" s="37"/>
      <c r="G3099" s="40" t="str">
        <f>IF(tblMovimientos[[#This Row],[Producto]]="","",TRIM(LEFT(tblMovimientos[[#This Row],[Producto]],FIND(" · ",tblMovimientos[[#This Row],[Producto]]&amp;" · ")-1)))</f>
        <v/>
      </c>
      <c r="H3099" s="40" t="str">
        <f>IF(tblMovimientos[[#This Row],[SKU]]="","",IFERROR(INDEX(tblProductos[Unidad],MATCH(tblMovimientos[[#This Row],[SKU]],tblProductos[SKU],0)),"?"))</f>
        <v/>
      </c>
      <c r="I3099" s="39"/>
      <c r="J3099" s="47" t="str">
        <f>IF(tblMovimientos[[#This Row],[Tipo]]="","",IFERROR(INDEX(tblTiposMov[FactorStock],MATCH(tblMovimientos[[#This Row],[Tipo]],tblTiposMov[Tipo],0)),0))</f>
        <v/>
      </c>
      <c r="K30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0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099" s="37"/>
      <c r="O3099" s="37"/>
      <c r="P3099" s="37"/>
    </row>
    <row r="3100" spans="2:16" x14ac:dyDescent="0.25">
      <c r="B31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0" s="46"/>
      <c r="D3100" s="37"/>
      <c r="E3100" s="37"/>
      <c r="F3100" s="37"/>
      <c r="G3100" s="40" t="str">
        <f>IF(tblMovimientos[[#This Row],[Producto]]="","",TRIM(LEFT(tblMovimientos[[#This Row],[Producto]],FIND(" · ",tblMovimientos[[#This Row],[Producto]]&amp;" · ")-1)))</f>
        <v/>
      </c>
      <c r="H3100" s="40" t="str">
        <f>IF(tblMovimientos[[#This Row],[SKU]]="","",IFERROR(INDEX(tblProductos[Unidad],MATCH(tblMovimientos[[#This Row],[SKU]],tblProductos[SKU],0)),"?"))</f>
        <v/>
      </c>
      <c r="I3100" s="39"/>
      <c r="J3100" s="47" t="str">
        <f>IF(tblMovimientos[[#This Row],[Tipo]]="","",IFERROR(INDEX(tblTiposMov[FactorStock],MATCH(tblMovimientos[[#This Row],[Tipo]],tblTiposMov[Tipo],0)),0))</f>
        <v/>
      </c>
      <c r="K31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0" s="37"/>
      <c r="O3100" s="37"/>
      <c r="P3100" s="37"/>
    </row>
    <row r="3101" spans="2:16" x14ac:dyDescent="0.25">
      <c r="B31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1" s="46"/>
      <c r="D3101" s="37"/>
      <c r="E3101" s="37"/>
      <c r="F3101" s="37"/>
      <c r="G3101" s="40" t="str">
        <f>IF(tblMovimientos[[#This Row],[Producto]]="","",TRIM(LEFT(tblMovimientos[[#This Row],[Producto]],FIND(" · ",tblMovimientos[[#This Row],[Producto]]&amp;" · ")-1)))</f>
        <v/>
      </c>
      <c r="H3101" s="40" t="str">
        <f>IF(tblMovimientos[[#This Row],[SKU]]="","",IFERROR(INDEX(tblProductos[Unidad],MATCH(tblMovimientos[[#This Row],[SKU]],tblProductos[SKU],0)),"?"))</f>
        <v/>
      </c>
      <c r="I3101" s="39"/>
      <c r="J3101" s="47" t="str">
        <f>IF(tblMovimientos[[#This Row],[Tipo]]="","",IFERROR(INDEX(tblTiposMov[FactorStock],MATCH(tblMovimientos[[#This Row],[Tipo]],tblTiposMov[Tipo],0)),0))</f>
        <v/>
      </c>
      <c r="K31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1" s="37"/>
      <c r="O3101" s="37"/>
      <c r="P3101" s="37"/>
    </row>
    <row r="3102" spans="2:16" x14ac:dyDescent="0.25">
      <c r="B31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2" s="46"/>
      <c r="D3102" s="37"/>
      <c r="E3102" s="37"/>
      <c r="F3102" s="37"/>
      <c r="G3102" s="40" t="str">
        <f>IF(tblMovimientos[[#This Row],[Producto]]="","",TRIM(LEFT(tblMovimientos[[#This Row],[Producto]],FIND(" · ",tblMovimientos[[#This Row],[Producto]]&amp;" · ")-1)))</f>
        <v/>
      </c>
      <c r="H3102" s="40" t="str">
        <f>IF(tblMovimientos[[#This Row],[SKU]]="","",IFERROR(INDEX(tblProductos[Unidad],MATCH(tblMovimientos[[#This Row],[SKU]],tblProductos[SKU],0)),"?"))</f>
        <v/>
      </c>
      <c r="I3102" s="39"/>
      <c r="J3102" s="47" t="str">
        <f>IF(tblMovimientos[[#This Row],[Tipo]]="","",IFERROR(INDEX(tblTiposMov[FactorStock],MATCH(tblMovimientos[[#This Row],[Tipo]],tblTiposMov[Tipo],0)),0))</f>
        <v/>
      </c>
      <c r="K31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2" s="37"/>
      <c r="O3102" s="37"/>
      <c r="P3102" s="37"/>
    </row>
    <row r="3103" spans="2:16" x14ac:dyDescent="0.25">
      <c r="B31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3" s="46"/>
      <c r="D3103" s="37"/>
      <c r="E3103" s="37"/>
      <c r="F3103" s="37"/>
      <c r="G3103" s="40" t="str">
        <f>IF(tblMovimientos[[#This Row],[Producto]]="","",TRIM(LEFT(tblMovimientos[[#This Row],[Producto]],FIND(" · ",tblMovimientos[[#This Row],[Producto]]&amp;" · ")-1)))</f>
        <v/>
      </c>
      <c r="H3103" s="40" t="str">
        <f>IF(tblMovimientos[[#This Row],[SKU]]="","",IFERROR(INDEX(tblProductos[Unidad],MATCH(tblMovimientos[[#This Row],[SKU]],tblProductos[SKU],0)),"?"))</f>
        <v/>
      </c>
      <c r="I3103" s="39"/>
      <c r="J3103" s="47" t="str">
        <f>IF(tblMovimientos[[#This Row],[Tipo]]="","",IFERROR(INDEX(tblTiposMov[FactorStock],MATCH(tblMovimientos[[#This Row],[Tipo]],tblTiposMov[Tipo],0)),0))</f>
        <v/>
      </c>
      <c r="K31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3" s="37"/>
      <c r="O3103" s="37"/>
      <c r="P3103" s="37"/>
    </row>
    <row r="3104" spans="2:16" x14ac:dyDescent="0.25">
      <c r="B31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4" s="46"/>
      <c r="D3104" s="37"/>
      <c r="E3104" s="37"/>
      <c r="F3104" s="37"/>
      <c r="G3104" s="40" t="str">
        <f>IF(tblMovimientos[[#This Row],[Producto]]="","",TRIM(LEFT(tblMovimientos[[#This Row],[Producto]],FIND(" · ",tblMovimientos[[#This Row],[Producto]]&amp;" · ")-1)))</f>
        <v/>
      </c>
      <c r="H3104" s="40" t="str">
        <f>IF(tblMovimientos[[#This Row],[SKU]]="","",IFERROR(INDEX(tblProductos[Unidad],MATCH(tblMovimientos[[#This Row],[SKU]],tblProductos[SKU],0)),"?"))</f>
        <v/>
      </c>
      <c r="I3104" s="39"/>
      <c r="J3104" s="47" t="str">
        <f>IF(tblMovimientos[[#This Row],[Tipo]]="","",IFERROR(INDEX(tblTiposMov[FactorStock],MATCH(tblMovimientos[[#This Row],[Tipo]],tblTiposMov[Tipo],0)),0))</f>
        <v/>
      </c>
      <c r="K31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4" s="37"/>
      <c r="O3104" s="37"/>
      <c r="P3104" s="37"/>
    </row>
    <row r="3105" spans="2:16" x14ac:dyDescent="0.25">
      <c r="B31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5" s="46"/>
      <c r="D3105" s="37"/>
      <c r="E3105" s="37"/>
      <c r="F3105" s="37"/>
      <c r="G3105" s="40" t="str">
        <f>IF(tblMovimientos[[#This Row],[Producto]]="","",TRIM(LEFT(tblMovimientos[[#This Row],[Producto]],FIND(" · ",tblMovimientos[[#This Row],[Producto]]&amp;" · ")-1)))</f>
        <v/>
      </c>
      <c r="H3105" s="40" t="str">
        <f>IF(tblMovimientos[[#This Row],[SKU]]="","",IFERROR(INDEX(tblProductos[Unidad],MATCH(tblMovimientos[[#This Row],[SKU]],tblProductos[SKU],0)),"?"))</f>
        <v/>
      </c>
      <c r="I3105" s="39"/>
      <c r="J3105" s="47" t="str">
        <f>IF(tblMovimientos[[#This Row],[Tipo]]="","",IFERROR(INDEX(tblTiposMov[FactorStock],MATCH(tblMovimientos[[#This Row],[Tipo]],tblTiposMov[Tipo],0)),0))</f>
        <v/>
      </c>
      <c r="K31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5" s="37"/>
      <c r="O3105" s="37"/>
      <c r="P3105" s="37"/>
    </row>
    <row r="3106" spans="2:16" x14ac:dyDescent="0.25">
      <c r="B31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6" s="46"/>
      <c r="D3106" s="37"/>
      <c r="E3106" s="37"/>
      <c r="F3106" s="37"/>
      <c r="G3106" s="40" t="str">
        <f>IF(tblMovimientos[[#This Row],[Producto]]="","",TRIM(LEFT(tblMovimientos[[#This Row],[Producto]],FIND(" · ",tblMovimientos[[#This Row],[Producto]]&amp;" · ")-1)))</f>
        <v/>
      </c>
      <c r="H3106" s="40" t="str">
        <f>IF(tblMovimientos[[#This Row],[SKU]]="","",IFERROR(INDEX(tblProductos[Unidad],MATCH(tblMovimientos[[#This Row],[SKU]],tblProductos[SKU],0)),"?"))</f>
        <v/>
      </c>
      <c r="I3106" s="39"/>
      <c r="J3106" s="47" t="str">
        <f>IF(tblMovimientos[[#This Row],[Tipo]]="","",IFERROR(INDEX(tblTiposMov[FactorStock],MATCH(tblMovimientos[[#This Row],[Tipo]],tblTiposMov[Tipo],0)),0))</f>
        <v/>
      </c>
      <c r="K31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6" s="37"/>
      <c r="O3106" s="37"/>
      <c r="P3106" s="37"/>
    </row>
    <row r="3107" spans="2:16" x14ac:dyDescent="0.25">
      <c r="B31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7" s="46"/>
      <c r="D3107" s="37"/>
      <c r="E3107" s="37"/>
      <c r="F3107" s="37"/>
      <c r="G3107" s="40" t="str">
        <f>IF(tblMovimientos[[#This Row],[Producto]]="","",TRIM(LEFT(tblMovimientos[[#This Row],[Producto]],FIND(" · ",tblMovimientos[[#This Row],[Producto]]&amp;" · ")-1)))</f>
        <v/>
      </c>
      <c r="H3107" s="40" t="str">
        <f>IF(tblMovimientos[[#This Row],[SKU]]="","",IFERROR(INDEX(tblProductos[Unidad],MATCH(tblMovimientos[[#This Row],[SKU]],tblProductos[SKU],0)),"?"))</f>
        <v/>
      </c>
      <c r="I3107" s="39"/>
      <c r="J3107" s="47" t="str">
        <f>IF(tblMovimientos[[#This Row],[Tipo]]="","",IFERROR(INDEX(tblTiposMov[FactorStock],MATCH(tblMovimientos[[#This Row],[Tipo]],tblTiposMov[Tipo],0)),0))</f>
        <v/>
      </c>
      <c r="K31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7" s="37"/>
      <c r="O3107" s="37"/>
      <c r="P3107" s="37"/>
    </row>
    <row r="3108" spans="2:16" x14ac:dyDescent="0.25">
      <c r="B31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8" s="46"/>
      <c r="D3108" s="37"/>
      <c r="E3108" s="37"/>
      <c r="F3108" s="37"/>
      <c r="G3108" s="40" t="str">
        <f>IF(tblMovimientos[[#This Row],[Producto]]="","",TRIM(LEFT(tblMovimientos[[#This Row],[Producto]],FIND(" · ",tblMovimientos[[#This Row],[Producto]]&amp;" · ")-1)))</f>
        <v/>
      </c>
      <c r="H3108" s="40" t="str">
        <f>IF(tblMovimientos[[#This Row],[SKU]]="","",IFERROR(INDEX(tblProductos[Unidad],MATCH(tblMovimientos[[#This Row],[SKU]],tblProductos[SKU],0)),"?"))</f>
        <v/>
      </c>
      <c r="I3108" s="39"/>
      <c r="J3108" s="47" t="str">
        <f>IF(tblMovimientos[[#This Row],[Tipo]]="","",IFERROR(INDEX(tblTiposMov[FactorStock],MATCH(tblMovimientos[[#This Row],[Tipo]],tblTiposMov[Tipo],0)),0))</f>
        <v/>
      </c>
      <c r="K31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8" s="37"/>
      <c r="O3108" s="37"/>
      <c r="P3108" s="37"/>
    </row>
    <row r="3109" spans="2:16" x14ac:dyDescent="0.25">
      <c r="B31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09" s="46"/>
      <c r="D3109" s="37"/>
      <c r="E3109" s="37"/>
      <c r="F3109" s="37"/>
      <c r="G3109" s="40" t="str">
        <f>IF(tblMovimientos[[#This Row],[Producto]]="","",TRIM(LEFT(tblMovimientos[[#This Row],[Producto]],FIND(" · ",tblMovimientos[[#This Row],[Producto]]&amp;" · ")-1)))</f>
        <v/>
      </c>
      <c r="H3109" s="40" t="str">
        <f>IF(tblMovimientos[[#This Row],[SKU]]="","",IFERROR(INDEX(tblProductos[Unidad],MATCH(tblMovimientos[[#This Row],[SKU]],tblProductos[SKU],0)),"?"))</f>
        <v/>
      </c>
      <c r="I3109" s="39"/>
      <c r="J3109" s="47" t="str">
        <f>IF(tblMovimientos[[#This Row],[Tipo]]="","",IFERROR(INDEX(tblTiposMov[FactorStock],MATCH(tblMovimientos[[#This Row],[Tipo]],tblTiposMov[Tipo],0)),0))</f>
        <v/>
      </c>
      <c r="K31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09" s="37"/>
      <c r="O3109" s="37"/>
      <c r="P3109" s="37"/>
    </row>
    <row r="3110" spans="2:16" x14ac:dyDescent="0.25">
      <c r="B31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0" s="46"/>
      <c r="D3110" s="37"/>
      <c r="E3110" s="37"/>
      <c r="F3110" s="37"/>
      <c r="G3110" s="40" t="str">
        <f>IF(tblMovimientos[[#This Row],[Producto]]="","",TRIM(LEFT(tblMovimientos[[#This Row],[Producto]],FIND(" · ",tblMovimientos[[#This Row],[Producto]]&amp;" · ")-1)))</f>
        <v/>
      </c>
      <c r="H3110" s="40" t="str">
        <f>IF(tblMovimientos[[#This Row],[SKU]]="","",IFERROR(INDEX(tblProductos[Unidad],MATCH(tblMovimientos[[#This Row],[SKU]],tblProductos[SKU],0)),"?"))</f>
        <v/>
      </c>
      <c r="I3110" s="39"/>
      <c r="J3110" s="47" t="str">
        <f>IF(tblMovimientos[[#This Row],[Tipo]]="","",IFERROR(INDEX(tblTiposMov[FactorStock],MATCH(tblMovimientos[[#This Row],[Tipo]],tblTiposMov[Tipo],0)),0))</f>
        <v/>
      </c>
      <c r="K31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0" s="37"/>
      <c r="O3110" s="37"/>
      <c r="P3110" s="37"/>
    </row>
    <row r="3111" spans="2:16" x14ac:dyDescent="0.25">
      <c r="B31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1" s="46"/>
      <c r="D3111" s="37"/>
      <c r="E3111" s="37"/>
      <c r="F3111" s="37"/>
      <c r="G3111" s="40" t="str">
        <f>IF(tblMovimientos[[#This Row],[Producto]]="","",TRIM(LEFT(tblMovimientos[[#This Row],[Producto]],FIND(" · ",tblMovimientos[[#This Row],[Producto]]&amp;" · ")-1)))</f>
        <v/>
      </c>
      <c r="H3111" s="40" t="str">
        <f>IF(tblMovimientos[[#This Row],[SKU]]="","",IFERROR(INDEX(tblProductos[Unidad],MATCH(tblMovimientos[[#This Row],[SKU]],tblProductos[SKU],0)),"?"))</f>
        <v/>
      </c>
      <c r="I3111" s="39"/>
      <c r="J3111" s="47" t="str">
        <f>IF(tblMovimientos[[#This Row],[Tipo]]="","",IFERROR(INDEX(tblTiposMov[FactorStock],MATCH(tblMovimientos[[#This Row],[Tipo]],tblTiposMov[Tipo],0)),0))</f>
        <v/>
      </c>
      <c r="K31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1" s="37"/>
      <c r="O3111" s="37"/>
      <c r="P3111" s="37"/>
    </row>
    <row r="3112" spans="2:16" x14ac:dyDescent="0.25">
      <c r="B31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2" s="46"/>
      <c r="D3112" s="37"/>
      <c r="E3112" s="37"/>
      <c r="F3112" s="37"/>
      <c r="G3112" s="40" t="str">
        <f>IF(tblMovimientos[[#This Row],[Producto]]="","",TRIM(LEFT(tblMovimientos[[#This Row],[Producto]],FIND(" · ",tblMovimientos[[#This Row],[Producto]]&amp;" · ")-1)))</f>
        <v/>
      </c>
      <c r="H3112" s="40" t="str">
        <f>IF(tblMovimientos[[#This Row],[SKU]]="","",IFERROR(INDEX(tblProductos[Unidad],MATCH(tblMovimientos[[#This Row],[SKU]],tblProductos[SKU],0)),"?"))</f>
        <v/>
      </c>
      <c r="I3112" s="39"/>
      <c r="J3112" s="47" t="str">
        <f>IF(tblMovimientos[[#This Row],[Tipo]]="","",IFERROR(INDEX(tblTiposMov[FactorStock],MATCH(tblMovimientos[[#This Row],[Tipo]],tblTiposMov[Tipo],0)),0))</f>
        <v/>
      </c>
      <c r="K31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2" s="37"/>
      <c r="O3112" s="37"/>
      <c r="P3112" s="37"/>
    </row>
    <row r="3113" spans="2:16" x14ac:dyDescent="0.25">
      <c r="B31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3" s="46"/>
      <c r="D3113" s="37"/>
      <c r="E3113" s="37"/>
      <c r="F3113" s="37"/>
      <c r="G3113" s="40" t="str">
        <f>IF(tblMovimientos[[#This Row],[Producto]]="","",TRIM(LEFT(tblMovimientos[[#This Row],[Producto]],FIND(" · ",tblMovimientos[[#This Row],[Producto]]&amp;" · ")-1)))</f>
        <v/>
      </c>
      <c r="H3113" s="40" t="str">
        <f>IF(tblMovimientos[[#This Row],[SKU]]="","",IFERROR(INDEX(tblProductos[Unidad],MATCH(tblMovimientos[[#This Row],[SKU]],tblProductos[SKU],0)),"?"))</f>
        <v/>
      </c>
      <c r="I3113" s="39"/>
      <c r="J3113" s="47" t="str">
        <f>IF(tblMovimientos[[#This Row],[Tipo]]="","",IFERROR(INDEX(tblTiposMov[FactorStock],MATCH(tblMovimientos[[#This Row],[Tipo]],tblTiposMov[Tipo],0)),0))</f>
        <v/>
      </c>
      <c r="K31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3" s="37"/>
      <c r="O3113" s="37"/>
      <c r="P3113" s="37"/>
    </row>
    <row r="3114" spans="2:16" x14ac:dyDescent="0.25">
      <c r="B31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4" s="46"/>
      <c r="D3114" s="37"/>
      <c r="E3114" s="37"/>
      <c r="F3114" s="37"/>
      <c r="G3114" s="40" t="str">
        <f>IF(tblMovimientos[[#This Row],[Producto]]="","",TRIM(LEFT(tblMovimientos[[#This Row],[Producto]],FIND(" · ",tblMovimientos[[#This Row],[Producto]]&amp;" · ")-1)))</f>
        <v/>
      </c>
      <c r="H3114" s="40" t="str">
        <f>IF(tblMovimientos[[#This Row],[SKU]]="","",IFERROR(INDEX(tblProductos[Unidad],MATCH(tblMovimientos[[#This Row],[SKU]],tblProductos[SKU],0)),"?"))</f>
        <v/>
      </c>
      <c r="I3114" s="39"/>
      <c r="J3114" s="47" t="str">
        <f>IF(tblMovimientos[[#This Row],[Tipo]]="","",IFERROR(INDEX(tblTiposMov[FactorStock],MATCH(tblMovimientos[[#This Row],[Tipo]],tblTiposMov[Tipo],0)),0))</f>
        <v/>
      </c>
      <c r="K31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4" s="37"/>
      <c r="O3114" s="37"/>
      <c r="P3114" s="37"/>
    </row>
    <row r="3115" spans="2:16" x14ac:dyDescent="0.25">
      <c r="B31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5" s="46"/>
      <c r="D3115" s="37"/>
      <c r="E3115" s="37"/>
      <c r="F3115" s="37"/>
      <c r="G3115" s="40" t="str">
        <f>IF(tblMovimientos[[#This Row],[Producto]]="","",TRIM(LEFT(tblMovimientos[[#This Row],[Producto]],FIND(" · ",tblMovimientos[[#This Row],[Producto]]&amp;" · ")-1)))</f>
        <v/>
      </c>
      <c r="H3115" s="40" t="str">
        <f>IF(tblMovimientos[[#This Row],[SKU]]="","",IFERROR(INDEX(tblProductos[Unidad],MATCH(tblMovimientos[[#This Row],[SKU]],tblProductos[SKU],0)),"?"))</f>
        <v/>
      </c>
      <c r="I3115" s="39"/>
      <c r="J3115" s="47" t="str">
        <f>IF(tblMovimientos[[#This Row],[Tipo]]="","",IFERROR(INDEX(tblTiposMov[FactorStock],MATCH(tblMovimientos[[#This Row],[Tipo]],tblTiposMov[Tipo],0)),0))</f>
        <v/>
      </c>
      <c r="K31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5" s="37"/>
      <c r="O3115" s="37"/>
      <c r="P3115" s="37"/>
    </row>
    <row r="3116" spans="2:16" x14ac:dyDescent="0.25">
      <c r="B31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6" s="46"/>
      <c r="D3116" s="37"/>
      <c r="E3116" s="37"/>
      <c r="F3116" s="37"/>
      <c r="G3116" s="40" t="str">
        <f>IF(tblMovimientos[[#This Row],[Producto]]="","",TRIM(LEFT(tblMovimientos[[#This Row],[Producto]],FIND(" · ",tblMovimientos[[#This Row],[Producto]]&amp;" · ")-1)))</f>
        <v/>
      </c>
      <c r="H3116" s="40" t="str">
        <f>IF(tblMovimientos[[#This Row],[SKU]]="","",IFERROR(INDEX(tblProductos[Unidad],MATCH(tblMovimientos[[#This Row],[SKU]],tblProductos[SKU],0)),"?"))</f>
        <v/>
      </c>
      <c r="I3116" s="39"/>
      <c r="J3116" s="47" t="str">
        <f>IF(tblMovimientos[[#This Row],[Tipo]]="","",IFERROR(INDEX(tblTiposMov[FactorStock],MATCH(tblMovimientos[[#This Row],[Tipo]],tblTiposMov[Tipo],0)),0))</f>
        <v/>
      </c>
      <c r="K31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6" s="37"/>
      <c r="O3116" s="37"/>
      <c r="P3116" s="37"/>
    </row>
    <row r="3117" spans="2:16" x14ac:dyDescent="0.25">
      <c r="B31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7" s="46"/>
      <c r="D3117" s="37"/>
      <c r="E3117" s="37"/>
      <c r="F3117" s="37"/>
      <c r="G3117" s="40" t="str">
        <f>IF(tblMovimientos[[#This Row],[Producto]]="","",TRIM(LEFT(tblMovimientos[[#This Row],[Producto]],FIND(" · ",tblMovimientos[[#This Row],[Producto]]&amp;" · ")-1)))</f>
        <v/>
      </c>
      <c r="H3117" s="40" t="str">
        <f>IF(tblMovimientos[[#This Row],[SKU]]="","",IFERROR(INDEX(tblProductos[Unidad],MATCH(tblMovimientos[[#This Row],[SKU]],tblProductos[SKU],0)),"?"))</f>
        <v/>
      </c>
      <c r="I3117" s="39"/>
      <c r="J3117" s="47" t="str">
        <f>IF(tblMovimientos[[#This Row],[Tipo]]="","",IFERROR(INDEX(tblTiposMov[FactorStock],MATCH(tblMovimientos[[#This Row],[Tipo]],tblTiposMov[Tipo],0)),0))</f>
        <v/>
      </c>
      <c r="K31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7" s="37"/>
      <c r="O3117" s="37"/>
      <c r="P3117" s="37"/>
    </row>
    <row r="3118" spans="2:16" x14ac:dyDescent="0.25">
      <c r="B31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8" s="46"/>
      <c r="D3118" s="37"/>
      <c r="E3118" s="37"/>
      <c r="F3118" s="37"/>
      <c r="G3118" s="40" t="str">
        <f>IF(tblMovimientos[[#This Row],[Producto]]="","",TRIM(LEFT(tblMovimientos[[#This Row],[Producto]],FIND(" · ",tblMovimientos[[#This Row],[Producto]]&amp;" · ")-1)))</f>
        <v/>
      </c>
      <c r="H3118" s="40" t="str">
        <f>IF(tblMovimientos[[#This Row],[SKU]]="","",IFERROR(INDEX(tblProductos[Unidad],MATCH(tblMovimientos[[#This Row],[SKU]],tblProductos[SKU],0)),"?"))</f>
        <v/>
      </c>
      <c r="I3118" s="39"/>
      <c r="J3118" s="47" t="str">
        <f>IF(tblMovimientos[[#This Row],[Tipo]]="","",IFERROR(INDEX(tblTiposMov[FactorStock],MATCH(tblMovimientos[[#This Row],[Tipo]],tblTiposMov[Tipo],0)),0))</f>
        <v/>
      </c>
      <c r="K31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8" s="37"/>
      <c r="O3118" s="37"/>
      <c r="P3118" s="37"/>
    </row>
    <row r="3119" spans="2:16" x14ac:dyDescent="0.25">
      <c r="B31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19" s="46"/>
      <c r="D3119" s="37"/>
      <c r="E3119" s="37"/>
      <c r="F3119" s="37"/>
      <c r="G3119" s="40" t="str">
        <f>IF(tblMovimientos[[#This Row],[Producto]]="","",TRIM(LEFT(tblMovimientos[[#This Row],[Producto]],FIND(" · ",tblMovimientos[[#This Row],[Producto]]&amp;" · ")-1)))</f>
        <v/>
      </c>
      <c r="H3119" s="40" t="str">
        <f>IF(tblMovimientos[[#This Row],[SKU]]="","",IFERROR(INDEX(tblProductos[Unidad],MATCH(tblMovimientos[[#This Row],[SKU]],tblProductos[SKU],0)),"?"))</f>
        <v/>
      </c>
      <c r="I3119" s="39"/>
      <c r="J3119" s="47" t="str">
        <f>IF(tblMovimientos[[#This Row],[Tipo]]="","",IFERROR(INDEX(tblTiposMov[FactorStock],MATCH(tblMovimientos[[#This Row],[Tipo]],tblTiposMov[Tipo],0)),0))</f>
        <v/>
      </c>
      <c r="K31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19" s="37"/>
      <c r="O3119" s="37"/>
      <c r="P3119" s="37"/>
    </row>
    <row r="3120" spans="2:16" x14ac:dyDescent="0.25">
      <c r="B31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0" s="46"/>
      <c r="D3120" s="37"/>
      <c r="E3120" s="37"/>
      <c r="F3120" s="37"/>
      <c r="G3120" s="40" t="str">
        <f>IF(tblMovimientos[[#This Row],[Producto]]="","",TRIM(LEFT(tblMovimientos[[#This Row],[Producto]],FIND(" · ",tblMovimientos[[#This Row],[Producto]]&amp;" · ")-1)))</f>
        <v/>
      </c>
      <c r="H3120" s="40" t="str">
        <f>IF(tblMovimientos[[#This Row],[SKU]]="","",IFERROR(INDEX(tblProductos[Unidad],MATCH(tblMovimientos[[#This Row],[SKU]],tblProductos[SKU],0)),"?"))</f>
        <v/>
      </c>
      <c r="I3120" s="39"/>
      <c r="J3120" s="47" t="str">
        <f>IF(tblMovimientos[[#This Row],[Tipo]]="","",IFERROR(INDEX(tblTiposMov[FactorStock],MATCH(tblMovimientos[[#This Row],[Tipo]],tblTiposMov[Tipo],0)),0))</f>
        <v/>
      </c>
      <c r="K31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0" s="37"/>
      <c r="O3120" s="37"/>
      <c r="P3120" s="37"/>
    </row>
    <row r="3121" spans="2:16" x14ac:dyDescent="0.25">
      <c r="B31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1" s="46"/>
      <c r="D3121" s="37"/>
      <c r="E3121" s="37"/>
      <c r="F3121" s="37"/>
      <c r="G3121" s="40" t="str">
        <f>IF(tblMovimientos[[#This Row],[Producto]]="","",TRIM(LEFT(tblMovimientos[[#This Row],[Producto]],FIND(" · ",tblMovimientos[[#This Row],[Producto]]&amp;" · ")-1)))</f>
        <v/>
      </c>
      <c r="H3121" s="40" t="str">
        <f>IF(tblMovimientos[[#This Row],[SKU]]="","",IFERROR(INDEX(tblProductos[Unidad],MATCH(tblMovimientos[[#This Row],[SKU]],tblProductos[SKU],0)),"?"))</f>
        <v/>
      </c>
      <c r="I3121" s="39"/>
      <c r="J3121" s="47" t="str">
        <f>IF(tblMovimientos[[#This Row],[Tipo]]="","",IFERROR(INDEX(tblTiposMov[FactorStock],MATCH(tblMovimientos[[#This Row],[Tipo]],tblTiposMov[Tipo],0)),0))</f>
        <v/>
      </c>
      <c r="K31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1" s="37"/>
      <c r="O3121" s="37"/>
      <c r="P3121" s="37"/>
    </row>
    <row r="3122" spans="2:16" x14ac:dyDescent="0.25">
      <c r="B31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2" s="46"/>
      <c r="D3122" s="37"/>
      <c r="E3122" s="37"/>
      <c r="F3122" s="37"/>
      <c r="G3122" s="40" t="str">
        <f>IF(tblMovimientos[[#This Row],[Producto]]="","",TRIM(LEFT(tblMovimientos[[#This Row],[Producto]],FIND(" · ",tblMovimientos[[#This Row],[Producto]]&amp;" · ")-1)))</f>
        <v/>
      </c>
      <c r="H3122" s="40" t="str">
        <f>IF(tblMovimientos[[#This Row],[SKU]]="","",IFERROR(INDEX(tblProductos[Unidad],MATCH(tblMovimientos[[#This Row],[SKU]],tblProductos[SKU],0)),"?"))</f>
        <v/>
      </c>
      <c r="I3122" s="39"/>
      <c r="J3122" s="47" t="str">
        <f>IF(tblMovimientos[[#This Row],[Tipo]]="","",IFERROR(INDEX(tblTiposMov[FactorStock],MATCH(tblMovimientos[[#This Row],[Tipo]],tblTiposMov[Tipo],0)),0))</f>
        <v/>
      </c>
      <c r="K31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2" s="37"/>
      <c r="O3122" s="37"/>
      <c r="P3122" s="37"/>
    </row>
    <row r="3123" spans="2:16" x14ac:dyDescent="0.25">
      <c r="B31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3" s="46"/>
      <c r="D3123" s="37"/>
      <c r="E3123" s="37"/>
      <c r="F3123" s="37"/>
      <c r="G3123" s="40" t="str">
        <f>IF(tblMovimientos[[#This Row],[Producto]]="","",TRIM(LEFT(tblMovimientos[[#This Row],[Producto]],FIND(" · ",tblMovimientos[[#This Row],[Producto]]&amp;" · ")-1)))</f>
        <v/>
      </c>
      <c r="H3123" s="40" t="str">
        <f>IF(tblMovimientos[[#This Row],[SKU]]="","",IFERROR(INDEX(tblProductos[Unidad],MATCH(tblMovimientos[[#This Row],[SKU]],tblProductos[SKU],0)),"?"))</f>
        <v/>
      </c>
      <c r="I3123" s="39"/>
      <c r="J3123" s="47" t="str">
        <f>IF(tblMovimientos[[#This Row],[Tipo]]="","",IFERROR(INDEX(tblTiposMov[FactorStock],MATCH(tblMovimientos[[#This Row],[Tipo]],tblTiposMov[Tipo],0)),0))</f>
        <v/>
      </c>
      <c r="K31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3" s="37"/>
      <c r="O3123" s="37"/>
      <c r="P3123" s="37"/>
    </row>
    <row r="3124" spans="2:16" x14ac:dyDescent="0.25">
      <c r="B31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4" s="46"/>
      <c r="D3124" s="37"/>
      <c r="E3124" s="37"/>
      <c r="F3124" s="37"/>
      <c r="G3124" s="40" t="str">
        <f>IF(tblMovimientos[[#This Row],[Producto]]="","",TRIM(LEFT(tblMovimientos[[#This Row],[Producto]],FIND(" · ",tblMovimientos[[#This Row],[Producto]]&amp;" · ")-1)))</f>
        <v/>
      </c>
      <c r="H3124" s="40" t="str">
        <f>IF(tblMovimientos[[#This Row],[SKU]]="","",IFERROR(INDEX(tblProductos[Unidad],MATCH(tblMovimientos[[#This Row],[SKU]],tblProductos[SKU],0)),"?"))</f>
        <v/>
      </c>
      <c r="I3124" s="39"/>
      <c r="J3124" s="47" t="str">
        <f>IF(tblMovimientos[[#This Row],[Tipo]]="","",IFERROR(INDEX(tblTiposMov[FactorStock],MATCH(tblMovimientos[[#This Row],[Tipo]],tblTiposMov[Tipo],0)),0))</f>
        <v/>
      </c>
      <c r="K31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4" s="37"/>
      <c r="O3124" s="37"/>
      <c r="P3124" s="37"/>
    </row>
    <row r="3125" spans="2:16" x14ac:dyDescent="0.25">
      <c r="B31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5" s="46"/>
      <c r="D3125" s="37"/>
      <c r="E3125" s="37"/>
      <c r="F3125" s="37"/>
      <c r="G3125" s="40" t="str">
        <f>IF(tblMovimientos[[#This Row],[Producto]]="","",TRIM(LEFT(tblMovimientos[[#This Row],[Producto]],FIND(" · ",tblMovimientos[[#This Row],[Producto]]&amp;" · ")-1)))</f>
        <v/>
      </c>
      <c r="H3125" s="40" t="str">
        <f>IF(tblMovimientos[[#This Row],[SKU]]="","",IFERROR(INDEX(tblProductos[Unidad],MATCH(tblMovimientos[[#This Row],[SKU]],tblProductos[SKU],0)),"?"))</f>
        <v/>
      </c>
      <c r="I3125" s="39"/>
      <c r="J3125" s="47" t="str">
        <f>IF(tblMovimientos[[#This Row],[Tipo]]="","",IFERROR(INDEX(tblTiposMov[FactorStock],MATCH(tblMovimientos[[#This Row],[Tipo]],tblTiposMov[Tipo],0)),0))</f>
        <v/>
      </c>
      <c r="K31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5" s="37"/>
      <c r="O3125" s="37"/>
      <c r="P3125" s="37"/>
    </row>
    <row r="3126" spans="2:16" x14ac:dyDescent="0.25">
      <c r="B31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6" s="46"/>
      <c r="D3126" s="37"/>
      <c r="E3126" s="37"/>
      <c r="F3126" s="37"/>
      <c r="G3126" s="40" t="str">
        <f>IF(tblMovimientos[[#This Row],[Producto]]="","",TRIM(LEFT(tblMovimientos[[#This Row],[Producto]],FIND(" · ",tblMovimientos[[#This Row],[Producto]]&amp;" · ")-1)))</f>
        <v/>
      </c>
      <c r="H3126" s="40" t="str">
        <f>IF(tblMovimientos[[#This Row],[SKU]]="","",IFERROR(INDEX(tblProductos[Unidad],MATCH(tblMovimientos[[#This Row],[SKU]],tblProductos[SKU],0)),"?"))</f>
        <v/>
      </c>
      <c r="I3126" s="39"/>
      <c r="J3126" s="47" t="str">
        <f>IF(tblMovimientos[[#This Row],[Tipo]]="","",IFERROR(INDEX(tblTiposMov[FactorStock],MATCH(tblMovimientos[[#This Row],[Tipo]],tblTiposMov[Tipo],0)),0))</f>
        <v/>
      </c>
      <c r="K31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6" s="37"/>
      <c r="O3126" s="37"/>
      <c r="P3126" s="37"/>
    </row>
    <row r="3127" spans="2:16" x14ac:dyDescent="0.25">
      <c r="B31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7" s="46"/>
      <c r="D3127" s="37"/>
      <c r="E3127" s="37"/>
      <c r="F3127" s="37"/>
      <c r="G3127" s="40" t="str">
        <f>IF(tblMovimientos[[#This Row],[Producto]]="","",TRIM(LEFT(tblMovimientos[[#This Row],[Producto]],FIND(" · ",tblMovimientos[[#This Row],[Producto]]&amp;" · ")-1)))</f>
        <v/>
      </c>
      <c r="H3127" s="40" t="str">
        <f>IF(tblMovimientos[[#This Row],[SKU]]="","",IFERROR(INDEX(tblProductos[Unidad],MATCH(tblMovimientos[[#This Row],[SKU]],tblProductos[SKU],0)),"?"))</f>
        <v/>
      </c>
      <c r="I3127" s="39"/>
      <c r="J3127" s="47" t="str">
        <f>IF(tblMovimientos[[#This Row],[Tipo]]="","",IFERROR(INDEX(tblTiposMov[FactorStock],MATCH(tblMovimientos[[#This Row],[Tipo]],tblTiposMov[Tipo],0)),0))</f>
        <v/>
      </c>
      <c r="K31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7" s="37"/>
      <c r="O3127" s="37"/>
      <c r="P3127" s="37"/>
    </row>
    <row r="3128" spans="2:16" x14ac:dyDescent="0.25">
      <c r="B31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8" s="46"/>
      <c r="D3128" s="37"/>
      <c r="E3128" s="37"/>
      <c r="F3128" s="37"/>
      <c r="G3128" s="40" t="str">
        <f>IF(tblMovimientos[[#This Row],[Producto]]="","",TRIM(LEFT(tblMovimientos[[#This Row],[Producto]],FIND(" · ",tblMovimientos[[#This Row],[Producto]]&amp;" · ")-1)))</f>
        <v/>
      </c>
      <c r="H3128" s="40" t="str">
        <f>IF(tblMovimientos[[#This Row],[SKU]]="","",IFERROR(INDEX(tblProductos[Unidad],MATCH(tblMovimientos[[#This Row],[SKU]],tblProductos[SKU],0)),"?"))</f>
        <v/>
      </c>
      <c r="I3128" s="39"/>
      <c r="J3128" s="47" t="str">
        <f>IF(tblMovimientos[[#This Row],[Tipo]]="","",IFERROR(INDEX(tblTiposMov[FactorStock],MATCH(tblMovimientos[[#This Row],[Tipo]],tblTiposMov[Tipo],0)),0))</f>
        <v/>
      </c>
      <c r="K31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8" s="37"/>
      <c r="O3128" s="37"/>
      <c r="P3128" s="37"/>
    </row>
    <row r="3129" spans="2:16" x14ac:dyDescent="0.25">
      <c r="B31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29" s="46"/>
      <c r="D3129" s="37"/>
      <c r="E3129" s="37"/>
      <c r="F3129" s="37"/>
      <c r="G3129" s="40" t="str">
        <f>IF(tblMovimientos[[#This Row],[Producto]]="","",TRIM(LEFT(tblMovimientos[[#This Row],[Producto]],FIND(" · ",tblMovimientos[[#This Row],[Producto]]&amp;" · ")-1)))</f>
        <v/>
      </c>
      <c r="H3129" s="40" t="str">
        <f>IF(tblMovimientos[[#This Row],[SKU]]="","",IFERROR(INDEX(tblProductos[Unidad],MATCH(tblMovimientos[[#This Row],[SKU]],tblProductos[SKU],0)),"?"))</f>
        <v/>
      </c>
      <c r="I3129" s="39"/>
      <c r="J3129" s="47" t="str">
        <f>IF(tblMovimientos[[#This Row],[Tipo]]="","",IFERROR(INDEX(tblTiposMov[FactorStock],MATCH(tblMovimientos[[#This Row],[Tipo]],tblTiposMov[Tipo],0)),0))</f>
        <v/>
      </c>
      <c r="K31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29" s="37"/>
      <c r="O3129" s="37"/>
      <c r="P3129" s="37"/>
    </row>
    <row r="3130" spans="2:16" x14ac:dyDescent="0.25">
      <c r="B31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0" s="46"/>
      <c r="D3130" s="37"/>
      <c r="E3130" s="37"/>
      <c r="F3130" s="37"/>
      <c r="G3130" s="40" t="str">
        <f>IF(tblMovimientos[[#This Row],[Producto]]="","",TRIM(LEFT(tblMovimientos[[#This Row],[Producto]],FIND(" · ",tblMovimientos[[#This Row],[Producto]]&amp;" · ")-1)))</f>
        <v/>
      </c>
      <c r="H3130" s="40" t="str">
        <f>IF(tblMovimientos[[#This Row],[SKU]]="","",IFERROR(INDEX(tblProductos[Unidad],MATCH(tblMovimientos[[#This Row],[SKU]],tblProductos[SKU],0)),"?"))</f>
        <v/>
      </c>
      <c r="I3130" s="39"/>
      <c r="J3130" s="47" t="str">
        <f>IF(tblMovimientos[[#This Row],[Tipo]]="","",IFERROR(INDEX(tblTiposMov[FactorStock],MATCH(tblMovimientos[[#This Row],[Tipo]],tblTiposMov[Tipo],0)),0))</f>
        <v/>
      </c>
      <c r="K31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0" s="37"/>
      <c r="O3130" s="37"/>
      <c r="P3130" s="37"/>
    </row>
    <row r="3131" spans="2:16" x14ac:dyDescent="0.25">
      <c r="B31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1" s="46"/>
      <c r="D3131" s="37"/>
      <c r="E3131" s="37"/>
      <c r="F3131" s="37"/>
      <c r="G3131" s="40" t="str">
        <f>IF(tblMovimientos[[#This Row],[Producto]]="","",TRIM(LEFT(tblMovimientos[[#This Row],[Producto]],FIND(" · ",tblMovimientos[[#This Row],[Producto]]&amp;" · ")-1)))</f>
        <v/>
      </c>
      <c r="H3131" s="40" t="str">
        <f>IF(tblMovimientos[[#This Row],[SKU]]="","",IFERROR(INDEX(tblProductos[Unidad],MATCH(tblMovimientos[[#This Row],[SKU]],tblProductos[SKU],0)),"?"))</f>
        <v/>
      </c>
      <c r="I3131" s="39"/>
      <c r="J3131" s="47" t="str">
        <f>IF(tblMovimientos[[#This Row],[Tipo]]="","",IFERROR(INDEX(tblTiposMov[FactorStock],MATCH(tblMovimientos[[#This Row],[Tipo]],tblTiposMov[Tipo],0)),0))</f>
        <v/>
      </c>
      <c r="K31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1" s="37"/>
      <c r="O3131" s="37"/>
      <c r="P3131" s="37"/>
    </row>
    <row r="3132" spans="2:16" x14ac:dyDescent="0.25">
      <c r="B31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2" s="46"/>
      <c r="D3132" s="37"/>
      <c r="E3132" s="37"/>
      <c r="F3132" s="37"/>
      <c r="G3132" s="40" t="str">
        <f>IF(tblMovimientos[[#This Row],[Producto]]="","",TRIM(LEFT(tblMovimientos[[#This Row],[Producto]],FIND(" · ",tblMovimientos[[#This Row],[Producto]]&amp;" · ")-1)))</f>
        <v/>
      </c>
      <c r="H3132" s="40" t="str">
        <f>IF(tblMovimientos[[#This Row],[SKU]]="","",IFERROR(INDEX(tblProductos[Unidad],MATCH(tblMovimientos[[#This Row],[SKU]],tblProductos[SKU],0)),"?"))</f>
        <v/>
      </c>
      <c r="I3132" s="39"/>
      <c r="J3132" s="47" t="str">
        <f>IF(tblMovimientos[[#This Row],[Tipo]]="","",IFERROR(INDEX(tblTiposMov[FactorStock],MATCH(tblMovimientos[[#This Row],[Tipo]],tblTiposMov[Tipo],0)),0))</f>
        <v/>
      </c>
      <c r="K31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2" s="37"/>
      <c r="O3132" s="37"/>
      <c r="P3132" s="37"/>
    </row>
    <row r="3133" spans="2:16" x14ac:dyDescent="0.25">
      <c r="B31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3" s="46"/>
      <c r="D3133" s="37"/>
      <c r="E3133" s="37"/>
      <c r="F3133" s="37"/>
      <c r="G3133" s="40" t="str">
        <f>IF(tblMovimientos[[#This Row],[Producto]]="","",TRIM(LEFT(tblMovimientos[[#This Row],[Producto]],FIND(" · ",tblMovimientos[[#This Row],[Producto]]&amp;" · ")-1)))</f>
        <v/>
      </c>
      <c r="H3133" s="40" t="str">
        <f>IF(tblMovimientos[[#This Row],[SKU]]="","",IFERROR(INDEX(tblProductos[Unidad],MATCH(tblMovimientos[[#This Row],[SKU]],tblProductos[SKU],0)),"?"))</f>
        <v/>
      </c>
      <c r="I3133" s="39"/>
      <c r="J3133" s="47" t="str">
        <f>IF(tblMovimientos[[#This Row],[Tipo]]="","",IFERROR(INDEX(tblTiposMov[FactorStock],MATCH(tblMovimientos[[#This Row],[Tipo]],tblTiposMov[Tipo],0)),0))</f>
        <v/>
      </c>
      <c r="K31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3" s="37"/>
      <c r="O3133" s="37"/>
      <c r="P3133" s="37"/>
    </row>
    <row r="3134" spans="2:16" x14ac:dyDescent="0.25">
      <c r="B31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4" s="46"/>
      <c r="D3134" s="37"/>
      <c r="E3134" s="37"/>
      <c r="F3134" s="37"/>
      <c r="G3134" s="40" t="str">
        <f>IF(tblMovimientos[[#This Row],[Producto]]="","",TRIM(LEFT(tblMovimientos[[#This Row],[Producto]],FIND(" · ",tblMovimientos[[#This Row],[Producto]]&amp;" · ")-1)))</f>
        <v/>
      </c>
      <c r="H3134" s="40" t="str">
        <f>IF(tblMovimientos[[#This Row],[SKU]]="","",IFERROR(INDEX(tblProductos[Unidad],MATCH(tblMovimientos[[#This Row],[SKU]],tblProductos[SKU],0)),"?"))</f>
        <v/>
      </c>
      <c r="I3134" s="39"/>
      <c r="J3134" s="47" t="str">
        <f>IF(tblMovimientos[[#This Row],[Tipo]]="","",IFERROR(INDEX(tblTiposMov[FactorStock],MATCH(tblMovimientos[[#This Row],[Tipo]],tblTiposMov[Tipo],0)),0))</f>
        <v/>
      </c>
      <c r="K31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4" s="37"/>
      <c r="O3134" s="37"/>
      <c r="P3134" s="37"/>
    </row>
    <row r="3135" spans="2:16" x14ac:dyDescent="0.25">
      <c r="B31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5" s="46"/>
      <c r="D3135" s="37"/>
      <c r="E3135" s="37"/>
      <c r="F3135" s="37"/>
      <c r="G3135" s="40" t="str">
        <f>IF(tblMovimientos[[#This Row],[Producto]]="","",TRIM(LEFT(tblMovimientos[[#This Row],[Producto]],FIND(" · ",tblMovimientos[[#This Row],[Producto]]&amp;" · ")-1)))</f>
        <v/>
      </c>
      <c r="H3135" s="40" t="str">
        <f>IF(tblMovimientos[[#This Row],[SKU]]="","",IFERROR(INDEX(tblProductos[Unidad],MATCH(tblMovimientos[[#This Row],[SKU]],tblProductos[SKU],0)),"?"))</f>
        <v/>
      </c>
      <c r="I3135" s="39"/>
      <c r="J3135" s="47" t="str">
        <f>IF(tblMovimientos[[#This Row],[Tipo]]="","",IFERROR(INDEX(tblTiposMov[FactorStock],MATCH(tblMovimientos[[#This Row],[Tipo]],tblTiposMov[Tipo],0)),0))</f>
        <v/>
      </c>
      <c r="K31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5" s="37"/>
      <c r="O3135" s="37"/>
      <c r="P3135" s="37"/>
    </row>
    <row r="3136" spans="2:16" x14ac:dyDescent="0.25">
      <c r="B31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6" s="46"/>
      <c r="D3136" s="37"/>
      <c r="E3136" s="37"/>
      <c r="F3136" s="37"/>
      <c r="G3136" s="40" t="str">
        <f>IF(tblMovimientos[[#This Row],[Producto]]="","",TRIM(LEFT(tblMovimientos[[#This Row],[Producto]],FIND(" · ",tblMovimientos[[#This Row],[Producto]]&amp;" · ")-1)))</f>
        <v/>
      </c>
      <c r="H3136" s="40" t="str">
        <f>IF(tblMovimientos[[#This Row],[SKU]]="","",IFERROR(INDEX(tblProductos[Unidad],MATCH(tblMovimientos[[#This Row],[SKU]],tblProductos[SKU],0)),"?"))</f>
        <v/>
      </c>
      <c r="I3136" s="39"/>
      <c r="J3136" s="47" t="str">
        <f>IF(tblMovimientos[[#This Row],[Tipo]]="","",IFERROR(INDEX(tblTiposMov[FactorStock],MATCH(tblMovimientos[[#This Row],[Tipo]],tblTiposMov[Tipo],0)),0))</f>
        <v/>
      </c>
      <c r="K31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6" s="37"/>
      <c r="O3136" s="37"/>
      <c r="P3136" s="37"/>
    </row>
    <row r="3137" spans="2:16" x14ac:dyDescent="0.25">
      <c r="B31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7" s="46"/>
      <c r="D3137" s="37"/>
      <c r="E3137" s="37"/>
      <c r="F3137" s="37"/>
      <c r="G3137" s="40" t="str">
        <f>IF(tblMovimientos[[#This Row],[Producto]]="","",TRIM(LEFT(tblMovimientos[[#This Row],[Producto]],FIND(" · ",tblMovimientos[[#This Row],[Producto]]&amp;" · ")-1)))</f>
        <v/>
      </c>
      <c r="H3137" s="40" t="str">
        <f>IF(tblMovimientos[[#This Row],[SKU]]="","",IFERROR(INDEX(tblProductos[Unidad],MATCH(tblMovimientos[[#This Row],[SKU]],tblProductos[SKU],0)),"?"))</f>
        <v/>
      </c>
      <c r="I3137" s="39"/>
      <c r="J3137" s="47" t="str">
        <f>IF(tblMovimientos[[#This Row],[Tipo]]="","",IFERROR(INDEX(tblTiposMov[FactorStock],MATCH(tblMovimientos[[#This Row],[Tipo]],tblTiposMov[Tipo],0)),0))</f>
        <v/>
      </c>
      <c r="K31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7" s="37"/>
      <c r="O3137" s="37"/>
      <c r="P3137" s="37"/>
    </row>
    <row r="3138" spans="2:16" x14ac:dyDescent="0.25">
      <c r="B31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8" s="46"/>
      <c r="D3138" s="37"/>
      <c r="E3138" s="37"/>
      <c r="F3138" s="37"/>
      <c r="G3138" s="40" t="str">
        <f>IF(tblMovimientos[[#This Row],[Producto]]="","",TRIM(LEFT(tblMovimientos[[#This Row],[Producto]],FIND(" · ",tblMovimientos[[#This Row],[Producto]]&amp;" · ")-1)))</f>
        <v/>
      </c>
      <c r="H3138" s="40" t="str">
        <f>IF(tblMovimientos[[#This Row],[SKU]]="","",IFERROR(INDEX(tblProductos[Unidad],MATCH(tblMovimientos[[#This Row],[SKU]],tblProductos[SKU],0)),"?"))</f>
        <v/>
      </c>
      <c r="I3138" s="39"/>
      <c r="J3138" s="47" t="str">
        <f>IF(tblMovimientos[[#This Row],[Tipo]]="","",IFERROR(INDEX(tblTiposMov[FactorStock],MATCH(tblMovimientos[[#This Row],[Tipo]],tblTiposMov[Tipo],0)),0))</f>
        <v/>
      </c>
      <c r="K31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8" s="37"/>
      <c r="O3138" s="37"/>
      <c r="P3138" s="37"/>
    </row>
    <row r="3139" spans="2:16" x14ac:dyDescent="0.25">
      <c r="B31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39" s="46"/>
      <c r="D3139" s="37"/>
      <c r="E3139" s="37"/>
      <c r="F3139" s="37"/>
      <c r="G3139" s="40" t="str">
        <f>IF(tblMovimientos[[#This Row],[Producto]]="","",TRIM(LEFT(tblMovimientos[[#This Row],[Producto]],FIND(" · ",tblMovimientos[[#This Row],[Producto]]&amp;" · ")-1)))</f>
        <v/>
      </c>
      <c r="H3139" s="40" t="str">
        <f>IF(tblMovimientos[[#This Row],[SKU]]="","",IFERROR(INDEX(tblProductos[Unidad],MATCH(tblMovimientos[[#This Row],[SKU]],tblProductos[SKU],0)),"?"))</f>
        <v/>
      </c>
      <c r="I3139" s="39"/>
      <c r="J3139" s="47" t="str">
        <f>IF(tblMovimientos[[#This Row],[Tipo]]="","",IFERROR(INDEX(tblTiposMov[FactorStock],MATCH(tblMovimientos[[#This Row],[Tipo]],tblTiposMov[Tipo],0)),0))</f>
        <v/>
      </c>
      <c r="K31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39" s="37"/>
      <c r="O3139" s="37"/>
      <c r="P3139" s="37"/>
    </row>
    <row r="3140" spans="2:16" x14ac:dyDescent="0.25">
      <c r="B31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0" s="46"/>
      <c r="D3140" s="37"/>
      <c r="E3140" s="37"/>
      <c r="F3140" s="37"/>
      <c r="G3140" s="40" t="str">
        <f>IF(tblMovimientos[[#This Row],[Producto]]="","",TRIM(LEFT(tblMovimientos[[#This Row],[Producto]],FIND(" · ",tblMovimientos[[#This Row],[Producto]]&amp;" · ")-1)))</f>
        <v/>
      </c>
      <c r="H3140" s="40" t="str">
        <f>IF(tblMovimientos[[#This Row],[SKU]]="","",IFERROR(INDEX(tblProductos[Unidad],MATCH(tblMovimientos[[#This Row],[SKU]],tblProductos[SKU],0)),"?"))</f>
        <v/>
      </c>
      <c r="I3140" s="39"/>
      <c r="J3140" s="47" t="str">
        <f>IF(tblMovimientos[[#This Row],[Tipo]]="","",IFERROR(INDEX(tblTiposMov[FactorStock],MATCH(tblMovimientos[[#This Row],[Tipo]],tblTiposMov[Tipo],0)),0))</f>
        <v/>
      </c>
      <c r="K31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0" s="37"/>
      <c r="O3140" s="37"/>
      <c r="P3140" s="37"/>
    </row>
    <row r="3141" spans="2:16" x14ac:dyDescent="0.25">
      <c r="B31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1" s="46"/>
      <c r="D3141" s="37"/>
      <c r="E3141" s="37"/>
      <c r="F3141" s="37"/>
      <c r="G3141" s="40" t="str">
        <f>IF(tblMovimientos[[#This Row],[Producto]]="","",TRIM(LEFT(tblMovimientos[[#This Row],[Producto]],FIND(" · ",tblMovimientos[[#This Row],[Producto]]&amp;" · ")-1)))</f>
        <v/>
      </c>
      <c r="H3141" s="40" t="str">
        <f>IF(tblMovimientos[[#This Row],[SKU]]="","",IFERROR(INDEX(tblProductos[Unidad],MATCH(tblMovimientos[[#This Row],[SKU]],tblProductos[SKU],0)),"?"))</f>
        <v/>
      </c>
      <c r="I3141" s="39"/>
      <c r="J3141" s="47" t="str">
        <f>IF(tblMovimientos[[#This Row],[Tipo]]="","",IFERROR(INDEX(tblTiposMov[FactorStock],MATCH(tblMovimientos[[#This Row],[Tipo]],tblTiposMov[Tipo],0)),0))</f>
        <v/>
      </c>
      <c r="K31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1" s="37"/>
      <c r="O3141" s="37"/>
      <c r="P3141" s="37"/>
    </row>
    <row r="3142" spans="2:16" x14ac:dyDescent="0.25">
      <c r="B31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2" s="46"/>
      <c r="D3142" s="37"/>
      <c r="E3142" s="37"/>
      <c r="F3142" s="37"/>
      <c r="G3142" s="40" t="str">
        <f>IF(tblMovimientos[[#This Row],[Producto]]="","",TRIM(LEFT(tblMovimientos[[#This Row],[Producto]],FIND(" · ",tblMovimientos[[#This Row],[Producto]]&amp;" · ")-1)))</f>
        <v/>
      </c>
      <c r="H3142" s="40" t="str">
        <f>IF(tblMovimientos[[#This Row],[SKU]]="","",IFERROR(INDEX(tblProductos[Unidad],MATCH(tblMovimientos[[#This Row],[SKU]],tblProductos[SKU],0)),"?"))</f>
        <v/>
      </c>
      <c r="I3142" s="39"/>
      <c r="J3142" s="47" t="str">
        <f>IF(tblMovimientos[[#This Row],[Tipo]]="","",IFERROR(INDEX(tblTiposMov[FactorStock],MATCH(tblMovimientos[[#This Row],[Tipo]],tblTiposMov[Tipo],0)),0))</f>
        <v/>
      </c>
      <c r="K31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2" s="37"/>
      <c r="O3142" s="37"/>
      <c r="P3142" s="37"/>
    </row>
    <row r="3143" spans="2:16" x14ac:dyDescent="0.25">
      <c r="B31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3" s="46"/>
      <c r="D3143" s="37"/>
      <c r="E3143" s="37"/>
      <c r="F3143" s="37"/>
      <c r="G3143" s="40" t="str">
        <f>IF(tblMovimientos[[#This Row],[Producto]]="","",TRIM(LEFT(tblMovimientos[[#This Row],[Producto]],FIND(" · ",tblMovimientos[[#This Row],[Producto]]&amp;" · ")-1)))</f>
        <v/>
      </c>
      <c r="H3143" s="40" t="str">
        <f>IF(tblMovimientos[[#This Row],[SKU]]="","",IFERROR(INDEX(tblProductos[Unidad],MATCH(tblMovimientos[[#This Row],[SKU]],tblProductos[SKU],0)),"?"))</f>
        <v/>
      </c>
      <c r="I3143" s="39"/>
      <c r="J3143" s="47" t="str">
        <f>IF(tblMovimientos[[#This Row],[Tipo]]="","",IFERROR(INDEX(tblTiposMov[FactorStock],MATCH(tblMovimientos[[#This Row],[Tipo]],tblTiposMov[Tipo],0)),0))</f>
        <v/>
      </c>
      <c r="K31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3" s="37"/>
      <c r="O3143" s="37"/>
      <c r="P3143" s="37"/>
    </row>
    <row r="3144" spans="2:16" x14ac:dyDescent="0.25">
      <c r="B31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4" s="46"/>
      <c r="D3144" s="37"/>
      <c r="E3144" s="37"/>
      <c r="F3144" s="37"/>
      <c r="G3144" s="40" t="str">
        <f>IF(tblMovimientos[[#This Row],[Producto]]="","",TRIM(LEFT(tblMovimientos[[#This Row],[Producto]],FIND(" · ",tblMovimientos[[#This Row],[Producto]]&amp;" · ")-1)))</f>
        <v/>
      </c>
      <c r="H3144" s="40" t="str">
        <f>IF(tblMovimientos[[#This Row],[SKU]]="","",IFERROR(INDEX(tblProductos[Unidad],MATCH(tblMovimientos[[#This Row],[SKU]],tblProductos[SKU],0)),"?"))</f>
        <v/>
      </c>
      <c r="I3144" s="39"/>
      <c r="J3144" s="47" t="str">
        <f>IF(tblMovimientos[[#This Row],[Tipo]]="","",IFERROR(INDEX(tblTiposMov[FactorStock],MATCH(tblMovimientos[[#This Row],[Tipo]],tblTiposMov[Tipo],0)),0))</f>
        <v/>
      </c>
      <c r="K31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4" s="37"/>
      <c r="O3144" s="37"/>
      <c r="P3144" s="37"/>
    </row>
    <row r="3145" spans="2:16" x14ac:dyDescent="0.25">
      <c r="B31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5" s="46"/>
      <c r="D3145" s="37"/>
      <c r="E3145" s="37"/>
      <c r="F3145" s="37"/>
      <c r="G3145" s="40" t="str">
        <f>IF(tblMovimientos[[#This Row],[Producto]]="","",TRIM(LEFT(tblMovimientos[[#This Row],[Producto]],FIND(" · ",tblMovimientos[[#This Row],[Producto]]&amp;" · ")-1)))</f>
        <v/>
      </c>
      <c r="H3145" s="40" t="str">
        <f>IF(tblMovimientos[[#This Row],[SKU]]="","",IFERROR(INDEX(tblProductos[Unidad],MATCH(tblMovimientos[[#This Row],[SKU]],tblProductos[SKU],0)),"?"))</f>
        <v/>
      </c>
      <c r="I3145" s="39"/>
      <c r="J3145" s="47" t="str">
        <f>IF(tblMovimientos[[#This Row],[Tipo]]="","",IFERROR(INDEX(tblTiposMov[FactorStock],MATCH(tblMovimientos[[#This Row],[Tipo]],tblTiposMov[Tipo],0)),0))</f>
        <v/>
      </c>
      <c r="K31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5" s="37"/>
      <c r="O3145" s="37"/>
      <c r="P3145" s="37"/>
    </row>
    <row r="3146" spans="2:16" x14ac:dyDescent="0.25">
      <c r="B31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6" s="46"/>
      <c r="D3146" s="37"/>
      <c r="E3146" s="37"/>
      <c r="F3146" s="37"/>
      <c r="G3146" s="40" t="str">
        <f>IF(tblMovimientos[[#This Row],[Producto]]="","",TRIM(LEFT(tblMovimientos[[#This Row],[Producto]],FIND(" · ",tblMovimientos[[#This Row],[Producto]]&amp;" · ")-1)))</f>
        <v/>
      </c>
      <c r="H3146" s="40" t="str">
        <f>IF(tblMovimientos[[#This Row],[SKU]]="","",IFERROR(INDEX(tblProductos[Unidad],MATCH(tblMovimientos[[#This Row],[SKU]],tblProductos[SKU],0)),"?"))</f>
        <v/>
      </c>
      <c r="I3146" s="39"/>
      <c r="J3146" s="47" t="str">
        <f>IF(tblMovimientos[[#This Row],[Tipo]]="","",IFERROR(INDEX(tblTiposMov[FactorStock],MATCH(tblMovimientos[[#This Row],[Tipo]],tblTiposMov[Tipo],0)),0))</f>
        <v/>
      </c>
      <c r="K31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6" s="37"/>
      <c r="O3146" s="37"/>
      <c r="P3146" s="37"/>
    </row>
    <row r="3147" spans="2:16" x14ac:dyDescent="0.25">
      <c r="B31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7" s="46"/>
      <c r="D3147" s="37"/>
      <c r="E3147" s="37"/>
      <c r="F3147" s="37"/>
      <c r="G3147" s="40" t="str">
        <f>IF(tblMovimientos[[#This Row],[Producto]]="","",TRIM(LEFT(tblMovimientos[[#This Row],[Producto]],FIND(" · ",tblMovimientos[[#This Row],[Producto]]&amp;" · ")-1)))</f>
        <v/>
      </c>
      <c r="H3147" s="40" t="str">
        <f>IF(tblMovimientos[[#This Row],[SKU]]="","",IFERROR(INDEX(tblProductos[Unidad],MATCH(tblMovimientos[[#This Row],[SKU]],tblProductos[SKU],0)),"?"))</f>
        <v/>
      </c>
      <c r="I3147" s="39"/>
      <c r="J3147" s="47" t="str">
        <f>IF(tblMovimientos[[#This Row],[Tipo]]="","",IFERROR(INDEX(tblTiposMov[FactorStock],MATCH(tblMovimientos[[#This Row],[Tipo]],tblTiposMov[Tipo],0)),0))</f>
        <v/>
      </c>
      <c r="K31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7" s="37"/>
      <c r="O3147" s="37"/>
      <c r="P3147" s="37"/>
    </row>
    <row r="3148" spans="2:16" x14ac:dyDescent="0.25">
      <c r="B31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8" s="46"/>
      <c r="D3148" s="37"/>
      <c r="E3148" s="37"/>
      <c r="F3148" s="37"/>
      <c r="G3148" s="40" t="str">
        <f>IF(tblMovimientos[[#This Row],[Producto]]="","",TRIM(LEFT(tblMovimientos[[#This Row],[Producto]],FIND(" · ",tblMovimientos[[#This Row],[Producto]]&amp;" · ")-1)))</f>
        <v/>
      </c>
      <c r="H3148" s="40" t="str">
        <f>IF(tblMovimientos[[#This Row],[SKU]]="","",IFERROR(INDEX(tblProductos[Unidad],MATCH(tblMovimientos[[#This Row],[SKU]],tblProductos[SKU],0)),"?"))</f>
        <v/>
      </c>
      <c r="I3148" s="39"/>
      <c r="J3148" s="47" t="str">
        <f>IF(tblMovimientos[[#This Row],[Tipo]]="","",IFERROR(INDEX(tblTiposMov[FactorStock],MATCH(tblMovimientos[[#This Row],[Tipo]],tblTiposMov[Tipo],0)),0))</f>
        <v/>
      </c>
      <c r="K31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8" s="37"/>
      <c r="O3148" s="37"/>
      <c r="P3148" s="37"/>
    </row>
    <row r="3149" spans="2:16" x14ac:dyDescent="0.25">
      <c r="B31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49" s="46"/>
      <c r="D3149" s="37"/>
      <c r="E3149" s="37"/>
      <c r="F3149" s="37"/>
      <c r="G3149" s="40" t="str">
        <f>IF(tblMovimientos[[#This Row],[Producto]]="","",TRIM(LEFT(tblMovimientos[[#This Row],[Producto]],FIND(" · ",tblMovimientos[[#This Row],[Producto]]&amp;" · ")-1)))</f>
        <v/>
      </c>
      <c r="H3149" s="40" t="str">
        <f>IF(tblMovimientos[[#This Row],[SKU]]="","",IFERROR(INDEX(tblProductos[Unidad],MATCH(tblMovimientos[[#This Row],[SKU]],tblProductos[SKU],0)),"?"))</f>
        <v/>
      </c>
      <c r="I3149" s="39"/>
      <c r="J3149" s="47" t="str">
        <f>IF(tblMovimientos[[#This Row],[Tipo]]="","",IFERROR(INDEX(tblTiposMov[FactorStock],MATCH(tblMovimientos[[#This Row],[Tipo]],tblTiposMov[Tipo],0)),0))</f>
        <v/>
      </c>
      <c r="K31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49" s="37"/>
      <c r="O3149" s="37"/>
      <c r="P3149" s="37"/>
    </row>
    <row r="3150" spans="2:16" x14ac:dyDescent="0.25">
      <c r="B31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0" s="46"/>
      <c r="D3150" s="37"/>
      <c r="E3150" s="37"/>
      <c r="F3150" s="37"/>
      <c r="G3150" s="40" t="str">
        <f>IF(tblMovimientos[[#This Row],[Producto]]="","",TRIM(LEFT(tblMovimientos[[#This Row],[Producto]],FIND(" · ",tblMovimientos[[#This Row],[Producto]]&amp;" · ")-1)))</f>
        <v/>
      </c>
      <c r="H3150" s="40" t="str">
        <f>IF(tblMovimientos[[#This Row],[SKU]]="","",IFERROR(INDEX(tblProductos[Unidad],MATCH(tblMovimientos[[#This Row],[SKU]],tblProductos[SKU],0)),"?"))</f>
        <v/>
      </c>
      <c r="I3150" s="39"/>
      <c r="J3150" s="47" t="str">
        <f>IF(tblMovimientos[[#This Row],[Tipo]]="","",IFERROR(INDEX(tblTiposMov[FactorStock],MATCH(tblMovimientos[[#This Row],[Tipo]],tblTiposMov[Tipo],0)),0))</f>
        <v/>
      </c>
      <c r="K31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0" s="37"/>
      <c r="O3150" s="37"/>
      <c r="P3150" s="37"/>
    </row>
    <row r="3151" spans="2:16" x14ac:dyDescent="0.25">
      <c r="B31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1" s="46"/>
      <c r="D3151" s="37"/>
      <c r="E3151" s="37"/>
      <c r="F3151" s="37"/>
      <c r="G3151" s="40" t="str">
        <f>IF(tblMovimientos[[#This Row],[Producto]]="","",TRIM(LEFT(tblMovimientos[[#This Row],[Producto]],FIND(" · ",tblMovimientos[[#This Row],[Producto]]&amp;" · ")-1)))</f>
        <v/>
      </c>
      <c r="H3151" s="40" t="str">
        <f>IF(tblMovimientos[[#This Row],[SKU]]="","",IFERROR(INDEX(tblProductos[Unidad],MATCH(tblMovimientos[[#This Row],[SKU]],tblProductos[SKU],0)),"?"))</f>
        <v/>
      </c>
      <c r="I3151" s="39"/>
      <c r="J3151" s="47" t="str">
        <f>IF(tblMovimientos[[#This Row],[Tipo]]="","",IFERROR(INDEX(tblTiposMov[FactorStock],MATCH(tblMovimientos[[#This Row],[Tipo]],tblTiposMov[Tipo],0)),0))</f>
        <v/>
      </c>
      <c r="K31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1" s="37"/>
      <c r="O3151" s="37"/>
      <c r="P3151" s="37"/>
    </row>
    <row r="3152" spans="2:16" x14ac:dyDescent="0.25">
      <c r="B31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2" s="46"/>
      <c r="D3152" s="37"/>
      <c r="E3152" s="37"/>
      <c r="F3152" s="37"/>
      <c r="G3152" s="40" t="str">
        <f>IF(tblMovimientos[[#This Row],[Producto]]="","",TRIM(LEFT(tblMovimientos[[#This Row],[Producto]],FIND(" · ",tblMovimientos[[#This Row],[Producto]]&amp;" · ")-1)))</f>
        <v/>
      </c>
      <c r="H3152" s="40" t="str">
        <f>IF(tblMovimientos[[#This Row],[SKU]]="","",IFERROR(INDEX(tblProductos[Unidad],MATCH(tblMovimientos[[#This Row],[SKU]],tblProductos[SKU],0)),"?"))</f>
        <v/>
      </c>
      <c r="I3152" s="39"/>
      <c r="J3152" s="47" t="str">
        <f>IF(tblMovimientos[[#This Row],[Tipo]]="","",IFERROR(INDEX(tblTiposMov[FactorStock],MATCH(tblMovimientos[[#This Row],[Tipo]],tblTiposMov[Tipo],0)),0))</f>
        <v/>
      </c>
      <c r="K31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2" s="37"/>
      <c r="O3152" s="37"/>
      <c r="P3152" s="37"/>
    </row>
    <row r="3153" spans="2:16" x14ac:dyDescent="0.25">
      <c r="B31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3" s="46"/>
      <c r="D3153" s="37"/>
      <c r="E3153" s="37"/>
      <c r="F3153" s="37"/>
      <c r="G3153" s="40" t="str">
        <f>IF(tblMovimientos[[#This Row],[Producto]]="","",TRIM(LEFT(tblMovimientos[[#This Row],[Producto]],FIND(" · ",tblMovimientos[[#This Row],[Producto]]&amp;" · ")-1)))</f>
        <v/>
      </c>
      <c r="H3153" s="40" t="str">
        <f>IF(tblMovimientos[[#This Row],[SKU]]="","",IFERROR(INDEX(tblProductos[Unidad],MATCH(tblMovimientos[[#This Row],[SKU]],tblProductos[SKU],0)),"?"))</f>
        <v/>
      </c>
      <c r="I3153" s="39"/>
      <c r="J3153" s="47" t="str">
        <f>IF(tblMovimientos[[#This Row],[Tipo]]="","",IFERROR(INDEX(tblTiposMov[FactorStock],MATCH(tblMovimientos[[#This Row],[Tipo]],tblTiposMov[Tipo],0)),0))</f>
        <v/>
      </c>
      <c r="K31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3" s="37"/>
      <c r="O3153" s="37"/>
      <c r="P3153" s="37"/>
    </row>
    <row r="3154" spans="2:16" x14ac:dyDescent="0.25">
      <c r="B31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4" s="46"/>
      <c r="D3154" s="37"/>
      <c r="E3154" s="37"/>
      <c r="F3154" s="37"/>
      <c r="G3154" s="40" t="str">
        <f>IF(tblMovimientos[[#This Row],[Producto]]="","",TRIM(LEFT(tblMovimientos[[#This Row],[Producto]],FIND(" · ",tblMovimientos[[#This Row],[Producto]]&amp;" · ")-1)))</f>
        <v/>
      </c>
      <c r="H3154" s="40" t="str">
        <f>IF(tblMovimientos[[#This Row],[SKU]]="","",IFERROR(INDEX(tblProductos[Unidad],MATCH(tblMovimientos[[#This Row],[SKU]],tblProductos[SKU],0)),"?"))</f>
        <v/>
      </c>
      <c r="I3154" s="39"/>
      <c r="J3154" s="47" t="str">
        <f>IF(tblMovimientos[[#This Row],[Tipo]]="","",IFERROR(INDEX(tblTiposMov[FactorStock],MATCH(tblMovimientos[[#This Row],[Tipo]],tblTiposMov[Tipo],0)),0))</f>
        <v/>
      </c>
      <c r="K31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4" s="37"/>
      <c r="O3154" s="37"/>
      <c r="P3154" s="37"/>
    </row>
    <row r="3155" spans="2:16" x14ac:dyDescent="0.25">
      <c r="B31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5" s="46"/>
      <c r="D3155" s="37"/>
      <c r="E3155" s="37"/>
      <c r="F3155" s="37"/>
      <c r="G3155" s="40" t="str">
        <f>IF(tblMovimientos[[#This Row],[Producto]]="","",TRIM(LEFT(tblMovimientos[[#This Row],[Producto]],FIND(" · ",tblMovimientos[[#This Row],[Producto]]&amp;" · ")-1)))</f>
        <v/>
      </c>
      <c r="H3155" s="40" t="str">
        <f>IF(tblMovimientos[[#This Row],[SKU]]="","",IFERROR(INDEX(tblProductos[Unidad],MATCH(tblMovimientos[[#This Row],[SKU]],tblProductos[SKU],0)),"?"))</f>
        <v/>
      </c>
      <c r="I3155" s="39"/>
      <c r="J3155" s="47" t="str">
        <f>IF(tblMovimientos[[#This Row],[Tipo]]="","",IFERROR(INDEX(tblTiposMov[FactorStock],MATCH(tblMovimientos[[#This Row],[Tipo]],tblTiposMov[Tipo],0)),0))</f>
        <v/>
      </c>
      <c r="K31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5" s="37"/>
      <c r="O3155" s="37"/>
      <c r="P3155" s="37"/>
    </row>
    <row r="3156" spans="2:16" x14ac:dyDescent="0.25">
      <c r="B31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6" s="46"/>
      <c r="D3156" s="37"/>
      <c r="E3156" s="37"/>
      <c r="F3156" s="37"/>
      <c r="G3156" s="40" t="str">
        <f>IF(tblMovimientos[[#This Row],[Producto]]="","",TRIM(LEFT(tblMovimientos[[#This Row],[Producto]],FIND(" · ",tblMovimientos[[#This Row],[Producto]]&amp;" · ")-1)))</f>
        <v/>
      </c>
      <c r="H3156" s="40" t="str">
        <f>IF(tblMovimientos[[#This Row],[SKU]]="","",IFERROR(INDEX(tblProductos[Unidad],MATCH(tblMovimientos[[#This Row],[SKU]],tblProductos[SKU],0)),"?"))</f>
        <v/>
      </c>
      <c r="I3156" s="39"/>
      <c r="J3156" s="47" t="str">
        <f>IF(tblMovimientos[[#This Row],[Tipo]]="","",IFERROR(INDEX(tblTiposMov[FactorStock],MATCH(tblMovimientos[[#This Row],[Tipo]],tblTiposMov[Tipo],0)),0))</f>
        <v/>
      </c>
      <c r="K31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6" s="37"/>
      <c r="O3156" s="37"/>
      <c r="P3156" s="37"/>
    </row>
    <row r="3157" spans="2:16" x14ac:dyDescent="0.25">
      <c r="B31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7" s="46"/>
      <c r="D3157" s="37"/>
      <c r="E3157" s="37"/>
      <c r="F3157" s="37"/>
      <c r="G3157" s="40" t="str">
        <f>IF(tblMovimientos[[#This Row],[Producto]]="","",TRIM(LEFT(tblMovimientos[[#This Row],[Producto]],FIND(" · ",tblMovimientos[[#This Row],[Producto]]&amp;" · ")-1)))</f>
        <v/>
      </c>
      <c r="H3157" s="40" t="str">
        <f>IF(tblMovimientos[[#This Row],[SKU]]="","",IFERROR(INDEX(tblProductos[Unidad],MATCH(tblMovimientos[[#This Row],[SKU]],tblProductos[SKU],0)),"?"))</f>
        <v/>
      </c>
      <c r="I3157" s="39"/>
      <c r="J3157" s="47" t="str">
        <f>IF(tblMovimientos[[#This Row],[Tipo]]="","",IFERROR(INDEX(tblTiposMov[FactorStock],MATCH(tblMovimientos[[#This Row],[Tipo]],tblTiposMov[Tipo],0)),0))</f>
        <v/>
      </c>
      <c r="K31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7" s="37"/>
      <c r="O3157" s="37"/>
      <c r="P3157" s="37"/>
    </row>
    <row r="3158" spans="2:16" x14ac:dyDescent="0.25">
      <c r="B31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8" s="46"/>
      <c r="D3158" s="37"/>
      <c r="E3158" s="37"/>
      <c r="F3158" s="37"/>
      <c r="G3158" s="40" t="str">
        <f>IF(tblMovimientos[[#This Row],[Producto]]="","",TRIM(LEFT(tblMovimientos[[#This Row],[Producto]],FIND(" · ",tblMovimientos[[#This Row],[Producto]]&amp;" · ")-1)))</f>
        <v/>
      </c>
      <c r="H3158" s="40" t="str">
        <f>IF(tblMovimientos[[#This Row],[SKU]]="","",IFERROR(INDEX(tblProductos[Unidad],MATCH(tblMovimientos[[#This Row],[SKU]],tblProductos[SKU],0)),"?"))</f>
        <v/>
      </c>
      <c r="I3158" s="39"/>
      <c r="J3158" s="47" t="str">
        <f>IF(tblMovimientos[[#This Row],[Tipo]]="","",IFERROR(INDEX(tblTiposMov[FactorStock],MATCH(tblMovimientos[[#This Row],[Tipo]],tblTiposMov[Tipo],0)),0))</f>
        <v/>
      </c>
      <c r="K31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8" s="37"/>
      <c r="O3158" s="37"/>
      <c r="P3158" s="37"/>
    </row>
    <row r="3159" spans="2:16" x14ac:dyDescent="0.25">
      <c r="B31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59" s="46"/>
      <c r="D3159" s="37"/>
      <c r="E3159" s="37"/>
      <c r="F3159" s="37"/>
      <c r="G3159" s="40" t="str">
        <f>IF(tblMovimientos[[#This Row],[Producto]]="","",TRIM(LEFT(tblMovimientos[[#This Row],[Producto]],FIND(" · ",tblMovimientos[[#This Row],[Producto]]&amp;" · ")-1)))</f>
        <v/>
      </c>
      <c r="H3159" s="40" t="str">
        <f>IF(tblMovimientos[[#This Row],[SKU]]="","",IFERROR(INDEX(tblProductos[Unidad],MATCH(tblMovimientos[[#This Row],[SKU]],tblProductos[SKU],0)),"?"))</f>
        <v/>
      </c>
      <c r="I3159" s="39"/>
      <c r="J3159" s="47" t="str">
        <f>IF(tblMovimientos[[#This Row],[Tipo]]="","",IFERROR(INDEX(tblTiposMov[FactorStock],MATCH(tblMovimientos[[#This Row],[Tipo]],tblTiposMov[Tipo],0)),0))</f>
        <v/>
      </c>
      <c r="K31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59" s="37"/>
      <c r="O3159" s="37"/>
      <c r="P3159" s="37"/>
    </row>
    <row r="3160" spans="2:16" x14ac:dyDescent="0.25">
      <c r="B31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0" s="46"/>
      <c r="D3160" s="37"/>
      <c r="E3160" s="37"/>
      <c r="F3160" s="37"/>
      <c r="G3160" s="40" t="str">
        <f>IF(tblMovimientos[[#This Row],[Producto]]="","",TRIM(LEFT(tblMovimientos[[#This Row],[Producto]],FIND(" · ",tblMovimientos[[#This Row],[Producto]]&amp;" · ")-1)))</f>
        <v/>
      </c>
      <c r="H3160" s="40" t="str">
        <f>IF(tblMovimientos[[#This Row],[SKU]]="","",IFERROR(INDEX(tblProductos[Unidad],MATCH(tblMovimientos[[#This Row],[SKU]],tblProductos[SKU],0)),"?"))</f>
        <v/>
      </c>
      <c r="I3160" s="39"/>
      <c r="J3160" s="47" t="str">
        <f>IF(tblMovimientos[[#This Row],[Tipo]]="","",IFERROR(INDEX(tblTiposMov[FactorStock],MATCH(tblMovimientos[[#This Row],[Tipo]],tblTiposMov[Tipo],0)),0))</f>
        <v/>
      </c>
      <c r="K31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0" s="37"/>
      <c r="O3160" s="37"/>
      <c r="P3160" s="37"/>
    </row>
    <row r="3161" spans="2:16" x14ac:dyDescent="0.25">
      <c r="B31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1" s="46"/>
      <c r="D3161" s="37"/>
      <c r="E3161" s="37"/>
      <c r="F3161" s="37"/>
      <c r="G3161" s="40" t="str">
        <f>IF(tblMovimientos[[#This Row],[Producto]]="","",TRIM(LEFT(tblMovimientos[[#This Row],[Producto]],FIND(" · ",tblMovimientos[[#This Row],[Producto]]&amp;" · ")-1)))</f>
        <v/>
      </c>
      <c r="H3161" s="40" t="str">
        <f>IF(tblMovimientos[[#This Row],[SKU]]="","",IFERROR(INDEX(tblProductos[Unidad],MATCH(tblMovimientos[[#This Row],[SKU]],tblProductos[SKU],0)),"?"))</f>
        <v/>
      </c>
      <c r="I3161" s="39"/>
      <c r="J3161" s="47" t="str">
        <f>IF(tblMovimientos[[#This Row],[Tipo]]="","",IFERROR(INDEX(tblTiposMov[FactorStock],MATCH(tblMovimientos[[#This Row],[Tipo]],tblTiposMov[Tipo],0)),0))</f>
        <v/>
      </c>
      <c r="K31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1" s="37"/>
      <c r="O3161" s="37"/>
      <c r="P3161" s="37"/>
    </row>
    <row r="3162" spans="2:16" x14ac:dyDescent="0.25">
      <c r="B31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2" s="46"/>
      <c r="D3162" s="37"/>
      <c r="E3162" s="37"/>
      <c r="F3162" s="37"/>
      <c r="G3162" s="40" t="str">
        <f>IF(tblMovimientos[[#This Row],[Producto]]="","",TRIM(LEFT(tblMovimientos[[#This Row],[Producto]],FIND(" · ",tblMovimientos[[#This Row],[Producto]]&amp;" · ")-1)))</f>
        <v/>
      </c>
      <c r="H3162" s="40" t="str">
        <f>IF(tblMovimientos[[#This Row],[SKU]]="","",IFERROR(INDEX(tblProductos[Unidad],MATCH(tblMovimientos[[#This Row],[SKU]],tblProductos[SKU],0)),"?"))</f>
        <v/>
      </c>
      <c r="I3162" s="39"/>
      <c r="J3162" s="47" t="str">
        <f>IF(tblMovimientos[[#This Row],[Tipo]]="","",IFERROR(INDEX(tblTiposMov[FactorStock],MATCH(tblMovimientos[[#This Row],[Tipo]],tblTiposMov[Tipo],0)),0))</f>
        <v/>
      </c>
      <c r="K31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2" s="37"/>
      <c r="O3162" s="37"/>
      <c r="P3162" s="37"/>
    </row>
    <row r="3163" spans="2:16" x14ac:dyDescent="0.25">
      <c r="B31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3" s="46"/>
      <c r="D3163" s="37"/>
      <c r="E3163" s="37"/>
      <c r="F3163" s="37"/>
      <c r="G3163" s="40" t="str">
        <f>IF(tblMovimientos[[#This Row],[Producto]]="","",TRIM(LEFT(tblMovimientos[[#This Row],[Producto]],FIND(" · ",tblMovimientos[[#This Row],[Producto]]&amp;" · ")-1)))</f>
        <v/>
      </c>
      <c r="H3163" s="40" t="str">
        <f>IF(tblMovimientos[[#This Row],[SKU]]="","",IFERROR(INDEX(tblProductos[Unidad],MATCH(tblMovimientos[[#This Row],[SKU]],tblProductos[SKU],0)),"?"))</f>
        <v/>
      </c>
      <c r="I3163" s="39"/>
      <c r="J3163" s="47" t="str">
        <f>IF(tblMovimientos[[#This Row],[Tipo]]="","",IFERROR(INDEX(tblTiposMov[FactorStock],MATCH(tblMovimientos[[#This Row],[Tipo]],tblTiposMov[Tipo],0)),0))</f>
        <v/>
      </c>
      <c r="K31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3" s="37"/>
      <c r="O3163" s="37"/>
      <c r="P3163" s="37"/>
    </row>
    <row r="3164" spans="2:16" x14ac:dyDescent="0.25">
      <c r="B31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4" s="46"/>
      <c r="D3164" s="37"/>
      <c r="E3164" s="37"/>
      <c r="F3164" s="37"/>
      <c r="G3164" s="40" t="str">
        <f>IF(tblMovimientos[[#This Row],[Producto]]="","",TRIM(LEFT(tblMovimientos[[#This Row],[Producto]],FIND(" · ",tblMovimientos[[#This Row],[Producto]]&amp;" · ")-1)))</f>
        <v/>
      </c>
      <c r="H3164" s="40" t="str">
        <f>IF(tblMovimientos[[#This Row],[SKU]]="","",IFERROR(INDEX(tblProductos[Unidad],MATCH(tblMovimientos[[#This Row],[SKU]],tblProductos[SKU],0)),"?"))</f>
        <v/>
      </c>
      <c r="I3164" s="39"/>
      <c r="J3164" s="47" t="str">
        <f>IF(tblMovimientos[[#This Row],[Tipo]]="","",IFERROR(INDEX(tblTiposMov[FactorStock],MATCH(tblMovimientos[[#This Row],[Tipo]],tblTiposMov[Tipo],0)),0))</f>
        <v/>
      </c>
      <c r="K31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4" s="37"/>
      <c r="O3164" s="37"/>
      <c r="P3164" s="37"/>
    </row>
    <row r="3165" spans="2:16" x14ac:dyDescent="0.25">
      <c r="B31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5" s="46"/>
      <c r="D3165" s="37"/>
      <c r="E3165" s="37"/>
      <c r="F3165" s="37"/>
      <c r="G3165" s="40" t="str">
        <f>IF(tblMovimientos[[#This Row],[Producto]]="","",TRIM(LEFT(tblMovimientos[[#This Row],[Producto]],FIND(" · ",tblMovimientos[[#This Row],[Producto]]&amp;" · ")-1)))</f>
        <v/>
      </c>
      <c r="H3165" s="40" t="str">
        <f>IF(tblMovimientos[[#This Row],[SKU]]="","",IFERROR(INDEX(tblProductos[Unidad],MATCH(tblMovimientos[[#This Row],[SKU]],tblProductos[SKU],0)),"?"))</f>
        <v/>
      </c>
      <c r="I3165" s="39"/>
      <c r="J3165" s="47" t="str">
        <f>IF(tblMovimientos[[#This Row],[Tipo]]="","",IFERROR(INDEX(tblTiposMov[FactorStock],MATCH(tblMovimientos[[#This Row],[Tipo]],tblTiposMov[Tipo],0)),0))</f>
        <v/>
      </c>
      <c r="K31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5" s="37"/>
      <c r="O3165" s="37"/>
      <c r="P3165" s="37"/>
    </row>
    <row r="3166" spans="2:16" x14ac:dyDescent="0.25">
      <c r="B31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6" s="46"/>
      <c r="D3166" s="37"/>
      <c r="E3166" s="37"/>
      <c r="F3166" s="37"/>
      <c r="G3166" s="40" t="str">
        <f>IF(tblMovimientos[[#This Row],[Producto]]="","",TRIM(LEFT(tblMovimientos[[#This Row],[Producto]],FIND(" · ",tblMovimientos[[#This Row],[Producto]]&amp;" · ")-1)))</f>
        <v/>
      </c>
      <c r="H3166" s="40" t="str">
        <f>IF(tblMovimientos[[#This Row],[SKU]]="","",IFERROR(INDEX(tblProductos[Unidad],MATCH(tblMovimientos[[#This Row],[SKU]],tblProductos[SKU],0)),"?"))</f>
        <v/>
      </c>
      <c r="I3166" s="39"/>
      <c r="J3166" s="47" t="str">
        <f>IF(tblMovimientos[[#This Row],[Tipo]]="","",IFERROR(INDEX(tblTiposMov[FactorStock],MATCH(tblMovimientos[[#This Row],[Tipo]],tblTiposMov[Tipo],0)),0))</f>
        <v/>
      </c>
      <c r="K31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6" s="37"/>
      <c r="O3166" s="37"/>
      <c r="P3166" s="37"/>
    </row>
    <row r="3167" spans="2:16" x14ac:dyDescent="0.25">
      <c r="B31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7" s="46"/>
      <c r="D3167" s="37"/>
      <c r="E3167" s="37"/>
      <c r="F3167" s="37"/>
      <c r="G3167" s="40" t="str">
        <f>IF(tblMovimientos[[#This Row],[Producto]]="","",TRIM(LEFT(tblMovimientos[[#This Row],[Producto]],FIND(" · ",tblMovimientos[[#This Row],[Producto]]&amp;" · ")-1)))</f>
        <v/>
      </c>
      <c r="H3167" s="40" t="str">
        <f>IF(tblMovimientos[[#This Row],[SKU]]="","",IFERROR(INDEX(tblProductos[Unidad],MATCH(tblMovimientos[[#This Row],[SKU]],tblProductos[SKU],0)),"?"))</f>
        <v/>
      </c>
      <c r="I3167" s="39"/>
      <c r="J3167" s="47" t="str">
        <f>IF(tblMovimientos[[#This Row],[Tipo]]="","",IFERROR(INDEX(tblTiposMov[FactorStock],MATCH(tblMovimientos[[#This Row],[Tipo]],tblTiposMov[Tipo],0)),0))</f>
        <v/>
      </c>
      <c r="K31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7" s="37"/>
      <c r="O3167" s="37"/>
      <c r="P3167" s="37"/>
    </row>
    <row r="3168" spans="2:16" x14ac:dyDescent="0.25">
      <c r="B31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8" s="46"/>
      <c r="D3168" s="37"/>
      <c r="E3168" s="37"/>
      <c r="F3168" s="37"/>
      <c r="G3168" s="40" t="str">
        <f>IF(tblMovimientos[[#This Row],[Producto]]="","",TRIM(LEFT(tblMovimientos[[#This Row],[Producto]],FIND(" · ",tblMovimientos[[#This Row],[Producto]]&amp;" · ")-1)))</f>
        <v/>
      </c>
      <c r="H3168" s="40" t="str">
        <f>IF(tblMovimientos[[#This Row],[SKU]]="","",IFERROR(INDEX(tblProductos[Unidad],MATCH(tblMovimientos[[#This Row],[SKU]],tblProductos[SKU],0)),"?"))</f>
        <v/>
      </c>
      <c r="I3168" s="39"/>
      <c r="J3168" s="47" t="str">
        <f>IF(tblMovimientos[[#This Row],[Tipo]]="","",IFERROR(INDEX(tblTiposMov[FactorStock],MATCH(tblMovimientos[[#This Row],[Tipo]],tblTiposMov[Tipo],0)),0))</f>
        <v/>
      </c>
      <c r="K31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8" s="37"/>
      <c r="O3168" s="37"/>
      <c r="P3168" s="37"/>
    </row>
    <row r="3169" spans="2:16" x14ac:dyDescent="0.25">
      <c r="B31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69" s="46"/>
      <c r="D3169" s="37"/>
      <c r="E3169" s="37"/>
      <c r="F3169" s="37"/>
      <c r="G3169" s="40" t="str">
        <f>IF(tblMovimientos[[#This Row],[Producto]]="","",TRIM(LEFT(tblMovimientos[[#This Row],[Producto]],FIND(" · ",tblMovimientos[[#This Row],[Producto]]&amp;" · ")-1)))</f>
        <v/>
      </c>
      <c r="H3169" s="40" t="str">
        <f>IF(tblMovimientos[[#This Row],[SKU]]="","",IFERROR(INDEX(tblProductos[Unidad],MATCH(tblMovimientos[[#This Row],[SKU]],tblProductos[SKU],0)),"?"))</f>
        <v/>
      </c>
      <c r="I3169" s="39"/>
      <c r="J3169" s="47" t="str">
        <f>IF(tblMovimientos[[#This Row],[Tipo]]="","",IFERROR(INDEX(tblTiposMov[FactorStock],MATCH(tblMovimientos[[#This Row],[Tipo]],tblTiposMov[Tipo],0)),0))</f>
        <v/>
      </c>
      <c r="K31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69" s="37"/>
      <c r="O3169" s="37"/>
      <c r="P3169" s="37"/>
    </row>
    <row r="3170" spans="2:16" x14ac:dyDescent="0.25">
      <c r="B31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0" s="46"/>
      <c r="D3170" s="37"/>
      <c r="E3170" s="37"/>
      <c r="F3170" s="37"/>
      <c r="G3170" s="40" t="str">
        <f>IF(tblMovimientos[[#This Row],[Producto]]="","",TRIM(LEFT(tblMovimientos[[#This Row],[Producto]],FIND(" · ",tblMovimientos[[#This Row],[Producto]]&amp;" · ")-1)))</f>
        <v/>
      </c>
      <c r="H3170" s="40" t="str">
        <f>IF(tblMovimientos[[#This Row],[SKU]]="","",IFERROR(INDEX(tblProductos[Unidad],MATCH(tblMovimientos[[#This Row],[SKU]],tblProductos[SKU],0)),"?"))</f>
        <v/>
      </c>
      <c r="I3170" s="39"/>
      <c r="J3170" s="47" t="str">
        <f>IF(tblMovimientos[[#This Row],[Tipo]]="","",IFERROR(INDEX(tblTiposMov[FactorStock],MATCH(tblMovimientos[[#This Row],[Tipo]],tblTiposMov[Tipo],0)),0))</f>
        <v/>
      </c>
      <c r="K31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0" s="37"/>
      <c r="O3170" s="37"/>
      <c r="P3170" s="37"/>
    </row>
    <row r="3171" spans="2:16" x14ac:dyDescent="0.25">
      <c r="B31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1" s="46"/>
      <c r="D3171" s="37"/>
      <c r="E3171" s="37"/>
      <c r="F3171" s="37"/>
      <c r="G3171" s="40" t="str">
        <f>IF(tblMovimientos[[#This Row],[Producto]]="","",TRIM(LEFT(tblMovimientos[[#This Row],[Producto]],FIND(" · ",tblMovimientos[[#This Row],[Producto]]&amp;" · ")-1)))</f>
        <v/>
      </c>
      <c r="H3171" s="40" t="str">
        <f>IF(tblMovimientos[[#This Row],[SKU]]="","",IFERROR(INDEX(tblProductos[Unidad],MATCH(tblMovimientos[[#This Row],[SKU]],tblProductos[SKU],0)),"?"))</f>
        <v/>
      </c>
      <c r="I3171" s="39"/>
      <c r="J3171" s="47" t="str">
        <f>IF(tblMovimientos[[#This Row],[Tipo]]="","",IFERROR(INDEX(tblTiposMov[FactorStock],MATCH(tblMovimientos[[#This Row],[Tipo]],tblTiposMov[Tipo],0)),0))</f>
        <v/>
      </c>
      <c r="K31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1" s="37"/>
      <c r="O3171" s="37"/>
      <c r="P3171" s="37"/>
    </row>
    <row r="3172" spans="2:16" x14ac:dyDescent="0.25">
      <c r="B31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2" s="46"/>
      <c r="D3172" s="37"/>
      <c r="E3172" s="37"/>
      <c r="F3172" s="37"/>
      <c r="G3172" s="40" t="str">
        <f>IF(tblMovimientos[[#This Row],[Producto]]="","",TRIM(LEFT(tblMovimientos[[#This Row],[Producto]],FIND(" · ",tblMovimientos[[#This Row],[Producto]]&amp;" · ")-1)))</f>
        <v/>
      </c>
      <c r="H3172" s="40" t="str">
        <f>IF(tblMovimientos[[#This Row],[SKU]]="","",IFERROR(INDEX(tblProductos[Unidad],MATCH(tblMovimientos[[#This Row],[SKU]],tblProductos[SKU],0)),"?"))</f>
        <v/>
      </c>
      <c r="I3172" s="39"/>
      <c r="J3172" s="47" t="str">
        <f>IF(tblMovimientos[[#This Row],[Tipo]]="","",IFERROR(INDEX(tblTiposMov[FactorStock],MATCH(tblMovimientos[[#This Row],[Tipo]],tblTiposMov[Tipo],0)),0))</f>
        <v/>
      </c>
      <c r="K31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2" s="37"/>
      <c r="O3172" s="37"/>
      <c r="P3172" s="37"/>
    </row>
    <row r="3173" spans="2:16" x14ac:dyDescent="0.25">
      <c r="B31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3" s="46"/>
      <c r="D3173" s="37"/>
      <c r="E3173" s="37"/>
      <c r="F3173" s="37"/>
      <c r="G3173" s="40" t="str">
        <f>IF(tblMovimientos[[#This Row],[Producto]]="","",TRIM(LEFT(tblMovimientos[[#This Row],[Producto]],FIND(" · ",tblMovimientos[[#This Row],[Producto]]&amp;" · ")-1)))</f>
        <v/>
      </c>
      <c r="H3173" s="40" t="str">
        <f>IF(tblMovimientos[[#This Row],[SKU]]="","",IFERROR(INDEX(tblProductos[Unidad],MATCH(tblMovimientos[[#This Row],[SKU]],tblProductos[SKU],0)),"?"))</f>
        <v/>
      </c>
      <c r="I3173" s="39"/>
      <c r="J3173" s="47" t="str">
        <f>IF(tblMovimientos[[#This Row],[Tipo]]="","",IFERROR(INDEX(tblTiposMov[FactorStock],MATCH(tblMovimientos[[#This Row],[Tipo]],tblTiposMov[Tipo],0)),0))</f>
        <v/>
      </c>
      <c r="K31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3" s="37"/>
      <c r="O3173" s="37"/>
      <c r="P3173" s="37"/>
    </row>
    <row r="3174" spans="2:16" x14ac:dyDescent="0.25">
      <c r="B31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4" s="46"/>
      <c r="D3174" s="37"/>
      <c r="E3174" s="37"/>
      <c r="F3174" s="37"/>
      <c r="G3174" s="40" t="str">
        <f>IF(tblMovimientos[[#This Row],[Producto]]="","",TRIM(LEFT(tblMovimientos[[#This Row],[Producto]],FIND(" · ",tblMovimientos[[#This Row],[Producto]]&amp;" · ")-1)))</f>
        <v/>
      </c>
      <c r="H3174" s="40" t="str">
        <f>IF(tblMovimientos[[#This Row],[SKU]]="","",IFERROR(INDEX(tblProductos[Unidad],MATCH(tblMovimientos[[#This Row],[SKU]],tblProductos[SKU],0)),"?"))</f>
        <v/>
      </c>
      <c r="I3174" s="39"/>
      <c r="J3174" s="47" t="str">
        <f>IF(tblMovimientos[[#This Row],[Tipo]]="","",IFERROR(INDEX(tblTiposMov[FactorStock],MATCH(tblMovimientos[[#This Row],[Tipo]],tblTiposMov[Tipo],0)),0))</f>
        <v/>
      </c>
      <c r="K31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4" s="37"/>
      <c r="O3174" s="37"/>
      <c r="P3174" s="37"/>
    </row>
    <row r="3175" spans="2:16" x14ac:dyDescent="0.25">
      <c r="B31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5" s="46"/>
      <c r="D3175" s="37"/>
      <c r="E3175" s="37"/>
      <c r="F3175" s="37"/>
      <c r="G3175" s="40" t="str">
        <f>IF(tblMovimientos[[#This Row],[Producto]]="","",TRIM(LEFT(tblMovimientos[[#This Row],[Producto]],FIND(" · ",tblMovimientos[[#This Row],[Producto]]&amp;" · ")-1)))</f>
        <v/>
      </c>
      <c r="H3175" s="40" t="str">
        <f>IF(tblMovimientos[[#This Row],[SKU]]="","",IFERROR(INDEX(tblProductos[Unidad],MATCH(tblMovimientos[[#This Row],[SKU]],tblProductos[SKU],0)),"?"))</f>
        <v/>
      </c>
      <c r="I3175" s="39"/>
      <c r="J3175" s="47" t="str">
        <f>IF(tblMovimientos[[#This Row],[Tipo]]="","",IFERROR(INDEX(tblTiposMov[FactorStock],MATCH(tblMovimientos[[#This Row],[Tipo]],tblTiposMov[Tipo],0)),0))</f>
        <v/>
      </c>
      <c r="K31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5" s="37"/>
      <c r="O3175" s="37"/>
      <c r="P3175" s="37"/>
    </row>
    <row r="3176" spans="2:16" x14ac:dyDescent="0.25">
      <c r="B31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6" s="46"/>
      <c r="D3176" s="37"/>
      <c r="E3176" s="37"/>
      <c r="F3176" s="37"/>
      <c r="G3176" s="40" t="str">
        <f>IF(tblMovimientos[[#This Row],[Producto]]="","",TRIM(LEFT(tblMovimientos[[#This Row],[Producto]],FIND(" · ",tblMovimientos[[#This Row],[Producto]]&amp;" · ")-1)))</f>
        <v/>
      </c>
      <c r="H3176" s="40" t="str">
        <f>IF(tblMovimientos[[#This Row],[SKU]]="","",IFERROR(INDEX(tblProductos[Unidad],MATCH(tblMovimientos[[#This Row],[SKU]],tblProductos[SKU],0)),"?"))</f>
        <v/>
      </c>
      <c r="I3176" s="39"/>
      <c r="J3176" s="47" t="str">
        <f>IF(tblMovimientos[[#This Row],[Tipo]]="","",IFERROR(INDEX(tblTiposMov[FactorStock],MATCH(tblMovimientos[[#This Row],[Tipo]],tblTiposMov[Tipo],0)),0))</f>
        <v/>
      </c>
      <c r="K31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6" s="37"/>
      <c r="O3176" s="37"/>
      <c r="P3176" s="37"/>
    </row>
    <row r="3177" spans="2:16" x14ac:dyDescent="0.25">
      <c r="B31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7" s="46"/>
      <c r="D3177" s="37"/>
      <c r="E3177" s="37"/>
      <c r="F3177" s="37"/>
      <c r="G3177" s="40" t="str">
        <f>IF(tblMovimientos[[#This Row],[Producto]]="","",TRIM(LEFT(tblMovimientos[[#This Row],[Producto]],FIND(" · ",tblMovimientos[[#This Row],[Producto]]&amp;" · ")-1)))</f>
        <v/>
      </c>
      <c r="H3177" s="40" t="str">
        <f>IF(tblMovimientos[[#This Row],[SKU]]="","",IFERROR(INDEX(tblProductos[Unidad],MATCH(tblMovimientos[[#This Row],[SKU]],tblProductos[SKU],0)),"?"))</f>
        <v/>
      </c>
      <c r="I3177" s="39"/>
      <c r="J3177" s="47" t="str">
        <f>IF(tblMovimientos[[#This Row],[Tipo]]="","",IFERROR(INDEX(tblTiposMov[FactorStock],MATCH(tblMovimientos[[#This Row],[Tipo]],tblTiposMov[Tipo],0)),0))</f>
        <v/>
      </c>
      <c r="K31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7" s="37"/>
      <c r="O3177" s="37"/>
      <c r="P3177" s="37"/>
    </row>
    <row r="3178" spans="2:16" x14ac:dyDescent="0.25">
      <c r="B31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8" s="46"/>
      <c r="D3178" s="37"/>
      <c r="E3178" s="37"/>
      <c r="F3178" s="37"/>
      <c r="G3178" s="40" t="str">
        <f>IF(tblMovimientos[[#This Row],[Producto]]="","",TRIM(LEFT(tblMovimientos[[#This Row],[Producto]],FIND(" · ",tblMovimientos[[#This Row],[Producto]]&amp;" · ")-1)))</f>
        <v/>
      </c>
      <c r="H3178" s="40" t="str">
        <f>IF(tblMovimientos[[#This Row],[SKU]]="","",IFERROR(INDEX(tblProductos[Unidad],MATCH(tblMovimientos[[#This Row],[SKU]],tblProductos[SKU],0)),"?"))</f>
        <v/>
      </c>
      <c r="I3178" s="39"/>
      <c r="J3178" s="47" t="str">
        <f>IF(tblMovimientos[[#This Row],[Tipo]]="","",IFERROR(INDEX(tblTiposMov[FactorStock],MATCH(tblMovimientos[[#This Row],[Tipo]],tblTiposMov[Tipo],0)),0))</f>
        <v/>
      </c>
      <c r="K31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8" s="37"/>
      <c r="O3178" s="37"/>
      <c r="P3178" s="37"/>
    </row>
    <row r="3179" spans="2:16" x14ac:dyDescent="0.25">
      <c r="B31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79" s="46"/>
      <c r="D3179" s="37"/>
      <c r="E3179" s="37"/>
      <c r="F3179" s="37"/>
      <c r="G3179" s="40" t="str">
        <f>IF(tblMovimientos[[#This Row],[Producto]]="","",TRIM(LEFT(tblMovimientos[[#This Row],[Producto]],FIND(" · ",tblMovimientos[[#This Row],[Producto]]&amp;" · ")-1)))</f>
        <v/>
      </c>
      <c r="H3179" s="40" t="str">
        <f>IF(tblMovimientos[[#This Row],[SKU]]="","",IFERROR(INDEX(tblProductos[Unidad],MATCH(tblMovimientos[[#This Row],[SKU]],tblProductos[SKU],0)),"?"))</f>
        <v/>
      </c>
      <c r="I3179" s="39"/>
      <c r="J3179" s="47" t="str">
        <f>IF(tblMovimientos[[#This Row],[Tipo]]="","",IFERROR(INDEX(tblTiposMov[FactorStock],MATCH(tblMovimientos[[#This Row],[Tipo]],tblTiposMov[Tipo],0)),0))</f>
        <v/>
      </c>
      <c r="K31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79" s="37"/>
      <c r="O3179" s="37"/>
      <c r="P3179" s="37"/>
    </row>
    <row r="3180" spans="2:16" x14ac:dyDescent="0.25">
      <c r="B31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0" s="46"/>
      <c r="D3180" s="37"/>
      <c r="E3180" s="37"/>
      <c r="F3180" s="37"/>
      <c r="G3180" s="40" t="str">
        <f>IF(tblMovimientos[[#This Row],[Producto]]="","",TRIM(LEFT(tblMovimientos[[#This Row],[Producto]],FIND(" · ",tblMovimientos[[#This Row],[Producto]]&amp;" · ")-1)))</f>
        <v/>
      </c>
      <c r="H3180" s="40" t="str">
        <f>IF(tblMovimientos[[#This Row],[SKU]]="","",IFERROR(INDEX(tblProductos[Unidad],MATCH(tblMovimientos[[#This Row],[SKU]],tblProductos[SKU],0)),"?"))</f>
        <v/>
      </c>
      <c r="I3180" s="39"/>
      <c r="J3180" s="47" t="str">
        <f>IF(tblMovimientos[[#This Row],[Tipo]]="","",IFERROR(INDEX(tblTiposMov[FactorStock],MATCH(tblMovimientos[[#This Row],[Tipo]],tblTiposMov[Tipo],0)),0))</f>
        <v/>
      </c>
      <c r="K31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0" s="37"/>
      <c r="O3180" s="37"/>
      <c r="P3180" s="37"/>
    </row>
    <row r="3181" spans="2:16" x14ac:dyDescent="0.25">
      <c r="B31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1" s="46"/>
      <c r="D3181" s="37"/>
      <c r="E3181" s="37"/>
      <c r="F3181" s="37"/>
      <c r="G3181" s="40" t="str">
        <f>IF(tblMovimientos[[#This Row],[Producto]]="","",TRIM(LEFT(tblMovimientos[[#This Row],[Producto]],FIND(" · ",tblMovimientos[[#This Row],[Producto]]&amp;" · ")-1)))</f>
        <v/>
      </c>
      <c r="H3181" s="40" t="str">
        <f>IF(tblMovimientos[[#This Row],[SKU]]="","",IFERROR(INDEX(tblProductos[Unidad],MATCH(tblMovimientos[[#This Row],[SKU]],tblProductos[SKU],0)),"?"))</f>
        <v/>
      </c>
      <c r="I3181" s="39"/>
      <c r="J3181" s="47" t="str">
        <f>IF(tblMovimientos[[#This Row],[Tipo]]="","",IFERROR(INDEX(tblTiposMov[FactorStock],MATCH(tblMovimientos[[#This Row],[Tipo]],tblTiposMov[Tipo],0)),0))</f>
        <v/>
      </c>
      <c r="K31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1" s="37"/>
      <c r="O3181" s="37"/>
      <c r="P3181" s="37"/>
    </row>
    <row r="3182" spans="2:16" x14ac:dyDescent="0.25">
      <c r="B31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2" s="46"/>
      <c r="D3182" s="37"/>
      <c r="E3182" s="37"/>
      <c r="F3182" s="37"/>
      <c r="G3182" s="40" t="str">
        <f>IF(tblMovimientos[[#This Row],[Producto]]="","",TRIM(LEFT(tblMovimientos[[#This Row],[Producto]],FIND(" · ",tblMovimientos[[#This Row],[Producto]]&amp;" · ")-1)))</f>
        <v/>
      </c>
      <c r="H3182" s="40" t="str">
        <f>IF(tblMovimientos[[#This Row],[SKU]]="","",IFERROR(INDEX(tblProductos[Unidad],MATCH(tblMovimientos[[#This Row],[SKU]],tblProductos[SKU],0)),"?"))</f>
        <v/>
      </c>
      <c r="I3182" s="39"/>
      <c r="J3182" s="47" t="str">
        <f>IF(tblMovimientos[[#This Row],[Tipo]]="","",IFERROR(INDEX(tblTiposMov[FactorStock],MATCH(tblMovimientos[[#This Row],[Tipo]],tblTiposMov[Tipo],0)),0))</f>
        <v/>
      </c>
      <c r="K31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2" s="37"/>
      <c r="O3182" s="37"/>
      <c r="P3182" s="37"/>
    </row>
    <row r="3183" spans="2:16" x14ac:dyDescent="0.25">
      <c r="B31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3" s="46"/>
      <c r="D3183" s="37"/>
      <c r="E3183" s="37"/>
      <c r="F3183" s="37"/>
      <c r="G3183" s="40" t="str">
        <f>IF(tblMovimientos[[#This Row],[Producto]]="","",TRIM(LEFT(tblMovimientos[[#This Row],[Producto]],FIND(" · ",tblMovimientos[[#This Row],[Producto]]&amp;" · ")-1)))</f>
        <v/>
      </c>
      <c r="H3183" s="40" t="str">
        <f>IF(tblMovimientos[[#This Row],[SKU]]="","",IFERROR(INDEX(tblProductos[Unidad],MATCH(tblMovimientos[[#This Row],[SKU]],tblProductos[SKU],0)),"?"))</f>
        <v/>
      </c>
      <c r="I3183" s="39"/>
      <c r="J3183" s="47" t="str">
        <f>IF(tblMovimientos[[#This Row],[Tipo]]="","",IFERROR(INDEX(tblTiposMov[FactorStock],MATCH(tblMovimientos[[#This Row],[Tipo]],tblTiposMov[Tipo],0)),0))</f>
        <v/>
      </c>
      <c r="K31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3" s="37"/>
      <c r="O3183" s="37"/>
      <c r="P3183" s="37"/>
    </row>
    <row r="3184" spans="2:16" x14ac:dyDescent="0.25">
      <c r="B31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4" s="46"/>
      <c r="D3184" s="37"/>
      <c r="E3184" s="37"/>
      <c r="F3184" s="37"/>
      <c r="G3184" s="40" t="str">
        <f>IF(tblMovimientos[[#This Row],[Producto]]="","",TRIM(LEFT(tblMovimientos[[#This Row],[Producto]],FIND(" · ",tblMovimientos[[#This Row],[Producto]]&amp;" · ")-1)))</f>
        <v/>
      </c>
      <c r="H3184" s="40" t="str">
        <f>IF(tblMovimientos[[#This Row],[SKU]]="","",IFERROR(INDEX(tblProductos[Unidad],MATCH(tblMovimientos[[#This Row],[SKU]],tblProductos[SKU],0)),"?"))</f>
        <v/>
      </c>
      <c r="I3184" s="39"/>
      <c r="J3184" s="47" t="str">
        <f>IF(tblMovimientos[[#This Row],[Tipo]]="","",IFERROR(INDEX(tblTiposMov[FactorStock],MATCH(tblMovimientos[[#This Row],[Tipo]],tblTiposMov[Tipo],0)),0))</f>
        <v/>
      </c>
      <c r="K31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4" s="37"/>
      <c r="O3184" s="37"/>
      <c r="P3184" s="37"/>
    </row>
    <row r="3185" spans="2:16" x14ac:dyDescent="0.25">
      <c r="B31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5" s="46"/>
      <c r="D3185" s="37"/>
      <c r="E3185" s="37"/>
      <c r="F3185" s="37"/>
      <c r="G3185" s="40" t="str">
        <f>IF(tblMovimientos[[#This Row],[Producto]]="","",TRIM(LEFT(tblMovimientos[[#This Row],[Producto]],FIND(" · ",tblMovimientos[[#This Row],[Producto]]&amp;" · ")-1)))</f>
        <v/>
      </c>
      <c r="H3185" s="40" t="str">
        <f>IF(tblMovimientos[[#This Row],[SKU]]="","",IFERROR(INDEX(tblProductos[Unidad],MATCH(tblMovimientos[[#This Row],[SKU]],tblProductos[SKU],0)),"?"))</f>
        <v/>
      </c>
      <c r="I3185" s="39"/>
      <c r="J3185" s="47" t="str">
        <f>IF(tblMovimientos[[#This Row],[Tipo]]="","",IFERROR(INDEX(tblTiposMov[FactorStock],MATCH(tblMovimientos[[#This Row],[Tipo]],tblTiposMov[Tipo],0)),0))</f>
        <v/>
      </c>
      <c r="K31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5" s="37"/>
      <c r="O3185" s="37"/>
      <c r="P3185" s="37"/>
    </row>
    <row r="3186" spans="2:16" x14ac:dyDescent="0.25">
      <c r="B31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6" s="46"/>
      <c r="D3186" s="37"/>
      <c r="E3186" s="37"/>
      <c r="F3186" s="37"/>
      <c r="G3186" s="40" t="str">
        <f>IF(tblMovimientos[[#This Row],[Producto]]="","",TRIM(LEFT(tblMovimientos[[#This Row],[Producto]],FIND(" · ",tblMovimientos[[#This Row],[Producto]]&amp;" · ")-1)))</f>
        <v/>
      </c>
      <c r="H3186" s="40" t="str">
        <f>IF(tblMovimientos[[#This Row],[SKU]]="","",IFERROR(INDEX(tblProductos[Unidad],MATCH(tblMovimientos[[#This Row],[SKU]],tblProductos[SKU],0)),"?"))</f>
        <v/>
      </c>
      <c r="I3186" s="39"/>
      <c r="J3186" s="47" t="str">
        <f>IF(tblMovimientos[[#This Row],[Tipo]]="","",IFERROR(INDEX(tblTiposMov[FactorStock],MATCH(tblMovimientos[[#This Row],[Tipo]],tblTiposMov[Tipo],0)),0))</f>
        <v/>
      </c>
      <c r="K31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6" s="37"/>
      <c r="O3186" s="37"/>
      <c r="P3186" s="37"/>
    </row>
    <row r="3187" spans="2:16" x14ac:dyDescent="0.25">
      <c r="B31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7" s="46"/>
      <c r="D3187" s="37"/>
      <c r="E3187" s="37"/>
      <c r="F3187" s="37"/>
      <c r="G3187" s="40" t="str">
        <f>IF(tblMovimientos[[#This Row],[Producto]]="","",TRIM(LEFT(tblMovimientos[[#This Row],[Producto]],FIND(" · ",tblMovimientos[[#This Row],[Producto]]&amp;" · ")-1)))</f>
        <v/>
      </c>
      <c r="H3187" s="40" t="str">
        <f>IF(tblMovimientos[[#This Row],[SKU]]="","",IFERROR(INDEX(tblProductos[Unidad],MATCH(tblMovimientos[[#This Row],[SKU]],tblProductos[SKU],0)),"?"))</f>
        <v/>
      </c>
      <c r="I3187" s="39"/>
      <c r="J3187" s="47" t="str">
        <f>IF(tblMovimientos[[#This Row],[Tipo]]="","",IFERROR(INDEX(tblTiposMov[FactorStock],MATCH(tblMovimientos[[#This Row],[Tipo]],tblTiposMov[Tipo],0)),0))</f>
        <v/>
      </c>
      <c r="K31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7" s="37"/>
      <c r="O3187" s="37"/>
      <c r="P3187" s="37"/>
    </row>
    <row r="3188" spans="2:16" x14ac:dyDescent="0.25">
      <c r="B31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8" s="46"/>
      <c r="D3188" s="37"/>
      <c r="E3188" s="37"/>
      <c r="F3188" s="37"/>
      <c r="G3188" s="40" t="str">
        <f>IF(tblMovimientos[[#This Row],[Producto]]="","",TRIM(LEFT(tblMovimientos[[#This Row],[Producto]],FIND(" · ",tblMovimientos[[#This Row],[Producto]]&amp;" · ")-1)))</f>
        <v/>
      </c>
      <c r="H3188" s="40" t="str">
        <f>IF(tblMovimientos[[#This Row],[SKU]]="","",IFERROR(INDEX(tblProductos[Unidad],MATCH(tblMovimientos[[#This Row],[SKU]],tblProductos[SKU],0)),"?"))</f>
        <v/>
      </c>
      <c r="I3188" s="39"/>
      <c r="J3188" s="47" t="str">
        <f>IF(tblMovimientos[[#This Row],[Tipo]]="","",IFERROR(INDEX(tblTiposMov[FactorStock],MATCH(tblMovimientos[[#This Row],[Tipo]],tblTiposMov[Tipo],0)),0))</f>
        <v/>
      </c>
      <c r="K31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8" s="37"/>
      <c r="O3188" s="37"/>
      <c r="P3188" s="37"/>
    </row>
    <row r="3189" spans="2:16" x14ac:dyDescent="0.25">
      <c r="B31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89" s="46"/>
      <c r="D3189" s="37"/>
      <c r="E3189" s="37"/>
      <c r="F3189" s="37"/>
      <c r="G3189" s="40" t="str">
        <f>IF(tblMovimientos[[#This Row],[Producto]]="","",TRIM(LEFT(tblMovimientos[[#This Row],[Producto]],FIND(" · ",tblMovimientos[[#This Row],[Producto]]&amp;" · ")-1)))</f>
        <v/>
      </c>
      <c r="H3189" s="40" t="str">
        <f>IF(tblMovimientos[[#This Row],[SKU]]="","",IFERROR(INDEX(tblProductos[Unidad],MATCH(tblMovimientos[[#This Row],[SKU]],tblProductos[SKU],0)),"?"))</f>
        <v/>
      </c>
      <c r="I3189" s="39"/>
      <c r="J3189" s="47" t="str">
        <f>IF(tblMovimientos[[#This Row],[Tipo]]="","",IFERROR(INDEX(tblTiposMov[FactorStock],MATCH(tblMovimientos[[#This Row],[Tipo]],tblTiposMov[Tipo],0)),0))</f>
        <v/>
      </c>
      <c r="K31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89" s="37"/>
      <c r="O3189" s="37"/>
      <c r="P3189" s="37"/>
    </row>
    <row r="3190" spans="2:16" x14ac:dyDescent="0.25">
      <c r="B31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0" s="46"/>
      <c r="D3190" s="37"/>
      <c r="E3190" s="37"/>
      <c r="F3190" s="37"/>
      <c r="G3190" s="40" t="str">
        <f>IF(tblMovimientos[[#This Row],[Producto]]="","",TRIM(LEFT(tblMovimientos[[#This Row],[Producto]],FIND(" · ",tblMovimientos[[#This Row],[Producto]]&amp;" · ")-1)))</f>
        <v/>
      </c>
      <c r="H3190" s="40" t="str">
        <f>IF(tblMovimientos[[#This Row],[SKU]]="","",IFERROR(INDEX(tblProductos[Unidad],MATCH(tblMovimientos[[#This Row],[SKU]],tblProductos[SKU],0)),"?"))</f>
        <v/>
      </c>
      <c r="I3190" s="39"/>
      <c r="J3190" s="47" t="str">
        <f>IF(tblMovimientos[[#This Row],[Tipo]]="","",IFERROR(INDEX(tblTiposMov[FactorStock],MATCH(tblMovimientos[[#This Row],[Tipo]],tblTiposMov[Tipo],0)),0))</f>
        <v/>
      </c>
      <c r="K31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0" s="37"/>
      <c r="O3190" s="37"/>
      <c r="P3190" s="37"/>
    </row>
    <row r="3191" spans="2:16" x14ac:dyDescent="0.25">
      <c r="B31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1" s="46"/>
      <c r="D3191" s="37"/>
      <c r="E3191" s="37"/>
      <c r="F3191" s="37"/>
      <c r="G3191" s="40" t="str">
        <f>IF(tblMovimientos[[#This Row],[Producto]]="","",TRIM(LEFT(tblMovimientos[[#This Row],[Producto]],FIND(" · ",tblMovimientos[[#This Row],[Producto]]&amp;" · ")-1)))</f>
        <v/>
      </c>
      <c r="H3191" s="40" t="str">
        <f>IF(tblMovimientos[[#This Row],[SKU]]="","",IFERROR(INDEX(tblProductos[Unidad],MATCH(tblMovimientos[[#This Row],[SKU]],tblProductos[SKU],0)),"?"))</f>
        <v/>
      </c>
      <c r="I3191" s="39"/>
      <c r="J3191" s="47" t="str">
        <f>IF(tblMovimientos[[#This Row],[Tipo]]="","",IFERROR(INDEX(tblTiposMov[FactorStock],MATCH(tblMovimientos[[#This Row],[Tipo]],tblTiposMov[Tipo],0)),0))</f>
        <v/>
      </c>
      <c r="K31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1" s="37"/>
      <c r="O3191" s="37"/>
      <c r="P3191" s="37"/>
    </row>
    <row r="3192" spans="2:16" x14ac:dyDescent="0.25">
      <c r="B31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2" s="46"/>
      <c r="D3192" s="37"/>
      <c r="E3192" s="37"/>
      <c r="F3192" s="37"/>
      <c r="G3192" s="40" t="str">
        <f>IF(tblMovimientos[[#This Row],[Producto]]="","",TRIM(LEFT(tblMovimientos[[#This Row],[Producto]],FIND(" · ",tblMovimientos[[#This Row],[Producto]]&amp;" · ")-1)))</f>
        <v/>
      </c>
      <c r="H3192" s="40" t="str">
        <f>IF(tblMovimientos[[#This Row],[SKU]]="","",IFERROR(INDEX(tblProductos[Unidad],MATCH(tblMovimientos[[#This Row],[SKU]],tblProductos[SKU],0)),"?"))</f>
        <v/>
      </c>
      <c r="I3192" s="39"/>
      <c r="J3192" s="47" t="str">
        <f>IF(tblMovimientos[[#This Row],[Tipo]]="","",IFERROR(INDEX(tblTiposMov[FactorStock],MATCH(tblMovimientos[[#This Row],[Tipo]],tblTiposMov[Tipo],0)),0))</f>
        <v/>
      </c>
      <c r="K31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2" s="37"/>
      <c r="O3192" s="37"/>
      <c r="P3192" s="37"/>
    </row>
    <row r="3193" spans="2:16" x14ac:dyDescent="0.25">
      <c r="B31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3" s="46"/>
      <c r="D3193" s="37"/>
      <c r="E3193" s="37"/>
      <c r="F3193" s="37"/>
      <c r="G3193" s="40" t="str">
        <f>IF(tblMovimientos[[#This Row],[Producto]]="","",TRIM(LEFT(tblMovimientos[[#This Row],[Producto]],FIND(" · ",tblMovimientos[[#This Row],[Producto]]&amp;" · ")-1)))</f>
        <v/>
      </c>
      <c r="H3193" s="40" t="str">
        <f>IF(tblMovimientos[[#This Row],[SKU]]="","",IFERROR(INDEX(tblProductos[Unidad],MATCH(tblMovimientos[[#This Row],[SKU]],tblProductos[SKU],0)),"?"))</f>
        <v/>
      </c>
      <c r="I3193" s="39"/>
      <c r="J3193" s="47" t="str">
        <f>IF(tblMovimientos[[#This Row],[Tipo]]="","",IFERROR(INDEX(tblTiposMov[FactorStock],MATCH(tblMovimientos[[#This Row],[Tipo]],tblTiposMov[Tipo],0)),0))</f>
        <v/>
      </c>
      <c r="K31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3" s="37"/>
      <c r="O3193" s="37"/>
      <c r="P3193" s="37"/>
    </row>
    <row r="3194" spans="2:16" x14ac:dyDescent="0.25">
      <c r="B31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4" s="46"/>
      <c r="D3194" s="37"/>
      <c r="E3194" s="37"/>
      <c r="F3194" s="37"/>
      <c r="G3194" s="40" t="str">
        <f>IF(tblMovimientos[[#This Row],[Producto]]="","",TRIM(LEFT(tblMovimientos[[#This Row],[Producto]],FIND(" · ",tblMovimientos[[#This Row],[Producto]]&amp;" · ")-1)))</f>
        <v/>
      </c>
      <c r="H3194" s="40" t="str">
        <f>IF(tblMovimientos[[#This Row],[SKU]]="","",IFERROR(INDEX(tblProductos[Unidad],MATCH(tblMovimientos[[#This Row],[SKU]],tblProductos[SKU],0)),"?"))</f>
        <v/>
      </c>
      <c r="I3194" s="39"/>
      <c r="J3194" s="47" t="str">
        <f>IF(tblMovimientos[[#This Row],[Tipo]]="","",IFERROR(INDEX(tblTiposMov[FactorStock],MATCH(tblMovimientos[[#This Row],[Tipo]],tblTiposMov[Tipo],0)),0))</f>
        <v/>
      </c>
      <c r="K31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4" s="37"/>
      <c r="O3194" s="37"/>
      <c r="P3194" s="37"/>
    </row>
    <row r="3195" spans="2:16" x14ac:dyDescent="0.25">
      <c r="B31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5" s="46"/>
      <c r="D3195" s="37"/>
      <c r="E3195" s="37"/>
      <c r="F3195" s="37"/>
      <c r="G3195" s="40" t="str">
        <f>IF(tblMovimientos[[#This Row],[Producto]]="","",TRIM(LEFT(tblMovimientos[[#This Row],[Producto]],FIND(" · ",tblMovimientos[[#This Row],[Producto]]&amp;" · ")-1)))</f>
        <v/>
      </c>
      <c r="H3195" s="40" t="str">
        <f>IF(tblMovimientos[[#This Row],[SKU]]="","",IFERROR(INDEX(tblProductos[Unidad],MATCH(tblMovimientos[[#This Row],[SKU]],tblProductos[SKU],0)),"?"))</f>
        <v/>
      </c>
      <c r="I3195" s="39"/>
      <c r="J3195" s="47" t="str">
        <f>IF(tblMovimientos[[#This Row],[Tipo]]="","",IFERROR(INDEX(tblTiposMov[FactorStock],MATCH(tblMovimientos[[#This Row],[Tipo]],tblTiposMov[Tipo],0)),0))</f>
        <v/>
      </c>
      <c r="K31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5" s="37"/>
      <c r="O3195" s="37"/>
      <c r="P3195" s="37"/>
    </row>
    <row r="3196" spans="2:16" x14ac:dyDescent="0.25">
      <c r="B31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6" s="46"/>
      <c r="D3196" s="37"/>
      <c r="E3196" s="37"/>
      <c r="F3196" s="37"/>
      <c r="G3196" s="40" t="str">
        <f>IF(tblMovimientos[[#This Row],[Producto]]="","",TRIM(LEFT(tblMovimientos[[#This Row],[Producto]],FIND(" · ",tblMovimientos[[#This Row],[Producto]]&amp;" · ")-1)))</f>
        <v/>
      </c>
      <c r="H3196" s="40" t="str">
        <f>IF(tblMovimientos[[#This Row],[SKU]]="","",IFERROR(INDEX(tblProductos[Unidad],MATCH(tblMovimientos[[#This Row],[SKU]],tblProductos[SKU],0)),"?"))</f>
        <v/>
      </c>
      <c r="I3196" s="39"/>
      <c r="J3196" s="47" t="str">
        <f>IF(tblMovimientos[[#This Row],[Tipo]]="","",IFERROR(INDEX(tblTiposMov[FactorStock],MATCH(tblMovimientos[[#This Row],[Tipo]],tblTiposMov[Tipo],0)),0))</f>
        <v/>
      </c>
      <c r="K31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6" s="37"/>
      <c r="O3196" s="37"/>
      <c r="P3196" s="37"/>
    </row>
    <row r="3197" spans="2:16" x14ac:dyDescent="0.25">
      <c r="B31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7" s="46"/>
      <c r="D3197" s="37"/>
      <c r="E3197" s="37"/>
      <c r="F3197" s="37"/>
      <c r="G3197" s="40" t="str">
        <f>IF(tblMovimientos[[#This Row],[Producto]]="","",TRIM(LEFT(tblMovimientos[[#This Row],[Producto]],FIND(" · ",tblMovimientos[[#This Row],[Producto]]&amp;" · ")-1)))</f>
        <v/>
      </c>
      <c r="H3197" s="40" t="str">
        <f>IF(tblMovimientos[[#This Row],[SKU]]="","",IFERROR(INDEX(tblProductos[Unidad],MATCH(tblMovimientos[[#This Row],[SKU]],tblProductos[SKU],0)),"?"))</f>
        <v/>
      </c>
      <c r="I3197" s="39"/>
      <c r="J3197" s="47" t="str">
        <f>IF(tblMovimientos[[#This Row],[Tipo]]="","",IFERROR(INDEX(tblTiposMov[FactorStock],MATCH(tblMovimientos[[#This Row],[Tipo]],tblTiposMov[Tipo],0)),0))</f>
        <v/>
      </c>
      <c r="K31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7" s="37"/>
      <c r="O3197" s="37"/>
      <c r="P3197" s="37"/>
    </row>
    <row r="3198" spans="2:16" x14ac:dyDescent="0.25">
      <c r="B31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8" s="46"/>
      <c r="D3198" s="37"/>
      <c r="E3198" s="37"/>
      <c r="F3198" s="37"/>
      <c r="G3198" s="40" t="str">
        <f>IF(tblMovimientos[[#This Row],[Producto]]="","",TRIM(LEFT(tblMovimientos[[#This Row],[Producto]],FIND(" · ",tblMovimientos[[#This Row],[Producto]]&amp;" · ")-1)))</f>
        <v/>
      </c>
      <c r="H3198" s="40" t="str">
        <f>IF(tblMovimientos[[#This Row],[SKU]]="","",IFERROR(INDEX(tblProductos[Unidad],MATCH(tblMovimientos[[#This Row],[SKU]],tblProductos[SKU],0)),"?"))</f>
        <v/>
      </c>
      <c r="I3198" s="39"/>
      <c r="J3198" s="47" t="str">
        <f>IF(tblMovimientos[[#This Row],[Tipo]]="","",IFERROR(INDEX(tblTiposMov[FactorStock],MATCH(tblMovimientos[[#This Row],[Tipo]],tblTiposMov[Tipo],0)),0))</f>
        <v/>
      </c>
      <c r="K31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8" s="37"/>
      <c r="O3198" s="37"/>
      <c r="P3198" s="37"/>
    </row>
    <row r="3199" spans="2:16" x14ac:dyDescent="0.25">
      <c r="B31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199" s="46"/>
      <c r="D3199" s="37"/>
      <c r="E3199" s="37"/>
      <c r="F3199" s="37"/>
      <c r="G3199" s="40" t="str">
        <f>IF(tblMovimientos[[#This Row],[Producto]]="","",TRIM(LEFT(tblMovimientos[[#This Row],[Producto]],FIND(" · ",tblMovimientos[[#This Row],[Producto]]&amp;" · ")-1)))</f>
        <v/>
      </c>
      <c r="H3199" s="40" t="str">
        <f>IF(tblMovimientos[[#This Row],[SKU]]="","",IFERROR(INDEX(tblProductos[Unidad],MATCH(tblMovimientos[[#This Row],[SKU]],tblProductos[SKU],0)),"?"))</f>
        <v/>
      </c>
      <c r="I3199" s="39"/>
      <c r="J3199" s="47" t="str">
        <f>IF(tblMovimientos[[#This Row],[Tipo]]="","",IFERROR(INDEX(tblTiposMov[FactorStock],MATCH(tblMovimientos[[#This Row],[Tipo]],tblTiposMov[Tipo],0)),0))</f>
        <v/>
      </c>
      <c r="K31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1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199" s="37"/>
      <c r="O3199" s="37"/>
      <c r="P3199" s="37"/>
    </row>
    <row r="3200" spans="2:16" x14ac:dyDescent="0.25">
      <c r="B32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0" s="46"/>
      <c r="D3200" s="37"/>
      <c r="E3200" s="37"/>
      <c r="F3200" s="37"/>
      <c r="G3200" s="40" t="str">
        <f>IF(tblMovimientos[[#This Row],[Producto]]="","",TRIM(LEFT(tblMovimientos[[#This Row],[Producto]],FIND(" · ",tblMovimientos[[#This Row],[Producto]]&amp;" · ")-1)))</f>
        <v/>
      </c>
      <c r="H3200" s="40" t="str">
        <f>IF(tblMovimientos[[#This Row],[SKU]]="","",IFERROR(INDEX(tblProductos[Unidad],MATCH(tblMovimientos[[#This Row],[SKU]],tblProductos[SKU],0)),"?"))</f>
        <v/>
      </c>
      <c r="I3200" s="39"/>
      <c r="J3200" s="47" t="str">
        <f>IF(tblMovimientos[[#This Row],[Tipo]]="","",IFERROR(INDEX(tblTiposMov[FactorStock],MATCH(tblMovimientos[[#This Row],[Tipo]],tblTiposMov[Tipo],0)),0))</f>
        <v/>
      </c>
      <c r="K32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0" s="37"/>
      <c r="O3200" s="37"/>
      <c r="P3200" s="37"/>
    </row>
    <row r="3201" spans="2:16" x14ac:dyDescent="0.25">
      <c r="B32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1" s="46"/>
      <c r="D3201" s="37"/>
      <c r="E3201" s="37"/>
      <c r="F3201" s="37"/>
      <c r="G3201" s="40" t="str">
        <f>IF(tblMovimientos[[#This Row],[Producto]]="","",TRIM(LEFT(tblMovimientos[[#This Row],[Producto]],FIND(" · ",tblMovimientos[[#This Row],[Producto]]&amp;" · ")-1)))</f>
        <v/>
      </c>
      <c r="H3201" s="40" t="str">
        <f>IF(tblMovimientos[[#This Row],[SKU]]="","",IFERROR(INDEX(tblProductos[Unidad],MATCH(tblMovimientos[[#This Row],[SKU]],tblProductos[SKU],0)),"?"))</f>
        <v/>
      </c>
      <c r="I3201" s="39"/>
      <c r="J3201" s="47" t="str">
        <f>IF(tblMovimientos[[#This Row],[Tipo]]="","",IFERROR(INDEX(tblTiposMov[FactorStock],MATCH(tblMovimientos[[#This Row],[Tipo]],tblTiposMov[Tipo],0)),0))</f>
        <v/>
      </c>
      <c r="K32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1" s="37"/>
      <c r="O3201" s="37"/>
      <c r="P3201" s="37"/>
    </row>
    <row r="3202" spans="2:16" x14ac:dyDescent="0.25">
      <c r="B32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2" s="46"/>
      <c r="D3202" s="37"/>
      <c r="E3202" s="37"/>
      <c r="F3202" s="37"/>
      <c r="G3202" s="40" t="str">
        <f>IF(tblMovimientos[[#This Row],[Producto]]="","",TRIM(LEFT(tblMovimientos[[#This Row],[Producto]],FIND(" · ",tblMovimientos[[#This Row],[Producto]]&amp;" · ")-1)))</f>
        <v/>
      </c>
      <c r="H3202" s="40" t="str">
        <f>IF(tblMovimientos[[#This Row],[SKU]]="","",IFERROR(INDEX(tblProductos[Unidad],MATCH(tblMovimientos[[#This Row],[SKU]],tblProductos[SKU],0)),"?"))</f>
        <v/>
      </c>
      <c r="I3202" s="39"/>
      <c r="J3202" s="47" t="str">
        <f>IF(tblMovimientos[[#This Row],[Tipo]]="","",IFERROR(INDEX(tblTiposMov[FactorStock],MATCH(tblMovimientos[[#This Row],[Tipo]],tblTiposMov[Tipo],0)),0))</f>
        <v/>
      </c>
      <c r="K32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2" s="37"/>
      <c r="O3202" s="37"/>
      <c r="P3202" s="37"/>
    </row>
    <row r="3203" spans="2:16" x14ac:dyDescent="0.25">
      <c r="B32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3" s="46"/>
      <c r="D3203" s="37"/>
      <c r="E3203" s="37"/>
      <c r="F3203" s="37"/>
      <c r="G3203" s="40" t="str">
        <f>IF(tblMovimientos[[#This Row],[Producto]]="","",TRIM(LEFT(tblMovimientos[[#This Row],[Producto]],FIND(" · ",tblMovimientos[[#This Row],[Producto]]&amp;" · ")-1)))</f>
        <v/>
      </c>
      <c r="H3203" s="40" t="str">
        <f>IF(tblMovimientos[[#This Row],[SKU]]="","",IFERROR(INDEX(tblProductos[Unidad],MATCH(tblMovimientos[[#This Row],[SKU]],tblProductos[SKU],0)),"?"))</f>
        <v/>
      </c>
      <c r="I3203" s="39"/>
      <c r="J3203" s="47" t="str">
        <f>IF(tblMovimientos[[#This Row],[Tipo]]="","",IFERROR(INDEX(tblTiposMov[FactorStock],MATCH(tblMovimientos[[#This Row],[Tipo]],tblTiposMov[Tipo],0)),0))</f>
        <v/>
      </c>
      <c r="K32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3" s="37"/>
      <c r="O3203" s="37"/>
      <c r="P3203" s="37"/>
    </row>
    <row r="3204" spans="2:16" x14ac:dyDescent="0.25">
      <c r="B32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4" s="46"/>
      <c r="D3204" s="37"/>
      <c r="E3204" s="37"/>
      <c r="F3204" s="37"/>
      <c r="G3204" s="40" t="str">
        <f>IF(tblMovimientos[[#This Row],[Producto]]="","",TRIM(LEFT(tblMovimientos[[#This Row],[Producto]],FIND(" · ",tblMovimientos[[#This Row],[Producto]]&amp;" · ")-1)))</f>
        <v/>
      </c>
      <c r="H3204" s="40" t="str">
        <f>IF(tblMovimientos[[#This Row],[SKU]]="","",IFERROR(INDEX(tblProductos[Unidad],MATCH(tblMovimientos[[#This Row],[SKU]],tblProductos[SKU],0)),"?"))</f>
        <v/>
      </c>
      <c r="I3204" s="39"/>
      <c r="J3204" s="47" t="str">
        <f>IF(tblMovimientos[[#This Row],[Tipo]]="","",IFERROR(INDEX(tblTiposMov[FactorStock],MATCH(tblMovimientos[[#This Row],[Tipo]],tblTiposMov[Tipo],0)),0))</f>
        <v/>
      </c>
      <c r="K32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4" s="37"/>
      <c r="O3204" s="37"/>
      <c r="P3204" s="37"/>
    </row>
    <row r="3205" spans="2:16" x14ac:dyDescent="0.25">
      <c r="B32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5" s="46"/>
      <c r="D3205" s="37"/>
      <c r="E3205" s="37"/>
      <c r="F3205" s="37"/>
      <c r="G3205" s="40" t="str">
        <f>IF(tblMovimientos[[#This Row],[Producto]]="","",TRIM(LEFT(tblMovimientos[[#This Row],[Producto]],FIND(" · ",tblMovimientos[[#This Row],[Producto]]&amp;" · ")-1)))</f>
        <v/>
      </c>
      <c r="H3205" s="40" t="str">
        <f>IF(tblMovimientos[[#This Row],[SKU]]="","",IFERROR(INDEX(tblProductos[Unidad],MATCH(tblMovimientos[[#This Row],[SKU]],tblProductos[SKU],0)),"?"))</f>
        <v/>
      </c>
      <c r="I3205" s="39"/>
      <c r="J3205" s="47" t="str">
        <f>IF(tblMovimientos[[#This Row],[Tipo]]="","",IFERROR(INDEX(tblTiposMov[FactorStock],MATCH(tblMovimientos[[#This Row],[Tipo]],tblTiposMov[Tipo],0)),0))</f>
        <v/>
      </c>
      <c r="K32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5" s="37"/>
      <c r="O3205" s="37"/>
      <c r="P3205" s="37"/>
    </row>
    <row r="3206" spans="2:16" x14ac:dyDescent="0.25">
      <c r="B32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6" s="46"/>
      <c r="D3206" s="37"/>
      <c r="E3206" s="37"/>
      <c r="F3206" s="37"/>
      <c r="G3206" s="40" t="str">
        <f>IF(tblMovimientos[[#This Row],[Producto]]="","",TRIM(LEFT(tblMovimientos[[#This Row],[Producto]],FIND(" · ",tblMovimientos[[#This Row],[Producto]]&amp;" · ")-1)))</f>
        <v/>
      </c>
      <c r="H3206" s="40" t="str">
        <f>IF(tblMovimientos[[#This Row],[SKU]]="","",IFERROR(INDEX(tblProductos[Unidad],MATCH(tblMovimientos[[#This Row],[SKU]],tblProductos[SKU],0)),"?"))</f>
        <v/>
      </c>
      <c r="I3206" s="39"/>
      <c r="J3206" s="47" t="str">
        <f>IF(tblMovimientos[[#This Row],[Tipo]]="","",IFERROR(INDEX(tblTiposMov[FactorStock],MATCH(tblMovimientos[[#This Row],[Tipo]],tblTiposMov[Tipo],0)),0))</f>
        <v/>
      </c>
      <c r="K32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6" s="37"/>
      <c r="O3206" s="37"/>
      <c r="P3206" s="37"/>
    </row>
    <row r="3207" spans="2:16" x14ac:dyDescent="0.25">
      <c r="B32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7" s="46"/>
      <c r="D3207" s="37"/>
      <c r="E3207" s="37"/>
      <c r="F3207" s="37"/>
      <c r="G3207" s="40" t="str">
        <f>IF(tblMovimientos[[#This Row],[Producto]]="","",TRIM(LEFT(tblMovimientos[[#This Row],[Producto]],FIND(" · ",tblMovimientos[[#This Row],[Producto]]&amp;" · ")-1)))</f>
        <v/>
      </c>
      <c r="H3207" s="40" t="str">
        <f>IF(tblMovimientos[[#This Row],[SKU]]="","",IFERROR(INDEX(tblProductos[Unidad],MATCH(tblMovimientos[[#This Row],[SKU]],tblProductos[SKU],0)),"?"))</f>
        <v/>
      </c>
      <c r="I3207" s="39"/>
      <c r="J3207" s="47" t="str">
        <f>IF(tblMovimientos[[#This Row],[Tipo]]="","",IFERROR(INDEX(tblTiposMov[FactorStock],MATCH(tblMovimientos[[#This Row],[Tipo]],tblTiposMov[Tipo],0)),0))</f>
        <v/>
      </c>
      <c r="K32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7" s="37"/>
      <c r="O3207" s="37"/>
      <c r="P3207" s="37"/>
    </row>
    <row r="3208" spans="2:16" x14ac:dyDescent="0.25">
      <c r="B32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8" s="46"/>
      <c r="D3208" s="37"/>
      <c r="E3208" s="37"/>
      <c r="F3208" s="37"/>
      <c r="G3208" s="40" t="str">
        <f>IF(tblMovimientos[[#This Row],[Producto]]="","",TRIM(LEFT(tblMovimientos[[#This Row],[Producto]],FIND(" · ",tblMovimientos[[#This Row],[Producto]]&amp;" · ")-1)))</f>
        <v/>
      </c>
      <c r="H3208" s="40" t="str">
        <f>IF(tblMovimientos[[#This Row],[SKU]]="","",IFERROR(INDEX(tblProductos[Unidad],MATCH(tblMovimientos[[#This Row],[SKU]],tblProductos[SKU],0)),"?"))</f>
        <v/>
      </c>
      <c r="I3208" s="39"/>
      <c r="J3208" s="47" t="str">
        <f>IF(tblMovimientos[[#This Row],[Tipo]]="","",IFERROR(INDEX(tblTiposMov[FactorStock],MATCH(tblMovimientos[[#This Row],[Tipo]],tblTiposMov[Tipo],0)),0))</f>
        <v/>
      </c>
      <c r="K32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8" s="37"/>
      <c r="O3208" s="37"/>
      <c r="P3208" s="37"/>
    </row>
    <row r="3209" spans="2:16" x14ac:dyDescent="0.25">
      <c r="B32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09" s="46"/>
      <c r="D3209" s="37"/>
      <c r="E3209" s="37"/>
      <c r="F3209" s="37"/>
      <c r="G3209" s="40" t="str">
        <f>IF(tblMovimientos[[#This Row],[Producto]]="","",TRIM(LEFT(tblMovimientos[[#This Row],[Producto]],FIND(" · ",tblMovimientos[[#This Row],[Producto]]&amp;" · ")-1)))</f>
        <v/>
      </c>
      <c r="H3209" s="40" t="str">
        <f>IF(tblMovimientos[[#This Row],[SKU]]="","",IFERROR(INDEX(tblProductos[Unidad],MATCH(tblMovimientos[[#This Row],[SKU]],tblProductos[SKU],0)),"?"))</f>
        <v/>
      </c>
      <c r="I3209" s="39"/>
      <c r="J3209" s="47" t="str">
        <f>IF(tblMovimientos[[#This Row],[Tipo]]="","",IFERROR(INDEX(tblTiposMov[FactorStock],MATCH(tblMovimientos[[#This Row],[Tipo]],tblTiposMov[Tipo],0)),0))</f>
        <v/>
      </c>
      <c r="K32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09" s="37"/>
      <c r="O3209" s="37"/>
      <c r="P3209" s="37"/>
    </row>
    <row r="3210" spans="2:16" x14ac:dyDescent="0.25">
      <c r="B32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0" s="46"/>
      <c r="D3210" s="37"/>
      <c r="E3210" s="37"/>
      <c r="F3210" s="37"/>
      <c r="G3210" s="40" t="str">
        <f>IF(tblMovimientos[[#This Row],[Producto]]="","",TRIM(LEFT(tblMovimientos[[#This Row],[Producto]],FIND(" · ",tblMovimientos[[#This Row],[Producto]]&amp;" · ")-1)))</f>
        <v/>
      </c>
      <c r="H3210" s="40" t="str">
        <f>IF(tblMovimientos[[#This Row],[SKU]]="","",IFERROR(INDEX(tblProductos[Unidad],MATCH(tblMovimientos[[#This Row],[SKU]],tblProductos[SKU],0)),"?"))</f>
        <v/>
      </c>
      <c r="I3210" s="39"/>
      <c r="J3210" s="47" t="str">
        <f>IF(tblMovimientos[[#This Row],[Tipo]]="","",IFERROR(INDEX(tblTiposMov[FactorStock],MATCH(tblMovimientos[[#This Row],[Tipo]],tblTiposMov[Tipo],0)),0))</f>
        <v/>
      </c>
      <c r="K32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0" s="37"/>
      <c r="O3210" s="37"/>
      <c r="P3210" s="37"/>
    </row>
    <row r="3211" spans="2:16" x14ac:dyDescent="0.25">
      <c r="B32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1" s="46"/>
      <c r="D3211" s="37"/>
      <c r="E3211" s="37"/>
      <c r="F3211" s="37"/>
      <c r="G3211" s="40" t="str">
        <f>IF(tblMovimientos[[#This Row],[Producto]]="","",TRIM(LEFT(tblMovimientos[[#This Row],[Producto]],FIND(" · ",tblMovimientos[[#This Row],[Producto]]&amp;" · ")-1)))</f>
        <v/>
      </c>
      <c r="H3211" s="40" t="str">
        <f>IF(tblMovimientos[[#This Row],[SKU]]="","",IFERROR(INDEX(tblProductos[Unidad],MATCH(tblMovimientos[[#This Row],[SKU]],tblProductos[SKU],0)),"?"))</f>
        <v/>
      </c>
      <c r="I3211" s="39"/>
      <c r="J3211" s="47" t="str">
        <f>IF(tblMovimientos[[#This Row],[Tipo]]="","",IFERROR(INDEX(tblTiposMov[FactorStock],MATCH(tblMovimientos[[#This Row],[Tipo]],tblTiposMov[Tipo],0)),0))</f>
        <v/>
      </c>
      <c r="K32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1" s="37"/>
      <c r="O3211" s="37"/>
      <c r="P3211" s="37"/>
    </row>
    <row r="3212" spans="2:16" x14ac:dyDescent="0.25">
      <c r="B32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2" s="46"/>
      <c r="D3212" s="37"/>
      <c r="E3212" s="37"/>
      <c r="F3212" s="37"/>
      <c r="G3212" s="40" t="str">
        <f>IF(tblMovimientos[[#This Row],[Producto]]="","",TRIM(LEFT(tblMovimientos[[#This Row],[Producto]],FIND(" · ",tblMovimientos[[#This Row],[Producto]]&amp;" · ")-1)))</f>
        <v/>
      </c>
      <c r="H3212" s="40" t="str">
        <f>IF(tblMovimientos[[#This Row],[SKU]]="","",IFERROR(INDEX(tblProductos[Unidad],MATCH(tblMovimientos[[#This Row],[SKU]],tblProductos[SKU],0)),"?"))</f>
        <v/>
      </c>
      <c r="I3212" s="39"/>
      <c r="J3212" s="47" t="str">
        <f>IF(tblMovimientos[[#This Row],[Tipo]]="","",IFERROR(INDEX(tblTiposMov[FactorStock],MATCH(tblMovimientos[[#This Row],[Tipo]],tblTiposMov[Tipo],0)),0))</f>
        <v/>
      </c>
      <c r="K32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2" s="37"/>
      <c r="O3212" s="37"/>
      <c r="P3212" s="37"/>
    </row>
    <row r="3213" spans="2:16" x14ac:dyDescent="0.25">
      <c r="B32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3" s="46"/>
      <c r="D3213" s="37"/>
      <c r="E3213" s="37"/>
      <c r="F3213" s="37"/>
      <c r="G3213" s="40" t="str">
        <f>IF(tblMovimientos[[#This Row],[Producto]]="","",TRIM(LEFT(tblMovimientos[[#This Row],[Producto]],FIND(" · ",tblMovimientos[[#This Row],[Producto]]&amp;" · ")-1)))</f>
        <v/>
      </c>
      <c r="H3213" s="40" t="str">
        <f>IF(tblMovimientos[[#This Row],[SKU]]="","",IFERROR(INDEX(tblProductos[Unidad],MATCH(tblMovimientos[[#This Row],[SKU]],tblProductos[SKU],0)),"?"))</f>
        <v/>
      </c>
      <c r="I3213" s="39"/>
      <c r="J3213" s="47" t="str">
        <f>IF(tblMovimientos[[#This Row],[Tipo]]="","",IFERROR(INDEX(tblTiposMov[FactorStock],MATCH(tblMovimientos[[#This Row],[Tipo]],tblTiposMov[Tipo],0)),0))</f>
        <v/>
      </c>
      <c r="K32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3" s="37"/>
      <c r="O3213" s="37"/>
      <c r="P3213" s="37"/>
    </row>
    <row r="3214" spans="2:16" x14ac:dyDescent="0.25">
      <c r="B32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4" s="46"/>
      <c r="D3214" s="37"/>
      <c r="E3214" s="37"/>
      <c r="F3214" s="37"/>
      <c r="G3214" s="40" t="str">
        <f>IF(tblMovimientos[[#This Row],[Producto]]="","",TRIM(LEFT(tblMovimientos[[#This Row],[Producto]],FIND(" · ",tblMovimientos[[#This Row],[Producto]]&amp;" · ")-1)))</f>
        <v/>
      </c>
      <c r="H3214" s="40" t="str">
        <f>IF(tblMovimientos[[#This Row],[SKU]]="","",IFERROR(INDEX(tblProductos[Unidad],MATCH(tblMovimientos[[#This Row],[SKU]],tblProductos[SKU],0)),"?"))</f>
        <v/>
      </c>
      <c r="I3214" s="39"/>
      <c r="J3214" s="47" t="str">
        <f>IF(tblMovimientos[[#This Row],[Tipo]]="","",IFERROR(INDEX(tblTiposMov[FactorStock],MATCH(tblMovimientos[[#This Row],[Tipo]],tblTiposMov[Tipo],0)),0))</f>
        <v/>
      </c>
      <c r="K32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4" s="37"/>
      <c r="O3214" s="37"/>
      <c r="P3214" s="37"/>
    </row>
    <row r="3215" spans="2:16" x14ac:dyDescent="0.25">
      <c r="B32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5" s="46"/>
      <c r="D3215" s="37"/>
      <c r="E3215" s="37"/>
      <c r="F3215" s="37"/>
      <c r="G3215" s="40" t="str">
        <f>IF(tblMovimientos[[#This Row],[Producto]]="","",TRIM(LEFT(tblMovimientos[[#This Row],[Producto]],FIND(" · ",tblMovimientos[[#This Row],[Producto]]&amp;" · ")-1)))</f>
        <v/>
      </c>
      <c r="H3215" s="40" t="str">
        <f>IF(tblMovimientos[[#This Row],[SKU]]="","",IFERROR(INDEX(tblProductos[Unidad],MATCH(tblMovimientos[[#This Row],[SKU]],tblProductos[SKU],0)),"?"))</f>
        <v/>
      </c>
      <c r="I3215" s="39"/>
      <c r="J3215" s="47" t="str">
        <f>IF(tblMovimientos[[#This Row],[Tipo]]="","",IFERROR(INDEX(tblTiposMov[FactorStock],MATCH(tblMovimientos[[#This Row],[Tipo]],tblTiposMov[Tipo],0)),0))</f>
        <v/>
      </c>
      <c r="K32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5" s="37"/>
      <c r="O3215" s="37"/>
      <c r="P3215" s="37"/>
    </row>
    <row r="3216" spans="2:16" x14ac:dyDescent="0.25">
      <c r="B32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6" s="46"/>
      <c r="D3216" s="37"/>
      <c r="E3216" s="37"/>
      <c r="F3216" s="37"/>
      <c r="G3216" s="40" t="str">
        <f>IF(tblMovimientos[[#This Row],[Producto]]="","",TRIM(LEFT(tblMovimientos[[#This Row],[Producto]],FIND(" · ",tblMovimientos[[#This Row],[Producto]]&amp;" · ")-1)))</f>
        <v/>
      </c>
      <c r="H3216" s="40" t="str">
        <f>IF(tblMovimientos[[#This Row],[SKU]]="","",IFERROR(INDEX(tblProductos[Unidad],MATCH(tblMovimientos[[#This Row],[SKU]],tblProductos[SKU],0)),"?"))</f>
        <v/>
      </c>
      <c r="I3216" s="39"/>
      <c r="J3216" s="47" t="str">
        <f>IF(tblMovimientos[[#This Row],[Tipo]]="","",IFERROR(INDEX(tblTiposMov[FactorStock],MATCH(tblMovimientos[[#This Row],[Tipo]],tblTiposMov[Tipo],0)),0))</f>
        <v/>
      </c>
      <c r="K32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6" s="37"/>
      <c r="O3216" s="37"/>
      <c r="P3216" s="37"/>
    </row>
    <row r="3217" spans="2:16" x14ac:dyDescent="0.25">
      <c r="B32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7" s="46"/>
      <c r="D3217" s="37"/>
      <c r="E3217" s="37"/>
      <c r="F3217" s="37"/>
      <c r="G3217" s="40" t="str">
        <f>IF(tblMovimientos[[#This Row],[Producto]]="","",TRIM(LEFT(tblMovimientos[[#This Row],[Producto]],FIND(" · ",tblMovimientos[[#This Row],[Producto]]&amp;" · ")-1)))</f>
        <v/>
      </c>
      <c r="H3217" s="40" t="str">
        <f>IF(tblMovimientos[[#This Row],[SKU]]="","",IFERROR(INDEX(tblProductos[Unidad],MATCH(tblMovimientos[[#This Row],[SKU]],tblProductos[SKU],0)),"?"))</f>
        <v/>
      </c>
      <c r="I3217" s="39"/>
      <c r="J3217" s="47" t="str">
        <f>IF(tblMovimientos[[#This Row],[Tipo]]="","",IFERROR(INDEX(tblTiposMov[FactorStock],MATCH(tblMovimientos[[#This Row],[Tipo]],tblTiposMov[Tipo],0)),0))</f>
        <v/>
      </c>
      <c r="K32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7" s="37"/>
      <c r="O3217" s="37"/>
      <c r="P3217" s="37"/>
    </row>
    <row r="3218" spans="2:16" x14ac:dyDescent="0.25">
      <c r="B32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8" s="46"/>
      <c r="D3218" s="37"/>
      <c r="E3218" s="37"/>
      <c r="F3218" s="37"/>
      <c r="G3218" s="40" t="str">
        <f>IF(tblMovimientos[[#This Row],[Producto]]="","",TRIM(LEFT(tblMovimientos[[#This Row],[Producto]],FIND(" · ",tblMovimientos[[#This Row],[Producto]]&amp;" · ")-1)))</f>
        <v/>
      </c>
      <c r="H3218" s="40" t="str">
        <f>IF(tblMovimientos[[#This Row],[SKU]]="","",IFERROR(INDEX(tblProductos[Unidad],MATCH(tblMovimientos[[#This Row],[SKU]],tblProductos[SKU],0)),"?"))</f>
        <v/>
      </c>
      <c r="I3218" s="39"/>
      <c r="J3218" s="47" t="str">
        <f>IF(tblMovimientos[[#This Row],[Tipo]]="","",IFERROR(INDEX(tblTiposMov[FactorStock],MATCH(tblMovimientos[[#This Row],[Tipo]],tblTiposMov[Tipo],0)),0))</f>
        <v/>
      </c>
      <c r="K32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8" s="37"/>
      <c r="O3218" s="37"/>
      <c r="P3218" s="37"/>
    </row>
    <row r="3219" spans="2:16" x14ac:dyDescent="0.25">
      <c r="B32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19" s="46"/>
      <c r="D3219" s="37"/>
      <c r="E3219" s="37"/>
      <c r="F3219" s="37"/>
      <c r="G3219" s="40" t="str">
        <f>IF(tblMovimientos[[#This Row],[Producto]]="","",TRIM(LEFT(tblMovimientos[[#This Row],[Producto]],FIND(" · ",tblMovimientos[[#This Row],[Producto]]&amp;" · ")-1)))</f>
        <v/>
      </c>
      <c r="H3219" s="40" t="str">
        <f>IF(tblMovimientos[[#This Row],[SKU]]="","",IFERROR(INDEX(tblProductos[Unidad],MATCH(tblMovimientos[[#This Row],[SKU]],tblProductos[SKU],0)),"?"))</f>
        <v/>
      </c>
      <c r="I3219" s="39"/>
      <c r="J3219" s="47" t="str">
        <f>IF(tblMovimientos[[#This Row],[Tipo]]="","",IFERROR(INDEX(tblTiposMov[FactorStock],MATCH(tblMovimientos[[#This Row],[Tipo]],tblTiposMov[Tipo],0)),0))</f>
        <v/>
      </c>
      <c r="K32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19" s="37"/>
      <c r="O3219" s="37"/>
      <c r="P3219" s="37"/>
    </row>
    <row r="3220" spans="2:16" x14ac:dyDescent="0.25">
      <c r="B32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0" s="46"/>
      <c r="D3220" s="37"/>
      <c r="E3220" s="37"/>
      <c r="F3220" s="37"/>
      <c r="G3220" s="40" t="str">
        <f>IF(tblMovimientos[[#This Row],[Producto]]="","",TRIM(LEFT(tblMovimientos[[#This Row],[Producto]],FIND(" · ",tblMovimientos[[#This Row],[Producto]]&amp;" · ")-1)))</f>
        <v/>
      </c>
      <c r="H3220" s="40" t="str">
        <f>IF(tblMovimientos[[#This Row],[SKU]]="","",IFERROR(INDEX(tblProductos[Unidad],MATCH(tblMovimientos[[#This Row],[SKU]],tblProductos[SKU],0)),"?"))</f>
        <v/>
      </c>
      <c r="I3220" s="39"/>
      <c r="J3220" s="47" t="str">
        <f>IF(tblMovimientos[[#This Row],[Tipo]]="","",IFERROR(INDEX(tblTiposMov[FactorStock],MATCH(tblMovimientos[[#This Row],[Tipo]],tblTiposMov[Tipo],0)),0))</f>
        <v/>
      </c>
      <c r="K32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0" s="37"/>
      <c r="O3220" s="37"/>
      <c r="P3220" s="37"/>
    </row>
    <row r="3221" spans="2:16" x14ac:dyDescent="0.25">
      <c r="B32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1" s="46"/>
      <c r="D3221" s="37"/>
      <c r="E3221" s="37"/>
      <c r="F3221" s="37"/>
      <c r="G3221" s="40" t="str">
        <f>IF(tblMovimientos[[#This Row],[Producto]]="","",TRIM(LEFT(tblMovimientos[[#This Row],[Producto]],FIND(" · ",tblMovimientos[[#This Row],[Producto]]&amp;" · ")-1)))</f>
        <v/>
      </c>
      <c r="H3221" s="40" t="str">
        <f>IF(tblMovimientos[[#This Row],[SKU]]="","",IFERROR(INDEX(tblProductos[Unidad],MATCH(tblMovimientos[[#This Row],[SKU]],tblProductos[SKU],0)),"?"))</f>
        <v/>
      </c>
      <c r="I3221" s="39"/>
      <c r="J3221" s="47" t="str">
        <f>IF(tblMovimientos[[#This Row],[Tipo]]="","",IFERROR(INDEX(tblTiposMov[FactorStock],MATCH(tblMovimientos[[#This Row],[Tipo]],tblTiposMov[Tipo],0)),0))</f>
        <v/>
      </c>
      <c r="K32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1" s="37"/>
      <c r="O3221" s="37"/>
      <c r="P3221" s="37"/>
    </row>
    <row r="3222" spans="2:16" x14ac:dyDescent="0.25">
      <c r="B32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2" s="46"/>
      <c r="D3222" s="37"/>
      <c r="E3222" s="37"/>
      <c r="F3222" s="37"/>
      <c r="G3222" s="40" t="str">
        <f>IF(tblMovimientos[[#This Row],[Producto]]="","",TRIM(LEFT(tblMovimientos[[#This Row],[Producto]],FIND(" · ",tblMovimientos[[#This Row],[Producto]]&amp;" · ")-1)))</f>
        <v/>
      </c>
      <c r="H3222" s="40" t="str">
        <f>IF(tblMovimientos[[#This Row],[SKU]]="","",IFERROR(INDEX(tblProductos[Unidad],MATCH(tblMovimientos[[#This Row],[SKU]],tblProductos[SKU],0)),"?"))</f>
        <v/>
      </c>
      <c r="I3222" s="39"/>
      <c r="J3222" s="47" t="str">
        <f>IF(tblMovimientos[[#This Row],[Tipo]]="","",IFERROR(INDEX(tblTiposMov[FactorStock],MATCH(tblMovimientos[[#This Row],[Tipo]],tblTiposMov[Tipo],0)),0))</f>
        <v/>
      </c>
      <c r="K32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2" s="37"/>
      <c r="O3222" s="37"/>
      <c r="P3222" s="37"/>
    </row>
    <row r="3223" spans="2:16" x14ac:dyDescent="0.25">
      <c r="B32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3" s="46"/>
      <c r="D3223" s="37"/>
      <c r="E3223" s="37"/>
      <c r="F3223" s="37"/>
      <c r="G3223" s="40" t="str">
        <f>IF(tblMovimientos[[#This Row],[Producto]]="","",TRIM(LEFT(tblMovimientos[[#This Row],[Producto]],FIND(" · ",tblMovimientos[[#This Row],[Producto]]&amp;" · ")-1)))</f>
        <v/>
      </c>
      <c r="H3223" s="40" t="str">
        <f>IF(tblMovimientos[[#This Row],[SKU]]="","",IFERROR(INDEX(tblProductos[Unidad],MATCH(tblMovimientos[[#This Row],[SKU]],tblProductos[SKU],0)),"?"))</f>
        <v/>
      </c>
      <c r="I3223" s="39"/>
      <c r="J3223" s="47" t="str">
        <f>IF(tblMovimientos[[#This Row],[Tipo]]="","",IFERROR(INDEX(tblTiposMov[FactorStock],MATCH(tblMovimientos[[#This Row],[Tipo]],tblTiposMov[Tipo],0)),0))</f>
        <v/>
      </c>
      <c r="K32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3" s="37"/>
      <c r="O3223" s="37"/>
      <c r="P3223" s="37"/>
    </row>
    <row r="3224" spans="2:16" x14ac:dyDescent="0.25">
      <c r="B32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4" s="46"/>
      <c r="D3224" s="37"/>
      <c r="E3224" s="37"/>
      <c r="F3224" s="37"/>
      <c r="G3224" s="40" t="str">
        <f>IF(tblMovimientos[[#This Row],[Producto]]="","",TRIM(LEFT(tblMovimientos[[#This Row],[Producto]],FIND(" · ",tblMovimientos[[#This Row],[Producto]]&amp;" · ")-1)))</f>
        <v/>
      </c>
      <c r="H3224" s="40" t="str">
        <f>IF(tblMovimientos[[#This Row],[SKU]]="","",IFERROR(INDEX(tblProductos[Unidad],MATCH(tblMovimientos[[#This Row],[SKU]],tblProductos[SKU],0)),"?"))</f>
        <v/>
      </c>
      <c r="I3224" s="39"/>
      <c r="J3224" s="47" t="str">
        <f>IF(tblMovimientos[[#This Row],[Tipo]]="","",IFERROR(INDEX(tblTiposMov[FactorStock],MATCH(tblMovimientos[[#This Row],[Tipo]],tblTiposMov[Tipo],0)),0))</f>
        <v/>
      </c>
      <c r="K32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4" s="37"/>
      <c r="O3224" s="37"/>
      <c r="P3224" s="37"/>
    </row>
    <row r="3225" spans="2:16" x14ac:dyDescent="0.25">
      <c r="B32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5" s="46"/>
      <c r="D3225" s="37"/>
      <c r="E3225" s="37"/>
      <c r="F3225" s="37"/>
      <c r="G3225" s="40" t="str">
        <f>IF(tblMovimientos[[#This Row],[Producto]]="","",TRIM(LEFT(tblMovimientos[[#This Row],[Producto]],FIND(" · ",tblMovimientos[[#This Row],[Producto]]&amp;" · ")-1)))</f>
        <v/>
      </c>
      <c r="H3225" s="40" t="str">
        <f>IF(tblMovimientos[[#This Row],[SKU]]="","",IFERROR(INDEX(tblProductos[Unidad],MATCH(tblMovimientos[[#This Row],[SKU]],tblProductos[SKU],0)),"?"))</f>
        <v/>
      </c>
      <c r="I3225" s="39"/>
      <c r="J3225" s="47" t="str">
        <f>IF(tblMovimientos[[#This Row],[Tipo]]="","",IFERROR(INDEX(tblTiposMov[FactorStock],MATCH(tblMovimientos[[#This Row],[Tipo]],tblTiposMov[Tipo],0)),0))</f>
        <v/>
      </c>
      <c r="K32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5" s="37"/>
      <c r="O3225" s="37"/>
      <c r="P3225" s="37"/>
    </row>
    <row r="3226" spans="2:16" x14ac:dyDescent="0.25">
      <c r="B32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6" s="46"/>
      <c r="D3226" s="37"/>
      <c r="E3226" s="37"/>
      <c r="F3226" s="37"/>
      <c r="G3226" s="40" t="str">
        <f>IF(tblMovimientos[[#This Row],[Producto]]="","",TRIM(LEFT(tblMovimientos[[#This Row],[Producto]],FIND(" · ",tblMovimientos[[#This Row],[Producto]]&amp;" · ")-1)))</f>
        <v/>
      </c>
      <c r="H3226" s="40" t="str">
        <f>IF(tblMovimientos[[#This Row],[SKU]]="","",IFERROR(INDEX(tblProductos[Unidad],MATCH(tblMovimientos[[#This Row],[SKU]],tblProductos[SKU],0)),"?"))</f>
        <v/>
      </c>
      <c r="I3226" s="39"/>
      <c r="J3226" s="47" t="str">
        <f>IF(tblMovimientos[[#This Row],[Tipo]]="","",IFERROR(INDEX(tblTiposMov[FactorStock],MATCH(tblMovimientos[[#This Row],[Tipo]],tblTiposMov[Tipo],0)),0))</f>
        <v/>
      </c>
      <c r="K32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6" s="37"/>
      <c r="O3226" s="37"/>
      <c r="P3226" s="37"/>
    </row>
    <row r="3227" spans="2:16" x14ac:dyDescent="0.25">
      <c r="B32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7" s="46"/>
      <c r="D3227" s="37"/>
      <c r="E3227" s="37"/>
      <c r="F3227" s="37"/>
      <c r="G3227" s="40" t="str">
        <f>IF(tblMovimientos[[#This Row],[Producto]]="","",TRIM(LEFT(tblMovimientos[[#This Row],[Producto]],FIND(" · ",tblMovimientos[[#This Row],[Producto]]&amp;" · ")-1)))</f>
        <v/>
      </c>
      <c r="H3227" s="40" t="str">
        <f>IF(tblMovimientos[[#This Row],[SKU]]="","",IFERROR(INDEX(tblProductos[Unidad],MATCH(tblMovimientos[[#This Row],[SKU]],tblProductos[SKU],0)),"?"))</f>
        <v/>
      </c>
      <c r="I3227" s="39"/>
      <c r="J3227" s="47" t="str">
        <f>IF(tblMovimientos[[#This Row],[Tipo]]="","",IFERROR(INDEX(tblTiposMov[FactorStock],MATCH(tblMovimientos[[#This Row],[Tipo]],tblTiposMov[Tipo],0)),0))</f>
        <v/>
      </c>
      <c r="K32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7" s="37"/>
      <c r="O3227" s="37"/>
      <c r="P3227" s="37"/>
    </row>
    <row r="3228" spans="2:16" x14ac:dyDescent="0.25">
      <c r="B32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8" s="46"/>
      <c r="D3228" s="37"/>
      <c r="E3228" s="37"/>
      <c r="F3228" s="37"/>
      <c r="G3228" s="40" t="str">
        <f>IF(tblMovimientos[[#This Row],[Producto]]="","",TRIM(LEFT(tblMovimientos[[#This Row],[Producto]],FIND(" · ",tblMovimientos[[#This Row],[Producto]]&amp;" · ")-1)))</f>
        <v/>
      </c>
      <c r="H3228" s="40" t="str">
        <f>IF(tblMovimientos[[#This Row],[SKU]]="","",IFERROR(INDEX(tblProductos[Unidad],MATCH(tblMovimientos[[#This Row],[SKU]],tblProductos[SKU],0)),"?"))</f>
        <v/>
      </c>
      <c r="I3228" s="39"/>
      <c r="J3228" s="47" t="str">
        <f>IF(tblMovimientos[[#This Row],[Tipo]]="","",IFERROR(INDEX(tblTiposMov[FactorStock],MATCH(tblMovimientos[[#This Row],[Tipo]],tblTiposMov[Tipo],0)),0))</f>
        <v/>
      </c>
      <c r="K32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8" s="37"/>
      <c r="O3228" s="37"/>
      <c r="P3228" s="37"/>
    </row>
    <row r="3229" spans="2:16" x14ac:dyDescent="0.25">
      <c r="B32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29" s="46"/>
      <c r="D3229" s="37"/>
      <c r="E3229" s="37"/>
      <c r="F3229" s="37"/>
      <c r="G3229" s="40" t="str">
        <f>IF(tblMovimientos[[#This Row],[Producto]]="","",TRIM(LEFT(tblMovimientos[[#This Row],[Producto]],FIND(" · ",tblMovimientos[[#This Row],[Producto]]&amp;" · ")-1)))</f>
        <v/>
      </c>
      <c r="H3229" s="40" t="str">
        <f>IF(tblMovimientos[[#This Row],[SKU]]="","",IFERROR(INDEX(tblProductos[Unidad],MATCH(tblMovimientos[[#This Row],[SKU]],tblProductos[SKU],0)),"?"))</f>
        <v/>
      </c>
      <c r="I3229" s="39"/>
      <c r="J3229" s="47" t="str">
        <f>IF(tblMovimientos[[#This Row],[Tipo]]="","",IFERROR(INDEX(tblTiposMov[FactorStock],MATCH(tblMovimientos[[#This Row],[Tipo]],tblTiposMov[Tipo],0)),0))</f>
        <v/>
      </c>
      <c r="K32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29" s="37"/>
      <c r="O3229" s="37"/>
      <c r="P3229" s="37"/>
    </row>
    <row r="3230" spans="2:16" x14ac:dyDescent="0.25">
      <c r="B32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0" s="46"/>
      <c r="D3230" s="37"/>
      <c r="E3230" s="37"/>
      <c r="F3230" s="37"/>
      <c r="G3230" s="40" t="str">
        <f>IF(tblMovimientos[[#This Row],[Producto]]="","",TRIM(LEFT(tblMovimientos[[#This Row],[Producto]],FIND(" · ",tblMovimientos[[#This Row],[Producto]]&amp;" · ")-1)))</f>
        <v/>
      </c>
      <c r="H3230" s="40" t="str">
        <f>IF(tblMovimientos[[#This Row],[SKU]]="","",IFERROR(INDEX(tblProductos[Unidad],MATCH(tblMovimientos[[#This Row],[SKU]],tblProductos[SKU],0)),"?"))</f>
        <v/>
      </c>
      <c r="I3230" s="39"/>
      <c r="J3230" s="47" t="str">
        <f>IF(tblMovimientos[[#This Row],[Tipo]]="","",IFERROR(INDEX(tblTiposMov[FactorStock],MATCH(tblMovimientos[[#This Row],[Tipo]],tblTiposMov[Tipo],0)),0))</f>
        <v/>
      </c>
      <c r="K32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0" s="37"/>
      <c r="O3230" s="37"/>
      <c r="P3230" s="37"/>
    </row>
    <row r="3231" spans="2:16" x14ac:dyDescent="0.25">
      <c r="B32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1" s="46"/>
      <c r="D3231" s="37"/>
      <c r="E3231" s="37"/>
      <c r="F3231" s="37"/>
      <c r="G3231" s="40" t="str">
        <f>IF(tblMovimientos[[#This Row],[Producto]]="","",TRIM(LEFT(tblMovimientos[[#This Row],[Producto]],FIND(" · ",tblMovimientos[[#This Row],[Producto]]&amp;" · ")-1)))</f>
        <v/>
      </c>
      <c r="H3231" s="40" t="str">
        <f>IF(tblMovimientos[[#This Row],[SKU]]="","",IFERROR(INDEX(tblProductos[Unidad],MATCH(tblMovimientos[[#This Row],[SKU]],tblProductos[SKU],0)),"?"))</f>
        <v/>
      </c>
      <c r="I3231" s="39"/>
      <c r="J3231" s="47" t="str">
        <f>IF(tblMovimientos[[#This Row],[Tipo]]="","",IFERROR(INDEX(tblTiposMov[FactorStock],MATCH(tblMovimientos[[#This Row],[Tipo]],tblTiposMov[Tipo],0)),0))</f>
        <v/>
      </c>
      <c r="K32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1" s="37"/>
      <c r="O3231" s="37"/>
      <c r="P3231" s="37"/>
    </row>
    <row r="3232" spans="2:16" x14ac:dyDescent="0.25">
      <c r="B32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2" s="46"/>
      <c r="D3232" s="37"/>
      <c r="E3232" s="37"/>
      <c r="F3232" s="37"/>
      <c r="G3232" s="40" t="str">
        <f>IF(tblMovimientos[[#This Row],[Producto]]="","",TRIM(LEFT(tblMovimientos[[#This Row],[Producto]],FIND(" · ",tblMovimientos[[#This Row],[Producto]]&amp;" · ")-1)))</f>
        <v/>
      </c>
      <c r="H3232" s="40" t="str">
        <f>IF(tblMovimientos[[#This Row],[SKU]]="","",IFERROR(INDEX(tblProductos[Unidad],MATCH(tblMovimientos[[#This Row],[SKU]],tblProductos[SKU],0)),"?"))</f>
        <v/>
      </c>
      <c r="I3232" s="39"/>
      <c r="J3232" s="47" t="str">
        <f>IF(tblMovimientos[[#This Row],[Tipo]]="","",IFERROR(INDEX(tblTiposMov[FactorStock],MATCH(tblMovimientos[[#This Row],[Tipo]],tblTiposMov[Tipo],0)),0))</f>
        <v/>
      </c>
      <c r="K32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2" s="37"/>
      <c r="O3232" s="37"/>
      <c r="P3232" s="37"/>
    </row>
    <row r="3233" spans="2:16" x14ac:dyDescent="0.25">
      <c r="B32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3" s="46"/>
      <c r="D3233" s="37"/>
      <c r="E3233" s="37"/>
      <c r="F3233" s="37"/>
      <c r="G3233" s="40" t="str">
        <f>IF(tblMovimientos[[#This Row],[Producto]]="","",TRIM(LEFT(tblMovimientos[[#This Row],[Producto]],FIND(" · ",tblMovimientos[[#This Row],[Producto]]&amp;" · ")-1)))</f>
        <v/>
      </c>
      <c r="H3233" s="40" t="str">
        <f>IF(tblMovimientos[[#This Row],[SKU]]="","",IFERROR(INDEX(tblProductos[Unidad],MATCH(tblMovimientos[[#This Row],[SKU]],tblProductos[SKU],0)),"?"))</f>
        <v/>
      </c>
      <c r="I3233" s="39"/>
      <c r="J3233" s="47" t="str">
        <f>IF(tblMovimientos[[#This Row],[Tipo]]="","",IFERROR(INDEX(tblTiposMov[FactorStock],MATCH(tblMovimientos[[#This Row],[Tipo]],tblTiposMov[Tipo],0)),0))</f>
        <v/>
      </c>
      <c r="K32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3" s="37"/>
      <c r="O3233" s="37"/>
      <c r="P3233" s="37"/>
    </row>
    <row r="3234" spans="2:16" x14ac:dyDescent="0.25">
      <c r="B32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4" s="46"/>
      <c r="D3234" s="37"/>
      <c r="E3234" s="37"/>
      <c r="F3234" s="37"/>
      <c r="G3234" s="40" t="str">
        <f>IF(tblMovimientos[[#This Row],[Producto]]="","",TRIM(LEFT(tblMovimientos[[#This Row],[Producto]],FIND(" · ",tblMovimientos[[#This Row],[Producto]]&amp;" · ")-1)))</f>
        <v/>
      </c>
      <c r="H3234" s="40" t="str">
        <f>IF(tblMovimientos[[#This Row],[SKU]]="","",IFERROR(INDEX(tblProductos[Unidad],MATCH(tblMovimientos[[#This Row],[SKU]],tblProductos[SKU],0)),"?"))</f>
        <v/>
      </c>
      <c r="I3234" s="39"/>
      <c r="J3234" s="47" t="str">
        <f>IF(tblMovimientos[[#This Row],[Tipo]]="","",IFERROR(INDEX(tblTiposMov[FactorStock],MATCH(tblMovimientos[[#This Row],[Tipo]],tblTiposMov[Tipo],0)),0))</f>
        <v/>
      </c>
      <c r="K32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4" s="37"/>
      <c r="O3234" s="37"/>
      <c r="P3234" s="37"/>
    </row>
    <row r="3235" spans="2:16" x14ac:dyDescent="0.25">
      <c r="B32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5" s="46"/>
      <c r="D3235" s="37"/>
      <c r="E3235" s="37"/>
      <c r="F3235" s="37"/>
      <c r="G3235" s="40" t="str">
        <f>IF(tblMovimientos[[#This Row],[Producto]]="","",TRIM(LEFT(tblMovimientos[[#This Row],[Producto]],FIND(" · ",tblMovimientos[[#This Row],[Producto]]&amp;" · ")-1)))</f>
        <v/>
      </c>
      <c r="H3235" s="40" t="str">
        <f>IF(tblMovimientos[[#This Row],[SKU]]="","",IFERROR(INDEX(tblProductos[Unidad],MATCH(tblMovimientos[[#This Row],[SKU]],tblProductos[SKU],0)),"?"))</f>
        <v/>
      </c>
      <c r="I3235" s="39"/>
      <c r="J3235" s="47" t="str">
        <f>IF(tblMovimientos[[#This Row],[Tipo]]="","",IFERROR(INDEX(tblTiposMov[FactorStock],MATCH(tblMovimientos[[#This Row],[Tipo]],tblTiposMov[Tipo],0)),0))</f>
        <v/>
      </c>
      <c r="K32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5" s="37"/>
      <c r="O3235" s="37"/>
      <c r="P3235" s="37"/>
    </row>
    <row r="3236" spans="2:16" x14ac:dyDescent="0.25">
      <c r="B32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6" s="46"/>
      <c r="D3236" s="37"/>
      <c r="E3236" s="37"/>
      <c r="F3236" s="37"/>
      <c r="G3236" s="40" t="str">
        <f>IF(tblMovimientos[[#This Row],[Producto]]="","",TRIM(LEFT(tblMovimientos[[#This Row],[Producto]],FIND(" · ",tblMovimientos[[#This Row],[Producto]]&amp;" · ")-1)))</f>
        <v/>
      </c>
      <c r="H3236" s="40" t="str">
        <f>IF(tblMovimientos[[#This Row],[SKU]]="","",IFERROR(INDEX(tblProductos[Unidad],MATCH(tblMovimientos[[#This Row],[SKU]],tblProductos[SKU],0)),"?"))</f>
        <v/>
      </c>
      <c r="I3236" s="39"/>
      <c r="J3236" s="47" t="str">
        <f>IF(tblMovimientos[[#This Row],[Tipo]]="","",IFERROR(INDEX(tblTiposMov[FactorStock],MATCH(tblMovimientos[[#This Row],[Tipo]],tblTiposMov[Tipo],0)),0))</f>
        <v/>
      </c>
      <c r="K32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6" s="37"/>
      <c r="O3236" s="37"/>
      <c r="P3236" s="37"/>
    </row>
    <row r="3237" spans="2:16" x14ac:dyDescent="0.25">
      <c r="B32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7" s="46"/>
      <c r="D3237" s="37"/>
      <c r="E3237" s="37"/>
      <c r="F3237" s="37"/>
      <c r="G3237" s="40" t="str">
        <f>IF(tblMovimientos[[#This Row],[Producto]]="","",TRIM(LEFT(tblMovimientos[[#This Row],[Producto]],FIND(" · ",tblMovimientos[[#This Row],[Producto]]&amp;" · ")-1)))</f>
        <v/>
      </c>
      <c r="H3237" s="40" t="str">
        <f>IF(tblMovimientos[[#This Row],[SKU]]="","",IFERROR(INDEX(tblProductos[Unidad],MATCH(tblMovimientos[[#This Row],[SKU]],tblProductos[SKU],0)),"?"))</f>
        <v/>
      </c>
      <c r="I3237" s="39"/>
      <c r="J3237" s="47" t="str">
        <f>IF(tblMovimientos[[#This Row],[Tipo]]="","",IFERROR(INDEX(tblTiposMov[FactorStock],MATCH(tblMovimientos[[#This Row],[Tipo]],tblTiposMov[Tipo],0)),0))</f>
        <v/>
      </c>
      <c r="K32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7" s="37"/>
      <c r="O3237" s="37"/>
      <c r="P3237" s="37"/>
    </row>
    <row r="3238" spans="2:16" x14ac:dyDescent="0.25">
      <c r="B32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8" s="46"/>
      <c r="D3238" s="37"/>
      <c r="E3238" s="37"/>
      <c r="F3238" s="37"/>
      <c r="G3238" s="40" t="str">
        <f>IF(tblMovimientos[[#This Row],[Producto]]="","",TRIM(LEFT(tblMovimientos[[#This Row],[Producto]],FIND(" · ",tblMovimientos[[#This Row],[Producto]]&amp;" · ")-1)))</f>
        <v/>
      </c>
      <c r="H3238" s="40" t="str">
        <f>IF(tblMovimientos[[#This Row],[SKU]]="","",IFERROR(INDEX(tblProductos[Unidad],MATCH(tblMovimientos[[#This Row],[SKU]],tblProductos[SKU],0)),"?"))</f>
        <v/>
      </c>
      <c r="I3238" s="39"/>
      <c r="J3238" s="47" t="str">
        <f>IF(tblMovimientos[[#This Row],[Tipo]]="","",IFERROR(INDEX(tblTiposMov[FactorStock],MATCH(tblMovimientos[[#This Row],[Tipo]],tblTiposMov[Tipo],0)),0))</f>
        <v/>
      </c>
      <c r="K32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8" s="37"/>
      <c r="O3238" s="37"/>
      <c r="P3238" s="37"/>
    </row>
    <row r="3239" spans="2:16" x14ac:dyDescent="0.25">
      <c r="B32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39" s="46"/>
      <c r="D3239" s="37"/>
      <c r="E3239" s="37"/>
      <c r="F3239" s="37"/>
      <c r="G3239" s="40" t="str">
        <f>IF(tblMovimientos[[#This Row],[Producto]]="","",TRIM(LEFT(tblMovimientos[[#This Row],[Producto]],FIND(" · ",tblMovimientos[[#This Row],[Producto]]&amp;" · ")-1)))</f>
        <v/>
      </c>
      <c r="H3239" s="40" t="str">
        <f>IF(tblMovimientos[[#This Row],[SKU]]="","",IFERROR(INDEX(tblProductos[Unidad],MATCH(tblMovimientos[[#This Row],[SKU]],tblProductos[SKU],0)),"?"))</f>
        <v/>
      </c>
      <c r="I3239" s="39"/>
      <c r="J3239" s="47" t="str">
        <f>IF(tblMovimientos[[#This Row],[Tipo]]="","",IFERROR(INDEX(tblTiposMov[FactorStock],MATCH(tblMovimientos[[#This Row],[Tipo]],tblTiposMov[Tipo],0)),0))</f>
        <v/>
      </c>
      <c r="K32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39" s="37"/>
      <c r="O3239" s="37"/>
      <c r="P3239" s="37"/>
    </row>
    <row r="3240" spans="2:16" x14ac:dyDescent="0.25">
      <c r="B32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0" s="46"/>
      <c r="D3240" s="37"/>
      <c r="E3240" s="37"/>
      <c r="F3240" s="37"/>
      <c r="G3240" s="40" t="str">
        <f>IF(tblMovimientos[[#This Row],[Producto]]="","",TRIM(LEFT(tblMovimientos[[#This Row],[Producto]],FIND(" · ",tblMovimientos[[#This Row],[Producto]]&amp;" · ")-1)))</f>
        <v/>
      </c>
      <c r="H3240" s="40" t="str">
        <f>IF(tblMovimientos[[#This Row],[SKU]]="","",IFERROR(INDEX(tblProductos[Unidad],MATCH(tblMovimientos[[#This Row],[SKU]],tblProductos[SKU],0)),"?"))</f>
        <v/>
      </c>
      <c r="I3240" s="39"/>
      <c r="J3240" s="47" t="str">
        <f>IF(tblMovimientos[[#This Row],[Tipo]]="","",IFERROR(INDEX(tblTiposMov[FactorStock],MATCH(tblMovimientos[[#This Row],[Tipo]],tblTiposMov[Tipo],0)),0))</f>
        <v/>
      </c>
      <c r="K32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0" s="37"/>
      <c r="O3240" s="37"/>
      <c r="P3240" s="37"/>
    </row>
    <row r="3241" spans="2:16" x14ac:dyDescent="0.25">
      <c r="B32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1" s="46"/>
      <c r="D3241" s="37"/>
      <c r="E3241" s="37"/>
      <c r="F3241" s="37"/>
      <c r="G3241" s="40" t="str">
        <f>IF(tblMovimientos[[#This Row],[Producto]]="","",TRIM(LEFT(tblMovimientos[[#This Row],[Producto]],FIND(" · ",tblMovimientos[[#This Row],[Producto]]&amp;" · ")-1)))</f>
        <v/>
      </c>
      <c r="H3241" s="40" t="str">
        <f>IF(tblMovimientos[[#This Row],[SKU]]="","",IFERROR(INDEX(tblProductos[Unidad],MATCH(tblMovimientos[[#This Row],[SKU]],tblProductos[SKU],0)),"?"))</f>
        <v/>
      </c>
      <c r="I3241" s="39"/>
      <c r="J3241" s="47" t="str">
        <f>IF(tblMovimientos[[#This Row],[Tipo]]="","",IFERROR(INDEX(tblTiposMov[FactorStock],MATCH(tblMovimientos[[#This Row],[Tipo]],tblTiposMov[Tipo],0)),0))</f>
        <v/>
      </c>
      <c r="K32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1" s="37"/>
      <c r="O3241" s="37"/>
      <c r="P3241" s="37"/>
    </row>
    <row r="3242" spans="2:16" x14ac:dyDescent="0.25">
      <c r="B32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2" s="46"/>
      <c r="D3242" s="37"/>
      <c r="E3242" s="37"/>
      <c r="F3242" s="37"/>
      <c r="G3242" s="40" t="str">
        <f>IF(tblMovimientos[[#This Row],[Producto]]="","",TRIM(LEFT(tblMovimientos[[#This Row],[Producto]],FIND(" · ",tblMovimientos[[#This Row],[Producto]]&amp;" · ")-1)))</f>
        <v/>
      </c>
      <c r="H3242" s="40" t="str">
        <f>IF(tblMovimientos[[#This Row],[SKU]]="","",IFERROR(INDEX(tblProductos[Unidad],MATCH(tblMovimientos[[#This Row],[SKU]],tblProductos[SKU],0)),"?"))</f>
        <v/>
      </c>
      <c r="I3242" s="39"/>
      <c r="J3242" s="47" t="str">
        <f>IF(tblMovimientos[[#This Row],[Tipo]]="","",IFERROR(INDEX(tblTiposMov[FactorStock],MATCH(tblMovimientos[[#This Row],[Tipo]],tblTiposMov[Tipo],0)),0))</f>
        <v/>
      </c>
      <c r="K32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2" s="37"/>
      <c r="O3242" s="37"/>
      <c r="P3242" s="37"/>
    </row>
    <row r="3243" spans="2:16" x14ac:dyDescent="0.25">
      <c r="B32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3" s="46"/>
      <c r="D3243" s="37"/>
      <c r="E3243" s="37"/>
      <c r="F3243" s="37"/>
      <c r="G3243" s="40" t="str">
        <f>IF(tblMovimientos[[#This Row],[Producto]]="","",TRIM(LEFT(tblMovimientos[[#This Row],[Producto]],FIND(" · ",tblMovimientos[[#This Row],[Producto]]&amp;" · ")-1)))</f>
        <v/>
      </c>
      <c r="H3243" s="40" t="str">
        <f>IF(tblMovimientos[[#This Row],[SKU]]="","",IFERROR(INDEX(tblProductos[Unidad],MATCH(tblMovimientos[[#This Row],[SKU]],tblProductos[SKU],0)),"?"))</f>
        <v/>
      </c>
      <c r="I3243" s="39"/>
      <c r="J3243" s="47" t="str">
        <f>IF(tblMovimientos[[#This Row],[Tipo]]="","",IFERROR(INDEX(tblTiposMov[FactorStock],MATCH(tblMovimientos[[#This Row],[Tipo]],tblTiposMov[Tipo],0)),0))</f>
        <v/>
      </c>
      <c r="K32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3" s="37"/>
      <c r="O3243" s="37"/>
      <c r="P3243" s="37"/>
    </row>
    <row r="3244" spans="2:16" x14ac:dyDescent="0.25">
      <c r="B32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4" s="46"/>
      <c r="D3244" s="37"/>
      <c r="E3244" s="37"/>
      <c r="F3244" s="37"/>
      <c r="G3244" s="40" t="str">
        <f>IF(tblMovimientos[[#This Row],[Producto]]="","",TRIM(LEFT(tblMovimientos[[#This Row],[Producto]],FIND(" · ",tblMovimientos[[#This Row],[Producto]]&amp;" · ")-1)))</f>
        <v/>
      </c>
      <c r="H3244" s="40" t="str">
        <f>IF(tblMovimientos[[#This Row],[SKU]]="","",IFERROR(INDEX(tblProductos[Unidad],MATCH(tblMovimientos[[#This Row],[SKU]],tblProductos[SKU],0)),"?"))</f>
        <v/>
      </c>
      <c r="I3244" s="39"/>
      <c r="J3244" s="47" t="str">
        <f>IF(tblMovimientos[[#This Row],[Tipo]]="","",IFERROR(INDEX(tblTiposMov[FactorStock],MATCH(tblMovimientos[[#This Row],[Tipo]],tblTiposMov[Tipo],0)),0))</f>
        <v/>
      </c>
      <c r="K32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4" s="37"/>
      <c r="O3244" s="37"/>
      <c r="P3244" s="37"/>
    </row>
    <row r="3245" spans="2:16" x14ac:dyDescent="0.25">
      <c r="B32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5" s="46"/>
      <c r="D3245" s="37"/>
      <c r="E3245" s="37"/>
      <c r="F3245" s="37"/>
      <c r="G3245" s="40" t="str">
        <f>IF(tblMovimientos[[#This Row],[Producto]]="","",TRIM(LEFT(tblMovimientos[[#This Row],[Producto]],FIND(" · ",tblMovimientos[[#This Row],[Producto]]&amp;" · ")-1)))</f>
        <v/>
      </c>
      <c r="H3245" s="40" t="str">
        <f>IF(tblMovimientos[[#This Row],[SKU]]="","",IFERROR(INDEX(tblProductos[Unidad],MATCH(tblMovimientos[[#This Row],[SKU]],tblProductos[SKU],0)),"?"))</f>
        <v/>
      </c>
      <c r="I3245" s="39"/>
      <c r="J3245" s="47" t="str">
        <f>IF(tblMovimientos[[#This Row],[Tipo]]="","",IFERROR(INDEX(tblTiposMov[FactorStock],MATCH(tblMovimientos[[#This Row],[Tipo]],tblTiposMov[Tipo],0)),0))</f>
        <v/>
      </c>
      <c r="K32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5" s="37"/>
      <c r="O3245" s="37"/>
      <c r="P3245" s="37"/>
    </row>
    <row r="3246" spans="2:16" x14ac:dyDescent="0.25">
      <c r="B32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6" s="46"/>
      <c r="D3246" s="37"/>
      <c r="E3246" s="37"/>
      <c r="F3246" s="37"/>
      <c r="G3246" s="40" t="str">
        <f>IF(tblMovimientos[[#This Row],[Producto]]="","",TRIM(LEFT(tblMovimientos[[#This Row],[Producto]],FIND(" · ",tblMovimientos[[#This Row],[Producto]]&amp;" · ")-1)))</f>
        <v/>
      </c>
      <c r="H3246" s="40" t="str">
        <f>IF(tblMovimientos[[#This Row],[SKU]]="","",IFERROR(INDEX(tblProductos[Unidad],MATCH(tblMovimientos[[#This Row],[SKU]],tblProductos[SKU],0)),"?"))</f>
        <v/>
      </c>
      <c r="I3246" s="39"/>
      <c r="J3246" s="47" t="str">
        <f>IF(tblMovimientos[[#This Row],[Tipo]]="","",IFERROR(INDEX(tblTiposMov[FactorStock],MATCH(tblMovimientos[[#This Row],[Tipo]],tblTiposMov[Tipo],0)),0))</f>
        <v/>
      </c>
      <c r="K32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6" s="37"/>
      <c r="O3246" s="37"/>
      <c r="P3246" s="37"/>
    </row>
    <row r="3247" spans="2:16" x14ac:dyDescent="0.25">
      <c r="B32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7" s="46"/>
      <c r="D3247" s="37"/>
      <c r="E3247" s="37"/>
      <c r="F3247" s="37"/>
      <c r="G3247" s="40" t="str">
        <f>IF(tblMovimientos[[#This Row],[Producto]]="","",TRIM(LEFT(tblMovimientos[[#This Row],[Producto]],FIND(" · ",tblMovimientos[[#This Row],[Producto]]&amp;" · ")-1)))</f>
        <v/>
      </c>
      <c r="H3247" s="40" t="str">
        <f>IF(tblMovimientos[[#This Row],[SKU]]="","",IFERROR(INDEX(tblProductos[Unidad],MATCH(tblMovimientos[[#This Row],[SKU]],tblProductos[SKU],0)),"?"))</f>
        <v/>
      </c>
      <c r="I3247" s="39"/>
      <c r="J3247" s="47" t="str">
        <f>IF(tblMovimientos[[#This Row],[Tipo]]="","",IFERROR(INDEX(tblTiposMov[FactorStock],MATCH(tblMovimientos[[#This Row],[Tipo]],tblTiposMov[Tipo],0)),0))</f>
        <v/>
      </c>
      <c r="K32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7" s="37"/>
      <c r="O3247" s="37"/>
      <c r="P3247" s="37"/>
    </row>
    <row r="3248" spans="2:16" x14ac:dyDescent="0.25">
      <c r="B32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8" s="46"/>
      <c r="D3248" s="37"/>
      <c r="E3248" s="37"/>
      <c r="F3248" s="37"/>
      <c r="G3248" s="40" t="str">
        <f>IF(tblMovimientos[[#This Row],[Producto]]="","",TRIM(LEFT(tblMovimientos[[#This Row],[Producto]],FIND(" · ",tblMovimientos[[#This Row],[Producto]]&amp;" · ")-1)))</f>
        <v/>
      </c>
      <c r="H3248" s="40" t="str">
        <f>IF(tblMovimientos[[#This Row],[SKU]]="","",IFERROR(INDEX(tblProductos[Unidad],MATCH(tblMovimientos[[#This Row],[SKU]],tblProductos[SKU],0)),"?"))</f>
        <v/>
      </c>
      <c r="I3248" s="39"/>
      <c r="J3248" s="47" t="str">
        <f>IF(tblMovimientos[[#This Row],[Tipo]]="","",IFERROR(INDEX(tblTiposMov[FactorStock],MATCH(tblMovimientos[[#This Row],[Tipo]],tblTiposMov[Tipo],0)),0))</f>
        <v/>
      </c>
      <c r="K32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8" s="37"/>
      <c r="O3248" s="37"/>
      <c r="P3248" s="37"/>
    </row>
    <row r="3249" spans="2:16" x14ac:dyDescent="0.25">
      <c r="B32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49" s="46"/>
      <c r="D3249" s="37"/>
      <c r="E3249" s="37"/>
      <c r="F3249" s="37"/>
      <c r="G3249" s="40" t="str">
        <f>IF(tblMovimientos[[#This Row],[Producto]]="","",TRIM(LEFT(tblMovimientos[[#This Row],[Producto]],FIND(" · ",tblMovimientos[[#This Row],[Producto]]&amp;" · ")-1)))</f>
        <v/>
      </c>
      <c r="H3249" s="40" t="str">
        <f>IF(tblMovimientos[[#This Row],[SKU]]="","",IFERROR(INDEX(tblProductos[Unidad],MATCH(tblMovimientos[[#This Row],[SKU]],tblProductos[SKU],0)),"?"))</f>
        <v/>
      </c>
      <c r="I3249" s="39"/>
      <c r="J3249" s="47" t="str">
        <f>IF(tblMovimientos[[#This Row],[Tipo]]="","",IFERROR(INDEX(tblTiposMov[FactorStock],MATCH(tblMovimientos[[#This Row],[Tipo]],tblTiposMov[Tipo],0)),0))</f>
        <v/>
      </c>
      <c r="K32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49" s="37"/>
      <c r="O3249" s="37"/>
      <c r="P3249" s="37"/>
    </row>
    <row r="3250" spans="2:16" x14ac:dyDescent="0.25">
      <c r="B32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0" s="46"/>
      <c r="D3250" s="37"/>
      <c r="E3250" s="37"/>
      <c r="F3250" s="37"/>
      <c r="G3250" s="40" t="str">
        <f>IF(tblMovimientos[[#This Row],[Producto]]="","",TRIM(LEFT(tblMovimientos[[#This Row],[Producto]],FIND(" · ",tblMovimientos[[#This Row],[Producto]]&amp;" · ")-1)))</f>
        <v/>
      </c>
      <c r="H3250" s="40" t="str">
        <f>IF(tblMovimientos[[#This Row],[SKU]]="","",IFERROR(INDEX(tblProductos[Unidad],MATCH(tblMovimientos[[#This Row],[SKU]],tblProductos[SKU],0)),"?"))</f>
        <v/>
      </c>
      <c r="I3250" s="39"/>
      <c r="J3250" s="47" t="str">
        <f>IF(tblMovimientos[[#This Row],[Tipo]]="","",IFERROR(INDEX(tblTiposMov[FactorStock],MATCH(tblMovimientos[[#This Row],[Tipo]],tblTiposMov[Tipo],0)),0))</f>
        <v/>
      </c>
      <c r="K32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0" s="37"/>
      <c r="O3250" s="37"/>
      <c r="P3250" s="37"/>
    </row>
    <row r="3251" spans="2:16" x14ac:dyDescent="0.25">
      <c r="B32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1" s="46"/>
      <c r="D3251" s="37"/>
      <c r="E3251" s="37"/>
      <c r="F3251" s="37"/>
      <c r="G3251" s="40" t="str">
        <f>IF(tblMovimientos[[#This Row],[Producto]]="","",TRIM(LEFT(tblMovimientos[[#This Row],[Producto]],FIND(" · ",tblMovimientos[[#This Row],[Producto]]&amp;" · ")-1)))</f>
        <v/>
      </c>
      <c r="H3251" s="40" t="str">
        <f>IF(tblMovimientos[[#This Row],[SKU]]="","",IFERROR(INDEX(tblProductos[Unidad],MATCH(tblMovimientos[[#This Row],[SKU]],tblProductos[SKU],0)),"?"))</f>
        <v/>
      </c>
      <c r="I3251" s="39"/>
      <c r="J3251" s="47" t="str">
        <f>IF(tblMovimientos[[#This Row],[Tipo]]="","",IFERROR(INDEX(tblTiposMov[FactorStock],MATCH(tblMovimientos[[#This Row],[Tipo]],tblTiposMov[Tipo],0)),0))</f>
        <v/>
      </c>
      <c r="K32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1" s="37"/>
      <c r="O3251" s="37"/>
      <c r="P3251" s="37"/>
    </row>
    <row r="3252" spans="2:16" x14ac:dyDescent="0.25">
      <c r="B32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2" s="46"/>
      <c r="D3252" s="37"/>
      <c r="E3252" s="37"/>
      <c r="F3252" s="37"/>
      <c r="G3252" s="40" t="str">
        <f>IF(tblMovimientos[[#This Row],[Producto]]="","",TRIM(LEFT(tblMovimientos[[#This Row],[Producto]],FIND(" · ",tblMovimientos[[#This Row],[Producto]]&amp;" · ")-1)))</f>
        <v/>
      </c>
      <c r="H3252" s="40" t="str">
        <f>IF(tblMovimientos[[#This Row],[SKU]]="","",IFERROR(INDEX(tblProductos[Unidad],MATCH(tblMovimientos[[#This Row],[SKU]],tblProductos[SKU],0)),"?"))</f>
        <v/>
      </c>
      <c r="I3252" s="39"/>
      <c r="J3252" s="47" t="str">
        <f>IF(tblMovimientos[[#This Row],[Tipo]]="","",IFERROR(INDEX(tblTiposMov[FactorStock],MATCH(tblMovimientos[[#This Row],[Tipo]],tblTiposMov[Tipo],0)),0))</f>
        <v/>
      </c>
      <c r="K32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2" s="37"/>
      <c r="O3252" s="37"/>
      <c r="P3252" s="37"/>
    </row>
    <row r="3253" spans="2:16" x14ac:dyDescent="0.25">
      <c r="B32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3" s="46"/>
      <c r="D3253" s="37"/>
      <c r="E3253" s="37"/>
      <c r="F3253" s="37"/>
      <c r="G3253" s="40" t="str">
        <f>IF(tblMovimientos[[#This Row],[Producto]]="","",TRIM(LEFT(tblMovimientos[[#This Row],[Producto]],FIND(" · ",tblMovimientos[[#This Row],[Producto]]&amp;" · ")-1)))</f>
        <v/>
      </c>
      <c r="H3253" s="40" t="str">
        <f>IF(tblMovimientos[[#This Row],[SKU]]="","",IFERROR(INDEX(tblProductos[Unidad],MATCH(tblMovimientos[[#This Row],[SKU]],tblProductos[SKU],0)),"?"))</f>
        <v/>
      </c>
      <c r="I3253" s="39"/>
      <c r="J3253" s="47" t="str">
        <f>IF(tblMovimientos[[#This Row],[Tipo]]="","",IFERROR(INDEX(tblTiposMov[FactorStock],MATCH(tblMovimientos[[#This Row],[Tipo]],tblTiposMov[Tipo],0)),0))</f>
        <v/>
      </c>
      <c r="K32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3" s="37"/>
      <c r="O3253" s="37"/>
      <c r="P3253" s="37"/>
    </row>
    <row r="3254" spans="2:16" x14ac:dyDescent="0.25">
      <c r="B32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4" s="46"/>
      <c r="D3254" s="37"/>
      <c r="E3254" s="37"/>
      <c r="F3254" s="37"/>
      <c r="G3254" s="40" t="str">
        <f>IF(tblMovimientos[[#This Row],[Producto]]="","",TRIM(LEFT(tblMovimientos[[#This Row],[Producto]],FIND(" · ",tblMovimientos[[#This Row],[Producto]]&amp;" · ")-1)))</f>
        <v/>
      </c>
      <c r="H3254" s="40" t="str">
        <f>IF(tblMovimientos[[#This Row],[SKU]]="","",IFERROR(INDEX(tblProductos[Unidad],MATCH(tblMovimientos[[#This Row],[SKU]],tblProductos[SKU],0)),"?"))</f>
        <v/>
      </c>
      <c r="I3254" s="39"/>
      <c r="J3254" s="47" t="str">
        <f>IF(tblMovimientos[[#This Row],[Tipo]]="","",IFERROR(INDEX(tblTiposMov[FactorStock],MATCH(tblMovimientos[[#This Row],[Tipo]],tblTiposMov[Tipo],0)),0))</f>
        <v/>
      </c>
      <c r="K32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4" s="37"/>
      <c r="O3254" s="37"/>
      <c r="P3254" s="37"/>
    </row>
    <row r="3255" spans="2:16" x14ac:dyDescent="0.25">
      <c r="B32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5" s="46"/>
      <c r="D3255" s="37"/>
      <c r="E3255" s="37"/>
      <c r="F3255" s="37"/>
      <c r="G3255" s="40" t="str">
        <f>IF(tblMovimientos[[#This Row],[Producto]]="","",TRIM(LEFT(tblMovimientos[[#This Row],[Producto]],FIND(" · ",tblMovimientos[[#This Row],[Producto]]&amp;" · ")-1)))</f>
        <v/>
      </c>
      <c r="H3255" s="40" t="str">
        <f>IF(tblMovimientos[[#This Row],[SKU]]="","",IFERROR(INDEX(tblProductos[Unidad],MATCH(tblMovimientos[[#This Row],[SKU]],tblProductos[SKU],0)),"?"))</f>
        <v/>
      </c>
      <c r="I3255" s="39"/>
      <c r="J3255" s="47" t="str">
        <f>IF(tblMovimientos[[#This Row],[Tipo]]="","",IFERROR(INDEX(tblTiposMov[FactorStock],MATCH(tblMovimientos[[#This Row],[Tipo]],tblTiposMov[Tipo],0)),0))</f>
        <v/>
      </c>
      <c r="K32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5" s="37"/>
      <c r="O3255" s="37"/>
      <c r="P3255" s="37"/>
    </row>
    <row r="3256" spans="2:16" x14ac:dyDescent="0.25">
      <c r="B32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6" s="46"/>
      <c r="D3256" s="37"/>
      <c r="E3256" s="37"/>
      <c r="F3256" s="37"/>
      <c r="G3256" s="40" t="str">
        <f>IF(tblMovimientos[[#This Row],[Producto]]="","",TRIM(LEFT(tblMovimientos[[#This Row],[Producto]],FIND(" · ",tblMovimientos[[#This Row],[Producto]]&amp;" · ")-1)))</f>
        <v/>
      </c>
      <c r="H3256" s="40" t="str">
        <f>IF(tblMovimientos[[#This Row],[SKU]]="","",IFERROR(INDEX(tblProductos[Unidad],MATCH(tblMovimientos[[#This Row],[SKU]],tblProductos[SKU],0)),"?"))</f>
        <v/>
      </c>
      <c r="I3256" s="39"/>
      <c r="J3256" s="47" t="str">
        <f>IF(tblMovimientos[[#This Row],[Tipo]]="","",IFERROR(INDEX(tblTiposMov[FactorStock],MATCH(tblMovimientos[[#This Row],[Tipo]],tblTiposMov[Tipo],0)),0))</f>
        <v/>
      </c>
      <c r="K32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6" s="37"/>
      <c r="O3256" s="37"/>
      <c r="P3256" s="37"/>
    </row>
    <row r="3257" spans="2:16" x14ac:dyDescent="0.25">
      <c r="B32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7" s="46"/>
      <c r="D3257" s="37"/>
      <c r="E3257" s="37"/>
      <c r="F3257" s="37"/>
      <c r="G3257" s="40" t="str">
        <f>IF(tblMovimientos[[#This Row],[Producto]]="","",TRIM(LEFT(tblMovimientos[[#This Row],[Producto]],FIND(" · ",tblMovimientos[[#This Row],[Producto]]&amp;" · ")-1)))</f>
        <v/>
      </c>
      <c r="H3257" s="40" t="str">
        <f>IF(tblMovimientos[[#This Row],[SKU]]="","",IFERROR(INDEX(tblProductos[Unidad],MATCH(tblMovimientos[[#This Row],[SKU]],tblProductos[SKU],0)),"?"))</f>
        <v/>
      </c>
      <c r="I3257" s="39"/>
      <c r="J3257" s="47" t="str">
        <f>IF(tblMovimientos[[#This Row],[Tipo]]="","",IFERROR(INDEX(tblTiposMov[FactorStock],MATCH(tblMovimientos[[#This Row],[Tipo]],tblTiposMov[Tipo],0)),0))</f>
        <v/>
      </c>
      <c r="K32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7" s="37"/>
      <c r="O3257" s="37"/>
      <c r="P3257" s="37"/>
    </row>
    <row r="3258" spans="2:16" x14ac:dyDescent="0.25">
      <c r="B32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8" s="46"/>
      <c r="D3258" s="37"/>
      <c r="E3258" s="37"/>
      <c r="F3258" s="37"/>
      <c r="G3258" s="40" t="str">
        <f>IF(tblMovimientos[[#This Row],[Producto]]="","",TRIM(LEFT(tblMovimientos[[#This Row],[Producto]],FIND(" · ",tblMovimientos[[#This Row],[Producto]]&amp;" · ")-1)))</f>
        <v/>
      </c>
      <c r="H3258" s="40" t="str">
        <f>IF(tblMovimientos[[#This Row],[SKU]]="","",IFERROR(INDEX(tblProductos[Unidad],MATCH(tblMovimientos[[#This Row],[SKU]],tblProductos[SKU],0)),"?"))</f>
        <v/>
      </c>
      <c r="I3258" s="39"/>
      <c r="J3258" s="47" t="str">
        <f>IF(tblMovimientos[[#This Row],[Tipo]]="","",IFERROR(INDEX(tblTiposMov[FactorStock],MATCH(tblMovimientos[[#This Row],[Tipo]],tblTiposMov[Tipo],0)),0))</f>
        <v/>
      </c>
      <c r="K32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8" s="37"/>
      <c r="O3258" s="37"/>
      <c r="P3258" s="37"/>
    </row>
    <row r="3259" spans="2:16" x14ac:dyDescent="0.25">
      <c r="B32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59" s="46"/>
      <c r="D3259" s="37"/>
      <c r="E3259" s="37"/>
      <c r="F3259" s="37"/>
      <c r="G3259" s="40" t="str">
        <f>IF(tblMovimientos[[#This Row],[Producto]]="","",TRIM(LEFT(tblMovimientos[[#This Row],[Producto]],FIND(" · ",tblMovimientos[[#This Row],[Producto]]&amp;" · ")-1)))</f>
        <v/>
      </c>
      <c r="H3259" s="40" t="str">
        <f>IF(tblMovimientos[[#This Row],[SKU]]="","",IFERROR(INDEX(tblProductos[Unidad],MATCH(tblMovimientos[[#This Row],[SKU]],tblProductos[SKU],0)),"?"))</f>
        <v/>
      </c>
      <c r="I3259" s="39"/>
      <c r="J3259" s="47" t="str">
        <f>IF(tblMovimientos[[#This Row],[Tipo]]="","",IFERROR(INDEX(tblTiposMov[FactorStock],MATCH(tblMovimientos[[#This Row],[Tipo]],tblTiposMov[Tipo],0)),0))</f>
        <v/>
      </c>
      <c r="K32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59" s="37"/>
      <c r="O3259" s="37"/>
      <c r="P3259" s="37"/>
    </row>
    <row r="3260" spans="2:16" x14ac:dyDescent="0.25">
      <c r="B32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0" s="46"/>
      <c r="D3260" s="37"/>
      <c r="E3260" s="37"/>
      <c r="F3260" s="37"/>
      <c r="G3260" s="40" t="str">
        <f>IF(tblMovimientos[[#This Row],[Producto]]="","",TRIM(LEFT(tblMovimientos[[#This Row],[Producto]],FIND(" · ",tblMovimientos[[#This Row],[Producto]]&amp;" · ")-1)))</f>
        <v/>
      </c>
      <c r="H3260" s="40" t="str">
        <f>IF(tblMovimientos[[#This Row],[SKU]]="","",IFERROR(INDEX(tblProductos[Unidad],MATCH(tblMovimientos[[#This Row],[SKU]],tblProductos[SKU],0)),"?"))</f>
        <v/>
      </c>
      <c r="I3260" s="39"/>
      <c r="J3260" s="47" t="str">
        <f>IF(tblMovimientos[[#This Row],[Tipo]]="","",IFERROR(INDEX(tblTiposMov[FactorStock],MATCH(tblMovimientos[[#This Row],[Tipo]],tblTiposMov[Tipo],0)),0))</f>
        <v/>
      </c>
      <c r="K32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0" s="37"/>
      <c r="O3260" s="37"/>
      <c r="P3260" s="37"/>
    </row>
    <row r="3261" spans="2:16" x14ac:dyDescent="0.25">
      <c r="B32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1" s="46"/>
      <c r="D3261" s="37"/>
      <c r="E3261" s="37"/>
      <c r="F3261" s="37"/>
      <c r="G3261" s="40" t="str">
        <f>IF(tblMovimientos[[#This Row],[Producto]]="","",TRIM(LEFT(tblMovimientos[[#This Row],[Producto]],FIND(" · ",tblMovimientos[[#This Row],[Producto]]&amp;" · ")-1)))</f>
        <v/>
      </c>
      <c r="H3261" s="40" t="str">
        <f>IF(tblMovimientos[[#This Row],[SKU]]="","",IFERROR(INDEX(tblProductos[Unidad],MATCH(tblMovimientos[[#This Row],[SKU]],tblProductos[SKU],0)),"?"))</f>
        <v/>
      </c>
      <c r="I3261" s="39"/>
      <c r="J3261" s="47" t="str">
        <f>IF(tblMovimientos[[#This Row],[Tipo]]="","",IFERROR(INDEX(tblTiposMov[FactorStock],MATCH(tblMovimientos[[#This Row],[Tipo]],tblTiposMov[Tipo],0)),0))</f>
        <v/>
      </c>
      <c r="K32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1" s="37"/>
      <c r="O3261" s="37"/>
      <c r="P3261" s="37"/>
    </row>
    <row r="3262" spans="2:16" x14ac:dyDescent="0.25">
      <c r="B32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2" s="46"/>
      <c r="D3262" s="37"/>
      <c r="E3262" s="37"/>
      <c r="F3262" s="37"/>
      <c r="G3262" s="40" t="str">
        <f>IF(tblMovimientos[[#This Row],[Producto]]="","",TRIM(LEFT(tblMovimientos[[#This Row],[Producto]],FIND(" · ",tblMovimientos[[#This Row],[Producto]]&amp;" · ")-1)))</f>
        <v/>
      </c>
      <c r="H3262" s="40" t="str">
        <f>IF(tblMovimientos[[#This Row],[SKU]]="","",IFERROR(INDEX(tblProductos[Unidad],MATCH(tblMovimientos[[#This Row],[SKU]],tblProductos[SKU],0)),"?"))</f>
        <v/>
      </c>
      <c r="I3262" s="39"/>
      <c r="J3262" s="47" t="str">
        <f>IF(tblMovimientos[[#This Row],[Tipo]]="","",IFERROR(INDEX(tblTiposMov[FactorStock],MATCH(tblMovimientos[[#This Row],[Tipo]],tblTiposMov[Tipo],0)),0))</f>
        <v/>
      </c>
      <c r="K32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2" s="37"/>
      <c r="O3262" s="37"/>
      <c r="P3262" s="37"/>
    </row>
    <row r="3263" spans="2:16" x14ac:dyDescent="0.25">
      <c r="B32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3" s="46"/>
      <c r="D3263" s="37"/>
      <c r="E3263" s="37"/>
      <c r="F3263" s="37"/>
      <c r="G3263" s="40" t="str">
        <f>IF(tblMovimientos[[#This Row],[Producto]]="","",TRIM(LEFT(tblMovimientos[[#This Row],[Producto]],FIND(" · ",tblMovimientos[[#This Row],[Producto]]&amp;" · ")-1)))</f>
        <v/>
      </c>
      <c r="H3263" s="40" t="str">
        <f>IF(tblMovimientos[[#This Row],[SKU]]="","",IFERROR(INDEX(tblProductos[Unidad],MATCH(tblMovimientos[[#This Row],[SKU]],tblProductos[SKU],0)),"?"))</f>
        <v/>
      </c>
      <c r="I3263" s="39"/>
      <c r="J3263" s="47" t="str">
        <f>IF(tblMovimientos[[#This Row],[Tipo]]="","",IFERROR(INDEX(tblTiposMov[FactorStock],MATCH(tblMovimientos[[#This Row],[Tipo]],tblTiposMov[Tipo],0)),0))</f>
        <v/>
      </c>
      <c r="K32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3" s="37"/>
      <c r="O3263" s="37"/>
      <c r="P3263" s="37"/>
    </row>
    <row r="3264" spans="2:16" x14ac:dyDescent="0.25">
      <c r="B32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4" s="46"/>
      <c r="D3264" s="37"/>
      <c r="E3264" s="37"/>
      <c r="F3264" s="37"/>
      <c r="G3264" s="40" t="str">
        <f>IF(tblMovimientos[[#This Row],[Producto]]="","",TRIM(LEFT(tblMovimientos[[#This Row],[Producto]],FIND(" · ",tblMovimientos[[#This Row],[Producto]]&amp;" · ")-1)))</f>
        <v/>
      </c>
      <c r="H3264" s="40" t="str">
        <f>IF(tblMovimientos[[#This Row],[SKU]]="","",IFERROR(INDEX(tblProductos[Unidad],MATCH(tblMovimientos[[#This Row],[SKU]],tblProductos[SKU],0)),"?"))</f>
        <v/>
      </c>
      <c r="I3264" s="39"/>
      <c r="J3264" s="47" t="str">
        <f>IF(tblMovimientos[[#This Row],[Tipo]]="","",IFERROR(INDEX(tblTiposMov[FactorStock],MATCH(tblMovimientos[[#This Row],[Tipo]],tblTiposMov[Tipo],0)),0))</f>
        <v/>
      </c>
      <c r="K32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4" s="37"/>
      <c r="O3264" s="37"/>
      <c r="P3264" s="37"/>
    </row>
    <row r="3265" spans="2:16" x14ac:dyDescent="0.25">
      <c r="B32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5" s="46"/>
      <c r="D3265" s="37"/>
      <c r="E3265" s="37"/>
      <c r="F3265" s="37"/>
      <c r="G3265" s="40" t="str">
        <f>IF(tblMovimientos[[#This Row],[Producto]]="","",TRIM(LEFT(tblMovimientos[[#This Row],[Producto]],FIND(" · ",tblMovimientos[[#This Row],[Producto]]&amp;" · ")-1)))</f>
        <v/>
      </c>
      <c r="H3265" s="40" t="str">
        <f>IF(tblMovimientos[[#This Row],[SKU]]="","",IFERROR(INDEX(tblProductos[Unidad],MATCH(tblMovimientos[[#This Row],[SKU]],tblProductos[SKU],0)),"?"))</f>
        <v/>
      </c>
      <c r="I3265" s="39"/>
      <c r="J3265" s="47" t="str">
        <f>IF(tblMovimientos[[#This Row],[Tipo]]="","",IFERROR(INDEX(tblTiposMov[FactorStock],MATCH(tblMovimientos[[#This Row],[Tipo]],tblTiposMov[Tipo],0)),0))</f>
        <v/>
      </c>
      <c r="K32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5" s="37"/>
      <c r="O3265" s="37"/>
      <c r="P3265" s="37"/>
    </row>
    <row r="3266" spans="2:16" x14ac:dyDescent="0.25">
      <c r="B32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6" s="46"/>
      <c r="D3266" s="37"/>
      <c r="E3266" s="37"/>
      <c r="F3266" s="37"/>
      <c r="G3266" s="40" t="str">
        <f>IF(tblMovimientos[[#This Row],[Producto]]="","",TRIM(LEFT(tblMovimientos[[#This Row],[Producto]],FIND(" · ",tblMovimientos[[#This Row],[Producto]]&amp;" · ")-1)))</f>
        <v/>
      </c>
      <c r="H3266" s="40" t="str">
        <f>IF(tblMovimientos[[#This Row],[SKU]]="","",IFERROR(INDEX(tblProductos[Unidad],MATCH(tblMovimientos[[#This Row],[SKU]],tblProductos[SKU],0)),"?"))</f>
        <v/>
      </c>
      <c r="I3266" s="39"/>
      <c r="J3266" s="47" t="str">
        <f>IF(tblMovimientos[[#This Row],[Tipo]]="","",IFERROR(INDEX(tblTiposMov[FactorStock],MATCH(tblMovimientos[[#This Row],[Tipo]],tblTiposMov[Tipo],0)),0))</f>
        <v/>
      </c>
      <c r="K32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6" s="37"/>
      <c r="O3266" s="37"/>
      <c r="P3266" s="37"/>
    </row>
    <row r="3267" spans="2:16" x14ac:dyDescent="0.25">
      <c r="B32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7" s="46"/>
      <c r="D3267" s="37"/>
      <c r="E3267" s="37"/>
      <c r="F3267" s="37"/>
      <c r="G3267" s="40" t="str">
        <f>IF(tblMovimientos[[#This Row],[Producto]]="","",TRIM(LEFT(tblMovimientos[[#This Row],[Producto]],FIND(" · ",tblMovimientos[[#This Row],[Producto]]&amp;" · ")-1)))</f>
        <v/>
      </c>
      <c r="H3267" s="40" t="str">
        <f>IF(tblMovimientos[[#This Row],[SKU]]="","",IFERROR(INDEX(tblProductos[Unidad],MATCH(tblMovimientos[[#This Row],[SKU]],tblProductos[SKU],0)),"?"))</f>
        <v/>
      </c>
      <c r="I3267" s="39"/>
      <c r="J3267" s="47" t="str">
        <f>IF(tblMovimientos[[#This Row],[Tipo]]="","",IFERROR(INDEX(tblTiposMov[FactorStock],MATCH(tblMovimientos[[#This Row],[Tipo]],tblTiposMov[Tipo],0)),0))</f>
        <v/>
      </c>
      <c r="K32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7" s="37"/>
      <c r="O3267" s="37"/>
      <c r="P3267" s="37"/>
    </row>
    <row r="3268" spans="2:16" x14ac:dyDescent="0.25">
      <c r="B32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8" s="46"/>
      <c r="D3268" s="37"/>
      <c r="E3268" s="37"/>
      <c r="F3268" s="37"/>
      <c r="G3268" s="40" t="str">
        <f>IF(tblMovimientos[[#This Row],[Producto]]="","",TRIM(LEFT(tblMovimientos[[#This Row],[Producto]],FIND(" · ",tblMovimientos[[#This Row],[Producto]]&amp;" · ")-1)))</f>
        <v/>
      </c>
      <c r="H3268" s="40" t="str">
        <f>IF(tblMovimientos[[#This Row],[SKU]]="","",IFERROR(INDEX(tblProductos[Unidad],MATCH(tblMovimientos[[#This Row],[SKU]],tblProductos[SKU],0)),"?"))</f>
        <v/>
      </c>
      <c r="I3268" s="39"/>
      <c r="J3268" s="47" t="str">
        <f>IF(tblMovimientos[[#This Row],[Tipo]]="","",IFERROR(INDEX(tblTiposMov[FactorStock],MATCH(tblMovimientos[[#This Row],[Tipo]],tblTiposMov[Tipo],0)),0))</f>
        <v/>
      </c>
      <c r="K32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8" s="37"/>
      <c r="O3268" s="37"/>
      <c r="P3268" s="37"/>
    </row>
    <row r="3269" spans="2:16" x14ac:dyDescent="0.25">
      <c r="B32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69" s="46"/>
      <c r="D3269" s="37"/>
      <c r="E3269" s="37"/>
      <c r="F3269" s="37"/>
      <c r="G3269" s="40" t="str">
        <f>IF(tblMovimientos[[#This Row],[Producto]]="","",TRIM(LEFT(tblMovimientos[[#This Row],[Producto]],FIND(" · ",tblMovimientos[[#This Row],[Producto]]&amp;" · ")-1)))</f>
        <v/>
      </c>
      <c r="H3269" s="40" t="str">
        <f>IF(tblMovimientos[[#This Row],[SKU]]="","",IFERROR(INDEX(tblProductos[Unidad],MATCH(tblMovimientos[[#This Row],[SKU]],tblProductos[SKU],0)),"?"))</f>
        <v/>
      </c>
      <c r="I3269" s="39"/>
      <c r="J3269" s="47" t="str">
        <f>IF(tblMovimientos[[#This Row],[Tipo]]="","",IFERROR(INDEX(tblTiposMov[FactorStock],MATCH(tblMovimientos[[#This Row],[Tipo]],tblTiposMov[Tipo],0)),0))</f>
        <v/>
      </c>
      <c r="K32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69" s="37"/>
      <c r="O3269" s="37"/>
      <c r="P3269" s="37"/>
    </row>
    <row r="3270" spans="2:16" x14ac:dyDescent="0.25">
      <c r="B32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0" s="46"/>
      <c r="D3270" s="37"/>
      <c r="E3270" s="37"/>
      <c r="F3270" s="37"/>
      <c r="G3270" s="40" t="str">
        <f>IF(tblMovimientos[[#This Row],[Producto]]="","",TRIM(LEFT(tblMovimientos[[#This Row],[Producto]],FIND(" · ",tblMovimientos[[#This Row],[Producto]]&amp;" · ")-1)))</f>
        <v/>
      </c>
      <c r="H3270" s="40" t="str">
        <f>IF(tblMovimientos[[#This Row],[SKU]]="","",IFERROR(INDEX(tblProductos[Unidad],MATCH(tblMovimientos[[#This Row],[SKU]],tblProductos[SKU],0)),"?"))</f>
        <v/>
      </c>
      <c r="I3270" s="39"/>
      <c r="J3270" s="47" t="str">
        <f>IF(tblMovimientos[[#This Row],[Tipo]]="","",IFERROR(INDEX(tblTiposMov[FactorStock],MATCH(tblMovimientos[[#This Row],[Tipo]],tblTiposMov[Tipo],0)),0))</f>
        <v/>
      </c>
      <c r="K32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0" s="37"/>
      <c r="O3270" s="37"/>
      <c r="P3270" s="37"/>
    </row>
    <row r="3271" spans="2:16" x14ac:dyDescent="0.25">
      <c r="B32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1" s="46"/>
      <c r="D3271" s="37"/>
      <c r="E3271" s="37"/>
      <c r="F3271" s="37"/>
      <c r="G3271" s="40" t="str">
        <f>IF(tblMovimientos[[#This Row],[Producto]]="","",TRIM(LEFT(tblMovimientos[[#This Row],[Producto]],FIND(" · ",tblMovimientos[[#This Row],[Producto]]&amp;" · ")-1)))</f>
        <v/>
      </c>
      <c r="H3271" s="40" t="str">
        <f>IF(tblMovimientos[[#This Row],[SKU]]="","",IFERROR(INDEX(tblProductos[Unidad],MATCH(tblMovimientos[[#This Row],[SKU]],tblProductos[SKU],0)),"?"))</f>
        <v/>
      </c>
      <c r="I3271" s="39"/>
      <c r="J3271" s="47" t="str">
        <f>IF(tblMovimientos[[#This Row],[Tipo]]="","",IFERROR(INDEX(tblTiposMov[FactorStock],MATCH(tblMovimientos[[#This Row],[Tipo]],tblTiposMov[Tipo],0)),0))</f>
        <v/>
      </c>
      <c r="K32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1" s="37"/>
      <c r="O3271" s="37"/>
      <c r="P3271" s="37"/>
    </row>
    <row r="3272" spans="2:16" x14ac:dyDescent="0.25">
      <c r="B32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2" s="46"/>
      <c r="D3272" s="37"/>
      <c r="E3272" s="37"/>
      <c r="F3272" s="37"/>
      <c r="G3272" s="40" t="str">
        <f>IF(tblMovimientos[[#This Row],[Producto]]="","",TRIM(LEFT(tblMovimientos[[#This Row],[Producto]],FIND(" · ",tblMovimientos[[#This Row],[Producto]]&amp;" · ")-1)))</f>
        <v/>
      </c>
      <c r="H3272" s="40" t="str">
        <f>IF(tblMovimientos[[#This Row],[SKU]]="","",IFERROR(INDEX(tblProductos[Unidad],MATCH(tblMovimientos[[#This Row],[SKU]],tblProductos[SKU],0)),"?"))</f>
        <v/>
      </c>
      <c r="I3272" s="39"/>
      <c r="J3272" s="47" t="str">
        <f>IF(tblMovimientos[[#This Row],[Tipo]]="","",IFERROR(INDEX(tblTiposMov[FactorStock],MATCH(tblMovimientos[[#This Row],[Tipo]],tblTiposMov[Tipo],0)),0))</f>
        <v/>
      </c>
      <c r="K32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2" s="37"/>
      <c r="O3272" s="37"/>
      <c r="P3272" s="37"/>
    </row>
    <row r="3273" spans="2:16" x14ac:dyDescent="0.25">
      <c r="B32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3" s="46"/>
      <c r="D3273" s="37"/>
      <c r="E3273" s="37"/>
      <c r="F3273" s="37"/>
      <c r="G3273" s="40" t="str">
        <f>IF(tblMovimientos[[#This Row],[Producto]]="","",TRIM(LEFT(tblMovimientos[[#This Row],[Producto]],FIND(" · ",tblMovimientos[[#This Row],[Producto]]&amp;" · ")-1)))</f>
        <v/>
      </c>
      <c r="H3273" s="40" t="str">
        <f>IF(tblMovimientos[[#This Row],[SKU]]="","",IFERROR(INDEX(tblProductos[Unidad],MATCH(tblMovimientos[[#This Row],[SKU]],tblProductos[SKU],0)),"?"))</f>
        <v/>
      </c>
      <c r="I3273" s="39"/>
      <c r="J3273" s="47" t="str">
        <f>IF(tblMovimientos[[#This Row],[Tipo]]="","",IFERROR(INDEX(tblTiposMov[FactorStock],MATCH(tblMovimientos[[#This Row],[Tipo]],tblTiposMov[Tipo],0)),0))</f>
        <v/>
      </c>
      <c r="K32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3" s="37"/>
      <c r="O3273" s="37"/>
      <c r="P3273" s="37"/>
    </row>
    <row r="3274" spans="2:16" x14ac:dyDescent="0.25">
      <c r="B32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4" s="46"/>
      <c r="D3274" s="37"/>
      <c r="E3274" s="37"/>
      <c r="F3274" s="37"/>
      <c r="G3274" s="40" t="str">
        <f>IF(tblMovimientos[[#This Row],[Producto]]="","",TRIM(LEFT(tblMovimientos[[#This Row],[Producto]],FIND(" · ",tblMovimientos[[#This Row],[Producto]]&amp;" · ")-1)))</f>
        <v/>
      </c>
      <c r="H3274" s="40" t="str">
        <f>IF(tblMovimientos[[#This Row],[SKU]]="","",IFERROR(INDEX(tblProductos[Unidad],MATCH(tblMovimientos[[#This Row],[SKU]],tblProductos[SKU],0)),"?"))</f>
        <v/>
      </c>
      <c r="I3274" s="39"/>
      <c r="J3274" s="47" t="str">
        <f>IF(tblMovimientos[[#This Row],[Tipo]]="","",IFERROR(INDEX(tblTiposMov[FactorStock],MATCH(tblMovimientos[[#This Row],[Tipo]],tblTiposMov[Tipo],0)),0))</f>
        <v/>
      </c>
      <c r="K32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4" s="37"/>
      <c r="O3274" s="37"/>
      <c r="P3274" s="37"/>
    </row>
    <row r="3275" spans="2:16" x14ac:dyDescent="0.25">
      <c r="B32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5" s="46"/>
      <c r="D3275" s="37"/>
      <c r="E3275" s="37"/>
      <c r="F3275" s="37"/>
      <c r="G3275" s="40" t="str">
        <f>IF(tblMovimientos[[#This Row],[Producto]]="","",TRIM(LEFT(tblMovimientos[[#This Row],[Producto]],FIND(" · ",tblMovimientos[[#This Row],[Producto]]&amp;" · ")-1)))</f>
        <v/>
      </c>
      <c r="H3275" s="40" t="str">
        <f>IF(tblMovimientos[[#This Row],[SKU]]="","",IFERROR(INDEX(tblProductos[Unidad],MATCH(tblMovimientos[[#This Row],[SKU]],tblProductos[SKU],0)),"?"))</f>
        <v/>
      </c>
      <c r="I3275" s="39"/>
      <c r="J3275" s="47" t="str">
        <f>IF(tblMovimientos[[#This Row],[Tipo]]="","",IFERROR(INDEX(tblTiposMov[FactorStock],MATCH(tblMovimientos[[#This Row],[Tipo]],tblTiposMov[Tipo],0)),0))</f>
        <v/>
      </c>
      <c r="K32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5" s="37"/>
      <c r="O3275" s="37"/>
      <c r="P3275" s="37"/>
    </row>
    <row r="3276" spans="2:16" x14ac:dyDescent="0.25">
      <c r="B32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6" s="46"/>
      <c r="D3276" s="37"/>
      <c r="E3276" s="37"/>
      <c r="F3276" s="37"/>
      <c r="G3276" s="40" t="str">
        <f>IF(tblMovimientos[[#This Row],[Producto]]="","",TRIM(LEFT(tblMovimientos[[#This Row],[Producto]],FIND(" · ",tblMovimientos[[#This Row],[Producto]]&amp;" · ")-1)))</f>
        <v/>
      </c>
      <c r="H3276" s="40" t="str">
        <f>IF(tblMovimientos[[#This Row],[SKU]]="","",IFERROR(INDEX(tblProductos[Unidad],MATCH(tblMovimientos[[#This Row],[SKU]],tblProductos[SKU],0)),"?"))</f>
        <v/>
      </c>
      <c r="I3276" s="39"/>
      <c r="J3276" s="47" t="str">
        <f>IF(tblMovimientos[[#This Row],[Tipo]]="","",IFERROR(INDEX(tblTiposMov[FactorStock],MATCH(tblMovimientos[[#This Row],[Tipo]],tblTiposMov[Tipo],0)),0))</f>
        <v/>
      </c>
      <c r="K32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6" s="37"/>
      <c r="O3276" s="37"/>
      <c r="P3276" s="37"/>
    </row>
    <row r="3277" spans="2:16" x14ac:dyDescent="0.25">
      <c r="B32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7" s="46"/>
      <c r="D3277" s="37"/>
      <c r="E3277" s="37"/>
      <c r="F3277" s="37"/>
      <c r="G3277" s="40" t="str">
        <f>IF(tblMovimientos[[#This Row],[Producto]]="","",TRIM(LEFT(tblMovimientos[[#This Row],[Producto]],FIND(" · ",tblMovimientos[[#This Row],[Producto]]&amp;" · ")-1)))</f>
        <v/>
      </c>
      <c r="H3277" s="40" t="str">
        <f>IF(tblMovimientos[[#This Row],[SKU]]="","",IFERROR(INDEX(tblProductos[Unidad],MATCH(tblMovimientos[[#This Row],[SKU]],tblProductos[SKU],0)),"?"))</f>
        <v/>
      </c>
      <c r="I3277" s="39"/>
      <c r="J3277" s="47" t="str">
        <f>IF(tblMovimientos[[#This Row],[Tipo]]="","",IFERROR(INDEX(tblTiposMov[FactorStock],MATCH(tblMovimientos[[#This Row],[Tipo]],tblTiposMov[Tipo],0)),0))</f>
        <v/>
      </c>
      <c r="K32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7" s="37"/>
      <c r="O3277" s="37"/>
      <c r="P3277" s="37"/>
    </row>
    <row r="3278" spans="2:16" x14ac:dyDescent="0.25">
      <c r="B32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8" s="46"/>
      <c r="D3278" s="37"/>
      <c r="E3278" s="37"/>
      <c r="F3278" s="37"/>
      <c r="G3278" s="40" t="str">
        <f>IF(tblMovimientos[[#This Row],[Producto]]="","",TRIM(LEFT(tblMovimientos[[#This Row],[Producto]],FIND(" · ",tblMovimientos[[#This Row],[Producto]]&amp;" · ")-1)))</f>
        <v/>
      </c>
      <c r="H3278" s="40" t="str">
        <f>IF(tblMovimientos[[#This Row],[SKU]]="","",IFERROR(INDEX(tblProductos[Unidad],MATCH(tblMovimientos[[#This Row],[SKU]],tblProductos[SKU],0)),"?"))</f>
        <v/>
      </c>
      <c r="I3278" s="39"/>
      <c r="J3278" s="47" t="str">
        <f>IF(tblMovimientos[[#This Row],[Tipo]]="","",IFERROR(INDEX(tblTiposMov[FactorStock],MATCH(tblMovimientos[[#This Row],[Tipo]],tblTiposMov[Tipo],0)),0))</f>
        <v/>
      </c>
      <c r="K32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8" s="37"/>
      <c r="O3278" s="37"/>
      <c r="P3278" s="37"/>
    </row>
    <row r="3279" spans="2:16" x14ac:dyDescent="0.25">
      <c r="B32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79" s="46"/>
      <c r="D3279" s="37"/>
      <c r="E3279" s="37"/>
      <c r="F3279" s="37"/>
      <c r="G3279" s="40" t="str">
        <f>IF(tblMovimientos[[#This Row],[Producto]]="","",TRIM(LEFT(tblMovimientos[[#This Row],[Producto]],FIND(" · ",tblMovimientos[[#This Row],[Producto]]&amp;" · ")-1)))</f>
        <v/>
      </c>
      <c r="H3279" s="40" t="str">
        <f>IF(tblMovimientos[[#This Row],[SKU]]="","",IFERROR(INDEX(tblProductos[Unidad],MATCH(tblMovimientos[[#This Row],[SKU]],tblProductos[SKU],0)),"?"))</f>
        <v/>
      </c>
      <c r="I3279" s="39"/>
      <c r="J3279" s="47" t="str">
        <f>IF(tblMovimientos[[#This Row],[Tipo]]="","",IFERROR(INDEX(tblTiposMov[FactorStock],MATCH(tblMovimientos[[#This Row],[Tipo]],tblTiposMov[Tipo],0)),0))</f>
        <v/>
      </c>
      <c r="K32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79" s="37"/>
      <c r="O3279" s="37"/>
      <c r="P3279" s="37"/>
    </row>
    <row r="3280" spans="2:16" x14ac:dyDescent="0.25">
      <c r="B32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0" s="46"/>
      <c r="D3280" s="37"/>
      <c r="E3280" s="37"/>
      <c r="F3280" s="37"/>
      <c r="G3280" s="40" t="str">
        <f>IF(tblMovimientos[[#This Row],[Producto]]="","",TRIM(LEFT(tblMovimientos[[#This Row],[Producto]],FIND(" · ",tblMovimientos[[#This Row],[Producto]]&amp;" · ")-1)))</f>
        <v/>
      </c>
      <c r="H3280" s="40" t="str">
        <f>IF(tblMovimientos[[#This Row],[SKU]]="","",IFERROR(INDEX(tblProductos[Unidad],MATCH(tblMovimientos[[#This Row],[SKU]],tblProductos[SKU],0)),"?"))</f>
        <v/>
      </c>
      <c r="I3280" s="39"/>
      <c r="J3280" s="47" t="str">
        <f>IF(tblMovimientos[[#This Row],[Tipo]]="","",IFERROR(INDEX(tblTiposMov[FactorStock],MATCH(tblMovimientos[[#This Row],[Tipo]],tblTiposMov[Tipo],0)),0))</f>
        <v/>
      </c>
      <c r="K32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0" s="37"/>
      <c r="O3280" s="37"/>
      <c r="P3280" s="37"/>
    </row>
    <row r="3281" spans="2:16" x14ac:dyDescent="0.25">
      <c r="B32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1" s="46"/>
      <c r="D3281" s="37"/>
      <c r="E3281" s="37"/>
      <c r="F3281" s="37"/>
      <c r="G3281" s="40" t="str">
        <f>IF(tblMovimientos[[#This Row],[Producto]]="","",TRIM(LEFT(tblMovimientos[[#This Row],[Producto]],FIND(" · ",tblMovimientos[[#This Row],[Producto]]&amp;" · ")-1)))</f>
        <v/>
      </c>
      <c r="H3281" s="40" t="str">
        <f>IF(tblMovimientos[[#This Row],[SKU]]="","",IFERROR(INDEX(tblProductos[Unidad],MATCH(tblMovimientos[[#This Row],[SKU]],tblProductos[SKU],0)),"?"))</f>
        <v/>
      </c>
      <c r="I3281" s="39"/>
      <c r="J3281" s="47" t="str">
        <f>IF(tblMovimientos[[#This Row],[Tipo]]="","",IFERROR(INDEX(tblTiposMov[FactorStock],MATCH(tblMovimientos[[#This Row],[Tipo]],tblTiposMov[Tipo],0)),0))</f>
        <v/>
      </c>
      <c r="K32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1" s="37"/>
      <c r="O3281" s="37"/>
      <c r="P3281" s="37"/>
    </row>
    <row r="3282" spans="2:16" x14ac:dyDescent="0.25">
      <c r="B32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2" s="46"/>
      <c r="D3282" s="37"/>
      <c r="E3282" s="37"/>
      <c r="F3282" s="37"/>
      <c r="G3282" s="40" t="str">
        <f>IF(tblMovimientos[[#This Row],[Producto]]="","",TRIM(LEFT(tblMovimientos[[#This Row],[Producto]],FIND(" · ",tblMovimientos[[#This Row],[Producto]]&amp;" · ")-1)))</f>
        <v/>
      </c>
      <c r="H3282" s="40" t="str">
        <f>IF(tblMovimientos[[#This Row],[SKU]]="","",IFERROR(INDEX(tblProductos[Unidad],MATCH(tblMovimientos[[#This Row],[SKU]],tblProductos[SKU],0)),"?"))</f>
        <v/>
      </c>
      <c r="I3282" s="39"/>
      <c r="J3282" s="47" t="str">
        <f>IF(tblMovimientos[[#This Row],[Tipo]]="","",IFERROR(INDEX(tblTiposMov[FactorStock],MATCH(tblMovimientos[[#This Row],[Tipo]],tblTiposMov[Tipo],0)),0))</f>
        <v/>
      </c>
      <c r="K32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2" s="37"/>
      <c r="O3282" s="37"/>
      <c r="P3282" s="37"/>
    </row>
    <row r="3283" spans="2:16" x14ac:dyDescent="0.25">
      <c r="B32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3" s="46"/>
      <c r="D3283" s="37"/>
      <c r="E3283" s="37"/>
      <c r="F3283" s="37"/>
      <c r="G3283" s="40" t="str">
        <f>IF(tblMovimientos[[#This Row],[Producto]]="","",TRIM(LEFT(tblMovimientos[[#This Row],[Producto]],FIND(" · ",tblMovimientos[[#This Row],[Producto]]&amp;" · ")-1)))</f>
        <v/>
      </c>
      <c r="H3283" s="40" t="str">
        <f>IF(tblMovimientos[[#This Row],[SKU]]="","",IFERROR(INDEX(tblProductos[Unidad],MATCH(tblMovimientos[[#This Row],[SKU]],tblProductos[SKU],0)),"?"))</f>
        <v/>
      </c>
      <c r="I3283" s="39"/>
      <c r="J3283" s="47" t="str">
        <f>IF(tblMovimientos[[#This Row],[Tipo]]="","",IFERROR(INDEX(tblTiposMov[FactorStock],MATCH(tblMovimientos[[#This Row],[Tipo]],tblTiposMov[Tipo],0)),0))</f>
        <v/>
      </c>
      <c r="K32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3" s="37"/>
      <c r="O3283" s="37"/>
      <c r="P3283" s="37"/>
    </row>
    <row r="3284" spans="2:16" x14ac:dyDescent="0.25">
      <c r="B32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4" s="46"/>
      <c r="D3284" s="37"/>
      <c r="E3284" s="37"/>
      <c r="F3284" s="37"/>
      <c r="G3284" s="40" t="str">
        <f>IF(tblMovimientos[[#This Row],[Producto]]="","",TRIM(LEFT(tblMovimientos[[#This Row],[Producto]],FIND(" · ",tblMovimientos[[#This Row],[Producto]]&amp;" · ")-1)))</f>
        <v/>
      </c>
      <c r="H3284" s="40" t="str">
        <f>IF(tblMovimientos[[#This Row],[SKU]]="","",IFERROR(INDEX(tblProductos[Unidad],MATCH(tblMovimientos[[#This Row],[SKU]],tblProductos[SKU],0)),"?"))</f>
        <v/>
      </c>
      <c r="I3284" s="39"/>
      <c r="J3284" s="47" t="str">
        <f>IF(tblMovimientos[[#This Row],[Tipo]]="","",IFERROR(INDEX(tblTiposMov[FactorStock],MATCH(tblMovimientos[[#This Row],[Tipo]],tblTiposMov[Tipo],0)),0))</f>
        <v/>
      </c>
      <c r="K32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4" s="37"/>
      <c r="O3284" s="37"/>
      <c r="P3284" s="37"/>
    </row>
    <row r="3285" spans="2:16" x14ac:dyDescent="0.25">
      <c r="B32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5" s="46"/>
      <c r="D3285" s="37"/>
      <c r="E3285" s="37"/>
      <c r="F3285" s="37"/>
      <c r="G3285" s="40" t="str">
        <f>IF(tblMovimientos[[#This Row],[Producto]]="","",TRIM(LEFT(tblMovimientos[[#This Row],[Producto]],FIND(" · ",tblMovimientos[[#This Row],[Producto]]&amp;" · ")-1)))</f>
        <v/>
      </c>
      <c r="H3285" s="40" t="str">
        <f>IF(tblMovimientos[[#This Row],[SKU]]="","",IFERROR(INDEX(tblProductos[Unidad],MATCH(tblMovimientos[[#This Row],[SKU]],tblProductos[SKU],0)),"?"))</f>
        <v/>
      </c>
      <c r="I3285" s="39"/>
      <c r="J3285" s="47" t="str">
        <f>IF(tblMovimientos[[#This Row],[Tipo]]="","",IFERROR(INDEX(tblTiposMov[FactorStock],MATCH(tblMovimientos[[#This Row],[Tipo]],tblTiposMov[Tipo],0)),0))</f>
        <v/>
      </c>
      <c r="K32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5" s="37"/>
      <c r="O3285" s="37"/>
      <c r="P3285" s="37"/>
    </row>
    <row r="3286" spans="2:16" x14ac:dyDescent="0.25">
      <c r="B32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6" s="46"/>
      <c r="D3286" s="37"/>
      <c r="E3286" s="37"/>
      <c r="F3286" s="37"/>
      <c r="G3286" s="40" t="str">
        <f>IF(tblMovimientos[[#This Row],[Producto]]="","",TRIM(LEFT(tblMovimientos[[#This Row],[Producto]],FIND(" · ",tblMovimientos[[#This Row],[Producto]]&amp;" · ")-1)))</f>
        <v/>
      </c>
      <c r="H3286" s="40" t="str">
        <f>IF(tblMovimientos[[#This Row],[SKU]]="","",IFERROR(INDEX(tblProductos[Unidad],MATCH(tblMovimientos[[#This Row],[SKU]],tblProductos[SKU],0)),"?"))</f>
        <v/>
      </c>
      <c r="I3286" s="39"/>
      <c r="J3286" s="47" t="str">
        <f>IF(tblMovimientos[[#This Row],[Tipo]]="","",IFERROR(INDEX(tblTiposMov[FactorStock],MATCH(tblMovimientos[[#This Row],[Tipo]],tblTiposMov[Tipo],0)),0))</f>
        <v/>
      </c>
      <c r="K32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6" s="37"/>
      <c r="O3286" s="37"/>
      <c r="P3286" s="37"/>
    </row>
    <row r="3287" spans="2:16" x14ac:dyDescent="0.25">
      <c r="B32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7" s="46"/>
      <c r="D3287" s="37"/>
      <c r="E3287" s="37"/>
      <c r="F3287" s="37"/>
      <c r="G3287" s="40" t="str">
        <f>IF(tblMovimientos[[#This Row],[Producto]]="","",TRIM(LEFT(tblMovimientos[[#This Row],[Producto]],FIND(" · ",tblMovimientos[[#This Row],[Producto]]&amp;" · ")-1)))</f>
        <v/>
      </c>
      <c r="H3287" s="40" t="str">
        <f>IF(tblMovimientos[[#This Row],[SKU]]="","",IFERROR(INDEX(tblProductos[Unidad],MATCH(tblMovimientos[[#This Row],[SKU]],tblProductos[SKU],0)),"?"))</f>
        <v/>
      </c>
      <c r="I3287" s="39"/>
      <c r="J3287" s="47" t="str">
        <f>IF(tblMovimientos[[#This Row],[Tipo]]="","",IFERROR(INDEX(tblTiposMov[FactorStock],MATCH(tblMovimientos[[#This Row],[Tipo]],tblTiposMov[Tipo],0)),0))</f>
        <v/>
      </c>
      <c r="K32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7" s="37"/>
      <c r="O3287" s="37"/>
      <c r="P3287" s="37"/>
    </row>
    <row r="3288" spans="2:16" x14ac:dyDescent="0.25">
      <c r="B32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8" s="46"/>
      <c r="D3288" s="37"/>
      <c r="E3288" s="37"/>
      <c r="F3288" s="37"/>
      <c r="G3288" s="40" t="str">
        <f>IF(tblMovimientos[[#This Row],[Producto]]="","",TRIM(LEFT(tblMovimientos[[#This Row],[Producto]],FIND(" · ",tblMovimientos[[#This Row],[Producto]]&amp;" · ")-1)))</f>
        <v/>
      </c>
      <c r="H3288" s="40" t="str">
        <f>IF(tblMovimientos[[#This Row],[SKU]]="","",IFERROR(INDEX(tblProductos[Unidad],MATCH(tblMovimientos[[#This Row],[SKU]],tblProductos[SKU],0)),"?"))</f>
        <v/>
      </c>
      <c r="I3288" s="39"/>
      <c r="J3288" s="47" t="str">
        <f>IF(tblMovimientos[[#This Row],[Tipo]]="","",IFERROR(INDEX(tblTiposMov[FactorStock],MATCH(tblMovimientos[[#This Row],[Tipo]],tblTiposMov[Tipo],0)),0))</f>
        <v/>
      </c>
      <c r="K32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8" s="37"/>
      <c r="O3288" s="37"/>
      <c r="P3288" s="37"/>
    </row>
    <row r="3289" spans="2:16" x14ac:dyDescent="0.25">
      <c r="B32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89" s="46"/>
      <c r="D3289" s="37"/>
      <c r="E3289" s="37"/>
      <c r="F3289" s="37"/>
      <c r="G3289" s="40" t="str">
        <f>IF(tblMovimientos[[#This Row],[Producto]]="","",TRIM(LEFT(tblMovimientos[[#This Row],[Producto]],FIND(" · ",tblMovimientos[[#This Row],[Producto]]&amp;" · ")-1)))</f>
        <v/>
      </c>
      <c r="H3289" s="40" t="str">
        <f>IF(tblMovimientos[[#This Row],[SKU]]="","",IFERROR(INDEX(tblProductos[Unidad],MATCH(tblMovimientos[[#This Row],[SKU]],tblProductos[SKU],0)),"?"))</f>
        <v/>
      </c>
      <c r="I3289" s="39"/>
      <c r="J3289" s="47" t="str">
        <f>IF(tblMovimientos[[#This Row],[Tipo]]="","",IFERROR(INDEX(tblTiposMov[FactorStock],MATCH(tblMovimientos[[#This Row],[Tipo]],tblTiposMov[Tipo],0)),0))</f>
        <v/>
      </c>
      <c r="K32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89" s="37"/>
      <c r="O3289" s="37"/>
      <c r="P3289" s="37"/>
    </row>
    <row r="3290" spans="2:16" x14ac:dyDescent="0.25">
      <c r="B32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0" s="46"/>
      <c r="D3290" s="37"/>
      <c r="E3290" s="37"/>
      <c r="F3290" s="37"/>
      <c r="G3290" s="40" t="str">
        <f>IF(tblMovimientos[[#This Row],[Producto]]="","",TRIM(LEFT(tblMovimientos[[#This Row],[Producto]],FIND(" · ",tblMovimientos[[#This Row],[Producto]]&amp;" · ")-1)))</f>
        <v/>
      </c>
      <c r="H3290" s="40" t="str">
        <f>IF(tblMovimientos[[#This Row],[SKU]]="","",IFERROR(INDEX(tblProductos[Unidad],MATCH(tblMovimientos[[#This Row],[SKU]],tblProductos[SKU],0)),"?"))</f>
        <v/>
      </c>
      <c r="I3290" s="39"/>
      <c r="J3290" s="47" t="str">
        <f>IF(tblMovimientos[[#This Row],[Tipo]]="","",IFERROR(INDEX(tblTiposMov[FactorStock],MATCH(tblMovimientos[[#This Row],[Tipo]],tblTiposMov[Tipo],0)),0))</f>
        <v/>
      </c>
      <c r="K32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0" s="37"/>
      <c r="O3290" s="37"/>
      <c r="P3290" s="37"/>
    </row>
    <row r="3291" spans="2:16" x14ac:dyDescent="0.25">
      <c r="B32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1" s="46"/>
      <c r="D3291" s="37"/>
      <c r="E3291" s="37"/>
      <c r="F3291" s="37"/>
      <c r="G3291" s="40" t="str">
        <f>IF(tblMovimientos[[#This Row],[Producto]]="","",TRIM(LEFT(tblMovimientos[[#This Row],[Producto]],FIND(" · ",tblMovimientos[[#This Row],[Producto]]&amp;" · ")-1)))</f>
        <v/>
      </c>
      <c r="H3291" s="40" t="str">
        <f>IF(tblMovimientos[[#This Row],[SKU]]="","",IFERROR(INDEX(tblProductos[Unidad],MATCH(tblMovimientos[[#This Row],[SKU]],tblProductos[SKU],0)),"?"))</f>
        <v/>
      </c>
      <c r="I3291" s="39"/>
      <c r="J3291" s="47" t="str">
        <f>IF(tblMovimientos[[#This Row],[Tipo]]="","",IFERROR(INDEX(tblTiposMov[FactorStock],MATCH(tblMovimientos[[#This Row],[Tipo]],tblTiposMov[Tipo],0)),0))</f>
        <v/>
      </c>
      <c r="K32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1" s="37"/>
      <c r="O3291" s="37"/>
      <c r="P3291" s="37"/>
    </row>
    <row r="3292" spans="2:16" x14ac:dyDescent="0.25">
      <c r="B32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2" s="46"/>
      <c r="D3292" s="37"/>
      <c r="E3292" s="37"/>
      <c r="F3292" s="37"/>
      <c r="G3292" s="40" t="str">
        <f>IF(tblMovimientos[[#This Row],[Producto]]="","",TRIM(LEFT(tblMovimientos[[#This Row],[Producto]],FIND(" · ",tblMovimientos[[#This Row],[Producto]]&amp;" · ")-1)))</f>
        <v/>
      </c>
      <c r="H3292" s="40" t="str">
        <f>IF(tblMovimientos[[#This Row],[SKU]]="","",IFERROR(INDEX(tblProductos[Unidad],MATCH(tblMovimientos[[#This Row],[SKU]],tblProductos[SKU],0)),"?"))</f>
        <v/>
      </c>
      <c r="I3292" s="39"/>
      <c r="J3292" s="47" t="str">
        <f>IF(tblMovimientos[[#This Row],[Tipo]]="","",IFERROR(INDEX(tblTiposMov[FactorStock],MATCH(tblMovimientos[[#This Row],[Tipo]],tblTiposMov[Tipo],0)),0))</f>
        <v/>
      </c>
      <c r="K32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2" s="37"/>
      <c r="O3292" s="37"/>
      <c r="P3292" s="37"/>
    </row>
    <row r="3293" spans="2:16" x14ac:dyDescent="0.25">
      <c r="B32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3" s="46"/>
      <c r="D3293" s="37"/>
      <c r="E3293" s="37"/>
      <c r="F3293" s="37"/>
      <c r="G3293" s="40" t="str">
        <f>IF(tblMovimientos[[#This Row],[Producto]]="","",TRIM(LEFT(tblMovimientos[[#This Row],[Producto]],FIND(" · ",tblMovimientos[[#This Row],[Producto]]&amp;" · ")-1)))</f>
        <v/>
      </c>
      <c r="H3293" s="40" t="str">
        <f>IF(tblMovimientos[[#This Row],[SKU]]="","",IFERROR(INDEX(tblProductos[Unidad],MATCH(tblMovimientos[[#This Row],[SKU]],tblProductos[SKU],0)),"?"))</f>
        <v/>
      </c>
      <c r="I3293" s="39"/>
      <c r="J3293" s="47" t="str">
        <f>IF(tblMovimientos[[#This Row],[Tipo]]="","",IFERROR(INDEX(tblTiposMov[FactorStock],MATCH(tblMovimientos[[#This Row],[Tipo]],tblTiposMov[Tipo],0)),0))</f>
        <v/>
      </c>
      <c r="K32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3" s="37"/>
      <c r="O3293" s="37"/>
      <c r="P3293" s="37"/>
    </row>
    <row r="3294" spans="2:16" x14ac:dyDescent="0.25">
      <c r="B32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4" s="46"/>
      <c r="D3294" s="37"/>
      <c r="E3294" s="37"/>
      <c r="F3294" s="37"/>
      <c r="G3294" s="40" t="str">
        <f>IF(tblMovimientos[[#This Row],[Producto]]="","",TRIM(LEFT(tblMovimientos[[#This Row],[Producto]],FIND(" · ",tblMovimientos[[#This Row],[Producto]]&amp;" · ")-1)))</f>
        <v/>
      </c>
      <c r="H3294" s="40" t="str">
        <f>IF(tblMovimientos[[#This Row],[SKU]]="","",IFERROR(INDEX(tblProductos[Unidad],MATCH(tblMovimientos[[#This Row],[SKU]],tblProductos[SKU],0)),"?"))</f>
        <v/>
      </c>
      <c r="I3294" s="39"/>
      <c r="J3294" s="47" t="str">
        <f>IF(tblMovimientos[[#This Row],[Tipo]]="","",IFERROR(INDEX(tblTiposMov[FactorStock],MATCH(tblMovimientos[[#This Row],[Tipo]],tblTiposMov[Tipo],0)),0))</f>
        <v/>
      </c>
      <c r="K32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4" s="37"/>
      <c r="O3294" s="37"/>
      <c r="P3294" s="37"/>
    </row>
    <row r="3295" spans="2:16" x14ac:dyDescent="0.25">
      <c r="B32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5" s="46"/>
      <c r="D3295" s="37"/>
      <c r="E3295" s="37"/>
      <c r="F3295" s="37"/>
      <c r="G3295" s="40" t="str">
        <f>IF(tblMovimientos[[#This Row],[Producto]]="","",TRIM(LEFT(tblMovimientos[[#This Row],[Producto]],FIND(" · ",tblMovimientos[[#This Row],[Producto]]&amp;" · ")-1)))</f>
        <v/>
      </c>
      <c r="H3295" s="40" t="str">
        <f>IF(tblMovimientos[[#This Row],[SKU]]="","",IFERROR(INDEX(tblProductos[Unidad],MATCH(tblMovimientos[[#This Row],[SKU]],tblProductos[SKU],0)),"?"))</f>
        <v/>
      </c>
      <c r="I3295" s="39"/>
      <c r="J3295" s="47" t="str">
        <f>IF(tblMovimientos[[#This Row],[Tipo]]="","",IFERROR(INDEX(tblTiposMov[FactorStock],MATCH(tblMovimientos[[#This Row],[Tipo]],tblTiposMov[Tipo],0)),0))</f>
        <v/>
      </c>
      <c r="K32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5" s="37"/>
      <c r="O3295" s="37"/>
      <c r="P3295" s="37"/>
    </row>
    <row r="3296" spans="2:16" x14ac:dyDescent="0.25">
      <c r="B32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6" s="46"/>
      <c r="D3296" s="37"/>
      <c r="E3296" s="37"/>
      <c r="F3296" s="37"/>
      <c r="G3296" s="40" t="str">
        <f>IF(tblMovimientos[[#This Row],[Producto]]="","",TRIM(LEFT(tblMovimientos[[#This Row],[Producto]],FIND(" · ",tblMovimientos[[#This Row],[Producto]]&amp;" · ")-1)))</f>
        <v/>
      </c>
      <c r="H3296" s="40" t="str">
        <f>IF(tblMovimientos[[#This Row],[SKU]]="","",IFERROR(INDEX(tblProductos[Unidad],MATCH(tblMovimientos[[#This Row],[SKU]],tblProductos[SKU],0)),"?"))</f>
        <v/>
      </c>
      <c r="I3296" s="39"/>
      <c r="J3296" s="47" t="str">
        <f>IF(tblMovimientos[[#This Row],[Tipo]]="","",IFERROR(INDEX(tblTiposMov[FactorStock],MATCH(tblMovimientos[[#This Row],[Tipo]],tblTiposMov[Tipo],0)),0))</f>
        <v/>
      </c>
      <c r="K32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6" s="37"/>
      <c r="O3296" s="37"/>
      <c r="P3296" s="37"/>
    </row>
    <row r="3297" spans="2:16" x14ac:dyDescent="0.25">
      <c r="B32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7" s="46"/>
      <c r="D3297" s="37"/>
      <c r="E3297" s="37"/>
      <c r="F3297" s="37"/>
      <c r="G3297" s="40" t="str">
        <f>IF(tblMovimientos[[#This Row],[Producto]]="","",TRIM(LEFT(tblMovimientos[[#This Row],[Producto]],FIND(" · ",tblMovimientos[[#This Row],[Producto]]&amp;" · ")-1)))</f>
        <v/>
      </c>
      <c r="H3297" s="40" t="str">
        <f>IF(tblMovimientos[[#This Row],[SKU]]="","",IFERROR(INDEX(tblProductos[Unidad],MATCH(tblMovimientos[[#This Row],[SKU]],tblProductos[SKU],0)),"?"))</f>
        <v/>
      </c>
      <c r="I3297" s="39"/>
      <c r="J3297" s="47" t="str">
        <f>IF(tblMovimientos[[#This Row],[Tipo]]="","",IFERROR(INDEX(tblTiposMov[FactorStock],MATCH(tblMovimientos[[#This Row],[Tipo]],tblTiposMov[Tipo],0)),0))</f>
        <v/>
      </c>
      <c r="K32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7" s="37"/>
      <c r="O3297" s="37"/>
      <c r="P3297" s="37"/>
    </row>
    <row r="3298" spans="2:16" x14ac:dyDescent="0.25">
      <c r="B32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8" s="46"/>
      <c r="D3298" s="37"/>
      <c r="E3298" s="37"/>
      <c r="F3298" s="37"/>
      <c r="G3298" s="40" t="str">
        <f>IF(tblMovimientos[[#This Row],[Producto]]="","",TRIM(LEFT(tblMovimientos[[#This Row],[Producto]],FIND(" · ",tblMovimientos[[#This Row],[Producto]]&amp;" · ")-1)))</f>
        <v/>
      </c>
      <c r="H3298" s="40" t="str">
        <f>IF(tblMovimientos[[#This Row],[SKU]]="","",IFERROR(INDEX(tblProductos[Unidad],MATCH(tblMovimientos[[#This Row],[SKU]],tblProductos[SKU],0)),"?"))</f>
        <v/>
      </c>
      <c r="I3298" s="39"/>
      <c r="J3298" s="47" t="str">
        <f>IF(tblMovimientos[[#This Row],[Tipo]]="","",IFERROR(INDEX(tblTiposMov[FactorStock],MATCH(tblMovimientos[[#This Row],[Tipo]],tblTiposMov[Tipo],0)),0))</f>
        <v/>
      </c>
      <c r="K32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8" s="37"/>
      <c r="O3298" s="37"/>
      <c r="P3298" s="37"/>
    </row>
    <row r="3299" spans="2:16" x14ac:dyDescent="0.25">
      <c r="B32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299" s="46"/>
      <c r="D3299" s="37"/>
      <c r="E3299" s="37"/>
      <c r="F3299" s="37"/>
      <c r="G3299" s="40" t="str">
        <f>IF(tblMovimientos[[#This Row],[Producto]]="","",TRIM(LEFT(tblMovimientos[[#This Row],[Producto]],FIND(" · ",tblMovimientos[[#This Row],[Producto]]&amp;" · ")-1)))</f>
        <v/>
      </c>
      <c r="H3299" s="40" t="str">
        <f>IF(tblMovimientos[[#This Row],[SKU]]="","",IFERROR(INDEX(tblProductos[Unidad],MATCH(tblMovimientos[[#This Row],[SKU]],tblProductos[SKU],0)),"?"))</f>
        <v/>
      </c>
      <c r="I3299" s="39"/>
      <c r="J3299" s="47" t="str">
        <f>IF(tblMovimientos[[#This Row],[Tipo]]="","",IFERROR(INDEX(tblTiposMov[FactorStock],MATCH(tblMovimientos[[#This Row],[Tipo]],tblTiposMov[Tipo],0)),0))</f>
        <v/>
      </c>
      <c r="K32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2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299" s="37"/>
      <c r="O3299" s="37"/>
      <c r="P3299" s="37"/>
    </row>
    <row r="3300" spans="2:16" x14ac:dyDescent="0.25">
      <c r="B33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0" s="46"/>
      <c r="D3300" s="37"/>
      <c r="E3300" s="37"/>
      <c r="F3300" s="37"/>
      <c r="G3300" s="40" t="str">
        <f>IF(tblMovimientos[[#This Row],[Producto]]="","",TRIM(LEFT(tblMovimientos[[#This Row],[Producto]],FIND(" · ",tblMovimientos[[#This Row],[Producto]]&amp;" · ")-1)))</f>
        <v/>
      </c>
      <c r="H3300" s="40" t="str">
        <f>IF(tblMovimientos[[#This Row],[SKU]]="","",IFERROR(INDEX(tblProductos[Unidad],MATCH(tblMovimientos[[#This Row],[SKU]],tblProductos[SKU],0)),"?"))</f>
        <v/>
      </c>
      <c r="I3300" s="39"/>
      <c r="J3300" s="47" t="str">
        <f>IF(tblMovimientos[[#This Row],[Tipo]]="","",IFERROR(INDEX(tblTiposMov[FactorStock],MATCH(tblMovimientos[[#This Row],[Tipo]],tblTiposMov[Tipo],0)),0))</f>
        <v/>
      </c>
      <c r="K33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0" s="37"/>
      <c r="O3300" s="37"/>
      <c r="P3300" s="37"/>
    </row>
    <row r="3301" spans="2:16" x14ac:dyDescent="0.25">
      <c r="B33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1" s="46"/>
      <c r="D3301" s="37"/>
      <c r="E3301" s="37"/>
      <c r="F3301" s="37"/>
      <c r="G3301" s="40" t="str">
        <f>IF(tblMovimientos[[#This Row],[Producto]]="","",TRIM(LEFT(tblMovimientos[[#This Row],[Producto]],FIND(" · ",tblMovimientos[[#This Row],[Producto]]&amp;" · ")-1)))</f>
        <v/>
      </c>
      <c r="H3301" s="40" t="str">
        <f>IF(tblMovimientos[[#This Row],[SKU]]="","",IFERROR(INDEX(tblProductos[Unidad],MATCH(tblMovimientos[[#This Row],[SKU]],tblProductos[SKU],0)),"?"))</f>
        <v/>
      </c>
      <c r="I3301" s="39"/>
      <c r="J3301" s="47" t="str">
        <f>IF(tblMovimientos[[#This Row],[Tipo]]="","",IFERROR(INDEX(tblTiposMov[FactorStock],MATCH(tblMovimientos[[#This Row],[Tipo]],tblTiposMov[Tipo],0)),0))</f>
        <v/>
      </c>
      <c r="K33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1" s="37"/>
      <c r="O3301" s="37"/>
      <c r="P3301" s="37"/>
    </row>
    <row r="3302" spans="2:16" x14ac:dyDescent="0.25">
      <c r="B33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2" s="46"/>
      <c r="D3302" s="37"/>
      <c r="E3302" s="37"/>
      <c r="F3302" s="37"/>
      <c r="G3302" s="40" t="str">
        <f>IF(tblMovimientos[[#This Row],[Producto]]="","",TRIM(LEFT(tblMovimientos[[#This Row],[Producto]],FIND(" · ",tblMovimientos[[#This Row],[Producto]]&amp;" · ")-1)))</f>
        <v/>
      </c>
      <c r="H3302" s="40" t="str">
        <f>IF(tblMovimientos[[#This Row],[SKU]]="","",IFERROR(INDEX(tblProductos[Unidad],MATCH(tblMovimientos[[#This Row],[SKU]],tblProductos[SKU],0)),"?"))</f>
        <v/>
      </c>
      <c r="I3302" s="39"/>
      <c r="J3302" s="47" t="str">
        <f>IF(tblMovimientos[[#This Row],[Tipo]]="","",IFERROR(INDEX(tblTiposMov[FactorStock],MATCH(tblMovimientos[[#This Row],[Tipo]],tblTiposMov[Tipo],0)),0))</f>
        <v/>
      </c>
      <c r="K33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2" s="37"/>
      <c r="O3302" s="37"/>
      <c r="P3302" s="37"/>
    </row>
    <row r="3303" spans="2:16" x14ac:dyDescent="0.25">
      <c r="B33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3" s="46"/>
      <c r="D3303" s="37"/>
      <c r="E3303" s="37"/>
      <c r="F3303" s="37"/>
      <c r="G3303" s="40" t="str">
        <f>IF(tblMovimientos[[#This Row],[Producto]]="","",TRIM(LEFT(tblMovimientos[[#This Row],[Producto]],FIND(" · ",tblMovimientos[[#This Row],[Producto]]&amp;" · ")-1)))</f>
        <v/>
      </c>
      <c r="H3303" s="40" t="str">
        <f>IF(tblMovimientos[[#This Row],[SKU]]="","",IFERROR(INDEX(tblProductos[Unidad],MATCH(tblMovimientos[[#This Row],[SKU]],tblProductos[SKU],0)),"?"))</f>
        <v/>
      </c>
      <c r="I3303" s="39"/>
      <c r="J3303" s="47" t="str">
        <f>IF(tblMovimientos[[#This Row],[Tipo]]="","",IFERROR(INDEX(tblTiposMov[FactorStock],MATCH(tblMovimientos[[#This Row],[Tipo]],tblTiposMov[Tipo],0)),0))</f>
        <v/>
      </c>
      <c r="K33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3" s="37"/>
      <c r="O3303" s="37"/>
      <c r="P3303" s="37"/>
    </row>
    <row r="3304" spans="2:16" x14ac:dyDescent="0.25">
      <c r="B33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4" s="46"/>
      <c r="D3304" s="37"/>
      <c r="E3304" s="37"/>
      <c r="F3304" s="37"/>
      <c r="G3304" s="40" t="str">
        <f>IF(tblMovimientos[[#This Row],[Producto]]="","",TRIM(LEFT(tblMovimientos[[#This Row],[Producto]],FIND(" · ",tblMovimientos[[#This Row],[Producto]]&amp;" · ")-1)))</f>
        <v/>
      </c>
      <c r="H3304" s="40" t="str">
        <f>IF(tblMovimientos[[#This Row],[SKU]]="","",IFERROR(INDEX(tblProductos[Unidad],MATCH(tblMovimientos[[#This Row],[SKU]],tblProductos[SKU],0)),"?"))</f>
        <v/>
      </c>
      <c r="I3304" s="39"/>
      <c r="J3304" s="47" t="str">
        <f>IF(tblMovimientos[[#This Row],[Tipo]]="","",IFERROR(INDEX(tblTiposMov[FactorStock],MATCH(tblMovimientos[[#This Row],[Tipo]],tblTiposMov[Tipo],0)),0))</f>
        <v/>
      </c>
      <c r="K33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4" s="37"/>
      <c r="O3304" s="37"/>
      <c r="P3304" s="37"/>
    </row>
    <row r="3305" spans="2:16" x14ac:dyDescent="0.25">
      <c r="B33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5" s="46"/>
      <c r="D3305" s="37"/>
      <c r="E3305" s="37"/>
      <c r="F3305" s="37"/>
      <c r="G3305" s="40" t="str">
        <f>IF(tblMovimientos[[#This Row],[Producto]]="","",TRIM(LEFT(tblMovimientos[[#This Row],[Producto]],FIND(" · ",tblMovimientos[[#This Row],[Producto]]&amp;" · ")-1)))</f>
        <v/>
      </c>
      <c r="H3305" s="40" t="str">
        <f>IF(tblMovimientos[[#This Row],[SKU]]="","",IFERROR(INDEX(tblProductos[Unidad],MATCH(tblMovimientos[[#This Row],[SKU]],tblProductos[SKU],0)),"?"))</f>
        <v/>
      </c>
      <c r="I3305" s="39"/>
      <c r="J3305" s="47" t="str">
        <f>IF(tblMovimientos[[#This Row],[Tipo]]="","",IFERROR(INDEX(tblTiposMov[FactorStock],MATCH(tblMovimientos[[#This Row],[Tipo]],tblTiposMov[Tipo],0)),0))</f>
        <v/>
      </c>
      <c r="K33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5" s="37"/>
      <c r="O3305" s="37"/>
      <c r="P3305" s="37"/>
    </row>
    <row r="3306" spans="2:16" x14ac:dyDescent="0.25">
      <c r="B33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6" s="46"/>
      <c r="D3306" s="37"/>
      <c r="E3306" s="37"/>
      <c r="F3306" s="37"/>
      <c r="G3306" s="40" t="str">
        <f>IF(tblMovimientos[[#This Row],[Producto]]="","",TRIM(LEFT(tblMovimientos[[#This Row],[Producto]],FIND(" · ",tblMovimientos[[#This Row],[Producto]]&amp;" · ")-1)))</f>
        <v/>
      </c>
      <c r="H3306" s="40" t="str">
        <f>IF(tblMovimientos[[#This Row],[SKU]]="","",IFERROR(INDEX(tblProductos[Unidad],MATCH(tblMovimientos[[#This Row],[SKU]],tblProductos[SKU],0)),"?"))</f>
        <v/>
      </c>
      <c r="I3306" s="39"/>
      <c r="J3306" s="47" t="str">
        <f>IF(tblMovimientos[[#This Row],[Tipo]]="","",IFERROR(INDEX(tblTiposMov[FactorStock],MATCH(tblMovimientos[[#This Row],[Tipo]],tblTiposMov[Tipo],0)),0))</f>
        <v/>
      </c>
      <c r="K33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6" s="37"/>
      <c r="O3306" s="37"/>
      <c r="P3306" s="37"/>
    </row>
    <row r="3307" spans="2:16" x14ac:dyDescent="0.25">
      <c r="B33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7" s="46"/>
      <c r="D3307" s="37"/>
      <c r="E3307" s="37"/>
      <c r="F3307" s="37"/>
      <c r="G3307" s="40" t="str">
        <f>IF(tblMovimientos[[#This Row],[Producto]]="","",TRIM(LEFT(tblMovimientos[[#This Row],[Producto]],FIND(" · ",tblMovimientos[[#This Row],[Producto]]&amp;" · ")-1)))</f>
        <v/>
      </c>
      <c r="H3307" s="40" t="str">
        <f>IF(tblMovimientos[[#This Row],[SKU]]="","",IFERROR(INDEX(tblProductos[Unidad],MATCH(tblMovimientos[[#This Row],[SKU]],tblProductos[SKU],0)),"?"))</f>
        <v/>
      </c>
      <c r="I3307" s="39"/>
      <c r="J3307" s="47" t="str">
        <f>IF(tblMovimientos[[#This Row],[Tipo]]="","",IFERROR(INDEX(tblTiposMov[FactorStock],MATCH(tblMovimientos[[#This Row],[Tipo]],tblTiposMov[Tipo],0)),0))</f>
        <v/>
      </c>
      <c r="K33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7" s="37"/>
      <c r="O3307" s="37"/>
      <c r="P3307" s="37"/>
    </row>
    <row r="3308" spans="2:16" x14ac:dyDescent="0.25">
      <c r="B33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8" s="46"/>
      <c r="D3308" s="37"/>
      <c r="E3308" s="37"/>
      <c r="F3308" s="37"/>
      <c r="G3308" s="40" t="str">
        <f>IF(tblMovimientos[[#This Row],[Producto]]="","",TRIM(LEFT(tblMovimientos[[#This Row],[Producto]],FIND(" · ",tblMovimientos[[#This Row],[Producto]]&amp;" · ")-1)))</f>
        <v/>
      </c>
      <c r="H3308" s="40" t="str">
        <f>IF(tblMovimientos[[#This Row],[SKU]]="","",IFERROR(INDEX(tblProductos[Unidad],MATCH(tblMovimientos[[#This Row],[SKU]],tblProductos[SKU],0)),"?"))</f>
        <v/>
      </c>
      <c r="I3308" s="39"/>
      <c r="J3308" s="47" t="str">
        <f>IF(tblMovimientos[[#This Row],[Tipo]]="","",IFERROR(INDEX(tblTiposMov[FactorStock],MATCH(tblMovimientos[[#This Row],[Tipo]],tblTiposMov[Tipo],0)),0))</f>
        <v/>
      </c>
      <c r="K33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8" s="37"/>
      <c r="O3308" s="37"/>
      <c r="P3308" s="37"/>
    </row>
    <row r="3309" spans="2:16" x14ac:dyDescent="0.25">
      <c r="B33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09" s="46"/>
      <c r="D3309" s="37"/>
      <c r="E3309" s="37"/>
      <c r="F3309" s="37"/>
      <c r="G3309" s="40" t="str">
        <f>IF(tblMovimientos[[#This Row],[Producto]]="","",TRIM(LEFT(tblMovimientos[[#This Row],[Producto]],FIND(" · ",tblMovimientos[[#This Row],[Producto]]&amp;" · ")-1)))</f>
        <v/>
      </c>
      <c r="H3309" s="40" t="str">
        <f>IF(tblMovimientos[[#This Row],[SKU]]="","",IFERROR(INDEX(tblProductos[Unidad],MATCH(tblMovimientos[[#This Row],[SKU]],tblProductos[SKU],0)),"?"))</f>
        <v/>
      </c>
      <c r="I3309" s="39"/>
      <c r="J3309" s="47" t="str">
        <f>IF(tblMovimientos[[#This Row],[Tipo]]="","",IFERROR(INDEX(tblTiposMov[FactorStock],MATCH(tblMovimientos[[#This Row],[Tipo]],tblTiposMov[Tipo],0)),0))</f>
        <v/>
      </c>
      <c r="K33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09" s="37"/>
      <c r="O3309" s="37"/>
      <c r="P3309" s="37"/>
    </row>
    <row r="3310" spans="2:16" x14ac:dyDescent="0.25">
      <c r="B33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0" s="46"/>
      <c r="D3310" s="37"/>
      <c r="E3310" s="37"/>
      <c r="F3310" s="37"/>
      <c r="G3310" s="40" t="str">
        <f>IF(tblMovimientos[[#This Row],[Producto]]="","",TRIM(LEFT(tblMovimientos[[#This Row],[Producto]],FIND(" · ",tblMovimientos[[#This Row],[Producto]]&amp;" · ")-1)))</f>
        <v/>
      </c>
      <c r="H3310" s="40" t="str">
        <f>IF(tblMovimientos[[#This Row],[SKU]]="","",IFERROR(INDEX(tblProductos[Unidad],MATCH(tblMovimientos[[#This Row],[SKU]],tblProductos[SKU],0)),"?"))</f>
        <v/>
      </c>
      <c r="I3310" s="39"/>
      <c r="J3310" s="47" t="str">
        <f>IF(tblMovimientos[[#This Row],[Tipo]]="","",IFERROR(INDEX(tblTiposMov[FactorStock],MATCH(tblMovimientos[[#This Row],[Tipo]],tblTiposMov[Tipo],0)),0))</f>
        <v/>
      </c>
      <c r="K33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0" s="37"/>
      <c r="O3310" s="37"/>
      <c r="P3310" s="37"/>
    </row>
    <row r="3311" spans="2:16" x14ac:dyDescent="0.25">
      <c r="B33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1" s="46"/>
      <c r="D3311" s="37"/>
      <c r="E3311" s="37"/>
      <c r="F3311" s="37"/>
      <c r="G3311" s="40" t="str">
        <f>IF(tblMovimientos[[#This Row],[Producto]]="","",TRIM(LEFT(tblMovimientos[[#This Row],[Producto]],FIND(" · ",tblMovimientos[[#This Row],[Producto]]&amp;" · ")-1)))</f>
        <v/>
      </c>
      <c r="H3311" s="40" t="str">
        <f>IF(tblMovimientos[[#This Row],[SKU]]="","",IFERROR(INDEX(tblProductos[Unidad],MATCH(tblMovimientos[[#This Row],[SKU]],tblProductos[SKU],0)),"?"))</f>
        <v/>
      </c>
      <c r="I3311" s="39"/>
      <c r="J3311" s="47" t="str">
        <f>IF(tblMovimientos[[#This Row],[Tipo]]="","",IFERROR(INDEX(tblTiposMov[FactorStock],MATCH(tblMovimientos[[#This Row],[Tipo]],tblTiposMov[Tipo],0)),0))</f>
        <v/>
      </c>
      <c r="K33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1" s="37"/>
      <c r="O3311" s="37"/>
      <c r="P3311" s="37"/>
    </row>
    <row r="3312" spans="2:16" x14ac:dyDescent="0.25">
      <c r="B33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2" s="46"/>
      <c r="D3312" s="37"/>
      <c r="E3312" s="37"/>
      <c r="F3312" s="37"/>
      <c r="G3312" s="40" t="str">
        <f>IF(tblMovimientos[[#This Row],[Producto]]="","",TRIM(LEFT(tblMovimientos[[#This Row],[Producto]],FIND(" · ",tblMovimientos[[#This Row],[Producto]]&amp;" · ")-1)))</f>
        <v/>
      </c>
      <c r="H3312" s="40" t="str">
        <f>IF(tblMovimientos[[#This Row],[SKU]]="","",IFERROR(INDEX(tblProductos[Unidad],MATCH(tblMovimientos[[#This Row],[SKU]],tblProductos[SKU],0)),"?"))</f>
        <v/>
      </c>
      <c r="I3312" s="39"/>
      <c r="J3312" s="47" t="str">
        <f>IF(tblMovimientos[[#This Row],[Tipo]]="","",IFERROR(INDEX(tblTiposMov[FactorStock],MATCH(tblMovimientos[[#This Row],[Tipo]],tblTiposMov[Tipo],0)),0))</f>
        <v/>
      </c>
      <c r="K33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2" s="37"/>
      <c r="O3312" s="37"/>
      <c r="P3312" s="37"/>
    </row>
    <row r="3313" spans="2:16" x14ac:dyDescent="0.25">
      <c r="B33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3" s="46"/>
      <c r="D3313" s="37"/>
      <c r="E3313" s="37"/>
      <c r="F3313" s="37"/>
      <c r="G3313" s="40" t="str">
        <f>IF(tblMovimientos[[#This Row],[Producto]]="","",TRIM(LEFT(tblMovimientos[[#This Row],[Producto]],FIND(" · ",tblMovimientos[[#This Row],[Producto]]&amp;" · ")-1)))</f>
        <v/>
      </c>
      <c r="H3313" s="40" t="str">
        <f>IF(tblMovimientos[[#This Row],[SKU]]="","",IFERROR(INDEX(tblProductos[Unidad],MATCH(tblMovimientos[[#This Row],[SKU]],tblProductos[SKU],0)),"?"))</f>
        <v/>
      </c>
      <c r="I3313" s="39"/>
      <c r="J3313" s="47" t="str">
        <f>IF(tblMovimientos[[#This Row],[Tipo]]="","",IFERROR(INDEX(tblTiposMov[FactorStock],MATCH(tblMovimientos[[#This Row],[Tipo]],tblTiposMov[Tipo],0)),0))</f>
        <v/>
      </c>
      <c r="K33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3" s="37"/>
      <c r="O3313" s="37"/>
      <c r="P3313" s="37"/>
    </row>
    <row r="3314" spans="2:16" x14ac:dyDescent="0.25">
      <c r="B33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4" s="46"/>
      <c r="D3314" s="37"/>
      <c r="E3314" s="37"/>
      <c r="F3314" s="37"/>
      <c r="G3314" s="40" t="str">
        <f>IF(tblMovimientos[[#This Row],[Producto]]="","",TRIM(LEFT(tblMovimientos[[#This Row],[Producto]],FIND(" · ",tblMovimientos[[#This Row],[Producto]]&amp;" · ")-1)))</f>
        <v/>
      </c>
      <c r="H3314" s="40" t="str">
        <f>IF(tblMovimientos[[#This Row],[SKU]]="","",IFERROR(INDEX(tblProductos[Unidad],MATCH(tblMovimientos[[#This Row],[SKU]],tblProductos[SKU],0)),"?"))</f>
        <v/>
      </c>
      <c r="I3314" s="39"/>
      <c r="J3314" s="47" t="str">
        <f>IF(tblMovimientos[[#This Row],[Tipo]]="","",IFERROR(INDEX(tblTiposMov[FactorStock],MATCH(tblMovimientos[[#This Row],[Tipo]],tblTiposMov[Tipo],0)),0))</f>
        <v/>
      </c>
      <c r="K33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4" s="37"/>
      <c r="O3314" s="37"/>
      <c r="P3314" s="37"/>
    </row>
    <row r="3315" spans="2:16" x14ac:dyDescent="0.25">
      <c r="B33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5" s="46"/>
      <c r="D3315" s="37"/>
      <c r="E3315" s="37"/>
      <c r="F3315" s="37"/>
      <c r="G3315" s="40" t="str">
        <f>IF(tblMovimientos[[#This Row],[Producto]]="","",TRIM(LEFT(tblMovimientos[[#This Row],[Producto]],FIND(" · ",tblMovimientos[[#This Row],[Producto]]&amp;" · ")-1)))</f>
        <v/>
      </c>
      <c r="H3315" s="40" t="str">
        <f>IF(tblMovimientos[[#This Row],[SKU]]="","",IFERROR(INDEX(tblProductos[Unidad],MATCH(tblMovimientos[[#This Row],[SKU]],tblProductos[SKU],0)),"?"))</f>
        <v/>
      </c>
      <c r="I3315" s="39"/>
      <c r="J3315" s="47" t="str">
        <f>IF(tblMovimientos[[#This Row],[Tipo]]="","",IFERROR(INDEX(tblTiposMov[FactorStock],MATCH(tblMovimientos[[#This Row],[Tipo]],tblTiposMov[Tipo],0)),0))</f>
        <v/>
      </c>
      <c r="K33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5" s="37"/>
      <c r="O3315" s="37"/>
      <c r="P3315" s="37"/>
    </row>
    <row r="3316" spans="2:16" x14ac:dyDescent="0.25">
      <c r="B33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6" s="46"/>
      <c r="D3316" s="37"/>
      <c r="E3316" s="37"/>
      <c r="F3316" s="37"/>
      <c r="G3316" s="40" t="str">
        <f>IF(tblMovimientos[[#This Row],[Producto]]="","",TRIM(LEFT(tblMovimientos[[#This Row],[Producto]],FIND(" · ",tblMovimientos[[#This Row],[Producto]]&amp;" · ")-1)))</f>
        <v/>
      </c>
      <c r="H3316" s="40" t="str">
        <f>IF(tblMovimientos[[#This Row],[SKU]]="","",IFERROR(INDEX(tblProductos[Unidad],MATCH(tblMovimientos[[#This Row],[SKU]],tblProductos[SKU],0)),"?"))</f>
        <v/>
      </c>
      <c r="I3316" s="39"/>
      <c r="J3316" s="47" t="str">
        <f>IF(tblMovimientos[[#This Row],[Tipo]]="","",IFERROR(INDEX(tblTiposMov[FactorStock],MATCH(tblMovimientos[[#This Row],[Tipo]],tblTiposMov[Tipo],0)),0))</f>
        <v/>
      </c>
      <c r="K33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6" s="37"/>
      <c r="O3316" s="37"/>
      <c r="P3316" s="37"/>
    </row>
    <row r="3317" spans="2:16" x14ac:dyDescent="0.25">
      <c r="B33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7" s="46"/>
      <c r="D3317" s="37"/>
      <c r="E3317" s="37"/>
      <c r="F3317" s="37"/>
      <c r="G3317" s="40" t="str">
        <f>IF(tblMovimientos[[#This Row],[Producto]]="","",TRIM(LEFT(tblMovimientos[[#This Row],[Producto]],FIND(" · ",tblMovimientos[[#This Row],[Producto]]&amp;" · ")-1)))</f>
        <v/>
      </c>
      <c r="H3317" s="40" t="str">
        <f>IF(tblMovimientos[[#This Row],[SKU]]="","",IFERROR(INDEX(tblProductos[Unidad],MATCH(tblMovimientos[[#This Row],[SKU]],tblProductos[SKU],0)),"?"))</f>
        <v/>
      </c>
      <c r="I3317" s="39"/>
      <c r="J3317" s="47" t="str">
        <f>IF(tblMovimientos[[#This Row],[Tipo]]="","",IFERROR(INDEX(tblTiposMov[FactorStock],MATCH(tblMovimientos[[#This Row],[Tipo]],tblTiposMov[Tipo],0)),0))</f>
        <v/>
      </c>
      <c r="K33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7" s="37"/>
      <c r="O3317" s="37"/>
      <c r="P3317" s="37"/>
    </row>
    <row r="3318" spans="2:16" x14ac:dyDescent="0.25">
      <c r="B33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8" s="46"/>
      <c r="D3318" s="37"/>
      <c r="E3318" s="37"/>
      <c r="F3318" s="37"/>
      <c r="G3318" s="40" t="str">
        <f>IF(tblMovimientos[[#This Row],[Producto]]="","",TRIM(LEFT(tblMovimientos[[#This Row],[Producto]],FIND(" · ",tblMovimientos[[#This Row],[Producto]]&amp;" · ")-1)))</f>
        <v/>
      </c>
      <c r="H3318" s="40" t="str">
        <f>IF(tblMovimientos[[#This Row],[SKU]]="","",IFERROR(INDEX(tblProductos[Unidad],MATCH(tblMovimientos[[#This Row],[SKU]],tblProductos[SKU],0)),"?"))</f>
        <v/>
      </c>
      <c r="I3318" s="39"/>
      <c r="J3318" s="47" t="str">
        <f>IF(tblMovimientos[[#This Row],[Tipo]]="","",IFERROR(INDEX(tblTiposMov[FactorStock],MATCH(tblMovimientos[[#This Row],[Tipo]],tblTiposMov[Tipo],0)),0))</f>
        <v/>
      </c>
      <c r="K33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8" s="37"/>
      <c r="O3318" s="37"/>
      <c r="P3318" s="37"/>
    </row>
    <row r="3319" spans="2:16" x14ac:dyDescent="0.25">
      <c r="B33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19" s="46"/>
      <c r="D3319" s="37"/>
      <c r="E3319" s="37"/>
      <c r="F3319" s="37"/>
      <c r="G3319" s="40" t="str">
        <f>IF(tblMovimientos[[#This Row],[Producto]]="","",TRIM(LEFT(tblMovimientos[[#This Row],[Producto]],FIND(" · ",tblMovimientos[[#This Row],[Producto]]&amp;" · ")-1)))</f>
        <v/>
      </c>
      <c r="H3319" s="40" t="str">
        <f>IF(tblMovimientos[[#This Row],[SKU]]="","",IFERROR(INDEX(tblProductos[Unidad],MATCH(tblMovimientos[[#This Row],[SKU]],tblProductos[SKU],0)),"?"))</f>
        <v/>
      </c>
      <c r="I3319" s="39"/>
      <c r="J3319" s="47" t="str">
        <f>IF(tblMovimientos[[#This Row],[Tipo]]="","",IFERROR(INDEX(tblTiposMov[FactorStock],MATCH(tblMovimientos[[#This Row],[Tipo]],tblTiposMov[Tipo],0)),0))</f>
        <v/>
      </c>
      <c r="K33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19" s="37"/>
      <c r="O3319" s="37"/>
      <c r="P3319" s="37"/>
    </row>
    <row r="3320" spans="2:16" x14ac:dyDescent="0.25">
      <c r="B33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0" s="46"/>
      <c r="D3320" s="37"/>
      <c r="E3320" s="37"/>
      <c r="F3320" s="37"/>
      <c r="G3320" s="40" t="str">
        <f>IF(tblMovimientos[[#This Row],[Producto]]="","",TRIM(LEFT(tblMovimientos[[#This Row],[Producto]],FIND(" · ",tblMovimientos[[#This Row],[Producto]]&amp;" · ")-1)))</f>
        <v/>
      </c>
      <c r="H3320" s="40" t="str">
        <f>IF(tblMovimientos[[#This Row],[SKU]]="","",IFERROR(INDEX(tblProductos[Unidad],MATCH(tblMovimientos[[#This Row],[SKU]],tblProductos[SKU],0)),"?"))</f>
        <v/>
      </c>
      <c r="I3320" s="39"/>
      <c r="J3320" s="47" t="str">
        <f>IF(tblMovimientos[[#This Row],[Tipo]]="","",IFERROR(INDEX(tblTiposMov[FactorStock],MATCH(tblMovimientos[[#This Row],[Tipo]],tblTiposMov[Tipo],0)),0))</f>
        <v/>
      </c>
      <c r="K33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0" s="37"/>
      <c r="O3320" s="37"/>
      <c r="P3320" s="37"/>
    </row>
    <row r="3321" spans="2:16" x14ac:dyDescent="0.25">
      <c r="B33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1" s="46"/>
      <c r="D3321" s="37"/>
      <c r="E3321" s="37"/>
      <c r="F3321" s="37"/>
      <c r="G3321" s="40" t="str">
        <f>IF(tblMovimientos[[#This Row],[Producto]]="","",TRIM(LEFT(tblMovimientos[[#This Row],[Producto]],FIND(" · ",tblMovimientos[[#This Row],[Producto]]&amp;" · ")-1)))</f>
        <v/>
      </c>
      <c r="H3321" s="40" t="str">
        <f>IF(tblMovimientos[[#This Row],[SKU]]="","",IFERROR(INDEX(tblProductos[Unidad],MATCH(tblMovimientos[[#This Row],[SKU]],tblProductos[SKU],0)),"?"))</f>
        <v/>
      </c>
      <c r="I3321" s="39"/>
      <c r="J3321" s="47" t="str">
        <f>IF(tblMovimientos[[#This Row],[Tipo]]="","",IFERROR(INDEX(tblTiposMov[FactorStock],MATCH(tblMovimientos[[#This Row],[Tipo]],tblTiposMov[Tipo],0)),0))</f>
        <v/>
      </c>
      <c r="K33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1" s="37"/>
      <c r="O3321" s="37"/>
      <c r="P3321" s="37"/>
    </row>
    <row r="3322" spans="2:16" x14ac:dyDescent="0.25">
      <c r="B33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2" s="46"/>
      <c r="D3322" s="37"/>
      <c r="E3322" s="37"/>
      <c r="F3322" s="37"/>
      <c r="G3322" s="40" t="str">
        <f>IF(tblMovimientos[[#This Row],[Producto]]="","",TRIM(LEFT(tblMovimientos[[#This Row],[Producto]],FIND(" · ",tblMovimientos[[#This Row],[Producto]]&amp;" · ")-1)))</f>
        <v/>
      </c>
      <c r="H3322" s="40" t="str">
        <f>IF(tblMovimientos[[#This Row],[SKU]]="","",IFERROR(INDEX(tblProductos[Unidad],MATCH(tblMovimientos[[#This Row],[SKU]],tblProductos[SKU],0)),"?"))</f>
        <v/>
      </c>
      <c r="I3322" s="39"/>
      <c r="J3322" s="47" t="str">
        <f>IF(tblMovimientos[[#This Row],[Tipo]]="","",IFERROR(INDEX(tblTiposMov[FactorStock],MATCH(tblMovimientos[[#This Row],[Tipo]],tblTiposMov[Tipo],0)),0))</f>
        <v/>
      </c>
      <c r="K33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2" s="37"/>
      <c r="O3322" s="37"/>
      <c r="P3322" s="37"/>
    </row>
    <row r="3323" spans="2:16" x14ac:dyDescent="0.25">
      <c r="B33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3" s="46"/>
      <c r="D3323" s="37"/>
      <c r="E3323" s="37"/>
      <c r="F3323" s="37"/>
      <c r="G3323" s="40" t="str">
        <f>IF(tblMovimientos[[#This Row],[Producto]]="","",TRIM(LEFT(tblMovimientos[[#This Row],[Producto]],FIND(" · ",tblMovimientos[[#This Row],[Producto]]&amp;" · ")-1)))</f>
        <v/>
      </c>
      <c r="H3323" s="40" t="str">
        <f>IF(tblMovimientos[[#This Row],[SKU]]="","",IFERROR(INDEX(tblProductos[Unidad],MATCH(tblMovimientos[[#This Row],[SKU]],tblProductos[SKU],0)),"?"))</f>
        <v/>
      </c>
      <c r="I3323" s="39"/>
      <c r="J3323" s="47" t="str">
        <f>IF(tblMovimientos[[#This Row],[Tipo]]="","",IFERROR(INDEX(tblTiposMov[FactorStock],MATCH(tblMovimientos[[#This Row],[Tipo]],tblTiposMov[Tipo],0)),0))</f>
        <v/>
      </c>
      <c r="K33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3" s="37"/>
      <c r="O3323" s="37"/>
      <c r="P3323" s="37"/>
    </row>
    <row r="3324" spans="2:16" x14ac:dyDescent="0.25">
      <c r="B33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4" s="46"/>
      <c r="D3324" s="37"/>
      <c r="E3324" s="37"/>
      <c r="F3324" s="37"/>
      <c r="G3324" s="40" t="str">
        <f>IF(tblMovimientos[[#This Row],[Producto]]="","",TRIM(LEFT(tblMovimientos[[#This Row],[Producto]],FIND(" · ",tblMovimientos[[#This Row],[Producto]]&amp;" · ")-1)))</f>
        <v/>
      </c>
      <c r="H3324" s="40" t="str">
        <f>IF(tblMovimientos[[#This Row],[SKU]]="","",IFERROR(INDEX(tblProductos[Unidad],MATCH(tblMovimientos[[#This Row],[SKU]],tblProductos[SKU],0)),"?"))</f>
        <v/>
      </c>
      <c r="I3324" s="39"/>
      <c r="J3324" s="47" t="str">
        <f>IF(tblMovimientos[[#This Row],[Tipo]]="","",IFERROR(INDEX(tblTiposMov[FactorStock],MATCH(tblMovimientos[[#This Row],[Tipo]],tblTiposMov[Tipo],0)),0))</f>
        <v/>
      </c>
      <c r="K33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4" s="37"/>
      <c r="O3324" s="37"/>
      <c r="P3324" s="37"/>
    </row>
    <row r="3325" spans="2:16" x14ac:dyDescent="0.25">
      <c r="B33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5" s="46"/>
      <c r="D3325" s="37"/>
      <c r="E3325" s="37"/>
      <c r="F3325" s="37"/>
      <c r="G3325" s="40" t="str">
        <f>IF(tblMovimientos[[#This Row],[Producto]]="","",TRIM(LEFT(tblMovimientos[[#This Row],[Producto]],FIND(" · ",tblMovimientos[[#This Row],[Producto]]&amp;" · ")-1)))</f>
        <v/>
      </c>
      <c r="H3325" s="40" t="str">
        <f>IF(tblMovimientos[[#This Row],[SKU]]="","",IFERROR(INDEX(tblProductos[Unidad],MATCH(tblMovimientos[[#This Row],[SKU]],tblProductos[SKU],0)),"?"))</f>
        <v/>
      </c>
      <c r="I3325" s="39"/>
      <c r="J3325" s="47" t="str">
        <f>IF(tblMovimientos[[#This Row],[Tipo]]="","",IFERROR(INDEX(tblTiposMov[FactorStock],MATCH(tblMovimientos[[#This Row],[Tipo]],tblTiposMov[Tipo],0)),0))</f>
        <v/>
      </c>
      <c r="K33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5" s="37"/>
      <c r="O3325" s="37"/>
      <c r="P3325" s="37"/>
    </row>
    <row r="3326" spans="2:16" x14ac:dyDescent="0.25">
      <c r="B33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6" s="46"/>
      <c r="D3326" s="37"/>
      <c r="E3326" s="37"/>
      <c r="F3326" s="37"/>
      <c r="G3326" s="40" t="str">
        <f>IF(tblMovimientos[[#This Row],[Producto]]="","",TRIM(LEFT(tblMovimientos[[#This Row],[Producto]],FIND(" · ",tblMovimientos[[#This Row],[Producto]]&amp;" · ")-1)))</f>
        <v/>
      </c>
      <c r="H3326" s="40" t="str">
        <f>IF(tblMovimientos[[#This Row],[SKU]]="","",IFERROR(INDEX(tblProductos[Unidad],MATCH(tblMovimientos[[#This Row],[SKU]],tblProductos[SKU],0)),"?"))</f>
        <v/>
      </c>
      <c r="I3326" s="39"/>
      <c r="J3326" s="47" t="str">
        <f>IF(tblMovimientos[[#This Row],[Tipo]]="","",IFERROR(INDEX(tblTiposMov[FactorStock],MATCH(tblMovimientos[[#This Row],[Tipo]],tblTiposMov[Tipo],0)),0))</f>
        <v/>
      </c>
      <c r="K33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6" s="37"/>
      <c r="O3326" s="37"/>
      <c r="P3326" s="37"/>
    </row>
    <row r="3327" spans="2:16" x14ac:dyDescent="0.25">
      <c r="B33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7" s="46"/>
      <c r="D3327" s="37"/>
      <c r="E3327" s="37"/>
      <c r="F3327" s="37"/>
      <c r="G3327" s="40" t="str">
        <f>IF(tblMovimientos[[#This Row],[Producto]]="","",TRIM(LEFT(tblMovimientos[[#This Row],[Producto]],FIND(" · ",tblMovimientos[[#This Row],[Producto]]&amp;" · ")-1)))</f>
        <v/>
      </c>
      <c r="H3327" s="40" t="str">
        <f>IF(tblMovimientos[[#This Row],[SKU]]="","",IFERROR(INDEX(tblProductos[Unidad],MATCH(tblMovimientos[[#This Row],[SKU]],tblProductos[SKU],0)),"?"))</f>
        <v/>
      </c>
      <c r="I3327" s="39"/>
      <c r="J3327" s="47" t="str">
        <f>IF(tblMovimientos[[#This Row],[Tipo]]="","",IFERROR(INDEX(tblTiposMov[FactorStock],MATCH(tblMovimientos[[#This Row],[Tipo]],tblTiposMov[Tipo],0)),0))</f>
        <v/>
      </c>
      <c r="K33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7" s="37"/>
      <c r="O3327" s="37"/>
      <c r="P3327" s="37"/>
    </row>
    <row r="3328" spans="2:16" x14ac:dyDescent="0.25">
      <c r="B33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8" s="46"/>
      <c r="D3328" s="37"/>
      <c r="E3328" s="37"/>
      <c r="F3328" s="37"/>
      <c r="G3328" s="40" t="str">
        <f>IF(tblMovimientos[[#This Row],[Producto]]="","",TRIM(LEFT(tblMovimientos[[#This Row],[Producto]],FIND(" · ",tblMovimientos[[#This Row],[Producto]]&amp;" · ")-1)))</f>
        <v/>
      </c>
      <c r="H3328" s="40" t="str">
        <f>IF(tblMovimientos[[#This Row],[SKU]]="","",IFERROR(INDEX(tblProductos[Unidad],MATCH(tblMovimientos[[#This Row],[SKU]],tblProductos[SKU],0)),"?"))</f>
        <v/>
      </c>
      <c r="I3328" s="39"/>
      <c r="J3328" s="47" t="str">
        <f>IF(tblMovimientos[[#This Row],[Tipo]]="","",IFERROR(INDEX(tblTiposMov[FactorStock],MATCH(tblMovimientos[[#This Row],[Tipo]],tblTiposMov[Tipo],0)),0))</f>
        <v/>
      </c>
      <c r="K33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8" s="37"/>
      <c r="O3328" s="37"/>
      <c r="P3328" s="37"/>
    </row>
    <row r="3329" spans="2:16" x14ac:dyDescent="0.25">
      <c r="B33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29" s="46"/>
      <c r="D3329" s="37"/>
      <c r="E3329" s="37"/>
      <c r="F3329" s="37"/>
      <c r="G3329" s="40" t="str">
        <f>IF(tblMovimientos[[#This Row],[Producto]]="","",TRIM(LEFT(tblMovimientos[[#This Row],[Producto]],FIND(" · ",tblMovimientos[[#This Row],[Producto]]&amp;" · ")-1)))</f>
        <v/>
      </c>
      <c r="H3329" s="40" t="str">
        <f>IF(tblMovimientos[[#This Row],[SKU]]="","",IFERROR(INDEX(tblProductos[Unidad],MATCH(tblMovimientos[[#This Row],[SKU]],tblProductos[SKU],0)),"?"))</f>
        <v/>
      </c>
      <c r="I3329" s="39"/>
      <c r="J3329" s="47" t="str">
        <f>IF(tblMovimientos[[#This Row],[Tipo]]="","",IFERROR(INDEX(tblTiposMov[FactorStock],MATCH(tblMovimientos[[#This Row],[Tipo]],tblTiposMov[Tipo],0)),0))</f>
        <v/>
      </c>
      <c r="K33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29" s="37"/>
      <c r="O3329" s="37"/>
      <c r="P3329" s="37"/>
    </row>
    <row r="3330" spans="2:16" x14ac:dyDescent="0.25">
      <c r="B33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0" s="46"/>
      <c r="D3330" s="37"/>
      <c r="E3330" s="37"/>
      <c r="F3330" s="37"/>
      <c r="G3330" s="40" t="str">
        <f>IF(tblMovimientos[[#This Row],[Producto]]="","",TRIM(LEFT(tblMovimientos[[#This Row],[Producto]],FIND(" · ",tblMovimientos[[#This Row],[Producto]]&amp;" · ")-1)))</f>
        <v/>
      </c>
      <c r="H3330" s="40" t="str">
        <f>IF(tblMovimientos[[#This Row],[SKU]]="","",IFERROR(INDEX(tblProductos[Unidad],MATCH(tblMovimientos[[#This Row],[SKU]],tblProductos[SKU],0)),"?"))</f>
        <v/>
      </c>
      <c r="I3330" s="39"/>
      <c r="J3330" s="47" t="str">
        <f>IF(tblMovimientos[[#This Row],[Tipo]]="","",IFERROR(INDEX(tblTiposMov[FactorStock],MATCH(tblMovimientos[[#This Row],[Tipo]],tblTiposMov[Tipo],0)),0))</f>
        <v/>
      </c>
      <c r="K33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0" s="37"/>
      <c r="O3330" s="37"/>
      <c r="P3330" s="37"/>
    </row>
    <row r="3331" spans="2:16" x14ac:dyDescent="0.25">
      <c r="B33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1" s="46"/>
      <c r="D3331" s="37"/>
      <c r="E3331" s="37"/>
      <c r="F3331" s="37"/>
      <c r="G3331" s="40" t="str">
        <f>IF(tblMovimientos[[#This Row],[Producto]]="","",TRIM(LEFT(tblMovimientos[[#This Row],[Producto]],FIND(" · ",tblMovimientos[[#This Row],[Producto]]&amp;" · ")-1)))</f>
        <v/>
      </c>
      <c r="H3331" s="40" t="str">
        <f>IF(tblMovimientos[[#This Row],[SKU]]="","",IFERROR(INDEX(tblProductos[Unidad],MATCH(tblMovimientos[[#This Row],[SKU]],tblProductos[SKU],0)),"?"))</f>
        <v/>
      </c>
      <c r="I3331" s="39"/>
      <c r="J3331" s="47" t="str">
        <f>IF(tblMovimientos[[#This Row],[Tipo]]="","",IFERROR(INDEX(tblTiposMov[FactorStock],MATCH(tblMovimientos[[#This Row],[Tipo]],tblTiposMov[Tipo],0)),0))</f>
        <v/>
      </c>
      <c r="K33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1" s="37"/>
      <c r="O3331" s="37"/>
      <c r="P3331" s="37"/>
    </row>
    <row r="3332" spans="2:16" x14ac:dyDescent="0.25">
      <c r="B33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2" s="46"/>
      <c r="D3332" s="37"/>
      <c r="E3332" s="37"/>
      <c r="F3332" s="37"/>
      <c r="G3332" s="40" t="str">
        <f>IF(tblMovimientos[[#This Row],[Producto]]="","",TRIM(LEFT(tblMovimientos[[#This Row],[Producto]],FIND(" · ",tblMovimientos[[#This Row],[Producto]]&amp;" · ")-1)))</f>
        <v/>
      </c>
      <c r="H3332" s="40" t="str">
        <f>IF(tblMovimientos[[#This Row],[SKU]]="","",IFERROR(INDEX(tblProductos[Unidad],MATCH(tblMovimientos[[#This Row],[SKU]],tblProductos[SKU],0)),"?"))</f>
        <v/>
      </c>
      <c r="I3332" s="39"/>
      <c r="J3332" s="47" t="str">
        <f>IF(tblMovimientos[[#This Row],[Tipo]]="","",IFERROR(INDEX(tblTiposMov[FactorStock],MATCH(tblMovimientos[[#This Row],[Tipo]],tblTiposMov[Tipo],0)),0))</f>
        <v/>
      </c>
      <c r="K33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2" s="37"/>
      <c r="O3332" s="37"/>
      <c r="P3332" s="37"/>
    </row>
    <row r="3333" spans="2:16" x14ac:dyDescent="0.25">
      <c r="B33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3" s="46"/>
      <c r="D3333" s="37"/>
      <c r="E3333" s="37"/>
      <c r="F3333" s="37"/>
      <c r="G3333" s="40" t="str">
        <f>IF(tblMovimientos[[#This Row],[Producto]]="","",TRIM(LEFT(tblMovimientos[[#This Row],[Producto]],FIND(" · ",tblMovimientos[[#This Row],[Producto]]&amp;" · ")-1)))</f>
        <v/>
      </c>
      <c r="H3333" s="40" t="str">
        <f>IF(tblMovimientos[[#This Row],[SKU]]="","",IFERROR(INDEX(tblProductos[Unidad],MATCH(tblMovimientos[[#This Row],[SKU]],tblProductos[SKU],0)),"?"))</f>
        <v/>
      </c>
      <c r="I3333" s="39"/>
      <c r="J3333" s="47" t="str">
        <f>IF(tblMovimientos[[#This Row],[Tipo]]="","",IFERROR(INDEX(tblTiposMov[FactorStock],MATCH(tblMovimientos[[#This Row],[Tipo]],tblTiposMov[Tipo],0)),0))</f>
        <v/>
      </c>
      <c r="K33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3" s="37"/>
      <c r="O3333" s="37"/>
      <c r="P3333" s="37"/>
    </row>
    <row r="3334" spans="2:16" x14ac:dyDescent="0.25">
      <c r="B33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4" s="46"/>
      <c r="D3334" s="37"/>
      <c r="E3334" s="37"/>
      <c r="F3334" s="37"/>
      <c r="G3334" s="40" t="str">
        <f>IF(tblMovimientos[[#This Row],[Producto]]="","",TRIM(LEFT(tblMovimientos[[#This Row],[Producto]],FIND(" · ",tblMovimientos[[#This Row],[Producto]]&amp;" · ")-1)))</f>
        <v/>
      </c>
      <c r="H3334" s="40" t="str">
        <f>IF(tblMovimientos[[#This Row],[SKU]]="","",IFERROR(INDEX(tblProductos[Unidad],MATCH(tblMovimientos[[#This Row],[SKU]],tblProductos[SKU],0)),"?"))</f>
        <v/>
      </c>
      <c r="I3334" s="39"/>
      <c r="J3334" s="47" t="str">
        <f>IF(tblMovimientos[[#This Row],[Tipo]]="","",IFERROR(INDEX(tblTiposMov[FactorStock],MATCH(tblMovimientos[[#This Row],[Tipo]],tblTiposMov[Tipo],0)),0))</f>
        <v/>
      </c>
      <c r="K33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4" s="37"/>
      <c r="O3334" s="37"/>
      <c r="P3334" s="37"/>
    </row>
    <row r="3335" spans="2:16" x14ac:dyDescent="0.25">
      <c r="B33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5" s="46"/>
      <c r="D3335" s="37"/>
      <c r="E3335" s="37"/>
      <c r="F3335" s="37"/>
      <c r="G3335" s="40" t="str">
        <f>IF(tblMovimientos[[#This Row],[Producto]]="","",TRIM(LEFT(tblMovimientos[[#This Row],[Producto]],FIND(" · ",tblMovimientos[[#This Row],[Producto]]&amp;" · ")-1)))</f>
        <v/>
      </c>
      <c r="H3335" s="40" t="str">
        <f>IF(tblMovimientos[[#This Row],[SKU]]="","",IFERROR(INDEX(tblProductos[Unidad],MATCH(tblMovimientos[[#This Row],[SKU]],tblProductos[SKU],0)),"?"))</f>
        <v/>
      </c>
      <c r="I3335" s="39"/>
      <c r="J3335" s="47" t="str">
        <f>IF(tblMovimientos[[#This Row],[Tipo]]="","",IFERROR(INDEX(tblTiposMov[FactorStock],MATCH(tblMovimientos[[#This Row],[Tipo]],tblTiposMov[Tipo],0)),0))</f>
        <v/>
      </c>
      <c r="K33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5" s="37"/>
      <c r="O3335" s="37"/>
      <c r="P3335" s="37"/>
    </row>
    <row r="3336" spans="2:16" x14ac:dyDescent="0.25">
      <c r="B33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6" s="46"/>
      <c r="D3336" s="37"/>
      <c r="E3336" s="37"/>
      <c r="F3336" s="37"/>
      <c r="G3336" s="40" t="str">
        <f>IF(tblMovimientos[[#This Row],[Producto]]="","",TRIM(LEFT(tblMovimientos[[#This Row],[Producto]],FIND(" · ",tblMovimientos[[#This Row],[Producto]]&amp;" · ")-1)))</f>
        <v/>
      </c>
      <c r="H3336" s="40" t="str">
        <f>IF(tblMovimientos[[#This Row],[SKU]]="","",IFERROR(INDEX(tblProductos[Unidad],MATCH(tblMovimientos[[#This Row],[SKU]],tblProductos[SKU],0)),"?"))</f>
        <v/>
      </c>
      <c r="I3336" s="39"/>
      <c r="J3336" s="47" t="str">
        <f>IF(tblMovimientos[[#This Row],[Tipo]]="","",IFERROR(INDEX(tblTiposMov[FactorStock],MATCH(tblMovimientos[[#This Row],[Tipo]],tblTiposMov[Tipo],0)),0))</f>
        <v/>
      </c>
      <c r="K33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6" s="37"/>
      <c r="O3336" s="37"/>
      <c r="P3336" s="37"/>
    </row>
    <row r="3337" spans="2:16" x14ac:dyDescent="0.25">
      <c r="B33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7" s="46"/>
      <c r="D3337" s="37"/>
      <c r="E3337" s="37"/>
      <c r="F3337" s="37"/>
      <c r="G3337" s="40" t="str">
        <f>IF(tblMovimientos[[#This Row],[Producto]]="","",TRIM(LEFT(tblMovimientos[[#This Row],[Producto]],FIND(" · ",tblMovimientos[[#This Row],[Producto]]&amp;" · ")-1)))</f>
        <v/>
      </c>
      <c r="H3337" s="40" t="str">
        <f>IF(tblMovimientos[[#This Row],[SKU]]="","",IFERROR(INDEX(tblProductos[Unidad],MATCH(tblMovimientos[[#This Row],[SKU]],tblProductos[SKU],0)),"?"))</f>
        <v/>
      </c>
      <c r="I3337" s="39"/>
      <c r="J3337" s="47" t="str">
        <f>IF(tblMovimientos[[#This Row],[Tipo]]="","",IFERROR(INDEX(tblTiposMov[FactorStock],MATCH(tblMovimientos[[#This Row],[Tipo]],tblTiposMov[Tipo],0)),0))</f>
        <v/>
      </c>
      <c r="K33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7" s="37"/>
      <c r="O3337" s="37"/>
      <c r="P3337" s="37"/>
    </row>
    <row r="3338" spans="2:16" x14ac:dyDescent="0.25">
      <c r="B33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8" s="46"/>
      <c r="D3338" s="37"/>
      <c r="E3338" s="37"/>
      <c r="F3338" s="37"/>
      <c r="G3338" s="40" t="str">
        <f>IF(tblMovimientos[[#This Row],[Producto]]="","",TRIM(LEFT(tblMovimientos[[#This Row],[Producto]],FIND(" · ",tblMovimientos[[#This Row],[Producto]]&amp;" · ")-1)))</f>
        <v/>
      </c>
      <c r="H3338" s="40" t="str">
        <f>IF(tblMovimientos[[#This Row],[SKU]]="","",IFERROR(INDEX(tblProductos[Unidad],MATCH(tblMovimientos[[#This Row],[SKU]],tblProductos[SKU],0)),"?"))</f>
        <v/>
      </c>
      <c r="I3338" s="39"/>
      <c r="J3338" s="47" t="str">
        <f>IF(tblMovimientos[[#This Row],[Tipo]]="","",IFERROR(INDEX(tblTiposMov[FactorStock],MATCH(tblMovimientos[[#This Row],[Tipo]],tblTiposMov[Tipo],0)),0))</f>
        <v/>
      </c>
      <c r="K33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8" s="37"/>
      <c r="O3338" s="37"/>
      <c r="P3338" s="37"/>
    </row>
    <row r="3339" spans="2:16" x14ac:dyDescent="0.25">
      <c r="B33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39" s="46"/>
      <c r="D3339" s="37"/>
      <c r="E3339" s="37"/>
      <c r="F3339" s="37"/>
      <c r="G3339" s="40" t="str">
        <f>IF(tblMovimientos[[#This Row],[Producto]]="","",TRIM(LEFT(tblMovimientos[[#This Row],[Producto]],FIND(" · ",tblMovimientos[[#This Row],[Producto]]&amp;" · ")-1)))</f>
        <v/>
      </c>
      <c r="H3339" s="40" t="str">
        <f>IF(tblMovimientos[[#This Row],[SKU]]="","",IFERROR(INDEX(tblProductos[Unidad],MATCH(tblMovimientos[[#This Row],[SKU]],tblProductos[SKU],0)),"?"))</f>
        <v/>
      </c>
      <c r="I3339" s="39"/>
      <c r="J3339" s="47" t="str">
        <f>IF(tblMovimientos[[#This Row],[Tipo]]="","",IFERROR(INDEX(tblTiposMov[FactorStock],MATCH(tblMovimientos[[#This Row],[Tipo]],tblTiposMov[Tipo],0)),0))</f>
        <v/>
      </c>
      <c r="K33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39" s="37"/>
      <c r="O3339" s="37"/>
      <c r="P3339" s="37"/>
    </row>
    <row r="3340" spans="2:16" x14ac:dyDescent="0.25">
      <c r="B33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0" s="46"/>
      <c r="D3340" s="37"/>
      <c r="E3340" s="37"/>
      <c r="F3340" s="37"/>
      <c r="G3340" s="40" t="str">
        <f>IF(tblMovimientos[[#This Row],[Producto]]="","",TRIM(LEFT(tblMovimientos[[#This Row],[Producto]],FIND(" · ",tblMovimientos[[#This Row],[Producto]]&amp;" · ")-1)))</f>
        <v/>
      </c>
      <c r="H3340" s="40" t="str">
        <f>IF(tblMovimientos[[#This Row],[SKU]]="","",IFERROR(INDEX(tblProductos[Unidad],MATCH(tblMovimientos[[#This Row],[SKU]],tblProductos[SKU],0)),"?"))</f>
        <v/>
      </c>
      <c r="I3340" s="39"/>
      <c r="J3340" s="47" t="str">
        <f>IF(tblMovimientos[[#This Row],[Tipo]]="","",IFERROR(INDEX(tblTiposMov[FactorStock],MATCH(tblMovimientos[[#This Row],[Tipo]],tblTiposMov[Tipo],0)),0))</f>
        <v/>
      </c>
      <c r="K33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0" s="37"/>
      <c r="O3340" s="37"/>
      <c r="P3340" s="37"/>
    </row>
    <row r="3341" spans="2:16" x14ac:dyDescent="0.25">
      <c r="B33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1" s="46"/>
      <c r="D3341" s="37"/>
      <c r="E3341" s="37"/>
      <c r="F3341" s="37"/>
      <c r="G3341" s="40" t="str">
        <f>IF(tblMovimientos[[#This Row],[Producto]]="","",TRIM(LEFT(tblMovimientos[[#This Row],[Producto]],FIND(" · ",tblMovimientos[[#This Row],[Producto]]&amp;" · ")-1)))</f>
        <v/>
      </c>
      <c r="H3341" s="40" t="str">
        <f>IF(tblMovimientos[[#This Row],[SKU]]="","",IFERROR(INDEX(tblProductos[Unidad],MATCH(tblMovimientos[[#This Row],[SKU]],tblProductos[SKU],0)),"?"))</f>
        <v/>
      </c>
      <c r="I3341" s="39"/>
      <c r="J3341" s="47" t="str">
        <f>IF(tblMovimientos[[#This Row],[Tipo]]="","",IFERROR(INDEX(tblTiposMov[FactorStock],MATCH(tblMovimientos[[#This Row],[Tipo]],tblTiposMov[Tipo],0)),0))</f>
        <v/>
      </c>
      <c r="K33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1" s="37"/>
      <c r="O3341" s="37"/>
      <c r="P3341" s="37"/>
    </row>
    <row r="3342" spans="2:16" x14ac:dyDescent="0.25">
      <c r="B33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2" s="46"/>
      <c r="D3342" s="37"/>
      <c r="E3342" s="37"/>
      <c r="F3342" s="37"/>
      <c r="G3342" s="40" t="str">
        <f>IF(tblMovimientos[[#This Row],[Producto]]="","",TRIM(LEFT(tblMovimientos[[#This Row],[Producto]],FIND(" · ",tblMovimientos[[#This Row],[Producto]]&amp;" · ")-1)))</f>
        <v/>
      </c>
      <c r="H3342" s="40" t="str">
        <f>IF(tblMovimientos[[#This Row],[SKU]]="","",IFERROR(INDEX(tblProductos[Unidad],MATCH(tblMovimientos[[#This Row],[SKU]],tblProductos[SKU],0)),"?"))</f>
        <v/>
      </c>
      <c r="I3342" s="39"/>
      <c r="J3342" s="47" t="str">
        <f>IF(tblMovimientos[[#This Row],[Tipo]]="","",IFERROR(INDEX(tblTiposMov[FactorStock],MATCH(tblMovimientos[[#This Row],[Tipo]],tblTiposMov[Tipo],0)),0))</f>
        <v/>
      </c>
      <c r="K33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2" s="37"/>
      <c r="O3342" s="37"/>
      <c r="P3342" s="37"/>
    </row>
    <row r="3343" spans="2:16" x14ac:dyDescent="0.25">
      <c r="B33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3" s="46"/>
      <c r="D3343" s="37"/>
      <c r="E3343" s="37"/>
      <c r="F3343" s="37"/>
      <c r="G3343" s="40" t="str">
        <f>IF(tblMovimientos[[#This Row],[Producto]]="","",TRIM(LEFT(tblMovimientos[[#This Row],[Producto]],FIND(" · ",tblMovimientos[[#This Row],[Producto]]&amp;" · ")-1)))</f>
        <v/>
      </c>
      <c r="H3343" s="40" t="str">
        <f>IF(tblMovimientos[[#This Row],[SKU]]="","",IFERROR(INDEX(tblProductos[Unidad],MATCH(tblMovimientos[[#This Row],[SKU]],tblProductos[SKU],0)),"?"))</f>
        <v/>
      </c>
      <c r="I3343" s="39"/>
      <c r="J3343" s="47" t="str">
        <f>IF(tblMovimientos[[#This Row],[Tipo]]="","",IFERROR(INDEX(tblTiposMov[FactorStock],MATCH(tblMovimientos[[#This Row],[Tipo]],tblTiposMov[Tipo],0)),0))</f>
        <v/>
      </c>
      <c r="K33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3" s="37"/>
      <c r="O3343" s="37"/>
      <c r="P3343" s="37"/>
    </row>
    <row r="3344" spans="2:16" x14ac:dyDescent="0.25">
      <c r="B33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4" s="46"/>
      <c r="D3344" s="37"/>
      <c r="E3344" s="37"/>
      <c r="F3344" s="37"/>
      <c r="G3344" s="40" t="str">
        <f>IF(tblMovimientos[[#This Row],[Producto]]="","",TRIM(LEFT(tblMovimientos[[#This Row],[Producto]],FIND(" · ",tblMovimientos[[#This Row],[Producto]]&amp;" · ")-1)))</f>
        <v/>
      </c>
      <c r="H3344" s="40" t="str">
        <f>IF(tblMovimientos[[#This Row],[SKU]]="","",IFERROR(INDEX(tblProductos[Unidad],MATCH(tblMovimientos[[#This Row],[SKU]],tblProductos[SKU],0)),"?"))</f>
        <v/>
      </c>
      <c r="I3344" s="39"/>
      <c r="J3344" s="47" t="str">
        <f>IF(tblMovimientos[[#This Row],[Tipo]]="","",IFERROR(INDEX(tblTiposMov[FactorStock],MATCH(tblMovimientos[[#This Row],[Tipo]],tblTiposMov[Tipo],0)),0))</f>
        <v/>
      </c>
      <c r="K33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4" s="37"/>
      <c r="O3344" s="37"/>
      <c r="P3344" s="37"/>
    </row>
    <row r="3345" spans="2:16" x14ac:dyDescent="0.25">
      <c r="B33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5" s="46"/>
      <c r="D3345" s="37"/>
      <c r="E3345" s="37"/>
      <c r="F3345" s="37"/>
      <c r="G3345" s="40" t="str">
        <f>IF(tblMovimientos[[#This Row],[Producto]]="","",TRIM(LEFT(tblMovimientos[[#This Row],[Producto]],FIND(" · ",tblMovimientos[[#This Row],[Producto]]&amp;" · ")-1)))</f>
        <v/>
      </c>
      <c r="H3345" s="40" t="str">
        <f>IF(tblMovimientos[[#This Row],[SKU]]="","",IFERROR(INDEX(tblProductos[Unidad],MATCH(tblMovimientos[[#This Row],[SKU]],tblProductos[SKU],0)),"?"))</f>
        <v/>
      </c>
      <c r="I3345" s="39"/>
      <c r="J3345" s="47" t="str">
        <f>IF(tblMovimientos[[#This Row],[Tipo]]="","",IFERROR(INDEX(tblTiposMov[FactorStock],MATCH(tblMovimientos[[#This Row],[Tipo]],tblTiposMov[Tipo],0)),0))</f>
        <v/>
      </c>
      <c r="K33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5" s="37"/>
      <c r="O3345" s="37"/>
      <c r="P3345" s="37"/>
    </row>
    <row r="3346" spans="2:16" x14ac:dyDescent="0.25">
      <c r="B33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6" s="46"/>
      <c r="D3346" s="37"/>
      <c r="E3346" s="37"/>
      <c r="F3346" s="37"/>
      <c r="G3346" s="40" t="str">
        <f>IF(tblMovimientos[[#This Row],[Producto]]="","",TRIM(LEFT(tblMovimientos[[#This Row],[Producto]],FIND(" · ",tblMovimientos[[#This Row],[Producto]]&amp;" · ")-1)))</f>
        <v/>
      </c>
      <c r="H3346" s="40" t="str">
        <f>IF(tblMovimientos[[#This Row],[SKU]]="","",IFERROR(INDEX(tblProductos[Unidad],MATCH(tblMovimientos[[#This Row],[SKU]],tblProductos[SKU],0)),"?"))</f>
        <v/>
      </c>
      <c r="I3346" s="39"/>
      <c r="J3346" s="47" t="str">
        <f>IF(tblMovimientos[[#This Row],[Tipo]]="","",IFERROR(INDEX(tblTiposMov[FactorStock],MATCH(tblMovimientos[[#This Row],[Tipo]],tblTiposMov[Tipo],0)),0))</f>
        <v/>
      </c>
      <c r="K33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6" s="37"/>
      <c r="O3346" s="37"/>
      <c r="P3346" s="37"/>
    </row>
    <row r="3347" spans="2:16" x14ac:dyDescent="0.25">
      <c r="B33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7" s="46"/>
      <c r="D3347" s="37"/>
      <c r="E3347" s="37"/>
      <c r="F3347" s="37"/>
      <c r="G3347" s="40" t="str">
        <f>IF(tblMovimientos[[#This Row],[Producto]]="","",TRIM(LEFT(tblMovimientos[[#This Row],[Producto]],FIND(" · ",tblMovimientos[[#This Row],[Producto]]&amp;" · ")-1)))</f>
        <v/>
      </c>
      <c r="H3347" s="40" t="str">
        <f>IF(tblMovimientos[[#This Row],[SKU]]="","",IFERROR(INDEX(tblProductos[Unidad],MATCH(tblMovimientos[[#This Row],[SKU]],tblProductos[SKU],0)),"?"))</f>
        <v/>
      </c>
      <c r="I3347" s="39"/>
      <c r="J3347" s="47" t="str">
        <f>IF(tblMovimientos[[#This Row],[Tipo]]="","",IFERROR(INDEX(tblTiposMov[FactorStock],MATCH(tblMovimientos[[#This Row],[Tipo]],tblTiposMov[Tipo],0)),0))</f>
        <v/>
      </c>
      <c r="K33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7" s="37"/>
      <c r="O3347" s="37"/>
      <c r="P3347" s="37"/>
    </row>
    <row r="3348" spans="2:16" x14ac:dyDescent="0.25">
      <c r="B33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8" s="46"/>
      <c r="D3348" s="37"/>
      <c r="E3348" s="37"/>
      <c r="F3348" s="37"/>
      <c r="G3348" s="40" t="str">
        <f>IF(tblMovimientos[[#This Row],[Producto]]="","",TRIM(LEFT(tblMovimientos[[#This Row],[Producto]],FIND(" · ",tblMovimientos[[#This Row],[Producto]]&amp;" · ")-1)))</f>
        <v/>
      </c>
      <c r="H3348" s="40" t="str">
        <f>IF(tblMovimientos[[#This Row],[SKU]]="","",IFERROR(INDEX(tblProductos[Unidad],MATCH(tblMovimientos[[#This Row],[SKU]],tblProductos[SKU],0)),"?"))</f>
        <v/>
      </c>
      <c r="I3348" s="39"/>
      <c r="J3348" s="47" t="str">
        <f>IF(tblMovimientos[[#This Row],[Tipo]]="","",IFERROR(INDEX(tblTiposMov[FactorStock],MATCH(tblMovimientos[[#This Row],[Tipo]],tblTiposMov[Tipo],0)),0))</f>
        <v/>
      </c>
      <c r="K33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8" s="37"/>
      <c r="O3348" s="37"/>
      <c r="P3348" s="37"/>
    </row>
    <row r="3349" spans="2:16" x14ac:dyDescent="0.25">
      <c r="B33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49" s="46"/>
      <c r="D3349" s="37"/>
      <c r="E3349" s="37"/>
      <c r="F3349" s="37"/>
      <c r="G3349" s="40" t="str">
        <f>IF(tblMovimientos[[#This Row],[Producto]]="","",TRIM(LEFT(tblMovimientos[[#This Row],[Producto]],FIND(" · ",tblMovimientos[[#This Row],[Producto]]&amp;" · ")-1)))</f>
        <v/>
      </c>
      <c r="H3349" s="40" t="str">
        <f>IF(tblMovimientos[[#This Row],[SKU]]="","",IFERROR(INDEX(tblProductos[Unidad],MATCH(tblMovimientos[[#This Row],[SKU]],tblProductos[SKU],0)),"?"))</f>
        <v/>
      </c>
      <c r="I3349" s="39"/>
      <c r="J3349" s="47" t="str">
        <f>IF(tblMovimientos[[#This Row],[Tipo]]="","",IFERROR(INDEX(tblTiposMov[FactorStock],MATCH(tblMovimientos[[#This Row],[Tipo]],tblTiposMov[Tipo],0)),0))</f>
        <v/>
      </c>
      <c r="K33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49" s="37"/>
      <c r="O3349" s="37"/>
      <c r="P3349" s="37"/>
    </row>
    <row r="3350" spans="2:16" x14ac:dyDescent="0.25">
      <c r="B33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0" s="46"/>
      <c r="D3350" s="37"/>
      <c r="E3350" s="37"/>
      <c r="F3350" s="37"/>
      <c r="G3350" s="40" t="str">
        <f>IF(tblMovimientos[[#This Row],[Producto]]="","",TRIM(LEFT(tblMovimientos[[#This Row],[Producto]],FIND(" · ",tblMovimientos[[#This Row],[Producto]]&amp;" · ")-1)))</f>
        <v/>
      </c>
      <c r="H3350" s="40" t="str">
        <f>IF(tblMovimientos[[#This Row],[SKU]]="","",IFERROR(INDEX(tblProductos[Unidad],MATCH(tblMovimientos[[#This Row],[SKU]],tblProductos[SKU],0)),"?"))</f>
        <v/>
      </c>
      <c r="I3350" s="39"/>
      <c r="J3350" s="47" t="str">
        <f>IF(tblMovimientos[[#This Row],[Tipo]]="","",IFERROR(INDEX(tblTiposMov[FactorStock],MATCH(tblMovimientos[[#This Row],[Tipo]],tblTiposMov[Tipo],0)),0))</f>
        <v/>
      </c>
      <c r="K33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0" s="37"/>
      <c r="O3350" s="37"/>
      <c r="P3350" s="37"/>
    </row>
    <row r="3351" spans="2:16" x14ac:dyDescent="0.25">
      <c r="B33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1" s="46"/>
      <c r="D3351" s="37"/>
      <c r="E3351" s="37"/>
      <c r="F3351" s="37"/>
      <c r="G3351" s="40" t="str">
        <f>IF(tblMovimientos[[#This Row],[Producto]]="","",TRIM(LEFT(tblMovimientos[[#This Row],[Producto]],FIND(" · ",tblMovimientos[[#This Row],[Producto]]&amp;" · ")-1)))</f>
        <v/>
      </c>
      <c r="H3351" s="40" t="str">
        <f>IF(tblMovimientos[[#This Row],[SKU]]="","",IFERROR(INDEX(tblProductos[Unidad],MATCH(tblMovimientos[[#This Row],[SKU]],tblProductos[SKU],0)),"?"))</f>
        <v/>
      </c>
      <c r="I3351" s="39"/>
      <c r="J3351" s="47" t="str">
        <f>IF(tblMovimientos[[#This Row],[Tipo]]="","",IFERROR(INDEX(tblTiposMov[FactorStock],MATCH(tblMovimientos[[#This Row],[Tipo]],tblTiposMov[Tipo],0)),0))</f>
        <v/>
      </c>
      <c r="K33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1" s="37"/>
      <c r="O3351" s="37"/>
      <c r="P3351" s="37"/>
    </row>
    <row r="3352" spans="2:16" x14ac:dyDescent="0.25">
      <c r="B33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2" s="46"/>
      <c r="D3352" s="37"/>
      <c r="E3352" s="37"/>
      <c r="F3352" s="37"/>
      <c r="G3352" s="40" t="str">
        <f>IF(tblMovimientos[[#This Row],[Producto]]="","",TRIM(LEFT(tblMovimientos[[#This Row],[Producto]],FIND(" · ",tblMovimientos[[#This Row],[Producto]]&amp;" · ")-1)))</f>
        <v/>
      </c>
      <c r="H3352" s="40" t="str">
        <f>IF(tblMovimientos[[#This Row],[SKU]]="","",IFERROR(INDEX(tblProductos[Unidad],MATCH(tblMovimientos[[#This Row],[SKU]],tblProductos[SKU],0)),"?"))</f>
        <v/>
      </c>
      <c r="I3352" s="39"/>
      <c r="J3352" s="47" t="str">
        <f>IF(tblMovimientos[[#This Row],[Tipo]]="","",IFERROR(INDEX(tblTiposMov[FactorStock],MATCH(tblMovimientos[[#This Row],[Tipo]],tblTiposMov[Tipo],0)),0))</f>
        <v/>
      </c>
      <c r="K33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2" s="37"/>
      <c r="O3352" s="37"/>
      <c r="P3352" s="37"/>
    </row>
    <row r="3353" spans="2:16" x14ac:dyDescent="0.25">
      <c r="B33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3" s="46"/>
      <c r="D3353" s="37"/>
      <c r="E3353" s="37"/>
      <c r="F3353" s="37"/>
      <c r="G3353" s="40" t="str">
        <f>IF(tblMovimientos[[#This Row],[Producto]]="","",TRIM(LEFT(tblMovimientos[[#This Row],[Producto]],FIND(" · ",tblMovimientos[[#This Row],[Producto]]&amp;" · ")-1)))</f>
        <v/>
      </c>
      <c r="H3353" s="40" t="str">
        <f>IF(tblMovimientos[[#This Row],[SKU]]="","",IFERROR(INDEX(tblProductos[Unidad],MATCH(tblMovimientos[[#This Row],[SKU]],tblProductos[SKU],0)),"?"))</f>
        <v/>
      </c>
      <c r="I3353" s="39"/>
      <c r="J3353" s="47" t="str">
        <f>IF(tblMovimientos[[#This Row],[Tipo]]="","",IFERROR(INDEX(tblTiposMov[FactorStock],MATCH(tblMovimientos[[#This Row],[Tipo]],tblTiposMov[Tipo],0)),0))</f>
        <v/>
      </c>
      <c r="K33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3" s="37"/>
      <c r="O3353" s="37"/>
      <c r="P3353" s="37"/>
    </row>
    <row r="3354" spans="2:16" x14ac:dyDescent="0.25">
      <c r="B33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4" s="46"/>
      <c r="D3354" s="37"/>
      <c r="E3354" s="37"/>
      <c r="F3354" s="37"/>
      <c r="G3354" s="40" t="str">
        <f>IF(tblMovimientos[[#This Row],[Producto]]="","",TRIM(LEFT(tblMovimientos[[#This Row],[Producto]],FIND(" · ",tblMovimientos[[#This Row],[Producto]]&amp;" · ")-1)))</f>
        <v/>
      </c>
      <c r="H3354" s="40" t="str">
        <f>IF(tblMovimientos[[#This Row],[SKU]]="","",IFERROR(INDEX(tblProductos[Unidad],MATCH(tblMovimientos[[#This Row],[SKU]],tblProductos[SKU],0)),"?"))</f>
        <v/>
      </c>
      <c r="I3354" s="39"/>
      <c r="J3354" s="47" t="str">
        <f>IF(tblMovimientos[[#This Row],[Tipo]]="","",IFERROR(INDEX(tblTiposMov[FactorStock],MATCH(tblMovimientos[[#This Row],[Tipo]],tblTiposMov[Tipo],0)),0))</f>
        <v/>
      </c>
      <c r="K33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4" s="37"/>
      <c r="O3354" s="37"/>
      <c r="P3354" s="37"/>
    </row>
    <row r="3355" spans="2:16" x14ac:dyDescent="0.25">
      <c r="B33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5" s="46"/>
      <c r="D3355" s="37"/>
      <c r="E3355" s="37"/>
      <c r="F3355" s="37"/>
      <c r="G3355" s="40" t="str">
        <f>IF(tblMovimientos[[#This Row],[Producto]]="","",TRIM(LEFT(tblMovimientos[[#This Row],[Producto]],FIND(" · ",tblMovimientos[[#This Row],[Producto]]&amp;" · ")-1)))</f>
        <v/>
      </c>
      <c r="H3355" s="40" t="str">
        <f>IF(tblMovimientos[[#This Row],[SKU]]="","",IFERROR(INDEX(tblProductos[Unidad],MATCH(tblMovimientos[[#This Row],[SKU]],tblProductos[SKU],0)),"?"))</f>
        <v/>
      </c>
      <c r="I3355" s="39"/>
      <c r="J3355" s="47" t="str">
        <f>IF(tblMovimientos[[#This Row],[Tipo]]="","",IFERROR(INDEX(tblTiposMov[FactorStock],MATCH(tblMovimientos[[#This Row],[Tipo]],tblTiposMov[Tipo],0)),0))</f>
        <v/>
      </c>
      <c r="K33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5" s="37"/>
      <c r="O3355" s="37"/>
      <c r="P3355" s="37"/>
    </row>
    <row r="3356" spans="2:16" x14ac:dyDescent="0.25">
      <c r="B33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6" s="46"/>
      <c r="D3356" s="37"/>
      <c r="E3356" s="37"/>
      <c r="F3356" s="37"/>
      <c r="G3356" s="40" t="str">
        <f>IF(tblMovimientos[[#This Row],[Producto]]="","",TRIM(LEFT(tblMovimientos[[#This Row],[Producto]],FIND(" · ",tblMovimientos[[#This Row],[Producto]]&amp;" · ")-1)))</f>
        <v/>
      </c>
      <c r="H3356" s="40" t="str">
        <f>IF(tblMovimientos[[#This Row],[SKU]]="","",IFERROR(INDEX(tblProductos[Unidad],MATCH(tblMovimientos[[#This Row],[SKU]],tblProductos[SKU],0)),"?"))</f>
        <v/>
      </c>
      <c r="I3356" s="39"/>
      <c r="J3356" s="47" t="str">
        <f>IF(tblMovimientos[[#This Row],[Tipo]]="","",IFERROR(INDEX(tblTiposMov[FactorStock],MATCH(tblMovimientos[[#This Row],[Tipo]],tblTiposMov[Tipo],0)),0))</f>
        <v/>
      </c>
      <c r="K33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6" s="37"/>
      <c r="O3356" s="37"/>
      <c r="P3356" s="37"/>
    </row>
    <row r="3357" spans="2:16" x14ac:dyDescent="0.25">
      <c r="B33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7" s="46"/>
      <c r="D3357" s="37"/>
      <c r="E3357" s="37"/>
      <c r="F3357" s="37"/>
      <c r="G3357" s="40" t="str">
        <f>IF(tblMovimientos[[#This Row],[Producto]]="","",TRIM(LEFT(tblMovimientos[[#This Row],[Producto]],FIND(" · ",tblMovimientos[[#This Row],[Producto]]&amp;" · ")-1)))</f>
        <v/>
      </c>
      <c r="H3357" s="40" t="str">
        <f>IF(tblMovimientos[[#This Row],[SKU]]="","",IFERROR(INDEX(tblProductos[Unidad],MATCH(tblMovimientos[[#This Row],[SKU]],tblProductos[SKU],0)),"?"))</f>
        <v/>
      </c>
      <c r="I3357" s="39"/>
      <c r="J3357" s="47" t="str">
        <f>IF(tblMovimientos[[#This Row],[Tipo]]="","",IFERROR(INDEX(tblTiposMov[FactorStock],MATCH(tblMovimientos[[#This Row],[Tipo]],tblTiposMov[Tipo],0)),0))</f>
        <v/>
      </c>
      <c r="K33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7" s="37"/>
      <c r="O3357" s="37"/>
      <c r="P3357" s="37"/>
    </row>
    <row r="3358" spans="2:16" x14ac:dyDescent="0.25">
      <c r="B33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8" s="46"/>
      <c r="D3358" s="37"/>
      <c r="E3358" s="37"/>
      <c r="F3358" s="37"/>
      <c r="G3358" s="40" t="str">
        <f>IF(tblMovimientos[[#This Row],[Producto]]="","",TRIM(LEFT(tblMovimientos[[#This Row],[Producto]],FIND(" · ",tblMovimientos[[#This Row],[Producto]]&amp;" · ")-1)))</f>
        <v/>
      </c>
      <c r="H3358" s="40" t="str">
        <f>IF(tblMovimientos[[#This Row],[SKU]]="","",IFERROR(INDEX(tblProductos[Unidad],MATCH(tblMovimientos[[#This Row],[SKU]],tblProductos[SKU],0)),"?"))</f>
        <v/>
      </c>
      <c r="I3358" s="39"/>
      <c r="J3358" s="47" t="str">
        <f>IF(tblMovimientos[[#This Row],[Tipo]]="","",IFERROR(INDEX(tblTiposMov[FactorStock],MATCH(tblMovimientos[[#This Row],[Tipo]],tblTiposMov[Tipo],0)),0))</f>
        <v/>
      </c>
      <c r="K33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8" s="37"/>
      <c r="O3358" s="37"/>
      <c r="P3358" s="37"/>
    </row>
    <row r="3359" spans="2:16" x14ac:dyDescent="0.25">
      <c r="B33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59" s="46"/>
      <c r="D3359" s="37"/>
      <c r="E3359" s="37"/>
      <c r="F3359" s="37"/>
      <c r="G3359" s="40" t="str">
        <f>IF(tblMovimientos[[#This Row],[Producto]]="","",TRIM(LEFT(tblMovimientos[[#This Row],[Producto]],FIND(" · ",tblMovimientos[[#This Row],[Producto]]&amp;" · ")-1)))</f>
        <v/>
      </c>
      <c r="H3359" s="40" t="str">
        <f>IF(tblMovimientos[[#This Row],[SKU]]="","",IFERROR(INDEX(tblProductos[Unidad],MATCH(tblMovimientos[[#This Row],[SKU]],tblProductos[SKU],0)),"?"))</f>
        <v/>
      </c>
      <c r="I3359" s="39"/>
      <c r="J3359" s="47" t="str">
        <f>IF(tblMovimientos[[#This Row],[Tipo]]="","",IFERROR(INDEX(tblTiposMov[FactorStock],MATCH(tblMovimientos[[#This Row],[Tipo]],tblTiposMov[Tipo],0)),0))</f>
        <v/>
      </c>
      <c r="K33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59" s="37"/>
      <c r="O3359" s="37"/>
      <c r="P3359" s="37"/>
    </row>
    <row r="3360" spans="2:16" x14ac:dyDescent="0.25">
      <c r="B33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0" s="46"/>
      <c r="D3360" s="37"/>
      <c r="E3360" s="37"/>
      <c r="F3360" s="37"/>
      <c r="G3360" s="40" t="str">
        <f>IF(tblMovimientos[[#This Row],[Producto]]="","",TRIM(LEFT(tblMovimientos[[#This Row],[Producto]],FIND(" · ",tblMovimientos[[#This Row],[Producto]]&amp;" · ")-1)))</f>
        <v/>
      </c>
      <c r="H3360" s="40" t="str">
        <f>IF(tblMovimientos[[#This Row],[SKU]]="","",IFERROR(INDEX(tblProductos[Unidad],MATCH(tblMovimientos[[#This Row],[SKU]],tblProductos[SKU],0)),"?"))</f>
        <v/>
      </c>
      <c r="I3360" s="39"/>
      <c r="J3360" s="47" t="str">
        <f>IF(tblMovimientos[[#This Row],[Tipo]]="","",IFERROR(INDEX(tblTiposMov[FactorStock],MATCH(tblMovimientos[[#This Row],[Tipo]],tblTiposMov[Tipo],0)),0))</f>
        <v/>
      </c>
      <c r="K33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0" s="37"/>
      <c r="O3360" s="37"/>
      <c r="P3360" s="37"/>
    </row>
    <row r="3361" spans="2:16" x14ac:dyDescent="0.25">
      <c r="B33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1" s="46"/>
      <c r="D3361" s="37"/>
      <c r="E3361" s="37"/>
      <c r="F3361" s="37"/>
      <c r="G3361" s="40" t="str">
        <f>IF(tblMovimientos[[#This Row],[Producto]]="","",TRIM(LEFT(tblMovimientos[[#This Row],[Producto]],FIND(" · ",tblMovimientos[[#This Row],[Producto]]&amp;" · ")-1)))</f>
        <v/>
      </c>
      <c r="H3361" s="40" t="str">
        <f>IF(tblMovimientos[[#This Row],[SKU]]="","",IFERROR(INDEX(tblProductos[Unidad],MATCH(tblMovimientos[[#This Row],[SKU]],tblProductos[SKU],0)),"?"))</f>
        <v/>
      </c>
      <c r="I3361" s="39"/>
      <c r="J3361" s="47" t="str">
        <f>IF(tblMovimientos[[#This Row],[Tipo]]="","",IFERROR(INDEX(tblTiposMov[FactorStock],MATCH(tblMovimientos[[#This Row],[Tipo]],tblTiposMov[Tipo],0)),0))</f>
        <v/>
      </c>
      <c r="K33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1" s="37"/>
      <c r="O3361" s="37"/>
      <c r="P3361" s="37"/>
    </row>
    <row r="3362" spans="2:16" x14ac:dyDescent="0.25">
      <c r="B33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2" s="46"/>
      <c r="D3362" s="37"/>
      <c r="E3362" s="37"/>
      <c r="F3362" s="37"/>
      <c r="G3362" s="40" t="str">
        <f>IF(tblMovimientos[[#This Row],[Producto]]="","",TRIM(LEFT(tblMovimientos[[#This Row],[Producto]],FIND(" · ",tblMovimientos[[#This Row],[Producto]]&amp;" · ")-1)))</f>
        <v/>
      </c>
      <c r="H3362" s="40" t="str">
        <f>IF(tblMovimientos[[#This Row],[SKU]]="","",IFERROR(INDEX(tblProductos[Unidad],MATCH(tblMovimientos[[#This Row],[SKU]],tblProductos[SKU],0)),"?"))</f>
        <v/>
      </c>
      <c r="I3362" s="39"/>
      <c r="J3362" s="47" t="str">
        <f>IF(tblMovimientos[[#This Row],[Tipo]]="","",IFERROR(INDEX(tblTiposMov[FactorStock],MATCH(tblMovimientos[[#This Row],[Tipo]],tblTiposMov[Tipo],0)),0))</f>
        <v/>
      </c>
      <c r="K33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2" s="37"/>
      <c r="O3362" s="37"/>
      <c r="P3362" s="37"/>
    </row>
    <row r="3363" spans="2:16" x14ac:dyDescent="0.25">
      <c r="B33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3" s="46"/>
      <c r="D3363" s="37"/>
      <c r="E3363" s="37"/>
      <c r="F3363" s="37"/>
      <c r="G3363" s="40" t="str">
        <f>IF(tblMovimientos[[#This Row],[Producto]]="","",TRIM(LEFT(tblMovimientos[[#This Row],[Producto]],FIND(" · ",tblMovimientos[[#This Row],[Producto]]&amp;" · ")-1)))</f>
        <v/>
      </c>
      <c r="H3363" s="40" t="str">
        <f>IF(tblMovimientos[[#This Row],[SKU]]="","",IFERROR(INDEX(tblProductos[Unidad],MATCH(tblMovimientos[[#This Row],[SKU]],tblProductos[SKU],0)),"?"))</f>
        <v/>
      </c>
      <c r="I3363" s="39"/>
      <c r="J3363" s="47" t="str">
        <f>IF(tblMovimientos[[#This Row],[Tipo]]="","",IFERROR(INDEX(tblTiposMov[FactorStock],MATCH(tblMovimientos[[#This Row],[Tipo]],tblTiposMov[Tipo],0)),0))</f>
        <v/>
      </c>
      <c r="K33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3" s="37"/>
      <c r="O3363" s="37"/>
      <c r="P3363" s="37"/>
    </row>
    <row r="3364" spans="2:16" x14ac:dyDescent="0.25">
      <c r="B33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4" s="46"/>
      <c r="D3364" s="37"/>
      <c r="E3364" s="37"/>
      <c r="F3364" s="37"/>
      <c r="G3364" s="40" t="str">
        <f>IF(tblMovimientos[[#This Row],[Producto]]="","",TRIM(LEFT(tblMovimientos[[#This Row],[Producto]],FIND(" · ",tblMovimientos[[#This Row],[Producto]]&amp;" · ")-1)))</f>
        <v/>
      </c>
      <c r="H3364" s="40" t="str">
        <f>IF(tblMovimientos[[#This Row],[SKU]]="","",IFERROR(INDEX(tblProductos[Unidad],MATCH(tblMovimientos[[#This Row],[SKU]],tblProductos[SKU],0)),"?"))</f>
        <v/>
      </c>
      <c r="I3364" s="39"/>
      <c r="J3364" s="47" t="str">
        <f>IF(tblMovimientos[[#This Row],[Tipo]]="","",IFERROR(INDEX(tblTiposMov[FactorStock],MATCH(tblMovimientos[[#This Row],[Tipo]],tblTiposMov[Tipo],0)),0))</f>
        <v/>
      </c>
      <c r="K33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4" s="37"/>
      <c r="O3364" s="37"/>
      <c r="P3364" s="37"/>
    </row>
    <row r="3365" spans="2:16" x14ac:dyDescent="0.25">
      <c r="B33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5" s="46"/>
      <c r="D3365" s="37"/>
      <c r="E3365" s="37"/>
      <c r="F3365" s="37"/>
      <c r="G3365" s="40" t="str">
        <f>IF(tblMovimientos[[#This Row],[Producto]]="","",TRIM(LEFT(tblMovimientos[[#This Row],[Producto]],FIND(" · ",tblMovimientos[[#This Row],[Producto]]&amp;" · ")-1)))</f>
        <v/>
      </c>
      <c r="H3365" s="40" t="str">
        <f>IF(tblMovimientos[[#This Row],[SKU]]="","",IFERROR(INDEX(tblProductos[Unidad],MATCH(tblMovimientos[[#This Row],[SKU]],tblProductos[SKU],0)),"?"))</f>
        <v/>
      </c>
      <c r="I3365" s="39"/>
      <c r="J3365" s="47" t="str">
        <f>IF(tblMovimientos[[#This Row],[Tipo]]="","",IFERROR(INDEX(tblTiposMov[FactorStock],MATCH(tblMovimientos[[#This Row],[Tipo]],tblTiposMov[Tipo],0)),0))</f>
        <v/>
      </c>
      <c r="K33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5" s="37"/>
      <c r="O3365" s="37"/>
      <c r="P3365" s="37"/>
    </row>
    <row r="3366" spans="2:16" x14ac:dyDescent="0.25">
      <c r="B33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6" s="46"/>
      <c r="D3366" s="37"/>
      <c r="E3366" s="37"/>
      <c r="F3366" s="37"/>
      <c r="G3366" s="40" t="str">
        <f>IF(tblMovimientos[[#This Row],[Producto]]="","",TRIM(LEFT(tblMovimientos[[#This Row],[Producto]],FIND(" · ",tblMovimientos[[#This Row],[Producto]]&amp;" · ")-1)))</f>
        <v/>
      </c>
      <c r="H3366" s="40" t="str">
        <f>IF(tblMovimientos[[#This Row],[SKU]]="","",IFERROR(INDEX(tblProductos[Unidad],MATCH(tblMovimientos[[#This Row],[SKU]],tblProductos[SKU],0)),"?"))</f>
        <v/>
      </c>
      <c r="I3366" s="39"/>
      <c r="J3366" s="47" t="str">
        <f>IF(tblMovimientos[[#This Row],[Tipo]]="","",IFERROR(INDEX(tblTiposMov[FactorStock],MATCH(tblMovimientos[[#This Row],[Tipo]],tblTiposMov[Tipo],0)),0))</f>
        <v/>
      </c>
      <c r="K33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6" s="37"/>
      <c r="O3366" s="37"/>
      <c r="P3366" s="37"/>
    </row>
    <row r="3367" spans="2:16" x14ac:dyDescent="0.25">
      <c r="B33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7" s="46"/>
      <c r="D3367" s="37"/>
      <c r="E3367" s="37"/>
      <c r="F3367" s="37"/>
      <c r="G3367" s="40" t="str">
        <f>IF(tblMovimientos[[#This Row],[Producto]]="","",TRIM(LEFT(tblMovimientos[[#This Row],[Producto]],FIND(" · ",tblMovimientos[[#This Row],[Producto]]&amp;" · ")-1)))</f>
        <v/>
      </c>
      <c r="H3367" s="40" t="str">
        <f>IF(tblMovimientos[[#This Row],[SKU]]="","",IFERROR(INDEX(tblProductos[Unidad],MATCH(tblMovimientos[[#This Row],[SKU]],tblProductos[SKU],0)),"?"))</f>
        <v/>
      </c>
      <c r="I3367" s="39"/>
      <c r="J3367" s="47" t="str">
        <f>IF(tblMovimientos[[#This Row],[Tipo]]="","",IFERROR(INDEX(tblTiposMov[FactorStock],MATCH(tblMovimientos[[#This Row],[Tipo]],tblTiposMov[Tipo],0)),0))</f>
        <v/>
      </c>
      <c r="K33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7" s="37"/>
      <c r="O3367" s="37"/>
      <c r="P3367" s="37"/>
    </row>
    <row r="3368" spans="2:16" x14ac:dyDescent="0.25">
      <c r="B33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8" s="46"/>
      <c r="D3368" s="37"/>
      <c r="E3368" s="37"/>
      <c r="F3368" s="37"/>
      <c r="G3368" s="40" t="str">
        <f>IF(tblMovimientos[[#This Row],[Producto]]="","",TRIM(LEFT(tblMovimientos[[#This Row],[Producto]],FIND(" · ",tblMovimientos[[#This Row],[Producto]]&amp;" · ")-1)))</f>
        <v/>
      </c>
      <c r="H3368" s="40" t="str">
        <f>IF(tblMovimientos[[#This Row],[SKU]]="","",IFERROR(INDEX(tblProductos[Unidad],MATCH(tblMovimientos[[#This Row],[SKU]],tblProductos[SKU],0)),"?"))</f>
        <v/>
      </c>
      <c r="I3368" s="39"/>
      <c r="J3368" s="47" t="str">
        <f>IF(tblMovimientos[[#This Row],[Tipo]]="","",IFERROR(INDEX(tblTiposMov[FactorStock],MATCH(tblMovimientos[[#This Row],[Tipo]],tblTiposMov[Tipo],0)),0))</f>
        <v/>
      </c>
      <c r="K33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8" s="37"/>
      <c r="O3368" s="37"/>
      <c r="P3368" s="37"/>
    </row>
    <row r="3369" spans="2:16" x14ac:dyDescent="0.25">
      <c r="B33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69" s="46"/>
      <c r="D3369" s="37"/>
      <c r="E3369" s="37"/>
      <c r="F3369" s="37"/>
      <c r="G3369" s="40" t="str">
        <f>IF(tblMovimientos[[#This Row],[Producto]]="","",TRIM(LEFT(tblMovimientos[[#This Row],[Producto]],FIND(" · ",tblMovimientos[[#This Row],[Producto]]&amp;" · ")-1)))</f>
        <v/>
      </c>
      <c r="H3369" s="40" t="str">
        <f>IF(tblMovimientos[[#This Row],[SKU]]="","",IFERROR(INDEX(tblProductos[Unidad],MATCH(tblMovimientos[[#This Row],[SKU]],tblProductos[SKU],0)),"?"))</f>
        <v/>
      </c>
      <c r="I3369" s="39"/>
      <c r="J3369" s="47" t="str">
        <f>IF(tblMovimientos[[#This Row],[Tipo]]="","",IFERROR(INDEX(tblTiposMov[FactorStock],MATCH(tblMovimientos[[#This Row],[Tipo]],tblTiposMov[Tipo],0)),0))</f>
        <v/>
      </c>
      <c r="K33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69" s="37"/>
      <c r="O3369" s="37"/>
      <c r="P3369" s="37"/>
    </row>
    <row r="3370" spans="2:16" x14ac:dyDescent="0.25">
      <c r="B33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0" s="46"/>
      <c r="D3370" s="37"/>
      <c r="E3370" s="37"/>
      <c r="F3370" s="37"/>
      <c r="G3370" s="40" t="str">
        <f>IF(tblMovimientos[[#This Row],[Producto]]="","",TRIM(LEFT(tblMovimientos[[#This Row],[Producto]],FIND(" · ",tblMovimientos[[#This Row],[Producto]]&amp;" · ")-1)))</f>
        <v/>
      </c>
      <c r="H3370" s="40" t="str">
        <f>IF(tblMovimientos[[#This Row],[SKU]]="","",IFERROR(INDEX(tblProductos[Unidad],MATCH(tblMovimientos[[#This Row],[SKU]],tblProductos[SKU],0)),"?"))</f>
        <v/>
      </c>
      <c r="I3370" s="39"/>
      <c r="J3370" s="47" t="str">
        <f>IF(tblMovimientos[[#This Row],[Tipo]]="","",IFERROR(INDEX(tblTiposMov[FactorStock],MATCH(tblMovimientos[[#This Row],[Tipo]],tblTiposMov[Tipo],0)),0))</f>
        <v/>
      </c>
      <c r="K33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0" s="37"/>
      <c r="O3370" s="37"/>
      <c r="P3370" s="37"/>
    </row>
    <row r="3371" spans="2:16" x14ac:dyDescent="0.25">
      <c r="B33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1" s="46"/>
      <c r="D3371" s="37"/>
      <c r="E3371" s="37"/>
      <c r="F3371" s="37"/>
      <c r="G3371" s="40" t="str">
        <f>IF(tblMovimientos[[#This Row],[Producto]]="","",TRIM(LEFT(tblMovimientos[[#This Row],[Producto]],FIND(" · ",tblMovimientos[[#This Row],[Producto]]&amp;" · ")-1)))</f>
        <v/>
      </c>
      <c r="H3371" s="40" t="str">
        <f>IF(tblMovimientos[[#This Row],[SKU]]="","",IFERROR(INDEX(tblProductos[Unidad],MATCH(tblMovimientos[[#This Row],[SKU]],tblProductos[SKU],0)),"?"))</f>
        <v/>
      </c>
      <c r="I3371" s="39"/>
      <c r="J3371" s="47" t="str">
        <f>IF(tblMovimientos[[#This Row],[Tipo]]="","",IFERROR(INDEX(tblTiposMov[FactorStock],MATCH(tblMovimientos[[#This Row],[Tipo]],tblTiposMov[Tipo],0)),0))</f>
        <v/>
      </c>
      <c r="K33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1" s="37"/>
      <c r="O3371" s="37"/>
      <c r="P3371" s="37"/>
    </row>
    <row r="3372" spans="2:16" x14ac:dyDescent="0.25">
      <c r="B33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2" s="46"/>
      <c r="D3372" s="37"/>
      <c r="E3372" s="37"/>
      <c r="F3372" s="37"/>
      <c r="G3372" s="40" t="str">
        <f>IF(tblMovimientos[[#This Row],[Producto]]="","",TRIM(LEFT(tblMovimientos[[#This Row],[Producto]],FIND(" · ",tblMovimientos[[#This Row],[Producto]]&amp;" · ")-1)))</f>
        <v/>
      </c>
      <c r="H3372" s="40" t="str">
        <f>IF(tblMovimientos[[#This Row],[SKU]]="","",IFERROR(INDEX(tblProductos[Unidad],MATCH(tblMovimientos[[#This Row],[SKU]],tblProductos[SKU],0)),"?"))</f>
        <v/>
      </c>
      <c r="I3372" s="39"/>
      <c r="J3372" s="47" t="str">
        <f>IF(tblMovimientos[[#This Row],[Tipo]]="","",IFERROR(INDEX(tblTiposMov[FactorStock],MATCH(tblMovimientos[[#This Row],[Tipo]],tblTiposMov[Tipo],0)),0))</f>
        <v/>
      </c>
      <c r="K33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2" s="37"/>
      <c r="O3372" s="37"/>
      <c r="P3372" s="37"/>
    </row>
    <row r="3373" spans="2:16" x14ac:dyDescent="0.25">
      <c r="B33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3" s="46"/>
      <c r="D3373" s="37"/>
      <c r="E3373" s="37"/>
      <c r="F3373" s="37"/>
      <c r="G3373" s="40" t="str">
        <f>IF(tblMovimientos[[#This Row],[Producto]]="","",TRIM(LEFT(tblMovimientos[[#This Row],[Producto]],FIND(" · ",tblMovimientos[[#This Row],[Producto]]&amp;" · ")-1)))</f>
        <v/>
      </c>
      <c r="H3373" s="40" t="str">
        <f>IF(tblMovimientos[[#This Row],[SKU]]="","",IFERROR(INDEX(tblProductos[Unidad],MATCH(tblMovimientos[[#This Row],[SKU]],tblProductos[SKU],0)),"?"))</f>
        <v/>
      </c>
      <c r="I3373" s="39"/>
      <c r="J3373" s="47" t="str">
        <f>IF(tblMovimientos[[#This Row],[Tipo]]="","",IFERROR(INDEX(tblTiposMov[FactorStock],MATCH(tblMovimientos[[#This Row],[Tipo]],tblTiposMov[Tipo],0)),0))</f>
        <v/>
      </c>
      <c r="K33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3" s="37"/>
      <c r="O3373" s="37"/>
      <c r="P3373" s="37"/>
    </row>
    <row r="3374" spans="2:16" x14ac:dyDescent="0.25">
      <c r="B33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4" s="46"/>
      <c r="D3374" s="37"/>
      <c r="E3374" s="37"/>
      <c r="F3374" s="37"/>
      <c r="G3374" s="40" t="str">
        <f>IF(tblMovimientos[[#This Row],[Producto]]="","",TRIM(LEFT(tblMovimientos[[#This Row],[Producto]],FIND(" · ",tblMovimientos[[#This Row],[Producto]]&amp;" · ")-1)))</f>
        <v/>
      </c>
      <c r="H3374" s="40" t="str">
        <f>IF(tblMovimientos[[#This Row],[SKU]]="","",IFERROR(INDEX(tblProductos[Unidad],MATCH(tblMovimientos[[#This Row],[SKU]],tblProductos[SKU],0)),"?"))</f>
        <v/>
      </c>
      <c r="I3374" s="39"/>
      <c r="J3374" s="47" t="str">
        <f>IF(tblMovimientos[[#This Row],[Tipo]]="","",IFERROR(INDEX(tblTiposMov[FactorStock],MATCH(tblMovimientos[[#This Row],[Tipo]],tblTiposMov[Tipo],0)),0))</f>
        <v/>
      </c>
      <c r="K33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4" s="37"/>
      <c r="O3374" s="37"/>
      <c r="P3374" s="37"/>
    </row>
    <row r="3375" spans="2:16" x14ac:dyDescent="0.25">
      <c r="B33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5" s="46"/>
      <c r="D3375" s="37"/>
      <c r="E3375" s="37"/>
      <c r="F3375" s="37"/>
      <c r="G3375" s="40" t="str">
        <f>IF(tblMovimientos[[#This Row],[Producto]]="","",TRIM(LEFT(tblMovimientos[[#This Row],[Producto]],FIND(" · ",tblMovimientos[[#This Row],[Producto]]&amp;" · ")-1)))</f>
        <v/>
      </c>
      <c r="H3375" s="40" t="str">
        <f>IF(tblMovimientos[[#This Row],[SKU]]="","",IFERROR(INDEX(tblProductos[Unidad],MATCH(tblMovimientos[[#This Row],[SKU]],tblProductos[SKU],0)),"?"))</f>
        <v/>
      </c>
      <c r="I3375" s="39"/>
      <c r="J3375" s="47" t="str">
        <f>IF(tblMovimientos[[#This Row],[Tipo]]="","",IFERROR(INDEX(tblTiposMov[FactorStock],MATCH(tblMovimientos[[#This Row],[Tipo]],tblTiposMov[Tipo],0)),0))</f>
        <v/>
      </c>
      <c r="K33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5" s="37"/>
      <c r="O3375" s="37"/>
      <c r="P3375" s="37"/>
    </row>
    <row r="3376" spans="2:16" x14ac:dyDescent="0.25">
      <c r="B33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6" s="46"/>
      <c r="D3376" s="37"/>
      <c r="E3376" s="37"/>
      <c r="F3376" s="37"/>
      <c r="G3376" s="40" t="str">
        <f>IF(tblMovimientos[[#This Row],[Producto]]="","",TRIM(LEFT(tblMovimientos[[#This Row],[Producto]],FIND(" · ",tblMovimientos[[#This Row],[Producto]]&amp;" · ")-1)))</f>
        <v/>
      </c>
      <c r="H3376" s="40" t="str">
        <f>IF(tblMovimientos[[#This Row],[SKU]]="","",IFERROR(INDEX(tblProductos[Unidad],MATCH(tblMovimientos[[#This Row],[SKU]],tblProductos[SKU],0)),"?"))</f>
        <v/>
      </c>
      <c r="I3376" s="39"/>
      <c r="J3376" s="47" t="str">
        <f>IF(tblMovimientos[[#This Row],[Tipo]]="","",IFERROR(INDEX(tblTiposMov[FactorStock],MATCH(tblMovimientos[[#This Row],[Tipo]],tblTiposMov[Tipo],0)),0))</f>
        <v/>
      </c>
      <c r="K33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6" s="37"/>
      <c r="O3376" s="37"/>
      <c r="P3376" s="37"/>
    </row>
    <row r="3377" spans="2:16" x14ac:dyDescent="0.25">
      <c r="B33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7" s="46"/>
      <c r="D3377" s="37"/>
      <c r="E3377" s="37"/>
      <c r="F3377" s="37"/>
      <c r="G3377" s="40" t="str">
        <f>IF(tblMovimientos[[#This Row],[Producto]]="","",TRIM(LEFT(tblMovimientos[[#This Row],[Producto]],FIND(" · ",tblMovimientos[[#This Row],[Producto]]&amp;" · ")-1)))</f>
        <v/>
      </c>
      <c r="H3377" s="40" t="str">
        <f>IF(tblMovimientos[[#This Row],[SKU]]="","",IFERROR(INDEX(tblProductos[Unidad],MATCH(tblMovimientos[[#This Row],[SKU]],tblProductos[SKU],0)),"?"))</f>
        <v/>
      </c>
      <c r="I3377" s="39"/>
      <c r="J3377" s="47" t="str">
        <f>IF(tblMovimientos[[#This Row],[Tipo]]="","",IFERROR(INDEX(tblTiposMov[FactorStock],MATCH(tblMovimientos[[#This Row],[Tipo]],tblTiposMov[Tipo],0)),0))</f>
        <v/>
      </c>
      <c r="K33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7" s="37"/>
      <c r="O3377" s="37"/>
      <c r="P3377" s="37"/>
    </row>
    <row r="3378" spans="2:16" x14ac:dyDescent="0.25">
      <c r="B33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8" s="46"/>
      <c r="D3378" s="37"/>
      <c r="E3378" s="37"/>
      <c r="F3378" s="37"/>
      <c r="G3378" s="40" t="str">
        <f>IF(tblMovimientos[[#This Row],[Producto]]="","",TRIM(LEFT(tblMovimientos[[#This Row],[Producto]],FIND(" · ",tblMovimientos[[#This Row],[Producto]]&amp;" · ")-1)))</f>
        <v/>
      </c>
      <c r="H3378" s="40" t="str">
        <f>IF(tblMovimientos[[#This Row],[SKU]]="","",IFERROR(INDEX(tblProductos[Unidad],MATCH(tblMovimientos[[#This Row],[SKU]],tblProductos[SKU],0)),"?"))</f>
        <v/>
      </c>
      <c r="I3378" s="39"/>
      <c r="J3378" s="47" t="str">
        <f>IF(tblMovimientos[[#This Row],[Tipo]]="","",IFERROR(INDEX(tblTiposMov[FactorStock],MATCH(tblMovimientos[[#This Row],[Tipo]],tblTiposMov[Tipo],0)),0))</f>
        <v/>
      </c>
      <c r="K33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8" s="37"/>
      <c r="O3378" s="37"/>
      <c r="P3378" s="37"/>
    </row>
    <row r="3379" spans="2:16" x14ac:dyDescent="0.25">
      <c r="B33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79" s="46"/>
      <c r="D3379" s="37"/>
      <c r="E3379" s="37"/>
      <c r="F3379" s="37"/>
      <c r="G3379" s="40" t="str">
        <f>IF(tblMovimientos[[#This Row],[Producto]]="","",TRIM(LEFT(tblMovimientos[[#This Row],[Producto]],FIND(" · ",tblMovimientos[[#This Row],[Producto]]&amp;" · ")-1)))</f>
        <v/>
      </c>
      <c r="H3379" s="40" t="str">
        <f>IF(tblMovimientos[[#This Row],[SKU]]="","",IFERROR(INDEX(tblProductos[Unidad],MATCH(tblMovimientos[[#This Row],[SKU]],tblProductos[SKU],0)),"?"))</f>
        <v/>
      </c>
      <c r="I3379" s="39"/>
      <c r="J3379" s="47" t="str">
        <f>IF(tblMovimientos[[#This Row],[Tipo]]="","",IFERROR(INDEX(tblTiposMov[FactorStock],MATCH(tblMovimientos[[#This Row],[Tipo]],tblTiposMov[Tipo],0)),0))</f>
        <v/>
      </c>
      <c r="K33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79" s="37"/>
      <c r="O3379" s="37"/>
      <c r="P3379" s="37"/>
    </row>
    <row r="3380" spans="2:16" x14ac:dyDescent="0.25">
      <c r="B33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0" s="46"/>
      <c r="D3380" s="37"/>
      <c r="E3380" s="37"/>
      <c r="F3380" s="37"/>
      <c r="G3380" s="40" t="str">
        <f>IF(tblMovimientos[[#This Row],[Producto]]="","",TRIM(LEFT(tblMovimientos[[#This Row],[Producto]],FIND(" · ",tblMovimientos[[#This Row],[Producto]]&amp;" · ")-1)))</f>
        <v/>
      </c>
      <c r="H3380" s="40" t="str">
        <f>IF(tblMovimientos[[#This Row],[SKU]]="","",IFERROR(INDEX(tblProductos[Unidad],MATCH(tblMovimientos[[#This Row],[SKU]],tblProductos[SKU],0)),"?"))</f>
        <v/>
      </c>
      <c r="I3380" s="39"/>
      <c r="J3380" s="47" t="str">
        <f>IF(tblMovimientos[[#This Row],[Tipo]]="","",IFERROR(INDEX(tblTiposMov[FactorStock],MATCH(tblMovimientos[[#This Row],[Tipo]],tblTiposMov[Tipo],0)),0))</f>
        <v/>
      </c>
      <c r="K33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0" s="37"/>
      <c r="O3380" s="37"/>
      <c r="P3380" s="37"/>
    </row>
    <row r="3381" spans="2:16" x14ac:dyDescent="0.25">
      <c r="B33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1" s="46"/>
      <c r="D3381" s="37"/>
      <c r="E3381" s="37"/>
      <c r="F3381" s="37"/>
      <c r="G3381" s="40" t="str">
        <f>IF(tblMovimientos[[#This Row],[Producto]]="","",TRIM(LEFT(tblMovimientos[[#This Row],[Producto]],FIND(" · ",tblMovimientos[[#This Row],[Producto]]&amp;" · ")-1)))</f>
        <v/>
      </c>
      <c r="H3381" s="40" t="str">
        <f>IF(tblMovimientos[[#This Row],[SKU]]="","",IFERROR(INDEX(tblProductos[Unidad],MATCH(tblMovimientos[[#This Row],[SKU]],tblProductos[SKU],0)),"?"))</f>
        <v/>
      </c>
      <c r="I3381" s="39"/>
      <c r="J3381" s="47" t="str">
        <f>IF(tblMovimientos[[#This Row],[Tipo]]="","",IFERROR(INDEX(tblTiposMov[FactorStock],MATCH(tblMovimientos[[#This Row],[Tipo]],tblTiposMov[Tipo],0)),0))</f>
        <v/>
      </c>
      <c r="K33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1" s="37"/>
      <c r="O3381" s="37"/>
      <c r="P3381" s="37"/>
    </row>
    <row r="3382" spans="2:16" x14ac:dyDescent="0.25">
      <c r="B33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2" s="46"/>
      <c r="D3382" s="37"/>
      <c r="E3382" s="37"/>
      <c r="F3382" s="37"/>
      <c r="G3382" s="40" t="str">
        <f>IF(tblMovimientos[[#This Row],[Producto]]="","",TRIM(LEFT(tblMovimientos[[#This Row],[Producto]],FIND(" · ",tblMovimientos[[#This Row],[Producto]]&amp;" · ")-1)))</f>
        <v/>
      </c>
      <c r="H3382" s="40" t="str">
        <f>IF(tblMovimientos[[#This Row],[SKU]]="","",IFERROR(INDEX(tblProductos[Unidad],MATCH(tblMovimientos[[#This Row],[SKU]],tblProductos[SKU],0)),"?"))</f>
        <v/>
      </c>
      <c r="I3382" s="39"/>
      <c r="J3382" s="47" t="str">
        <f>IF(tblMovimientos[[#This Row],[Tipo]]="","",IFERROR(INDEX(tblTiposMov[FactorStock],MATCH(tblMovimientos[[#This Row],[Tipo]],tblTiposMov[Tipo],0)),0))</f>
        <v/>
      </c>
      <c r="K33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2" s="37"/>
      <c r="O3382" s="37"/>
      <c r="P3382" s="37"/>
    </row>
    <row r="3383" spans="2:16" x14ac:dyDescent="0.25">
      <c r="B33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3" s="46"/>
      <c r="D3383" s="37"/>
      <c r="E3383" s="37"/>
      <c r="F3383" s="37"/>
      <c r="G3383" s="40" t="str">
        <f>IF(tblMovimientos[[#This Row],[Producto]]="","",TRIM(LEFT(tblMovimientos[[#This Row],[Producto]],FIND(" · ",tblMovimientos[[#This Row],[Producto]]&amp;" · ")-1)))</f>
        <v/>
      </c>
      <c r="H3383" s="40" t="str">
        <f>IF(tblMovimientos[[#This Row],[SKU]]="","",IFERROR(INDEX(tblProductos[Unidad],MATCH(tblMovimientos[[#This Row],[SKU]],tblProductos[SKU],0)),"?"))</f>
        <v/>
      </c>
      <c r="I3383" s="39"/>
      <c r="J3383" s="47" t="str">
        <f>IF(tblMovimientos[[#This Row],[Tipo]]="","",IFERROR(INDEX(tblTiposMov[FactorStock],MATCH(tblMovimientos[[#This Row],[Tipo]],tblTiposMov[Tipo],0)),0))</f>
        <v/>
      </c>
      <c r="K33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3" s="37"/>
      <c r="O3383" s="37"/>
      <c r="P3383" s="37"/>
    </row>
    <row r="3384" spans="2:16" x14ac:dyDescent="0.25">
      <c r="B33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4" s="46"/>
      <c r="D3384" s="37"/>
      <c r="E3384" s="37"/>
      <c r="F3384" s="37"/>
      <c r="G3384" s="40" t="str">
        <f>IF(tblMovimientos[[#This Row],[Producto]]="","",TRIM(LEFT(tblMovimientos[[#This Row],[Producto]],FIND(" · ",tblMovimientos[[#This Row],[Producto]]&amp;" · ")-1)))</f>
        <v/>
      </c>
      <c r="H3384" s="40" t="str">
        <f>IF(tblMovimientos[[#This Row],[SKU]]="","",IFERROR(INDEX(tblProductos[Unidad],MATCH(tblMovimientos[[#This Row],[SKU]],tblProductos[SKU],0)),"?"))</f>
        <v/>
      </c>
      <c r="I3384" s="39"/>
      <c r="J3384" s="47" t="str">
        <f>IF(tblMovimientos[[#This Row],[Tipo]]="","",IFERROR(INDEX(tblTiposMov[FactorStock],MATCH(tblMovimientos[[#This Row],[Tipo]],tblTiposMov[Tipo],0)),0))</f>
        <v/>
      </c>
      <c r="K33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4" s="37"/>
      <c r="O3384" s="37"/>
      <c r="P3384" s="37"/>
    </row>
    <row r="3385" spans="2:16" x14ac:dyDescent="0.25">
      <c r="B33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5" s="46"/>
      <c r="D3385" s="37"/>
      <c r="E3385" s="37"/>
      <c r="F3385" s="37"/>
      <c r="G3385" s="40" t="str">
        <f>IF(tblMovimientos[[#This Row],[Producto]]="","",TRIM(LEFT(tblMovimientos[[#This Row],[Producto]],FIND(" · ",tblMovimientos[[#This Row],[Producto]]&amp;" · ")-1)))</f>
        <v/>
      </c>
      <c r="H3385" s="40" t="str">
        <f>IF(tblMovimientos[[#This Row],[SKU]]="","",IFERROR(INDEX(tblProductos[Unidad],MATCH(tblMovimientos[[#This Row],[SKU]],tblProductos[SKU],0)),"?"))</f>
        <v/>
      </c>
      <c r="I3385" s="39"/>
      <c r="J3385" s="47" t="str">
        <f>IF(tblMovimientos[[#This Row],[Tipo]]="","",IFERROR(INDEX(tblTiposMov[FactorStock],MATCH(tblMovimientos[[#This Row],[Tipo]],tblTiposMov[Tipo],0)),0))</f>
        <v/>
      </c>
      <c r="K33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5" s="37"/>
      <c r="O3385" s="37"/>
      <c r="P3385" s="37"/>
    </row>
    <row r="3386" spans="2:16" x14ac:dyDescent="0.25">
      <c r="B33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6" s="46"/>
      <c r="D3386" s="37"/>
      <c r="E3386" s="37"/>
      <c r="F3386" s="37"/>
      <c r="G3386" s="40" t="str">
        <f>IF(tblMovimientos[[#This Row],[Producto]]="","",TRIM(LEFT(tblMovimientos[[#This Row],[Producto]],FIND(" · ",tblMovimientos[[#This Row],[Producto]]&amp;" · ")-1)))</f>
        <v/>
      </c>
      <c r="H3386" s="40" t="str">
        <f>IF(tblMovimientos[[#This Row],[SKU]]="","",IFERROR(INDEX(tblProductos[Unidad],MATCH(tblMovimientos[[#This Row],[SKU]],tblProductos[SKU],0)),"?"))</f>
        <v/>
      </c>
      <c r="I3386" s="39"/>
      <c r="J3386" s="47" t="str">
        <f>IF(tblMovimientos[[#This Row],[Tipo]]="","",IFERROR(INDEX(tblTiposMov[FactorStock],MATCH(tblMovimientos[[#This Row],[Tipo]],tblTiposMov[Tipo],0)),0))</f>
        <v/>
      </c>
      <c r="K33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6" s="37"/>
      <c r="O3386" s="37"/>
      <c r="P3386" s="37"/>
    </row>
    <row r="3387" spans="2:16" x14ac:dyDescent="0.25">
      <c r="B33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7" s="46"/>
      <c r="D3387" s="37"/>
      <c r="E3387" s="37"/>
      <c r="F3387" s="37"/>
      <c r="G3387" s="40" t="str">
        <f>IF(tblMovimientos[[#This Row],[Producto]]="","",TRIM(LEFT(tblMovimientos[[#This Row],[Producto]],FIND(" · ",tblMovimientos[[#This Row],[Producto]]&amp;" · ")-1)))</f>
        <v/>
      </c>
      <c r="H3387" s="40" t="str">
        <f>IF(tblMovimientos[[#This Row],[SKU]]="","",IFERROR(INDEX(tblProductos[Unidad],MATCH(tblMovimientos[[#This Row],[SKU]],tblProductos[SKU],0)),"?"))</f>
        <v/>
      </c>
      <c r="I3387" s="39"/>
      <c r="J3387" s="47" t="str">
        <f>IF(tblMovimientos[[#This Row],[Tipo]]="","",IFERROR(INDEX(tblTiposMov[FactorStock],MATCH(tblMovimientos[[#This Row],[Tipo]],tblTiposMov[Tipo],0)),0))</f>
        <v/>
      </c>
      <c r="K33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7" s="37"/>
      <c r="O3387" s="37"/>
      <c r="P3387" s="37"/>
    </row>
    <row r="3388" spans="2:16" x14ac:dyDescent="0.25">
      <c r="B33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8" s="46"/>
      <c r="D3388" s="37"/>
      <c r="E3388" s="37"/>
      <c r="F3388" s="37"/>
      <c r="G3388" s="40" t="str">
        <f>IF(tblMovimientos[[#This Row],[Producto]]="","",TRIM(LEFT(tblMovimientos[[#This Row],[Producto]],FIND(" · ",tblMovimientos[[#This Row],[Producto]]&amp;" · ")-1)))</f>
        <v/>
      </c>
      <c r="H3388" s="40" t="str">
        <f>IF(tblMovimientos[[#This Row],[SKU]]="","",IFERROR(INDEX(tblProductos[Unidad],MATCH(tblMovimientos[[#This Row],[SKU]],tblProductos[SKU],0)),"?"))</f>
        <v/>
      </c>
      <c r="I3388" s="39"/>
      <c r="J3388" s="47" t="str">
        <f>IF(tblMovimientos[[#This Row],[Tipo]]="","",IFERROR(INDEX(tblTiposMov[FactorStock],MATCH(tblMovimientos[[#This Row],[Tipo]],tblTiposMov[Tipo],0)),0))</f>
        <v/>
      </c>
      <c r="K33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8" s="37"/>
      <c r="O3388" s="37"/>
      <c r="P3388" s="37"/>
    </row>
    <row r="3389" spans="2:16" x14ac:dyDescent="0.25">
      <c r="B33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89" s="46"/>
      <c r="D3389" s="37"/>
      <c r="E3389" s="37"/>
      <c r="F3389" s="37"/>
      <c r="G3389" s="40" t="str">
        <f>IF(tblMovimientos[[#This Row],[Producto]]="","",TRIM(LEFT(tblMovimientos[[#This Row],[Producto]],FIND(" · ",tblMovimientos[[#This Row],[Producto]]&amp;" · ")-1)))</f>
        <v/>
      </c>
      <c r="H3389" s="40" t="str">
        <f>IF(tblMovimientos[[#This Row],[SKU]]="","",IFERROR(INDEX(tblProductos[Unidad],MATCH(tblMovimientos[[#This Row],[SKU]],tblProductos[SKU],0)),"?"))</f>
        <v/>
      </c>
      <c r="I3389" s="39"/>
      <c r="J3389" s="47" t="str">
        <f>IF(tblMovimientos[[#This Row],[Tipo]]="","",IFERROR(INDEX(tblTiposMov[FactorStock],MATCH(tblMovimientos[[#This Row],[Tipo]],tblTiposMov[Tipo],0)),0))</f>
        <v/>
      </c>
      <c r="K33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89" s="37"/>
      <c r="O3389" s="37"/>
      <c r="P3389" s="37"/>
    </row>
    <row r="3390" spans="2:16" x14ac:dyDescent="0.25">
      <c r="B33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0" s="46"/>
      <c r="D3390" s="37"/>
      <c r="E3390" s="37"/>
      <c r="F3390" s="37"/>
      <c r="G3390" s="40" t="str">
        <f>IF(tblMovimientos[[#This Row],[Producto]]="","",TRIM(LEFT(tblMovimientos[[#This Row],[Producto]],FIND(" · ",tblMovimientos[[#This Row],[Producto]]&amp;" · ")-1)))</f>
        <v/>
      </c>
      <c r="H3390" s="40" t="str">
        <f>IF(tblMovimientos[[#This Row],[SKU]]="","",IFERROR(INDEX(tblProductos[Unidad],MATCH(tblMovimientos[[#This Row],[SKU]],tblProductos[SKU],0)),"?"))</f>
        <v/>
      </c>
      <c r="I3390" s="39"/>
      <c r="J3390" s="47" t="str">
        <f>IF(tblMovimientos[[#This Row],[Tipo]]="","",IFERROR(INDEX(tblTiposMov[FactorStock],MATCH(tblMovimientos[[#This Row],[Tipo]],tblTiposMov[Tipo],0)),0))</f>
        <v/>
      </c>
      <c r="K33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0" s="37"/>
      <c r="O3390" s="37"/>
      <c r="P3390" s="37"/>
    </row>
    <row r="3391" spans="2:16" x14ac:dyDescent="0.25">
      <c r="B33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1" s="46"/>
      <c r="D3391" s="37"/>
      <c r="E3391" s="37"/>
      <c r="F3391" s="37"/>
      <c r="G3391" s="40" t="str">
        <f>IF(tblMovimientos[[#This Row],[Producto]]="","",TRIM(LEFT(tblMovimientos[[#This Row],[Producto]],FIND(" · ",tblMovimientos[[#This Row],[Producto]]&amp;" · ")-1)))</f>
        <v/>
      </c>
      <c r="H3391" s="40" t="str">
        <f>IF(tblMovimientos[[#This Row],[SKU]]="","",IFERROR(INDEX(tblProductos[Unidad],MATCH(tblMovimientos[[#This Row],[SKU]],tblProductos[SKU],0)),"?"))</f>
        <v/>
      </c>
      <c r="I3391" s="39"/>
      <c r="J3391" s="47" t="str">
        <f>IF(tblMovimientos[[#This Row],[Tipo]]="","",IFERROR(INDEX(tblTiposMov[FactorStock],MATCH(tblMovimientos[[#This Row],[Tipo]],tblTiposMov[Tipo],0)),0))</f>
        <v/>
      </c>
      <c r="K33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1" s="37"/>
      <c r="O3391" s="37"/>
      <c r="P3391" s="37"/>
    </row>
    <row r="3392" spans="2:16" x14ac:dyDescent="0.25">
      <c r="B33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2" s="46"/>
      <c r="D3392" s="37"/>
      <c r="E3392" s="37"/>
      <c r="F3392" s="37"/>
      <c r="G3392" s="40" t="str">
        <f>IF(tblMovimientos[[#This Row],[Producto]]="","",TRIM(LEFT(tblMovimientos[[#This Row],[Producto]],FIND(" · ",tblMovimientos[[#This Row],[Producto]]&amp;" · ")-1)))</f>
        <v/>
      </c>
      <c r="H3392" s="40" t="str">
        <f>IF(tblMovimientos[[#This Row],[SKU]]="","",IFERROR(INDEX(tblProductos[Unidad],MATCH(tblMovimientos[[#This Row],[SKU]],tblProductos[SKU],0)),"?"))</f>
        <v/>
      </c>
      <c r="I3392" s="39"/>
      <c r="J3392" s="47" t="str">
        <f>IF(tblMovimientos[[#This Row],[Tipo]]="","",IFERROR(INDEX(tblTiposMov[FactorStock],MATCH(tblMovimientos[[#This Row],[Tipo]],tblTiposMov[Tipo],0)),0))</f>
        <v/>
      </c>
      <c r="K33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2" s="37"/>
      <c r="O3392" s="37"/>
      <c r="P3392" s="37"/>
    </row>
    <row r="3393" spans="2:16" x14ac:dyDescent="0.25">
      <c r="B33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3" s="46"/>
      <c r="D3393" s="37"/>
      <c r="E3393" s="37"/>
      <c r="F3393" s="37"/>
      <c r="G3393" s="40" t="str">
        <f>IF(tblMovimientos[[#This Row],[Producto]]="","",TRIM(LEFT(tblMovimientos[[#This Row],[Producto]],FIND(" · ",tblMovimientos[[#This Row],[Producto]]&amp;" · ")-1)))</f>
        <v/>
      </c>
      <c r="H3393" s="40" t="str">
        <f>IF(tblMovimientos[[#This Row],[SKU]]="","",IFERROR(INDEX(tblProductos[Unidad],MATCH(tblMovimientos[[#This Row],[SKU]],tblProductos[SKU],0)),"?"))</f>
        <v/>
      </c>
      <c r="I3393" s="39"/>
      <c r="J3393" s="47" t="str">
        <f>IF(tblMovimientos[[#This Row],[Tipo]]="","",IFERROR(INDEX(tblTiposMov[FactorStock],MATCH(tblMovimientos[[#This Row],[Tipo]],tblTiposMov[Tipo],0)),0))</f>
        <v/>
      </c>
      <c r="K33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3" s="37"/>
      <c r="O3393" s="37"/>
      <c r="P3393" s="37"/>
    </row>
    <row r="3394" spans="2:16" x14ac:dyDescent="0.25">
      <c r="B33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4" s="46"/>
      <c r="D3394" s="37"/>
      <c r="E3394" s="37"/>
      <c r="F3394" s="37"/>
      <c r="G3394" s="40" t="str">
        <f>IF(tblMovimientos[[#This Row],[Producto]]="","",TRIM(LEFT(tblMovimientos[[#This Row],[Producto]],FIND(" · ",tblMovimientos[[#This Row],[Producto]]&amp;" · ")-1)))</f>
        <v/>
      </c>
      <c r="H3394" s="40" t="str">
        <f>IF(tblMovimientos[[#This Row],[SKU]]="","",IFERROR(INDEX(tblProductos[Unidad],MATCH(tblMovimientos[[#This Row],[SKU]],tblProductos[SKU],0)),"?"))</f>
        <v/>
      </c>
      <c r="I3394" s="39"/>
      <c r="J3394" s="47" t="str">
        <f>IF(tblMovimientos[[#This Row],[Tipo]]="","",IFERROR(INDEX(tblTiposMov[FactorStock],MATCH(tblMovimientos[[#This Row],[Tipo]],tblTiposMov[Tipo],0)),0))</f>
        <v/>
      </c>
      <c r="K33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4" s="37"/>
      <c r="O3394" s="37"/>
      <c r="P3394" s="37"/>
    </row>
    <row r="3395" spans="2:16" x14ac:dyDescent="0.25">
      <c r="B33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5" s="46"/>
      <c r="D3395" s="37"/>
      <c r="E3395" s="37"/>
      <c r="F3395" s="37"/>
      <c r="G3395" s="40" t="str">
        <f>IF(tblMovimientos[[#This Row],[Producto]]="","",TRIM(LEFT(tblMovimientos[[#This Row],[Producto]],FIND(" · ",tblMovimientos[[#This Row],[Producto]]&amp;" · ")-1)))</f>
        <v/>
      </c>
      <c r="H3395" s="40" t="str">
        <f>IF(tblMovimientos[[#This Row],[SKU]]="","",IFERROR(INDEX(tblProductos[Unidad],MATCH(tblMovimientos[[#This Row],[SKU]],tblProductos[SKU],0)),"?"))</f>
        <v/>
      </c>
      <c r="I3395" s="39"/>
      <c r="J3395" s="47" t="str">
        <f>IF(tblMovimientos[[#This Row],[Tipo]]="","",IFERROR(INDEX(tblTiposMov[FactorStock],MATCH(tblMovimientos[[#This Row],[Tipo]],tblTiposMov[Tipo],0)),0))</f>
        <v/>
      </c>
      <c r="K33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5" s="37"/>
      <c r="O3395" s="37"/>
      <c r="P3395" s="37"/>
    </row>
    <row r="3396" spans="2:16" x14ac:dyDescent="0.25">
      <c r="B33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6" s="46"/>
      <c r="D3396" s="37"/>
      <c r="E3396" s="37"/>
      <c r="F3396" s="37"/>
      <c r="G3396" s="40" t="str">
        <f>IF(tblMovimientos[[#This Row],[Producto]]="","",TRIM(LEFT(tblMovimientos[[#This Row],[Producto]],FIND(" · ",tblMovimientos[[#This Row],[Producto]]&amp;" · ")-1)))</f>
        <v/>
      </c>
      <c r="H3396" s="40" t="str">
        <f>IF(tblMovimientos[[#This Row],[SKU]]="","",IFERROR(INDEX(tblProductos[Unidad],MATCH(tblMovimientos[[#This Row],[SKU]],tblProductos[SKU],0)),"?"))</f>
        <v/>
      </c>
      <c r="I3396" s="39"/>
      <c r="J3396" s="47" t="str">
        <f>IF(tblMovimientos[[#This Row],[Tipo]]="","",IFERROR(INDEX(tblTiposMov[FactorStock],MATCH(tblMovimientos[[#This Row],[Tipo]],tblTiposMov[Tipo],0)),0))</f>
        <v/>
      </c>
      <c r="K33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6" s="37"/>
      <c r="O3396" s="37"/>
      <c r="P3396" s="37"/>
    </row>
    <row r="3397" spans="2:16" x14ac:dyDescent="0.25">
      <c r="B33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7" s="46"/>
      <c r="D3397" s="37"/>
      <c r="E3397" s="37"/>
      <c r="F3397" s="37"/>
      <c r="G3397" s="40" t="str">
        <f>IF(tblMovimientos[[#This Row],[Producto]]="","",TRIM(LEFT(tblMovimientos[[#This Row],[Producto]],FIND(" · ",tblMovimientos[[#This Row],[Producto]]&amp;" · ")-1)))</f>
        <v/>
      </c>
      <c r="H3397" s="40" t="str">
        <f>IF(tblMovimientos[[#This Row],[SKU]]="","",IFERROR(INDEX(tblProductos[Unidad],MATCH(tblMovimientos[[#This Row],[SKU]],tblProductos[SKU],0)),"?"))</f>
        <v/>
      </c>
      <c r="I3397" s="39"/>
      <c r="J3397" s="47" t="str">
        <f>IF(tblMovimientos[[#This Row],[Tipo]]="","",IFERROR(INDEX(tblTiposMov[FactorStock],MATCH(tblMovimientos[[#This Row],[Tipo]],tblTiposMov[Tipo],0)),0))</f>
        <v/>
      </c>
      <c r="K33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7" s="37"/>
      <c r="O3397" s="37"/>
      <c r="P3397" s="37"/>
    </row>
    <row r="3398" spans="2:16" x14ac:dyDescent="0.25">
      <c r="B33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8" s="46"/>
      <c r="D3398" s="37"/>
      <c r="E3398" s="37"/>
      <c r="F3398" s="37"/>
      <c r="G3398" s="40" t="str">
        <f>IF(tblMovimientos[[#This Row],[Producto]]="","",TRIM(LEFT(tblMovimientos[[#This Row],[Producto]],FIND(" · ",tblMovimientos[[#This Row],[Producto]]&amp;" · ")-1)))</f>
        <v/>
      </c>
      <c r="H3398" s="40" t="str">
        <f>IF(tblMovimientos[[#This Row],[SKU]]="","",IFERROR(INDEX(tblProductos[Unidad],MATCH(tblMovimientos[[#This Row],[SKU]],tblProductos[SKU],0)),"?"))</f>
        <v/>
      </c>
      <c r="I3398" s="39"/>
      <c r="J3398" s="47" t="str">
        <f>IF(tblMovimientos[[#This Row],[Tipo]]="","",IFERROR(INDEX(tblTiposMov[FactorStock],MATCH(tblMovimientos[[#This Row],[Tipo]],tblTiposMov[Tipo],0)),0))</f>
        <v/>
      </c>
      <c r="K33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8" s="37"/>
      <c r="O3398" s="37"/>
      <c r="P3398" s="37"/>
    </row>
    <row r="3399" spans="2:16" x14ac:dyDescent="0.25">
      <c r="B33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399" s="46"/>
      <c r="D3399" s="37"/>
      <c r="E3399" s="37"/>
      <c r="F3399" s="37"/>
      <c r="G3399" s="40" t="str">
        <f>IF(tblMovimientos[[#This Row],[Producto]]="","",TRIM(LEFT(tblMovimientos[[#This Row],[Producto]],FIND(" · ",tblMovimientos[[#This Row],[Producto]]&amp;" · ")-1)))</f>
        <v/>
      </c>
      <c r="H3399" s="40" t="str">
        <f>IF(tblMovimientos[[#This Row],[SKU]]="","",IFERROR(INDEX(tblProductos[Unidad],MATCH(tblMovimientos[[#This Row],[SKU]],tblProductos[SKU],0)),"?"))</f>
        <v/>
      </c>
      <c r="I3399" s="39"/>
      <c r="J3399" s="47" t="str">
        <f>IF(tblMovimientos[[#This Row],[Tipo]]="","",IFERROR(INDEX(tblTiposMov[FactorStock],MATCH(tblMovimientos[[#This Row],[Tipo]],tblTiposMov[Tipo],0)),0))</f>
        <v/>
      </c>
      <c r="K33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3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399" s="37"/>
      <c r="O3399" s="37"/>
      <c r="P3399" s="37"/>
    </row>
    <row r="3400" spans="2:16" x14ac:dyDescent="0.25">
      <c r="B34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0" s="46"/>
      <c r="D3400" s="37"/>
      <c r="E3400" s="37"/>
      <c r="F3400" s="37"/>
      <c r="G3400" s="40" t="str">
        <f>IF(tblMovimientos[[#This Row],[Producto]]="","",TRIM(LEFT(tblMovimientos[[#This Row],[Producto]],FIND(" · ",tblMovimientos[[#This Row],[Producto]]&amp;" · ")-1)))</f>
        <v/>
      </c>
      <c r="H3400" s="40" t="str">
        <f>IF(tblMovimientos[[#This Row],[SKU]]="","",IFERROR(INDEX(tblProductos[Unidad],MATCH(tblMovimientos[[#This Row],[SKU]],tblProductos[SKU],0)),"?"))</f>
        <v/>
      </c>
      <c r="I3400" s="39"/>
      <c r="J3400" s="47" t="str">
        <f>IF(tblMovimientos[[#This Row],[Tipo]]="","",IFERROR(INDEX(tblTiposMov[FactorStock],MATCH(tblMovimientos[[#This Row],[Tipo]],tblTiposMov[Tipo],0)),0))</f>
        <v/>
      </c>
      <c r="K34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0" s="37"/>
      <c r="O3400" s="37"/>
      <c r="P3400" s="37"/>
    </row>
    <row r="3401" spans="2:16" x14ac:dyDescent="0.25">
      <c r="B34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1" s="46"/>
      <c r="D3401" s="37"/>
      <c r="E3401" s="37"/>
      <c r="F3401" s="37"/>
      <c r="G3401" s="40" t="str">
        <f>IF(tblMovimientos[[#This Row],[Producto]]="","",TRIM(LEFT(tblMovimientos[[#This Row],[Producto]],FIND(" · ",tblMovimientos[[#This Row],[Producto]]&amp;" · ")-1)))</f>
        <v/>
      </c>
      <c r="H3401" s="40" t="str">
        <f>IF(tblMovimientos[[#This Row],[SKU]]="","",IFERROR(INDEX(tblProductos[Unidad],MATCH(tblMovimientos[[#This Row],[SKU]],tblProductos[SKU],0)),"?"))</f>
        <v/>
      </c>
      <c r="I3401" s="39"/>
      <c r="J3401" s="47" t="str">
        <f>IF(tblMovimientos[[#This Row],[Tipo]]="","",IFERROR(INDEX(tblTiposMov[FactorStock],MATCH(tblMovimientos[[#This Row],[Tipo]],tblTiposMov[Tipo],0)),0))</f>
        <v/>
      </c>
      <c r="K34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1" s="37"/>
      <c r="O3401" s="37"/>
      <c r="P3401" s="37"/>
    </row>
    <row r="3402" spans="2:16" x14ac:dyDescent="0.25">
      <c r="B34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2" s="46"/>
      <c r="D3402" s="37"/>
      <c r="E3402" s="37"/>
      <c r="F3402" s="37"/>
      <c r="G3402" s="40" t="str">
        <f>IF(tblMovimientos[[#This Row],[Producto]]="","",TRIM(LEFT(tblMovimientos[[#This Row],[Producto]],FIND(" · ",tblMovimientos[[#This Row],[Producto]]&amp;" · ")-1)))</f>
        <v/>
      </c>
      <c r="H3402" s="40" t="str">
        <f>IF(tblMovimientos[[#This Row],[SKU]]="","",IFERROR(INDEX(tblProductos[Unidad],MATCH(tblMovimientos[[#This Row],[SKU]],tblProductos[SKU],0)),"?"))</f>
        <v/>
      </c>
      <c r="I3402" s="39"/>
      <c r="J3402" s="47" t="str">
        <f>IF(tblMovimientos[[#This Row],[Tipo]]="","",IFERROR(INDEX(tblTiposMov[FactorStock],MATCH(tblMovimientos[[#This Row],[Tipo]],tblTiposMov[Tipo],0)),0))</f>
        <v/>
      </c>
      <c r="K34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2" s="37"/>
      <c r="O3402" s="37"/>
      <c r="P3402" s="37"/>
    </row>
    <row r="3403" spans="2:16" x14ac:dyDescent="0.25">
      <c r="B34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3" s="46"/>
      <c r="D3403" s="37"/>
      <c r="E3403" s="37"/>
      <c r="F3403" s="37"/>
      <c r="G3403" s="40" t="str">
        <f>IF(tblMovimientos[[#This Row],[Producto]]="","",TRIM(LEFT(tblMovimientos[[#This Row],[Producto]],FIND(" · ",tblMovimientos[[#This Row],[Producto]]&amp;" · ")-1)))</f>
        <v/>
      </c>
      <c r="H3403" s="40" t="str">
        <f>IF(tblMovimientos[[#This Row],[SKU]]="","",IFERROR(INDEX(tblProductos[Unidad],MATCH(tblMovimientos[[#This Row],[SKU]],tblProductos[SKU],0)),"?"))</f>
        <v/>
      </c>
      <c r="I3403" s="39"/>
      <c r="J3403" s="47" t="str">
        <f>IF(tblMovimientos[[#This Row],[Tipo]]="","",IFERROR(INDEX(tblTiposMov[FactorStock],MATCH(tblMovimientos[[#This Row],[Tipo]],tblTiposMov[Tipo],0)),0))</f>
        <v/>
      </c>
      <c r="K34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3" s="37"/>
      <c r="O3403" s="37"/>
      <c r="P3403" s="37"/>
    </row>
    <row r="3404" spans="2:16" x14ac:dyDescent="0.25">
      <c r="B34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4" s="46"/>
      <c r="D3404" s="37"/>
      <c r="E3404" s="37"/>
      <c r="F3404" s="37"/>
      <c r="G3404" s="40" t="str">
        <f>IF(tblMovimientos[[#This Row],[Producto]]="","",TRIM(LEFT(tblMovimientos[[#This Row],[Producto]],FIND(" · ",tblMovimientos[[#This Row],[Producto]]&amp;" · ")-1)))</f>
        <v/>
      </c>
      <c r="H3404" s="40" t="str">
        <f>IF(tblMovimientos[[#This Row],[SKU]]="","",IFERROR(INDEX(tblProductos[Unidad],MATCH(tblMovimientos[[#This Row],[SKU]],tblProductos[SKU],0)),"?"))</f>
        <v/>
      </c>
      <c r="I3404" s="39"/>
      <c r="J3404" s="47" t="str">
        <f>IF(tblMovimientos[[#This Row],[Tipo]]="","",IFERROR(INDEX(tblTiposMov[FactorStock],MATCH(tblMovimientos[[#This Row],[Tipo]],tblTiposMov[Tipo],0)),0))</f>
        <v/>
      </c>
      <c r="K34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4" s="37"/>
      <c r="O3404" s="37"/>
      <c r="P3404" s="37"/>
    </row>
    <row r="3405" spans="2:16" x14ac:dyDescent="0.25">
      <c r="B34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5" s="46"/>
      <c r="D3405" s="37"/>
      <c r="E3405" s="37"/>
      <c r="F3405" s="37"/>
      <c r="G3405" s="40" t="str">
        <f>IF(tblMovimientos[[#This Row],[Producto]]="","",TRIM(LEFT(tblMovimientos[[#This Row],[Producto]],FIND(" · ",tblMovimientos[[#This Row],[Producto]]&amp;" · ")-1)))</f>
        <v/>
      </c>
      <c r="H3405" s="40" t="str">
        <f>IF(tblMovimientos[[#This Row],[SKU]]="","",IFERROR(INDEX(tblProductos[Unidad],MATCH(tblMovimientos[[#This Row],[SKU]],tblProductos[SKU],0)),"?"))</f>
        <v/>
      </c>
      <c r="I3405" s="39"/>
      <c r="J3405" s="47" t="str">
        <f>IF(tblMovimientos[[#This Row],[Tipo]]="","",IFERROR(INDEX(tblTiposMov[FactorStock],MATCH(tblMovimientos[[#This Row],[Tipo]],tblTiposMov[Tipo],0)),0))</f>
        <v/>
      </c>
      <c r="K34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5" s="37"/>
      <c r="O3405" s="37"/>
      <c r="P3405" s="37"/>
    </row>
    <row r="3406" spans="2:16" x14ac:dyDescent="0.25">
      <c r="B34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6" s="46"/>
      <c r="D3406" s="37"/>
      <c r="E3406" s="37"/>
      <c r="F3406" s="37"/>
      <c r="G3406" s="40" t="str">
        <f>IF(tblMovimientos[[#This Row],[Producto]]="","",TRIM(LEFT(tblMovimientos[[#This Row],[Producto]],FIND(" · ",tblMovimientos[[#This Row],[Producto]]&amp;" · ")-1)))</f>
        <v/>
      </c>
      <c r="H3406" s="40" t="str">
        <f>IF(tblMovimientos[[#This Row],[SKU]]="","",IFERROR(INDEX(tblProductos[Unidad],MATCH(tblMovimientos[[#This Row],[SKU]],tblProductos[SKU],0)),"?"))</f>
        <v/>
      </c>
      <c r="I3406" s="39"/>
      <c r="J3406" s="47" t="str">
        <f>IF(tblMovimientos[[#This Row],[Tipo]]="","",IFERROR(INDEX(tblTiposMov[FactorStock],MATCH(tblMovimientos[[#This Row],[Tipo]],tblTiposMov[Tipo],0)),0))</f>
        <v/>
      </c>
      <c r="K34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6" s="37"/>
      <c r="O3406" s="37"/>
      <c r="P3406" s="37"/>
    </row>
    <row r="3407" spans="2:16" x14ac:dyDescent="0.25">
      <c r="B34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7" s="46"/>
      <c r="D3407" s="37"/>
      <c r="E3407" s="37"/>
      <c r="F3407" s="37"/>
      <c r="G3407" s="40" t="str">
        <f>IF(tblMovimientos[[#This Row],[Producto]]="","",TRIM(LEFT(tblMovimientos[[#This Row],[Producto]],FIND(" · ",tblMovimientos[[#This Row],[Producto]]&amp;" · ")-1)))</f>
        <v/>
      </c>
      <c r="H3407" s="40" t="str">
        <f>IF(tblMovimientos[[#This Row],[SKU]]="","",IFERROR(INDEX(tblProductos[Unidad],MATCH(tblMovimientos[[#This Row],[SKU]],tblProductos[SKU],0)),"?"))</f>
        <v/>
      </c>
      <c r="I3407" s="39"/>
      <c r="J3407" s="47" t="str">
        <f>IF(tblMovimientos[[#This Row],[Tipo]]="","",IFERROR(INDEX(tblTiposMov[FactorStock],MATCH(tblMovimientos[[#This Row],[Tipo]],tblTiposMov[Tipo],0)),0))</f>
        <v/>
      </c>
      <c r="K34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7" s="37"/>
      <c r="O3407" s="37"/>
      <c r="P3407" s="37"/>
    </row>
    <row r="3408" spans="2:16" x14ac:dyDescent="0.25">
      <c r="B34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8" s="46"/>
      <c r="D3408" s="37"/>
      <c r="E3408" s="37"/>
      <c r="F3408" s="37"/>
      <c r="G3408" s="40" t="str">
        <f>IF(tblMovimientos[[#This Row],[Producto]]="","",TRIM(LEFT(tblMovimientos[[#This Row],[Producto]],FIND(" · ",tblMovimientos[[#This Row],[Producto]]&amp;" · ")-1)))</f>
        <v/>
      </c>
      <c r="H3408" s="40" t="str">
        <f>IF(tblMovimientos[[#This Row],[SKU]]="","",IFERROR(INDEX(tblProductos[Unidad],MATCH(tblMovimientos[[#This Row],[SKU]],tblProductos[SKU],0)),"?"))</f>
        <v/>
      </c>
      <c r="I3408" s="39"/>
      <c r="J3408" s="47" t="str">
        <f>IF(tblMovimientos[[#This Row],[Tipo]]="","",IFERROR(INDEX(tblTiposMov[FactorStock],MATCH(tblMovimientos[[#This Row],[Tipo]],tblTiposMov[Tipo],0)),0))</f>
        <v/>
      </c>
      <c r="K34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8" s="37"/>
      <c r="O3408" s="37"/>
      <c r="P3408" s="37"/>
    </row>
    <row r="3409" spans="2:16" x14ac:dyDescent="0.25">
      <c r="B34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09" s="46"/>
      <c r="D3409" s="37"/>
      <c r="E3409" s="37"/>
      <c r="F3409" s="37"/>
      <c r="G3409" s="40" t="str">
        <f>IF(tblMovimientos[[#This Row],[Producto]]="","",TRIM(LEFT(tblMovimientos[[#This Row],[Producto]],FIND(" · ",tblMovimientos[[#This Row],[Producto]]&amp;" · ")-1)))</f>
        <v/>
      </c>
      <c r="H3409" s="40" t="str">
        <f>IF(tblMovimientos[[#This Row],[SKU]]="","",IFERROR(INDEX(tblProductos[Unidad],MATCH(tblMovimientos[[#This Row],[SKU]],tblProductos[SKU],0)),"?"))</f>
        <v/>
      </c>
      <c r="I3409" s="39"/>
      <c r="J3409" s="47" t="str">
        <f>IF(tblMovimientos[[#This Row],[Tipo]]="","",IFERROR(INDEX(tblTiposMov[FactorStock],MATCH(tblMovimientos[[#This Row],[Tipo]],tblTiposMov[Tipo],0)),0))</f>
        <v/>
      </c>
      <c r="K34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09" s="37"/>
      <c r="O3409" s="37"/>
      <c r="P3409" s="37"/>
    </row>
    <row r="3410" spans="2:16" x14ac:dyDescent="0.25">
      <c r="B34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0" s="46"/>
      <c r="D3410" s="37"/>
      <c r="E3410" s="37"/>
      <c r="F3410" s="37"/>
      <c r="G3410" s="40" t="str">
        <f>IF(tblMovimientos[[#This Row],[Producto]]="","",TRIM(LEFT(tblMovimientos[[#This Row],[Producto]],FIND(" · ",tblMovimientos[[#This Row],[Producto]]&amp;" · ")-1)))</f>
        <v/>
      </c>
      <c r="H3410" s="40" t="str">
        <f>IF(tblMovimientos[[#This Row],[SKU]]="","",IFERROR(INDEX(tblProductos[Unidad],MATCH(tblMovimientos[[#This Row],[SKU]],tblProductos[SKU],0)),"?"))</f>
        <v/>
      </c>
      <c r="I3410" s="39"/>
      <c r="J3410" s="47" t="str">
        <f>IF(tblMovimientos[[#This Row],[Tipo]]="","",IFERROR(INDEX(tblTiposMov[FactorStock],MATCH(tblMovimientos[[#This Row],[Tipo]],tblTiposMov[Tipo],0)),0))</f>
        <v/>
      </c>
      <c r="K34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0" s="37"/>
      <c r="O3410" s="37"/>
      <c r="P3410" s="37"/>
    </row>
    <row r="3411" spans="2:16" x14ac:dyDescent="0.25">
      <c r="B34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1" s="46"/>
      <c r="D3411" s="37"/>
      <c r="E3411" s="37"/>
      <c r="F3411" s="37"/>
      <c r="G3411" s="40" t="str">
        <f>IF(tblMovimientos[[#This Row],[Producto]]="","",TRIM(LEFT(tblMovimientos[[#This Row],[Producto]],FIND(" · ",tblMovimientos[[#This Row],[Producto]]&amp;" · ")-1)))</f>
        <v/>
      </c>
      <c r="H3411" s="40" t="str">
        <f>IF(tblMovimientos[[#This Row],[SKU]]="","",IFERROR(INDEX(tblProductos[Unidad],MATCH(tblMovimientos[[#This Row],[SKU]],tblProductos[SKU],0)),"?"))</f>
        <v/>
      </c>
      <c r="I3411" s="39"/>
      <c r="J3411" s="47" t="str">
        <f>IF(tblMovimientos[[#This Row],[Tipo]]="","",IFERROR(INDEX(tblTiposMov[FactorStock],MATCH(tblMovimientos[[#This Row],[Tipo]],tblTiposMov[Tipo],0)),0))</f>
        <v/>
      </c>
      <c r="K34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1" s="37"/>
      <c r="O3411" s="37"/>
      <c r="P3411" s="37"/>
    </row>
    <row r="3412" spans="2:16" x14ac:dyDescent="0.25">
      <c r="B34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2" s="46"/>
      <c r="D3412" s="37"/>
      <c r="E3412" s="37"/>
      <c r="F3412" s="37"/>
      <c r="G3412" s="40" t="str">
        <f>IF(tblMovimientos[[#This Row],[Producto]]="","",TRIM(LEFT(tblMovimientos[[#This Row],[Producto]],FIND(" · ",tblMovimientos[[#This Row],[Producto]]&amp;" · ")-1)))</f>
        <v/>
      </c>
      <c r="H3412" s="40" t="str">
        <f>IF(tblMovimientos[[#This Row],[SKU]]="","",IFERROR(INDEX(tblProductos[Unidad],MATCH(tblMovimientos[[#This Row],[SKU]],tblProductos[SKU],0)),"?"))</f>
        <v/>
      </c>
      <c r="I3412" s="39"/>
      <c r="J3412" s="47" t="str">
        <f>IF(tblMovimientos[[#This Row],[Tipo]]="","",IFERROR(INDEX(tblTiposMov[FactorStock],MATCH(tblMovimientos[[#This Row],[Tipo]],tblTiposMov[Tipo],0)),0))</f>
        <v/>
      </c>
      <c r="K34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2" s="37"/>
      <c r="O3412" s="37"/>
      <c r="P3412" s="37"/>
    </row>
    <row r="3413" spans="2:16" x14ac:dyDescent="0.25">
      <c r="B34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3" s="46"/>
      <c r="D3413" s="37"/>
      <c r="E3413" s="37"/>
      <c r="F3413" s="37"/>
      <c r="G3413" s="40" t="str">
        <f>IF(tblMovimientos[[#This Row],[Producto]]="","",TRIM(LEFT(tblMovimientos[[#This Row],[Producto]],FIND(" · ",tblMovimientos[[#This Row],[Producto]]&amp;" · ")-1)))</f>
        <v/>
      </c>
      <c r="H3413" s="40" t="str">
        <f>IF(tblMovimientos[[#This Row],[SKU]]="","",IFERROR(INDEX(tblProductos[Unidad],MATCH(tblMovimientos[[#This Row],[SKU]],tblProductos[SKU],0)),"?"))</f>
        <v/>
      </c>
      <c r="I3413" s="39"/>
      <c r="J3413" s="47" t="str">
        <f>IF(tblMovimientos[[#This Row],[Tipo]]="","",IFERROR(INDEX(tblTiposMov[FactorStock],MATCH(tblMovimientos[[#This Row],[Tipo]],tblTiposMov[Tipo],0)),0))</f>
        <v/>
      </c>
      <c r="K34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3" s="37"/>
      <c r="O3413" s="37"/>
      <c r="P3413" s="37"/>
    </row>
    <row r="3414" spans="2:16" x14ac:dyDescent="0.25">
      <c r="B34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4" s="46"/>
      <c r="D3414" s="37"/>
      <c r="E3414" s="37"/>
      <c r="F3414" s="37"/>
      <c r="G3414" s="40" t="str">
        <f>IF(tblMovimientos[[#This Row],[Producto]]="","",TRIM(LEFT(tblMovimientos[[#This Row],[Producto]],FIND(" · ",tblMovimientos[[#This Row],[Producto]]&amp;" · ")-1)))</f>
        <v/>
      </c>
      <c r="H3414" s="40" t="str">
        <f>IF(tblMovimientos[[#This Row],[SKU]]="","",IFERROR(INDEX(tblProductos[Unidad],MATCH(tblMovimientos[[#This Row],[SKU]],tblProductos[SKU],0)),"?"))</f>
        <v/>
      </c>
      <c r="I3414" s="39"/>
      <c r="J3414" s="47" t="str">
        <f>IF(tblMovimientos[[#This Row],[Tipo]]="","",IFERROR(INDEX(tblTiposMov[FactorStock],MATCH(tblMovimientos[[#This Row],[Tipo]],tblTiposMov[Tipo],0)),0))</f>
        <v/>
      </c>
      <c r="K34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4" s="37"/>
      <c r="O3414" s="37"/>
      <c r="P3414" s="37"/>
    </row>
    <row r="3415" spans="2:16" x14ac:dyDescent="0.25">
      <c r="B34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5" s="46"/>
      <c r="D3415" s="37"/>
      <c r="E3415" s="37"/>
      <c r="F3415" s="37"/>
      <c r="G3415" s="40" t="str">
        <f>IF(tblMovimientos[[#This Row],[Producto]]="","",TRIM(LEFT(tblMovimientos[[#This Row],[Producto]],FIND(" · ",tblMovimientos[[#This Row],[Producto]]&amp;" · ")-1)))</f>
        <v/>
      </c>
      <c r="H3415" s="40" t="str">
        <f>IF(tblMovimientos[[#This Row],[SKU]]="","",IFERROR(INDEX(tblProductos[Unidad],MATCH(tblMovimientos[[#This Row],[SKU]],tblProductos[SKU],0)),"?"))</f>
        <v/>
      </c>
      <c r="I3415" s="39"/>
      <c r="J3415" s="47" t="str">
        <f>IF(tblMovimientos[[#This Row],[Tipo]]="","",IFERROR(INDEX(tblTiposMov[FactorStock],MATCH(tblMovimientos[[#This Row],[Tipo]],tblTiposMov[Tipo],0)),0))</f>
        <v/>
      </c>
      <c r="K34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5" s="37"/>
      <c r="O3415" s="37"/>
      <c r="P3415" s="37"/>
    </row>
    <row r="3416" spans="2:16" x14ac:dyDescent="0.25">
      <c r="B34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6" s="46"/>
      <c r="D3416" s="37"/>
      <c r="E3416" s="37"/>
      <c r="F3416" s="37"/>
      <c r="G3416" s="40" t="str">
        <f>IF(tblMovimientos[[#This Row],[Producto]]="","",TRIM(LEFT(tblMovimientos[[#This Row],[Producto]],FIND(" · ",tblMovimientos[[#This Row],[Producto]]&amp;" · ")-1)))</f>
        <v/>
      </c>
      <c r="H3416" s="40" t="str">
        <f>IF(tblMovimientos[[#This Row],[SKU]]="","",IFERROR(INDEX(tblProductos[Unidad],MATCH(tblMovimientos[[#This Row],[SKU]],tblProductos[SKU],0)),"?"))</f>
        <v/>
      </c>
      <c r="I3416" s="39"/>
      <c r="J3416" s="47" t="str">
        <f>IF(tblMovimientos[[#This Row],[Tipo]]="","",IFERROR(INDEX(tblTiposMov[FactorStock],MATCH(tblMovimientos[[#This Row],[Tipo]],tblTiposMov[Tipo],0)),0))</f>
        <v/>
      </c>
      <c r="K34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6" s="37"/>
      <c r="O3416" s="37"/>
      <c r="P3416" s="37"/>
    </row>
    <row r="3417" spans="2:16" x14ac:dyDescent="0.25">
      <c r="B34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7" s="46"/>
      <c r="D3417" s="37"/>
      <c r="E3417" s="37"/>
      <c r="F3417" s="37"/>
      <c r="G3417" s="40" t="str">
        <f>IF(tblMovimientos[[#This Row],[Producto]]="","",TRIM(LEFT(tblMovimientos[[#This Row],[Producto]],FIND(" · ",tblMovimientos[[#This Row],[Producto]]&amp;" · ")-1)))</f>
        <v/>
      </c>
      <c r="H3417" s="40" t="str">
        <f>IF(tblMovimientos[[#This Row],[SKU]]="","",IFERROR(INDEX(tblProductos[Unidad],MATCH(tblMovimientos[[#This Row],[SKU]],tblProductos[SKU],0)),"?"))</f>
        <v/>
      </c>
      <c r="I3417" s="39"/>
      <c r="J3417" s="47" t="str">
        <f>IF(tblMovimientos[[#This Row],[Tipo]]="","",IFERROR(INDEX(tblTiposMov[FactorStock],MATCH(tblMovimientos[[#This Row],[Tipo]],tblTiposMov[Tipo],0)),0))</f>
        <v/>
      </c>
      <c r="K34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7" s="37"/>
      <c r="O3417" s="37"/>
      <c r="P3417" s="37"/>
    </row>
    <row r="3418" spans="2:16" x14ac:dyDescent="0.25">
      <c r="B34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8" s="46"/>
      <c r="D3418" s="37"/>
      <c r="E3418" s="37"/>
      <c r="F3418" s="37"/>
      <c r="G3418" s="40" t="str">
        <f>IF(tblMovimientos[[#This Row],[Producto]]="","",TRIM(LEFT(tblMovimientos[[#This Row],[Producto]],FIND(" · ",tblMovimientos[[#This Row],[Producto]]&amp;" · ")-1)))</f>
        <v/>
      </c>
      <c r="H3418" s="40" t="str">
        <f>IF(tblMovimientos[[#This Row],[SKU]]="","",IFERROR(INDEX(tblProductos[Unidad],MATCH(tblMovimientos[[#This Row],[SKU]],tblProductos[SKU],0)),"?"))</f>
        <v/>
      </c>
      <c r="I3418" s="39"/>
      <c r="J3418" s="47" t="str">
        <f>IF(tblMovimientos[[#This Row],[Tipo]]="","",IFERROR(INDEX(tblTiposMov[FactorStock],MATCH(tblMovimientos[[#This Row],[Tipo]],tblTiposMov[Tipo],0)),0))</f>
        <v/>
      </c>
      <c r="K34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8" s="37"/>
      <c r="O3418" s="37"/>
      <c r="P3418" s="37"/>
    </row>
    <row r="3419" spans="2:16" x14ac:dyDescent="0.25">
      <c r="B34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19" s="46"/>
      <c r="D3419" s="37"/>
      <c r="E3419" s="37"/>
      <c r="F3419" s="37"/>
      <c r="G3419" s="40" t="str">
        <f>IF(tblMovimientos[[#This Row],[Producto]]="","",TRIM(LEFT(tblMovimientos[[#This Row],[Producto]],FIND(" · ",tblMovimientos[[#This Row],[Producto]]&amp;" · ")-1)))</f>
        <v/>
      </c>
      <c r="H3419" s="40" t="str">
        <f>IF(tblMovimientos[[#This Row],[SKU]]="","",IFERROR(INDEX(tblProductos[Unidad],MATCH(tblMovimientos[[#This Row],[SKU]],tblProductos[SKU],0)),"?"))</f>
        <v/>
      </c>
      <c r="I3419" s="39"/>
      <c r="J3419" s="47" t="str">
        <f>IF(tblMovimientos[[#This Row],[Tipo]]="","",IFERROR(INDEX(tblTiposMov[FactorStock],MATCH(tblMovimientos[[#This Row],[Tipo]],tblTiposMov[Tipo],0)),0))</f>
        <v/>
      </c>
      <c r="K34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19" s="37"/>
      <c r="O3419" s="37"/>
      <c r="P3419" s="37"/>
    </row>
    <row r="3420" spans="2:16" x14ac:dyDescent="0.25">
      <c r="B34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0" s="46"/>
      <c r="D3420" s="37"/>
      <c r="E3420" s="37"/>
      <c r="F3420" s="37"/>
      <c r="G3420" s="40" t="str">
        <f>IF(tblMovimientos[[#This Row],[Producto]]="","",TRIM(LEFT(tblMovimientos[[#This Row],[Producto]],FIND(" · ",tblMovimientos[[#This Row],[Producto]]&amp;" · ")-1)))</f>
        <v/>
      </c>
      <c r="H3420" s="40" t="str">
        <f>IF(tblMovimientos[[#This Row],[SKU]]="","",IFERROR(INDEX(tblProductos[Unidad],MATCH(tblMovimientos[[#This Row],[SKU]],tblProductos[SKU],0)),"?"))</f>
        <v/>
      </c>
      <c r="I3420" s="39"/>
      <c r="J3420" s="47" t="str">
        <f>IF(tblMovimientos[[#This Row],[Tipo]]="","",IFERROR(INDEX(tblTiposMov[FactorStock],MATCH(tblMovimientos[[#This Row],[Tipo]],tblTiposMov[Tipo],0)),0))</f>
        <v/>
      </c>
      <c r="K34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0" s="37"/>
      <c r="O3420" s="37"/>
      <c r="P3420" s="37"/>
    </row>
    <row r="3421" spans="2:16" x14ac:dyDescent="0.25">
      <c r="B34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1" s="46"/>
      <c r="D3421" s="37"/>
      <c r="E3421" s="37"/>
      <c r="F3421" s="37"/>
      <c r="G3421" s="40" t="str">
        <f>IF(tblMovimientos[[#This Row],[Producto]]="","",TRIM(LEFT(tblMovimientos[[#This Row],[Producto]],FIND(" · ",tblMovimientos[[#This Row],[Producto]]&amp;" · ")-1)))</f>
        <v/>
      </c>
      <c r="H3421" s="40" t="str">
        <f>IF(tblMovimientos[[#This Row],[SKU]]="","",IFERROR(INDEX(tblProductos[Unidad],MATCH(tblMovimientos[[#This Row],[SKU]],tblProductos[SKU],0)),"?"))</f>
        <v/>
      </c>
      <c r="I3421" s="39"/>
      <c r="J3421" s="47" t="str">
        <f>IF(tblMovimientos[[#This Row],[Tipo]]="","",IFERROR(INDEX(tblTiposMov[FactorStock],MATCH(tblMovimientos[[#This Row],[Tipo]],tblTiposMov[Tipo],0)),0))</f>
        <v/>
      </c>
      <c r="K34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1" s="37"/>
      <c r="O3421" s="37"/>
      <c r="P3421" s="37"/>
    </row>
    <row r="3422" spans="2:16" x14ac:dyDescent="0.25">
      <c r="B34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2" s="46"/>
      <c r="D3422" s="37"/>
      <c r="E3422" s="37"/>
      <c r="F3422" s="37"/>
      <c r="G3422" s="40" t="str">
        <f>IF(tblMovimientos[[#This Row],[Producto]]="","",TRIM(LEFT(tblMovimientos[[#This Row],[Producto]],FIND(" · ",tblMovimientos[[#This Row],[Producto]]&amp;" · ")-1)))</f>
        <v/>
      </c>
      <c r="H3422" s="40" t="str">
        <f>IF(tblMovimientos[[#This Row],[SKU]]="","",IFERROR(INDEX(tblProductos[Unidad],MATCH(tblMovimientos[[#This Row],[SKU]],tblProductos[SKU],0)),"?"))</f>
        <v/>
      </c>
      <c r="I3422" s="39"/>
      <c r="J3422" s="47" t="str">
        <f>IF(tblMovimientos[[#This Row],[Tipo]]="","",IFERROR(INDEX(tblTiposMov[FactorStock],MATCH(tblMovimientos[[#This Row],[Tipo]],tblTiposMov[Tipo],0)),0))</f>
        <v/>
      </c>
      <c r="K34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2" s="37"/>
      <c r="O3422" s="37"/>
      <c r="P3422" s="37"/>
    </row>
    <row r="3423" spans="2:16" x14ac:dyDescent="0.25">
      <c r="B34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3" s="46"/>
      <c r="D3423" s="37"/>
      <c r="E3423" s="37"/>
      <c r="F3423" s="37"/>
      <c r="G3423" s="40" t="str">
        <f>IF(tblMovimientos[[#This Row],[Producto]]="","",TRIM(LEFT(tblMovimientos[[#This Row],[Producto]],FIND(" · ",tblMovimientos[[#This Row],[Producto]]&amp;" · ")-1)))</f>
        <v/>
      </c>
      <c r="H3423" s="40" t="str">
        <f>IF(tblMovimientos[[#This Row],[SKU]]="","",IFERROR(INDEX(tblProductos[Unidad],MATCH(tblMovimientos[[#This Row],[SKU]],tblProductos[SKU],0)),"?"))</f>
        <v/>
      </c>
      <c r="I3423" s="39"/>
      <c r="J3423" s="47" t="str">
        <f>IF(tblMovimientos[[#This Row],[Tipo]]="","",IFERROR(INDEX(tblTiposMov[FactorStock],MATCH(tblMovimientos[[#This Row],[Tipo]],tblTiposMov[Tipo],0)),0))</f>
        <v/>
      </c>
      <c r="K34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3" s="37"/>
      <c r="O3423" s="37"/>
      <c r="P3423" s="37"/>
    </row>
    <row r="3424" spans="2:16" x14ac:dyDescent="0.25">
      <c r="B34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4" s="46"/>
      <c r="D3424" s="37"/>
      <c r="E3424" s="37"/>
      <c r="F3424" s="37"/>
      <c r="G3424" s="40" t="str">
        <f>IF(tblMovimientos[[#This Row],[Producto]]="","",TRIM(LEFT(tblMovimientos[[#This Row],[Producto]],FIND(" · ",tblMovimientos[[#This Row],[Producto]]&amp;" · ")-1)))</f>
        <v/>
      </c>
      <c r="H3424" s="40" t="str">
        <f>IF(tblMovimientos[[#This Row],[SKU]]="","",IFERROR(INDEX(tblProductos[Unidad],MATCH(tblMovimientos[[#This Row],[SKU]],tblProductos[SKU],0)),"?"))</f>
        <v/>
      </c>
      <c r="I3424" s="39"/>
      <c r="J3424" s="47" t="str">
        <f>IF(tblMovimientos[[#This Row],[Tipo]]="","",IFERROR(INDEX(tblTiposMov[FactorStock],MATCH(tblMovimientos[[#This Row],[Tipo]],tblTiposMov[Tipo],0)),0))</f>
        <v/>
      </c>
      <c r="K34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4" s="37"/>
      <c r="O3424" s="37"/>
      <c r="P3424" s="37"/>
    </row>
    <row r="3425" spans="2:16" x14ac:dyDescent="0.25">
      <c r="B34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5" s="46"/>
      <c r="D3425" s="37"/>
      <c r="E3425" s="37"/>
      <c r="F3425" s="37"/>
      <c r="G3425" s="40" t="str">
        <f>IF(tblMovimientos[[#This Row],[Producto]]="","",TRIM(LEFT(tblMovimientos[[#This Row],[Producto]],FIND(" · ",tblMovimientos[[#This Row],[Producto]]&amp;" · ")-1)))</f>
        <v/>
      </c>
      <c r="H3425" s="40" t="str">
        <f>IF(tblMovimientos[[#This Row],[SKU]]="","",IFERROR(INDEX(tblProductos[Unidad],MATCH(tblMovimientos[[#This Row],[SKU]],tblProductos[SKU],0)),"?"))</f>
        <v/>
      </c>
      <c r="I3425" s="39"/>
      <c r="J3425" s="47" t="str">
        <f>IF(tblMovimientos[[#This Row],[Tipo]]="","",IFERROR(INDEX(tblTiposMov[FactorStock],MATCH(tblMovimientos[[#This Row],[Tipo]],tblTiposMov[Tipo],0)),0))</f>
        <v/>
      </c>
      <c r="K34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5" s="37"/>
      <c r="O3425" s="37"/>
      <c r="P3425" s="37"/>
    </row>
    <row r="3426" spans="2:16" x14ac:dyDescent="0.25">
      <c r="B34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6" s="46"/>
      <c r="D3426" s="37"/>
      <c r="E3426" s="37"/>
      <c r="F3426" s="37"/>
      <c r="G3426" s="40" t="str">
        <f>IF(tblMovimientos[[#This Row],[Producto]]="","",TRIM(LEFT(tblMovimientos[[#This Row],[Producto]],FIND(" · ",tblMovimientos[[#This Row],[Producto]]&amp;" · ")-1)))</f>
        <v/>
      </c>
      <c r="H3426" s="40" t="str">
        <f>IF(tblMovimientos[[#This Row],[SKU]]="","",IFERROR(INDEX(tblProductos[Unidad],MATCH(tblMovimientos[[#This Row],[SKU]],tblProductos[SKU],0)),"?"))</f>
        <v/>
      </c>
      <c r="I3426" s="39"/>
      <c r="J3426" s="47" t="str">
        <f>IF(tblMovimientos[[#This Row],[Tipo]]="","",IFERROR(INDEX(tblTiposMov[FactorStock],MATCH(tblMovimientos[[#This Row],[Tipo]],tblTiposMov[Tipo],0)),0))</f>
        <v/>
      </c>
      <c r="K34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6" s="37"/>
      <c r="O3426" s="37"/>
      <c r="P3426" s="37"/>
    </row>
    <row r="3427" spans="2:16" x14ac:dyDescent="0.25">
      <c r="B34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7" s="46"/>
      <c r="D3427" s="37"/>
      <c r="E3427" s="37"/>
      <c r="F3427" s="37"/>
      <c r="G3427" s="40" t="str">
        <f>IF(tblMovimientos[[#This Row],[Producto]]="","",TRIM(LEFT(tblMovimientos[[#This Row],[Producto]],FIND(" · ",tblMovimientos[[#This Row],[Producto]]&amp;" · ")-1)))</f>
        <v/>
      </c>
      <c r="H3427" s="40" t="str">
        <f>IF(tblMovimientos[[#This Row],[SKU]]="","",IFERROR(INDEX(tblProductos[Unidad],MATCH(tblMovimientos[[#This Row],[SKU]],tblProductos[SKU],0)),"?"))</f>
        <v/>
      </c>
      <c r="I3427" s="39"/>
      <c r="J3427" s="47" t="str">
        <f>IF(tblMovimientos[[#This Row],[Tipo]]="","",IFERROR(INDEX(tblTiposMov[FactorStock],MATCH(tblMovimientos[[#This Row],[Tipo]],tblTiposMov[Tipo],0)),0))</f>
        <v/>
      </c>
      <c r="K34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7" s="37"/>
      <c r="O3427" s="37"/>
      <c r="P3427" s="37"/>
    </row>
    <row r="3428" spans="2:16" x14ac:dyDescent="0.25">
      <c r="B34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8" s="46"/>
      <c r="D3428" s="37"/>
      <c r="E3428" s="37"/>
      <c r="F3428" s="37"/>
      <c r="G3428" s="40" t="str">
        <f>IF(tblMovimientos[[#This Row],[Producto]]="","",TRIM(LEFT(tblMovimientos[[#This Row],[Producto]],FIND(" · ",tblMovimientos[[#This Row],[Producto]]&amp;" · ")-1)))</f>
        <v/>
      </c>
      <c r="H3428" s="40" t="str">
        <f>IF(tblMovimientos[[#This Row],[SKU]]="","",IFERROR(INDEX(tblProductos[Unidad],MATCH(tblMovimientos[[#This Row],[SKU]],tblProductos[SKU],0)),"?"))</f>
        <v/>
      </c>
      <c r="I3428" s="39"/>
      <c r="J3428" s="47" t="str">
        <f>IF(tblMovimientos[[#This Row],[Tipo]]="","",IFERROR(INDEX(tblTiposMov[FactorStock],MATCH(tblMovimientos[[#This Row],[Tipo]],tblTiposMov[Tipo],0)),0))</f>
        <v/>
      </c>
      <c r="K34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8" s="37"/>
      <c r="O3428" s="37"/>
      <c r="P3428" s="37"/>
    </row>
    <row r="3429" spans="2:16" x14ac:dyDescent="0.25">
      <c r="B34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29" s="46"/>
      <c r="D3429" s="37"/>
      <c r="E3429" s="37"/>
      <c r="F3429" s="37"/>
      <c r="G3429" s="40" t="str">
        <f>IF(tblMovimientos[[#This Row],[Producto]]="","",TRIM(LEFT(tblMovimientos[[#This Row],[Producto]],FIND(" · ",tblMovimientos[[#This Row],[Producto]]&amp;" · ")-1)))</f>
        <v/>
      </c>
      <c r="H3429" s="40" t="str">
        <f>IF(tblMovimientos[[#This Row],[SKU]]="","",IFERROR(INDEX(tblProductos[Unidad],MATCH(tblMovimientos[[#This Row],[SKU]],tblProductos[SKU],0)),"?"))</f>
        <v/>
      </c>
      <c r="I3429" s="39"/>
      <c r="J3429" s="47" t="str">
        <f>IF(tblMovimientos[[#This Row],[Tipo]]="","",IFERROR(INDEX(tblTiposMov[FactorStock],MATCH(tblMovimientos[[#This Row],[Tipo]],tblTiposMov[Tipo],0)),0))</f>
        <v/>
      </c>
      <c r="K34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29" s="37"/>
      <c r="O3429" s="37"/>
      <c r="P3429" s="37"/>
    </row>
    <row r="3430" spans="2:16" x14ac:dyDescent="0.25">
      <c r="B34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0" s="46"/>
      <c r="D3430" s="37"/>
      <c r="E3430" s="37"/>
      <c r="F3430" s="37"/>
      <c r="G3430" s="40" t="str">
        <f>IF(tblMovimientos[[#This Row],[Producto]]="","",TRIM(LEFT(tblMovimientos[[#This Row],[Producto]],FIND(" · ",tblMovimientos[[#This Row],[Producto]]&amp;" · ")-1)))</f>
        <v/>
      </c>
      <c r="H3430" s="40" t="str">
        <f>IF(tblMovimientos[[#This Row],[SKU]]="","",IFERROR(INDEX(tblProductos[Unidad],MATCH(tblMovimientos[[#This Row],[SKU]],tblProductos[SKU],0)),"?"))</f>
        <v/>
      </c>
      <c r="I3430" s="39"/>
      <c r="J3430" s="47" t="str">
        <f>IF(tblMovimientos[[#This Row],[Tipo]]="","",IFERROR(INDEX(tblTiposMov[FactorStock],MATCH(tblMovimientos[[#This Row],[Tipo]],tblTiposMov[Tipo],0)),0))</f>
        <v/>
      </c>
      <c r="K34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0" s="37"/>
      <c r="O3430" s="37"/>
      <c r="P3430" s="37"/>
    </row>
    <row r="3431" spans="2:16" x14ac:dyDescent="0.25">
      <c r="B34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1" s="46"/>
      <c r="D3431" s="37"/>
      <c r="E3431" s="37"/>
      <c r="F3431" s="37"/>
      <c r="G3431" s="40" t="str">
        <f>IF(tblMovimientos[[#This Row],[Producto]]="","",TRIM(LEFT(tblMovimientos[[#This Row],[Producto]],FIND(" · ",tblMovimientos[[#This Row],[Producto]]&amp;" · ")-1)))</f>
        <v/>
      </c>
      <c r="H3431" s="40" t="str">
        <f>IF(tblMovimientos[[#This Row],[SKU]]="","",IFERROR(INDEX(tblProductos[Unidad],MATCH(tblMovimientos[[#This Row],[SKU]],tblProductos[SKU],0)),"?"))</f>
        <v/>
      </c>
      <c r="I3431" s="39"/>
      <c r="J3431" s="47" t="str">
        <f>IF(tblMovimientos[[#This Row],[Tipo]]="","",IFERROR(INDEX(tblTiposMov[FactorStock],MATCH(tblMovimientos[[#This Row],[Tipo]],tblTiposMov[Tipo],0)),0))</f>
        <v/>
      </c>
      <c r="K34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1" s="37"/>
      <c r="O3431" s="37"/>
      <c r="P3431" s="37"/>
    </row>
    <row r="3432" spans="2:16" x14ac:dyDescent="0.25">
      <c r="B34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2" s="46"/>
      <c r="D3432" s="37"/>
      <c r="E3432" s="37"/>
      <c r="F3432" s="37"/>
      <c r="G3432" s="40" t="str">
        <f>IF(tblMovimientos[[#This Row],[Producto]]="","",TRIM(LEFT(tblMovimientos[[#This Row],[Producto]],FIND(" · ",tblMovimientos[[#This Row],[Producto]]&amp;" · ")-1)))</f>
        <v/>
      </c>
      <c r="H3432" s="40" t="str">
        <f>IF(tblMovimientos[[#This Row],[SKU]]="","",IFERROR(INDEX(tblProductos[Unidad],MATCH(tblMovimientos[[#This Row],[SKU]],tblProductos[SKU],0)),"?"))</f>
        <v/>
      </c>
      <c r="I3432" s="39"/>
      <c r="J3432" s="47" t="str">
        <f>IF(tblMovimientos[[#This Row],[Tipo]]="","",IFERROR(INDEX(tblTiposMov[FactorStock],MATCH(tblMovimientos[[#This Row],[Tipo]],tblTiposMov[Tipo],0)),0))</f>
        <v/>
      </c>
      <c r="K34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2" s="37"/>
      <c r="O3432" s="37"/>
      <c r="P3432" s="37"/>
    </row>
    <row r="3433" spans="2:16" x14ac:dyDescent="0.25">
      <c r="B34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3" s="46"/>
      <c r="D3433" s="37"/>
      <c r="E3433" s="37"/>
      <c r="F3433" s="37"/>
      <c r="G3433" s="40" t="str">
        <f>IF(tblMovimientos[[#This Row],[Producto]]="","",TRIM(LEFT(tblMovimientos[[#This Row],[Producto]],FIND(" · ",tblMovimientos[[#This Row],[Producto]]&amp;" · ")-1)))</f>
        <v/>
      </c>
      <c r="H3433" s="40" t="str">
        <f>IF(tblMovimientos[[#This Row],[SKU]]="","",IFERROR(INDEX(tblProductos[Unidad],MATCH(tblMovimientos[[#This Row],[SKU]],tblProductos[SKU],0)),"?"))</f>
        <v/>
      </c>
      <c r="I3433" s="39"/>
      <c r="J3433" s="47" t="str">
        <f>IF(tblMovimientos[[#This Row],[Tipo]]="","",IFERROR(INDEX(tblTiposMov[FactorStock],MATCH(tblMovimientos[[#This Row],[Tipo]],tblTiposMov[Tipo],0)),0))</f>
        <v/>
      </c>
      <c r="K34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3" s="37"/>
      <c r="O3433" s="37"/>
      <c r="P3433" s="37"/>
    </row>
    <row r="3434" spans="2:16" x14ac:dyDescent="0.25">
      <c r="B34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4" s="46"/>
      <c r="D3434" s="37"/>
      <c r="E3434" s="37"/>
      <c r="F3434" s="37"/>
      <c r="G3434" s="40" t="str">
        <f>IF(tblMovimientos[[#This Row],[Producto]]="","",TRIM(LEFT(tblMovimientos[[#This Row],[Producto]],FIND(" · ",tblMovimientos[[#This Row],[Producto]]&amp;" · ")-1)))</f>
        <v/>
      </c>
      <c r="H3434" s="40" t="str">
        <f>IF(tblMovimientos[[#This Row],[SKU]]="","",IFERROR(INDEX(tblProductos[Unidad],MATCH(tblMovimientos[[#This Row],[SKU]],tblProductos[SKU],0)),"?"))</f>
        <v/>
      </c>
      <c r="I3434" s="39"/>
      <c r="J3434" s="47" t="str">
        <f>IF(tblMovimientos[[#This Row],[Tipo]]="","",IFERROR(INDEX(tblTiposMov[FactorStock],MATCH(tblMovimientos[[#This Row],[Tipo]],tblTiposMov[Tipo],0)),0))</f>
        <v/>
      </c>
      <c r="K34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4" s="37"/>
      <c r="O3434" s="37"/>
      <c r="P3434" s="37"/>
    </row>
    <row r="3435" spans="2:16" x14ac:dyDescent="0.25">
      <c r="B34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5" s="46"/>
      <c r="D3435" s="37"/>
      <c r="E3435" s="37"/>
      <c r="F3435" s="37"/>
      <c r="G3435" s="40" t="str">
        <f>IF(tblMovimientos[[#This Row],[Producto]]="","",TRIM(LEFT(tblMovimientos[[#This Row],[Producto]],FIND(" · ",tblMovimientos[[#This Row],[Producto]]&amp;" · ")-1)))</f>
        <v/>
      </c>
      <c r="H3435" s="40" t="str">
        <f>IF(tblMovimientos[[#This Row],[SKU]]="","",IFERROR(INDEX(tblProductos[Unidad],MATCH(tblMovimientos[[#This Row],[SKU]],tblProductos[SKU],0)),"?"))</f>
        <v/>
      </c>
      <c r="I3435" s="39"/>
      <c r="J3435" s="47" t="str">
        <f>IF(tblMovimientos[[#This Row],[Tipo]]="","",IFERROR(INDEX(tblTiposMov[FactorStock],MATCH(tblMovimientos[[#This Row],[Tipo]],tblTiposMov[Tipo],0)),0))</f>
        <v/>
      </c>
      <c r="K34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5" s="37"/>
      <c r="O3435" s="37"/>
      <c r="P3435" s="37"/>
    </row>
    <row r="3436" spans="2:16" x14ac:dyDescent="0.25">
      <c r="B34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6" s="46"/>
      <c r="D3436" s="37"/>
      <c r="E3436" s="37"/>
      <c r="F3436" s="37"/>
      <c r="G3436" s="40" t="str">
        <f>IF(tblMovimientos[[#This Row],[Producto]]="","",TRIM(LEFT(tblMovimientos[[#This Row],[Producto]],FIND(" · ",tblMovimientos[[#This Row],[Producto]]&amp;" · ")-1)))</f>
        <v/>
      </c>
      <c r="H3436" s="40" t="str">
        <f>IF(tblMovimientos[[#This Row],[SKU]]="","",IFERROR(INDEX(tblProductos[Unidad],MATCH(tblMovimientos[[#This Row],[SKU]],tblProductos[SKU],0)),"?"))</f>
        <v/>
      </c>
      <c r="I3436" s="39"/>
      <c r="J3436" s="47" t="str">
        <f>IF(tblMovimientos[[#This Row],[Tipo]]="","",IFERROR(INDEX(tblTiposMov[FactorStock],MATCH(tblMovimientos[[#This Row],[Tipo]],tblTiposMov[Tipo],0)),0))</f>
        <v/>
      </c>
      <c r="K34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6" s="37"/>
      <c r="O3436" s="37"/>
      <c r="P3436" s="37"/>
    </row>
    <row r="3437" spans="2:16" x14ac:dyDescent="0.25">
      <c r="B34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7" s="46"/>
      <c r="D3437" s="37"/>
      <c r="E3437" s="37"/>
      <c r="F3437" s="37"/>
      <c r="G3437" s="40" t="str">
        <f>IF(tblMovimientos[[#This Row],[Producto]]="","",TRIM(LEFT(tblMovimientos[[#This Row],[Producto]],FIND(" · ",tblMovimientos[[#This Row],[Producto]]&amp;" · ")-1)))</f>
        <v/>
      </c>
      <c r="H3437" s="40" t="str">
        <f>IF(tblMovimientos[[#This Row],[SKU]]="","",IFERROR(INDEX(tblProductos[Unidad],MATCH(tblMovimientos[[#This Row],[SKU]],tblProductos[SKU],0)),"?"))</f>
        <v/>
      </c>
      <c r="I3437" s="39"/>
      <c r="J3437" s="47" t="str">
        <f>IF(tblMovimientos[[#This Row],[Tipo]]="","",IFERROR(INDEX(tblTiposMov[FactorStock],MATCH(tblMovimientos[[#This Row],[Tipo]],tblTiposMov[Tipo],0)),0))</f>
        <v/>
      </c>
      <c r="K34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7" s="37"/>
      <c r="O3437" s="37"/>
      <c r="P3437" s="37"/>
    </row>
    <row r="3438" spans="2:16" x14ac:dyDescent="0.25">
      <c r="B34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8" s="46"/>
      <c r="D3438" s="37"/>
      <c r="E3438" s="37"/>
      <c r="F3438" s="37"/>
      <c r="G3438" s="40" t="str">
        <f>IF(tblMovimientos[[#This Row],[Producto]]="","",TRIM(LEFT(tblMovimientos[[#This Row],[Producto]],FIND(" · ",tblMovimientos[[#This Row],[Producto]]&amp;" · ")-1)))</f>
        <v/>
      </c>
      <c r="H3438" s="40" t="str">
        <f>IF(tblMovimientos[[#This Row],[SKU]]="","",IFERROR(INDEX(tblProductos[Unidad],MATCH(tblMovimientos[[#This Row],[SKU]],tblProductos[SKU],0)),"?"))</f>
        <v/>
      </c>
      <c r="I3438" s="39"/>
      <c r="J3438" s="47" t="str">
        <f>IF(tblMovimientos[[#This Row],[Tipo]]="","",IFERROR(INDEX(tblTiposMov[FactorStock],MATCH(tblMovimientos[[#This Row],[Tipo]],tblTiposMov[Tipo],0)),0))</f>
        <v/>
      </c>
      <c r="K34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8" s="37"/>
      <c r="O3438" s="37"/>
      <c r="P3438" s="37"/>
    </row>
    <row r="3439" spans="2:16" x14ac:dyDescent="0.25">
      <c r="B34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39" s="46"/>
      <c r="D3439" s="37"/>
      <c r="E3439" s="37"/>
      <c r="F3439" s="37"/>
      <c r="G3439" s="40" t="str">
        <f>IF(tblMovimientos[[#This Row],[Producto]]="","",TRIM(LEFT(tblMovimientos[[#This Row],[Producto]],FIND(" · ",tblMovimientos[[#This Row],[Producto]]&amp;" · ")-1)))</f>
        <v/>
      </c>
      <c r="H3439" s="40" t="str">
        <f>IF(tblMovimientos[[#This Row],[SKU]]="","",IFERROR(INDEX(tblProductos[Unidad],MATCH(tblMovimientos[[#This Row],[SKU]],tblProductos[SKU],0)),"?"))</f>
        <v/>
      </c>
      <c r="I3439" s="39"/>
      <c r="J3439" s="47" t="str">
        <f>IF(tblMovimientos[[#This Row],[Tipo]]="","",IFERROR(INDEX(tblTiposMov[FactorStock],MATCH(tblMovimientos[[#This Row],[Tipo]],tblTiposMov[Tipo],0)),0))</f>
        <v/>
      </c>
      <c r="K34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39" s="37"/>
      <c r="O3439" s="37"/>
      <c r="P3439" s="37"/>
    </row>
    <row r="3440" spans="2:16" x14ac:dyDescent="0.25">
      <c r="B34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0" s="46"/>
      <c r="D3440" s="37"/>
      <c r="E3440" s="37"/>
      <c r="F3440" s="37"/>
      <c r="G3440" s="40" t="str">
        <f>IF(tblMovimientos[[#This Row],[Producto]]="","",TRIM(LEFT(tblMovimientos[[#This Row],[Producto]],FIND(" · ",tblMovimientos[[#This Row],[Producto]]&amp;" · ")-1)))</f>
        <v/>
      </c>
      <c r="H3440" s="40" t="str">
        <f>IF(tblMovimientos[[#This Row],[SKU]]="","",IFERROR(INDEX(tblProductos[Unidad],MATCH(tblMovimientos[[#This Row],[SKU]],tblProductos[SKU],0)),"?"))</f>
        <v/>
      </c>
      <c r="I3440" s="39"/>
      <c r="J3440" s="47" t="str">
        <f>IF(tblMovimientos[[#This Row],[Tipo]]="","",IFERROR(INDEX(tblTiposMov[FactorStock],MATCH(tblMovimientos[[#This Row],[Tipo]],tblTiposMov[Tipo],0)),0))</f>
        <v/>
      </c>
      <c r="K34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0" s="37"/>
      <c r="O3440" s="37"/>
      <c r="P3440" s="37"/>
    </row>
    <row r="3441" spans="2:16" x14ac:dyDescent="0.25">
      <c r="B34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1" s="46"/>
      <c r="D3441" s="37"/>
      <c r="E3441" s="37"/>
      <c r="F3441" s="37"/>
      <c r="G3441" s="40" t="str">
        <f>IF(tblMovimientos[[#This Row],[Producto]]="","",TRIM(LEFT(tblMovimientos[[#This Row],[Producto]],FIND(" · ",tblMovimientos[[#This Row],[Producto]]&amp;" · ")-1)))</f>
        <v/>
      </c>
      <c r="H3441" s="40" t="str">
        <f>IF(tblMovimientos[[#This Row],[SKU]]="","",IFERROR(INDEX(tblProductos[Unidad],MATCH(tblMovimientos[[#This Row],[SKU]],tblProductos[SKU],0)),"?"))</f>
        <v/>
      </c>
      <c r="I3441" s="39"/>
      <c r="J3441" s="47" t="str">
        <f>IF(tblMovimientos[[#This Row],[Tipo]]="","",IFERROR(INDEX(tblTiposMov[FactorStock],MATCH(tblMovimientos[[#This Row],[Tipo]],tblTiposMov[Tipo],0)),0))</f>
        <v/>
      </c>
      <c r="K34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1" s="37"/>
      <c r="O3441" s="37"/>
      <c r="P3441" s="37"/>
    </row>
    <row r="3442" spans="2:16" x14ac:dyDescent="0.25">
      <c r="B34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2" s="46"/>
      <c r="D3442" s="37"/>
      <c r="E3442" s="37"/>
      <c r="F3442" s="37"/>
      <c r="G3442" s="40" t="str">
        <f>IF(tblMovimientos[[#This Row],[Producto]]="","",TRIM(LEFT(tblMovimientos[[#This Row],[Producto]],FIND(" · ",tblMovimientos[[#This Row],[Producto]]&amp;" · ")-1)))</f>
        <v/>
      </c>
      <c r="H3442" s="40" t="str">
        <f>IF(tblMovimientos[[#This Row],[SKU]]="","",IFERROR(INDEX(tblProductos[Unidad],MATCH(tblMovimientos[[#This Row],[SKU]],tblProductos[SKU],0)),"?"))</f>
        <v/>
      </c>
      <c r="I3442" s="39"/>
      <c r="J3442" s="47" t="str">
        <f>IF(tblMovimientos[[#This Row],[Tipo]]="","",IFERROR(INDEX(tblTiposMov[FactorStock],MATCH(tblMovimientos[[#This Row],[Tipo]],tblTiposMov[Tipo],0)),0))</f>
        <v/>
      </c>
      <c r="K34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2" s="37"/>
      <c r="O3442" s="37"/>
      <c r="P3442" s="37"/>
    </row>
    <row r="3443" spans="2:16" x14ac:dyDescent="0.25">
      <c r="B34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3" s="46"/>
      <c r="D3443" s="37"/>
      <c r="E3443" s="37"/>
      <c r="F3443" s="37"/>
      <c r="G3443" s="40" t="str">
        <f>IF(tblMovimientos[[#This Row],[Producto]]="","",TRIM(LEFT(tblMovimientos[[#This Row],[Producto]],FIND(" · ",tblMovimientos[[#This Row],[Producto]]&amp;" · ")-1)))</f>
        <v/>
      </c>
      <c r="H3443" s="40" t="str">
        <f>IF(tblMovimientos[[#This Row],[SKU]]="","",IFERROR(INDEX(tblProductos[Unidad],MATCH(tblMovimientos[[#This Row],[SKU]],tblProductos[SKU],0)),"?"))</f>
        <v/>
      </c>
      <c r="I3443" s="39"/>
      <c r="J3443" s="47" t="str">
        <f>IF(tblMovimientos[[#This Row],[Tipo]]="","",IFERROR(INDEX(tblTiposMov[FactorStock],MATCH(tblMovimientos[[#This Row],[Tipo]],tblTiposMov[Tipo],0)),0))</f>
        <v/>
      </c>
      <c r="K34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3" s="37"/>
      <c r="O3443" s="37"/>
      <c r="P3443" s="37"/>
    </row>
    <row r="3444" spans="2:16" x14ac:dyDescent="0.25">
      <c r="B34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4" s="46"/>
      <c r="D3444" s="37"/>
      <c r="E3444" s="37"/>
      <c r="F3444" s="37"/>
      <c r="G3444" s="40" t="str">
        <f>IF(tblMovimientos[[#This Row],[Producto]]="","",TRIM(LEFT(tblMovimientos[[#This Row],[Producto]],FIND(" · ",tblMovimientos[[#This Row],[Producto]]&amp;" · ")-1)))</f>
        <v/>
      </c>
      <c r="H3444" s="40" t="str">
        <f>IF(tblMovimientos[[#This Row],[SKU]]="","",IFERROR(INDEX(tblProductos[Unidad],MATCH(tblMovimientos[[#This Row],[SKU]],tblProductos[SKU],0)),"?"))</f>
        <v/>
      </c>
      <c r="I3444" s="39"/>
      <c r="J3444" s="47" t="str">
        <f>IF(tblMovimientos[[#This Row],[Tipo]]="","",IFERROR(INDEX(tblTiposMov[FactorStock],MATCH(tblMovimientos[[#This Row],[Tipo]],tblTiposMov[Tipo],0)),0))</f>
        <v/>
      </c>
      <c r="K34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4" s="37"/>
      <c r="O3444" s="37"/>
      <c r="P3444" s="37"/>
    </row>
    <row r="3445" spans="2:16" x14ac:dyDescent="0.25">
      <c r="B34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5" s="46"/>
      <c r="D3445" s="37"/>
      <c r="E3445" s="37"/>
      <c r="F3445" s="37"/>
      <c r="G3445" s="40" t="str">
        <f>IF(tblMovimientos[[#This Row],[Producto]]="","",TRIM(LEFT(tblMovimientos[[#This Row],[Producto]],FIND(" · ",tblMovimientos[[#This Row],[Producto]]&amp;" · ")-1)))</f>
        <v/>
      </c>
      <c r="H3445" s="40" t="str">
        <f>IF(tblMovimientos[[#This Row],[SKU]]="","",IFERROR(INDEX(tblProductos[Unidad],MATCH(tblMovimientos[[#This Row],[SKU]],tblProductos[SKU],0)),"?"))</f>
        <v/>
      </c>
      <c r="I3445" s="39"/>
      <c r="J3445" s="47" t="str">
        <f>IF(tblMovimientos[[#This Row],[Tipo]]="","",IFERROR(INDEX(tblTiposMov[FactorStock],MATCH(tblMovimientos[[#This Row],[Tipo]],tblTiposMov[Tipo],0)),0))</f>
        <v/>
      </c>
      <c r="K34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5" s="37"/>
      <c r="O3445" s="37"/>
      <c r="P3445" s="37"/>
    </row>
    <row r="3446" spans="2:16" x14ac:dyDescent="0.25">
      <c r="B34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6" s="46"/>
      <c r="D3446" s="37"/>
      <c r="E3446" s="37"/>
      <c r="F3446" s="37"/>
      <c r="G3446" s="40" t="str">
        <f>IF(tblMovimientos[[#This Row],[Producto]]="","",TRIM(LEFT(tblMovimientos[[#This Row],[Producto]],FIND(" · ",tblMovimientos[[#This Row],[Producto]]&amp;" · ")-1)))</f>
        <v/>
      </c>
      <c r="H3446" s="40" t="str">
        <f>IF(tblMovimientos[[#This Row],[SKU]]="","",IFERROR(INDEX(tblProductos[Unidad],MATCH(tblMovimientos[[#This Row],[SKU]],tblProductos[SKU],0)),"?"))</f>
        <v/>
      </c>
      <c r="I3446" s="39"/>
      <c r="J3446" s="47" t="str">
        <f>IF(tblMovimientos[[#This Row],[Tipo]]="","",IFERROR(INDEX(tblTiposMov[FactorStock],MATCH(tblMovimientos[[#This Row],[Tipo]],tblTiposMov[Tipo],0)),0))</f>
        <v/>
      </c>
      <c r="K34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6" s="37"/>
      <c r="O3446" s="37"/>
      <c r="P3446" s="37"/>
    </row>
    <row r="3447" spans="2:16" x14ac:dyDescent="0.25">
      <c r="B34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7" s="46"/>
      <c r="D3447" s="37"/>
      <c r="E3447" s="37"/>
      <c r="F3447" s="37"/>
      <c r="G3447" s="40" t="str">
        <f>IF(tblMovimientos[[#This Row],[Producto]]="","",TRIM(LEFT(tblMovimientos[[#This Row],[Producto]],FIND(" · ",tblMovimientos[[#This Row],[Producto]]&amp;" · ")-1)))</f>
        <v/>
      </c>
      <c r="H3447" s="40" t="str">
        <f>IF(tblMovimientos[[#This Row],[SKU]]="","",IFERROR(INDEX(tblProductos[Unidad],MATCH(tblMovimientos[[#This Row],[SKU]],tblProductos[SKU],0)),"?"))</f>
        <v/>
      </c>
      <c r="I3447" s="39"/>
      <c r="J3447" s="47" t="str">
        <f>IF(tblMovimientos[[#This Row],[Tipo]]="","",IFERROR(INDEX(tblTiposMov[FactorStock],MATCH(tblMovimientos[[#This Row],[Tipo]],tblTiposMov[Tipo],0)),0))</f>
        <v/>
      </c>
      <c r="K34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7" s="37"/>
      <c r="O3447" s="37"/>
      <c r="P3447" s="37"/>
    </row>
    <row r="3448" spans="2:16" x14ac:dyDescent="0.25">
      <c r="B34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8" s="46"/>
      <c r="D3448" s="37"/>
      <c r="E3448" s="37"/>
      <c r="F3448" s="37"/>
      <c r="G3448" s="40" t="str">
        <f>IF(tblMovimientos[[#This Row],[Producto]]="","",TRIM(LEFT(tblMovimientos[[#This Row],[Producto]],FIND(" · ",tblMovimientos[[#This Row],[Producto]]&amp;" · ")-1)))</f>
        <v/>
      </c>
      <c r="H3448" s="40" t="str">
        <f>IF(tblMovimientos[[#This Row],[SKU]]="","",IFERROR(INDEX(tblProductos[Unidad],MATCH(tblMovimientos[[#This Row],[SKU]],tblProductos[SKU],0)),"?"))</f>
        <v/>
      </c>
      <c r="I3448" s="39"/>
      <c r="J3448" s="47" t="str">
        <f>IF(tblMovimientos[[#This Row],[Tipo]]="","",IFERROR(INDEX(tblTiposMov[FactorStock],MATCH(tblMovimientos[[#This Row],[Tipo]],tblTiposMov[Tipo],0)),0))</f>
        <v/>
      </c>
      <c r="K34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8" s="37"/>
      <c r="O3448" s="37"/>
      <c r="P3448" s="37"/>
    </row>
    <row r="3449" spans="2:16" x14ac:dyDescent="0.25">
      <c r="B34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49" s="46"/>
      <c r="D3449" s="37"/>
      <c r="E3449" s="37"/>
      <c r="F3449" s="37"/>
      <c r="G3449" s="40" t="str">
        <f>IF(tblMovimientos[[#This Row],[Producto]]="","",TRIM(LEFT(tblMovimientos[[#This Row],[Producto]],FIND(" · ",tblMovimientos[[#This Row],[Producto]]&amp;" · ")-1)))</f>
        <v/>
      </c>
      <c r="H3449" s="40" t="str">
        <f>IF(tblMovimientos[[#This Row],[SKU]]="","",IFERROR(INDEX(tblProductos[Unidad],MATCH(tblMovimientos[[#This Row],[SKU]],tblProductos[SKU],0)),"?"))</f>
        <v/>
      </c>
      <c r="I3449" s="39"/>
      <c r="J3449" s="47" t="str">
        <f>IF(tblMovimientos[[#This Row],[Tipo]]="","",IFERROR(INDEX(tblTiposMov[FactorStock],MATCH(tblMovimientos[[#This Row],[Tipo]],tblTiposMov[Tipo],0)),0))</f>
        <v/>
      </c>
      <c r="K34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49" s="37"/>
      <c r="O3449" s="37"/>
      <c r="P3449" s="37"/>
    </row>
    <row r="3450" spans="2:16" x14ac:dyDescent="0.25">
      <c r="B34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0" s="46"/>
      <c r="D3450" s="37"/>
      <c r="E3450" s="37"/>
      <c r="F3450" s="37"/>
      <c r="G3450" s="40" t="str">
        <f>IF(tblMovimientos[[#This Row],[Producto]]="","",TRIM(LEFT(tblMovimientos[[#This Row],[Producto]],FIND(" · ",tblMovimientos[[#This Row],[Producto]]&amp;" · ")-1)))</f>
        <v/>
      </c>
      <c r="H3450" s="40" t="str">
        <f>IF(tblMovimientos[[#This Row],[SKU]]="","",IFERROR(INDEX(tblProductos[Unidad],MATCH(tblMovimientos[[#This Row],[SKU]],tblProductos[SKU],0)),"?"))</f>
        <v/>
      </c>
      <c r="I3450" s="39"/>
      <c r="J3450" s="47" t="str">
        <f>IF(tblMovimientos[[#This Row],[Tipo]]="","",IFERROR(INDEX(tblTiposMov[FactorStock],MATCH(tblMovimientos[[#This Row],[Tipo]],tblTiposMov[Tipo],0)),0))</f>
        <v/>
      </c>
      <c r="K34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0" s="37"/>
      <c r="O3450" s="37"/>
      <c r="P3450" s="37"/>
    </row>
    <row r="3451" spans="2:16" x14ac:dyDescent="0.25">
      <c r="B34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1" s="46"/>
      <c r="D3451" s="37"/>
      <c r="E3451" s="37"/>
      <c r="F3451" s="37"/>
      <c r="G3451" s="40" t="str">
        <f>IF(tblMovimientos[[#This Row],[Producto]]="","",TRIM(LEFT(tblMovimientos[[#This Row],[Producto]],FIND(" · ",tblMovimientos[[#This Row],[Producto]]&amp;" · ")-1)))</f>
        <v/>
      </c>
      <c r="H3451" s="40" t="str">
        <f>IF(tblMovimientos[[#This Row],[SKU]]="","",IFERROR(INDEX(tblProductos[Unidad],MATCH(tblMovimientos[[#This Row],[SKU]],tblProductos[SKU],0)),"?"))</f>
        <v/>
      </c>
      <c r="I3451" s="39"/>
      <c r="J3451" s="47" t="str">
        <f>IF(tblMovimientos[[#This Row],[Tipo]]="","",IFERROR(INDEX(tblTiposMov[FactorStock],MATCH(tblMovimientos[[#This Row],[Tipo]],tblTiposMov[Tipo],0)),0))</f>
        <v/>
      </c>
      <c r="K34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1" s="37"/>
      <c r="O3451" s="37"/>
      <c r="P3451" s="37"/>
    </row>
    <row r="3452" spans="2:16" x14ac:dyDescent="0.25">
      <c r="B34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2" s="46"/>
      <c r="D3452" s="37"/>
      <c r="E3452" s="37"/>
      <c r="F3452" s="37"/>
      <c r="G3452" s="40" t="str">
        <f>IF(tblMovimientos[[#This Row],[Producto]]="","",TRIM(LEFT(tblMovimientos[[#This Row],[Producto]],FIND(" · ",tblMovimientos[[#This Row],[Producto]]&amp;" · ")-1)))</f>
        <v/>
      </c>
      <c r="H3452" s="40" t="str">
        <f>IF(tblMovimientos[[#This Row],[SKU]]="","",IFERROR(INDEX(tblProductos[Unidad],MATCH(tblMovimientos[[#This Row],[SKU]],tblProductos[SKU],0)),"?"))</f>
        <v/>
      </c>
      <c r="I3452" s="39"/>
      <c r="J3452" s="47" t="str">
        <f>IF(tblMovimientos[[#This Row],[Tipo]]="","",IFERROR(INDEX(tblTiposMov[FactorStock],MATCH(tblMovimientos[[#This Row],[Tipo]],tblTiposMov[Tipo],0)),0))</f>
        <v/>
      </c>
      <c r="K34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2" s="37"/>
      <c r="O3452" s="37"/>
      <c r="P3452" s="37"/>
    </row>
    <row r="3453" spans="2:16" x14ac:dyDescent="0.25">
      <c r="B34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3" s="46"/>
      <c r="D3453" s="37"/>
      <c r="E3453" s="37"/>
      <c r="F3453" s="37"/>
      <c r="G3453" s="40" t="str">
        <f>IF(tblMovimientos[[#This Row],[Producto]]="","",TRIM(LEFT(tblMovimientos[[#This Row],[Producto]],FIND(" · ",tblMovimientos[[#This Row],[Producto]]&amp;" · ")-1)))</f>
        <v/>
      </c>
      <c r="H3453" s="40" t="str">
        <f>IF(tblMovimientos[[#This Row],[SKU]]="","",IFERROR(INDEX(tblProductos[Unidad],MATCH(tblMovimientos[[#This Row],[SKU]],tblProductos[SKU],0)),"?"))</f>
        <v/>
      </c>
      <c r="I3453" s="39"/>
      <c r="J3453" s="47" t="str">
        <f>IF(tblMovimientos[[#This Row],[Tipo]]="","",IFERROR(INDEX(tblTiposMov[FactorStock],MATCH(tblMovimientos[[#This Row],[Tipo]],tblTiposMov[Tipo],0)),0))</f>
        <v/>
      </c>
      <c r="K34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3" s="37"/>
      <c r="O3453" s="37"/>
      <c r="P3453" s="37"/>
    </row>
    <row r="3454" spans="2:16" x14ac:dyDescent="0.25">
      <c r="B34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4" s="46"/>
      <c r="D3454" s="37"/>
      <c r="E3454" s="37"/>
      <c r="F3454" s="37"/>
      <c r="G3454" s="40" t="str">
        <f>IF(tblMovimientos[[#This Row],[Producto]]="","",TRIM(LEFT(tblMovimientos[[#This Row],[Producto]],FIND(" · ",tblMovimientos[[#This Row],[Producto]]&amp;" · ")-1)))</f>
        <v/>
      </c>
      <c r="H3454" s="40" t="str">
        <f>IF(tblMovimientos[[#This Row],[SKU]]="","",IFERROR(INDEX(tblProductos[Unidad],MATCH(tblMovimientos[[#This Row],[SKU]],tblProductos[SKU],0)),"?"))</f>
        <v/>
      </c>
      <c r="I3454" s="39"/>
      <c r="J3454" s="47" t="str">
        <f>IF(tblMovimientos[[#This Row],[Tipo]]="","",IFERROR(INDEX(tblTiposMov[FactorStock],MATCH(tblMovimientos[[#This Row],[Tipo]],tblTiposMov[Tipo],0)),0))</f>
        <v/>
      </c>
      <c r="K34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4" s="37"/>
      <c r="O3454" s="37"/>
      <c r="P3454" s="37"/>
    </row>
    <row r="3455" spans="2:16" x14ac:dyDescent="0.25">
      <c r="B34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5" s="46"/>
      <c r="D3455" s="37"/>
      <c r="E3455" s="37"/>
      <c r="F3455" s="37"/>
      <c r="G3455" s="40" t="str">
        <f>IF(tblMovimientos[[#This Row],[Producto]]="","",TRIM(LEFT(tblMovimientos[[#This Row],[Producto]],FIND(" · ",tblMovimientos[[#This Row],[Producto]]&amp;" · ")-1)))</f>
        <v/>
      </c>
      <c r="H3455" s="40" t="str">
        <f>IF(tblMovimientos[[#This Row],[SKU]]="","",IFERROR(INDEX(tblProductos[Unidad],MATCH(tblMovimientos[[#This Row],[SKU]],tblProductos[SKU],0)),"?"))</f>
        <v/>
      </c>
      <c r="I3455" s="39"/>
      <c r="J3455" s="47" t="str">
        <f>IF(tblMovimientos[[#This Row],[Tipo]]="","",IFERROR(INDEX(tblTiposMov[FactorStock],MATCH(tblMovimientos[[#This Row],[Tipo]],tblTiposMov[Tipo],0)),0))</f>
        <v/>
      </c>
      <c r="K34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5" s="37"/>
      <c r="O3455" s="37"/>
      <c r="P3455" s="37"/>
    </row>
    <row r="3456" spans="2:16" x14ac:dyDescent="0.25">
      <c r="B34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6" s="46"/>
      <c r="D3456" s="37"/>
      <c r="E3456" s="37"/>
      <c r="F3456" s="37"/>
      <c r="G3456" s="40" t="str">
        <f>IF(tblMovimientos[[#This Row],[Producto]]="","",TRIM(LEFT(tblMovimientos[[#This Row],[Producto]],FIND(" · ",tblMovimientos[[#This Row],[Producto]]&amp;" · ")-1)))</f>
        <v/>
      </c>
      <c r="H3456" s="40" t="str">
        <f>IF(tblMovimientos[[#This Row],[SKU]]="","",IFERROR(INDEX(tblProductos[Unidad],MATCH(tblMovimientos[[#This Row],[SKU]],tblProductos[SKU],0)),"?"))</f>
        <v/>
      </c>
      <c r="I3456" s="39"/>
      <c r="J3456" s="47" t="str">
        <f>IF(tblMovimientos[[#This Row],[Tipo]]="","",IFERROR(INDEX(tblTiposMov[FactorStock],MATCH(tblMovimientos[[#This Row],[Tipo]],tblTiposMov[Tipo],0)),0))</f>
        <v/>
      </c>
      <c r="K34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6" s="37"/>
      <c r="O3456" s="37"/>
      <c r="P3456" s="37"/>
    </row>
    <row r="3457" spans="2:16" x14ac:dyDescent="0.25">
      <c r="B34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7" s="46"/>
      <c r="D3457" s="37"/>
      <c r="E3457" s="37"/>
      <c r="F3457" s="37"/>
      <c r="G3457" s="40" t="str">
        <f>IF(tblMovimientos[[#This Row],[Producto]]="","",TRIM(LEFT(tblMovimientos[[#This Row],[Producto]],FIND(" · ",tblMovimientos[[#This Row],[Producto]]&amp;" · ")-1)))</f>
        <v/>
      </c>
      <c r="H3457" s="40" t="str">
        <f>IF(tblMovimientos[[#This Row],[SKU]]="","",IFERROR(INDEX(tblProductos[Unidad],MATCH(tblMovimientos[[#This Row],[SKU]],tblProductos[SKU],0)),"?"))</f>
        <v/>
      </c>
      <c r="I3457" s="39"/>
      <c r="J3457" s="47" t="str">
        <f>IF(tblMovimientos[[#This Row],[Tipo]]="","",IFERROR(INDEX(tblTiposMov[FactorStock],MATCH(tblMovimientos[[#This Row],[Tipo]],tblTiposMov[Tipo],0)),0))</f>
        <v/>
      </c>
      <c r="K34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7" s="37"/>
      <c r="O3457" s="37"/>
      <c r="P3457" s="37"/>
    </row>
    <row r="3458" spans="2:16" x14ac:dyDescent="0.25">
      <c r="B34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8" s="46"/>
      <c r="D3458" s="37"/>
      <c r="E3458" s="37"/>
      <c r="F3458" s="37"/>
      <c r="G3458" s="40" t="str">
        <f>IF(tblMovimientos[[#This Row],[Producto]]="","",TRIM(LEFT(tblMovimientos[[#This Row],[Producto]],FIND(" · ",tblMovimientos[[#This Row],[Producto]]&amp;" · ")-1)))</f>
        <v/>
      </c>
      <c r="H3458" s="40" t="str">
        <f>IF(tblMovimientos[[#This Row],[SKU]]="","",IFERROR(INDEX(tblProductos[Unidad],MATCH(tblMovimientos[[#This Row],[SKU]],tblProductos[SKU],0)),"?"))</f>
        <v/>
      </c>
      <c r="I3458" s="39"/>
      <c r="J3458" s="47" t="str">
        <f>IF(tblMovimientos[[#This Row],[Tipo]]="","",IFERROR(INDEX(tblTiposMov[FactorStock],MATCH(tblMovimientos[[#This Row],[Tipo]],tblTiposMov[Tipo],0)),0))</f>
        <v/>
      </c>
      <c r="K34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8" s="37"/>
      <c r="O3458" s="37"/>
      <c r="P3458" s="37"/>
    </row>
    <row r="3459" spans="2:16" x14ac:dyDescent="0.25">
      <c r="B34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59" s="46"/>
      <c r="D3459" s="37"/>
      <c r="E3459" s="37"/>
      <c r="F3459" s="37"/>
      <c r="G3459" s="40" t="str">
        <f>IF(tblMovimientos[[#This Row],[Producto]]="","",TRIM(LEFT(tblMovimientos[[#This Row],[Producto]],FIND(" · ",tblMovimientos[[#This Row],[Producto]]&amp;" · ")-1)))</f>
        <v/>
      </c>
      <c r="H3459" s="40" t="str">
        <f>IF(tblMovimientos[[#This Row],[SKU]]="","",IFERROR(INDEX(tblProductos[Unidad],MATCH(tblMovimientos[[#This Row],[SKU]],tblProductos[SKU],0)),"?"))</f>
        <v/>
      </c>
      <c r="I3459" s="39"/>
      <c r="J3459" s="47" t="str">
        <f>IF(tblMovimientos[[#This Row],[Tipo]]="","",IFERROR(INDEX(tblTiposMov[FactorStock],MATCH(tblMovimientos[[#This Row],[Tipo]],tblTiposMov[Tipo],0)),0))</f>
        <v/>
      </c>
      <c r="K34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59" s="37"/>
      <c r="O3459" s="37"/>
      <c r="P3459" s="37"/>
    </row>
    <row r="3460" spans="2:16" x14ac:dyDescent="0.25">
      <c r="B34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0" s="46"/>
      <c r="D3460" s="37"/>
      <c r="E3460" s="37"/>
      <c r="F3460" s="37"/>
      <c r="G3460" s="40" t="str">
        <f>IF(tblMovimientos[[#This Row],[Producto]]="","",TRIM(LEFT(tblMovimientos[[#This Row],[Producto]],FIND(" · ",tblMovimientos[[#This Row],[Producto]]&amp;" · ")-1)))</f>
        <v/>
      </c>
      <c r="H3460" s="40" t="str">
        <f>IF(tblMovimientos[[#This Row],[SKU]]="","",IFERROR(INDEX(tblProductos[Unidad],MATCH(tblMovimientos[[#This Row],[SKU]],tblProductos[SKU],0)),"?"))</f>
        <v/>
      </c>
      <c r="I3460" s="39"/>
      <c r="J3460" s="47" t="str">
        <f>IF(tblMovimientos[[#This Row],[Tipo]]="","",IFERROR(INDEX(tblTiposMov[FactorStock],MATCH(tblMovimientos[[#This Row],[Tipo]],tblTiposMov[Tipo],0)),0))</f>
        <v/>
      </c>
      <c r="K34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0" s="37"/>
      <c r="O3460" s="37"/>
      <c r="P3460" s="37"/>
    </row>
    <row r="3461" spans="2:16" x14ac:dyDescent="0.25">
      <c r="B34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1" s="46"/>
      <c r="D3461" s="37"/>
      <c r="E3461" s="37"/>
      <c r="F3461" s="37"/>
      <c r="G3461" s="40" t="str">
        <f>IF(tblMovimientos[[#This Row],[Producto]]="","",TRIM(LEFT(tblMovimientos[[#This Row],[Producto]],FIND(" · ",tblMovimientos[[#This Row],[Producto]]&amp;" · ")-1)))</f>
        <v/>
      </c>
      <c r="H3461" s="40" t="str">
        <f>IF(tblMovimientos[[#This Row],[SKU]]="","",IFERROR(INDEX(tblProductos[Unidad],MATCH(tblMovimientos[[#This Row],[SKU]],tblProductos[SKU],0)),"?"))</f>
        <v/>
      </c>
      <c r="I3461" s="39"/>
      <c r="J3461" s="47" t="str">
        <f>IF(tblMovimientos[[#This Row],[Tipo]]="","",IFERROR(INDEX(tblTiposMov[FactorStock],MATCH(tblMovimientos[[#This Row],[Tipo]],tblTiposMov[Tipo],0)),0))</f>
        <v/>
      </c>
      <c r="K34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1" s="37"/>
      <c r="O3461" s="37"/>
      <c r="P3461" s="37"/>
    </row>
    <row r="3462" spans="2:16" x14ac:dyDescent="0.25">
      <c r="B34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2" s="46"/>
      <c r="D3462" s="37"/>
      <c r="E3462" s="37"/>
      <c r="F3462" s="37"/>
      <c r="G3462" s="40" t="str">
        <f>IF(tblMovimientos[[#This Row],[Producto]]="","",TRIM(LEFT(tblMovimientos[[#This Row],[Producto]],FIND(" · ",tblMovimientos[[#This Row],[Producto]]&amp;" · ")-1)))</f>
        <v/>
      </c>
      <c r="H3462" s="40" t="str">
        <f>IF(tblMovimientos[[#This Row],[SKU]]="","",IFERROR(INDEX(tblProductos[Unidad],MATCH(tblMovimientos[[#This Row],[SKU]],tblProductos[SKU],0)),"?"))</f>
        <v/>
      </c>
      <c r="I3462" s="39"/>
      <c r="J3462" s="47" t="str">
        <f>IF(tblMovimientos[[#This Row],[Tipo]]="","",IFERROR(INDEX(tblTiposMov[FactorStock],MATCH(tblMovimientos[[#This Row],[Tipo]],tblTiposMov[Tipo],0)),0))</f>
        <v/>
      </c>
      <c r="K34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2" s="37"/>
      <c r="O3462" s="37"/>
      <c r="P3462" s="37"/>
    </row>
    <row r="3463" spans="2:16" x14ac:dyDescent="0.25">
      <c r="B34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3" s="46"/>
      <c r="D3463" s="37"/>
      <c r="E3463" s="37"/>
      <c r="F3463" s="37"/>
      <c r="G3463" s="40" t="str">
        <f>IF(tblMovimientos[[#This Row],[Producto]]="","",TRIM(LEFT(tblMovimientos[[#This Row],[Producto]],FIND(" · ",tblMovimientos[[#This Row],[Producto]]&amp;" · ")-1)))</f>
        <v/>
      </c>
      <c r="H3463" s="40" t="str">
        <f>IF(tblMovimientos[[#This Row],[SKU]]="","",IFERROR(INDEX(tblProductos[Unidad],MATCH(tblMovimientos[[#This Row],[SKU]],tblProductos[SKU],0)),"?"))</f>
        <v/>
      </c>
      <c r="I3463" s="39"/>
      <c r="J3463" s="47" t="str">
        <f>IF(tblMovimientos[[#This Row],[Tipo]]="","",IFERROR(INDEX(tblTiposMov[FactorStock],MATCH(tblMovimientos[[#This Row],[Tipo]],tblTiposMov[Tipo],0)),0))</f>
        <v/>
      </c>
      <c r="K34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3" s="37"/>
      <c r="O3463" s="37"/>
      <c r="P3463" s="37"/>
    </row>
    <row r="3464" spans="2:16" x14ac:dyDescent="0.25">
      <c r="B34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4" s="46"/>
      <c r="D3464" s="37"/>
      <c r="E3464" s="37"/>
      <c r="F3464" s="37"/>
      <c r="G3464" s="40" t="str">
        <f>IF(tblMovimientos[[#This Row],[Producto]]="","",TRIM(LEFT(tblMovimientos[[#This Row],[Producto]],FIND(" · ",tblMovimientos[[#This Row],[Producto]]&amp;" · ")-1)))</f>
        <v/>
      </c>
      <c r="H3464" s="40" t="str">
        <f>IF(tblMovimientos[[#This Row],[SKU]]="","",IFERROR(INDEX(tblProductos[Unidad],MATCH(tblMovimientos[[#This Row],[SKU]],tblProductos[SKU],0)),"?"))</f>
        <v/>
      </c>
      <c r="I3464" s="39"/>
      <c r="J3464" s="47" t="str">
        <f>IF(tblMovimientos[[#This Row],[Tipo]]="","",IFERROR(INDEX(tblTiposMov[FactorStock],MATCH(tblMovimientos[[#This Row],[Tipo]],tblTiposMov[Tipo],0)),0))</f>
        <v/>
      </c>
      <c r="K34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4" s="37"/>
      <c r="O3464" s="37"/>
      <c r="P3464" s="37"/>
    </row>
    <row r="3465" spans="2:16" x14ac:dyDescent="0.25">
      <c r="B34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5" s="46"/>
      <c r="D3465" s="37"/>
      <c r="E3465" s="37"/>
      <c r="F3465" s="37"/>
      <c r="G3465" s="40" t="str">
        <f>IF(tblMovimientos[[#This Row],[Producto]]="","",TRIM(LEFT(tblMovimientos[[#This Row],[Producto]],FIND(" · ",tblMovimientos[[#This Row],[Producto]]&amp;" · ")-1)))</f>
        <v/>
      </c>
      <c r="H3465" s="40" t="str">
        <f>IF(tblMovimientos[[#This Row],[SKU]]="","",IFERROR(INDEX(tblProductos[Unidad],MATCH(tblMovimientos[[#This Row],[SKU]],tblProductos[SKU],0)),"?"))</f>
        <v/>
      </c>
      <c r="I3465" s="39"/>
      <c r="J3465" s="47" t="str">
        <f>IF(tblMovimientos[[#This Row],[Tipo]]="","",IFERROR(INDEX(tblTiposMov[FactorStock],MATCH(tblMovimientos[[#This Row],[Tipo]],tblTiposMov[Tipo],0)),0))</f>
        <v/>
      </c>
      <c r="K34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5" s="37"/>
      <c r="O3465" s="37"/>
      <c r="P3465" s="37"/>
    </row>
    <row r="3466" spans="2:16" x14ac:dyDescent="0.25">
      <c r="B34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6" s="46"/>
      <c r="D3466" s="37"/>
      <c r="E3466" s="37"/>
      <c r="F3466" s="37"/>
      <c r="G3466" s="40" t="str">
        <f>IF(tblMovimientos[[#This Row],[Producto]]="","",TRIM(LEFT(tblMovimientos[[#This Row],[Producto]],FIND(" · ",tblMovimientos[[#This Row],[Producto]]&amp;" · ")-1)))</f>
        <v/>
      </c>
      <c r="H3466" s="40" t="str">
        <f>IF(tblMovimientos[[#This Row],[SKU]]="","",IFERROR(INDEX(tblProductos[Unidad],MATCH(tblMovimientos[[#This Row],[SKU]],tblProductos[SKU],0)),"?"))</f>
        <v/>
      </c>
      <c r="I3466" s="39"/>
      <c r="J3466" s="47" t="str">
        <f>IF(tblMovimientos[[#This Row],[Tipo]]="","",IFERROR(INDEX(tblTiposMov[FactorStock],MATCH(tblMovimientos[[#This Row],[Tipo]],tblTiposMov[Tipo],0)),0))</f>
        <v/>
      </c>
      <c r="K34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6" s="37"/>
      <c r="O3466" s="37"/>
      <c r="P3466" s="37"/>
    </row>
    <row r="3467" spans="2:16" x14ac:dyDescent="0.25">
      <c r="B34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7" s="46"/>
      <c r="D3467" s="37"/>
      <c r="E3467" s="37"/>
      <c r="F3467" s="37"/>
      <c r="G3467" s="40" t="str">
        <f>IF(tblMovimientos[[#This Row],[Producto]]="","",TRIM(LEFT(tblMovimientos[[#This Row],[Producto]],FIND(" · ",tblMovimientos[[#This Row],[Producto]]&amp;" · ")-1)))</f>
        <v/>
      </c>
      <c r="H3467" s="40" t="str">
        <f>IF(tblMovimientos[[#This Row],[SKU]]="","",IFERROR(INDEX(tblProductos[Unidad],MATCH(tblMovimientos[[#This Row],[SKU]],tblProductos[SKU],0)),"?"))</f>
        <v/>
      </c>
      <c r="I3467" s="39"/>
      <c r="J3467" s="47" t="str">
        <f>IF(tblMovimientos[[#This Row],[Tipo]]="","",IFERROR(INDEX(tblTiposMov[FactorStock],MATCH(tblMovimientos[[#This Row],[Tipo]],tblTiposMov[Tipo],0)),0))</f>
        <v/>
      </c>
      <c r="K34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7" s="37"/>
      <c r="O3467" s="37"/>
      <c r="P3467" s="37"/>
    </row>
    <row r="3468" spans="2:16" x14ac:dyDescent="0.25">
      <c r="B34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8" s="46"/>
      <c r="D3468" s="37"/>
      <c r="E3468" s="37"/>
      <c r="F3468" s="37"/>
      <c r="G3468" s="40" t="str">
        <f>IF(tblMovimientos[[#This Row],[Producto]]="","",TRIM(LEFT(tblMovimientos[[#This Row],[Producto]],FIND(" · ",tblMovimientos[[#This Row],[Producto]]&amp;" · ")-1)))</f>
        <v/>
      </c>
      <c r="H3468" s="40" t="str">
        <f>IF(tblMovimientos[[#This Row],[SKU]]="","",IFERROR(INDEX(tblProductos[Unidad],MATCH(tblMovimientos[[#This Row],[SKU]],tblProductos[SKU],0)),"?"))</f>
        <v/>
      </c>
      <c r="I3468" s="39"/>
      <c r="J3468" s="47" t="str">
        <f>IF(tblMovimientos[[#This Row],[Tipo]]="","",IFERROR(INDEX(tblTiposMov[FactorStock],MATCH(tblMovimientos[[#This Row],[Tipo]],tblTiposMov[Tipo],0)),0))</f>
        <v/>
      </c>
      <c r="K34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8" s="37"/>
      <c r="O3468" s="37"/>
      <c r="P3468" s="37"/>
    </row>
    <row r="3469" spans="2:16" x14ac:dyDescent="0.25">
      <c r="B34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69" s="46"/>
      <c r="D3469" s="37"/>
      <c r="E3469" s="37"/>
      <c r="F3469" s="37"/>
      <c r="G3469" s="40" t="str">
        <f>IF(tblMovimientos[[#This Row],[Producto]]="","",TRIM(LEFT(tblMovimientos[[#This Row],[Producto]],FIND(" · ",tblMovimientos[[#This Row],[Producto]]&amp;" · ")-1)))</f>
        <v/>
      </c>
      <c r="H3469" s="40" t="str">
        <f>IF(tblMovimientos[[#This Row],[SKU]]="","",IFERROR(INDEX(tblProductos[Unidad],MATCH(tblMovimientos[[#This Row],[SKU]],tblProductos[SKU],0)),"?"))</f>
        <v/>
      </c>
      <c r="I3469" s="39"/>
      <c r="J3469" s="47" t="str">
        <f>IF(tblMovimientos[[#This Row],[Tipo]]="","",IFERROR(INDEX(tblTiposMov[FactorStock],MATCH(tblMovimientos[[#This Row],[Tipo]],tblTiposMov[Tipo],0)),0))</f>
        <v/>
      </c>
      <c r="K34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69" s="37"/>
      <c r="O3469" s="37"/>
      <c r="P3469" s="37"/>
    </row>
    <row r="3470" spans="2:16" x14ac:dyDescent="0.25">
      <c r="B34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0" s="46"/>
      <c r="D3470" s="37"/>
      <c r="E3470" s="37"/>
      <c r="F3470" s="37"/>
      <c r="G3470" s="40" t="str">
        <f>IF(tblMovimientos[[#This Row],[Producto]]="","",TRIM(LEFT(tblMovimientos[[#This Row],[Producto]],FIND(" · ",tblMovimientos[[#This Row],[Producto]]&amp;" · ")-1)))</f>
        <v/>
      </c>
      <c r="H3470" s="40" t="str">
        <f>IF(tblMovimientos[[#This Row],[SKU]]="","",IFERROR(INDEX(tblProductos[Unidad],MATCH(tblMovimientos[[#This Row],[SKU]],tblProductos[SKU],0)),"?"))</f>
        <v/>
      </c>
      <c r="I3470" s="39"/>
      <c r="J3470" s="47" t="str">
        <f>IF(tblMovimientos[[#This Row],[Tipo]]="","",IFERROR(INDEX(tblTiposMov[FactorStock],MATCH(tblMovimientos[[#This Row],[Tipo]],tblTiposMov[Tipo],0)),0))</f>
        <v/>
      </c>
      <c r="K34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0" s="37"/>
      <c r="O3470" s="37"/>
      <c r="P3470" s="37"/>
    </row>
    <row r="3471" spans="2:16" x14ac:dyDescent="0.25">
      <c r="B34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1" s="46"/>
      <c r="D3471" s="37"/>
      <c r="E3471" s="37"/>
      <c r="F3471" s="37"/>
      <c r="G3471" s="40" t="str">
        <f>IF(tblMovimientos[[#This Row],[Producto]]="","",TRIM(LEFT(tblMovimientos[[#This Row],[Producto]],FIND(" · ",tblMovimientos[[#This Row],[Producto]]&amp;" · ")-1)))</f>
        <v/>
      </c>
      <c r="H3471" s="40" t="str">
        <f>IF(tblMovimientos[[#This Row],[SKU]]="","",IFERROR(INDEX(tblProductos[Unidad],MATCH(tblMovimientos[[#This Row],[SKU]],tblProductos[SKU],0)),"?"))</f>
        <v/>
      </c>
      <c r="I3471" s="39"/>
      <c r="J3471" s="47" t="str">
        <f>IF(tblMovimientos[[#This Row],[Tipo]]="","",IFERROR(INDEX(tblTiposMov[FactorStock],MATCH(tblMovimientos[[#This Row],[Tipo]],tblTiposMov[Tipo],0)),0))</f>
        <v/>
      </c>
      <c r="K34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1" s="37"/>
      <c r="O3471" s="37"/>
      <c r="P3471" s="37"/>
    </row>
    <row r="3472" spans="2:16" x14ac:dyDescent="0.25">
      <c r="B34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2" s="46"/>
      <c r="D3472" s="37"/>
      <c r="E3472" s="37"/>
      <c r="F3472" s="37"/>
      <c r="G3472" s="40" t="str">
        <f>IF(tblMovimientos[[#This Row],[Producto]]="","",TRIM(LEFT(tblMovimientos[[#This Row],[Producto]],FIND(" · ",tblMovimientos[[#This Row],[Producto]]&amp;" · ")-1)))</f>
        <v/>
      </c>
      <c r="H3472" s="40" t="str">
        <f>IF(tblMovimientos[[#This Row],[SKU]]="","",IFERROR(INDEX(tblProductos[Unidad],MATCH(tblMovimientos[[#This Row],[SKU]],tblProductos[SKU],0)),"?"))</f>
        <v/>
      </c>
      <c r="I3472" s="39"/>
      <c r="J3472" s="47" t="str">
        <f>IF(tblMovimientos[[#This Row],[Tipo]]="","",IFERROR(INDEX(tblTiposMov[FactorStock],MATCH(tblMovimientos[[#This Row],[Tipo]],tblTiposMov[Tipo],0)),0))</f>
        <v/>
      </c>
      <c r="K34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2" s="37"/>
      <c r="O3472" s="37"/>
      <c r="P3472" s="37"/>
    </row>
    <row r="3473" spans="2:16" x14ac:dyDescent="0.25">
      <c r="B34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3" s="46"/>
      <c r="D3473" s="37"/>
      <c r="E3473" s="37"/>
      <c r="F3473" s="37"/>
      <c r="G3473" s="40" t="str">
        <f>IF(tblMovimientos[[#This Row],[Producto]]="","",TRIM(LEFT(tblMovimientos[[#This Row],[Producto]],FIND(" · ",tblMovimientos[[#This Row],[Producto]]&amp;" · ")-1)))</f>
        <v/>
      </c>
      <c r="H3473" s="40" t="str">
        <f>IF(tblMovimientos[[#This Row],[SKU]]="","",IFERROR(INDEX(tblProductos[Unidad],MATCH(tblMovimientos[[#This Row],[SKU]],tblProductos[SKU],0)),"?"))</f>
        <v/>
      </c>
      <c r="I3473" s="39"/>
      <c r="J3473" s="47" t="str">
        <f>IF(tblMovimientos[[#This Row],[Tipo]]="","",IFERROR(INDEX(tblTiposMov[FactorStock],MATCH(tblMovimientos[[#This Row],[Tipo]],tblTiposMov[Tipo],0)),0))</f>
        <v/>
      </c>
      <c r="K34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3" s="37"/>
      <c r="O3473" s="37"/>
      <c r="P3473" s="37"/>
    </row>
    <row r="3474" spans="2:16" x14ac:dyDescent="0.25">
      <c r="B34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4" s="46"/>
      <c r="D3474" s="37"/>
      <c r="E3474" s="37"/>
      <c r="F3474" s="37"/>
      <c r="G3474" s="40" t="str">
        <f>IF(tblMovimientos[[#This Row],[Producto]]="","",TRIM(LEFT(tblMovimientos[[#This Row],[Producto]],FIND(" · ",tblMovimientos[[#This Row],[Producto]]&amp;" · ")-1)))</f>
        <v/>
      </c>
      <c r="H3474" s="40" t="str">
        <f>IF(tblMovimientos[[#This Row],[SKU]]="","",IFERROR(INDEX(tblProductos[Unidad],MATCH(tblMovimientos[[#This Row],[SKU]],tblProductos[SKU],0)),"?"))</f>
        <v/>
      </c>
      <c r="I3474" s="39"/>
      <c r="J3474" s="47" t="str">
        <f>IF(tblMovimientos[[#This Row],[Tipo]]="","",IFERROR(INDEX(tblTiposMov[FactorStock],MATCH(tblMovimientos[[#This Row],[Tipo]],tblTiposMov[Tipo],0)),0))</f>
        <v/>
      </c>
      <c r="K34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4" s="37"/>
      <c r="O3474" s="37"/>
      <c r="P3474" s="37"/>
    </row>
    <row r="3475" spans="2:16" x14ac:dyDescent="0.25">
      <c r="B34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5" s="46"/>
      <c r="D3475" s="37"/>
      <c r="E3475" s="37"/>
      <c r="F3475" s="37"/>
      <c r="G3475" s="40" t="str">
        <f>IF(tblMovimientos[[#This Row],[Producto]]="","",TRIM(LEFT(tblMovimientos[[#This Row],[Producto]],FIND(" · ",tblMovimientos[[#This Row],[Producto]]&amp;" · ")-1)))</f>
        <v/>
      </c>
      <c r="H3475" s="40" t="str">
        <f>IF(tblMovimientos[[#This Row],[SKU]]="","",IFERROR(INDEX(tblProductos[Unidad],MATCH(tblMovimientos[[#This Row],[SKU]],tblProductos[SKU],0)),"?"))</f>
        <v/>
      </c>
      <c r="I3475" s="39"/>
      <c r="J3475" s="47" t="str">
        <f>IF(tblMovimientos[[#This Row],[Tipo]]="","",IFERROR(INDEX(tblTiposMov[FactorStock],MATCH(tblMovimientos[[#This Row],[Tipo]],tblTiposMov[Tipo],0)),0))</f>
        <v/>
      </c>
      <c r="K34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5" s="37"/>
      <c r="O3475" s="37"/>
      <c r="P3475" s="37"/>
    </row>
    <row r="3476" spans="2:16" x14ac:dyDescent="0.25">
      <c r="B34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6" s="46"/>
      <c r="D3476" s="37"/>
      <c r="E3476" s="37"/>
      <c r="F3476" s="37"/>
      <c r="G3476" s="40" t="str">
        <f>IF(tblMovimientos[[#This Row],[Producto]]="","",TRIM(LEFT(tblMovimientos[[#This Row],[Producto]],FIND(" · ",tblMovimientos[[#This Row],[Producto]]&amp;" · ")-1)))</f>
        <v/>
      </c>
      <c r="H3476" s="40" t="str">
        <f>IF(tblMovimientos[[#This Row],[SKU]]="","",IFERROR(INDEX(tblProductos[Unidad],MATCH(tblMovimientos[[#This Row],[SKU]],tblProductos[SKU],0)),"?"))</f>
        <v/>
      </c>
      <c r="I3476" s="39"/>
      <c r="J3476" s="47" t="str">
        <f>IF(tblMovimientos[[#This Row],[Tipo]]="","",IFERROR(INDEX(tblTiposMov[FactorStock],MATCH(tblMovimientos[[#This Row],[Tipo]],tblTiposMov[Tipo],0)),0))</f>
        <v/>
      </c>
      <c r="K34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6" s="37"/>
      <c r="O3476" s="37"/>
      <c r="P3476" s="37"/>
    </row>
    <row r="3477" spans="2:16" x14ac:dyDescent="0.25">
      <c r="B34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7" s="46"/>
      <c r="D3477" s="37"/>
      <c r="E3477" s="37"/>
      <c r="F3477" s="37"/>
      <c r="G3477" s="40" t="str">
        <f>IF(tblMovimientos[[#This Row],[Producto]]="","",TRIM(LEFT(tblMovimientos[[#This Row],[Producto]],FIND(" · ",tblMovimientos[[#This Row],[Producto]]&amp;" · ")-1)))</f>
        <v/>
      </c>
      <c r="H3477" s="40" t="str">
        <f>IF(tblMovimientos[[#This Row],[SKU]]="","",IFERROR(INDEX(tblProductos[Unidad],MATCH(tblMovimientos[[#This Row],[SKU]],tblProductos[SKU],0)),"?"))</f>
        <v/>
      </c>
      <c r="I3477" s="39"/>
      <c r="J3477" s="47" t="str">
        <f>IF(tblMovimientos[[#This Row],[Tipo]]="","",IFERROR(INDEX(tblTiposMov[FactorStock],MATCH(tblMovimientos[[#This Row],[Tipo]],tblTiposMov[Tipo],0)),0))</f>
        <v/>
      </c>
      <c r="K34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7" s="37"/>
      <c r="O3477" s="37"/>
      <c r="P3477" s="37"/>
    </row>
    <row r="3478" spans="2:16" x14ac:dyDescent="0.25">
      <c r="B34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8" s="46"/>
      <c r="D3478" s="37"/>
      <c r="E3478" s="37"/>
      <c r="F3478" s="37"/>
      <c r="G3478" s="40" t="str">
        <f>IF(tblMovimientos[[#This Row],[Producto]]="","",TRIM(LEFT(tblMovimientos[[#This Row],[Producto]],FIND(" · ",tblMovimientos[[#This Row],[Producto]]&amp;" · ")-1)))</f>
        <v/>
      </c>
      <c r="H3478" s="40" t="str">
        <f>IF(tblMovimientos[[#This Row],[SKU]]="","",IFERROR(INDEX(tblProductos[Unidad],MATCH(tblMovimientos[[#This Row],[SKU]],tblProductos[SKU],0)),"?"))</f>
        <v/>
      </c>
      <c r="I3478" s="39"/>
      <c r="J3478" s="47" t="str">
        <f>IF(tblMovimientos[[#This Row],[Tipo]]="","",IFERROR(INDEX(tblTiposMov[FactorStock],MATCH(tblMovimientos[[#This Row],[Tipo]],tblTiposMov[Tipo],0)),0))</f>
        <v/>
      </c>
      <c r="K34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8" s="37"/>
      <c r="O3478" s="37"/>
      <c r="P3478" s="37"/>
    </row>
    <row r="3479" spans="2:16" x14ac:dyDescent="0.25">
      <c r="B34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79" s="46"/>
      <c r="D3479" s="37"/>
      <c r="E3479" s="37"/>
      <c r="F3479" s="37"/>
      <c r="G3479" s="40" t="str">
        <f>IF(tblMovimientos[[#This Row],[Producto]]="","",TRIM(LEFT(tblMovimientos[[#This Row],[Producto]],FIND(" · ",tblMovimientos[[#This Row],[Producto]]&amp;" · ")-1)))</f>
        <v/>
      </c>
      <c r="H3479" s="40" t="str">
        <f>IF(tblMovimientos[[#This Row],[SKU]]="","",IFERROR(INDEX(tblProductos[Unidad],MATCH(tblMovimientos[[#This Row],[SKU]],tblProductos[SKU],0)),"?"))</f>
        <v/>
      </c>
      <c r="I3479" s="39"/>
      <c r="J3479" s="47" t="str">
        <f>IF(tblMovimientos[[#This Row],[Tipo]]="","",IFERROR(INDEX(tblTiposMov[FactorStock],MATCH(tblMovimientos[[#This Row],[Tipo]],tblTiposMov[Tipo],0)),0))</f>
        <v/>
      </c>
      <c r="K34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79" s="37"/>
      <c r="O3479" s="37"/>
      <c r="P3479" s="37"/>
    </row>
    <row r="3480" spans="2:16" x14ac:dyDescent="0.25">
      <c r="B34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0" s="46"/>
      <c r="D3480" s="37"/>
      <c r="E3480" s="37"/>
      <c r="F3480" s="37"/>
      <c r="G3480" s="40" t="str">
        <f>IF(tblMovimientos[[#This Row],[Producto]]="","",TRIM(LEFT(tblMovimientos[[#This Row],[Producto]],FIND(" · ",tblMovimientos[[#This Row],[Producto]]&amp;" · ")-1)))</f>
        <v/>
      </c>
      <c r="H3480" s="40" t="str">
        <f>IF(tblMovimientos[[#This Row],[SKU]]="","",IFERROR(INDEX(tblProductos[Unidad],MATCH(tblMovimientos[[#This Row],[SKU]],tblProductos[SKU],0)),"?"))</f>
        <v/>
      </c>
      <c r="I3480" s="39"/>
      <c r="J3480" s="47" t="str">
        <f>IF(tblMovimientos[[#This Row],[Tipo]]="","",IFERROR(INDEX(tblTiposMov[FactorStock],MATCH(tblMovimientos[[#This Row],[Tipo]],tblTiposMov[Tipo],0)),0))</f>
        <v/>
      </c>
      <c r="K34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0" s="37"/>
      <c r="O3480" s="37"/>
      <c r="P3480" s="37"/>
    </row>
    <row r="3481" spans="2:16" x14ac:dyDescent="0.25">
      <c r="B34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1" s="46"/>
      <c r="D3481" s="37"/>
      <c r="E3481" s="37"/>
      <c r="F3481" s="37"/>
      <c r="G3481" s="40" t="str">
        <f>IF(tblMovimientos[[#This Row],[Producto]]="","",TRIM(LEFT(tblMovimientos[[#This Row],[Producto]],FIND(" · ",tblMovimientos[[#This Row],[Producto]]&amp;" · ")-1)))</f>
        <v/>
      </c>
      <c r="H3481" s="40" t="str">
        <f>IF(tblMovimientos[[#This Row],[SKU]]="","",IFERROR(INDEX(tblProductos[Unidad],MATCH(tblMovimientos[[#This Row],[SKU]],tblProductos[SKU],0)),"?"))</f>
        <v/>
      </c>
      <c r="I3481" s="39"/>
      <c r="J3481" s="47" t="str">
        <f>IF(tblMovimientos[[#This Row],[Tipo]]="","",IFERROR(INDEX(tblTiposMov[FactorStock],MATCH(tblMovimientos[[#This Row],[Tipo]],tblTiposMov[Tipo],0)),0))</f>
        <v/>
      </c>
      <c r="K34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1" s="37"/>
      <c r="O3481" s="37"/>
      <c r="P3481" s="37"/>
    </row>
    <row r="3482" spans="2:16" x14ac:dyDescent="0.25">
      <c r="B34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2" s="46"/>
      <c r="D3482" s="37"/>
      <c r="E3482" s="37"/>
      <c r="F3482" s="37"/>
      <c r="G3482" s="40" t="str">
        <f>IF(tblMovimientos[[#This Row],[Producto]]="","",TRIM(LEFT(tblMovimientos[[#This Row],[Producto]],FIND(" · ",tblMovimientos[[#This Row],[Producto]]&amp;" · ")-1)))</f>
        <v/>
      </c>
      <c r="H3482" s="40" t="str">
        <f>IF(tblMovimientos[[#This Row],[SKU]]="","",IFERROR(INDEX(tblProductos[Unidad],MATCH(tblMovimientos[[#This Row],[SKU]],tblProductos[SKU],0)),"?"))</f>
        <v/>
      </c>
      <c r="I3482" s="39"/>
      <c r="J3482" s="47" t="str">
        <f>IF(tblMovimientos[[#This Row],[Tipo]]="","",IFERROR(INDEX(tblTiposMov[FactorStock],MATCH(tblMovimientos[[#This Row],[Tipo]],tblTiposMov[Tipo],0)),0))</f>
        <v/>
      </c>
      <c r="K34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2" s="37"/>
      <c r="O3482" s="37"/>
      <c r="P3482" s="37"/>
    </row>
    <row r="3483" spans="2:16" x14ac:dyDescent="0.25">
      <c r="B34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3" s="46"/>
      <c r="D3483" s="37"/>
      <c r="E3483" s="37"/>
      <c r="F3483" s="37"/>
      <c r="G3483" s="40" t="str">
        <f>IF(tblMovimientos[[#This Row],[Producto]]="","",TRIM(LEFT(tblMovimientos[[#This Row],[Producto]],FIND(" · ",tblMovimientos[[#This Row],[Producto]]&amp;" · ")-1)))</f>
        <v/>
      </c>
      <c r="H3483" s="40" t="str">
        <f>IF(tblMovimientos[[#This Row],[SKU]]="","",IFERROR(INDEX(tblProductos[Unidad],MATCH(tblMovimientos[[#This Row],[SKU]],tblProductos[SKU],0)),"?"))</f>
        <v/>
      </c>
      <c r="I3483" s="39"/>
      <c r="J3483" s="47" t="str">
        <f>IF(tblMovimientos[[#This Row],[Tipo]]="","",IFERROR(INDEX(tblTiposMov[FactorStock],MATCH(tblMovimientos[[#This Row],[Tipo]],tblTiposMov[Tipo],0)),0))</f>
        <v/>
      </c>
      <c r="K34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3" s="37"/>
      <c r="O3483" s="37"/>
      <c r="P3483" s="37"/>
    </row>
    <row r="3484" spans="2:16" x14ac:dyDescent="0.25">
      <c r="B34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4" s="46"/>
      <c r="D3484" s="37"/>
      <c r="E3484" s="37"/>
      <c r="F3484" s="37"/>
      <c r="G3484" s="40" t="str">
        <f>IF(tblMovimientos[[#This Row],[Producto]]="","",TRIM(LEFT(tblMovimientos[[#This Row],[Producto]],FIND(" · ",tblMovimientos[[#This Row],[Producto]]&amp;" · ")-1)))</f>
        <v/>
      </c>
      <c r="H3484" s="40" t="str">
        <f>IF(tblMovimientos[[#This Row],[SKU]]="","",IFERROR(INDEX(tblProductos[Unidad],MATCH(tblMovimientos[[#This Row],[SKU]],tblProductos[SKU],0)),"?"))</f>
        <v/>
      </c>
      <c r="I3484" s="39"/>
      <c r="J3484" s="47" t="str">
        <f>IF(tblMovimientos[[#This Row],[Tipo]]="","",IFERROR(INDEX(tblTiposMov[FactorStock],MATCH(tblMovimientos[[#This Row],[Tipo]],tblTiposMov[Tipo],0)),0))</f>
        <v/>
      </c>
      <c r="K34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4" s="37"/>
      <c r="O3484" s="37"/>
      <c r="P3484" s="37"/>
    </row>
    <row r="3485" spans="2:16" x14ac:dyDescent="0.25">
      <c r="B34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5" s="46"/>
      <c r="D3485" s="37"/>
      <c r="E3485" s="37"/>
      <c r="F3485" s="37"/>
      <c r="G3485" s="40" t="str">
        <f>IF(tblMovimientos[[#This Row],[Producto]]="","",TRIM(LEFT(tblMovimientos[[#This Row],[Producto]],FIND(" · ",tblMovimientos[[#This Row],[Producto]]&amp;" · ")-1)))</f>
        <v/>
      </c>
      <c r="H3485" s="40" t="str">
        <f>IF(tblMovimientos[[#This Row],[SKU]]="","",IFERROR(INDEX(tblProductos[Unidad],MATCH(tblMovimientos[[#This Row],[SKU]],tblProductos[SKU],0)),"?"))</f>
        <v/>
      </c>
      <c r="I3485" s="39"/>
      <c r="J3485" s="47" t="str">
        <f>IF(tblMovimientos[[#This Row],[Tipo]]="","",IFERROR(INDEX(tblTiposMov[FactorStock],MATCH(tblMovimientos[[#This Row],[Tipo]],tblTiposMov[Tipo],0)),0))</f>
        <v/>
      </c>
      <c r="K34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5" s="37"/>
      <c r="O3485" s="37"/>
      <c r="P3485" s="37"/>
    </row>
    <row r="3486" spans="2:16" x14ac:dyDescent="0.25">
      <c r="B34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6" s="46"/>
      <c r="D3486" s="37"/>
      <c r="E3486" s="37"/>
      <c r="F3486" s="37"/>
      <c r="G3486" s="40" t="str">
        <f>IF(tblMovimientos[[#This Row],[Producto]]="","",TRIM(LEFT(tblMovimientos[[#This Row],[Producto]],FIND(" · ",tblMovimientos[[#This Row],[Producto]]&amp;" · ")-1)))</f>
        <v/>
      </c>
      <c r="H3486" s="40" t="str">
        <f>IF(tblMovimientos[[#This Row],[SKU]]="","",IFERROR(INDEX(tblProductos[Unidad],MATCH(tblMovimientos[[#This Row],[SKU]],tblProductos[SKU],0)),"?"))</f>
        <v/>
      </c>
      <c r="I3486" s="39"/>
      <c r="J3486" s="47" t="str">
        <f>IF(tblMovimientos[[#This Row],[Tipo]]="","",IFERROR(INDEX(tblTiposMov[FactorStock],MATCH(tblMovimientos[[#This Row],[Tipo]],tblTiposMov[Tipo],0)),0))</f>
        <v/>
      </c>
      <c r="K34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6" s="37"/>
      <c r="O3486" s="37"/>
      <c r="P3486" s="37"/>
    </row>
    <row r="3487" spans="2:16" x14ac:dyDescent="0.25">
      <c r="B34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7" s="46"/>
      <c r="D3487" s="37"/>
      <c r="E3487" s="37"/>
      <c r="F3487" s="37"/>
      <c r="G3487" s="40" t="str">
        <f>IF(tblMovimientos[[#This Row],[Producto]]="","",TRIM(LEFT(tblMovimientos[[#This Row],[Producto]],FIND(" · ",tblMovimientos[[#This Row],[Producto]]&amp;" · ")-1)))</f>
        <v/>
      </c>
      <c r="H3487" s="40" t="str">
        <f>IF(tblMovimientos[[#This Row],[SKU]]="","",IFERROR(INDEX(tblProductos[Unidad],MATCH(tblMovimientos[[#This Row],[SKU]],tblProductos[SKU],0)),"?"))</f>
        <v/>
      </c>
      <c r="I3487" s="39"/>
      <c r="J3487" s="47" t="str">
        <f>IF(tblMovimientos[[#This Row],[Tipo]]="","",IFERROR(INDEX(tblTiposMov[FactorStock],MATCH(tblMovimientos[[#This Row],[Tipo]],tblTiposMov[Tipo],0)),0))</f>
        <v/>
      </c>
      <c r="K34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7" s="37"/>
      <c r="O3487" s="37"/>
      <c r="P3487" s="37"/>
    </row>
    <row r="3488" spans="2:16" x14ac:dyDescent="0.25">
      <c r="B34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8" s="46"/>
      <c r="D3488" s="37"/>
      <c r="E3488" s="37"/>
      <c r="F3488" s="37"/>
      <c r="G3488" s="40" t="str">
        <f>IF(tblMovimientos[[#This Row],[Producto]]="","",TRIM(LEFT(tblMovimientos[[#This Row],[Producto]],FIND(" · ",tblMovimientos[[#This Row],[Producto]]&amp;" · ")-1)))</f>
        <v/>
      </c>
      <c r="H3488" s="40" t="str">
        <f>IF(tblMovimientos[[#This Row],[SKU]]="","",IFERROR(INDEX(tblProductos[Unidad],MATCH(tblMovimientos[[#This Row],[SKU]],tblProductos[SKU],0)),"?"))</f>
        <v/>
      </c>
      <c r="I3488" s="39"/>
      <c r="J3488" s="47" t="str">
        <f>IF(tblMovimientos[[#This Row],[Tipo]]="","",IFERROR(INDEX(tblTiposMov[FactorStock],MATCH(tblMovimientos[[#This Row],[Tipo]],tblTiposMov[Tipo],0)),0))</f>
        <v/>
      </c>
      <c r="K34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8" s="37"/>
      <c r="O3488" s="37"/>
      <c r="P3488" s="37"/>
    </row>
    <row r="3489" spans="2:16" x14ac:dyDescent="0.25">
      <c r="B34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89" s="46"/>
      <c r="D3489" s="37"/>
      <c r="E3489" s="37"/>
      <c r="F3489" s="37"/>
      <c r="G3489" s="40" t="str">
        <f>IF(tblMovimientos[[#This Row],[Producto]]="","",TRIM(LEFT(tblMovimientos[[#This Row],[Producto]],FIND(" · ",tblMovimientos[[#This Row],[Producto]]&amp;" · ")-1)))</f>
        <v/>
      </c>
      <c r="H3489" s="40" t="str">
        <f>IF(tblMovimientos[[#This Row],[SKU]]="","",IFERROR(INDEX(tblProductos[Unidad],MATCH(tblMovimientos[[#This Row],[SKU]],tblProductos[SKU],0)),"?"))</f>
        <v/>
      </c>
      <c r="I3489" s="39"/>
      <c r="J3489" s="47" t="str">
        <f>IF(tblMovimientos[[#This Row],[Tipo]]="","",IFERROR(INDEX(tblTiposMov[FactorStock],MATCH(tblMovimientos[[#This Row],[Tipo]],tblTiposMov[Tipo],0)),0))</f>
        <v/>
      </c>
      <c r="K34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89" s="37"/>
      <c r="O3489" s="37"/>
      <c r="P3489" s="37"/>
    </row>
    <row r="3490" spans="2:16" x14ac:dyDescent="0.25">
      <c r="B34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0" s="46"/>
      <c r="D3490" s="37"/>
      <c r="E3490" s="37"/>
      <c r="F3490" s="37"/>
      <c r="G3490" s="40" t="str">
        <f>IF(tblMovimientos[[#This Row],[Producto]]="","",TRIM(LEFT(tblMovimientos[[#This Row],[Producto]],FIND(" · ",tblMovimientos[[#This Row],[Producto]]&amp;" · ")-1)))</f>
        <v/>
      </c>
      <c r="H3490" s="40" t="str">
        <f>IF(tblMovimientos[[#This Row],[SKU]]="","",IFERROR(INDEX(tblProductos[Unidad],MATCH(tblMovimientos[[#This Row],[SKU]],tblProductos[SKU],0)),"?"))</f>
        <v/>
      </c>
      <c r="I3490" s="39"/>
      <c r="J3490" s="47" t="str">
        <f>IF(tblMovimientos[[#This Row],[Tipo]]="","",IFERROR(INDEX(tblTiposMov[FactorStock],MATCH(tblMovimientos[[#This Row],[Tipo]],tblTiposMov[Tipo],0)),0))</f>
        <v/>
      </c>
      <c r="K34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0" s="37"/>
      <c r="O3490" s="37"/>
      <c r="P3490" s="37"/>
    </row>
    <row r="3491" spans="2:16" x14ac:dyDescent="0.25">
      <c r="B34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1" s="46"/>
      <c r="D3491" s="37"/>
      <c r="E3491" s="37"/>
      <c r="F3491" s="37"/>
      <c r="G3491" s="40" t="str">
        <f>IF(tblMovimientos[[#This Row],[Producto]]="","",TRIM(LEFT(tblMovimientos[[#This Row],[Producto]],FIND(" · ",tblMovimientos[[#This Row],[Producto]]&amp;" · ")-1)))</f>
        <v/>
      </c>
      <c r="H3491" s="40" t="str">
        <f>IF(tblMovimientos[[#This Row],[SKU]]="","",IFERROR(INDEX(tblProductos[Unidad],MATCH(tblMovimientos[[#This Row],[SKU]],tblProductos[SKU],0)),"?"))</f>
        <v/>
      </c>
      <c r="I3491" s="39"/>
      <c r="J3491" s="47" t="str">
        <f>IF(tblMovimientos[[#This Row],[Tipo]]="","",IFERROR(INDEX(tblTiposMov[FactorStock],MATCH(tblMovimientos[[#This Row],[Tipo]],tblTiposMov[Tipo],0)),0))</f>
        <v/>
      </c>
      <c r="K34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1" s="37"/>
      <c r="O3491" s="37"/>
      <c r="P3491" s="37"/>
    </row>
    <row r="3492" spans="2:16" x14ac:dyDescent="0.25">
      <c r="B34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2" s="46"/>
      <c r="D3492" s="37"/>
      <c r="E3492" s="37"/>
      <c r="F3492" s="37"/>
      <c r="G3492" s="40" t="str">
        <f>IF(tblMovimientos[[#This Row],[Producto]]="","",TRIM(LEFT(tblMovimientos[[#This Row],[Producto]],FIND(" · ",tblMovimientos[[#This Row],[Producto]]&amp;" · ")-1)))</f>
        <v/>
      </c>
      <c r="H3492" s="40" t="str">
        <f>IF(tblMovimientos[[#This Row],[SKU]]="","",IFERROR(INDEX(tblProductos[Unidad],MATCH(tblMovimientos[[#This Row],[SKU]],tblProductos[SKU],0)),"?"))</f>
        <v/>
      </c>
      <c r="I3492" s="39"/>
      <c r="J3492" s="47" t="str">
        <f>IF(tblMovimientos[[#This Row],[Tipo]]="","",IFERROR(INDEX(tblTiposMov[FactorStock],MATCH(tblMovimientos[[#This Row],[Tipo]],tblTiposMov[Tipo],0)),0))</f>
        <v/>
      </c>
      <c r="K34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2" s="37"/>
      <c r="O3492" s="37"/>
      <c r="P3492" s="37"/>
    </row>
    <row r="3493" spans="2:16" x14ac:dyDescent="0.25">
      <c r="B34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3" s="46"/>
      <c r="D3493" s="37"/>
      <c r="E3493" s="37"/>
      <c r="F3493" s="37"/>
      <c r="G3493" s="40" t="str">
        <f>IF(tblMovimientos[[#This Row],[Producto]]="","",TRIM(LEFT(tblMovimientos[[#This Row],[Producto]],FIND(" · ",tblMovimientos[[#This Row],[Producto]]&amp;" · ")-1)))</f>
        <v/>
      </c>
      <c r="H3493" s="40" t="str">
        <f>IF(tblMovimientos[[#This Row],[SKU]]="","",IFERROR(INDEX(tblProductos[Unidad],MATCH(tblMovimientos[[#This Row],[SKU]],tblProductos[SKU],0)),"?"))</f>
        <v/>
      </c>
      <c r="I3493" s="39"/>
      <c r="J3493" s="47" t="str">
        <f>IF(tblMovimientos[[#This Row],[Tipo]]="","",IFERROR(INDEX(tblTiposMov[FactorStock],MATCH(tblMovimientos[[#This Row],[Tipo]],tblTiposMov[Tipo],0)),0))</f>
        <v/>
      </c>
      <c r="K34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3" s="37"/>
      <c r="O3493" s="37"/>
      <c r="P3493" s="37"/>
    </row>
    <row r="3494" spans="2:16" x14ac:dyDescent="0.25">
      <c r="B34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4" s="46"/>
      <c r="D3494" s="37"/>
      <c r="E3494" s="37"/>
      <c r="F3494" s="37"/>
      <c r="G3494" s="40" t="str">
        <f>IF(tblMovimientos[[#This Row],[Producto]]="","",TRIM(LEFT(tblMovimientos[[#This Row],[Producto]],FIND(" · ",tblMovimientos[[#This Row],[Producto]]&amp;" · ")-1)))</f>
        <v/>
      </c>
      <c r="H3494" s="40" t="str">
        <f>IF(tblMovimientos[[#This Row],[SKU]]="","",IFERROR(INDEX(tblProductos[Unidad],MATCH(tblMovimientos[[#This Row],[SKU]],tblProductos[SKU],0)),"?"))</f>
        <v/>
      </c>
      <c r="I3494" s="39"/>
      <c r="J3494" s="47" t="str">
        <f>IF(tblMovimientos[[#This Row],[Tipo]]="","",IFERROR(INDEX(tblTiposMov[FactorStock],MATCH(tblMovimientos[[#This Row],[Tipo]],tblTiposMov[Tipo],0)),0))</f>
        <v/>
      </c>
      <c r="K34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4" s="37"/>
      <c r="O3494" s="37"/>
      <c r="P3494" s="37"/>
    </row>
    <row r="3495" spans="2:16" x14ac:dyDescent="0.25">
      <c r="B34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5" s="46"/>
      <c r="D3495" s="37"/>
      <c r="E3495" s="37"/>
      <c r="F3495" s="37"/>
      <c r="G3495" s="40" t="str">
        <f>IF(tblMovimientos[[#This Row],[Producto]]="","",TRIM(LEFT(tblMovimientos[[#This Row],[Producto]],FIND(" · ",tblMovimientos[[#This Row],[Producto]]&amp;" · ")-1)))</f>
        <v/>
      </c>
      <c r="H3495" s="40" t="str">
        <f>IF(tblMovimientos[[#This Row],[SKU]]="","",IFERROR(INDEX(tblProductos[Unidad],MATCH(tblMovimientos[[#This Row],[SKU]],tblProductos[SKU],0)),"?"))</f>
        <v/>
      </c>
      <c r="I3495" s="39"/>
      <c r="J3495" s="47" t="str">
        <f>IF(tblMovimientos[[#This Row],[Tipo]]="","",IFERROR(INDEX(tblTiposMov[FactorStock],MATCH(tblMovimientos[[#This Row],[Tipo]],tblTiposMov[Tipo],0)),0))</f>
        <v/>
      </c>
      <c r="K34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5" s="37"/>
      <c r="O3495" s="37"/>
      <c r="P3495" s="37"/>
    </row>
    <row r="3496" spans="2:16" x14ac:dyDescent="0.25">
      <c r="B34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6" s="46"/>
      <c r="D3496" s="37"/>
      <c r="E3496" s="37"/>
      <c r="F3496" s="37"/>
      <c r="G3496" s="40" t="str">
        <f>IF(tblMovimientos[[#This Row],[Producto]]="","",TRIM(LEFT(tblMovimientos[[#This Row],[Producto]],FIND(" · ",tblMovimientos[[#This Row],[Producto]]&amp;" · ")-1)))</f>
        <v/>
      </c>
      <c r="H3496" s="40" t="str">
        <f>IF(tblMovimientos[[#This Row],[SKU]]="","",IFERROR(INDEX(tblProductos[Unidad],MATCH(tblMovimientos[[#This Row],[SKU]],tblProductos[SKU],0)),"?"))</f>
        <v/>
      </c>
      <c r="I3496" s="39"/>
      <c r="J3496" s="47" t="str">
        <f>IF(tblMovimientos[[#This Row],[Tipo]]="","",IFERROR(INDEX(tblTiposMov[FactorStock],MATCH(tblMovimientos[[#This Row],[Tipo]],tblTiposMov[Tipo],0)),0))</f>
        <v/>
      </c>
      <c r="K34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6" s="37"/>
      <c r="O3496" s="37"/>
      <c r="P3496" s="37"/>
    </row>
    <row r="3497" spans="2:16" x14ac:dyDescent="0.25">
      <c r="B34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7" s="46"/>
      <c r="D3497" s="37"/>
      <c r="E3497" s="37"/>
      <c r="F3497" s="37"/>
      <c r="G3497" s="40" t="str">
        <f>IF(tblMovimientos[[#This Row],[Producto]]="","",TRIM(LEFT(tblMovimientos[[#This Row],[Producto]],FIND(" · ",tblMovimientos[[#This Row],[Producto]]&amp;" · ")-1)))</f>
        <v/>
      </c>
      <c r="H3497" s="40" t="str">
        <f>IF(tblMovimientos[[#This Row],[SKU]]="","",IFERROR(INDEX(tblProductos[Unidad],MATCH(tblMovimientos[[#This Row],[SKU]],tblProductos[SKU],0)),"?"))</f>
        <v/>
      </c>
      <c r="I3497" s="39"/>
      <c r="J3497" s="47" t="str">
        <f>IF(tblMovimientos[[#This Row],[Tipo]]="","",IFERROR(INDEX(tblTiposMov[FactorStock],MATCH(tblMovimientos[[#This Row],[Tipo]],tblTiposMov[Tipo],0)),0))</f>
        <v/>
      </c>
      <c r="K34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7" s="37"/>
      <c r="O3497" s="37"/>
      <c r="P3497" s="37"/>
    </row>
    <row r="3498" spans="2:16" x14ac:dyDescent="0.25">
      <c r="B34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8" s="46"/>
      <c r="D3498" s="37"/>
      <c r="E3498" s="37"/>
      <c r="F3498" s="37"/>
      <c r="G3498" s="40" t="str">
        <f>IF(tblMovimientos[[#This Row],[Producto]]="","",TRIM(LEFT(tblMovimientos[[#This Row],[Producto]],FIND(" · ",tblMovimientos[[#This Row],[Producto]]&amp;" · ")-1)))</f>
        <v/>
      </c>
      <c r="H3498" s="40" t="str">
        <f>IF(tblMovimientos[[#This Row],[SKU]]="","",IFERROR(INDEX(tblProductos[Unidad],MATCH(tblMovimientos[[#This Row],[SKU]],tblProductos[SKU],0)),"?"))</f>
        <v/>
      </c>
      <c r="I3498" s="39"/>
      <c r="J3498" s="47" t="str">
        <f>IF(tblMovimientos[[#This Row],[Tipo]]="","",IFERROR(INDEX(tblTiposMov[FactorStock],MATCH(tblMovimientos[[#This Row],[Tipo]],tblTiposMov[Tipo],0)),0))</f>
        <v/>
      </c>
      <c r="K34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8" s="37"/>
      <c r="O3498" s="37"/>
      <c r="P3498" s="37"/>
    </row>
    <row r="3499" spans="2:16" x14ac:dyDescent="0.25">
      <c r="B34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499" s="46"/>
      <c r="D3499" s="37"/>
      <c r="E3499" s="37"/>
      <c r="F3499" s="37"/>
      <c r="G3499" s="40" t="str">
        <f>IF(tblMovimientos[[#This Row],[Producto]]="","",TRIM(LEFT(tblMovimientos[[#This Row],[Producto]],FIND(" · ",tblMovimientos[[#This Row],[Producto]]&amp;" · ")-1)))</f>
        <v/>
      </c>
      <c r="H3499" s="40" t="str">
        <f>IF(tblMovimientos[[#This Row],[SKU]]="","",IFERROR(INDEX(tblProductos[Unidad],MATCH(tblMovimientos[[#This Row],[SKU]],tblProductos[SKU],0)),"?"))</f>
        <v/>
      </c>
      <c r="I3499" s="39"/>
      <c r="J3499" s="47" t="str">
        <f>IF(tblMovimientos[[#This Row],[Tipo]]="","",IFERROR(INDEX(tblTiposMov[FactorStock],MATCH(tblMovimientos[[#This Row],[Tipo]],tblTiposMov[Tipo],0)),0))</f>
        <v/>
      </c>
      <c r="K34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4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499" s="37"/>
      <c r="O3499" s="37"/>
      <c r="P3499" s="37"/>
    </row>
    <row r="3500" spans="2:16" x14ac:dyDescent="0.25">
      <c r="B35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0" s="46"/>
      <c r="D3500" s="37"/>
      <c r="E3500" s="37"/>
      <c r="F3500" s="37"/>
      <c r="G3500" s="40" t="str">
        <f>IF(tblMovimientos[[#This Row],[Producto]]="","",TRIM(LEFT(tblMovimientos[[#This Row],[Producto]],FIND(" · ",tblMovimientos[[#This Row],[Producto]]&amp;" · ")-1)))</f>
        <v/>
      </c>
      <c r="H3500" s="40" t="str">
        <f>IF(tblMovimientos[[#This Row],[SKU]]="","",IFERROR(INDEX(tblProductos[Unidad],MATCH(tblMovimientos[[#This Row],[SKU]],tblProductos[SKU],0)),"?"))</f>
        <v/>
      </c>
      <c r="I3500" s="39"/>
      <c r="J3500" s="47" t="str">
        <f>IF(tblMovimientos[[#This Row],[Tipo]]="","",IFERROR(INDEX(tblTiposMov[FactorStock],MATCH(tblMovimientos[[#This Row],[Tipo]],tblTiposMov[Tipo],0)),0))</f>
        <v/>
      </c>
      <c r="K35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0" s="37"/>
      <c r="O3500" s="37"/>
      <c r="P3500" s="37"/>
    </row>
    <row r="3501" spans="2:16" x14ac:dyDescent="0.25">
      <c r="B35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1" s="46"/>
      <c r="D3501" s="37"/>
      <c r="E3501" s="37"/>
      <c r="F3501" s="37"/>
      <c r="G3501" s="40" t="str">
        <f>IF(tblMovimientos[[#This Row],[Producto]]="","",TRIM(LEFT(tblMovimientos[[#This Row],[Producto]],FIND(" · ",tblMovimientos[[#This Row],[Producto]]&amp;" · ")-1)))</f>
        <v/>
      </c>
      <c r="H3501" s="40" t="str">
        <f>IF(tblMovimientos[[#This Row],[SKU]]="","",IFERROR(INDEX(tblProductos[Unidad],MATCH(tblMovimientos[[#This Row],[SKU]],tblProductos[SKU],0)),"?"))</f>
        <v/>
      </c>
      <c r="I3501" s="39"/>
      <c r="J3501" s="47" t="str">
        <f>IF(tblMovimientos[[#This Row],[Tipo]]="","",IFERROR(INDEX(tblTiposMov[FactorStock],MATCH(tblMovimientos[[#This Row],[Tipo]],tblTiposMov[Tipo],0)),0))</f>
        <v/>
      </c>
      <c r="K35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1" s="37"/>
      <c r="O3501" s="37"/>
      <c r="P3501" s="37"/>
    </row>
    <row r="3502" spans="2:16" x14ac:dyDescent="0.25">
      <c r="B35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2" s="46"/>
      <c r="D3502" s="37"/>
      <c r="E3502" s="37"/>
      <c r="F3502" s="37"/>
      <c r="G3502" s="40" t="str">
        <f>IF(tblMovimientos[[#This Row],[Producto]]="","",TRIM(LEFT(tblMovimientos[[#This Row],[Producto]],FIND(" · ",tblMovimientos[[#This Row],[Producto]]&amp;" · ")-1)))</f>
        <v/>
      </c>
      <c r="H3502" s="40" t="str">
        <f>IF(tblMovimientos[[#This Row],[SKU]]="","",IFERROR(INDEX(tblProductos[Unidad],MATCH(tblMovimientos[[#This Row],[SKU]],tblProductos[SKU],0)),"?"))</f>
        <v/>
      </c>
      <c r="I3502" s="39"/>
      <c r="J3502" s="47" t="str">
        <f>IF(tblMovimientos[[#This Row],[Tipo]]="","",IFERROR(INDEX(tblTiposMov[FactorStock],MATCH(tblMovimientos[[#This Row],[Tipo]],tblTiposMov[Tipo],0)),0))</f>
        <v/>
      </c>
      <c r="K35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2" s="37"/>
      <c r="O3502" s="37"/>
      <c r="P3502" s="37"/>
    </row>
    <row r="3503" spans="2:16" x14ac:dyDescent="0.25">
      <c r="B35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3" s="46"/>
      <c r="D3503" s="37"/>
      <c r="E3503" s="37"/>
      <c r="F3503" s="37"/>
      <c r="G3503" s="40" t="str">
        <f>IF(tblMovimientos[[#This Row],[Producto]]="","",TRIM(LEFT(tblMovimientos[[#This Row],[Producto]],FIND(" · ",tblMovimientos[[#This Row],[Producto]]&amp;" · ")-1)))</f>
        <v/>
      </c>
      <c r="H3503" s="40" t="str">
        <f>IF(tblMovimientos[[#This Row],[SKU]]="","",IFERROR(INDEX(tblProductos[Unidad],MATCH(tblMovimientos[[#This Row],[SKU]],tblProductos[SKU],0)),"?"))</f>
        <v/>
      </c>
      <c r="I3503" s="39"/>
      <c r="J3503" s="47" t="str">
        <f>IF(tblMovimientos[[#This Row],[Tipo]]="","",IFERROR(INDEX(tblTiposMov[FactorStock],MATCH(tblMovimientos[[#This Row],[Tipo]],tblTiposMov[Tipo],0)),0))</f>
        <v/>
      </c>
      <c r="K35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3" s="37"/>
      <c r="O3503" s="37"/>
      <c r="P3503" s="37"/>
    </row>
    <row r="3504" spans="2:16" x14ac:dyDescent="0.25">
      <c r="B35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4" s="46"/>
      <c r="D3504" s="37"/>
      <c r="E3504" s="37"/>
      <c r="F3504" s="37"/>
      <c r="G3504" s="40" t="str">
        <f>IF(tblMovimientos[[#This Row],[Producto]]="","",TRIM(LEFT(tblMovimientos[[#This Row],[Producto]],FIND(" · ",tblMovimientos[[#This Row],[Producto]]&amp;" · ")-1)))</f>
        <v/>
      </c>
      <c r="H3504" s="40" t="str">
        <f>IF(tblMovimientos[[#This Row],[SKU]]="","",IFERROR(INDEX(tblProductos[Unidad],MATCH(tblMovimientos[[#This Row],[SKU]],tblProductos[SKU],0)),"?"))</f>
        <v/>
      </c>
      <c r="I3504" s="39"/>
      <c r="J3504" s="47" t="str">
        <f>IF(tblMovimientos[[#This Row],[Tipo]]="","",IFERROR(INDEX(tblTiposMov[FactorStock],MATCH(tblMovimientos[[#This Row],[Tipo]],tblTiposMov[Tipo],0)),0))</f>
        <v/>
      </c>
      <c r="K35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4" s="37"/>
      <c r="O3504" s="37"/>
      <c r="P3504" s="37"/>
    </row>
    <row r="3505" spans="2:16" x14ac:dyDescent="0.25">
      <c r="B35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5" s="46"/>
      <c r="D3505" s="37"/>
      <c r="E3505" s="37"/>
      <c r="F3505" s="37"/>
      <c r="G3505" s="40" t="str">
        <f>IF(tblMovimientos[[#This Row],[Producto]]="","",TRIM(LEFT(tblMovimientos[[#This Row],[Producto]],FIND(" · ",tblMovimientos[[#This Row],[Producto]]&amp;" · ")-1)))</f>
        <v/>
      </c>
      <c r="H3505" s="40" t="str">
        <f>IF(tblMovimientos[[#This Row],[SKU]]="","",IFERROR(INDEX(tblProductos[Unidad],MATCH(tblMovimientos[[#This Row],[SKU]],tblProductos[SKU],0)),"?"))</f>
        <v/>
      </c>
      <c r="I3505" s="39"/>
      <c r="J3505" s="47" t="str">
        <f>IF(tblMovimientos[[#This Row],[Tipo]]="","",IFERROR(INDEX(tblTiposMov[FactorStock],MATCH(tblMovimientos[[#This Row],[Tipo]],tblTiposMov[Tipo],0)),0))</f>
        <v/>
      </c>
      <c r="K35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5" s="37"/>
      <c r="O3505" s="37"/>
      <c r="P3505" s="37"/>
    </row>
    <row r="3506" spans="2:16" x14ac:dyDescent="0.25">
      <c r="B35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6" s="46"/>
      <c r="D3506" s="37"/>
      <c r="E3506" s="37"/>
      <c r="F3506" s="37"/>
      <c r="G3506" s="40" t="str">
        <f>IF(tblMovimientos[[#This Row],[Producto]]="","",TRIM(LEFT(tblMovimientos[[#This Row],[Producto]],FIND(" · ",tblMovimientos[[#This Row],[Producto]]&amp;" · ")-1)))</f>
        <v/>
      </c>
      <c r="H3506" s="40" t="str">
        <f>IF(tblMovimientos[[#This Row],[SKU]]="","",IFERROR(INDEX(tblProductos[Unidad],MATCH(tblMovimientos[[#This Row],[SKU]],tblProductos[SKU],0)),"?"))</f>
        <v/>
      </c>
      <c r="I3506" s="39"/>
      <c r="J3506" s="47" t="str">
        <f>IF(tblMovimientos[[#This Row],[Tipo]]="","",IFERROR(INDEX(tblTiposMov[FactorStock],MATCH(tblMovimientos[[#This Row],[Tipo]],tblTiposMov[Tipo],0)),0))</f>
        <v/>
      </c>
      <c r="K35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6" s="37"/>
      <c r="O3506" s="37"/>
      <c r="P3506" s="37"/>
    </row>
    <row r="3507" spans="2:16" x14ac:dyDescent="0.25">
      <c r="B35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7" s="46"/>
      <c r="D3507" s="37"/>
      <c r="E3507" s="37"/>
      <c r="F3507" s="37"/>
      <c r="G3507" s="40" t="str">
        <f>IF(tblMovimientos[[#This Row],[Producto]]="","",TRIM(LEFT(tblMovimientos[[#This Row],[Producto]],FIND(" · ",tblMovimientos[[#This Row],[Producto]]&amp;" · ")-1)))</f>
        <v/>
      </c>
      <c r="H3507" s="40" t="str">
        <f>IF(tblMovimientos[[#This Row],[SKU]]="","",IFERROR(INDEX(tblProductos[Unidad],MATCH(tblMovimientos[[#This Row],[SKU]],tblProductos[SKU],0)),"?"))</f>
        <v/>
      </c>
      <c r="I3507" s="39"/>
      <c r="J3507" s="47" t="str">
        <f>IF(tblMovimientos[[#This Row],[Tipo]]="","",IFERROR(INDEX(tblTiposMov[FactorStock],MATCH(tblMovimientos[[#This Row],[Tipo]],tblTiposMov[Tipo],0)),0))</f>
        <v/>
      </c>
      <c r="K35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7" s="37"/>
      <c r="O3507" s="37"/>
      <c r="P3507" s="37"/>
    </row>
    <row r="3508" spans="2:16" x14ac:dyDescent="0.25">
      <c r="B35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8" s="46"/>
      <c r="D3508" s="37"/>
      <c r="E3508" s="37"/>
      <c r="F3508" s="37"/>
      <c r="G3508" s="40" t="str">
        <f>IF(tblMovimientos[[#This Row],[Producto]]="","",TRIM(LEFT(tblMovimientos[[#This Row],[Producto]],FIND(" · ",tblMovimientos[[#This Row],[Producto]]&amp;" · ")-1)))</f>
        <v/>
      </c>
      <c r="H3508" s="40" t="str">
        <f>IF(tblMovimientos[[#This Row],[SKU]]="","",IFERROR(INDEX(tblProductos[Unidad],MATCH(tblMovimientos[[#This Row],[SKU]],tblProductos[SKU],0)),"?"))</f>
        <v/>
      </c>
      <c r="I3508" s="39"/>
      <c r="J3508" s="47" t="str">
        <f>IF(tblMovimientos[[#This Row],[Tipo]]="","",IFERROR(INDEX(tblTiposMov[FactorStock],MATCH(tblMovimientos[[#This Row],[Tipo]],tblTiposMov[Tipo],0)),0))</f>
        <v/>
      </c>
      <c r="K35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8" s="37"/>
      <c r="O3508" s="37"/>
      <c r="P3508" s="37"/>
    </row>
    <row r="3509" spans="2:16" x14ac:dyDescent="0.25">
      <c r="B35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09" s="46"/>
      <c r="D3509" s="37"/>
      <c r="E3509" s="37"/>
      <c r="F3509" s="37"/>
      <c r="G3509" s="40" t="str">
        <f>IF(tblMovimientos[[#This Row],[Producto]]="","",TRIM(LEFT(tblMovimientos[[#This Row],[Producto]],FIND(" · ",tblMovimientos[[#This Row],[Producto]]&amp;" · ")-1)))</f>
        <v/>
      </c>
      <c r="H3509" s="40" t="str">
        <f>IF(tblMovimientos[[#This Row],[SKU]]="","",IFERROR(INDEX(tblProductos[Unidad],MATCH(tblMovimientos[[#This Row],[SKU]],tblProductos[SKU],0)),"?"))</f>
        <v/>
      </c>
      <c r="I3509" s="39"/>
      <c r="J3509" s="47" t="str">
        <f>IF(tblMovimientos[[#This Row],[Tipo]]="","",IFERROR(INDEX(tblTiposMov[FactorStock],MATCH(tblMovimientos[[#This Row],[Tipo]],tblTiposMov[Tipo],0)),0))</f>
        <v/>
      </c>
      <c r="K35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09" s="37"/>
      <c r="O3509" s="37"/>
      <c r="P3509" s="37"/>
    </row>
    <row r="3510" spans="2:16" x14ac:dyDescent="0.25">
      <c r="B35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0" s="46"/>
      <c r="D3510" s="37"/>
      <c r="E3510" s="37"/>
      <c r="F3510" s="37"/>
      <c r="G3510" s="40" t="str">
        <f>IF(tblMovimientos[[#This Row],[Producto]]="","",TRIM(LEFT(tblMovimientos[[#This Row],[Producto]],FIND(" · ",tblMovimientos[[#This Row],[Producto]]&amp;" · ")-1)))</f>
        <v/>
      </c>
      <c r="H3510" s="40" t="str">
        <f>IF(tblMovimientos[[#This Row],[SKU]]="","",IFERROR(INDEX(tblProductos[Unidad],MATCH(tblMovimientos[[#This Row],[SKU]],tblProductos[SKU],0)),"?"))</f>
        <v/>
      </c>
      <c r="I3510" s="39"/>
      <c r="J3510" s="47" t="str">
        <f>IF(tblMovimientos[[#This Row],[Tipo]]="","",IFERROR(INDEX(tblTiposMov[FactorStock],MATCH(tblMovimientos[[#This Row],[Tipo]],tblTiposMov[Tipo],0)),0))</f>
        <v/>
      </c>
      <c r="K35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0" s="37"/>
      <c r="O3510" s="37"/>
      <c r="P3510" s="37"/>
    </row>
    <row r="3511" spans="2:16" x14ac:dyDescent="0.25">
      <c r="B35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1" s="46"/>
      <c r="D3511" s="37"/>
      <c r="E3511" s="37"/>
      <c r="F3511" s="37"/>
      <c r="G3511" s="40" t="str">
        <f>IF(tblMovimientos[[#This Row],[Producto]]="","",TRIM(LEFT(tblMovimientos[[#This Row],[Producto]],FIND(" · ",tblMovimientos[[#This Row],[Producto]]&amp;" · ")-1)))</f>
        <v/>
      </c>
      <c r="H3511" s="40" t="str">
        <f>IF(tblMovimientos[[#This Row],[SKU]]="","",IFERROR(INDEX(tblProductos[Unidad],MATCH(tblMovimientos[[#This Row],[SKU]],tblProductos[SKU],0)),"?"))</f>
        <v/>
      </c>
      <c r="I3511" s="39"/>
      <c r="J3511" s="47" t="str">
        <f>IF(tblMovimientos[[#This Row],[Tipo]]="","",IFERROR(INDEX(tblTiposMov[FactorStock],MATCH(tblMovimientos[[#This Row],[Tipo]],tblTiposMov[Tipo],0)),0))</f>
        <v/>
      </c>
      <c r="K35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1" s="37"/>
      <c r="O3511" s="37"/>
      <c r="P3511" s="37"/>
    </row>
    <row r="3512" spans="2:16" x14ac:dyDescent="0.25">
      <c r="B35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2" s="46"/>
      <c r="D3512" s="37"/>
      <c r="E3512" s="37"/>
      <c r="F3512" s="37"/>
      <c r="G3512" s="40" t="str">
        <f>IF(tblMovimientos[[#This Row],[Producto]]="","",TRIM(LEFT(tblMovimientos[[#This Row],[Producto]],FIND(" · ",tblMovimientos[[#This Row],[Producto]]&amp;" · ")-1)))</f>
        <v/>
      </c>
      <c r="H3512" s="40" t="str">
        <f>IF(tblMovimientos[[#This Row],[SKU]]="","",IFERROR(INDEX(tblProductos[Unidad],MATCH(tblMovimientos[[#This Row],[SKU]],tblProductos[SKU],0)),"?"))</f>
        <v/>
      </c>
      <c r="I3512" s="39"/>
      <c r="J3512" s="47" t="str">
        <f>IF(tblMovimientos[[#This Row],[Tipo]]="","",IFERROR(INDEX(tblTiposMov[FactorStock],MATCH(tblMovimientos[[#This Row],[Tipo]],tblTiposMov[Tipo],0)),0))</f>
        <v/>
      </c>
      <c r="K35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2" s="37"/>
      <c r="O3512" s="37"/>
      <c r="P3512" s="37"/>
    </row>
    <row r="3513" spans="2:16" x14ac:dyDescent="0.25">
      <c r="B35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3" s="46"/>
      <c r="D3513" s="37"/>
      <c r="E3513" s="37"/>
      <c r="F3513" s="37"/>
      <c r="G3513" s="40" t="str">
        <f>IF(tblMovimientos[[#This Row],[Producto]]="","",TRIM(LEFT(tblMovimientos[[#This Row],[Producto]],FIND(" · ",tblMovimientos[[#This Row],[Producto]]&amp;" · ")-1)))</f>
        <v/>
      </c>
      <c r="H3513" s="40" t="str">
        <f>IF(tblMovimientos[[#This Row],[SKU]]="","",IFERROR(INDEX(tblProductos[Unidad],MATCH(tblMovimientos[[#This Row],[SKU]],tblProductos[SKU],0)),"?"))</f>
        <v/>
      </c>
      <c r="I3513" s="39"/>
      <c r="J3513" s="47" t="str">
        <f>IF(tblMovimientos[[#This Row],[Tipo]]="","",IFERROR(INDEX(tblTiposMov[FactorStock],MATCH(tblMovimientos[[#This Row],[Tipo]],tblTiposMov[Tipo],0)),0))</f>
        <v/>
      </c>
      <c r="K35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3" s="37"/>
      <c r="O3513" s="37"/>
      <c r="P3513" s="37"/>
    </row>
    <row r="3514" spans="2:16" x14ac:dyDescent="0.25">
      <c r="B35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4" s="46"/>
      <c r="D3514" s="37"/>
      <c r="E3514" s="37"/>
      <c r="F3514" s="37"/>
      <c r="G3514" s="40" t="str">
        <f>IF(tblMovimientos[[#This Row],[Producto]]="","",TRIM(LEFT(tblMovimientos[[#This Row],[Producto]],FIND(" · ",tblMovimientos[[#This Row],[Producto]]&amp;" · ")-1)))</f>
        <v/>
      </c>
      <c r="H3514" s="40" t="str">
        <f>IF(tblMovimientos[[#This Row],[SKU]]="","",IFERROR(INDEX(tblProductos[Unidad],MATCH(tblMovimientos[[#This Row],[SKU]],tblProductos[SKU],0)),"?"))</f>
        <v/>
      </c>
      <c r="I3514" s="39"/>
      <c r="J3514" s="47" t="str">
        <f>IF(tblMovimientos[[#This Row],[Tipo]]="","",IFERROR(INDEX(tblTiposMov[FactorStock],MATCH(tblMovimientos[[#This Row],[Tipo]],tblTiposMov[Tipo],0)),0))</f>
        <v/>
      </c>
      <c r="K35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4" s="37"/>
      <c r="O3514" s="37"/>
      <c r="P3514" s="37"/>
    </row>
    <row r="3515" spans="2:16" x14ac:dyDescent="0.25">
      <c r="B35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5" s="46"/>
      <c r="D3515" s="37"/>
      <c r="E3515" s="37"/>
      <c r="F3515" s="37"/>
      <c r="G3515" s="40" t="str">
        <f>IF(tblMovimientos[[#This Row],[Producto]]="","",TRIM(LEFT(tblMovimientos[[#This Row],[Producto]],FIND(" · ",tblMovimientos[[#This Row],[Producto]]&amp;" · ")-1)))</f>
        <v/>
      </c>
      <c r="H3515" s="40" t="str">
        <f>IF(tblMovimientos[[#This Row],[SKU]]="","",IFERROR(INDEX(tblProductos[Unidad],MATCH(tblMovimientos[[#This Row],[SKU]],tblProductos[SKU],0)),"?"))</f>
        <v/>
      </c>
      <c r="I3515" s="39"/>
      <c r="J3515" s="47" t="str">
        <f>IF(tblMovimientos[[#This Row],[Tipo]]="","",IFERROR(INDEX(tblTiposMov[FactorStock],MATCH(tblMovimientos[[#This Row],[Tipo]],tblTiposMov[Tipo],0)),0))</f>
        <v/>
      </c>
      <c r="K35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5" s="37"/>
      <c r="O3515" s="37"/>
      <c r="P3515" s="37"/>
    </row>
    <row r="3516" spans="2:16" x14ac:dyDescent="0.25">
      <c r="B35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6" s="46"/>
      <c r="D3516" s="37"/>
      <c r="E3516" s="37"/>
      <c r="F3516" s="37"/>
      <c r="G3516" s="40" t="str">
        <f>IF(tblMovimientos[[#This Row],[Producto]]="","",TRIM(LEFT(tblMovimientos[[#This Row],[Producto]],FIND(" · ",tblMovimientos[[#This Row],[Producto]]&amp;" · ")-1)))</f>
        <v/>
      </c>
      <c r="H3516" s="40" t="str">
        <f>IF(tblMovimientos[[#This Row],[SKU]]="","",IFERROR(INDEX(tblProductos[Unidad],MATCH(tblMovimientos[[#This Row],[SKU]],tblProductos[SKU],0)),"?"))</f>
        <v/>
      </c>
      <c r="I3516" s="39"/>
      <c r="J3516" s="47" t="str">
        <f>IF(tblMovimientos[[#This Row],[Tipo]]="","",IFERROR(INDEX(tblTiposMov[FactorStock],MATCH(tblMovimientos[[#This Row],[Tipo]],tblTiposMov[Tipo],0)),0))</f>
        <v/>
      </c>
      <c r="K35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6" s="37"/>
      <c r="O3516" s="37"/>
      <c r="P3516" s="37"/>
    </row>
    <row r="3517" spans="2:16" x14ac:dyDescent="0.25">
      <c r="B35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7" s="46"/>
      <c r="D3517" s="37"/>
      <c r="E3517" s="37"/>
      <c r="F3517" s="37"/>
      <c r="G3517" s="40" t="str">
        <f>IF(tblMovimientos[[#This Row],[Producto]]="","",TRIM(LEFT(tblMovimientos[[#This Row],[Producto]],FIND(" · ",tblMovimientos[[#This Row],[Producto]]&amp;" · ")-1)))</f>
        <v/>
      </c>
      <c r="H3517" s="40" t="str">
        <f>IF(tblMovimientos[[#This Row],[SKU]]="","",IFERROR(INDEX(tblProductos[Unidad],MATCH(tblMovimientos[[#This Row],[SKU]],tblProductos[SKU],0)),"?"))</f>
        <v/>
      </c>
      <c r="I3517" s="39"/>
      <c r="J3517" s="47" t="str">
        <f>IF(tblMovimientos[[#This Row],[Tipo]]="","",IFERROR(INDEX(tblTiposMov[FactorStock],MATCH(tblMovimientos[[#This Row],[Tipo]],tblTiposMov[Tipo],0)),0))</f>
        <v/>
      </c>
      <c r="K35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7" s="37"/>
      <c r="O3517" s="37"/>
      <c r="P3517" s="37"/>
    </row>
    <row r="3518" spans="2:16" x14ac:dyDescent="0.25">
      <c r="B35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8" s="46"/>
      <c r="D3518" s="37"/>
      <c r="E3518" s="37"/>
      <c r="F3518" s="37"/>
      <c r="G3518" s="40" t="str">
        <f>IF(tblMovimientos[[#This Row],[Producto]]="","",TRIM(LEFT(tblMovimientos[[#This Row],[Producto]],FIND(" · ",tblMovimientos[[#This Row],[Producto]]&amp;" · ")-1)))</f>
        <v/>
      </c>
      <c r="H3518" s="40" t="str">
        <f>IF(tblMovimientos[[#This Row],[SKU]]="","",IFERROR(INDEX(tblProductos[Unidad],MATCH(tblMovimientos[[#This Row],[SKU]],tblProductos[SKU],0)),"?"))</f>
        <v/>
      </c>
      <c r="I3518" s="39"/>
      <c r="J3518" s="47" t="str">
        <f>IF(tblMovimientos[[#This Row],[Tipo]]="","",IFERROR(INDEX(tblTiposMov[FactorStock],MATCH(tblMovimientos[[#This Row],[Tipo]],tblTiposMov[Tipo],0)),0))</f>
        <v/>
      </c>
      <c r="K35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8" s="37"/>
      <c r="O3518" s="37"/>
      <c r="P3518" s="37"/>
    </row>
    <row r="3519" spans="2:16" x14ac:dyDescent="0.25">
      <c r="B35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19" s="46"/>
      <c r="D3519" s="37"/>
      <c r="E3519" s="37"/>
      <c r="F3519" s="37"/>
      <c r="G3519" s="40" t="str">
        <f>IF(tblMovimientos[[#This Row],[Producto]]="","",TRIM(LEFT(tblMovimientos[[#This Row],[Producto]],FIND(" · ",tblMovimientos[[#This Row],[Producto]]&amp;" · ")-1)))</f>
        <v/>
      </c>
      <c r="H3519" s="40" t="str">
        <f>IF(tblMovimientos[[#This Row],[SKU]]="","",IFERROR(INDEX(tblProductos[Unidad],MATCH(tblMovimientos[[#This Row],[SKU]],tblProductos[SKU],0)),"?"))</f>
        <v/>
      </c>
      <c r="I3519" s="39"/>
      <c r="J3519" s="47" t="str">
        <f>IF(tblMovimientos[[#This Row],[Tipo]]="","",IFERROR(INDEX(tblTiposMov[FactorStock],MATCH(tblMovimientos[[#This Row],[Tipo]],tblTiposMov[Tipo],0)),0))</f>
        <v/>
      </c>
      <c r="K35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19" s="37"/>
      <c r="O3519" s="37"/>
      <c r="P3519" s="37"/>
    </row>
    <row r="3520" spans="2:16" x14ac:dyDescent="0.25">
      <c r="B35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0" s="46"/>
      <c r="D3520" s="37"/>
      <c r="E3520" s="37"/>
      <c r="F3520" s="37"/>
      <c r="G3520" s="40" t="str">
        <f>IF(tblMovimientos[[#This Row],[Producto]]="","",TRIM(LEFT(tblMovimientos[[#This Row],[Producto]],FIND(" · ",tblMovimientos[[#This Row],[Producto]]&amp;" · ")-1)))</f>
        <v/>
      </c>
      <c r="H3520" s="40" t="str">
        <f>IF(tblMovimientos[[#This Row],[SKU]]="","",IFERROR(INDEX(tblProductos[Unidad],MATCH(tblMovimientos[[#This Row],[SKU]],tblProductos[SKU],0)),"?"))</f>
        <v/>
      </c>
      <c r="I3520" s="39"/>
      <c r="J3520" s="47" t="str">
        <f>IF(tblMovimientos[[#This Row],[Tipo]]="","",IFERROR(INDEX(tblTiposMov[FactorStock],MATCH(tblMovimientos[[#This Row],[Tipo]],tblTiposMov[Tipo],0)),0))</f>
        <v/>
      </c>
      <c r="K35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0" s="37"/>
      <c r="O3520" s="37"/>
      <c r="P3520" s="37"/>
    </row>
    <row r="3521" spans="2:16" x14ac:dyDescent="0.25">
      <c r="B35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1" s="46"/>
      <c r="D3521" s="37"/>
      <c r="E3521" s="37"/>
      <c r="F3521" s="37"/>
      <c r="G3521" s="40" t="str">
        <f>IF(tblMovimientos[[#This Row],[Producto]]="","",TRIM(LEFT(tblMovimientos[[#This Row],[Producto]],FIND(" · ",tblMovimientos[[#This Row],[Producto]]&amp;" · ")-1)))</f>
        <v/>
      </c>
      <c r="H3521" s="40" t="str">
        <f>IF(tblMovimientos[[#This Row],[SKU]]="","",IFERROR(INDEX(tblProductos[Unidad],MATCH(tblMovimientos[[#This Row],[SKU]],tblProductos[SKU],0)),"?"))</f>
        <v/>
      </c>
      <c r="I3521" s="39"/>
      <c r="J3521" s="47" t="str">
        <f>IF(tblMovimientos[[#This Row],[Tipo]]="","",IFERROR(INDEX(tblTiposMov[FactorStock],MATCH(tblMovimientos[[#This Row],[Tipo]],tblTiposMov[Tipo],0)),0))</f>
        <v/>
      </c>
      <c r="K35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1" s="37"/>
      <c r="O3521" s="37"/>
      <c r="P3521" s="37"/>
    </row>
    <row r="3522" spans="2:16" x14ac:dyDescent="0.25">
      <c r="B35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2" s="46"/>
      <c r="D3522" s="37"/>
      <c r="E3522" s="37"/>
      <c r="F3522" s="37"/>
      <c r="G3522" s="40" t="str">
        <f>IF(tblMovimientos[[#This Row],[Producto]]="","",TRIM(LEFT(tblMovimientos[[#This Row],[Producto]],FIND(" · ",tblMovimientos[[#This Row],[Producto]]&amp;" · ")-1)))</f>
        <v/>
      </c>
      <c r="H3522" s="40" t="str">
        <f>IF(tblMovimientos[[#This Row],[SKU]]="","",IFERROR(INDEX(tblProductos[Unidad],MATCH(tblMovimientos[[#This Row],[SKU]],tblProductos[SKU],0)),"?"))</f>
        <v/>
      </c>
      <c r="I3522" s="39"/>
      <c r="J3522" s="47" t="str">
        <f>IF(tblMovimientos[[#This Row],[Tipo]]="","",IFERROR(INDEX(tblTiposMov[FactorStock],MATCH(tblMovimientos[[#This Row],[Tipo]],tblTiposMov[Tipo],0)),0))</f>
        <v/>
      </c>
      <c r="K35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2" s="37"/>
      <c r="O3522" s="37"/>
      <c r="P3522" s="37"/>
    </row>
    <row r="3523" spans="2:16" x14ac:dyDescent="0.25">
      <c r="B35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3" s="46"/>
      <c r="D3523" s="37"/>
      <c r="E3523" s="37"/>
      <c r="F3523" s="37"/>
      <c r="G3523" s="40" t="str">
        <f>IF(tblMovimientos[[#This Row],[Producto]]="","",TRIM(LEFT(tblMovimientos[[#This Row],[Producto]],FIND(" · ",tblMovimientos[[#This Row],[Producto]]&amp;" · ")-1)))</f>
        <v/>
      </c>
      <c r="H3523" s="40" t="str">
        <f>IF(tblMovimientos[[#This Row],[SKU]]="","",IFERROR(INDEX(tblProductos[Unidad],MATCH(tblMovimientos[[#This Row],[SKU]],tblProductos[SKU],0)),"?"))</f>
        <v/>
      </c>
      <c r="I3523" s="39"/>
      <c r="J3523" s="47" t="str">
        <f>IF(tblMovimientos[[#This Row],[Tipo]]="","",IFERROR(INDEX(tblTiposMov[FactorStock],MATCH(tblMovimientos[[#This Row],[Tipo]],tblTiposMov[Tipo],0)),0))</f>
        <v/>
      </c>
      <c r="K35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3" s="37"/>
      <c r="O3523" s="37"/>
      <c r="P3523" s="37"/>
    </row>
    <row r="3524" spans="2:16" x14ac:dyDescent="0.25">
      <c r="B35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4" s="46"/>
      <c r="D3524" s="37"/>
      <c r="E3524" s="37"/>
      <c r="F3524" s="37"/>
      <c r="G3524" s="40" t="str">
        <f>IF(tblMovimientos[[#This Row],[Producto]]="","",TRIM(LEFT(tblMovimientos[[#This Row],[Producto]],FIND(" · ",tblMovimientos[[#This Row],[Producto]]&amp;" · ")-1)))</f>
        <v/>
      </c>
      <c r="H3524" s="40" t="str">
        <f>IF(tblMovimientos[[#This Row],[SKU]]="","",IFERROR(INDEX(tblProductos[Unidad],MATCH(tblMovimientos[[#This Row],[SKU]],tblProductos[SKU],0)),"?"))</f>
        <v/>
      </c>
      <c r="I3524" s="39"/>
      <c r="J3524" s="47" t="str">
        <f>IF(tblMovimientos[[#This Row],[Tipo]]="","",IFERROR(INDEX(tblTiposMov[FactorStock],MATCH(tblMovimientos[[#This Row],[Tipo]],tblTiposMov[Tipo],0)),0))</f>
        <v/>
      </c>
      <c r="K35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4" s="37"/>
      <c r="O3524" s="37"/>
      <c r="P3524" s="37"/>
    </row>
    <row r="3525" spans="2:16" x14ac:dyDescent="0.25">
      <c r="B35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5" s="46"/>
      <c r="D3525" s="37"/>
      <c r="E3525" s="37"/>
      <c r="F3525" s="37"/>
      <c r="G3525" s="40" t="str">
        <f>IF(tblMovimientos[[#This Row],[Producto]]="","",TRIM(LEFT(tblMovimientos[[#This Row],[Producto]],FIND(" · ",tblMovimientos[[#This Row],[Producto]]&amp;" · ")-1)))</f>
        <v/>
      </c>
      <c r="H3525" s="40" t="str">
        <f>IF(tblMovimientos[[#This Row],[SKU]]="","",IFERROR(INDEX(tblProductos[Unidad],MATCH(tblMovimientos[[#This Row],[SKU]],tblProductos[SKU],0)),"?"))</f>
        <v/>
      </c>
      <c r="I3525" s="39"/>
      <c r="J3525" s="47" t="str">
        <f>IF(tblMovimientos[[#This Row],[Tipo]]="","",IFERROR(INDEX(tblTiposMov[FactorStock],MATCH(tblMovimientos[[#This Row],[Tipo]],tblTiposMov[Tipo],0)),0))</f>
        <v/>
      </c>
      <c r="K35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5" s="37"/>
      <c r="O3525" s="37"/>
      <c r="P3525" s="37"/>
    </row>
    <row r="3526" spans="2:16" x14ac:dyDescent="0.25">
      <c r="B35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6" s="46"/>
      <c r="D3526" s="37"/>
      <c r="E3526" s="37"/>
      <c r="F3526" s="37"/>
      <c r="G3526" s="40" t="str">
        <f>IF(tblMovimientos[[#This Row],[Producto]]="","",TRIM(LEFT(tblMovimientos[[#This Row],[Producto]],FIND(" · ",tblMovimientos[[#This Row],[Producto]]&amp;" · ")-1)))</f>
        <v/>
      </c>
      <c r="H3526" s="40" t="str">
        <f>IF(tblMovimientos[[#This Row],[SKU]]="","",IFERROR(INDEX(tblProductos[Unidad],MATCH(tblMovimientos[[#This Row],[SKU]],tblProductos[SKU],0)),"?"))</f>
        <v/>
      </c>
      <c r="I3526" s="39"/>
      <c r="J3526" s="47" t="str">
        <f>IF(tblMovimientos[[#This Row],[Tipo]]="","",IFERROR(INDEX(tblTiposMov[FactorStock],MATCH(tblMovimientos[[#This Row],[Tipo]],tblTiposMov[Tipo],0)),0))</f>
        <v/>
      </c>
      <c r="K35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6" s="37"/>
      <c r="O3526" s="37"/>
      <c r="P3526" s="37"/>
    </row>
    <row r="3527" spans="2:16" x14ac:dyDescent="0.25">
      <c r="B35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7" s="46"/>
      <c r="D3527" s="37"/>
      <c r="E3527" s="37"/>
      <c r="F3527" s="37"/>
      <c r="G3527" s="40" t="str">
        <f>IF(tblMovimientos[[#This Row],[Producto]]="","",TRIM(LEFT(tblMovimientos[[#This Row],[Producto]],FIND(" · ",tblMovimientos[[#This Row],[Producto]]&amp;" · ")-1)))</f>
        <v/>
      </c>
      <c r="H3527" s="40" t="str">
        <f>IF(tblMovimientos[[#This Row],[SKU]]="","",IFERROR(INDEX(tblProductos[Unidad],MATCH(tblMovimientos[[#This Row],[SKU]],tblProductos[SKU],0)),"?"))</f>
        <v/>
      </c>
      <c r="I3527" s="39"/>
      <c r="J3527" s="47" t="str">
        <f>IF(tblMovimientos[[#This Row],[Tipo]]="","",IFERROR(INDEX(tblTiposMov[FactorStock],MATCH(tblMovimientos[[#This Row],[Tipo]],tblTiposMov[Tipo],0)),0))</f>
        <v/>
      </c>
      <c r="K35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7" s="37"/>
      <c r="O3527" s="37"/>
      <c r="P3527" s="37"/>
    </row>
    <row r="3528" spans="2:16" x14ac:dyDescent="0.25">
      <c r="B35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8" s="46"/>
      <c r="D3528" s="37"/>
      <c r="E3528" s="37"/>
      <c r="F3528" s="37"/>
      <c r="G3528" s="40" t="str">
        <f>IF(tblMovimientos[[#This Row],[Producto]]="","",TRIM(LEFT(tblMovimientos[[#This Row],[Producto]],FIND(" · ",tblMovimientos[[#This Row],[Producto]]&amp;" · ")-1)))</f>
        <v/>
      </c>
      <c r="H3528" s="40" t="str">
        <f>IF(tblMovimientos[[#This Row],[SKU]]="","",IFERROR(INDEX(tblProductos[Unidad],MATCH(tblMovimientos[[#This Row],[SKU]],tblProductos[SKU],0)),"?"))</f>
        <v/>
      </c>
      <c r="I3528" s="39"/>
      <c r="J3528" s="47" t="str">
        <f>IF(tblMovimientos[[#This Row],[Tipo]]="","",IFERROR(INDEX(tblTiposMov[FactorStock],MATCH(tblMovimientos[[#This Row],[Tipo]],tblTiposMov[Tipo],0)),0))</f>
        <v/>
      </c>
      <c r="K35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8" s="37"/>
      <c r="O3528" s="37"/>
      <c r="P3528" s="37"/>
    </row>
    <row r="3529" spans="2:16" x14ac:dyDescent="0.25">
      <c r="B35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29" s="46"/>
      <c r="D3529" s="37"/>
      <c r="E3529" s="37"/>
      <c r="F3529" s="37"/>
      <c r="G3529" s="40" t="str">
        <f>IF(tblMovimientos[[#This Row],[Producto]]="","",TRIM(LEFT(tblMovimientos[[#This Row],[Producto]],FIND(" · ",tblMovimientos[[#This Row],[Producto]]&amp;" · ")-1)))</f>
        <v/>
      </c>
      <c r="H3529" s="40" t="str">
        <f>IF(tblMovimientos[[#This Row],[SKU]]="","",IFERROR(INDEX(tblProductos[Unidad],MATCH(tblMovimientos[[#This Row],[SKU]],tblProductos[SKU],0)),"?"))</f>
        <v/>
      </c>
      <c r="I3529" s="39"/>
      <c r="J3529" s="47" t="str">
        <f>IF(tblMovimientos[[#This Row],[Tipo]]="","",IFERROR(INDEX(tblTiposMov[FactorStock],MATCH(tblMovimientos[[#This Row],[Tipo]],tblTiposMov[Tipo],0)),0))</f>
        <v/>
      </c>
      <c r="K35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29" s="37"/>
      <c r="O3529" s="37"/>
      <c r="P3529" s="37"/>
    </row>
    <row r="3530" spans="2:16" x14ac:dyDescent="0.25">
      <c r="B35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0" s="46"/>
      <c r="D3530" s="37"/>
      <c r="E3530" s="37"/>
      <c r="F3530" s="37"/>
      <c r="G3530" s="40" t="str">
        <f>IF(tblMovimientos[[#This Row],[Producto]]="","",TRIM(LEFT(tblMovimientos[[#This Row],[Producto]],FIND(" · ",tblMovimientos[[#This Row],[Producto]]&amp;" · ")-1)))</f>
        <v/>
      </c>
      <c r="H3530" s="40" t="str">
        <f>IF(tblMovimientos[[#This Row],[SKU]]="","",IFERROR(INDEX(tblProductos[Unidad],MATCH(tblMovimientos[[#This Row],[SKU]],tblProductos[SKU],0)),"?"))</f>
        <v/>
      </c>
      <c r="I3530" s="39"/>
      <c r="J3530" s="47" t="str">
        <f>IF(tblMovimientos[[#This Row],[Tipo]]="","",IFERROR(INDEX(tblTiposMov[FactorStock],MATCH(tblMovimientos[[#This Row],[Tipo]],tblTiposMov[Tipo],0)),0))</f>
        <v/>
      </c>
      <c r="K35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0" s="37"/>
      <c r="O3530" s="37"/>
      <c r="P3530" s="37"/>
    </row>
    <row r="3531" spans="2:16" x14ac:dyDescent="0.25">
      <c r="B35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1" s="46"/>
      <c r="D3531" s="37"/>
      <c r="E3531" s="37"/>
      <c r="F3531" s="37"/>
      <c r="G3531" s="40" t="str">
        <f>IF(tblMovimientos[[#This Row],[Producto]]="","",TRIM(LEFT(tblMovimientos[[#This Row],[Producto]],FIND(" · ",tblMovimientos[[#This Row],[Producto]]&amp;" · ")-1)))</f>
        <v/>
      </c>
      <c r="H3531" s="40" t="str">
        <f>IF(tblMovimientos[[#This Row],[SKU]]="","",IFERROR(INDEX(tblProductos[Unidad],MATCH(tblMovimientos[[#This Row],[SKU]],tblProductos[SKU],0)),"?"))</f>
        <v/>
      </c>
      <c r="I3531" s="39"/>
      <c r="J3531" s="47" t="str">
        <f>IF(tblMovimientos[[#This Row],[Tipo]]="","",IFERROR(INDEX(tblTiposMov[FactorStock],MATCH(tblMovimientos[[#This Row],[Tipo]],tblTiposMov[Tipo],0)),0))</f>
        <v/>
      </c>
      <c r="K35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1" s="37"/>
      <c r="O3531" s="37"/>
      <c r="P3531" s="37"/>
    </row>
    <row r="3532" spans="2:16" x14ac:dyDescent="0.25">
      <c r="B35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2" s="46"/>
      <c r="D3532" s="37"/>
      <c r="E3532" s="37"/>
      <c r="F3532" s="37"/>
      <c r="G3532" s="40" t="str">
        <f>IF(tblMovimientos[[#This Row],[Producto]]="","",TRIM(LEFT(tblMovimientos[[#This Row],[Producto]],FIND(" · ",tblMovimientos[[#This Row],[Producto]]&amp;" · ")-1)))</f>
        <v/>
      </c>
      <c r="H3532" s="40" t="str">
        <f>IF(tblMovimientos[[#This Row],[SKU]]="","",IFERROR(INDEX(tblProductos[Unidad],MATCH(tblMovimientos[[#This Row],[SKU]],tblProductos[SKU],0)),"?"))</f>
        <v/>
      </c>
      <c r="I3532" s="39"/>
      <c r="J3532" s="47" t="str">
        <f>IF(tblMovimientos[[#This Row],[Tipo]]="","",IFERROR(INDEX(tblTiposMov[FactorStock],MATCH(tblMovimientos[[#This Row],[Tipo]],tblTiposMov[Tipo],0)),0))</f>
        <v/>
      </c>
      <c r="K35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2" s="37"/>
      <c r="O3532" s="37"/>
      <c r="P3532" s="37"/>
    </row>
    <row r="3533" spans="2:16" x14ac:dyDescent="0.25">
      <c r="B35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3" s="46"/>
      <c r="D3533" s="37"/>
      <c r="E3533" s="37"/>
      <c r="F3533" s="37"/>
      <c r="G3533" s="40" t="str">
        <f>IF(tblMovimientos[[#This Row],[Producto]]="","",TRIM(LEFT(tblMovimientos[[#This Row],[Producto]],FIND(" · ",tblMovimientos[[#This Row],[Producto]]&amp;" · ")-1)))</f>
        <v/>
      </c>
      <c r="H3533" s="40" t="str">
        <f>IF(tblMovimientos[[#This Row],[SKU]]="","",IFERROR(INDEX(tblProductos[Unidad],MATCH(tblMovimientos[[#This Row],[SKU]],tblProductos[SKU],0)),"?"))</f>
        <v/>
      </c>
      <c r="I3533" s="39"/>
      <c r="J3533" s="47" t="str">
        <f>IF(tblMovimientos[[#This Row],[Tipo]]="","",IFERROR(INDEX(tblTiposMov[FactorStock],MATCH(tblMovimientos[[#This Row],[Tipo]],tblTiposMov[Tipo],0)),0))</f>
        <v/>
      </c>
      <c r="K35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3" s="37"/>
      <c r="O3533" s="37"/>
      <c r="P3533" s="37"/>
    </row>
    <row r="3534" spans="2:16" x14ac:dyDescent="0.25">
      <c r="B35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4" s="46"/>
      <c r="D3534" s="37"/>
      <c r="E3534" s="37"/>
      <c r="F3534" s="37"/>
      <c r="G3534" s="40" t="str">
        <f>IF(tblMovimientos[[#This Row],[Producto]]="","",TRIM(LEFT(tblMovimientos[[#This Row],[Producto]],FIND(" · ",tblMovimientos[[#This Row],[Producto]]&amp;" · ")-1)))</f>
        <v/>
      </c>
      <c r="H3534" s="40" t="str">
        <f>IF(tblMovimientos[[#This Row],[SKU]]="","",IFERROR(INDEX(tblProductos[Unidad],MATCH(tblMovimientos[[#This Row],[SKU]],tblProductos[SKU],0)),"?"))</f>
        <v/>
      </c>
      <c r="I3534" s="39"/>
      <c r="J3534" s="47" t="str">
        <f>IF(tblMovimientos[[#This Row],[Tipo]]="","",IFERROR(INDEX(tblTiposMov[FactorStock],MATCH(tblMovimientos[[#This Row],[Tipo]],tblTiposMov[Tipo],0)),0))</f>
        <v/>
      </c>
      <c r="K35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4" s="37"/>
      <c r="O3534" s="37"/>
      <c r="P3534" s="37"/>
    </row>
    <row r="3535" spans="2:16" x14ac:dyDescent="0.25">
      <c r="B35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5" s="46"/>
      <c r="D3535" s="37"/>
      <c r="E3535" s="37"/>
      <c r="F3535" s="37"/>
      <c r="G3535" s="40" t="str">
        <f>IF(tblMovimientos[[#This Row],[Producto]]="","",TRIM(LEFT(tblMovimientos[[#This Row],[Producto]],FIND(" · ",tblMovimientos[[#This Row],[Producto]]&amp;" · ")-1)))</f>
        <v/>
      </c>
      <c r="H3535" s="40" t="str">
        <f>IF(tblMovimientos[[#This Row],[SKU]]="","",IFERROR(INDEX(tblProductos[Unidad],MATCH(tblMovimientos[[#This Row],[SKU]],tblProductos[SKU],0)),"?"))</f>
        <v/>
      </c>
      <c r="I3535" s="39"/>
      <c r="J3535" s="47" t="str">
        <f>IF(tblMovimientos[[#This Row],[Tipo]]="","",IFERROR(INDEX(tblTiposMov[FactorStock],MATCH(tblMovimientos[[#This Row],[Tipo]],tblTiposMov[Tipo],0)),0))</f>
        <v/>
      </c>
      <c r="K35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5" s="37"/>
      <c r="O3535" s="37"/>
      <c r="P3535" s="37"/>
    </row>
    <row r="3536" spans="2:16" x14ac:dyDescent="0.25">
      <c r="B35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6" s="46"/>
      <c r="D3536" s="37"/>
      <c r="E3536" s="37"/>
      <c r="F3536" s="37"/>
      <c r="G3536" s="40" t="str">
        <f>IF(tblMovimientos[[#This Row],[Producto]]="","",TRIM(LEFT(tblMovimientos[[#This Row],[Producto]],FIND(" · ",tblMovimientos[[#This Row],[Producto]]&amp;" · ")-1)))</f>
        <v/>
      </c>
      <c r="H3536" s="40" t="str">
        <f>IF(tblMovimientos[[#This Row],[SKU]]="","",IFERROR(INDEX(tblProductos[Unidad],MATCH(tblMovimientos[[#This Row],[SKU]],tblProductos[SKU],0)),"?"))</f>
        <v/>
      </c>
      <c r="I3536" s="39"/>
      <c r="J3536" s="47" t="str">
        <f>IF(tblMovimientos[[#This Row],[Tipo]]="","",IFERROR(INDEX(tblTiposMov[FactorStock],MATCH(tblMovimientos[[#This Row],[Tipo]],tblTiposMov[Tipo],0)),0))</f>
        <v/>
      </c>
      <c r="K35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6" s="37"/>
      <c r="O3536" s="37"/>
      <c r="P3536" s="37"/>
    </row>
    <row r="3537" spans="2:16" x14ac:dyDescent="0.25">
      <c r="B35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7" s="46"/>
      <c r="D3537" s="37"/>
      <c r="E3537" s="37"/>
      <c r="F3537" s="37"/>
      <c r="G3537" s="40" t="str">
        <f>IF(tblMovimientos[[#This Row],[Producto]]="","",TRIM(LEFT(tblMovimientos[[#This Row],[Producto]],FIND(" · ",tblMovimientos[[#This Row],[Producto]]&amp;" · ")-1)))</f>
        <v/>
      </c>
      <c r="H3537" s="40" t="str">
        <f>IF(tblMovimientos[[#This Row],[SKU]]="","",IFERROR(INDEX(tblProductos[Unidad],MATCH(tblMovimientos[[#This Row],[SKU]],tblProductos[SKU],0)),"?"))</f>
        <v/>
      </c>
      <c r="I3537" s="39"/>
      <c r="J3537" s="47" t="str">
        <f>IF(tblMovimientos[[#This Row],[Tipo]]="","",IFERROR(INDEX(tblTiposMov[FactorStock],MATCH(tblMovimientos[[#This Row],[Tipo]],tblTiposMov[Tipo],0)),0))</f>
        <v/>
      </c>
      <c r="K35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7" s="37"/>
      <c r="O3537" s="37"/>
      <c r="P3537" s="37"/>
    </row>
    <row r="3538" spans="2:16" x14ac:dyDescent="0.25">
      <c r="B35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8" s="46"/>
      <c r="D3538" s="37"/>
      <c r="E3538" s="37"/>
      <c r="F3538" s="37"/>
      <c r="G3538" s="40" t="str">
        <f>IF(tblMovimientos[[#This Row],[Producto]]="","",TRIM(LEFT(tblMovimientos[[#This Row],[Producto]],FIND(" · ",tblMovimientos[[#This Row],[Producto]]&amp;" · ")-1)))</f>
        <v/>
      </c>
      <c r="H3538" s="40" t="str">
        <f>IF(tblMovimientos[[#This Row],[SKU]]="","",IFERROR(INDEX(tblProductos[Unidad],MATCH(tblMovimientos[[#This Row],[SKU]],tblProductos[SKU],0)),"?"))</f>
        <v/>
      </c>
      <c r="I3538" s="39"/>
      <c r="J3538" s="47" t="str">
        <f>IF(tblMovimientos[[#This Row],[Tipo]]="","",IFERROR(INDEX(tblTiposMov[FactorStock],MATCH(tblMovimientos[[#This Row],[Tipo]],tblTiposMov[Tipo],0)),0))</f>
        <v/>
      </c>
      <c r="K35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8" s="37"/>
      <c r="O3538" s="37"/>
      <c r="P3538" s="37"/>
    </row>
    <row r="3539" spans="2:16" x14ac:dyDescent="0.25">
      <c r="B35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39" s="46"/>
      <c r="D3539" s="37"/>
      <c r="E3539" s="37"/>
      <c r="F3539" s="37"/>
      <c r="G3539" s="40" t="str">
        <f>IF(tblMovimientos[[#This Row],[Producto]]="","",TRIM(LEFT(tblMovimientos[[#This Row],[Producto]],FIND(" · ",tblMovimientos[[#This Row],[Producto]]&amp;" · ")-1)))</f>
        <v/>
      </c>
      <c r="H3539" s="40" t="str">
        <f>IF(tblMovimientos[[#This Row],[SKU]]="","",IFERROR(INDEX(tblProductos[Unidad],MATCH(tblMovimientos[[#This Row],[SKU]],tblProductos[SKU],0)),"?"))</f>
        <v/>
      </c>
      <c r="I3539" s="39"/>
      <c r="J3539" s="47" t="str">
        <f>IF(tblMovimientos[[#This Row],[Tipo]]="","",IFERROR(INDEX(tblTiposMov[FactorStock],MATCH(tblMovimientos[[#This Row],[Tipo]],tblTiposMov[Tipo],0)),0))</f>
        <v/>
      </c>
      <c r="K35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39" s="37"/>
      <c r="O3539" s="37"/>
      <c r="P3539" s="37"/>
    </row>
    <row r="3540" spans="2:16" x14ac:dyDescent="0.25">
      <c r="B35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0" s="46"/>
      <c r="D3540" s="37"/>
      <c r="E3540" s="37"/>
      <c r="F3540" s="37"/>
      <c r="G3540" s="40" t="str">
        <f>IF(tblMovimientos[[#This Row],[Producto]]="","",TRIM(LEFT(tblMovimientos[[#This Row],[Producto]],FIND(" · ",tblMovimientos[[#This Row],[Producto]]&amp;" · ")-1)))</f>
        <v/>
      </c>
      <c r="H3540" s="40" t="str">
        <f>IF(tblMovimientos[[#This Row],[SKU]]="","",IFERROR(INDEX(tblProductos[Unidad],MATCH(tblMovimientos[[#This Row],[SKU]],tblProductos[SKU],0)),"?"))</f>
        <v/>
      </c>
      <c r="I3540" s="39"/>
      <c r="J3540" s="47" t="str">
        <f>IF(tblMovimientos[[#This Row],[Tipo]]="","",IFERROR(INDEX(tblTiposMov[FactorStock],MATCH(tblMovimientos[[#This Row],[Tipo]],tblTiposMov[Tipo],0)),0))</f>
        <v/>
      </c>
      <c r="K35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0" s="37"/>
      <c r="O3540" s="37"/>
      <c r="P3540" s="37"/>
    </row>
    <row r="3541" spans="2:16" x14ac:dyDescent="0.25">
      <c r="B35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1" s="46"/>
      <c r="D3541" s="37"/>
      <c r="E3541" s="37"/>
      <c r="F3541" s="37"/>
      <c r="G3541" s="40" t="str">
        <f>IF(tblMovimientos[[#This Row],[Producto]]="","",TRIM(LEFT(tblMovimientos[[#This Row],[Producto]],FIND(" · ",tblMovimientos[[#This Row],[Producto]]&amp;" · ")-1)))</f>
        <v/>
      </c>
      <c r="H3541" s="40" t="str">
        <f>IF(tblMovimientos[[#This Row],[SKU]]="","",IFERROR(INDEX(tblProductos[Unidad],MATCH(tblMovimientos[[#This Row],[SKU]],tblProductos[SKU],0)),"?"))</f>
        <v/>
      </c>
      <c r="I3541" s="39"/>
      <c r="J3541" s="47" t="str">
        <f>IF(tblMovimientos[[#This Row],[Tipo]]="","",IFERROR(INDEX(tblTiposMov[FactorStock],MATCH(tblMovimientos[[#This Row],[Tipo]],tblTiposMov[Tipo],0)),0))</f>
        <v/>
      </c>
      <c r="K35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1" s="37"/>
      <c r="O3541" s="37"/>
      <c r="P3541" s="37"/>
    </row>
    <row r="3542" spans="2:16" x14ac:dyDescent="0.25">
      <c r="B35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2" s="46"/>
      <c r="D3542" s="37"/>
      <c r="E3542" s="37"/>
      <c r="F3542" s="37"/>
      <c r="G3542" s="40" t="str">
        <f>IF(tblMovimientos[[#This Row],[Producto]]="","",TRIM(LEFT(tblMovimientos[[#This Row],[Producto]],FIND(" · ",tblMovimientos[[#This Row],[Producto]]&amp;" · ")-1)))</f>
        <v/>
      </c>
      <c r="H3542" s="40" t="str">
        <f>IF(tblMovimientos[[#This Row],[SKU]]="","",IFERROR(INDEX(tblProductos[Unidad],MATCH(tblMovimientos[[#This Row],[SKU]],tblProductos[SKU],0)),"?"))</f>
        <v/>
      </c>
      <c r="I3542" s="39"/>
      <c r="J3542" s="47" t="str">
        <f>IF(tblMovimientos[[#This Row],[Tipo]]="","",IFERROR(INDEX(tblTiposMov[FactorStock],MATCH(tblMovimientos[[#This Row],[Tipo]],tblTiposMov[Tipo],0)),0))</f>
        <v/>
      </c>
      <c r="K35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2" s="37"/>
      <c r="O3542" s="37"/>
      <c r="P3542" s="37"/>
    </row>
    <row r="3543" spans="2:16" x14ac:dyDescent="0.25">
      <c r="B35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3" s="46"/>
      <c r="D3543" s="37"/>
      <c r="E3543" s="37"/>
      <c r="F3543" s="37"/>
      <c r="G3543" s="40" t="str">
        <f>IF(tblMovimientos[[#This Row],[Producto]]="","",TRIM(LEFT(tblMovimientos[[#This Row],[Producto]],FIND(" · ",tblMovimientos[[#This Row],[Producto]]&amp;" · ")-1)))</f>
        <v/>
      </c>
      <c r="H3543" s="40" t="str">
        <f>IF(tblMovimientos[[#This Row],[SKU]]="","",IFERROR(INDEX(tblProductos[Unidad],MATCH(tblMovimientos[[#This Row],[SKU]],tblProductos[SKU],0)),"?"))</f>
        <v/>
      </c>
      <c r="I3543" s="39"/>
      <c r="J3543" s="47" t="str">
        <f>IF(tblMovimientos[[#This Row],[Tipo]]="","",IFERROR(INDEX(tblTiposMov[FactorStock],MATCH(tblMovimientos[[#This Row],[Tipo]],tblTiposMov[Tipo],0)),0))</f>
        <v/>
      </c>
      <c r="K35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3" s="37"/>
      <c r="O3543" s="37"/>
      <c r="P3543" s="37"/>
    </row>
    <row r="3544" spans="2:16" x14ac:dyDescent="0.25">
      <c r="B35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4" s="46"/>
      <c r="D3544" s="37"/>
      <c r="E3544" s="37"/>
      <c r="F3544" s="37"/>
      <c r="G3544" s="40" t="str">
        <f>IF(tblMovimientos[[#This Row],[Producto]]="","",TRIM(LEFT(tblMovimientos[[#This Row],[Producto]],FIND(" · ",tblMovimientos[[#This Row],[Producto]]&amp;" · ")-1)))</f>
        <v/>
      </c>
      <c r="H3544" s="40" t="str">
        <f>IF(tblMovimientos[[#This Row],[SKU]]="","",IFERROR(INDEX(tblProductos[Unidad],MATCH(tblMovimientos[[#This Row],[SKU]],tblProductos[SKU],0)),"?"))</f>
        <v/>
      </c>
      <c r="I3544" s="39"/>
      <c r="J3544" s="47" t="str">
        <f>IF(tblMovimientos[[#This Row],[Tipo]]="","",IFERROR(INDEX(tblTiposMov[FactorStock],MATCH(tblMovimientos[[#This Row],[Tipo]],tblTiposMov[Tipo],0)),0))</f>
        <v/>
      </c>
      <c r="K35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4" s="37"/>
      <c r="O3544" s="37"/>
      <c r="P3544" s="37"/>
    </row>
    <row r="3545" spans="2:16" x14ac:dyDescent="0.25">
      <c r="B35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5" s="46"/>
      <c r="D3545" s="37"/>
      <c r="E3545" s="37"/>
      <c r="F3545" s="37"/>
      <c r="G3545" s="40" t="str">
        <f>IF(tblMovimientos[[#This Row],[Producto]]="","",TRIM(LEFT(tblMovimientos[[#This Row],[Producto]],FIND(" · ",tblMovimientos[[#This Row],[Producto]]&amp;" · ")-1)))</f>
        <v/>
      </c>
      <c r="H3545" s="40" t="str">
        <f>IF(tblMovimientos[[#This Row],[SKU]]="","",IFERROR(INDEX(tblProductos[Unidad],MATCH(tblMovimientos[[#This Row],[SKU]],tblProductos[SKU],0)),"?"))</f>
        <v/>
      </c>
      <c r="I3545" s="39"/>
      <c r="J3545" s="47" t="str">
        <f>IF(tblMovimientos[[#This Row],[Tipo]]="","",IFERROR(INDEX(tblTiposMov[FactorStock],MATCH(tblMovimientos[[#This Row],[Tipo]],tblTiposMov[Tipo],0)),0))</f>
        <v/>
      </c>
      <c r="K35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5" s="37"/>
      <c r="O3545" s="37"/>
      <c r="P3545" s="37"/>
    </row>
    <row r="3546" spans="2:16" x14ac:dyDescent="0.25">
      <c r="B35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6" s="46"/>
      <c r="D3546" s="37"/>
      <c r="E3546" s="37"/>
      <c r="F3546" s="37"/>
      <c r="G3546" s="40" t="str">
        <f>IF(tblMovimientos[[#This Row],[Producto]]="","",TRIM(LEFT(tblMovimientos[[#This Row],[Producto]],FIND(" · ",tblMovimientos[[#This Row],[Producto]]&amp;" · ")-1)))</f>
        <v/>
      </c>
      <c r="H3546" s="40" t="str">
        <f>IF(tblMovimientos[[#This Row],[SKU]]="","",IFERROR(INDEX(tblProductos[Unidad],MATCH(tblMovimientos[[#This Row],[SKU]],tblProductos[SKU],0)),"?"))</f>
        <v/>
      </c>
      <c r="I3546" s="39"/>
      <c r="J3546" s="47" t="str">
        <f>IF(tblMovimientos[[#This Row],[Tipo]]="","",IFERROR(INDEX(tblTiposMov[FactorStock],MATCH(tblMovimientos[[#This Row],[Tipo]],tblTiposMov[Tipo],0)),0))</f>
        <v/>
      </c>
      <c r="K35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6" s="37"/>
      <c r="O3546" s="37"/>
      <c r="P3546" s="37"/>
    </row>
    <row r="3547" spans="2:16" x14ac:dyDescent="0.25">
      <c r="B35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7" s="46"/>
      <c r="D3547" s="37"/>
      <c r="E3547" s="37"/>
      <c r="F3547" s="37"/>
      <c r="G3547" s="40" t="str">
        <f>IF(tblMovimientos[[#This Row],[Producto]]="","",TRIM(LEFT(tblMovimientos[[#This Row],[Producto]],FIND(" · ",tblMovimientos[[#This Row],[Producto]]&amp;" · ")-1)))</f>
        <v/>
      </c>
      <c r="H3547" s="40" t="str">
        <f>IF(tblMovimientos[[#This Row],[SKU]]="","",IFERROR(INDEX(tblProductos[Unidad],MATCH(tblMovimientos[[#This Row],[SKU]],tblProductos[SKU],0)),"?"))</f>
        <v/>
      </c>
      <c r="I3547" s="39"/>
      <c r="J3547" s="47" t="str">
        <f>IF(tblMovimientos[[#This Row],[Tipo]]="","",IFERROR(INDEX(tblTiposMov[FactorStock],MATCH(tblMovimientos[[#This Row],[Tipo]],tblTiposMov[Tipo],0)),0))</f>
        <v/>
      </c>
      <c r="K35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7" s="37"/>
      <c r="O3547" s="37"/>
      <c r="P3547" s="37"/>
    </row>
    <row r="3548" spans="2:16" x14ac:dyDescent="0.25">
      <c r="B35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8" s="46"/>
      <c r="D3548" s="37"/>
      <c r="E3548" s="37"/>
      <c r="F3548" s="37"/>
      <c r="G3548" s="40" t="str">
        <f>IF(tblMovimientos[[#This Row],[Producto]]="","",TRIM(LEFT(tblMovimientos[[#This Row],[Producto]],FIND(" · ",tblMovimientos[[#This Row],[Producto]]&amp;" · ")-1)))</f>
        <v/>
      </c>
      <c r="H3548" s="40" t="str">
        <f>IF(tblMovimientos[[#This Row],[SKU]]="","",IFERROR(INDEX(tblProductos[Unidad],MATCH(tblMovimientos[[#This Row],[SKU]],tblProductos[SKU],0)),"?"))</f>
        <v/>
      </c>
      <c r="I3548" s="39"/>
      <c r="J3548" s="47" t="str">
        <f>IF(tblMovimientos[[#This Row],[Tipo]]="","",IFERROR(INDEX(tblTiposMov[FactorStock],MATCH(tblMovimientos[[#This Row],[Tipo]],tblTiposMov[Tipo],0)),0))</f>
        <v/>
      </c>
      <c r="K35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8" s="37"/>
      <c r="O3548" s="37"/>
      <c r="P3548" s="37"/>
    </row>
    <row r="3549" spans="2:16" x14ac:dyDescent="0.25">
      <c r="B35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49" s="46"/>
      <c r="D3549" s="37"/>
      <c r="E3549" s="37"/>
      <c r="F3549" s="37"/>
      <c r="G3549" s="40" t="str">
        <f>IF(tblMovimientos[[#This Row],[Producto]]="","",TRIM(LEFT(tblMovimientos[[#This Row],[Producto]],FIND(" · ",tblMovimientos[[#This Row],[Producto]]&amp;" · ")-1)))</f>
        <v/>
      </c>
      <c r="H3549" s="40" t="str">
        <f>IF(tblMovimientos[[#This Row],[SKU]]="","",IFERROR(INDEX(tblProductos[Unidad],MATCH(tblMovimientos[[#This Row],[SKU]],tblProductos[SKU],0)),"?"))</f>
        <v/>
      </c>
      <c r="I3549" s="39"/>
      <c r="J3549" s="47" t="str">
        <f>IF(tblMovimientos[[#This Row],[Tipo]]="","",IFERROR(INDEX(tblTiposMov[FactorStock],MATCH(tblMovimientos[[#This Row],[Tipo]],tblTiposMov[Tipo],0)),0))</f>
        <v/>
      </c>
      <c r="K35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49" s="37"/>
      <c r="O3549" s="37"/>
      <c r="P3549" s="37"/>
    </row>
    <row r="3550" spans="2:16" x14ac:dyDescent="0.25">
      <c r="B35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0" s="46"/>
      <c r="D3550" s="37"/>
      <c r="E3550" s="37"/>
      <c r="F3550" s="37"/>
      <c r="G3550" s="40" t="str">
        <f>IF(tblMovimientos[[#This Row],[Producto]]="","",TRIM(LEFT(tblMovimientos[[#This Row],[Producto]],FIND(" · ",tblMovimientos[[#This Row],[Producto]]&amp;" · ")-1)))</f>
        <v/>
      </c>
      <c r="H3550" s="40" t="str">
        <f>IF(tblMovimientos[[#This Row],[SKU]]="","",IFERROR(INDEX(tblProductos[Unidad],MATCH(tblMovimientos[[#This Row],[SKU]],tblProductos[SKU],0)),"?"))</f>
        <v/>
      </c>
      <c r="I3550" s="39"/>
      <c r="J3550" s="47" t="str">
        <f>IF(tblMovimientos[[#This Row],[Tipo]]="","",IFERROR(INDEX(tblTiposMov[FactorStock],MATCH(tblMovimientos[[#This Row],[Tipo]],tblTiposMov[Tipo],0)),0))</f>
        <v/>
      </c>
      <c r="K35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0" s="37"/>
      <c r="O3550" s="37"/>
      <c r="P3550" s="37"/>
    </row>
    <row r="3551" spans="2:16" x14ac:dyDescent="0.25">
      <c r="B35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1" s="46"/>
      <c r="D3551" s="37"/>
      <c r="E3551" s="37"/>
      <c r="F3551" s="37"/>
      <c r="G3551" s="40" t="str">
        <f>IF(tblMovimientos[[#This Row],[Producto]]="","",TRIM(LEFT(tblMovimientos[[#This Row],[Producto]],FIND(" · ",tblMovimientos[[#This Row],[Producto]]&amp;" · ")-1)))</f>
        <v/>
      </c>
      <c r="H3551" s="40" t="str">
        <f>IF(tblMovimientos[[#This Row],[SKU]]="","",IFERROR(INDEX(tblProductos[Unidad],MATCH(tblMovimientos[[#This Row],[SKU]],tblProductos[SKU],0)),"?"))</f>
        <v/>
      </c>
      <c r="I3551" s="39"/>
      <c r="J3551" s="47" t="str">
        <f>IF(tblMovimientos[[#This Row],[Tipo]]="","",IFERROR(INDEX(tblTiposMov[FactorStock],MATCH(tblMovimientos[[#This Row],[Tipo]],tblTiposMov[Tipo],0)),0))</f>
        <v/>
      </c>
      <c r="K35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1" s="37"/>
      <c r="O3551" s="37"/>
      <c r="P3551" s="37"/>
    </row>
    <row r="3552" spans="2:16" x14ac:dyDescent="0.25">
      <c r="B35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2" s="46"/>
      <c r="D3552" s="37"/>
      <c r="E3552" s="37"/>
      <c r="F3552" s="37"/>
      <c r="G3552" s="40" t="str">
        <f>IF(tblMovimientos[[#This Row],[Producto]]="","",TRIM(LEFT(tblMovimientos[[#This Row],[Producto]],FIND(" · ",tblMovimientos[[#This Row],[Producto]]&amp;" · ")-1)))</f>
        <v/>
      </c>
      <c r="H3552" s="40" t="str">
        <f>IF(tblMovimientos[[#This Row],[SKU]]="","",IFERROR(INDEX(tblProductos[Unidad],MATCH(tblMovimientos[[#This Row],[SKU]],tblProductos[SKU],0)),"?"))</f>
        <v/>
      </c>
      <c r="I3552" s="39"/>
      <c r="J3552" s="47" t="str">
        <f>IF(tblMovimientos[[#This Row],[Tipo]]="","",IFERROR(INDEX(tblTiposMov[FactorStock],MATCH(tblMovimientos[[#This Row],[Tipo]],tblTiposMov[Tipo],0)),0))</f>
        <v/>
      </c>
      <c r="K35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2" s="37"/>
      <c r="O3552" s="37"/>
      <c r="P3552" s="37"/>
    </row>
    <row r="3553" spans="2:16" x14ac:dyDescent="0.25">
      <c r="B35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3" s="46"/>
      <c r="D3553" s="37"/>
      <c r="E3553" s="37"/>
      <c r="F3553" s="37"/>
      <c r="G3553" s="40" t="str">
        <f>IF(tblMovimientos[[#This Row],[Producto]]="","",TRIM(LEFT(tblMovimientos[[#This Row],[Producto]],FIND(" · ",tblMovimientos[[#This Row],[Producto]]&amp;" · ")-1)))</f>
        <v/>
      </c>
      <c r="H3553" s="40" t="str">
        <f>IF(tblMovimientos[[#This Row],[SKU]]="","",IFERROR(INDEX(tblProductos[Unidad],MATCH(tblMovimientos[[#This Row],[SKU]],tblProductos[SKU],0)),"?"))</f>
        <v/>
      </c>
      <c r="I3553" s="39"/>
      <c r="J3553" s="47" t="str">
        <f>IF(tblMovimientos[[#This Row],[Tipo]]="","",IFERROR(INDEX(tblTiposMov[FactorStock],MATCH(tblMovimientos[[#This Row],[Tipo]],tblTiposMov[Tipo],0)),0))</f>
        <v/>
      </c>
      <c r="K35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3" s="37"/>
      <c r="O3553" s="37"/>
      <c r="P3553" s="37"/>
    </row>
    <row r="3554" spans="2:16" x14ac:dyDescent="0.25">
      <c r="B35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4" s="46"/>
      <c r="D3554" s="37"/>
      <c r="E3554" s="37"/>
      <c r="F3554" s="37"/>
      <c r="G3554" s="40" t="str">
        <f>IF(tblMovimientos[[#This Row],[Producto]]="","",TRIM(LEFT(tblMovimientos[[#This Row],[Producto]],FIND(" · ",tblMovimientos[[#This Row],[Producto]]&amp;" · ")-1)))</f>
        <v/>
      </c>
      <c r="H3554" s="40" t="str">
        <f>IF(tblMovimientos[[#This Row],[SKU]]="","",IFERROR(INDEX(tblProductos[Unidad],MATCH(tblMovimientos[[#This Row],[SKU]],tblProductos[SKU],0)),"?"))</f>
        <v/>
      </c>
      <c r="I3554" s="39"/>
      <c r="J3554" s="47" t="str">
        <f>IF(tblMovimientos[[#This Row],[Tipo]]="","",IFERROR(INDEX(tblTiposMov[FactorStock],MATCH(tblMovimientos[[#This Row],[Tipo]],tblTiposMov[Tipo],0)),0))</f>
        <v/>
      </c>
      <c r="K35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4" s="37"/>
      <c r="O3554" s="37"/>
      <c r="P3554" s="37"/>
    </row>
    <row r="3555" spans="2:16" x14ac:dyDescent="0.25">
      <c r="B35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5" s="46"/>
      <c r="D3555" s="37"/>
      <c r="E3555" s="37"/>
      <c r="F3555" s="37"/>
      <c r="G3555" s="40" t="str">
        <f>IF(tblMovimientos[[#This Row],[Producto]]="","",TRIM(LEFT(tblMovimientos[[#This Row],[Producto]],FIND(" · ",tblMovimientos[[#This Row],[Producto]]&amp;" · ")-1)))</f>
        <v/>
      </c>
      <c r="H3555" s="40" t="str">
        <f>IF(tblMovimientos[[#This Row],[SKU]]="","",IFERROR(INDEX(tblProductos[Unidad],MATCH(tblMovimientos[[#This Row],[SKU]],tblProductos[SKU],0)),"?"))</f>
        <v/>
      </c>
      <c r="I3555" s="39"/>
      <c r="J3555" s="47" t="str">
        <f>IF(tblMovimientos[[#This Row],[Tipo]]="","",IFERROR(INDEX(tblTiposMov[FactorStock],MATCH(tblMovimientos[[#This Row],[Tipo]],tblTiposMov[Tipo],0)),0))</f>
        <v/>
      </c>
      <c r="K35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5" s="37"/>
      <c r="O3555" s="37"/>
      <c r="P3555" s="37"/>
    </row>
    <row r="3556" spans="2:16" x14ac:dyDescent="0.25">
      <c r="B35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6" s="46"/>
      <c r="D3556" s="37"/>
      <c r="E3556" s="37"/>
      <c r="F3556" s="37"/>
      <c r="G3556" s="40" t="str">
        <f>IF(tblMovimientos[[#This Row],[Producto]]="","",TRIM(LEFT(tblMovimientos[[#This Row],[Producto]],FIND(" · ",tblMovimientos[[#This Row],[Producto]]&amp;" · ")-1)))</f>
        <v/>
      </c>
      <c r="H3556" s="40" t="str">
        <f>IF(tblMovimientos[[#This Row],[SKU]]="","",IFERROR(INDEX(tblProductos[Unidad],MATCH(tblMovimientos[[#This Row],[SKU]],tblProductos[SKU],0)),"?"))</f>
        <v/>
      </c>
      <c r="I3556" s="39"/>
      <c r="J3556" s="47" t="str">
        <f>IF(tblMovimientos[[#This Row],[Tipo]]="","",IFERROR(INDEX(tblTiposMov[FactorStock],MATCH(tblMovimientos[[#This Row],[Tipo]],tblTiposMov[Tipo],0)),0))</f>
        <v/>
      </c>
      <c r="K35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6" s="37"/>
      <c r="O3556" s="37"/>
      <c r="P3556" s="37"/>
    </row>
    <row r="3557" spans="2:16" x14ac:dyDescent="0.25">
      <c r="B35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7" s="46"/>
      <c r="D3557" s="37"/>
      <c r="E3557" s="37"/>
      <c r="F3557" s="37"/>
      <c r="G3557" s="40" t="str">
        <f>IF(tblMovimientos[[#This Row],[Producto]]="","",TRIM(LEFT(tblMovimientos[[#This Row],[Producto]],FIND(" · ",tblMovimientos[[#This Row],[Producto]]&amp;" · ")-1)))</f>
        <v/>
      </c>
      <c r="H3557" s="40" t="str">
        <f>IF(tblMovimientos[[#This Row],[SKU]]="","",IFERROR(INDEX(tblProductos[Unidad],MATCH(tblMovimientos[[#This Row],[SKU]],tblProductos[SKU],0)),"?"))</f>
        <v/>
      </c>
      <c r="I3557" s="39"/>
      <c r="J3557" s="47" t="str">
        <f>IF(tblMovimientos[[#This Row],[Tipo]]="","",IFERROR(INDEX(tblTiposMov[FactorStock],MATCH(tblMovimientos[[#This Row],[Tipo]],tblTiposMov[Tipo],0)),0))</f>
        <v/>
      </c>
      <c r="K35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7" s="37"/>
      <c r="O3557" s="37"/>
      <c r="P3557" s="37"/>
    </row>
    <row r="3558" spans="2:16" x14ac:dyDescent="0.25">
      <c r="B35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8" s="46"/>
      <c r="D3558" s="37"/>
      <c r="E3558" s="37"/>
      <c r="F3558" s="37"/>
      <c r="G3558" s="40" t="str">
        <f>IF(tblMovimientos[[#This Row],[Producto]]="","",TRIM(LEFT(tblMovimientos[[#This Row],[Producto]],FIND(" · ",tblMovimientos[[#This Row],[Producto]]&amp;" · ")-1)))</f>
        <v/>
      </c>
      <c r="H3558" s="40" t="str">
        <f>IF(tblMovimientos[[#This Row],[SKU]]="","",IFERROR(INDEX(tblProductos[Unidad],MATCH(tblMovimientos[[#This Row],[SKU]],tblProductos[SKU],0)),"?"))</f>
        <v/>
      </c>
      <c r="I3558" s="39"/>
      <c r="J3558" s="47" t="str">
        <f>IF(tblMovimientos[[#This Row],[Tipo]]="","",IFERROR(INDEX(tblTiposMov[FactorStock],MATCH(tblMovimientos[[#This Row],[Tipo]],tblTiposMov[Tipo],0)),0))</f>
        <v/>
      </c>
      <c r="K35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8" s="37"/>
      <c r="O3558" s="37"/>
      <c r="P3558" s="37"/>
    </row>
    <row r="3559" spans="2:16" x14ac:dyDescent="0.25">
      <c r="B35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59" s="46"/>
      <c r="D3559" s="37"/>
      <c r="E3559" s="37"/>
      <c r="F3559" s="37"/>
      <c r="G3559" s="40" t="str">
        <f>IF(tblMovimientos[[#This Row],[Producto]]="","",TRIM(LEFT(tblMovimientos[[#This Row],[Producto]],FIND(" · ",tblMovimientos[[#This Row],[Producto]]&amp;" · ")-1)))</f>
        <v/>
      </c>
      <c r="H3559" s="40" t="str">
        <f>IF(tblMovimientos[[#This Row],[SKU]]="","",IFERROR(INDEX(tblProductos[Unidad],MATCH(tblMovimientos[[#This Row],[SKU]],tblProductos[SKU],0)),"?"))</f>
        <v/>
      </c>
      <c r="I3559" s="39"/>
      <c r="J3559" s="47" t="str">
        <f>IF(tblMovimientos[[#This Row],[Tipo]]="","",IFERROR(INDEX(tblTiposMov[FactorStock],MATCH(tblMovimientos[[#This Row],[Tipo]],tblTiposMov[Tipo],0)),0))</f>
        <v/>
      </c>
      <c r="K35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59" s="37"/>
      <c r="O3559" s="37"/>
      <c r="P3559" s="37"/>
    </row>
    <row r="3560" spans="2:16" x14ac:dyDescent="0.25">
      <c r="B35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0" s="46"/>
      <c r="D3560" s="37"/>
      <c r="E3560" s="37"/>
      <c r="F3560" s="37"/>
      <c r="G3560" s="40" t="str">
        <f>IF(tblMovimientos[[#This Row],[Producto]]="","",TRIM(LEFT(tblMovimientos[[#This Row],[Producto]],FIND(" · ",tblMovimientos[[#This Row],[Producto]]&amp;" · ")-1)))</f>
        <v/>
      </c>
      <c r="H3560" s="40" t="str">
        <f>IF(tblMovimientos[[#This Row],[SKU]]="","",IFERROR(INDEX(tblProductos[Unidad],MATCH(tblMovimientos[[#This Row],[SKU]],tblProductos[SKU],0)),"?"))</f>
        <v/>
      </c>
      <c r="I3560" s="39"/>
      <c r="J3560" s="47" t="str">
        <f>IF(tblMovimientos[[#This Row],[Tipo]]="","",IFERROR(INDEX(tblTiposMov[FactorStock],MATCH(tblMovimientos[[#This Row],[Tipo]],tblTiposMov[Tipo],0)),0))</f>
        <v/>
      </c>
      <c r="K35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0" s="37"/>
      <c r="O3560" s="37"/>
      <c r="P3560" s="37"/>
    </row>
    <row r="3561" spans="2:16" x14ac:dyDescent="0.25">
      <c r="B35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1" s="46"/>
      <c r="D3561" s="37"/>
      <c r="E3561" s="37"/>
      <c r="F3561" s="37"/>
      <c r="G3561" s="40" t="str">
        <f>IF(tblMovimientos[[#This Row],[Producto]]="","",TRIM(LEFT(tblMovimientos[[#This Row],[Producto]],FIND(" · ",tblMovimientos[[#This Row],[Producto]]&amp;" · ")-1)))</f>
        <v/>
      </c>
      <c r="H3561" s="40" t="str">
        <f>IF(tblMovimientos[[#This Row],[SKU]]="","",IFERROR(INDEX(tblProductos[Unidad],MATCH(tblMovimientos[[#This Row],[SKU]],tblProductos[SKU],0)),"?"))</f>
        <v/>
      </c>
      <c r="I3561" s="39"/>
      <c r="J3561" s="47" t="str">
        <f>IF(tblMovimientos[[#This Row],[Tipo]]="","",IFERROR(INDEX(tblTiposMov[FactorStock],MATCH(tblMovimientos[[#This Row],[Tipo]],tblTiposMov[Tipo],0)),0))</f>
        <v/>
      </c>
      <c r="K35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1" s="37"/>
      <c r="O3561" s="37"/>
      <c r="P3561" s="37"/>
    </row>
    <row r="3562" spans="2:16" x14ac:dyDescent="0.25">
      <c r="B35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2" s="46"/>
      <c r="D3562" s="37"/>
      <c r="E3562" s="37"/>
      <c r="F3562" s="37"/>
      <c r="G3562" s="40" t="str">
        <f>IF(tblMovimientos[[#This Row],[Producto]]="","",TRIM(LEFT(tblMovimientos[[#This Row],[Producto]],FIND(" · ",tblMovimientos[[#This Row],[Producto]]&amp;" · ")-1)))</f>
        <v/>
      </c>
      <c r="H3562" s="40" t="str">
        <f>IF(tblMovimientos[[#This Row],[SKU]]="","",IFERROR(INDEX(tblProductos[Unidad],MATCH(tblMovimientos[[#This Row],[SKU]],tblProductos[SKU],0)),"?"))</f>
        <v/>
      </c>
      <c r="I3562" s="39"/>
      <c r="J3562" s="47" t="str">
        <f>IF(tblMovimientos[[#This Row],[Tipo]]="","",IFERROR(INDEX(tblTiposMov[FactorStock],MATCH(tblMovimientos[[#This Row],[Tipo]],tblTiposMov[Tipo],0)),0))</f>
        <v/>
      </c>
      <c r="K35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2" s="37"/>
      <c r="O3562" s="37"/>
      <c r="P3562" s="37"/>
    </row>
    <row r="3563" spans="2:16" x14ac:dyDescent="0.25">
      <c r="B35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3" s="46"/>
      <c r="D3563" s="37"/>
      <c r="E3563" s="37"/>
      <c r="F3563" s="37"/>
      <c r="G3563" s="40" t="str">
        <f>IF(tblMovimientos[[#This Row],[Producto]]="","",TRIM(LEFT(tblMovimientos[[#This Row],[Producto]],FIND(" · ",tblMovimientos[[#This Row],[Producto]]&amp;" · ")-1)))</f>
        <v/>
      </c>
      <c r="H3563" s="40" t="str">
        <f>IF(tblMovimientos[[#This Row],[SKU]]="","",IFERROR(INDEX(tblProductos[Unidad],MATCH(tblMovimientos[[#This Row],[SKU]],tblProductos[SKU],0)),"?"))</f>
        <v/>
      </c>
      <c r="I3563" s="39"/>
      <c r="J3563" s="47" t="str">
        <f>IF(tblMovimientos[[#This Row],[Tipo]]="","",IFERROR(INDEX(tblTiposMov[FactorStock],MATCH(tblMovimientos[[#This Row],[Tipo]],tblTiposMov[Tipo],0)),0))</f>
        <v/>
      </c>
      <c r="K35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3" s="37"/>
      <c r="O3563" s="37"/>
      <c r="P3563" s="37"/>
    </row>
    <row r="3564" spans="2:16" x14ac:dyDescent="0.25">
      <c r="B35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4" s="46"/>
      <c r="D3564" s="37"/>
      <c r="E3564" s="37"/>
      <c r="F3564" s="37"/>
      <c r="G3564" s="40" t="str">
        <f>IF(tblMovimientos[[#This Row],[Producto]]="","",TRIM(LEFT(tblMovimientos[[#This Row],[Producto]],FIND(" · ",tblMovimientos[[#This Row],[Producto]]&amp;" · ")-1)))</f>
        <v/>
      </c>
      <c r="H3564" s="40" t="str">
        <f>IF(tblMovimientos[[#This Row],[SKU]]="","",IFERROR(INDEX(tblProductos[Unidad],MATCH(tblMovimientos[[#This Row],[SKU]],tblProductos[SKU],0)),"?"))</f>
        <v/>
      </c>
      <c r="I3564" s="39"/>
      <c r="J3564" s="47" t="str">
        <f>IF(tblMovimientos[[#This Row],[Tipo]]="","",IFERROR(INDEX(tblTiposMov[FactorStock],MATCH(tblMovimientos[[#This Row],[Tipo]],tblTiposMov[Tipo],0)),0))</f>
        <v/>
      </c>
      <c r="K35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4" s="37"/>
      <c r="O3564" s="37"/>
      <c r="P3564" s="37"/>
    </row>
    <row r="3565" spans="2:16" x14ac:dyDescent="0.25">
      <c r="B35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5" s="46"/>
      <c r="D3565" s="37"/>
      <c r="E3565" s="37"/>
      <c r="F3565" s="37"/>
      <c r="G3565" s="40" t="str">
        <f>IF(tblMovimientos[[#This Row],[Producto]]="","",TRIM(LEFT(tblMovimientos[[#This Row],[Producto]],FIND(" · ",tblMovimientos[[#This Row],[Producto]]&amp;" · ")-1)))</f>
        <v/>
      </c>
      <c r="H3565" s="40" t="str">
        <f>IF(tblMovimientos[[#This Row],[SKU]]="","",IFERROR(INDEX(tblProductos[Unidad],MATCH(tblMovimientos[[#This Row],[SKU]],tblProductos[SKU],0)),"?"))</f>
        <v/>
      </c>
      <c r="I3565" s="39"/>
      <c r="J3565" s="47" t="str">
        <f>IF(tblMovimientos[[#This Row],[Tipo]]="","",IFERROR(INDEX(tblTiposMov[FactorStock],MATCH(tblMovimientos[[#This Row],[Tipo]],tblTiposMov[Tipo],0)),0))</f>
        <v/>
      </c>
      <c r="K35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5" s="37"/>
      <c r="O3565" s="37"/>
      <c r="P3565" s="37"/>
    </row>
    <row r="3566" spans="2:16" x14ac:dyDescent="0.25">
      <c r="B35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6" s="46"/>
      <c r="D3566" s="37"/>
      <c r="E3566" s="37"/>
      <c r="F3566" s="37"/>
      <c r="G3566" s="40" t="str">
        <f>IF(tblMovimientos[[#This Row],[Producto]]="","",TRIM(LEFT(tblMovimientos[[#This Row],[Producto]],FIND(" · ",tblMovimientos[[#This Row],[Producto]]&amp;" · ")-1)))</f>
        <v/>
      </c>
      <c r="H3566" s="40" t="str">
        <f>IF(tblMovimientos[[#This Row],[SKU]]="","",IFERROR(INDEX(tblProductos[Unidad],MATCH(tblMovimientos[[#This Row],[SKU]],tblProductos[SKU],0)),"?"))</f>
        <v/>
      </c>
      <c r="I3566" s="39"/>
      <c r="J3566" s="47" t="str">
        <f>IF(tblMovimientos[[#This Row],[Tipo]]="","",IFERROR(INDEX(tblTiposMov[FactorStock],MATCH(tblMovimientos[[#This Row],[Tipo]],tblTiposMov[Tipo],0)),0))</f>
        <v/>
      </c>
      <c r="K35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6" s="37"/>
      <c r="O3566" s="37"/>
      <c r="P3566" s="37"/>
    </row>
    <row r="3567" spans="2:16" x14ac:dyDescent="0.25">
      <c r="B35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7" s="46"/>
      <c r="D3567" s="37"/>
      <c r="E3567" s="37"/>
      <c r="F3567" s="37"/>
      <c r="G3567" s="40" t="str">
        <f>IF(tblMovimientos[[#This Row],[Producto]]="","",TRIM(LEFT(tblMovimientos[[#This Row],[Producto]],FIND(" · ",tblMovimientos[[#This Row],[Producto]]&amp;" · ")-1)))</f>
        <v/>
      </c>
      <c r="H3567" s="40" t="str">
        <f>IF(tblMovimientos[[#This Row],[SKU]]="","",IFERROR(INDEX(tblProductos[Unidad],MATCH(tblMovimientos[[#This Row],[SKU]],tblProductos[SKU],0)),"?"))</f>
        <v/>
      </c>
      <c r="I3567" s="39"/>
      <c r="J3567" s="47" t="str">
        <f>IF(tblMovimientos[[#This Row],[Tipo]]="","",IFERROR(INDEX(tblTiposMov[FactorStock],MATCH(tblMovimientos[[#This Row],[Tipo]],tblTiposMov[Tipo],0)),0))</f>
        <v/>
      </c>
      <c r="K35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7" s="37"/>
      <c r="O3567" s="37"/>
      <c r="P3567" s="37"/>
    </row>
    <row r="3568" spans="2:16" x14ac:dyDescent="0.25">
      <c r="B35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8" s="46"/>
      <c r="D3568" s="37"/>
      <c r="E3568" s="37"/>
      <c r="F3568" s="37"/>
      <c r="G3568" s="40" t="str">
        <f>IF(tblMovimientos[[#This Row],[Producto]]="","",TRIM(LEFT(tblMovimientos[[#This Row],[Producto]],FIND(" · ",tblMovimientos[[#This Row],[Producto]]&amp;" · ")-1)))</f>
        <v/>
      </c>
      <c r="H3568" s="40" t="str">
        <f>IF(tblMovimientos[[#This Row],[SKU]]="","",IFERROR(INDEX(tblProductos[Unidad],MATCH(tblMovimientos[[#This Row],[SKU]],tblProductos[SKU],0)),"?"))</f>
        <v/>
      </c>
      <c r="I3568" s="39"/>
      <c r="J3568" s="47" t="str">
        <f>IF(tblMovimientos[[#This Row],[Tipo]]="","",IFERROR(INDEX(tblTiposMov[FactorStock],MATCH(tblMovimientos[[#This Row],[Tipo]],tblTiposMov[Tipo],0)),0))</f>
        <v/>
      </c>
      <c r="K35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8" s="37"/>
      <c r="O3568" s="37"/>
      <c r="P3568" s="37"/>
    </row>
    <row r="3569" spans="2:16" x14ac:dyDescent="0.25">
      <c r="B35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69" s="46"/>
      <c r="D3569" s="37"/>
      <c r="E3569" s="37"/>
      <c r="F3569" s="37"/>
      <c r="G3569" s="40" t="str">
        <f>IF(tblMovimientos[[#This Row],[Producto]]="","",TRIM(LEFT(tblMovimientos[[#This Row],[Producto]],FIND(" · ",tblMovimientos[[#This Row],[Producto]]&amp;" · ")-1)))</f>
        <v/>
      </c>
      <c r="H3569" s="40" t="str">
        <f>IF(tblMovimientos[[#This Row],[SKU]]="","",IFERROR(INDEX(tblProductos[Unidad],MATCH(tblMovimientos[[#This Row],[SKU]],tblProductos[SKU],0)),"?"))</f>
        <v/>
      </c>
      <c r="I3569" s="39"/>
      <c r="J3569" s="47" t="str">
        <f>IF(tblMovimientos[[#This Row],[Tipo]]="","",IFERROR(INDEX(tblTiposMov[FactorStock],MATCH(tblMovimientos[[#This Row],[Tipo]],tblTiposMov[Tipo],0)),0))</f>
        <v/>
      </c>
      <c r="K35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69" s="37"/>
      <c r="O3569" s="37"/>
      <c r="P3569" s="37"/>
    </row>
    <row r="3570" spans="2:16" x14ac:dyDescent="0.25">
      <c r="B35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0" s="46"/>
      <c r="D3570" s="37"/>
      <c r="E3570" s="37"/>
      <c r="F3570" s="37"/>
      <c r="G3570" s="40" t="str">
        <f>IF(tblMovimientos[[#This Row],[Producto]]="","",TRIM(LEFT(tblMovimientos[[#This Row],[Producto]],FIND(" · ",tblMovimientos[[#This Row],[Producto]]&amp;" · ")-1)))</f>
        <v/>
      </c>
      <c r="H3570" s="40" t="str">
        <f>IF(tblMovimientos[[#This Row],[SKU]]="","",IFERROR(INDEX(tblProductos[Unidad],MATCH(tblMovimientos[[#This Row],[SKU]],tblProductos[SKU],0)),"?"))</f>
        <v/>
      </c>
      <c r="I3570" s="39"/>
      <c r="J3570" s="47" t="str">
        <f>IF(tblMovimientos[[#This Row],[Tipo]]="","",IFERROR(INDEX(tblTiposMov[FactorStock],MATCH(tblMovimientos[[#This Row],[Tipo]],tblTiposMov[Tipo],0)),0))</f>
        <v/>
      </c>
      <c r="K35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0" s="37"/>
      <c r="O3570" s="37"/>
      <c r="P3570" s="37"/>
    </row>
    <row r="3571" spans="2:16" x14ac:dyDescent="0.25">
      <c r="B35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1" s="46"/>
      <c r="D3571" s="37"/>
      <c r="E3571" s="37"/>
      <c r="F3571" s="37"/>
      <c r="G3571" s="40" t="str">
        <f>IF(tblMovimientos[[#This Row],[Producto]]="","",TRIM(LEFT(tblMovimientos[[#This Row],[Producto]],FIND(" · ",tblMovimientos[[#This Row],[Producto]]&amp;" · ")-1)))</f>
        <v/>
      </c>
      <c r="H3571" s="40" t="str">
        <f>IF(tblMovimientos[[#This Row],[SKU]]="","",IFERROR(INDEX(tblProductos[Unidad],MATCH(tblMovimientos[[#This Row],[SKU]],tblProductos[SKU],0)),"?"))</f>
        <v/>
      </c>
      <c r="I3571" s="39"/>
      <c r="J3571" s="47" t="str">
        <f>IF(tblMovimientos[[#This Row],[Tipo]]="","",IFERROR(INDEX(tblTiposMov[FactorStock],MATCH(tblMovimientos[[#This Row],[Tipo]],tblTiposMov[Tipo],0)),0))</f>
        <v/>
      </c>
      <c r="K35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1" s="37"/>
      <c r="O3571" s="37"/>
      <c r="P3571" s="37"/>
    </row>
    <row r="3572" spans="2:16" x14ac:dyDescent="0.25">
      <c r="B35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2" s="46"/>
      <c r="D3572" s="37"/>
      <c r="E3572" s="37"/>
      <c r="F3572" s="37"/>
      <c r="G3572" s="40" t="str">
        <f>IF(tblMovimientos[[#This Row],[Producto]]="","",TRIM(LEFT(tblMovimientos[[#This Row],[Producto]],FIND(" · ",tblMovimientos[[#This Row],[Producto]]&amp;" · ")-1)))</f>
        <v/>
      </c>
      <c r="H3572" s="40" t="str">
        <f>IF(tblMovimientos[[#This Row],[SKU]]="","",IFERROR(INDEX(tblProductos[Unidad],MATCH(tblMovimientos[[#This Row],[SKU]],tblProductos[SKU],0)),"?"))</f>
        <v/>
      </c>
      <c r="I3572" s="39"/>
      <c r="J3572" s="47" t="str">
        <f>IF(tblMovimientos[[#This Row],[Tipo]]="","",IFERROR(INDEX(tblTiposMov[FactorStock],MATCH(tblMovimientos[[#This Row],[Tipo]],tblTiposMov[Tipo],0)),0))</f>
        <v/>
      </c>
      <c r="K35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2" s="37"/>
      <c r="O3572" s="37"/>
      <c r="P3572" s="37"/>
    </row>
    <row r="3573" spans="2:16" x14ac:dyDescent="0.25">
      <c r="B35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3" s="46"/>
      <c r="D3573" s="37"/>
      <c r="E3573" s="37"/>
      <c r="F3573" s="37"/>
      <c r="G3573" s="40" t="str">
        <f>IF(tblMovimientos[[#This Row],[Producto]]="","",TRIM(LEFT(tblMovimientos[[#This Row],[Producto]],FIND(" · ",tblMovimientos[[#This Row],[Producto]]&amp;" · ")-1)))</f>
        <v/>
      </c>
      <c r="H3573" s="40" t="str">
        <f>IF(tblMovimientos[[#This Row],[SKU]]="","",IFERROR(INDEX(tblProductos[Unidad],MATCH(tblMovimientos[[#This Row],[SKU]],tblProductos[SKU],0)),"?"))</f>
        <v/>
      </c>
      <c r="I3573" s="39"/>
      <c r="J3573" s="47" t="str">
        <f>IF(tblMovimientos[[#This Row],[Tipo]]="","",IFERROR(INDEX(tblTiposMov[FactorStock],MATCH(tblMovimientos[[#This Row],[Tipo]],tblTiposMov[Tipo],0)),0))</f>
        <v/>
      </c>
      <c r="K35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3" s="37"/>
      <c r="O3573" s="37"/>
      <c r="P3573" s="37"/>
    </row>
    <row r="3574" spans="2:16" x14ac:dyDescent="0.25">
      <c r="B35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4" s="46"/>
      <c r="D3574" s="37"/>
      <c r="E3574" s="37"/>
      <c r="F3574" s="37"/>
      <c r="G3574" s="40" t="str">
        <f>IF(tblMovimientos[[#This Row],[Producto]]="","",TRIM(LEFT(tblMovimientos[[#This Row],[Producto]],FIND(" · ",tblMovimientos[[#This Row],[Producto]]&amp;" · ")-1)))</f>
        <v/>
      </c>
      <c r="H3574" s="40" t="str">
        <f>IF(tblMovimientos[[#This Row],[SKU]]="","",IFERROR(INDEX(tblProductos[Unidad],MATCH(tblMovimientos[[#This Row],[SKU]],tblProductos[SKU],0)),"?"))</f>
        <v/>
      </c>
      <c r="I3574" s="39"/>
      <c r="J3574" s="47" t="str">
        <f>IF(tblMovimientos[[#This Row],[Tipo]]="","",IFERROR(INDEX(tblTiposMov[FactorStock],MATCH(tblMovimientos[[#This Row],[Tipo]],tblTiposMov[Tipo],0)),0))</f>
        <v/>
      </c>
      <c r="K35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4" s="37"/>
      <c r="O3574" s="37"/>
      <c r="P3574" s="37"/>
    </row>
    <row r="3575" spans="2:16" x14ac:dyDescent="0.25">
      <c r="B35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5" s="46"/>
      <c r="D3575" s="37"/>
      <c r="E3575" s="37"/>
      <c r="F3575" s="37"/>
      <c r="G3575" s="40" t="str">
        <f>IF(tblMovimientos[[#This Row],[Producto]]="","",TRIM(LEFT(tblMovimientos[[#This Row],[Producto]],FIND(" · ",tblMovimientos[[#This Row],[Producto]]&amp;" · ")-1)))</f>
        <v/>
      </c>
      <c r="H3575" s="40" t="str">
        <f>IF(tblMovimientos[[#This Row],[SKU]]="","",IFERROR(INDEX(tblProductos[Unidad],MATCH(tblMovimientos[[#This Row],[SKU]],tblProductos[SKU],0)),"?"))</f>
        <v/>
      </c>
      <c r="I3575" s="39"/>
      <c r="J3575" s="47" t="str">
        <f>IF(tblMovimientos[[#This Row],[Tipo]]="","",IFERROR(INDEX(tblTiposMov[FactorStock],MATCH(tblMovimientos[[#This Row],[Tipo]],tblTiposMov[Tipo],0)),0))</f>
        <v/>
      </c>
      <c r="K35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5" s="37"/>
      <c r="O3575" s="37"/>
      <c r="P3575" s="37"/>
    </row>
    <row r="3576" spans="2:16" x14ac:dyDescent="0.25">
      <c r="B35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6" s="46"/>
      <c r="D3576" s="37"/>
      <c r="E3576" s="37"/>
      <c r="F3576" s="37"/>
      <c r="G3576" s="40" t="str">
        <f>IF(tblMovimientos[[#This Row],[Producto]]="","",TRIM(LEFT(tblMovimientos[[#This Row],[Producto]],FIND(" · ",tblMovimientos[[#This Row],[Producto]]&amp;" · ")-1)))</f>
        <v/>
      </c>
      <c r="H3576" s="40" t="str">
        <f>IF(tblMovimientos[[#This Row],[SKU]]="","",IFERROR(INDEX(tblProductos[Unidad],MATCH(tblMovimientos[[#This Row],[SKU]],tblProductos[SKU],0)),"?"))</f>
        <v/>
      </c>
      <c r="I3576" s="39"/>
      <c r="J3576" s="47" t="str">
        <f>IF(tblMovimientos[[#This Row],[Tipo]]="","",IFERROR(INDEX(tblTiposMov[FactorStock],MATCH(tblMovimientos[[#This Row],[Tipo]],tblTiposMov[Tipo],0)),0))</f>
        <v/>
      </c>
      <c r="K35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6" s="37"/>
      <c r="O3576" s="37"/>
      <c r="P3576" s="37"/>
    </row>
    <row r="3577" spans="2:16" x14ac:dyDescent="0.25">
      <c r="B35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7" s="46"/>
      <c r="D3577" s="37"/>
      <c r="E3577" s="37"/>
      <c r="F3577" s="37"/>
      <c r="G3577" s="40" t="str">
        <f>IF(tblMovimientos[[#This Row],[Producto]]="","",TRIM(LEFT(tblMovimientos[[#This Row],[Producto]],FIND(" · ",tblMovimientos[[#This Row],[Producto]]&amp;" · ")-1)))</f>
        <v/>
      </c>
      <c r="H3577" s="40" t="str">
        <f>IF(tblMovimientos[[#This Row],[SKU]]="","",IFERROR(INDEX(tblProductos[Unidad],MATCH(tblMovimientos[[#This Row],[SKU]],tblProductos[SKU],0)),"?"))</f>
        <v/>
      </c>
      <c r="I3577" s="39"/>
      <c r="J3577" s="47" t="str">
        <f>IF(tblMovimientos[[#This Row],[Tipo]]="","",IFERROR(INDEX(tblTiposMov[FactorStock],MATCH(tblMovimientos[[#This Row],[Tipo]],tblTiposMov[Tipo],0)),0))</f>
        <v/>
      </c>
      <c r="K35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7" s="37"/>
      <c r="O3577" s="37"/>
      <c r="P3577" s="37"/>
    </row>
    <row r="3578" spans="2:16" x14ac:dyDescent="0.25">
      <c r="B35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8" s="46"/>
      <c r="D3578" s="37"/>
      <c r="E3578" s="37"/>
      <c r="F3578" s="37"/>
      <c r="G3578" s="40" t="str">
        <f>IF(tblMovimientos[[#This Row],[Producto]]="","",TRIM(LEFT(tblMovimientos[[#This Row],[Producto]],FIND(" · ",tblMovimientos[[#This Row],[Producto]]&amp;" · ")-1)))</f>
        <v/>
      </c>
      <c r="H3578" s="40" t="str">
        <f>IF(tblMovimientos[[#This Row],[SKU]]="","",IFERROR(INDEX(tblProductos[Unidad],MATCH(tblMovimientos[[#This Row],[SKU]],tblProductos[SKU],0)),"?"))</f>
        <v/>
      </c>
      <c r="I3578" s="39"/>
      <c r="J3578" s="47" t="str">
        <f>IF(tblMovimientos[[#This Row],[Tipo]]="","",IFERROR(INDEX(tblTiposMov[FactorStock],MATCH(tblMovimientos[[#This Row],[Tipo]],tblTiposMov[Tipo],0)),0))</f>
        <v/>
      </c>
      <c r="K35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8" s="37"/>
      <c r="O3578" s="37"/>
      <c r="P3578" s="37"/>
    </row>
    <row r="3579" spans="2:16" x14ac:dyDescent="0.25">
      <c r="B35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79" s="46"/>
      <c r="D3579" s="37"/>
      <c r="E3579" s="37"/>
      <c r="F3579" s="37"/>
      <c r="G3579" s="40" t="str">
        <f>IF(tblMovimientos[[#This Row],[Producto]]="","",TRIM(LEFT(tblMovimientos[[#This Row],[Producto]],FIND(" · ",tblMovimientos[[#This Row],[Producto]]&amp;" · ")-1)))</f>
        <v/>
      </c>
      <c r="H3579" s="40" t="str">
        <f>IF(tblMovimientos[[#This Row],[SKU]]="","",IFERROR(INDEX(tblProductos[Unidad],MATCH(tblMovimientos[[#This Row],[SKU]],tblProductos[SKU],0)),"?"))</f>
        <v/>
      </c>
      <c r="I3579" s="39"/>
      <c r="J3579" s="47" t="str">
        <f>IF(tblMovimientos[[#This Row],[Tipo]]="","",IFERROR(INDEX(tblTiposMov[FactorStock],MATCH(tblMovimientos[[#This Row],[Tipo]],tblTiposMov[Tipo],0)),0))</f>
        <v/>
      </c>
      <c r="K35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79" s="37"/>
      <c r="O3579" s="37"/>
      <c r="P3579" s="37"/>
    </row>
    <row r="3580" spans="2:16" x14ac:dyDescent="0.25">
      <c r="B35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0" s="46"/>
      <c r="D3580" s="37"/>
      <c r="E3580" s="37"/>
      <c r="F3580" s="37"/>
      <c r="G3580" s="40" t="str">
        <f>IF(tblMovimientos[[#This Row],[Producto]]="","",TRIM(LEFT(tblMovimientos[[#This Row],[Producto]],FIND(" · ",tblMovimientos[[#This Row],[Producto]]&amp;" · ")-1)))</f>
        <v/>
      </c>
      <c r="H3580" s="40" t="str">
        <f>IF(tblMovimientos[[#This Row],[SKU]]="","",IFERROR(INDEX(tblProductos[Unidad],MATCH(tblMovimientos[[#This Row],[SKU]],tblProductos[SKU],0)),"?"))</f>
        <v/>
      </c>
      <c r="I3580" s="39"/>
      <c r="J3580" s="47" t="str">
        <f>IF(tblMovimientos[[#This Row],[Tipo]]="","",IFERROR(INDEX(tblTiposMov[FactorStock],MATCH(tblMovimientos[[#This Row],[Tipo]],tblTiposMov[Tipo],0)),0))</f>
        <v/>
      </c>
      <c r="K35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0" s="37"/>
      <c r="O3580" s="37"/>
      <c r="P3580" s="37"/>
    </row>
    <row r="3581" spans="2:16" x14ac:dyDescent="0.25">
      <c r="B35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1" s="46"/>
      <c r="D3581" s="37"/>
      <c r="E3581" s="37"/>
      <c r="F3581" s="37"/>
      <c r="G3581" s="40" t="str">
        <f>IF(tblMovimientos[[#This Row],[Producto]]="","",TRIM(LEFT(tblMovimientos[[#This Row],[Producto]],FIND(" · ",tblMovimientos[[#This Row],[Producto]]&amp;" · ")-1)))</f>
        <v/>
      </c>
      <c r="H3581" s="40" t="str">
        <f>IF(tblMovimientos[[#This Row],[SKU]]="","",IFERROR(INDEX(tblProductos[Unidad],MATCH(tblMovimientos[[#This Row],[SKU]],tblProductos[SKU],0)),"?"))</f>
        <v/>
      </c>
      <c r="I3581" s="39"/>
      <c r="J3581" s="47" t="str">
        <f>IF(tblMovimientos[[#This Row],[Tipo]]="","",IFERROR(INDEX(tblTiposMov[FactorStock],MATCH(tblMovimientos[[#This Row],[Tipo]],tblTiposMov[Tipo],0)),0))</f>
        <v/>
      </c>
      <c r="K35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1" s="37"/>
      <c r="O3581" s="37"/>
      <c r="P3581" s="37"/>
    </row>
    <row r="3582" spans="2:16" x14ac:dyDescent="0.25">
      <c r="B35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2" s="46"/>
      <c r="D3582" s="37"/>
      <c r="E3582" s="37"/>
      <c r="F3582" s="37"/>
      <c r="G3582" s="40" t="str">
        <f>IF(tblMovimientos[[#This Row],[Producto]]="","",TRIM(LEFT(tblMovimientos[[#This Row],[Producto]],FIND(" · ",tblMovimientos[[#This Row],[Producto]]&amp;" · ")-1)))</f>
        <v/>
      </c>
      <c r="H3582" s="40" t="str">
        <f>IF(tblMovimientos[[#This Row],[SKU]]="","",IFERROR(INDEX(tblProductos[Unidad],MATCH(tblMovimientos[[#This Row],[SKU]],tblProductos[SKU],0)),"?"))</f>
        <v/>
      </c>
      <c r="I3582" s="39"/>
      <c r="J3582" s="47" t="str">
        <f>IF(tblMovimientos[[#This Row],[Tipo]]="","",IFERROR(INDEX(tblTiposMov[FactorStock],MATCH(tblMovimientos[[#This Row],[Tipo]],tblTiposMov[Tipo],0)),0))</f>
        <v/>
      </c>
      <c r="K35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2" s="37"/>
      <c r="O3582" s="37"/>
      <c r="P3582" s="37"/>
    </row>
    <row r="3583" spans="2:16" x14ac:dyDescent="0.25">
      <c r="B35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3" s="46"/>
      <c r="D3583" s="37"/>
      <c r="E3583" s="37"/>
      <c r="F3583" s="37"/>
      <c r="G3583" s="40" t="str">
        <f>IF(tblMovimientos[[#This Row],[Producto]]="","",TRIM(LEFT(tblMovimientos[[#This Row],[Producto]],FIND(" · ",tblMovimientos[[#This Row],[Producto]]&amp;" · ")-1)))</f>
        <v/>
      </c>
      <c r="H3583" s="40" t="str">
        <f>IF(tblMovimientos[[#This Row],[SKU]]="","",IFERROR(INDEX(tblProductos[Unidad],MATCH(tblMovimientos[[#This Row],[SKU]],tblProductos[SKU],0)),"?"))</f>
        <v/>
      </c>
      <c r="I3583" s="39"/>
      <c r="J3583" s="47" t="str">
        <f>IF(tblMovimientos[[#This Row],[Tipo]]="","",IFERROR(INDEX(tblTiposMov[FactorStock],MATCH(tblMovimientos[[#This Row],[Tipo]],tblTiposMov[Tipo],0)),0))</f>
        <v/>
      </c>
      <c r="K35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3" s="37"/>
      <c r="O3583" s="37"/>
      <c r="P3583" s="37"/>
    </row>
    <row r="3584" spans="2:16" x14ac:dyDescent="0.25">
      <c r="B35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4" s="46"/>
      <c r="D3584" s="37"/>
      <c r="E3584" s="37"/>
      <c r="F3584" s="37"/>
      <c r="G3584" s="40" t="str">
        <f>IF(tblMovimientos[[#This Row],[Producto]]="","",TRIM(LEFT(tblMovimientos[[#This Row],[Producto]],FIND(" · ",tblMovimientos[[#This Row],[Producto]]&amp;" · ")-1)))</f>
        <v/>
      </c>
      <c r="H3584" s="40" t="str">
        <f>IF(tblMovimientos[[#This Row],[SKU]]="","",IFERROR(INDEX(tblProductos[Unidad],MATCH(tblMovimientos[[#This Row],[SKU]],tblProductos[SKU],0)),"?"))</f>
        <v/>
      </c>
      <c r="I3584" s="39"/>
      <c r="J3584" s="47" t="str">
        <f>IF(tblMovimientos[[#This Row],[Tipo]]="","",IFERROR(INDEX(tblTiposMov[FactorStock],MATCH(tblMovimientos[[#This Row],[Tipo]],tblTiposMov[Tipo],0)),0))</f>
        <v/>
      </c>
      <c r="K35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4" s="37"/>
      <c r="O3584" s="37"/>
      <c r="P3584" s="37"/>
    </row>
    <row r="3585" spans="2:16" x14ac:dyDescent="0.25">
      <c r="B35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5" s="46"/>
      <c r="D3585" s="37"/>
      <c r="E3585" s="37"/>
      <c r="F3585" s="37"/>
      <c r="G3585" s="40" t="str">
        <f>IF(tblMovimientos[[#This Row],[Producto]]="","",TRIM(LEFT(tblMovimientos[[#This Row],[Producto]],FIND(" · ",tblMovimientos[[#This Row],[Producto]]&amp;" · ")-1)))</f>
        <v/>
      </c>
      <c r="H3585" s="40" t="str">
        <f>IF(tblMovimientos[[#This Row],[SKU]]="","",IFERROR(INDEX(tblProductos[Unidad],MATCH(tblMovimientos[[#This Row],[SKU]],tblProductos[SKU],0)),"?"))</f>
        <v/>
      </c>
      <c r="I3585" s="39"/>
      <c r="J3585" s="47" t="str">
        <f>IF(tblMovimientos[[#This Row],[Tipo]]="","",IFERROR(INDEX(tblTiposMov[FactorStock],MATCH(tblMovimientos[[#This Row],[Tipo]],tblTiposMov[Tipo],0)),0))</f>
        <v/>
      </c>
      <c r="K35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5" s="37"/>
      <c r="O3585" s="37"/>
      <c r="P3585" s="37"/>
    </row>
    <row r="3586" spans="2:16" x14ac:dyDescent="0.25">
      <c r="B35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6" s="46"/>
      <c r="D3586" s="37"/>
      <c r="E3586" s="37"/>
      <c r="F3586" s="37"/>
      <c r="G3586" s="40" t="str">
        <f>IF(tblMovimientos[[#This Row],[Producto]]="","",TRIM(LEFT(tblMovimientos[[#This Row],[Producto]],FIND(" · ",tblMovimientos[[#This Row],[Producto]]&amp;" · ")-1)))</f>
        <v/>
      </c>
      <c r="H3586" s="40" t="str">
        <f>IF(tblMovimientos[[#This Row],[SKU]]="","",IFERROR(INDEX(tblProductos[Unidad],MATCH(tblMovimientos[[#This Row],[SKU]],tblProductos[SKU],0)),"?"))</f>
        <v/>
      </c>
      <c r="I3586" s="39"/>
      <c r="J3586" s="47" t="str">
        <f>IF(tblMovimientos[[#This Row],[Tipo]]="","",IFERROR(INDEX(tblTiposMov[FactorStock],MATCH(tblMovimientos[[#This Row],[Tipo]],tblTiposMov[Tipo],0)),0))</f>
        <v/>
      </c>
      <c r="K35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6" s="37"/>
      <c r="O3586" s="37"/>
      <c r="P3586" s="37"/>
    </row>
    <row r="3587" spans="2:16" x14ac:dyDescent="0.25">
      <c r="B35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7" s="46"/>
      <c r="D3587" s="37"/>
      <c r="E3587" s="37"/>
      <c r="F3587" s="37"/>
      <c r="G3587" s="40" t="str">
        <f>IF(tblMovimientos[[#This Row],[Producto]]="","",TRIM(LEFT(tblMovimientos[[#This Row],[Producto]],FIND(" · ",tblMovimientos[[#This Row],[Producto]]&amp;" · ")-1)))</f>
        <v/>
      </c>
      <c r="H3587" s="40" t="str">
        <f>IF(tblMovimientos[[#This Row],[SKU]]="","",IFERROR(INDEX(tblProductos[Unidad],MATCH(tblMovimientos[[#This Row],[SKU]],tblProductos[SKU],0)),"?"))</f>
        <v/>
      </c>
      <c r="I3587" s="39"/>
      <c r="J3587" s="47" t="str">
        <f>IF(tblMovimientos[[#This Row],[Tipo]]="","",IFERROR(INDEX(tblTiposMov[FactorStock],MATCH(tblMovimientos[[#This Row],[Tipo]],tblTiposMov[Tipo],0)),0))</f>
        <v/>
      </c>
      <c r="K35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7" s="37"/>
      <c r="O3587" s="37"/>
      <c r="P3587" s="37"/>
    </row>
    <row r="3588" spans="2:16" x14ac:dyDescent="0.25">
      <c r="B35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8" s="46"/>
      <c r="D3588" s="37"/>
      <c r="E3588" s="37"/>
      <c r="F3588" s="37"/>
      <c r="G3588" s="40" t="str">
        <f>IF(tblMovimientos[[#This Row],[Producto]]="","",TRIM(LEFT(tblMovimientos[[#This Row],[Producto]],FIND(" · ",tblMovimientos[[#This Row],[Producto]]&amp;" · ")-1)))</f>
        <v/>
      </c>
      <c r="H3588" s="40" t="str">
        <f>IF(tblMovimientos[[#This Row],[SKU]]="","",IFERROR(INDEX(tblProductos[Unidad],MATCH(tblMovimientos[[#This Row],[SKU]],tblProductos[SKU],0)),"?"))</f>
        <v/>
      </c>
      <c r="I3588" s="39"/>
      <c r="J3588" s="47" t="str">
        <f>IF(tblMovimientos[[#This Row],[Tipo]]="","",IFERROR(INDEX(tblTiposMov[FactorStock],MATCH(tblMovimientos[[#This Row],[Tipo]],tblTiposMov[Tipo],0)),0))</f>
        <v/>
      </c>
      <c r="K35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8" s="37"/>
      <c r="O3588" s="37"/>
      <c r="P3588" s="37"/>
    </row>
    <row r="3589" spans="2:16" x14ac:dyDescent="0.25">
      <c r="B35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89" s="46"/>
      <c r="D3589" s="37"/>
      <c r="E3589" s="37"/>
      <c r="F3589" s="37"/>
      <c r="G3589" s="40" t="str">
        <f>IF(tblMovimientos[[#This Row],[Producto]]="","",TRIM(LEFT(tblMovimientos[[#This Row],[Producto]],FIND(" · ",tblMovimientos[[#This Row],[Producto]]&amp;" · ")-1)))</f>
        <v/>
      </c>
      <c r="H3589" s="40" t="str">
        <f>IF(tblMovimientos[[#This Row],[SKU]]="","",IFERROR(INDEX(tblProductos[Unidad],MATCH(tblMovimientos[[#This Row],[SKU]],tblProductos[SKU],0)),"?"))</f>
        <v/>
      </c>
      <c r="I3589" s="39"/>
      <c r="J3589" s="47" t="str">
        <f>IF(tblMovimientos[[#This Row],[Tipo]]="","",IFERROR(INDEX(tblTiposMov[FactorStock],MATCH(tblMovimientos[[#This Row],[Tipo]],tblTiposMov[Tipo],0)),0))</f>
        <v/>
      </c>
      <c r="K35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89" s="37"/>
      <c r="O3589" s="37"/>
      <c r="P3589" s="37"/>
    </row>
    <row r="3590" spans="2:16" x14ac:dyDescent="0.25">
      <c r="B35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0" s="46"/>
      <c r="D3590" s="37"/>
      <c r="E3590" s="37"/>
      <c r="F3590" s="37"/>
      <c r="G3590" s="40" t="str">
        <f>IF(tblMovimientos[[#This Row],[Producto]]="","",TRIM(LEFT(tblMovimientos[[#This Row],[Producto]],FIND(" · ",tblMovimientos[[#This Row],[Producto]]&amp;" · ")-1)))</f>
        <v/>
      </c>
      <c r="H3590" s="40" t="str">
        <f>IF(tblMovimientos[[#This Row],[SKU]]="","",IFERROR(INDEX(tblProductos[Unidad],MATCH(tblMovimientos[[#This Row],[SKU]],tblProductos[SKU],0)),"?"))</f>
        <v/>
      </c>
      <c r="I3590" s="39"/>
      <c r="J3590" s="47" t="str">
        <f>IF(tblMovimientos[[#This Row],[Tipo]]="","",IFERROR(INDEX(tblTiposMov[FactorStock],MATCH(tblMovimientos[[#This Row],[Tipo]],tblTiposMov[Tipo],0)),0))</f>
        <v/>
      </c>
      <c r="K35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0" s="37"/>
      <c r="O3590" s="37"/>
      <c r="P3590" s="37"/>
    </row>
    <row r="3591" spans="2:16" x14ac:dyDescent="0.25">
      <c r="B35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1" s="46"/>
      <c r="D3591" s="37"/>
      <c r="E3591" s="37"/>
      <c r="F3591" s="37"/>
      <c r="G3591" s="40" t="str">
        <f>IF(tblMovimientos[[#This Row],[Producto]]="","",TRIM(LEFT(tblMovimientos[[#This Row],[Producto]],FIND(" · ",tblMovimientos[[#This Row],[Producto]]&amp;" · ")-1)))</f>
        <v/>
      </c>
      <c r="H3591" s="40" t="str">
        <f>IF(tblMovimientos[[#This Row],[SKU]]="","",IFERROR(INDEX(tblProductos[Unidad],MATCH(tblMovimientos[[#This Row],[SKU]],tblProductos[SKU],0)),"?"))</f>
        <v/>
      </c>
      <c r="I3591" s="39"/>
      <c r="J3591" s="47" t="str">
        <f>IF(tblMovimientos[[#This Row],[Tipo]]="","",IFERROR(INDEX(tblTiposMov[FactorStock],MATCH(tblMovimientos[[#This Row],[Tipo]],tblTiposMov[Tipo],0)),0))</f>
        <v/>
      </c>
      <c r="K35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1" s="37"/>
      <c r="O3591" s="37"/>
      <c r="P3591" s="37"/>
    </row>
    <row r="3592" spans="2:16" x14ac:dyDescent="0.25">
      <c r="B35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2" s="46"/>
      <c r="D3592" s="37"/>
      <c r="E3592" s="37"/>
      <c r="F3592" s="37"/>
      <c r="G3592" s="40" t="str">
        <f>IF(tblMovimientos[[#This Row],[Producto]]="","",TRIM(LEFT(tblMovimientos[[#This Row],[Producto]],FIND(" · ",tblMovimientos[[#This Row],[Producto]]&amp;" · ")-1)))</f>
        <v/>
      </c>
      <c r="H3592" s="40" t="str">
        <f>IF(tblMovimientos[[#This Row],[SKU]]="","",IFERROR(INDEX(tblProductos[Unidad],MATCH(tblMovimientos[[#This Row],[SKU]],tblProductos[SKU],0)),"?"))</f>
        <v/>
      </c>
      <c r="I3592" s="39"/>
      <c r="J3592" s="47" t="str">
        <f>IF(tblMovimientos[[#This Row],[Tipo]]="","",IFERROR(INDEX(tblTiposMov[FactorStock],MATCH(tblMovimientos[[#This Row],[Tipo]],tblTiposMov[Tipo],0)),0))</f>
        <v/>
      </c>
      <c r="K35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2" s="37"/>
      <c r="O3592" s="37"/>
      <c r="P3592" s="37"/>
    </row>
    <row r="3593" spans="2:16" x14ac:dyDescent="0.25">
      <c r="B35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3" s="46"/>
      <c r="D3593" s="37"/>
      <c r="E3593" s="37"/>
      <c r="F3593" s="37"/>
      <c r="G3593" s="40" t="str">
        <f>IF(tblMovimientos[[#This Row],[Producto]]="","",TRIM(LEFT(tblMovimientos[[#This Row],[Producto]],FIND(" · ",tblMovimientos[[#This Row],[Producto]]&amp;" · ")-1)))</f>
        <v/>
      </c>
      <c r="H3593" s="40" t="str">
        <f>IF(tblMovimientos[[#This Row],[SKU]]="","",IFERROR(INDEX(tblProductos[Unidad],MATCH(tblMovimientos[[#This Row],[SKU]],tblProductos[SKU],0)),"?"))</f>
        <v/>
      </c>
      <c r="I3593" s="39"/>
      <c r="J3593" s="47" t="str">
        <f>IF(tblMovimientos[[#This Row],[Tipo]]="","",IFERROR(INDEX(tblTiposMov[FactorStock],MATCH(tblMovimientos[[#This Row],[Tipo]],tblTiposMov[Tipo],0)),0))</f>
        <v/>
      </c>
      <c r="K35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3" s="37"/>
      <c r="O3593" s="37"/>
      <c r="P3593" s="37"/>
    </row>
    <row r="3594" spans="2:16" x14ac:dyDescent="0.25">
      <c r="B35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4" s="46"/>
      <c r="D3594" s="37"/>
      <c r="E3594" s="37"/>
      <c r="F3594" s="37"/>
      <c r="G3594" s="40" t="str">
        <f>IF(tblMovimientos[[#This Row],[Producto]]="","",TRIM(LEFT(tblMovimientos[[#This Row],[Producto]],FIND(" · ",tblMovimientos[[#This Row],[Producto]]&amp;" · ")-1)))</f>
        <v/>
      </c>
      <c r="H3594" s="40" t="str">
        <f>IF(tblMovimientos[[#This Row],[SKU]]="","",IFERROR(INDEX(tblProductos[Unidad],MATCH(tblMovimientos[[#This Row],[SKU]],tblProductos[SKU],0)),"?"))</f>
        <v/>
      </c>
      <c r="I3594" s="39"/>
      <c r="J3594" s="47" t="str">
        <f>IF(tblMovimientos[[#This Row],[Tipo]]="","",IFERROR(INDEX(tblTiposMov[FactorStock],MATCH(tblMovimientos[[#This Row],[Tipo]],tblTiposMov[Tipo],0)),0))</f>
        <v/>
      </c>
      <c r="K35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4" s="37"/>
      <c r="O3594" s="37"/>
      <c r="P3594" s="37"/>
    </row>
    <row r="3595" spans="2:16" x14ac:dyDescent="0.25">
      <c r="B35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5" s="46"/>
      <c r="D3595" s="37"/>
      <c r="E3595" s="37"/>
      <c r="F3595" s="37"/>
      <c r="G3595" s="40" t="str">
        <f>IF(tblMovimientos[[#This Row],[Producto]]="","",TRIM(LEFT(tblMovimientos[[#This Row],[Producto]],FIND(" · ",tblMovimientos[[#This Row],[Producto]]&amp;" · ")-1)))</f>
        <v/>
      </c>
      <c r="H3595" s="40" t="str">
        <f>IF(tblMovimientos[[#This Row],[SKU]]="","",IFERROR(INDEX(tblProductos[Unidad],MATCH(tblMovimientos[[#This Row],[SKU]],tblProductos[SKU],0)),"?"))</f>
        <v/>
      </c>
      <c r="I3595" s="39"/>
      <c r="J3595" s="47" t="str">
        <f>IF(tblMovimientos[[#This Row],[Tipo]]="","",IFERROR(INDEX(tblTiposMov[FactorStock],MATCH(tblMovimientos[[#This Row],[Tipo]],tblTiposMov[Tipo],0)),0))</f>
        <v/>
      </c>
      <c r="K35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5" s="37"/>
      <c r="O3595" s="37"/>
      <c r="P3595" s="37"/>
    </row>
    <row r="3596" spans="2:16" x14ac:dyDescent="0.25">
      <c r="B35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6" s="46"/>
      <c r="D3596" s="37"/>
      <c r="E3596" s="37"/>
      <c r="F3596" s="37"/>
      <c r="G3596" s="40" t="str">
        <f>IF(tblMovimientos[[#This Row],[Producto]]="","",TRIM(LEFT(tblMovimientos[[#This Row],[Producto]],FIND(" · ",tblMovimientos[[#This Row],[Producto]]&amp;" · ")-1)))</f>
        <v/>
      </c>
      <c r="H3596" s="40" t="str">
        <f>IF(tblMovimientos[[#This Row],[SKU]]="","",IFERROR(INDEX(tblProductos[Unidad],MATCH(tblMovimientos[[#This Row],[SKU]],tblProductos[SKU],0)),"?"))</f>
        <v/>
      </c>
      <c r="I3596" s="39"/>
      <c r="J3596" s="47" t="str">
        <f>IF(tblMovimientos[[#This Row],[Tipo]]="","",IFERROR(INDEX(tblTiposMov[FactorStock],MATCH(tblMovimientos[[#This Row],[Tipo]],tblTiposMov[Tipo],0)),0))</f>
        <v/>
      </c>
      <c r="K35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6" s="37"/>
      <c r="O3596" s="37"/>
      <c r="P3596" s="37"/>
    </row>
    <row r="3597" spans="2:16" x14ac:dyDescent="0.25">
      <c r="B35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7" s="46"/>
      <c r="D3597" s="37"/>
      <c r="E3597" s="37"/>
      <c r="F3597" s="37"/>
      <c r="G3597" s="40" t="str">
        <f>IF(tblMovimientos[[#This Row],[Producto]]="","",TRIM(LEFT(tblMovimientos[[#This Row],[Producto]],FIND(" · ",tblMovimientos[[#This Row],[Producto]]&amp;" · ")-1)))</f>
        <v/>
      </c>
      <c r="H3597" s="40" t="str">
        <f>IF(tblMovimientos[[#This Row],[SKU]]="","",IFERROR(INDEX(tblProductos[Unidad],MATCH(tblMovimientos[[#This Row],[SKU]],tblProductos[SKU],0)),"?"))</f>
        <v/>
      </c>
      <c r="I3597" s="39"/>
      <c r="J3597" s="47" t="str">
        <f>IF(tblMovimientos[[#This Row],[Tipo]]="","",IFERROR(INDEX(tblTiposMov[FactorStock],MATCH(tblMovimientos[[#This Row],[Tipo]],tblTiposMov[Tipo],0)),0))</f>
        <v/>
      </c>
      <c r="K35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7" s="37"/>
      <c r="O3597" s="37"/>
      <c r="P3597" s="37"/>
    </row>
    <row r="3598" spans="2:16" x14ac:dyDescent="0.25">
      <c r="B35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8" s="46"/>
      <c r="D3598" s="37"/>
      <c r="E3598" s="37"/>
      <c r="F3598" s="37"/>
      <c r="G3598" s="40" t="str">
        <f>IF(tblMovimientos[[#This Row],[Producto]]="","",TRIM(LEFT(tblMovimientos[[#This Row],[Producto]],FIND(" · ",tblMovimientos[[#This Row],[Producto]]&amp;" · ")-1)))</f>
        <v/>
      </c>
      <c r="H3598" s="40" t="str">
        <f>IF(tblMovimientos[[#This Row],[SKU]]="","",IFERROR(INDEX(tblProductos[Unidad],MATCH(tblMovimientos[[#This Row],[SKU]],tblProductos[SKU],0)),"?"))</f>
        <v/>
      </c>
      <c r="I3598" s="39"/>
      <c r="J3598" s="47" t="str">
        <f>IF(tblMovimientos[[#This Row],[Tipo]]="","",IFERROR(INDEX(tblTiposMov[FactorStock],MATCH(tblMovimientos[[#This Row],[Tipo]],tblTiposMov[Tipo],0)),0))</f>
        <v/>
      </c>
      <c r="K35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8" s="37"/>
      <c r="O3598" s="37"/>
      <c r="P3598" s="37"/>
    </row>
    <row r="3599" spans="2:16" x14ac:dyDescent="0.25">
      <c r="B35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599" s="46"/>
      <c r="D3599" s="37"/>
      <c r="E3599" s="37"/>
      <c r="F3599" s="37"/>
      <c r="G3599" s="40" t="str">
        <f>IF(tblMovimientos[[#This Row],[Producto]]="","",TRIM(LEFT(tblMovimientos[[#This Row],[Producto]],FIND(" · ",tblMovimientos[[#This Row],[Producto]]&amp;" · ")-1)))</f>
        <v/>
      </c>
      <c r="H3599" s="40" t="str">
        <f>IF(tblMovimientos[[#This Row],[SKU]]="","",IFERROR(INDEX(tblProductos[Unidad],MATCH(tblMovimientos[[#This Row],[SKU]],tblProductos[SKU],0)),"?"))</f>
        <v/>
      </c>
      <c r="I3599" s="39"/>
      <c r="J3599" s="47" t="str">
        <f>IF(tblMovimientos[[#This Row],[Tipo]]="","",IFERROR(INDEX(tblTiposMov[FactorStock],MATCH(tblMovimientos[[#This Row],[Tipo]],tblTiposMov[Tipo],0)),0))</f>
        <v/>
      </c>
      <c r="K35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5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599" s="37"/>
      <c r="O3599" s="37"/>
      <c r="P3599" s="37"/>
    </row>
    <row r="3600" spans="2:16" x14ac:dyDescent="0.25">
      <c r="B36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0" s="46"/>
      <c r="D3600" s="37"/>
      <c r="E3600" s="37"/>
      <c r="F3600" s="37"/>
      <c r="G3600" s="40" t="str">
        <f>IF(tblMovimientos[[#This Row],[Producto]]="","",TRIM(LEFT(tblMovimientos[[#This Row],[Producto]],FIND(" · ",tblMovimientos[[#This Row],[Producto]]&amp;" · ")-1)))</f>
        <v/>
      </c>
      <c r="H3600" s="40" t="str">
        <f>IF(tblMovimientos[[#This Row],[SKU]]="","",IFERROR(INDEX(tblProductos[Unidad],MATCH(tblMovimientos[[#This Row],[SKU]],tblProductos[SKU],0)),"?"))</f>
        <v/>
      </c>
      <c r="I3600" s="39"/>
      <c r="J3600" s="47" t="str">
        <f>IF(tblMovimientos[[#This Row],[Tipo]]="","",IFERROR(INDEX(tblTiposMov[FactorStock],MATCH(tblMovimientos[[#This Row],[Tipo]],tblTiposMov[Tipo],0)),0))</f>
        <v/>
      </c>
      <c r="K36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0" s="37"/>
      <c r="O3600" s="37"/>
      <c r="P3600" s="37"/>
    </row>
    <row r="3601" spans="2:16" x14ac:dyDescent="0.25">
      <c r="B36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1" s="46"/>
      <c r="D3601" s="37"/>
      <c r="E3601" s="37"/>
      <c r="F3601" s="37"/>
      <c r="G3601" s="40" t="str">
        <f>IF(tblMovimientos[[#This Row],[Producto]]="","",TRIM(LEFT(tblMovimientos[[#This Row],[Producto]],FIND(" · ",tblMovimientos[[#This Row],[Producto]]&amp;" · ")-1)))</f>
        <v/>
      </c>
      <c r="H3601" s="40" t="str">
        <f>IF(tblMovimientos[[#This Row],[SKU]]="","",IFERROR(INDEX(tblProductos[Unidad],MATCH(tblMovimientos[[#This Row],[SKU]],tblProductos[SKU],0)),"?"))</f>
        <v/>
      </c>
      <c r="I3601" s="39"/>
      <c r="J3601" s="47" t="str">
        <f>IF(tblMovimientos[[#This Row],[Tipo]]="","",IFERROR(INDEX(tblTiposMov[FactorStock],MATCH(tblMovimientos[[#This Row],[Tipo]],tblTiposMov[Tipo],0)),0))</f>
        <v/>
      </c>
      <c r="K36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1" s="37"/>
      <c r="O3601" s="37"/>
      <c r="P3601" s="37"/>
    </row>
    <row r="3602" spans="2:16" x14ac:dyDescent="0.25">
      <c r="B36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2" s="46"/>
      <c r="D3602" s="37"/>
      <c r="E3602" s="37"/>
      <c r="F3602" s="37"/>
      <c r="G3602" s="40" t="str">
        <f>IF(tblMovimientos[[#This Row],[Producto]]="","",TRIM(LEFT(tblMovimientos[[#This Row],[Producto]],FIND(" · ",tblMovimientos[[#This Row],[Producto]]&amp;" · ")-1)))</f>
        <v/>
      </c>
      <c r="H3602" s="40" t="str">
        <f>IF(tblMovimientos[[#This Row],[SKU]]="","",IFERROR(INDEX(tblProductos[Unidad],MATCH(tblMovimientos[[#This Row],[SKU]],tblProductos[SKU],0)),"?"))</f>
        <v/>
      </c>
      <c r="I3602" s="39"/>
      <c r="J3602" s="47" t="str">
        <f>IF(tblMovimientos[[#This Row],[Tipo]]="","",IFERROR(INDEX(tblTiposMov[FactorStock],MATCH(tblMovimientos[[#This Row],[Tipo]],tblTiposMov[Tipo],0)),0))</f>
        <v/>
      </c>
      <c r="K36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2" s="37"/>
      <c r="O3602" s="37"/>
      <c r="P3602" s="37"/>
    </row>
    <row r="3603" spans="2:16" x14ac:dyDescent="0.25">
      <c r="B36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3" s="46"/>
      <c r="D3603" s="37"/>
      <c r="E3603" s="37"/>
      <c r="F3603" s="37"/>
      <c r="G3603" s="40" t="str">
        <f>IF(tblMovimientos[[#This Row],[Producto]]="","",TRIM(LEFT(tblMovimientos[[#This Row],[Producto]],FIND(" · ",tblMovimientos[[#This Row],[Producto]]&amp;" · ")-1)))</f>
        <v/>
      </c>
      <c r="H3603" s="40" t="str">
        <f>IF(tblMovimientos[[#This Row],[SKU]]="","",IFERROR(INDEX(tblProductos[Unidad],MATCH(tblMovimientos[[#This Row],[SKU]],tblProductos[SKU],0)),"?"))</f>
        <v/>
      </c>
      <c r="I3603" s="39"/>
      <c r="J3603" s="47" t="str">
        <f>IF(tblMovimientos[[#This Row],[Tipo]]="","",IFERROR(INDEX(tblTiposMov[FactorStock],MATCH(tblMovimientos[[#This Row],[Tipo]],tblTiposMov[Tipo],0)),0))</f>
        <v/>
      </c>
      <c r="K36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3" s="37"/>
      <c r="O3603" s="37"/>
      <c r="P3603" s="37"/>
    </row>
    <row r="3604" spans="2:16" x14ac:dyDescent="0.25">
      <c r="B36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4" s="46"/>
      <c r="D3604" s="37"/>
      <c r="E3604" s="37"/>
      <c r="F3604" s="37"/>
      <c r="G3604" s="40" t="str">
        <f>IF(tblMovimientos[[#This Row],[Producto]]="","",TRIM(LEFT(tblMovimientos[[#This Row],[Producto]],FIND(" · ",tblMovimientos[[#This Row],[Producto]]&amp;" · ")-1)))</f>
        <v/>
      </c>
      <c r="H3604" s="40" t="str">
        <f>IF(tblMovimientos[[#This Row],[SKU]]="","",IFERROR(INDEX(tblProductos[Unidad],MATCH(tblMovimientos[[#This Row],[SKU]],tblProductos[SKU],0)),"?"))</f>
        <v/>
      </c>
      <c r="I3604" s="39"/>
      <c r="J3604" s="47" t="str">
        <f>IF(tblMovimientos[[#This Row],[Tipo]]="","",IFERROR(INDEX(tblTiposMov[FactorStock],MATCH(tblMovimientos[[#This Row],[Tipo]],tblTiposMov[Tipo],0)),0))</f>
        <v/>
      </c>
      <c r="K36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4" s="37"/>
      <c r="O3604" s="37"/>
      <c r="P3604" s="37"/>
    </row>
    <row r="3605" spans="2:16" x14ac:dyDescent="0.25">
      <c r="B36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5" s="46"/>
      <c r="D3605" s="37"/>
      <c r="E3605" s="37"/>
      <c r="F3605" s="37"/>
      <c r="G3605" s="40" t="str">
        <f>IF(tblMovimientos[[#This Row],[Producto]]="","",TRIM(LEFT(tblMovimientos[[#This Row],[Producto]],FIND(" · ",tblMovimientos[[#This Row],[Producto]]&amp;" · ")-1)))</f>
        <v/>
      </c>
      <c r="H3605" s="40" t="str">
        <f>IF(tblMovimientos[[#This Row],[SKU]]="","",IFERROR(INDEX(tblProductos[Unidad],MATCH(tblMovimientos[[#This Row],[SKU]],tblProductos[SKU],0)),"?"))</f>
        <v/>
      </c>
      <c r="I3605" s="39"/>
      <c r="J3605" s="47" t="str">
        <f>IF(tblMovimientos[[#This Row],[Tipo]]="","",IFERROR(INDEX(tblTiposMov[FactorStock],MATCH(tblMovimientos[[#This Row],[Tipo]],tblTiposMov[Tipo],0)),0))</f>
        <v/>
      </c>
      <c r="K36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5" s="37"/>
      <c r="O3605" s="37"/>
      <c r="P3605" s="37"/>
    </row>
    <row r="3606" spans="2:16" x14ac:dyDescent="0.25">
      <c r="B36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6" s="46"/>
      <c r="D3606" s="37"/>
      <c r="E3606" s="37"/>
      <c r="F3606" s="37"/>
      <c r="G3606" s="40" t="str">
        <f>IF(tblMovimientos[[#This Row],[Producto]]="","",TRIM(LEFT(tblMovimientos[[#This Row],[Producto]],FIND(" · ",tblMovimientos[[#This Row],[Producto]]&amp;" · ")-1)))</f>
        <v/>
      </c>
      <c r="H3606" s="40" t="str">
        <f>IF(tblMovimientos[[#This Row],[SKU]]="","",IFERROR(INDEX(tblProductos[Unidad],MATCH(tblMovimientos[[#This Row],[SKU]],tblProductos[SKU],0)),"?"))</f>
        <v/>
      </c>
      <c r="I3606" s="39"/>
      <c r="J3606" s="47" t="str">
        <f>IF(tblMovimientos[[#This Row],[Tipo]]="","",IFERROR(INDEX(tblTiposMov[FactorStock],MATCH(tblMovimientos[[#This Row],[Tipo]],tblTiposMov[Tipo],0)),0))</f>
        <v/>
      </c>
      <c r="K36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6" s="37"/>
      <c r="O3606" s="37"/>
      <c r="P3606" s="37"/>
    </row>
    <row r="3607" spans="2:16" x14ac:dyDescent="0.25">
      <c r="B36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7" s="46"/>
      <c r="D3607" s="37"/>
      <c r="E3607" s="37"/>
      <c r="F3607" s="37"/>
      <c r="G3607" s="40" t="str">
        <f>IF(tblMovimientos[[#This Row],[Producto]]="","",TRIM(LEFT(tblMovimientos[[#This Row],[Producto]],FIND(" · ",tblMovimientos[[#This Row],[Producto]]&amp;" · ")-1)))</f>
        <v/>
      </c>
      <c r="H3607" s="40" t="str">
        <f>IF(tblMovimientos[[#This Row],[SKU]]="","",IFERROR(INDEX(tblProductos[Unidad],MATCH(tblMovimientos[[#This Row],[SKU]],tblProductos[SKU],0)),"?"))</f>
        <v/>
      </c>
      <c r="I3607" s="39"/>
      <c r="J3607" s="47" t="str">
        <f>IF(tblMovimientos[[#This Row],[Tipo]]="","",IFERROR(INDEX(tblTiposMov[FactorStock],MATCH(tblMovimientos[[#This Row],[Tipo]],tblTiposMov[Tipo],0)),0))</f>
        <v/>
      </c>
      <c r="K36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7" s="37"/>
      <c r="O3607" s="37"/>
      <c r="P3607" s="37"/>
    </row>
    <row r="3608" spans="2:16" x14ac:dyDescent="0.25">
      <c r="B36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8" s="46"/>
      <c r="D3608" s="37"/>
      <c r="E3608" s="37"/>
      <c r="F3608" s="37"/>
      <c r="G3608" s="40" t="str">
        <f>IF(tblMovimientos[[#This Row],[Producto]]="","",TRIM(LEFT(tblMovimientos[[#This Row],[Producto]],FIND(" · ",tblMovimientos[[#This Row],[Producto]]&amp;" · ")-1)))</f>
        <v/>
      </c>
      <c r="H3608" s="40" t="str">
        <f>IF(tblMovimientos[[#This Row],[SKU]]="","",IFERROR(INDEX(tblProductos[Unidad],MATCH(tblMovimientos[[#This Row],[SKU]],tblProductos[SKU],0)),"?"))</f>
        <v/>
      </c>
      <c r="I3608" s="39"/>
      <c r="J3608" s="47" t="str">
        <f>IF(tblMovimientos[[#This Row],[Tipo]]="","",IFERROR(INDEX(tblTiposMov[FactorStock],MATCH(tblMovimientos[[#This Row],[Tipo]],tblTiposMov[Tipo],0)),0))</f>
        <v/>
      </c>
      <c r="K36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8" s="37"/>
      <c r="O3608" s="37"/>
      <c r="P3608" s="37"/>
    </row>
    <row r="3609" spans="2:16" x14ac:dyDescent="0.25">
      <c r="B36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09" s="46"/>
      <c r="D3609" s="37"/>
      <c r="E3609" s="37"/>
      <c r="F3609" s="37"/>
      <c r="G3609" s="40" t="str">
        <f>IF(tblMovimientos[[#This Row],[Producto]]="","",TRIM(LEFT(tblMovimientos[[#This Row],[Producto]],FIND(" · ",tblMovimientos[[#This Row],[Producto]]&amp;" · ")-1)))</f>
        <v/>
      </c>
      <c r="H3609" s="40" t="str">
        <f>IF(tblMovimientos[[#This Row],[SKU]]="","",IFERROR(INDEX(tblProductos[Unidad],MATCH(tblMovimientos[[#This Row],[SKU]],tblProductos[SKU],0)),"?"))</f>
        <v/>
      </c>
      <c r="I3609" s="39"/>
      <c r="J3609" s="47" t="str">
        <f>IF(tblMovimientos[[#This Row],[Tipo]]="","",IFERROR(INDEX(tblTiposMov[FactorStock],MATCH(tblMovimientos[[#This Row],[Tipo]],tblTiposMov[Tipo],0)),0))</f>
        <v/>
      </c>
      <c r="K36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09" s="37"/>
      <c r="O3609" s="37"/>
      <c r="P3609" s="37"/>
    </row>
    <row r="3610" spans="2:16" x14ac:dyDescent="0.25">
      <c r="B36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0" s="46"/>
      <c r="D3610" s="37"/>
      <c r="E3610" s="37"/>
      <c r="F3610" s="37"/>
      <c r="G3610" s="40" t="str">
        <f>IF(tblMovimientos[[#This Row],[Producto]]="","",TRIM(LEFT(tblMovimientos[[#This Row],[Producto]],FIND(" · ",tblMovimientos[[#This Row],[Producto]]&amp;" · ")-1)))</f>
        <v/>
      </c>
      <c r="H3610" s="40" t="str">
        <f>IF(tblMovimientos[[#This Row],[SKU]]="","",IFERROR(INDEX(tblProductos[Unidad],MATCH(tblMovimientos[[#This Row],[SKU]],tblProductos[SKU],0)),"?"))</f>
        <v/>
      </c>
      <c r="I3610" s="39"/>
      <c r="J3610" s="47" t="str">
        <f>IF(tblMovimientos[[#This Row],[Tipo]]="","",IFERROR(INDEX(tblTiposMov[FactorStock],MATCH(tblMovimientos[[#This Row],[Tipo]],tblTiposMov[Tipo],0)),0))</f>
        <v/>
      </c>
      <c r="K36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0" s="37"/>
      <c r="O3610" s="37"/>
      <c r="P3610" s="37"/>
    </row>
    <row r="3611" spans="2:16" x14ac:dyDescent="0.25">
      <c r="B36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1" s="46"/>
      <c r="D3611" s="37"/>
      <c r="E3611" s="37"/>
      <c r="F3611" s="37"/>
      <c r="G3611" s="40" t="str">
        <f>IF(tblMovimientos[[#This Row],[Producto]]="","",TRIM(LEFT(tblMovimientos[[#This Row],[Producto]],FIND(" · ",tblMovimientos[[#This Row],[Producto]]&amp;" · ")-1)))</f>
        <v/>
      </c>
      <c r="H3611" s="40" t="str">
        <f>IF(tblMovimientos[[#This Row],[SKU]]="","",IFERROR(INDEX(tblProductos[Unidad],MATCH(tblMovimientos[[#This Row],[SKU]],tblProductos[SKU],0)),"?"))</f>
        <v/>
      </c>
      <c r="I3611" s="39"/>
      <c r="J3611" s="47" t="str">
        <f>IF(tblMovimientos[[#This Row],[Tipo]]="","",IFERROR(INDEX(tblTiposMov[FactorStock],MATCH(tblMovimientos[[#This Row],[Tipo]],tblTiposMov[Tipo],0)),0))</f>
        <v/>
      </c>
      <c r="K36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1" s="37"/>
      <c r="O3611" s="37"/>
      <c r="P3611" s="37"/>
    </row>
    <row r="3612" spans="2:16" x14ac:dyDescent="0.25">
      <c r="B36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2" s="46"/>
      <c r="D3612" s="37"/>
      <c r="E3612" s="37"/>
      <c r="F3612" s="37"/>
      <c r="G3612" s="40" t="str">
        <f>IF(tblMovimientos[[#This Row],[Producto]]="","",TRIM(LEFT(tblMovimientos[[#This Row],[Producto]],FIND(" · ",tblMovimientos[[#This Row],[Producto]]&amp;" · ")-1)))</f>
        <v/>
      </c>
      <c r="H3612" s="40" t="str">
        <f>IF(tblMovimientos[[#This Row],[SKU]]="","",IFERROR(INDEX(tblProductos[Unidad],MATCH(tblMovimientos[[#This Row],[SKU]],tblProductos[SKU],0)),"?"))</f>
        <v/>
      </c>
      <c r="I3612" s="39"/>
      <c r="J3612" s="47" t="str">
        <f>IF(tblMovimientos[[#This Row],[Tipo]]="","",IFERROR(INDEX(tblTiposMov[FactorStock],MATCH(tblMovimientos[[#This Row],[Tipo]],tblTiposMov[Tipo],0)),0))</f>
        <v/>
      </c>
      <c r="K36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2" s="37"/>
      <c r="O3612" s="37"/>
      <c r="P3612" s="37"/>
    </row>
    <row r="3613" spans="2:16" x14ac:dyDescent="0.25">
      <c r="B36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3" s="46"/>
      <c r="D3613" s="37"/>
      <c r="E3613" s="37"/>
      <c r="F3613" s="37"/>
      <c r="G3613" s="40" t="str">
        <f>IF(tblMovimientos[[#This Row],[Producto]]="","",TRIM(LEFT(tblMovimientos[[#This Row],[Producto]],FIND(" · ",tblMovimientos[[#This Row],[Producto]]&amp;" · ")-1)))</f>
        <v/>
      </c>
      <c r="H3613" s="40" t="str">
        <f>IF(tblMovimientos[[#This Row],[SKU]]="","",IFERROR(INDEX(tblProductos[Unidad],MATCH(tblMovimientos[[#This Row],[SKU]],tblProductos[SKU],0)),"?"))</f>
        <v/>
      </c>
      <c r="I3613" s="39"/>
      <c r="J3613" s="47" t="str">
        <f>IF(tblMovimientos[[#This Row],[Tipo]]="","",IFERROR(INDEX(tblTiposMov[FactorStock],MATCH(tblMovimientos[[#This Row],[Tipo]],tblTiposMov[Tipo],0)),0))</f>
        <v/>
      </c>
      <c r="K36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3" s="37"/>
      <c r="O3613" s="37"/>
      <c r="P3613" s="37"/>
    </row>
    <row r="3614" spans="2:16" x14ac:dyDescent="0.25">
      <c r="B36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4" s="46"/>
      <c r="D3614" s="37"/>
      <c r="E3614" s="37"/>
      <c r="F3614" s="37"/>
      <c r="G3614" s="40" t="str">
        <f>IF(tblMovimientos[[#This Row],[Producto]]="","",TRIM(LEFT(tblMovimientos[[#This Row],[Producto]],FIND(" · ",tblMovimientos[[#This Row],[Producto]]&amp;" · ")-1)))</f>
        <v/>
      </c>
      <c r="H3614" s="40" t="str">
        <f>IF(tblMovimientos[[#This Row],[SKU]]="","",IFERROR(INDEX(tblProductos[Unidad],MATCH(tblMovimientos[[#This Row],[SKU]],tblProductos[SKU],0)),"?"))</f>
        <v/>
      </c>
      <c r="I3614" s="39"/>
      <c r="J3614" s="47" t="str">
        <f>IF(tblMovimientos[[#This Row],[Tipo]]="","",IFERROR(INDEX(tblTiposMov[FactorStock],MATCH(tblMovimientos[[#This Row],[Tipo]],tblTiposMov[Tipo],0)),0))</f>
        <v/>
      </c>
      <c r="K36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4" s="37"/>
      <c r="O3614" s="37"/>
      <c r="P3614" s="37"/>
    </row>
    <row r="3615" spans="2:16" x14ac:dyDescent="0.25">
      <c r="B36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5" s="46"/>
      <c r="D3615" s="37"/>
      <c r="E3615" s="37"/>
      <c r="F3615" s="37"/>
      <c r="G3615" s="40" t="str">
        <f>IF(tblMovimientos[[#This Row],[Producto]]="","",TRIM(LEFT(tblMovimientos[[#This Row],[Producto]],FIND(" · ",tblMovimientos[[#This Row],[Producto]]&amp;" · ")-1)))</f>
        <v/>
      </c>
      <c r="H3615" s="40" t="str">
        <f>IF(tblMovimientos[[#This Row],[SKU]]="","",IFERROR(INDEX(tblProductos[Unidad],MATCH(tblMovimientos[[#This Row],[SKU]],tblProductos[SKU],0)),"?"))</f>
        <v/>
      </c>
      <c r="I3615" s="39"/>
      <c r="J3615" s="47" t="str">
        <f>IF(tblMovimientos[[#This Row],[Tipo]]="","",IFERROR(INDEX(tblTiposMov[FactorStock],MATCH(tblMovimientos[[#This Row],[Tipo]],tblTiposMov[Tipo],0)),0))</f>
        <v/>
      </c>
      <c r="K36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5" s="37"/>
      <c r="O3615" s="37"/>
      <c r="P3615" s="37"/>
    </row>
    <row r="3616" spans="2:16" x14ac:dyDescent="0.25">
      <c r="B36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6" s="46"/>
      <c r="D3616" s="37"/>
      <c r="E3616" s="37"/>
      <c r="F3616" s="37"/>
      <c r="G3616" s="40" t="str">
        <f>IF(tblMovimientos[[#This Row],[Producto]]="","",TRIM(LEFT(tblMovimientos[[#This Row],[Producto]],FIND(" · ",tblMovimientos[[#This Row],[Producto]]&amp;" · ")-1)))</f>
        <v/>
      </c>
      <c r="H3616" s="40" t="str">
        <f>IF(tblMovimientos[[#This Row],[SKU]]="","",IFERROR(INDEX(tblProductos[Unidad],MATCH(tblMovimientos[[#This Row],[SKU]],tblProductos[SKU],0)),"?"))</f>
        <v/>
      </c>
      <c r="I3616" s="39"/>
      <c r="J3616" s="47" t="str">
        <f>IF(tblMovimientos[[#This Row],[Tipo]]="","",IFERROR(INDEX(tblTiposMov[FactorStock],MATCH(tblMovimientos[[#This Row],[Tipo]],tblTiposMov[Tipo],0)),0))</f>
        <v/>
      </c>
      <c r="K36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6" s="37"/>
      <c r="O3616" s="37"/>
      <c r="P3616" s="37"/>
    </row>
    <row r="3617" spans="2:16" x14ac:dyDescent="0.25">
      <c r="B36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7" s="46"/>
      <c r="D3617" s="37"/>
      <c r="E3617" s="37"/>
      <c r="F3617" s="37"/>
      <c r="G3617" s="40" t="str">
        <f>IF(tblMovimientos[[#This Row],[Producto]]="","",TRIM(LEFT(tblMovimientos[[#This Row],[Producto]],FIND(" · ",tblMovimientos[[#This Row],[Producto]]&amp;" · ")-1)))</f>
        <v/>
      </c>
      <c r="H3617" s="40" t="str">
        <f>IF(tblMovimientos[[#This Row],[SKU]]="","",IFERROR(INDEX(tblProductos[Unidad],MATCH(tblMovimientos[[#This Row],[SKU]],tblProductos[SKU],0)),"?"))</f>
        <v/>
      </c>
      <c r="I3617" s="39"/>
      <c r="J3617" s="47" t="str">
        <f>IF(tblMovimientos[[#This Row],[Tipo]]="","",IFERROR(INDEX(tblTiposMov[FactorStock],MATCH(tblMovimientos[[#This Row],[Tipo]],tblTiposMov[Tipo],0)),0))</f>
        <v/>
      </c>
      <c r="K36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7" s="37"/>
      <c r="O3617" s="37"/>
      <c r="P3617" s="37"/>
    </row>
    <row r="3618" spans="2:16" x14ac:dyDescent="0.25">
      <c r="B36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8" s="46"/>
      <c r="D3618" s="37"/>
      <c r="E3618" s="37"/>
      <c r="F3618" s="37"/>
      <c r="G3618" s="40" t="str">
        <f>IF(tblMovimientos[[#This Row],[Producto]]="","",TRIM(LEFT(tblMovimientos[[#This Row],[Producto]],FIND(" · ",tblMovimientos[[#This Row],[Producto]]&amp;" · ")-1)))</f>
        <v/>
      </c>
      <c r="H3618" s="40" t="str">
        <f>IF(tblMovimientos[[#This Row],[SKU]]="","",IFERROR(INDEX(tblProductos[Unidad],MATCH(tblMovimientos[[#This Row],[SKU]],tblProductos[SKU],0)),"?"))</f>
        <v/>
      </c>
      <c r="I3618" s="39"/>
      <c r="J3618" s="47" t="str">
        <f>IF(tblMovimientos[[#This Row],[Tipo]]="","",IFERROR(INDEX(tblTiposMov[FactorStock],MATCH(tblMovimientos[[#This Row],[Tipo]],tblTiposMov[Tipo],0)),0))</f>
        <v/>
      </c>
      <c r="K36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8" s="37"/>
      <c r="O3618" s="37"/>
      <c r="P3618" s="37"/>
    </row>
    <row r="3619" spans="2:16" x14ac:dyDescent="0.25">
      <c r="B36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19" s="46"/>
      <c r="D3619" s="37"/>
      <c r="E3619" s="37"/>
      <c r="F3619" s="37"/>
      <c r="G3619" s="40" t="str">
        <f>IF(tblMovimientos[[#This Row],[Producto]]="","",TRIM(LEFT(tblMovimientos[[#This Row],[Producto]],FIND(" · ",tblMovimientos[[#This Row],[Producto]]&amp;" · ")-1)))</f>
        <v/>
      </c>
      <c r="H3619" s="40" t="str">
        <f>IF(tblMovimientos[[#This Row],[SKU]]="","",IFERROR(INDEX(tblProductos[Unidad],MATCH(tblMovimientos[[#This Row],[SKU]],tblProductos[SKU],0)),"?"))</f>
        <v/>
      </c>
      <c r="I3619" s="39"/>
      <c r="J3619" s="47" t="str">
        <f>IF(tblMovimientos[[#This Row],[Tipo]]="","",IFERROR(INDEX(tblTiposMov[FactorStock],MATCH(tblMovimientos[[#This Row],[Tipo]],tblTiposMov[Tipo],0)),0))</f>
        <v/>
      </c>
      <c r="K36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19" s="37"/>
      <c r="O3619" s="37"/>
      <c r="P3619" s="37"/>
    </row>
    <row r="3620" spans="2:16" x14ac:dyDescent="0.25">
      <c r="B36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0" s="46"/>
      <c r="D3620" s="37"/>
      <c r="E3620" s="37"/>
      <c r="F3620" s="37"/>
      <c r="G3620" s="40" t="str">
        <f>IF(tblMovimientos[[#This Row],[Producto]]="","",TRIM(LEFT(tblMovimientos[[#This Row],[Producto]],FIND(" · ",tblMovimientos[[#This Row],[Producto]]&amp;" · ")-1)))</f>
        <v/>
      </c>
      <c r="H3620" s="40" t="str">
        <f>IF(tblMovimientos[[#This Row],[SKU]]="","",IFERROR(INDEX(tblProductos[Unidad],MATCH(tblMovimientos[[#This Row],[SKU]],tblProductos[SKU],0)),"?"))</f>
        <v/>
      </c>
      <c r="I3620" s="39"/>
      <c r="J3620" s="47" t="str">
        <f>IF(tblMovimientos[[#This Row],[Tipo]]="","",IFERROR(INDEX(tblTiposMov[FactorStock],MATCH(tblMovimientos[[#This Row],[Tipo]],tblTiposMov[Tipo],0)),0))</f>
        <v/>
      </c>
      <c r="K36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0" s="37"/>
      <c r="O3620" s="37"/>
      <c r="P3620" s="37"/>
    </row>
    <row r="3621" spans="2:16" x14ac:dyDescent="0.25">
      <c r="B36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1" s="46"/>
      <c r="D3621" s="37"/>
      <c r="E3621" s="37"/>
      <c r="F3621" s="37"/>
      <c r="G3621" s="40" t="str">
        <f>IF(tblMovimientos[[#This Row],[Producto]]="","",TRIM(LEFT(tblMovimientos[[#This Row],[Producto]],FIND(" · ",tblMovimientos[[#This Row],[Producto]]&amp;" · ")-1)))</f>
        <v/>
      </c>
      <c r="H3621" s="40" t="str">
        <f>IF(tblMovimientos[[#This Row],[SKU]]="","",IFERROR(INDEX(tblProductos[Unidad],MATCH(tblMovimientos[[#This Row],[SKU]],tblProductos[SKU],0)),"?"))</f>
        <v/>
      </c>
      <c r="I3621" s="39"/>
      <c r="J3621" s="47" t="str">
        <f>IF(tblMovimientos[[#This Row],[Tipo]]="","",IFERROR(INDEX(tblTiposMov[FactorStock],MATCH(tblMovimientos[[#This Row],[Tipo]],tblTiposMov[Tipo],0)),0))</f>
        <v/>
      </c>
      <c r="K36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1" s="37"/>
      <c r="O3621" s="37"/>
      <c r="P3621" s="37"/>
    </row>
    <row r="3622" spans="2:16" x14ac:dyDescent="0.25">
      <c r="B36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2" s="46"/>
      <c r="D3622" s="37"/>
      <c r="E3622" s="37"/>
      <c r="F3622" s="37"/>
      <c r="G3622" s="40" t="str">
        <f>IF(tblMovimientos[[#This Row],[Producto]]="","",TRIM(LEFT(tblMovimientos[[#This Row],[Producto]],FIND(" · ",tblMovimientos[[#This Row],[Producto]]&amp;" · ")-1)))</f>
        <v/>
      </c>
      <c r="H3622" s="40" t="str">
        <f>IF(tblMovimientos[[#This Row],[SKU]]="","",IFERROR(INDEX(tblProductos[Unidad],MATCH(tblMovimientos[[#This Row],[SKU]],tblProductos[SKU],0)),"?"))</f>
        <v/>
      </c>
      <c r="I3622" s="39"/>
      <c r="J3622" s="47" t="str">
        <f>IF(tblMovimientos[[#This Row],[Tipo]]="","",IFERROR(INDEX(tblTiposMov[FactorStock],MATCH(tblMovimientos[[#This Row],[Tipo]],tblTiposMov[Tipo],0)),0))</f>
        <v/>
      </c>
      <c r="K36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2" s="37"/>
      <c r="O3622" s="37"/>
      <c r="P3622" s="37"/>
    </row>
    <row r="3623" spans="2:16" x14ac:dyDescent="0.25">
      <c r="B36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3" s="46"/>
      <c r="D3623" s="37"/>
      <c r="E3623" s="37"/>
      <c r="F3623" s="37"/>
      <c r="G3623" s="40" t="str">
        <f>IF(tblMovimientos[[#This Row],[Producto]]="","",TRIM(LEFT(tblMovimientos[[#This Row],[Producto]],FIND(" · ",tblMovimientos[[#This Row],[Producto]]&amp;" · ")-1)))</f>
        <v/>
      </c>
      <c r="H3623" s="40" t="str">
        <f>IF(tblMovimientos[[#This Row],[SKU]]="","",IFERROR(INDEX(tblProductos[Unidad],MATCH(tblMovimientos[[#This Row],[SKU]],tblProductos[SKU],0)),"?"))</f>
        <v/>
      </c>
      <c r="I3623" s="39"/>
      <c r="J3623" s="47" t="str">
        <f>IF(tblMovimientos[[#This Row],[Tipo]]="","",IFERROR(INDEX(tblTiposMov[FactorStock],MATCH(tblMovimientos[[#This Row],[Tipo]],tblTiposMov[Tipo],0)),0))</f>
        <v/>
      </c>
      <c r="K36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3" s="37"/>
      <c r="O3623" s="37"/>
      <c r="P3623" s="37"/>
    </row>
    <row r="3624" spans="2:16" x14ac:dyDescent="0.25">
      <c r="B36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4" s="46"/>
      <c r="D3624" s="37"/>
      <c r="E3624" s="37"/>
      <c r="F3624" s="37"/>
      <c r="G3624" s="40" t="str">
        <f>IF(tblMovimientos[[#This Row],[Producto]]="","",TRIM(LEFT(tblMovimientos[[#This Row],[Producto]],FIND(" · ",tblMovimientos[[#This Row],[Producto]]&amp;" · ")-1)))</f>
        <v/>
      </c>
      <c r="H3624" s="40" t="str">
        <f>IF(tblMovimientos[[#This Row],[SKU]]="","",IFERROR(INDEX(tblProductos[Unidad],MATCH(tblMovimientos[[#This Row],[SKU]],tblProductos[SKU],0)),"?"))</f>
        <v/>
      </c>
      <c r="I3624" s="39"/>
      <c r="J3624" s="47" t="str">
        <f>IF(tblMovimientos[[#This Row],[Tipo]]="","",IFERROR(INDEX(tblTiposMov[FactorStock],MATCH(tblMovimientos[[#This Row],[Tipo]],tblTiposMov[Tipo],0)),0))</f>
        <v/>
      </c>
      <c r="K36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4" s="37"/>
      <c r="O3624" s="37"/>
      <c r="P3624" s="37"/>
    </row>
    <row r="3625" spans="2:16" x14ac:dyDescent="0.25">
      <c r="B36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5" s="46"/>
      <c r="D3625" s="37"/>
      <c r="E3625" s="37"/>
      <c r="F3625" s="37"/>
      <c r="G3625" s="40" t="str">
        <f>IF(tblMovimientos[[#This Row],[Producto]]="","",TRIM(LEFT(tblMovimientos[[#This Row],[Producto]],FIND(" · ",tblMovimientos[[#This Row],[Producto]]&amp;" · ")-1)))</f>
        <v/>
      </c>
      <c r="H3625" s="40" t="str">
        <f>IF(tblMovimientos[[#This Row],[SKU]]="","",IFERROR(INDEX(tblProductos[Unidad],MATCH(tblMovimientos[[#This Row],[SKU]],tblProductos[SKU],0)),"?"))</f>
        <v/>
      </c>
      <c r="I3625" s="39"/>
      <c r="J3625" s="47" t="str">
        <f>IF(tblMovimientos[[#This Row],[Tipo]]="","",IFERROR(INDEX(tblTiposMov[FactorStock],MATCH(tblMovimientos[[#This Row],[Tipo]],tblTiposMov[Tipo],0)),0))</f>
        <v/>
      </c>
      <c r="K36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5" s="37"/>
      <c r="O3625" s="37"/>
      <c r="P3625" s="37"/>
    </row>
    <row r="3626" spans="2:16" x14ac:dyDescent="0.25">
      <c r="B36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6" s="46"/>
      <c r="D3626" s="37"/>
      <c r="E3626" s="37"/>
      <c r="F3626" s="37"/>
      <c r="G3626" s="40" t="str">
        <f>IF(tblMovimientos[[#This Row],[Producto]]="","",TRIM(LEFT(tblMovimientos[[#This Row],[Producto]],FIND(" · ",tblMovimientos[[#This Row],[Producto]]&amp;" · ")-1)))</f>
        <v/>
      </c>
      <c r="H3626" s="40" t="str">
        <f>IF(tblMovimientos[[#This Row],[SKU]]="","",IFERROR(INDEX(tblProductos[Unidad],MATCH(tblMovimientos[[#This Row],[SKU]],tblProductos[SKU],0)),"?"))</f>
        <v/>
      </c>
      <c r="I3626" s="39"/>
      <c r="J3626" s="47" t="str">
        <f>IF(tblMovimientos[[#This Row],[Tipo]]="","",IFERROR(INDEX(tblTiposMov[FactorStock],MATCH(tblMovimientos[[#This Row],[Tipo]],tblTiposMov[Tipo],0)),0))</f>
        <v/>
      </c>
      <c r="K36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6" s="37"/>
      <c r="O3626" s="37"/>
      <c r="P3626" s="37"/>
    </row>
    <row r="3627" spans="2:16" x14ac:dyDescent="0.25">
      <c r="B36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7" s="46"/>
      <c r="D3627" s="37"/>
      <c r="E3627" s="37"/>
      <c r="F3627" s="37"/>
      <c r="G3627" s="40" t="str">
        <f>IF(tblMovimientos[[#This Row],[Producto]]="","",TRIM(LEFT(tblMovimientos[[#This Row],[Producto]],FIND(" · ",tblMovimientos[[#This Row],[Producto]]&amp;" · ")-1)))</f>
        <v/>
      </c>
      <c r="H3627" s="40" t="str">
        <f>IF(tblMovimientos[[#This Row],[SKU]]="","",IFERROR(INDEX(tblProductos[Unidad],MATCH(tblMovimientos[[#This Row],[SKU]],tblProductos[SKU],0)),"?"))</f>
        <v/>
      </c>
      <c r="I3627" s="39"/>
      <c r="J3627" s="47" t="str">
        <f>IF(tblMovimientos[[#This Row],[Tipo]]="","",IFERROR(INDEX(tblTiposMov[FactorStock],MATCH(tblMovimientos[[#This Row],[Tipo]],tblTiposMov[Tipo],0)),0))</f>
        <v/>
      </c>
      <c r="K36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7" s="37"/>
      <c r="O3627" s="37"/>
      <c r="P3627" s="37"/>
    </row>
    <row r="3628" spans="2:16" x14ac:dyDescent="0.25">
      <c r="B36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8" s="46"/>
      <c r="D3628" s="37"/>
      <c r="E3628" s="37"/>
      <c r="F3628" s="37"/>
      <c r="G3628" s="40" t="str">
        <f>IF(tblMovimientos[[#This Row],[Producto]]="","",TRIM(LEFT(tblMovimientos[[#This Row],[Producto]],FIND(" · ",tblMovimientos[[#This Row],[Producto]]&amp;" · ")-1)))</f>
        <v/>
      </c>
      <c r="H3628" s="40" t="str">
        <f>IF(tblMovimientos[[#This Row],[SKU]]="","",IFERROR(INDEX(tblProductos[Unidad],MATCH(tblMovimientos[[#This Row],[SKU]],tblProductos[SKU],0)),"?"))</f>
        <v/>
      </c>
      <c r="I3628" s="39"/>
      <c r="J3628" s="47" t="str">
        <f>IF(tblMovimientos[[#This Row],[Tipo]]="","",IFERROR(INDEX(tblTiposMov[FactorStock],MATCH(tblMovimientos[[#This Row],[Tipo]],tblTiposMov[Tipo],0)),0))</f>
        <v/>
      </c>
      <c r="K36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8" s="37"/>
      <c r="O3628" s="37"/>
      <c r="P3628" s="37"/>
    </row>
    <row r="3629" spans="2:16" x14ac:dyDescent="0.25">
      <c r="B36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29" s="46"/>
      <c r="D3629" s="37"/>
      <c r="E3629" s="37"/>
      <c r="F3629" s="37"/>
      <c r="G3629" s="40" t="str">
        <f>IF(tblMovimientos[[#This Row],[Producto]]="","",TRIM(LEFT(tblMovimientos[[#This Row],[Producto]],FIND(" · ",tblMovimientos[[#This Row],[Producto]]&amp;" · ")-1)))</f>
        <v/>
      </c>
      <c r="H3629" s="40" t="str">
        <f>IF(tblMovimientos[[#This Row],[SKU]]="","",IFERROR(INDEX(tblProductos[Unidad],MATCH(tblMovimientos[[#This Row],[SKU]],tblProductos[SKU],0)),"?"))</f>
        <v/>
      </c>
      <c r="I3629" s="39"/>
      <c r="J3629" s="47" t="str">
        <f>IF(tblMovimientos[[#This Row],[Tipo]]="","",IFERROR(INDEX(tblTiposMov[FactorStock],MATCH(tblMovimientos[[#This Row],[Tipo]],tblTiposMov[Tipo],0)),0))</f>
        <v/>
      </c>
      <c r="K36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29" s="37"/>
      <c r="O3629" s="37"/>
      <c r="P3629" s="37"/>
    </row>
    <row r="3630" spans="2:16" x14ac:dyDescent="0.25">
      <c r="B36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0" s="46"/>
      <c r="D3630" s="37"/>
      <c r="E3630" s="37"/>
      <c r="F3630" s="37"/>
      <c r="G3630" s="40" t="str">
        <f>IF(tblMovimientos[[#This Row],[Producto]]="","",TRIM(LEFT(tblMovimientos[[#This Row],[Producto]],FIND(" · ",tblMovimientos[[#This Row],[Producto]]&amp;" · ")-1)))</f>
        <v/>
      </c>
      <c r="H3630" s="40" t="str">
        <f>IF(tblMovimientos[[#This Row],[SKU]]="","",IFERROR(INDEX(tblProductos[Unidad],MATCH(tblMovimientos[[#This Row],[SKU]],tblProductos[SKU],0)),"?"))</f>
        <v/>
      </c>
      <c r="I3630" s="39"/>
      <c r="J3630" s="47" t="str">
        <f>IF(tblMovimientos[[#This Row],[Tipo]]="","",IFERROR(INDEX(tblTiposMov[FactorStock],MATCH(tblMovimientos[[#This Row],[Tipo]],tblTiposMov[Tipo],0)),0))</f>
        <v/>
      </c>
      <c r="K36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0" s="37"/>
      <c r="O3630" s="37"/>
      <c r="P3630" s="37"/>
    </row>
    <row r="3631" spans="2:16" x14ac:dyDescent="0.25">
      <c r="B36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1" s="46"/>
      <c r="D3631" s="37"/>
      <c r="E3631" s="37"/>
      <c r="F3631" s="37"/>
      <c r="G3631" s="40" t="str">
        <f>IF(tblMovimientos[[#This Row],[Producto]]="","",TRIM(LEFT(tblMovimientos[[#This Row],[Producto]],FIND(" · ",tblMovimientos[[#This Row],[Producto]]&amp;" · ")-1)))</f>
        <v/>
      </c>
      <c r="H3631" s="40" t="str">
        <f>IF(tblMovimientos[[#This Row],[SKU]]="","",IFERROR(INDEX(tblProductos[Unidad],MATCH(tblMovimientos[[#This Row],[SKU]],tblProductos[SKU],0)),"?"))</f>
        <v/>
      </c>
      <c r="I3631" s="39"/>
      <c r="J3631" s="47" t="str">
        <f>IF(tblMovimientos[[#This Row],[Tipo]]="","",IFERROR(INDEX(tblTiposMov[FactorStock],MATCH(tblMovimientos[[#This Row],[Tipo]],tblTiposMov[Tipo],0)),0))</f>
        <v/>
      </c>
      <c r="K36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1" s="37"/>
      <c r="O3631" s="37"/>
      <c r="P3631" s="37"/>
    </row>
    <row r="3632" spans="2:16" x14ac:dyDescent="0.25">
      <c r="B36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2" s="46"/>
      <c r="D3632" s="37"/>
      <c r="E3632" s="37"/>
      <c r="F3632" s="37"/>
      <c r="G3632" s="40" t="str">
        <f>IF(tblMovimientos[[#This Row],[Producto]]="","",TRIM(LEFT(tblMovimientos[[#This Row],[Producto]],FIND(" · ",tblMovimientos[[#This Row],[Producto]]&amp;" · ")-1)))</f>
        <v/>
      </c>
      <c r="H3632" s="40" t="str">
        <f>IF(tblMovimientos[[#This Row],[SKU]]="","",IFERROR(INDEX(tblProductos[Unidad],MATCH(tblMovimientos[[#This Row],[SKU]],tblProductos[SKU],0)),"?"))</f>
        <v/>
      </c>
      <c r="I3632" s="39"/>
      <c r="J3632" s="47" t="str">
        <f>IF(tblMovimientos[[#This Row],[Tipo]]="","",IFERROR(INDEX(tblTiposMov[FactorStock],MATCH(tblMovimientos[[#This Row],[Tipo]],tblTiposMov[Tipo],0)),0))</f>
        <v/>
      </c>
      <c r="K36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2" s="37"/>
      <c r="O3632" s="37"/>
      <c r="P3632" s="37"/>
    </row>
    <row r="3633" spans="2:16" x14ac:dyDescent="0.25">
      <c r="B36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3" s="46"/>
      <c r="D3633" s="37"/>
      <c r="E3633" s="37"/>
      <c r="F3633" s="37"/>
      <c r="G3633" s="40" t="str">
        <f>IF(tblMovimientos[[#This Row],[Producto]]="","",TRIM(LEFT(tblMovimientos[[#This Row],[Producto]],FIND(" · ",tblMovimientos[[#This Row],[Producto]]&amp;" · ")-1)))</f>
        <v/>
      </c>
      <c r="H3633" s="40" t="str">
        <f>IF(tblMovimientos[[#This Row],[SKU]]="","",IFERROR(INDEX(tblProductos[Unidad],MATCH(tblMovimientos[[#This Row],[SKU]],tblProductos[SKU],0)),"?"))</f>
        <v/>
      </c>
      <c r="I3633" s="39"/>
      <c r="J3633" s="47" t="str">
        <f>IF(tblMovimientos[[#This Row],[Tipo]]="","",IFERROR(INDEX(tblTiposMov[FactorStock],MATCH(tblMovimientos[[#This Row],[Tipo]],tblTiposMov[Tipo],0)),0))</f>
        <v/>
      </c>
      <c r="K36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3" s="37"/>
      <c r="O3633" s="37"/>
      <c r="P3633" s="37"/>
    </row>
    <row r="3634" spans="2:16" x14ac:dyDescent="0.25">
      <c r="B36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4" s="46"/>
      <c r="D3634" s="37"/>
      <c r="E3634" s="37"/>
      <c r="F3634" s="37"/>
      <c r="G3634" s="40" t="str">
        <f>IF(tblMovimientos[[#This Row],[Producto]]="","",TRIM(LEFT(tblMovimientos[[#This Row],[Producto]],FIND(" · ",tblMovimientos[[#This Row],[Producto]]&amp;" · ")-1)))</f>
        <v/>
      </c>
      <c r="H3634" s="40" t="str">
        <f>IF(tblMovimientos[[#This Row],[SKU]]="","",IFERROR(INDEX(tblProductos[Unidad],MATCH(tblMovimientos[[#This Row],[SKU]],tblProductos[SKU],0)),"?"))</f>
        <v/>
      </c>
      <c r="I3634" s="39"/>
      <c r="J3634" s="47" t="str">
        <f>IF(tblMovimientos[[#This Row],[Tipo]]="","",IFERROR(INDEX(tblTiposMov[FactorStock],MATCH(tblMovimientos[[#This Row],[Tipo]],tblTiposMov[Tipo],0)),0))</f>
        <v/>
      </c>
      <c r="K36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4" s="37"/>
      <c r="O3634" s="37"/>
      <c r="P3634" s="37"/>
    </row>
    <row r="3635" spans="2:16" x14ac:dyDescent="0.25">
      <c r="B36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5" s="46"/>
      <c r="D3635" s="37"/>
      <c r="E3635" s="37"/>
      <c r="F3635" s="37"/>
      <c r="G3635" s="40" t="str">
        <f>IF(tblMovimientos[[#This Row],[Producto]]="","",TRIM(LEFT(tblMovimientos[[#This Row],[Producto]],FIND(" · ",tblMovimientos[[#This Row],[Producto]]&amp;" · ")-1)))</f>
        <v/>
      </c>
      <c r="H3635" s="40" t="str">
        <f>IF(tblMovimientos[[#This Row],[SKU]]="","",IFERROR(INDEX(tblProductos[Unidad],MATCH(tblMovimientos[[#This Row],[SKU]],tblProductos[SKU],0)),"?"))</f>
        <v/>
      </c>
      <c r="I3635" s="39"/>
      <c r="J3635" s="47" t="str">
        <f>IF(tblMovimientos[[#This Row],[Tipo]]="","",IFERROR(INDEX(tblTiposMov[FactorStock],MATCH(tblMovimientos[[#This Row],[Tipo]],tblTiposMov[Tipo],0)),0))</f>
        <v/>
      </c>
      <c r="K36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5" s="37"/>
      <c r="O3635" s="37"/>
      <c r="P3635" s="37"/>
    </row>
    <row r="3636" spans="2:16" x14ac:dyDescent="0.25">
      <c r="B36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6" s="46"/>
      <c r="D3636" s="37"/>
      <c r="E3636" s="37"/>
      <c r="F3636" s="37"/>
      <c r="G3636" s="40" t="str">
        <f>IF(tblMovimientos[[#This Row],[Producto]]="","",TRIM(LEFT(tblMovimientos[[#This Row],[Producto]],FIND(" · ",tblMovimientos[[#This Row],[Producto]]&amp;" · ")-1)))</f>
        <v/>
      </c>
      <c r="H3636" s="40" t="str">
        <f>IF(tblMovimientos[[#This Row],[SKU]]="","",IFERROR(INDEX(tblProductos[Unidad],MATCH(tblMovimientos[[#This Row],[SKU]],tblProductos[SKU],0)),"?"))</f>
        <v/>
      </c>
      <c r="I3636" s="39"/>
      <c r="J3636" s="47" t="str">
        <f>IF(tblMovimientos[[#This Row],[Tipo]]="","",IFERROR(INDEX(tblTiposMov[FactorStock],MATCH(tblMovimientos[[#This Row],[Tipo]],tblTiposMov[Tipo],0)),0))</f>
        <v/>
      </c>
      <c r="K36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6" s="37"/>
      <c r="O3636" s="37"/>
      <c r="P3636" s="37"/>
    </row>
    <row r="3637" spans="2:16" x14ac:dyDescent="0.25">
      <c r="B36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7" s="46"/>
      <c r="D3637" s="37"/>
      <c r="E3637" s="37"/>
      <c r="F3637" s="37"/>
      <c r="G3637" s="40" t="str">
        <f>IF(tblMovimientos[[#This Row],[Producto]]="","",TRIM(LEFT(tblMovimientos[[#This Row],[Producto]],FIND(" · ",tblMovimientos[[#This Row],[Producto]]&amp;" · ")-1)))</f>
        <v/>
      </c>
      <c r="H3637" s="40" t="str">
        <f>IF(tblMovimientos[[#This Row],[SKU]]="","",IFERROR(INDEX(tblProductos[Unidad],MATCH(tblMovimientos[[#This Row],[SKU]],tblProductos[SKU],0)),"?"))</f>
        <v/>
      </c>
      <c r="I3637" s="39"/>
      <c r="J3637" s="47" t="str">
        <f>IF(tblMovimientos[[#This Row],[Tipo]]="","",IFERROR(INDEX(tblTiposMov[FactorStock],MATCH(tblMovimientos[[#This Row],[Tipo]],tblTiposMov[Tipo],0)),0))</f>
        <v/>
      </c>
      <c r="K36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7" s="37"/>
      <c r="O3637" s="37"/>
      <c r="P3637" s="37"/>
    </row>
    <row r="3638" spans="2:16" x14ac:dyDescent="0.25">
      <c r="B36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8" s="46"/>
      <c r="D3638" s="37"/>
      <c r="E3638" s="37"/>
      <c r="F3638" s="37"/>
      <c r="G3638" s="40" t="str">
        <f>IF(tblMovimientos[[#This Row],[Producto]]="","",TRIM(LEFT(tblMovimientos[[#This Row],[Producto]],FIND(" · ",tblMovimientos[[#This Row],[Producto]]&amp;" · ")-1)))</f>
        <v/>
      </c>
      <c r="H3638" s="40" t="str">
        <f>IF(tblMovimientos[[#This Row],[SKU]]="","",IFERROR(INDEX(tblProductos[Unidad],MATCH(tblMovimientos[[#This Row],[SKU]],tblProductos[SKU],0)),"?"))</f>
        <v/>
      </c>
      <c r="I3638" s="39"/>
      <c r="J3638" s="47" t="str">
        <f>IF(tblMovimientos[[#This Row],[Tipo]]="","",IFERROR(INDEX(tblTiposMov[FactorStock],MATCH(tblMovimientos[[#This Row],[Tipo]],tblTiposMov[Tipo],0)),0))</f>
        <v/>
      </c>
      <c r="K36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8" s="37"/>
      <c r="O3638" s="37"/>
      <c r="P3638" s="37"/>
    </row>
    <row r="3639" spans="2:16" x14ac:dyDescent="0.25">
      <c r="B36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39" s="46"/>
      <c r="D3639" s="37"/>
      <c r="E3639" s="37"/>
      <c r="F3639" s="37"/>
      <c r="G3639" s="40" t="str">
        <f>IF(tblMovimientos[[#This Row],[Producto]]="","",TRIM(LEFT(tblMovimientos[[#This Row],[Producto]],FIND(" · ",tblMovimientos[[#This Row],[Producto]]&amp;" · ")-1)))</f>
        <v/>
      </c>
      <c r="H3639" s="40" t="str">
        <f>IF(tblMovimientos[[#This Row],[SKU]]="","",IFERROR(INDEX(tblProductos[Unidad],MATCH(tblMovimientos[[#This Row],[SKU]],tblProductos[SKU],0)),"?"))</f>
        <v/>
      </c>
      <c r="I3639" s="39"/>
      <c r="J3639" s="47" t="str">
        <f>IF(tblMovimientos[[#This Row],[Tipo]]="","",IFERROR(INDEX(tblTiposMov[FactorStock],MATCH(tblMovimientos[[#This Row],[Tipo]],tblTiposMov[Tipo],0)),0))</f>
        <v/>
      </c>
      <c r="K36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39" s="37"/>
      <c r="O3639" s="37"/>
      <c r="P3639" s="37"/>
    </row>
    <row r="3640" spans="2:16" x14ac:dyDescent="0.25">
      <c r="B36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0" s="46"/>
      <c r="D3640" s="37"/>
      <c r="E3640" s="37"/>
      <c r="F3640" s="37"/>
      <c r="G3640" s="40" t="str">
        <f>IF(tblMovimientos[[#This Row],[Producto]]="","",TRIM(LEFT(tblMovimientos[[#This Row],[Producto]],FIND(" · ",tblMovimientos[[#This Row],[Producto]]&amp;" · ")-1)))</f>
        <v/>
      </c>
      <c r="H3640" s="40" t="str">
        <f>IF(tblMovimientos[[#This Row],[SKU]]="","",IFERROR(INDEX(tblProductos[Unidad],MATCH(tblMovimientos[[#This Row],[SKU]],tblProductos[SKU],0)),"?"))</f>
        <v/>
      </c>
      <c r="I3640" s="39"/>
      <c r="J3640" s="47" t="str">
        <f>IF(tblMovimientos[[#This Row],[Tipo]]="","",IFERROR(INDEX(tblTiposMov[FactorStock],MATCH(tblMovimientos[[#This Row],[Tipo]],tblTiposMov[Tipo],0)),0))</f>
        <v/>
      </c>
      <c r="K36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0" s="37"/>
      <c r="O3640" s="37"/>
      <c r="P3640" s="37"/>
    </row>
    <row r="3641" spans="2:16" x14ac:dyDescent="0.25">
      <c r="B36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1" s="46"/>
      <c r="D3641" s="37"/>
      <c r="E3641" s="37"/>
      <c r="F3641" s="37"/>
      <c r="G3641" s="40" t="str">
        <f>IF(tblMovimientos[[#This Row],[Producto]]="","",TRIM(LEFT(tblMovimientos[[#This Row],[Producto]],FIND(" · ",tblMovimientos[[#This Row],[Producto]]&amp;" · ")-1)))</f>
        <v/>
      </c>
      <c r="H3641" s="40" t="str">
        <f>IF(tblMovimientos[[#This Row],[SKU]]="","",IFERROR(INDEX(tblProductos[Unidad],MATCH(tblMovimientos[[#This Row],[SKU]],tblProductos[SKU],0)),"?"))</f>
        <v/>
      </c>
      <c r="I3641" s="39"/>
      <c r="J3641" s="47" t="str">
        <f>IF(tblMovimientos[[#This Row],[Tipo]]="","",IFERROR(INDEX(tblTiposMov[FactorStock],MATCH(tblMovimientos[[#This Row],[Tipo]],tblTiposMov[Tipo],0)),0))</f>
        <v/>
      </c>
      <c r="K36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1" s="37"/>
      <c r="O3641" s="37"/>
      <c r="P3641" s="37"/>
    </row>
    <row r="3642" spans="2:16" x14ac:dyDescent="0.25">
      <c r="B36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2" s="46"/>
      <c r="D3642" s="37"/>
      <c r="E3642" s="37"/>
      <c r="F3642" s="37"/>
      <c r="G3642" s="40" t="str">
        <f>IF(tblMovimientos[[#This Row],[Producto]]="","",TRIM(LEFT(tblMovimientos[[#This Row],[Producto]],FIND(" · ",tblMovimientos[[#This Row],[Producto]]&amp;" · ")-1)))</f>
        <v/>
      </c>
      <c r="H3642" s="40" t="str">
        <f>IF(tblMovimientos[[#This Row],[SKU]]="","",IFERROR(INDEX(tblProductos[Unidad],MATCH(tblMovimientos[[#This Row],[SKU]],tblProductos[SKU],0)),"?"))</f>
        <v/>
      </c>
      <c r="I3642" s="39"/>
      <c r="J3642" s="47" t="str">
        <f>IF(tblMovimientos[[#This Row],[Tipo]]="","",IFERROR(INDEX(tblTiposMov[FactorStock],MATCH(tblMovimientos[[#This Row],[Tipo]],tblTiposMov[Tipo],0)),0))</f>
        <v/>
      </c>
      <c r="K36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2" s="37"/>
      <c r="O3642" s="37"/>
      <c r="P3642" s="37"/>
    </row>
    <row r="3643" spans="2:16" x14ac:dyDescent="0.25">
      <c r="B36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3" s="46"/>
      <c r="D3643" s="37"/>
      <c r="E3643" s="37"/>
      <c r="F3643" s="37"/>
      <c r="G3643" s="40" t="str">
        <f>IF(tblMovimientos[[#This Row],[Producto]]="","",TRIM(LEFT(tblMovimientos[[#This Row],[Producto]],FIND(" · ",tblMovimientos[[#This Row],[Producto]]&amp;" · ")-1)))</f>
        <v/>
      </c>
      <c r="H3643" s="40" t="str">
        <f>IF(tblMovimientos[[#This Row],[SKU]]="","",IFERROR(INDEX(tblProductos[Unidad],MATCH(tblMovimientos[[#This Row],[SKU]],tblProductos[SKU],0)),"?"))</f>
        <v/>
      </c>
      <c r="I3643" s="39"/>
      <c r="J3643" s="47" t="str">
        <f>IF(tblMovimientos[[#This Row],[Tipo]]="","",IFERROR(INDEX(tblTiposMov[FactorStock],MATCH(tblMovimientos[[#This Row],[Tipo]],tblTiposMov[Tipo],0)),0))</f>
        <v/>
      </c>
      <c r="K36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3" s="37"/>
      <c r="O3643" s="37"/>
      <c r="P3643" s="37"/>
    </row>
    <row r="3644" spans="2:16" x14ac:dyDescent="0.25">
      <c r="B36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4" s="46"/>
      <c r="D3644" s="37"/>
      <c r="E3644" s="37"/>
      <c r="F3644" s="37"/>
      <c r="G3644" s="40" t="str">
        <f>IF(tblMovimientos[[#This Row],[Producto]]="","",TRIM(LEFT(tblMovimientos[[#This Row],[Producto]],FIND(" · ",tblMovimientos[[#This Row],[Producto]]&amp;" · ")-1)))</f>
        <v/>
      </c>
      <c r="H3644" s="40" t="str">
        <f>IF(tblMovimientos[[#This Row],[SKU]]="","",IFERROR(INDEX(tblProductos[Unidad],MATCH(tblMovimientos[[#This Row],[SKU]],tblProductos[SKU],0)),"?"))</f>
        <v/>
      </c>
      <c r="I3644" s="39"/>
      <c r="J3644" s="47" t="str">
        <f>IF(tblMovimientos[[#This Row],[Tipo]]="","",IFERROR(INDEX(tblTiposMov[FactorStock],MATCH(tblMovimientos[[#This Row],[Tipo]],tblTiposMov[Tipo],0)),0))</f>
        <v/>
      </c>
      <c r="K36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4" s="37"/>
      <c r="O3644" s="37"/>
      <c r="P3644" s="37"/>
    </row>
    <row r="3645" spans="2:16" x14ac:dyDescent="0.25">
      <c r="B36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5" s="46"/>
      <c r="D3645" s="37"/>
      <c r="E3645" s="37"/>
      <c r="F3645" s="37"/>
      <c r="G3645" s="40" t="str">
        <f>IF(tblMovimientos[[#This Row],[Producto]]="","",TRIM(LEFT(tblMovimientos[[#This Row],[Producto]],FIND(" · ",tblMovimientos[[#This Row],[Producto]]&amp;" · ")-1)))</f>
        <v/>
      </c>
      <c r="H3645" s="40" t="str">
        <f>IF(tblMovimientos[[#This Row],[SKU]]="","",IFERROR(INDEX(tblProductos[Unidad],MATCH(tblMovimientos[[#This Row],[SKU]],tblProductos[SKU],0)),"?"))</f>
        <v/>
      </c>
      <c r="I3645" s="39"/>
      <c r="J3645" s="47" t="str">
        <f>IF(tblMovimientos[[#This Row],[Tipo]]="","",IFERROR(INDEX(tblTiposMov[FactorStock],MATCH(tblMovimientos[[#This Row],[Tipo]],tblTiposMov[Tipo],0)),0))</f>
        <v/>
      </c>
      <c r="K36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5" s="37"/>
      <c r="O3645" s="37"/>
      <c r="P3645" s="37"/>
    </row>
    <row r="3646" spans="2:16" x14ac:dyDescent="0.25">
      <c r="B36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6" s="46"/>
      <c r="D3646" s="37"/>
      <c r="E3646" s="37"/>
      <c r="F3646" s="37"/>
      <c r="G3646" s="40" t="str">
        <f>IF(tblMovimientos[[#This Row],[Producto]]="","",TRIM(LEFT(tblMovimientos[[#This Row],[Producto]],FIND(" · ",tblMovimientos[[#This Row],[Producto]]&amp;" · ")-1)))</f>
        <v/>
      </c>
      <c r="H3646" s="40" t="str">
        <f>IF(tblMovimientos[[#This Row],[SKU]]="","",IFERROR(INDEX(tblProductos[Unidad],MATCH(tblMovimientos[[#This Row],[SKU]],tblProductos[SKU],0)),"?"))</f>
        <v/>
      </c>
      <c r="I3646" s="39"/>
      <c r="J3646" s="47" t="str">
        <f>IF(tblMovimientos[[#This Row],[Tipo]]="","",IFERROR(INDEX(tblTiposMov[FactorStock],MATCH(tblMovimientos[[#This Row],[Tipo]],tblTiposMov[Tipo],0)),0))</f>
        <v/>
      </c>
      <c r="K36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6" s="37"/>
      <c r="O3646" s="37"/>
      <c r="P3646" s="37"/>
    </row>
    <row r="3647" spans="2:16" x14ac:dyDescent="0.25">
      <c r="B36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7" s="46"/>
      <c r="D3647" s="37"/>
      <c r="E3647" s="37"/>
      <c r="F3647" s="37"/>
      <c r="G3647" s="40" t="str">
        <f>IF(tblMovimientos[[#This Row],[Producto]]="","",TRIM(LEFT(tblMovimientos[[#This Row],[Producto]],FIND(" · ",tblMovimientos[[#This Row],[Producto]]&amp;" · ")-1)))</f>
        <v/>
      </c>
      <c r="H3647" s="40" t="str">
        <f>IF(tblMovimientos[[#This Row],[SKU]]="","",IFERROR(INDEX(tblProductos[Unidad],MATCH(tblMovimientos[[#This Row],[SKU]],tblProductos[SKU],0)),"?"))</f>
        <v/>
      </c>
      <c r="I3647" s="39"/>
      <c r="J3647" s="47" t="str">
        <f>IF(tblMovimientos[[#This Row],[Tipo]]="","",IFERROR(INDEX(tblTiposMov[FactorStock],MATCH(tblMovimientos[[#This Row],[Tipo]],tblTiposMov[Tipo],0)),0))</f>
        <v/>
      </c>
      <c r="K36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7" s="37"/>
      <c r="O3647" s="37"/>
      <c r="P3647" s="37"/>
    </row>
    <row r="3648" spans="2:16" x14ac:dyDescent="0.25">
      <c r="B36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8" s="46"/>
      <c r="D3648" s="37"/>
      <c r="E3648" s="37"/>
      <c r="F3648" s="37"/>
      <c r="G3648" s="40" t="str">
        <f>IF(tblMovimientos[[#This Row],[Producto]]="","",TRIM(LEFT(tblMovimientos[[#This Row],[Producto]],FIND(" · ",tblMovimientos[[#This Row],[Producto]]&amp;" · ")-1)))</f>
        <v/>
      </c>
      <c r="H3648" s="40" t="str">
        <f>IF(tblMovimientos[[#This Row],[SKU]]="","",IFERROR(INDEX(tblProductos[Unidad],MATCH(tblMovimientos[[#This Row],[SKU]],tblProductos[SKU],0)),"?"))</f>
        <v/>
      </c>
      <c r="I3648" s="39"/>
      <c r="J3648" s="47" t="str">
        <f>IF(tblMovimientos[[#This Row],[Tipo]]="","",IFERROR(INDEX(tblTiposMov[FactorStock],MATCH(tblMovimientos[[#This Row],[Tipo]],tblTiposMov[Tipo],0)),0))</f>
        <v/>
      </c>
      <c r="K36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8" s="37"/>
      <c r="O3648" s="37"/>
      <c r="P3648" s="37"/>
    </row>
    <row r="3649" spans="2:16" x14ac:dyDescent="0.25">
      <c r="B36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49" s="46"/>
      <c r="D3649" s="37"/>
      <c r="E3649" s="37"/>
      <c r="F3649" s="37"/>
      <c r="G3649" s="40" t="str">
        <f>IF(tblMovimientos[[#This Row],[Producto]]="","",TRIM(LEFT(tblMovimientos[[#This Row],[Producto]],FIND(" · ",tblMovimientos[[#This Row],[Producto]]&amp;" · ")-1)))</f>
        <v/>
      </c>
      <c r="H3649" s="40" t="str">
        <f>IF(tblMovimientos[[#This Row],[SKU]]="","",IFERROR(INDEX(tblProductos[Unidad],MATCH(tblMovimientos[[#This Row],[SKU]],tblProductos[SKU],0)),"?"))</f>
        <v/>
      </c>
      <c r="I3649" s="39"/>
      <c r="J3649" s="47" t="str">
        <f>IF(tblMovimientos[[#This Row],[Tipo]]="","",IFERROR(INDEX(tblTiposMov[FactorStock],MATCH(tblMovimientos[[#This Row],[Tipo]],tblTiposMov[Tipo],0)),0))</f>
        <v/>
      </c>
      <c r="K36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49" s="37"/>
      <c r="O3649" s="37"/>
      <c r="P3649" s="37"/>
    </row>
    <row r="3650" spans="2:16" x14ac:dyDescent="0.25">
      <c r="B36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0" s="46"/>
      <c r="D3650" s="37"/>
      <c r="E3650" s="37"/>
      <c r="F3650" s="37"/>
      <c r="G3650" s="40" t="str">
        <f>IF(tblMovimientos[[#This Row],[Producto]]="","",TRIM(LEFT(tblMovimientos[[#This Row],[Producto]],FIND(" · ",tblMovimientos[[#This Row],[Producto]]&amp;" · ")-1)))</f>
        <v/>
      </c>
      <c r="H3650" s="40" t="str">
        <f>IF(tblMovimientos[[#This Row],[SKU]]="","",IFERROR(INDEX(tblProductos[Unidad],MATCH(tblMovimientos[[#This Row],[SKU]],tblProductos[SKU],0)),"?"))</f>
        <v/>
      </c>
      <c r="I3650" s="39"/>
      <c r="J3650" s="47" t="str">
        <f>IF(tblMovimientos[[#This Row],[Tipo]]="","",IFERROR(INDEX(tblTiposMov[FactorStock],MATCH(tblMovimientos[[#This Row],[Tipo]],tblTiposMov[Tipo],0)),0))</f>
        <v/>
      </c>
      <c r="K36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0" s="37"/>
      <c r="O3650" s="37"/>
      <c r="P3650" s="37"/>
    </row>
    <row r="3651" spans="2:16" x14ac:dyDescent="0.25">
      <c r="B36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1" s="46"/>
      <c r="D3651" s="37"/>
      <c r="E3651" s="37"/>
      <c r="F3651" s="37"/>
      <c r="G3651" s="40" t="str">
        <f>IF(tblMovimientos[[#This Row],[Producto]]="","",TRIM(LEFT(tblMovimientos[[#This Row],[Producto]],FIND(" · ",tblMovimientos[[#This Row],[Producto]]&amp;" · ")-1)))</f>
        <v/>
      </c>
      <c r="H3651" s="40" t="str">
        <f>IF(tblMovimientos[[#This Row],[SKU]]="","",IFERROR(INDEX(tblProductos[Unidad],MATCH(tblMovimientos[[#This Row],[SKU]],tblProductos[SKU],0)),"?"))</f>
        <v/>
      </c>
      <c r="I3651" s="39"/>
      <c r="J3651" s="47" t="str">
        <f>IF(tblMovimientos[[#This Row],[Tipo]]="","",IFERROR(INDEX(tblTiposMov[FactorStock],MATCH(tblMovimientos[[#This Row],[Tipo]],tblTiposMov[Tipo],0)),0))</f>
        <v/>
      </c>
      <c r="K36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1" s="37"/>
      <c r="O3651" s="37"/>
      <c r="P3651" s="37"/>
    </row>
    <row r="3652" spans="2:16" x14ac:dyDescent="0.25">
      <c r="B36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2" s="46"/>
      <c r="D3652" s="37"/>
      <c r="E3652" s="37"/>
      <c r="F3652" s="37"/>
      <c r="G3652" s="40" t="str">
        <f>IF(tblMovimientos[[#This Row],[Producto]]="","",TRIM(LEFT(tblMovimientos[[#This Row],[Producto]],FIND(" · ",tblMovimientos[[#This Row],[Producto]]&amp;" · ")-1)))</f>
        <v/>
      </c>
      <c r="H3652" s="40" t="str">
        <f>IF(tblMovimientos[[#This Row],[SKU]]="","",IFERROR(INDEX(tblProductos[Unidad],MATCH(tblMovimientos[[#This Row],[SKU]],tblProductos[SKU],0)),"?"))</f>
        <v/>
      </c>
      <c r="I3652" s="39"/>
      <c r="J3652" s="47" t="str">
        <f>IF(tblMovimientos[[#This Row],[Tipo]]="","",IFERROR(INDEX(tblTiposMov[FactorStock],MATCH(tblMovimientos[[#This Row],[Tipo]],tblTiposMov[Tipo],0)),0))</f>
        <v/>
      </c>
      <c r="K36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2" s="37"/>
      <c r="O3652" s="37"/>
      <c r="P3652" s="37"/>
    </row>
    <row r="3653" spans="2:16" x14ac:dyDescent="0.25">
      <c r="B36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3" s="46"/>
      <c r="D3653" s="37"/>
      <c r="E3653" s="37"/>
      <c r="F3653" s="37"/>
      <c r="G3653" s="40" t="str">
        <f>IF(tblMovimientos[[#This Row],[Producto]]="","",TRIM(LEFT(tblMovimientos[[#This Row],[Producto]],FIND(" · ",tblMovimientos[[#This Row],[Producto]]&amp;" · ")-1)))</f>
        <v/>
      </c>
      <c r="H3653" s="40" t="str">
        <f>IF(tblMovimientos[[#This Row],[SKU]]="","",IFERROR(INDEX(tblProductos[Unidad],MATCH(tblMovimientos[[#This Row],[SKU]],tblProductos[SKU],0)),"?"))</f>
        <v/>
      </c>
      <c r="I3653" s="39"/>
      <c r="J3653" s="47" t="str">
        <f>IF(tblMovimientos[[#This Row],[Tipo]]="","",IFERROR(INDEX(tblTiposMov[FactorStock],MATCH(tblMovimientos[[#This Row],[Tipo]],tblTiposMov[Tipo],0)),0))</f>
        <v/>
      </c>
      <c r="K36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3" s="37"/>
      <c r="O3653" s="37"/>
      <c r="P3653" s="37"/>
    </row>
    <row r="3654" spans="2:16" x14ac:dyDescent="0.25">
      <c r="B36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4" s="46"/>
      <c r="D3654" s="37"/>
      <c r="E3654" s="37"/>
      <c r="F3654" s="37"/>
      <c r="G3654" s="40" t="str">
        <f>IF(tblMovimientos[[#This Row],[Producto]]="","",TRIM(LEFT(tblMovimientos[[#This Row],[Producto]],FIND(" · ",tblMovimientos[[#This Row],[Producto]]&amp;" · ")-1)))</f>
        <v/>
      </c>
      <c r="H3654" s="40" t="str">
        <f>IF(tblMovimientos[[#This Row],[SKU]]="","",IFERROR(INDEX(tblProductos[Unidad],MATCH(tblMovimientos[[#This Row],[SKU]],tblProductos[SKU],0)),"?"))</f>
        <v/>
      </c>
      <c r="I3654" s="39"/>
      <c r="J3654" s="47" t="str">
        <f>IF(tblMovimientos[[#This Row],[Tipo]]="","",IFERROR(INDEX(tblTiposMov[FactorStock],MATCH(tblMovimientos[[#This Row],[Tipo]],tblTiposMov[Tipo],0)),0))</f>
        <v/>
      </c>
      <c r="K36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4" s="37"/>
      <c r="O3654" s="37"/>
      <c r="P3654" s="37"/>
    </row>
    <row r="3655" spans="2:16" x14ac:dyDescent="0.25">
      <c r="B36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5" s="46"/>
      <c r="D3655" s="37"/>
      <c r="E3655" s="37"/>
      <c r="F3655" s="37"/>
      <c r="G3655" s="40" t="str">
        <f>IF(tblMovimientos[[#This Row],[Producto]]="","",TRIM(LEFT(tblMovimientos[[#This Row],[Producto]],FIND(" · ",tblMovimientos[[#This Row],[Producto]]&amp;" · ")-1)))</f>
        <v/>
      </c>
      <c r="H3655" s="40" t="str">
        <f>IF(tblMovimientos[[#This Row],[SKU]]="","",IFERROR(INDEX(tblProductos[Unidad],MATCH(tblMovimientos[[#This Row],[SKU]],tblProductos[SKU],0)),"?"))</f>
        <v/>
      </c>
      <c r="I3655" s="39"/>
      <c r="J3655" s="47" t="str">
        <f>IF(tblMovimientos[[#This Row],[Tipo]]="","",IFERROR(INDEX(tblTiposMov[FactorStock],MATCH(tblMovimientos[[#This Row],[Tipo]],tblTiposMov[Tipo],0)),0))</f>
        <v/>
      </c>
      <c r="K36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5" s="37"/>
      <c r="O3655" s="37"/>
      <c r="P3655" s="37"/>
    </row>
    <row r="3656" spans="2:16" x14ac:dyDescent="0.25">
      <c r="B36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6" s="46"/>
      <c r="D3656" s="37"/>
      <c r="E3656" s="37"/>
      <c r="F3656" s="37"/>
      <c r="G3656" s="40" t="str">
        <f>IF(tblMovimientos[[#This Row],[Producto]]="","",TRIM(LEFT(tblMovimientos[[#This Row],[Producto]],FIND(" · ",tblMovimientos[[#This Row],[Producto]]&amp;" · ")-1)))</f>
        <v/>
      </c>
      <c r="H3656" s="40" t="str">
        <f>IF(tblMovimientos[[#This Row],[SKU]]="","",IFERROR(INDEX(tblProductos[Unidad],MATCH(tblMovimientos[[#This Row],[SKU]],tblProductos[SKU],0)),"?"))</f>
        <v/>
      </c>
      <c r="I3656" s="39"/>
      <c r="J3656" s="47" t="str">
        <f>IF(tblMovimientos[[#This Row],[Tipo]]="","",IFERROR(INDEX(tblTiposMov[FactorStock],MATCH(tblMovimientos[[#This Row],[Tipo]],tblTiposMov[Tipo],0)),0))</f>
        <v/>
      </c>
      <c r="K36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6" s="37"/>
      <c r="O3656" s="37"/>
      <c r="P3656" s="37"/>
    </row>
    <row r="3657" spans="2:16" x14ac:dyDescent="0.25">
      <c r="B36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7" s="46"/>
      <c r="D3657" s="37"/>
      <c r="E3657" s="37"/>
      <c r="F3657" s="37"/>
      <c r="G3657" s="40" t="str">
        <f>IF(tblMovimientos[[#This Row],[Producto]]="","",TRIM(LEFT(tblMovimientos[[#This Row],[Producto]],FIND(" · ",tblMovimientos[[#This Row],[Producto]]&amp;" · ")-1)))</f>
        <v/>
      </c>
      <c r="H3657" s="40" t="str">
        <f>IF(tblMovimientos[[#This Row],[SKU]]="","",IFERROR(INDEX(tblProductos[Unidad],MATCH(tblMovimientos[[#This Row],[SKU]],tblProductos[SKU],0)),"?"))</f>
        <v/>
      </c>
      <c r="I3657" s="39"/>
      <c r="J3657" s="47" t="str">
        <f>IF(tblMovimientos[[#This Row],[Tipo]]="","",IFERROR(INDEX(tblTiposMov[FactorStock],MATCH(tblMovimientos[[#This Row],[Tipo]],tblTiposMov[Tipo],0)),0))</f>
        <v/>
      </c>
      <c r="K36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7" s="37"/>
      <c r="O3657" s="37"/>
      <c r="P3657" s="37"/>
    </row>
    <row r="3658" spans="2:16" x14ac:dyDescent="0.25">
      <c r="B36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8" s="46"/>
      <c r="D3658" s="37"/>
      <c r="E3658" s="37"/>
      <c r="F3658" s="37"/>
      <c r="G3658" s="40" t="str">
        <f>IF(tblMovimientos[[#This Row],[Producto]]="","",TRIM(LEFT(tblMovimientos[[#This Row],[Producto]],FIND(" · ",tblMovimientos[[#This Row],[Producto]]&amp;" · ")-1)))</f>
        <v/>
      </c>
      <c r="H3658" s="40" t="str">
        <f>IF(tblMovimientos[[#This Row],[SKU]]="","",IFERROR(INDEX(tblProductos[Unidad],MATCH(tblMovimientos[[#This Row],[SKU]],tblProductos[SKU],0)),"?"))</f>
        <v/>
      </c>
      <c r="I3658" s="39"/>
      <c r="J3658" s="47" t="str">
        <f>IF(tblMovimientos[[#This Row],[Tipo]]="","",IFERROR(INDEX(tblTiposMov[FactorStock],MATCH(tblMovimientos[[#This Row],[Tipo]],tblTiposMov[Tipo],0)),0))</f>
        <v/>
      </c>
      <c r="K36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8" s="37"/>
      <c r="O3658" s="37"/>
      <c r="P3658" s="37"/>
    </row>
    <row r="3659" spans="2:16" x14ac:dyDescent="0.25">
      <c r="B36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59" s="46"/>
      <c r="D3659" s="37"/>
      <c r="E3659" s="37"/>
      <c r="F3659" s="37"/>
      <c r="G3659" s="40" t="str">
        <f>IF(tblMovimientos[[#This Row],[Producto]]="","",TRIM(LEFT(tblMovimientos[[#This Row],[Producto]],FIND(" · ",tblMovimientos[[#This Row],[Producto]]&amp;" · ")-1)))</f>
        <v/>
      </c>
      <c r="H3659" s="40" t="str">
        <f>IF(tblMovimientos[[#This Row],[SKU]]="","",IFERROR(INDEX(tblProductos[Unidad],MATCH(tblMovimientos[[#This Row],[SKU]],tblProductos[SKU],0)),"?"))</f>
        <v/>
      </c>
      <c r="I3659" s="39"/>
      <c r="J3659" s="47" t="str">
        <f>IF(tblMovimientos[[#This Row],[Tipo]]="","",IFERROR(INDEX(tblTiposMov[FactorStock],MATCH(tblMovimientos[[#This Row],[Tipo]],tblTiposMov[Tipo],0)),0))</f>
        <v/>
      </c>
      <c r="K36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59" s="37"/>
      <c r="O3659" s="37"/>
      <c r="P3659" s="37"/>
    </row>
    <row r="3660" spans="2:16" x14ac:dyDescent="0.25">
      <c r="B36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0" s="46"/>
      <c r="D3660" s="37"/>
      <c r="E3660" s="37"/>
      <c r="F3660" s="37"/>
      <c r="G3660" s="40" t="str">
        <f>IF(tblMovimientos[[#This Row],[Producto]]="","",TRIM(LEFT(tblMovimientos[[#This Row],[Producto]],FIND(" · ",tblMovimientos[[#This Row],[Producto]]&amp;" · ")-1)))</f>
        <v/>
      </c>
      <c r="H3660" s="40" t="str">
        <f>IF(tblMovimientos[[#This Row],[SKU]]="","",IFERROR(INDEX(tblProductos[Unidad],MATCH(tblMovimientos[[#This Row],[SKU]],tblProductos[SKU],0)),"?"))</f>
        <v/>
      </c>
      <c r="I3660" s="39"/>
      <c r="J3660" s="47" t="str">
        <f>IF(tblMovimientos[[#This Row],[Tipo]]="","",IFERROR(INDEX(tblTiposMov[FactorStock],MATCH(tblMovimientos[[#This Row],[Tipo]],tblTiposMov[Tipo],0)),0))</f>
        <v/>
      </c>
      <c r="K36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0" s="37"/>
      <c r="O3660" s="37"/>
      <c r="P3660" s="37"/>
    </row>
    <row r="3661" spans="2:16" x14ac:dyDescent="0.25">
      <c r="B36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1" s="46"/>
      <c r="D3661" s="37"/>
      <c r="E3661" s="37"/>
      <c r="F3661" s="37"/>
      <c r="G3661" s="40" t="str">
        <f>IF(tblMovimientos[[#This Row],[Producto]]="","",TRIM(LEFT(tblMovimientos[[#This Row],[Producto]],FIND(" · ",tblMovimientos[[#This Row],[Producto]]&amp;" · ")-1)))</f>
        <v/>
      </c>
      <c r="H3661" s="40" t="str">
        <f>IF(tblMovimientos[[#This Row],[SKU]]="","",IFERROR(INDEX(tblProductos[Unidad],MATCH(tblMovimientos[[#This Row],[SKU]],tblProductos[SKU],0)),"?"))</f>
        <v/>
      </c>
      <c r="I3661" s="39"/>
      <c r="J3661" s="47" t="str">
        <f>IF(tblMovimientos[[#This Row],[Tipo]]="","",IFERROR(INDEX(tblTiposMov[FactorStock],MATCH(tblMovimientos[[#This Row],[Tipo]],tblTiposMov[Tipo],0)),0))</f>
        <v/>
      </c>
      <c r="K36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1" s="37"/>
      <c r="O3661" s="37"/>
      <c r="P3661" s="37"/>
    </row>
    <row r="3662" spans="2:16" x14ac:dyDescent="0.25">
      <c r="B36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2" s="46"/>
      <c r="D3662" s="37"/>
      <c r="E3662" s="37"/>
      <c r="F3662" s="37"/>
      <c r="G3662" s="40" t="str">
        <f>IF(tblMovimientos[[#This Row],[Producto]]="","",TRIM(LEFT(tblMovimientos[[#This Row],[Producto]],FIND(" · ",tblMovimientos[[#This Row],[Producto]]&amp;" · ")-1)))</f>
        <v/>
      </c>
      <c r="H3662" s="40" t="str">
        <f>IF(tblMovimientos[[#This Row],[SKU]]="","",IFERROR(INDEX(tblProductos[Unidad],MATCH(tblMovimientos[[#This Row],[SKU]],tblProductos[SKU],0)),"?"))</f>
        <v/>
      </c>
      <c r="I3662" s="39"/>
      <c r="J3662" s="47" t="str">
        <f>IF(tblMovimientos[[#This Row],[Tipo]]="","",IFERROR(INDEX(tblTiposMov[FactorStock],MATCH(tblMovimientos[[#This Row],[Tipo]],tblTiposMov[Tipo],0)),0))</f>
        <v/>
      </c>
      <c r="K36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2" s="37"/>
      <c r="O3662" s="37"/>
      <c r="P3662" s="37"/>
    </row>
    <row r="3663" spans="2:16" x14ac:dyDescent="0.25">
      <c r="B36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3" s="46"/>
      <c r="D3663" s="37"/>
      <c r="E3663" s="37"/>
      <c r="F3663" s="37"/>
      <c r="G3663" s="40" t="str">
        <f>IF(tblMovimientos[[#This Row],[Producto]]="","",TRIM(LEFT(tblMovimientos[[#This Row],[Producto]],FIND(" · ",tblMovimientos[[#This Row],[Producto]]&amp;" · ")-1)))</f>
        <v/>
      </c>
      <c r="H3663" s="40" t="str">
        <f>IF(tblMovimientos[[#This Row],[SKU]]="","",IFERROR(INDEX(tblProductos[Unidad],MATCH(tblMovimientos[[#This Row],[SKU]],tblProductos[SKU],0)),"?"))</f>
        <v/>
      </c>
      <c r="I3663" s="39"/>
      <c r="J3663" s="47" t="str">
        <f>IF(tblMovimientos[[#This Row],[Tipo]]="","",IFERROR(INDEX(tblTiposMov[FactorStock],MATCH(tblMovimientos[[#This Row],[Tipo]],tblTiposMov[Tipo],0)),0))</f>
        <v/>
      </c>
      <c r="K36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3" s="37"/>
      <c r="O3663" s="37"/>
      <c r="P3663" s="37"/>
    </row>
    <row r="3664" spans="2:16" x14ac:dyDescent="0.25">
      <c r="B36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4" s="46"/>
      <c r="D3664" s="37"/>
      <c r="E3664" s="37"/>
      <c r="F3664" s="37"/>
      <c r="G3664" s="40" t="str">
        <f>IF(tblMovimientos[[#This Row],[Producto]]="","",TRIM(LEFT(tblMovimientos[[#This Row],[Producto]],FIND(" · ",tblMovimientos[[#This Row],[Producto]]&amp;" · ")-1)))</f>
        <v/>
      </c>
      <c r="H3664" s="40" t="str">
        <f>IF(tblMovimientos[[#This Row],[SKU]]="","",IFERROR(INDEX(tblProductos[Unidad],MATCH(tblMovimientos[[#This Row],[SKU]],tblProductos[SKU],0)),"?"))</f>
        <v/>
      </c>
      <c r="I3664" s="39"/>
      <c r="J3664" s="47" t="str">
        <f>IF(tblMovimientos[[#This Row],[Tipo]]="","",IFERROR(INDEX(tblTiposMov[FactorStock],MATCH(tblMovimientos[[#This Row],[Tipo]],tblTiposMov[Tipo],0)),0))</f>
        <v/>
      </c>
      <c r="K36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4" s="37"/>
      <c r="O3664" s="37"/>
      <c r="P3664" s="37"/>
    </row>
    <row r="3665" spans="2:16" x14ac:dyDescent="0.25">
      <c r="B36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5" s="46"/>
      <c r="D3665" s="37"/>
      <c r="E3665" s="37"/>
      <c r="F3665" s="37"/>
      <c r="G3665" s="40" t="str">
        <f>IF(tblMovimientos[[#This Row],[Producto]]="","",TRIM(LEFT(tblMovimientos[[#This Row],[Producto]],FIND(" · ",tblMovimientos[[#This Row],[Producto]]&amp;" · ")-1)))</f>
        <v/>
      </c>
      <c r="H3665" s="40" t="str">
        <f>IF(tblMovimientos[[#This Row],[SKU]]="","",IFERROR(INDEX(tblProductos[Unidad],MATCH(tblMovimientos[[#This Row],[SKU]],tblProductos[SKU],0)),"?"))</f>
        <v/>
      </c>
      <c r="I3665" s="39"/>
      <c r="J3665" s="47" t="str">
        <f>IF(tblMovimientos[[#This Row],[Tipo]]="","",IFERROR(INDEX(tblTiposMov[FactorStock],MATCH(tblMovimientos[[#This Row],[Tipo]],tblTiposMov[Tipo],0)),0))</f>
        <v/>
      </c>
      <c r="K36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5" s="37"/>
      <c r="O3665" s="37"/>
      <c r="P3665" s="37"/>
    </row>
    <row r="3666" spans="2:16" x14ac:dyDescent="0.25">
      <c r="B36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6" s="46"/>
      <c r="D3666" s="37"/>
      <c r="E3666" s="37"/>
      <c r="F3666" s="37"/>
      <c r="G3666" s="40" t="str">
        <f>IF(tblMovimientos[[#This Row],[Producto]]="","",TRIM(LEFT(tblMovimientos[[#This Row],[Producto]],FIND(" · ",tblMovimientos[[#This Row],[Producto]]&amp;" · ")-1)))</f>
        <v/>
      </c>
      <c r="H3666" s="40" t="str">
        <f>IF(tblMovimientos[[#This Row],[SKU]]="","",IFERROR(INDEX(tblProductos[Unidad],MATCH(tblMovimientos[[#This Row],[SKU]],tblProductos[SKU],0)),"?"))</f>
        <v/>
      </c>
      <c r="I3666" s="39"/>
      <c r="J3666" s="47" t="str">
        <f>IF(tblMovimientos[[#This Row],[Tipo]]="","",IFERROR(INDEX(tblTiposMov[FactorStock],MATCH(tblMovimientos[[#This Row],[Tipo]],tblTiposMov[Tipo],0)),0))</f>
        <v/>
      </c>
      <c r="K36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6" s="37"/>
      <c r="O3666" s="37"/>
      <c r="P3666" s="37"/>
    </row>
    <row r="3667" spans="2:16" x14ac:dyDescent="0.25">
      <c r="B36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7" s="46"/>
      <c r="D3667" s="37"/>
      <c r="E3667" s="37"/>
      <c r="F3667" s="37"/>
      <c r="G3667" s="40" t="str">
        <f>IF(tblMovimientos[[#This Row],[Producto]]="","",TRIM(LEFT(tblMovimientos[[#This Row],[Producto]],FIND(" · ",tblMovimientos[[#This Row],[Producto]]&amp;" · ")-1)))</f>
        <v/>
      </c>
      <c r="H3667" s="40" t="str">
        <f>IF(tblMovimientos[[#This Row],[SKU]]="","",IFERROR(INDEX(tblProductos[Unidad],MATCH(tblMovimientos[[#This Row],[SKU]],tblProductos[SKU],0)),"?"))</f>
        <v/>
      </c>
      <c r="I3667" s="39"/>
      <c r="J3667" s="47" t="str">
        <f>IF(tblMovimientos[[#This Row],[Tipo]]="","",IFERROR(INDEX(tblTiposMov[FactorStock],MATCH(tblMovimientos[[#This Row],[Tipo]],tblTiposMov[Tipo],0)),0))</f>
        <v/>
      </c>
      <c r="K36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7" s="37"/>
      <c r="O3667" s="37"/>
      <c r="P3667" s="37"/>
    </row>
    <row r="3668" spans="2:16" x14ac:dyDescent="0.25">
      <c r="B36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8" s="46"/>
      <c r="D3668" s="37"/>
      <c r="E3668" s="37"/>
      <c r="F3668" s="37"/>
      <c r="G3668" s="40" t="str">
        <f>IF(tblMovimientos[[#This Row],[Producto]]="","",TRIM(LEFT(tblMovimientos[[#This Row],[Producto]],FIND(" · ",tblMovimientos[[#This Row],[Producto]]&amp;" · ")-1)))</f>
        <v/>
      </c>
      <c r="H3668" s="40" t="str">
        <f>IF(tblMovimientos[[#This Row],[SKU]]="","",IFERROR(INDEX(tblProductos[Unidad],MATCH(tblMovimientos[[#This Row],[SKU]],tblProductos[SKU],0)),"?"))</f>
        <v/>
      </c>
      <c r="I3668" s="39"/>
      <c r="J3668" s="47" t="str">
        <f>IF(tblMovimientos[[#This Row],[Tipo]]="","",IFERROR(INDEX(tblTiposMov[FactorStock],MATCH(tblMovimientos[[#This Row],[Tipo]],tblTiposMov[Tipo],0)),0))</f>
        <v/>
      </c>
      <c r="K36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8" s="37"/>
      <c r="O3668" s="37"/>
      <c r="P3668" s="37"/>
    </row>
    <row r="3669" spans="2:16" x14ac:dyDescent="0.25">
      <c r="B36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69" s="46"/>
      <c r="D3669" s="37"/>
      <c r="E3669" s="37"/>
      <c r="F3669" s="37"/>
      <c r="G3669" s="40" t="str">
        <f>IF(tblMovimientos[[#This Row],[Producto]]="","",TRIM(LEFT(tblMovimientos[[#This Row],[Producto]],FIND(" · ",tblMovimientos[[#This Row],[Producto]]&amp;" · ")-1)))</f>
        <v/>
      </c>
      <c r="H3669" s="40" t="str">
        <f>IF(tblMovimientos[[#This Row],[SKU]]="","",IFERROR(INDEX(tblProductos[Unidad],MATCH(tblMovimientos[[#This Row],[SKU]],tblProductos[SKU],0)),"?"))</f>
        <v/>
      </c>
      <c r="I3669" s="39"/>
      <c r="J3669" s="47" t="str">
        <f>IF(tblMovimientos[[#This Row],[Tipo]]="","",IFERROR(INDEX(tblTiposMov[FactorStock],MATCH(tblMovimientos[[#This Row],[Tipo]],tblTiposMov[Tipo],0)),0))</f>
        <v/>
      </c>
      <c r="K36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69" s="37"/>
      <c r="O3669" s="37"/>
      <c r="P3669" s="37"/>
    </row>
    <row r="3670" spans="2:16" x14ac:dyDescent="0.25">
      <c r="B36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0" s="46"/>
      <c r="D3670" s="37"/>
      <c r="E3670" s="37"/>
      <c r="F3670" s="37"/>
      <c r="G3670" s="40" t="str">
        <f>IF(tblMovimientos[[#This Row],[Producto]]="","",TRIM(LEFT(tblMovimientos[[#This Row],[Producto]],FIND(" · ",tblMovimientos[[#This Row],[Producto]]&amp;" · ")-1)))</f>
        <v/>
      </c>
      <c r="H3670" s="40" t="str">
        <f>IF(tblMovimientos[[#This Row],[SKU]]="","",IFERROR(INDEX(tblProductos[Unidad],MATCH(tblMovimientos[[#This Row],[SKU]],tblProductos[SKU],0)),"?"))</f>
        <v/>
      </c>
      <c r="I3670" s="39"/>
      <c r="J3670" s="47" t="str">
        <f>IF(tblMovimientos[[#This Row],[Tipo]]="","",IFERROR(INDEX(tblTiposMov[FactorStock],MATCH(tblMovimientos[[#This Row],[Tipo]],tblTiposMov[Tipo],0)),0))</f>
        <v/>
      </c>
      <c r="K36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0" s="37"/>
      <c r="O3670" s="37"/>
      <c r="P3670" s="37"/>
    </row>
    <row r="3671" spans="2:16" x14ac:dyDescent="0.25">
      <c r="B36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1" s="46"/>
      <c r="D3671" s="37"/>
      <c r="E3671" s="37"/>
      <c r="F3671" s="37"/>
      <c r="G3671" s="40" t="str">
        <f>IF(tblMovimientos[[#This Row],[Producto]]="","",TRIM(LEFT(tblMovimientos[[#This Row],[Producto]],FIND(" · ",tblMovimientos[[#This Row],[Producto]]&amp;" · ")-1)))</f>
        <v/>
      </c>
      <c r="H3671" s="40" t="str">
        <f>IF(tblMovimientos[[#This Row],[SKU]]="","",IFERROR(INDEX(tblProductos[Unidad],MATCH(tblMovimientos[[#This Row],[SKU]],tblProductos[SKU],0)),"?"))</f>
        <v/>
      </c>
      <c r="I3671" s="39"/>
      <c r="J3671" s="47" t="str">
        <f>IF(tblMovimientos[[#This Row],[Tipo]]="","",IFERROR(INDEX(tblTiposMov[FactorStock],MATCH(tblMovimientos[[#This Row],[Tipo]],tblTiposMov[Tipo],0)),0))</f>
        <v/>
      </c>
      <c r="K36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1" s="37"/>
      <c r="O3671" s="37"/>
      <c r="P3671" s="37"/>
    </row>
    <row r="3672" spans="2:16" x14ac:dyDescent="0.25">
      <c r="B36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2" s="46"/>
      <c r="D3672" s="37"/>
      <c r="E3672" s="37"/>
      <c r="F3672" s="37"/>
      <c r="G3672" s="40" t="str">
        <f>IF(tblMovimientos[[#This Row],[Producto]]="","",TRIM(LEFT(tblMovimientos[[#This Row],[Producto]],FIND(" · ",tblMovimientos[[#This Row],[Producto]]&amp;" · ")-1)))</f>
        <v/>
      </c>
      <c r="H3672" s="40" t="str">
        <f>IF(tblMovimientos[[#This Row],[SKU]]="","",IFERROR(INDEX(tblProductos[Unidad],MATCH(tblMovimientos[[#This Row],[SKU]],tblProductos[SKU],0)),"?"))</f>
        <v/>
      </c>
      <c r="I3672" s="39"/>
      <c r="J3672" s="47" t="str">
        <f>IF(tblMovimientos[[#This Row],[Tipo]]="","",IFERROR(INDEX(tblTiposMov[FactorStock],MATCH(tblMovimientos[[#This Row],[Tipo]],tblTiposMov[Tipo],0)),0))</f>
        <v/>
      </c>
      <c r="K36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2" s="37"/>
      <c r="O3672" s="37"/>
      <c r="P3672" s="37"/>
    </row>
    <row r="3673" spans="2:16" x14ac:dyDescent="0.25">
      <c r="B36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3" s="46"/>
      <c r="D3673" s="37"/>
      <c r="E3673" s="37"/>
      <c r="F3673" s="37"/>
      <c r="G3673" s="40" t="str">
        <f>IF(tblMovimientos[[#This Row],[Producto]]="","",TRIM(LEFT(tblMovimientos[[#This Row],[Producto]],FIND(" · ",tblMovimientos[[#This Row],[Producto]]&amp;" · ")-1)))</f>
        <v/>
      </c>
      <c r="H3673" s="40" t="str">
        <f>IF(tblMovimientos[[#This Row],[SKU]]="","",IFERROR(INDEX(tblProductos[Unidad],MATCH(tblMovimientos[[#This Row],[SKU]],tblProductos[SKU],0)),"?"))</f>
        <v/>
      </c>
      <c r="I3673" s="39"/>
      <c r="J3673" s="47" t="str">
        <f>IF(tblMovimientos[[#This Row],[Tipo]]="","",IFERROR(INDEX(tblTiposMov[FactorStock],MATCH(tblMovimientos[[#This Row],[Tipo]],tblTiposMov[Tipo],0)),0))</f>
        <v/>
      </c>
      <c r="K36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3" s="37"/>
      <c r="O3673" s="37"/>
      <c r="P3673" s="37"/>
    </row>
    <row r="3674" spans="2:16" x14ac:dyDescent="0.25">
      <c r="B36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4" s="46"/>
      <c r="D3674" s="37"/>
      <c r="E3674" s="37"/>
      <c r="F3674" s="37"/>
      <c r="G3674" s="40" t="str">
        <f>IF(tblMovimientos[[#This Row],[Producto]]="","",TRIM(LEFT(tblMovimientos[[#This Row],[Producto]],FIND(" · ",tblMovimientos[[#This Row],[Producto]]&amp;" · ")-1)))</f>
        <v/>
      </c>
      <c r="H3674" s="40" t="str">
        <f>IF(tblMovimientos[[#This Row],[SKU]]="","",IFERROR(INDEX(tblProductos[Unidad],MATCH(tblMovimientos[[#This Row],[SKU]],tblProductos[SKU],0)),"?"))</f>
        <v/>
      </c>
      <c r="I3674" s="39"/>
      <c r="J3674" s="47" t="str">
        <f>IF(tblMovimientos[[#This Row],[Tipo]]="","",IFERROR(INDEX(tblTiposMov[FactorStock],MATCH(tblMovimientos[[#This Row],[Tipo]],tblTiposMov[Tipo],0)),0))</f>
        <v/>
      </c>
      <c r="K36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4" s="37"/>
      <c r="O3674" s="37"/>
      <c r="P3674" s="37"/>
    </row>
    <row r="3675" spans="2:16" x14ac:dyDescent="0.25">
      <c r="B36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5" s="46"/>
      <c r="D3675" s="37"/>
      <c r="E3675" s="37"/>
      <c r="F3675" s="37"/>
      <c r="G3675" s="40" t="str">
        <f>IF(tblMovimientos[[#This Row],[Producto]]="","",TRIM(LEFT(tblMovimientos[[#This Row],[Producto]],FIND(" · ",tblMovimientos[[#This Row],[Producto]]&amp;" · ")-1)))</f>
        <v/>
      </c>
      <c r="H3675" s="40" t="str">
        <f>IF(tblMovimientos[[#This Row],[SKU]]="","",IFERROR(INDEX(tblProductos[Unidad],MATCH(tblMovimientos[[#This Row],[SKU]],tblProductos[SKU],0)),"?"))</f>
        <v/>
      </c>
      <c r="I3675" s="39"/>
      <c r="J3675" s="47" t="str">
        <f>IF(tblMovimientos[[#This Row],[Tipo]]="","",IFERROR(INDEX(tblTiposMov[FactorStock],MATCH(tblMovimientos[[#This Row],[Tipo]],tblTiposMov[Tipo],0)),0))</f>
        <v/>
      </c>
      <c r="K36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5" s="37"/>
      <c r="O3675" s="37"/>
      <c r="P3675" s="37"/>
    </row>
    <row r="3676" spans="2:16" x14ac:dyDescent="0.25">
      <c r="B36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6" s="46"/>
      <c r="D3676" s="37"/>
      <c r="E3676" s="37"/>
      <c r="F3676" s="37"/>
      <c r="G3676" s="40" t="str">
        <f>IF(tblMovimientos[[#This Row],[Producto]]="","",TRIM(LEFT(tblMovimientos[[#This Row],[Producto]],FIND(" · ",tblMovimientos[[#This Row],[Producto]]&amp;" · ")-1)))</f>
        <v/>
      </c>
      <c r="H3676" s="40" t="str">
        <f>IF(tblMovimientos[[#This Row],[SKU]]="","",IFERROR(INDEX(tblProductos[Unidad],MATCH(tblMovimientos[[#This Row],[SKU]],tblProductos[SKU],0)),"?"))</f>
        <v/>
      </c>
      <c r="I3676" s="39"/>
      <c r="J3676" s="47" t="str">
        <f>IF(tblMovimientos[[#This Row],[Tipo]]="","",IFERROR(INDEX(tblTiposMov[FactorStock],MATCH(tblMovimientos[[#This Row],[Tipo]],tblTiposMov[Tipo],0)),0))</f>
        <v/>
      </c>
      <c r="K36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6" s="37"/>
      <c r="O3676" s="37"/>
      <c r="P3676" s="37"/>
    </row>
    <row r="3677" spans="2:16" x14ac:dyDescent="0.25">
      <c r="B36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7" s="46"/>
      <c r="D3677" s="37"/>
      <c r="E3677" s="37"/>
      <c r="F3677" s="37"/>
      <c r="G3677" s="40" t="str">
        <f>IF(tblMovimientos[[#This Row],[Producto]]="","",TRIM(LEFT(tblMovimientos[[#This Row],[Producto]],FIND(" · ",tblMovimientos[[#This Row],[Producto]]&amp;" · ")-1)))</f>
        <v/>
      </c>
      <c r="H3677" s="40" t="str">
        <f>IF(tblMovimientos[[#This Row],[SKU]]="","",IFERROR(INDEX(tblProductos[Unidad],MATCH(tblMovimientos[[#This Row],[SKU]],tblProductos[SKU],0)),"?"))</f>
        <v/>
      </c>
      <c r="I3677" s="39"/>
      <c r="J3677" s="47" t="str">
        <f>IF(tblMovimientos[[#This Row],[Tipo]]="","",IFERROR(INDEX(tblTiposMov[FactorStock],MATCH(tblMovimientos[[#This Row],[Tipo]],tblTiposMov[Tipo],0)),0))</f>
        <v/>
      </c>
      <c r="K36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7" s="37"/>
      <c r="O3677" s="37"/>
      <c r="P3677" s="37"/>
    </row>
    <row r="3678" spans="2:16" x14ac:dyDescent="0.25">
      <c r="B36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8" s="46"/>
      <c r="D3678" s="37"/>
      <c r="E3678" s="37"/>
      <c r="F3678" s="37"/>
      <c r="G3678" s="40" t="str">
        <f>IF(tblMovimientos[[#This Row],[Producto]]="","",TRIM(LEFT(tblMovimientos[[#This Row],[Producto]],FIND(" · ",tblMovimientos[[#This Row],[Producto]]&amp;" · ")-1)))</f>
        <v/>
      </c>
      <c r="H3678" s="40" t="str">
        <f>IF(tblMovimientos[[#This Row],[SKU]]="","",IFERROR(INDEX(tblProductos[Unidad],MATCH(tblMovimientos[[#This Row],[SKU]],tblProductos[SKU],0)),"?"))</f>
        <v/>
      </c>
      <c r="I3678" s="39"/>
      <c r="J3678" s="47" t="str">
        <f>IF(tblMovimientos[[#This Row],[Tipo]]="","",IFERROR(INDEX(tblTiposMov[FactorStock],MATCH(tblMovimientos[[#This Row],[Tipo]],tblTiposMov[Tipo],0)),0))</f>
        <v/>
      </c>
      <c r="K36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8" s="37"/>
      <c r="O3678" s="37"/>
      <c r="P3678" s="37"/>
    </row>
    <row r="3679" spans="2:16" x14ac:dyDescent="0.25">
      <c r="B36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79" s="46"/>
      <c r="D3679" s="37"/>
      <c r="E3679" s="37"/>
      <c r="F3679" s="37"/>
      <c r="G3679" s="40" t="str">
        <f>IF(tblMovimientos[[#This Row],[Producto]]="","",TRIM(LEFT(tblMovimientos[[#This Row],[Producto]],FIND(" · ",tblMovimientos[[#This Row],[Producto]]&amp;" · ")-1)))</f>
        <v/>
      </c>
      <c r="H3679" s="40" t="str">
        <f>IF(tblMovimientos[[#This Row],[SKU]]="","",IFERROR(INDEX(tblProductos[Unidad],MATCH(tblMovimientos[[#This Row],[SKU]],tblProductos[SKU],0)),"?"))</f>
        <v/>
      </c>
      <c r="I3679" s="39"/>
      <c r="J3679" s="47" t="str">
        <f>IF(tblMovimientos[[#This Row],[Tipo]]="","",IFERROR(INDEX(tblTiposMov[FactorStock],MATCH(tblMovimientos[[#This Row],[Tipo]],tblTiposMov[Tipo],0)),0))</f>
        <v/>
      </c>
      <c r="K36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79" s="37"/>
      <c r="O3679" s="37"/>
      <c r="P3679" s="37"/>
    </row>
    <row r="3680" spans="2:16" x14ac:dyDescent="0.25">
      <c r="B36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0" s="46"/>
      <c r="D3680" s="37"/>
      <c r="E3680" s="37"/>
      <c r="F3680" s="37"/>
      <c r="G3680" s="40" t="str">
        <f>IF(tblMovimientos[[#This Row],[Producto]]="","",TRIM(LEFT(tblMovimientos[[#This Row],[Producto]],FIND(" · ",tblMovimientos[[#This Row],[Producto]]&amp;" · ")-1)))</f>
        <v/>
      </c>
      <c r="H3680" s="40" t="str">
        <f>IF(tblMovimientos[[#This Row],[SKU]]="","",IFERROR(INDEX(tblProductos[Unidad],MATCH(tblMovimientos[[#This Row],[SKU]],tblProductos[SKU],0)),"?"))</f>
        <v/>
      </c>
      <c r="I3680" s="39"/>
      <c r="J3680" s="47" t="str">
        <f>IF(tblMovimientos[[#This Row],[Tipo]]="","",IFERROR(INDEX(tblTiposMov[FactorStock],MATCH(tblMovimientos[[#This Row],[Tipo]],tblTiposMov[Tipo],0)),0))</f>
        <v/>
      </c>
      <c r="K36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0" s="37"/>
      <c r="O3680" s="37"/>
      <c r="P3680" s="37"/>
    </row>
    <row r="3681" spans="2:16" x14ac:dyDescent="0.25">
      <c r="B36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1" s="46"/>
      <c r="D3681" s="37"/>
      <c r="E3681" s="37"/>
      <c r="F3681" s="37"/>
      <c r="G3681" s="40" t="str">
        <f>IF(tblMovimientos[[#This Row],[Producto]]="","",TRIM(LEFT(tblMovimientos[[#This Row],[Producto]],FIND(" · ",tblMovimientos[[#This Row],[Producto]]&amp;" · ")-1)))</f>
        <v/>
      </c>
      <c r="H3681" s="40" t="str">
        <f>IF(tblMovimientos[[#This Row],[SKU]]="","",IFERROR(INDEX(tblProductos[Unidad],MATCH(tblMovimientos[[#This Row],[SKU]],tblProductos[SKU],0)),"?"))</f>
        <v/>
      </c>
      <c r="I3681" s="39"/>
      <c r="J3681" s="47" t="str">
        <f>IF(tblMovimientos[[#This Row],[Tipo]]="","",IFERROR(INDEX(tblTiposMov[FactorStock],MATCH(tblMovimientos[[#This Row],[Tipo]],tblTiposMov[Tipo],0)),0))</f>
        <v/>
      </c>
      <c r="K36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1" s="37"/>
      <c r="O3681" s="37"/>
      <c r="P3681" s="37"/>
    </row>
    <row r="3682" spans="2:16" x14ac:dyDescent="0.25">
      <c r="B36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2" s="46"/>
      <c r="D3682" s="37"/>
      <c r="E3682" s="37"/>
      <c r="F3682" s="37"/>
      <c r="G3682" s="40" t="str">
        <f>IF(tblMovimientos[[#This Row],[Producto]]="","",TRIM(LEFT(tblMovimientos[[#This Row],[Producto]],FIND(" · ",tblMovimientos[[#This Row],[Producto]]&amp;" · ")-1)))</f>
        <v/>
      </c>
      <c r="H3682" s="40" t="str">
        <f>IF(tblMovimientos[[#This Row],[SKU]]="","",IFERROR(INDEX(tblProductos[Unidad],MATCH(tblMovimientos[[#This Row],[SKU]],tblProductos[SKU],0)),"?"))</f>
        <v/>
      </c>
      <c r="I3682" s="39"/>
      <c r="J3682" s="47" t="str">
        <f>IF(tblMovimientos[[#This Row],[Tipo]]="","",IFERROR(INDEX(tblTiposMov[FactorStock],MATCH(tblMovimientos[[#This Row],[Tipo]],tblTiposMov[Tipo],0)),0))</f>
        <v/>
      </c>
      <c r="K36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2" s="37"/>
      <c r="O3682" s="37"/>
      <c r="P3682" s="37"/>
    </row>
    <row r="3683" spans="2:16" x14ac:dyDescent="0.25">
      <c r="B36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3" s="46"/>
      <c r="D3683" s="37"/>
      <c r="E3683" s="37"/>
      <c r="F3683" s="37"/>
      <c r="G3683" s="40" t="str">
        <f>IF(tblMovimientos[[#This Row],[Producto]]="","",TRIM(LEFT(tblMovimientos[[#This Row],[Producto]],FIND(" · ",tblMovimientos[[#This Row],[Producto]]&amp;" · ")-1)))</f>
        <v/>
      </c>
      <c r="H3683" s="40" t="str">
        <f>IF(tblMovimientos[[#This Row],[SKU]]="","",IFERROR(INDEX(tblProductos[Unidad],MATCH(tblMovimientos[[#This Row],[SKU]],tblProductos[SKU],0)),"?"))</f>
        <v/>
      </c>
      <c r="I3683" s="39"/>
      <c r="J3683" s="47" t="str">
        <f>IF(tblMovimientos[[#This Row],[Tipo]]="","",IFERROR(INDEX(tblTiposMov[FactorStock],MATCH(tblMovimientos[[#This Row],[Tipo]],tblTiposMov[Tipo],0)),0))</f>
        <v/>
      </c>
      <c r="K36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3" s="37"/>
      <c r="O3683" s="37"/>
      <c r="P3683" s="37"/>
    </row>
    <row r="3684" spans="2:16" x14ac:dyDescent="0.25">
      <c r="B36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4" s="46"/>
      <c r="D3684" s="37"/>
      <c r="E3684" s="37"/>
      <c r="F3684" s="37"/>
      <c r="G3684" s="40" t="str">
        <f>IF(tblMovimientos[[#This Row],[Producto]]="","",TRIM(LEFT(tblMovimientos[[#This Row],[Producto]],FIND(" · ",tblMovimientos[[#This Row],[Producto]]&amp;" · ")-1)))</f>
        <v/>
      </c>
      <c r="H3684" s="40" t="str">
        <f>IF(tblMovimientos[[#This Row],[SKU]]="","",IFERROR(INDEX(tblProductos[Unidad],MATCH(tblMovimientos[[#This Row],[SKU]],tblProductos[SKU],0)),"?"))</f>
        <v/>
      </c>
      <c r="I3684" s="39"/>
      <c r="J3684" s="47" t="str">
        <f>IF(tblMovimientos[[#This Row],[Tipo]]="","",IFERROR(INDEX(tblTiposMov[FactorStock],MATCH(tblMovimientos[[#This Row],[Tipo]],tblTiposMov[Tipo],0)),0))</f>
        <v/>
      </c>
      <c r="K36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4" s="37"/>
      <c r="O3684" s="37"/>
      <c r="P3684" s="37"/>
    </row>
    <row r="3685" spans="2:16" x14ac:dyDescent="0.25">
      <c r="B36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5" s="46"/>
      <c r="D3685" s="37"/>
      <c r="E3685" s="37"/>
      <c r="F3685" s="37"/>
      <c r="G3685" s="40" t="str">
        <f>IF(tblMovimientos[[#This Row],[Producto]]="","",TRIM(LEFT(tblMovimientos[[#This Row],[Producto]],FIND(" · ",tblMovimientos[[#This Row],[Producto]]&amp;" · ")-1)))</f>
        <v/>
      </c>
      <c r="H3685" s="40" t="str">
        <f>IF(tblMovimientos[[#This Row],[SKU]]="","",IFERROR(INDEX(tblProductos[Unidad],MATCH(tblMovimientos[[#This Row],[SKU]],tblProductos[SKU],0)),"?"))</f>
        <v/>
      </c>
      <c r="I3685" s="39"/>
      <c r="J3685" s="47" t="str">
        <f>IF(tblMovimientos[[#This Row],[Tipo]]="","",IFERROR(INDEX(tblTiposMov[FactorStock],MATCH(tblMovimientos[[#This Row],[Tipo]],tblTiposMov[Tipo],0)),0))</f>
        <v/>
      </c>
      <c r="K36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5" s="37"/>
      <c r="O3685" s="37"/>
      <c r="P3685" s="37"/>
    </row>
    <row r="3686" spans="2:16" x14ac:dyDescent="0.25">
      <c r="B36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6" s="46"/>
      <c r="D3686" s="37"/>
      <c r="E3686" s="37"/>
      <c r="F3686" s="37"/>
      <c r="G3686" s="40" t="str">
        <f>IF(tblMovimientos[[#This Row],[Producto]]="","",TRIM(LEFT(tblMovimientos[[#This Row],[Producto]],FIND(" · ",tblMovimientos[[#This Row],[Producto]]&amp;" · ")-1)))</f>
        <v/>
      </c>
      <c r="H3686" s="40" t="str">
        <f>IF(tblMovimientos[[#This Row],[SKU]]="","",IFERROR(INDEX(tblProductos[Unidad],MATCH(tblMovimientos[[#This Row],[SKU]],tblProductos[SKU],0)),"?"))</f>
        <v/>
      </c>
      <c r="I3686" s="39"/>
      <c r="J3686" s="47" t="str">
        <f>IF(tblMovimientos[[#This Row],[Tipo]]="","",IFERROR(INDEX(tblTiposMov[FactorStock],MATCH(tblMovimientos[[#This Row],[Tipo]],tblTiposMov[Tipo],0)),0))</f>
        <v/>
      </c>
      <c r="K36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6" s="37"/>
      <c r="O3686" s="37"/>
      <c r="P3686" s="37"/>
    </row>
    <row r="3687" spans="2:16" x14ac:dyDescent="0.25">
      <c r="B36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7" s="46"/>
      <c r="D3687" s="37"/>
      <c r="E3687" s="37"/>
      <c r="F3687" s="37"/>
      <c r="G3687" s="40" t="str">
        <f>IF(tblMovimientos[[#This Row],[Producto]]="","",TRIM(LEFT(tblMovimientos[[#This Row],[Producto]],FIND(" · ",tblMovimientos[[#This Row],[Producto]]&amp;" · ")-1)))</f>
        <v/>
      </c>
      <c r="H3687" s="40" t="str">
        <f>IF(tblMovimientos[[#This Row],[SKU]]="","",IFERROR(INDEX(tblProductos[Unidad],MATCH(tblMovimientos[[#This Row],[SKU]],tblProductos[SKU],0)),"?"))</f>
        <v/>
      </c>
      <c r="I3687" s="39"/>
      <c r="J3687" s="47" t="str">
        <f>IF(tblMovimientos[[#This Row],[Tipo]]="","",IFERROR(INDEX(tblTiposMov[FactorStock],MATCH(tblMovimientos[[#This Row],[Tipo]],tblTiposMov[Tipo],0)),0))</f>
        <v/>
      </c>
      <c r="K36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7" s="37"/>
      <c r="O3687" s="37"/>
      <c r="P3687" s="37"/>
    </row>
    <row r="3688" spans="2:16" x14ac:dyDescent="0.25">
      <c r="B36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8" s="46"/>
      <c r="D3688" s="37"/>
      <c r="E3688" s="37"/>
      <c r="F3688" s="37"/>
      <c r="G3688" s="40" t="str">
        <f>IF(tblMovimientos[[#This Row],[Producto]]="","",TRIM(LEFT(tblMovimientos[[#This Row],[Producto]],FIND(" · ",tblMovimientos[[#This Row],[Producto]]&amp;" · ")-1)))</f>
        <v/>
      </c>
      <c r="H3688" s="40" t="str">
        <f>IF(tblMovimientos[[#This Row],[SKU]]="","",IFERROR(INDEX(tblProductos[Unidad],MATCH(tblMovimientos[[#This Row],[SKU]],tblProductos[SKU],0)),"?"))</f>
        <v/>
      </c>
      <c r="I3688" s="39"/>
      <c r="J3688" s="47" t="str">
        <f>IF(tblMovimientos[[#This Row],[Tipo]]="","",IFERROR(INDEX(tblTiposMov[FactorStock],MATCH(tblMovimientos[[#This Row],[Tipo]],tblTiposMov[Tipo],0)),0))</f>
        <v/>
      </c>
      <c r="K36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8" s="37"/>
      <c r="O3688" s="37"/>
      <c r="P3688" s="37"/>
    </row>
    <row r="3689" spans="2:16" x14ac:dyDescent="0.25">
      <c r="B36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89" s="46"/>
      <c r="D3689" s="37"/>
      <c r="E3689" s="37"/>
      <c r="F3689" s="37"/>
      <c r="G3689" s="40" t="str">
        <f>IF(tblMovimientos[[#This Row],[Producto]]="","",TRIM(LEFT(tblMovimientos[[#This Row],[Producto]],FIND(" · ",tblMovimientos[[#This Row],[Producto]]&amp;" · ")-1)))</f>
        <v/>
      </c>
      <c r="H3689" s="40" t="str">
        <f>IF(tblMovimientos[[#This Row],[SKU]]="","",IFERROR(INDEX(tblProductos[Unidad],MATCH(tblMovimientos[[#This Row],[SKU]],tblProductos[SKU],0)),"?"))</f>
        <v/>
      </c>
      <c r="I3689" s="39"/>
      <c r="J3689" s="47" t="str">
        <f>IF(tblMovimientos[[#This Row],[Tipo]]="","",IFERROR(INDEX(tblTiposMov[FactorStock],MATCH(tblMovimientos[[#This Row],[Tipo]],tblTiposMov[Tipo],0)),0))</f>
        <v/>
      </c>
      <c r="K36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89" s="37"/>
      <c r="O3689" s="37"/>
      <c r="P3689" s="37"/>
    </row>
    <row r="3690" spans="2:16" x14ac:dyDescent="0.25">
      <c r="B36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0" s="46"/>
      <c r="D3690" s="37"/>
      <c r="E3690" s="37"/>
      <c r="F3690" s="37"/>
      <c r="G3690" s="40" t="str">
        <f>IF(tblMovimientos[[#This Row],[Producto]]="","",TRIM(LEFT(tblMovimientos[[#This Row],[Producto]],FIND(" · ",tblMovimientos[[#This Row],[Producto]]&amp;" · ")-1)))</f>
        <v/>
      </c>
      <c r="H3690" s="40" t="str">
        <f>IF(tblMovimientos[[#This Row],[SKU]]="","",IFERROR(INDEX(tblProductos[Unidad],MATCH(tblMovimientos[[#This Row],[SKU]],tblProductos[SKU],0)),"?"))</f>
        <v/>
      </c>
      <c r="I3690" s="39"/>
      <c r="J3690" s="47" t="str">
        <f>IF(tblMovimientos[[#This Row],[Tipo]]="","",IFERROR(INDEX(tblTiposMov[FactorStock],MATCH(tblMovimientos[[#This Row],[Tipo]],tblTiposMov[Tipo],0)),0))</f>
        <v/>
      </c>
      <c r="K36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0" s="37"/>
      <c r="O3690" s="37"/>
      <c r="P3690" s="37"/>
    </row>
    <row r="3691" spans="2:16" x14ac:dyDescent="0.25">
      <c r="B36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1" s="46"/>
      <c r="D3691" s="37"/>
      <c r="E3691" s="37"/>
      <c r="F3691" s="37"/>
      <c r="G3691" s="40" t="str">
        <f>IF(tblMovimientos[[#This Row],[Producto]]="","",TRIM(LEFT(tblMovimientos[[#This Row],[Producto]],FIND(" · ",tblMovimientos[[#This Row],[Producto]]&amp;" · ")-1)))</f>
        <v/>
      </c>
      <c r="H3691" s="40" t="str">
        <f>IF(tblMovimientos[[#This Row],[SKU]]="","",IFERROR(INDEX(tblProductos[Unidad],MATCH(tblMovimientos[[#This Row],[SKU]],tblProductos[SKU],0)),"?"))</f>
        <v/>
      </c>
      <c r="I3691" s="39"/>
      <c r="J3691" s="47" t="str">
        <f>IF(tblMovimientos[[#This Row],[Tipo]]="","",IFERROR(INDEX(tblTiposMov[FactorStock],MATCH(tblMovimientos[[#This Row],[Tipo]],tblTiposMov[Tipo],0)),0))</f>
        <v/>
      </c>
      <c r="K36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1" s="37"/>
      <c r="O3691" s="37"/>
      <c r="P3691" s="37"/>
    </row>
    <row r="3692" spans="2:16" x14ac:dyDescent="0.25">
      <c r="B36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2" s="46"/>
      <c r="D3692" s="37"/>
      <c r="E3692" s="37"/>
      <c r="F3692" s="37"/>
      <c r="G3692" s="40" t="str">
        <f>IF(tblMovimientos[[#This Row],[Producto]]="","",TRIM(LEFT(tblMovimientos[[#This Row],[Producto]],FIND(" · ",tblMovimientos[[#This Row],[Producto]]&amp;" · ")-1)))</f>
        <v/>
      </c>
      <c r="H3692" s="40" t="str">
        <f>IF(tblMovimientos[[#This Row],[SKU]]="","",IFERROR(INDEX(tblProductos[Unidad],MATCH(tblMovimientos[[#This Row],[SKU]],tblProductos[SKU],0)),"?"))</f>
        <v/>
      </c>
      <c r="I3692" s="39"/>
      <c r="J3692" s="47" t="str">
        <f>IF(tblMovimientos[[#This Row],[Tipo]]="","",IFERROR(INDEX(tblTiposMov[FactorStock],MATCH(tblMovimientos[[#This Row],[Tipo]],tblTiposMov[Tipo],0)),0))</f>
        <v/>
      </c>
      <c r="K36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2" s="37"/>
      <c r="O3692" s="37"/>
      <c r="P3692" s="37"/>
    </row>
    <row r="3693" spans="2:16" x14ac:dyDescent="0.25">
      <c r="B36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3" s="46"/>
      <c r="D3693" s="37"/>
      <c r="E3693" s="37"/>
      <c r="F3693" s="37"/>
      <c r="G3693" s="40" t="str">
        <f>IF(tblMovimientos[[#This Row],[Producto]]="","",TRIM(LEFT(tblMovimientos[[#This Row],[Producto]],FIND(" · ",tblMovimientos[[#This Row],[Producto]]&amp;" · ")-1)))</f>
        <v/>
      </c>
      <c r="H3693" s="40" t="str">
        <f>IF(tblMovimientos[[#This Row],[SKU]]="","",IFERROR(INDEX(tblProductos[Unidad],MATCH(tblMovimientos[[#This Row],[SKU]],tblProductos[SKU],0)),"?"))</f>
        <v/>
      </c>
      <c r="I3693" s="39"/>
      <c r="J3693" s="47" t="str">
        <f>IF(tblMovimientos[[#This Row],[Tipo]]="","",IFERROR(INDEX(tblTiposMov[FactorStock],MATCH(tblMovimientos[[#This Row],[Tipo]],tblTiposMov[Tipo],0)),0))</f>
        <v/>
      </c>
      <c r="K36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3" s="37"/>
      <c r="O3693" s="37"/>
      <c r="P3693" s="37"/>
    </row>
    <row r="3694" spans="2:16" x14ac:dyDescent="0.25">
      <c r="B36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4" s="46"/>
      <c r="D3694" s="37"/>
      <c r="E3694" s="37"/>
      <c r="F3694" s="37"/>
      <c r="G3694" s="40" t="str">
        <f>IF(tblMovimientos[[#This Row],[Producto]]="","",TRIM(LEFT(tblMovimientos[[#This Row],[Producto]],FIND(" · ",tblMovimientos[[#This Row],[Producto]]&amp;" · ")-1)))</f>
        <v/>
      </c>
      <c r="H3694" s="40" t="str">
        <f>IF(tblMovimientos[[#This Row],[SKU]]="","",IFERROR(INDEX(tblProductos[Unidad],MATCH(tblMovimientos[[#This Row],[SKU]],tblProductos[SKU],0)),"?"))</f>
        <v/>
      </c>
      <c r="I3694" s="39"/>
      <c r="J3694" s="47" t="str">
        <f>IF(tblMovimientos[[#This Row],[Tipo]]="","",IFERROR(INDEX(tblTiposMov[FactorStock],MATCH(tblMovimientos[[#This Row],[Tipo]],tblTiposMov[Tipo],0)),0))</f>
        <v/>
      </c>
      <c r="K36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4" s="37"/>
      <c r="O3694" s="37"/>
      <c r="P3694" s="37"/>
    </row>
    <row r="3695" spans="2:16" x14ac:dyDescent="0.25">
      <c r="B36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5" s="46"/>
      <c r="D3695" s="37"/>
      <c r="E3695" s="37"/>
      <c r="F3695" s="37"/>
      <c r="G3695" s="40" t="str">
        <f>IF(tblMovimientos[[#This Row],[Producto]]="","",TRIM(LEFT(tblMovimientos[[#This Row],[Producto]],FIND(" · ",tblMovimientos[[#This Row],[Producto]]&amp;" · ")-1)))</f>
        <v/>
      </c>
      <c r="H3695" s="40" t="str">
        <f>IF(tblMovimientos[[#This Row],[SKU]]="","",IFERROR(INDEX(tblProductos[Unidad],MATCH(tblMovimientos[[#This Row],[SKU]],tblProductos[SKU],0)),"?"))</f>
        <v/>
      </c>
      <c r="I3695" s="39"/>
      <c r="J3695" s="47" t="str">
        <f>IF(tblMovimientos[[#This Row],[Tipo]]="","",IFERROR(INDEX(tblTiposMov[FactorStock],MATCH(tblMovimientos[[#This Row],[Tipo]],tblTiposMov[Tipo],0)),0))</f>
        <v/>
      </c>
      <c r="K36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5" s="37"/>
      <c r="O3695" s="37"/>
      <c r="P3695" s="37"/>
    </row>
    <row r="3696" spans="2:16" x14ac:dyDescent="0.25">
      <c r="B36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6" s="46"/>
      <c r="D3696" s="37"/>
      <c r="E3696" s="37"/>
      <c r="F3696" s="37"/>
      <c r="G3696" s="40" t="str">
        <f>IF(tblMovimientos[[#This Row],[Producto]]="","",TRIM(LEFT(tblMovimientos[[#This Row],[Producto]],FIND(" · ",tblMovimientos[[#This Row],[Producto]]&amp;" · ")-1)))</f>
        <v/>
      </c>
      <c r="H3696" s="40" t="str">
        <f>IF(tblMovimientos[[#This Row],[SKU]]="","",IFERROR(INDEX(tblProductos[Unidad],MATCH(tblMovimientos[[#This Row],[SKU]],tblProductos[SKU],0)),"?"))</f>
        <v/>
      </c>
      <c r="I3696" s="39"/>
      <c r="J3696" s="47" t="str">
        <f>IF(tblMovimientos[[#This Row],[Tipo]]="","",IFERROR(INDEX(tblTiposMov[FactorStock],MATCH(tblMovimientos[[#This Row],[Tipo]],tblTiposMov[Tipo],0)),0))</f>
        <v/>
      </c>
      <c r="K36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6" s="37"/>
      <c r="O3696" s="37"/>
      <c r="P3696" s="37"/>
    </row>
    <row r="3697" spans="2:16" x14ac:dyDescent="0.25">
      <c r="B36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7" s="46"/>
      <c r="D3697" s="37"/>
      <c r="E3697" s="37"/>
      <c r="F3697" s="37"/>
      <c r="G3697" s="40" t="str">
        <f>IF(tblMovimientos[[#This Row],[Producto]]="","",TRIM(LEFT(tblMovimientos[[#This Row],[Producto]],FIND(" · ",tblMovimientos[[#This Row],[Producto]]&amp;" · ")-1)))</f>
        <v/>
      </c>
      <c r="H3697" s="40" t="str">
        <f>IF(tblMovimientos[[#This Row],[SKU]]="","",IFERROR(INDEX(tblProductos[Unidad],MATCH(tblMovimientos[[#This Row],[SKU]],tblProductos[SKU],0)),"?"))</f>
        <v/>
      </c>
      <c r="I3697" s="39"/>
      <c r="J3697" s="47" t="str">
        <f>IF(tblMovimientos[[#This Row],[Tipo]]="","",IFERROR(INDEX(tblTiposMov[FactorStock],MATCH(tblMovimientos[[#This Row],[Tipo]],tblTiposMov[Tipo],0)),0))</f>
        <v/>
      </c>
      <c r="K36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7" s="37"/>
      <c r="O3697" s="37"/>
      <c r="P3697" s="37"/>
    </row>
    <row r="3698" spans="2:16" x14ac:dyDescent="0.25">
      <c r="B36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8" s="46"/>
      <c r="D3698" s="37"/>
      <c r="E3698" s="37"/>
      <c r="F3698" s="37"/>
      <c r="G3698" s="40" t="str">
        <f>IF(tblMovimientos[[#This Row],[Producto]]="","",TRIM(LEFT(tblMovimientos[[#This Row],[Producto]],FIND(" · ",tblMovimientos[[#This Row],[Producto]]&amp;" · ")-1)))</f>
        <v/>
      </c>
      <c r="H3698" s="40" t="str">
        <f>IF(tblMovimientos[[#This Row],[SKU]]="","",IFERROR(INDEX(tblProductos[Unidad],MATCH(tblMovimientos[[#This Row],[SKU]],tblProductos[SKU],0)),"?"))</f>
        <v/>
      </c>
      <c r="I3698" s="39"/>
      <c r="J3698" s="47" t="str">
        <f>IF(tblMovimientos[[#This Row],[Tipo]]="","",IFERROR(INDEX(tblTiposMov[FactorStock],MATCH(tblMovimientos[[#This Row],[Tipo]],tblTiposMov[Tipo],0)),0))</f>
        <v/>
      </c>
      <c r="K36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8" s="37"/>
      <c r="O3698" s="37"/>
      <c r="P3698" s="37"/>
    </row>
    <row r="3699" spans="2:16" x14ac:dyDescent="0.25">
      <c r="B36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699" s="46"/>
      <c r="D3699" s="37"/>
      <c r="E3699" s="37"/>
      <c r="F3699" s="37"/>
      <c r="G3699" s="40" t="str">
        <f>IF(tblMovimientos[[#This Row],[Producto]]="","",TRIM(LEFT(tblMovimientos[[#This Row],[Producto]],FIND(" · ",tblMovimientos[[#This Row],[Producto]]&amp;" · ")-1)))</f>
        <v/>
      </c>
      <c r="H3699" s="40" t="str">
        <f>IF(tblMovimientos[[#This Row],[SKU]]="","",IFERROR(INDEX(tblProductos[Unidad],MATCH(tblMovimientos[[#This Row],[SKU]],tblProductos[SKU],0)),"?"))</f>
        <v/>
      </c>
      <c r="I3699" s="39"/>
      <c r="J3699" s="47" t="str">
        <f>IF(tblMovimientos[[#This Row],[Tipo]]="","",IFERROR(INDEX(tblTiposMov[FactorStock],MATCH(tblMovimientos[[#This Row],[Tipo]],tblTiposMov[Tipo],0)),0))</f>
        <v/>
      </c>
      <c r="K36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6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699" s="37"/>
      <c r="O3699" s="37"/>
      <c r="P3699" s="37"/>
    </row>
    <row r="3700" spans="2:16" x14ac:dyDescent="0.25">
      <c r="B37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0" s="46"/>
      <c r="D3700" s="37"/>
      <c r="E3700" s="37"/>
      <c r="F3700" s="37"/>
      <c r="G3700" s="40" t="str">
        <f>IF(tblMovimientos[[#This Row],[Producto]]="","",TRIM(LEFT(tblMovimientos[[#This Row],[Producto]],FIND(" · ",tblMovimientos[[#This Row],[Producto]]&amp;" · ")-1)))</f>
        <v/>
      </c>
      <c r="H3700" s="40" t="str">
        <f>IF(tblMovimientos[[#This Row],[SKU]]="","",IFERROR(INDEX(tblProductos[Unidad],MATCH(tblMovimientos[[#This Row],[SKU]],tblProductos[SKU],0)),"?"))</f>
        <v/>
      </c>
      <c r="I3700" s="39"/>
      <c r="J3700" s="47" t="str">
        <f>IF(tblMovimientos[[#This Row],[Tipo]]="","",IFERROR(INDEX(tblTiposMov[FactorStock],MATCH(tblMovimientos[[#This Row],[Tipo]],tblTiposMov[Tipo],0)),0))</f>
        <v/>
      </c>
      <c r="K37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0" s="37"/>
      <c r="O3700" s="37"/>
      <c r="P3700" s="37"/>
    </row>
    <row r="3701" spans="2:16" x14ac:dyDescent="0.25">
      <c r="B37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1" s="46"/>
      <c r="D3701" s="37"/>
      <c r="E3701" s="37"/>
      <c r="F3701" s="37"/>
      <c r="G3701" s="40" t="str">
        <f>IF(tblMovimientos[[#This Row],[Producto]]="","",TRIM(LEFT(tblMovimientos[[#This Row],[Producto]],FIND(" · ",tblMovimientos[[#This Row],[Producto]]&amp;" · ")-1)))</f>
        <v/>
      </c>
      <c r="H3701" s="40" t="str">
        <f>IF(tblMovimientos[[#This Row],[SKU]]="","",IFERROR(INDEX(tblProductos[Unidad],MATCH(tblMovimientos[[#This Row],[SKU]],tblProductos[SKU],0)),"?"))</f>
        <v/>
      </c>
      <c r="I3701" s="39"/>
      <c r="J3701" s="47" t="str">
        <f>IF(tblMovimientos[[#This Row],[Tipo]]="","",IFERROR(INDEX(tblTiposMov[FactorStock],MATCH(tblMovimientos[[#This Row],[Tipo]],tblTiposMov[Tipo],0)),0))</f>
        <v/>
      </c>
      <c r="K37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1" s="37"/>
      <c r="O3701" s="37"/>
      <c r="P3701" s="37"/>
    </row>
    <row r="3702" spans="2:16" x14ac:dyDescent="0.25">
      <c r="B37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2" s="46"/>
      <c r="D3702" s="37"/>
      <c r="E3702" s="37"/>
      <c r="F3702" s="37"/>
      <c r="G3702" s="40" t="str">
        <f>IF(tblMovimientos[[#This Row],[Producto]]="","",TRIM(LEFT(tblMovimientos[[#This Row],[Producto]],FIND(" · ",tblMovimientos[[#This Row],[Producto]]&amp;" · ")-1)))</f>
        <v/>
      </c>
      <c r="H3702" s="40" t="str">
        <f>IF(tblMovimientos[[#This Row],[SKU]]="","",IFERROR(INDEX(tblProductos[Unidad],MATCH(tblMovimientos[[#This Row],[SKU]],tblProductos[SKU],0)),"?"))</f>
        <v/>
      </c>
      <c r="I3702" s="39"/>
      <c r="J3702" s="47" t="str">
        <f>IF(tblMovimientos[[#This Row],[Tipo]]="","",IFERROR(INDEX(tblTiposMov[FactorStock],MATCH(tblMovimientos[[#This Row],[Tipo]],tblTiposMov[Tipo],0)),0))</f>
        <v/>
      </c>
      <c r="K37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2" s="37"/>
      <c r="O3702" s="37"/>
      <c r="P3702" s="37"/>
    </row>
    <row r="3703" spans="2:16" x14ac:dyDescent="0.25">
      <c r="B37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3" s="46"/>
      <c r="D3703" s="37"/>
      <c r="E3703" s="37"/>
      <c r="F3703" s="37"/>
      <c r="G3703" s="40" t="str">
        <f>IF(tblMovimientos[[#This Row],[Producto]]="","",TRIM(LEFT(tblMovimientos[[#This Row],[Producto]],FIND(" · ",tblMovimientos[[#This Row],[Producto]]&amp;" · ")-1)))</f>
        <v/>
      </c>
      <c r="H3703" s="40" t="str">
        <f>IF(tblMovimientos[[#This Row],[SKU]]="","",IFERROR(INDEX(tblProductos[Unidad],MATCH(tblMovimientos[[#This Row],[SKU]],tblProductos[SKU],0)),"?"))</f>
        <v/>
      </c>
      <c r="I3703" s="39"/>
      <c r="J3703" s="47" t="str">
        <f>IF(tblMovimientos[[#This Row],[Tipo]]="","",IFERROR(INDEX(tblTiposMov[FactorStock],MATCH(tblMovimientos[[#This Row],[Tipo]],tblTiposMov[Tipo],0)),0))</f>
        <v/>
      </c>
      <c r="K37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3" s="37"/>
      <c r="O3703" s="37"/>
      <c r="P3703" s="37"/>
    </row>
    <row r="3704" spans="2:16" x14ac:dyDescent="0.25">
      <c r="B37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4" s="46"/>
      <c r="D3704" s="37"/>
      <c r="E3704" s="37"/>
      <c r="F3704" s="37"/>
      <c r="G3704" s="40" t="str">
        <f>IF(tblMovimientos[[#This Row],[Producto]]="","",TRIM(LEFT(tblMovimientos[[#This Row],[Producto]],FIND(" · ",tblMovimientos[[#This Row],[Producto]]&amp;" · ")-1)))</f>
        <v/>
      </c>
      <c r="H3704" s="40" t="str">
        <f>IF(tblMovimientos[[#This Row],[SKU]]="","",IFERROR(INDEX(tblProductos[Unidad],MATCH(tblMovimientos[[#This Row],[SKU]],tblProductos[SKU],0)),"?"))</f>
        <v/>
      </c>
      <c r="I3704" s="39"/>
      <c r="J3704" s="47" t="str">
        <f>IF(tblMovimientos[[#This Row],[Tipo]]="","",IFERROR(INDEX(tblTiposMov[FactorStock],MATCH(tblMovimientos[[#This Row],[Tipo]],tblTiposMov[Tipo],0)),0))</f>
        <v/>
      </c>
      <c r="K37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4" s="37"/>
      <c r="O3704" s="37"/>
      <c r="P3704" s="37"/>
    </row>
    <row r="3705" spans="2:16" x14ac:dyDescent="0.25">
      <c r="B37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5" s="46"/>
      <c r="D3705" s="37"/>
      <c r="E3705" s="37"/>
      <c r="F3705" s="37"/>
      <c r="G3705" s="40" t="str">
        <f>IF(tblMovimientos[[#This Row],[Producto]]="","",TRIM(LEFT(tblMovimientos[[#This Row],[Producto]],FIND(" · ",tblMovimientos[[#This Row],[Producto]]&amp;" · ")-1)))</f>
        <v/>
      </c>
      <c r="H3705" s="40" t="str">
        <f>IF(tblMovimientos[[#This Row],[SKU]]="","",IFERROR(INDEX(tblProductos[Unidad],MATCH(tblMovimientos[[#This Row],[SKU]],tblProductos[SKU],0)),"?"))</f>
        <v/>
      </c>
      <c r="I3705" s="39"/>
      <c r="J3705" s="47" t="str">
        <f>IF(tblMovimientos[[#This Row],[Tipo]]="","",IFERROR(INDEX(tblTiposMov[FactorStock],MATCH(tblMovimientos[[#This Row],[Tipo]],tblTiposMov[Tipo],0)),0))</f>
        <v/>
      </c>
      <c r="K37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5" s="37"/>
      <c r="O3705" s="37"/>
      <c r="P3705" s="37"/>
    </row>
    <row r="3706" spans="2:16" x14ac:dyDescent="0.25">
      <c r="B37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6" s="46"/>
      <c r="D3706" s="37"/>
      <c r="E3706" s="37"/>
      <c r="F3706" s="37"/>
      <c r="G3706" s="40" t="str">
        <f>IF(tblMovimientos[[#This Row],[Producto]]="","",TRIM(LEFT(tblMovimientos[[#This Row],[Producto]],FIND(" · ",tblMovimientos[[#This Row],[Producto]]&amp;" · ")-1)))</f>
        <v/>
      </c>
      <c r="H3706" s="40" t="str">
        <f>IF(tblMovimientos[[#This Row],[SKU]]="","",IFERROR(INDEX(tblProductos[Unidad],MATCH(tblMovimientos[[#This Row],[SKU]],tblProductos[SKU],0)),"?"))</f>
        <v/>
      </c>
      <c r="I3706" s="39"/>
      <c r="J3706" s="47" t="str">
        <f>IF(tblMovimientos[[#This Row],[Tipo]]="","",IFERROR(INDEX(tblTiposMov[FactorStock],MATCH(tblMovimientos[[#This Row],[Tipo]],tblTiposMov[Tipo],0)),0))</f>
        <v/>
      </c>
      <c r="K37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6" s="37"/>
      <c r="O3706" s="37"/>
      <c r="P3706" s="37"/>
    </row>
    <row r="3707" spans="2:16" x14ac:dyDescent="0.25">
      <c r="B37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7" s="46"/>
      <c r="D3707" s="37"/>
      <c r="E3707" s="37"/>
      <c r="F3707" s="37"/>
      <c r="G3707" s="40" t="str">
        <f>IF(tblMovimientos[[#This Row],[Producto]]="","",TRIM(LEFT(tblMovimientos[[#This Row],[Producto]],FIND(" · ",tblMovimientos[[#This Row],[Producto]]&amp;" · ")-1)))</f>
        <v/>
      </c>
      <c r="H3707" s="40" t="str">
        <f>IF(tblMovimientos[[#This Row],[SKU]]="","",IFERROR(INDEX(tblProductos[Unidad],MATCH(tblMovimientos[[#This Row],[SKU]],tblProductos[SKU],0)),"?"))</f>
        <v/>
      </c>
      <c r="I3707" s="39"/>
      <c r="J3707" s="47" t="str">
        <f>IF(tblMovimientos[[#This Row],[Tipo]]="","",IFERROR(INDEX(tblTiposMov[FactorStock],MATCH(tblMovimientos[[#This Row],[Tipo]],tblTiposMov[Tipo],0)),0))</f>
        <v/>
      </c>
      <c r="K37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7" s="37"/>
      <c r="O3707" s="37"/>
      <c r="P3707" s="37"/>
    </row>
    <row r="3708" spans="2:16" x14ac:dyDescent="0.25">
      <c r="B37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8" s="46"/>
      <c r="D3708" s="37"/>
      <c r="E3708" s="37"/>
      <c r="F3708" s="37"/>
      <c r="G3708" s="40" t="str">
        <f>IF(tblMovimientos[[#This Row],[Producto]]="","",TRIM(LEFT(tblMovimientos[[#This Row],[Producto]],FIND(" · ",tblMovimientos[[#This Row],[Producto]]&amp;" · ")-1)))</f>
        <v/>
      </c>
      <c r="H3708" s="40" t="str">
        <f>IF(tblMovimientos[[#This Row],[SKU]]="","",IFERROR(INDEX(tblProductos[Unidad],MATCH(tblMovimientos[[#This Row],[SKU]],tblProductos[SKU],0)),"?"))</f>
        <v/>
      </c>
      <c r="I3708" s="39"/>
      <c r="J3708" s="47" t="str">
        <f>IF(tblMovimientos[[#This Row],[Tipo]]="","",IFERROR(INDEX(tblTiposMov[FactorStock],MATCH(tblMovimientos[[#This Row],[Tipo]],tblTiposMov[Tipo],0)),0))</f>
        <v/>
      </c>
      <c r="K37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8" s="37"/>
      <c r="O3708" s="37"/>
      <c r="P3708" s="37"/>
    </row>
    <row r="3709" spans="2:16" x14ac:dyDescent="0.25">
      <c r="B37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09" s="46"/>
      <c r="D3709" s="37"/>
      <c r="E3709" s="37"/>
      <c r="F3709" s="37"/>
      <c r="G3709" s="40" t="str">
        <f>IF(tblMovimientos[[#This Row],[Producto]]="","",TRIM(LEFT(tblMovimientos[[#This Row],[Producto]],FIND(" · ",tblMovimientos[[#This Row],[Producto]]&amp;" · ")-1)))</f>
        <v/>
      </c>
      <c r="H3709" s="40" t="str">
        <f>IF(tblMovimientos[[#This Row],[SKU]]="","",IFERROR(INDEX(tblProductos[Unidad],MATCH(tblMovimientos[[#This Row],[SKU]],tblProductos[SKU],0)),"?"))</f>
        <v/>
      </c>
      <c r="I3709" s="39"/>
      <c r="J3709" s="47" t="str">
        <f>IF(tblMovimientos[[#This Row],[Tipo]]="","",IFERROR(INDEX(tblTiposMov[FactorStock],MATCH(tblMovimientos[[#This Row],[Tipo]],tblTiposMov[Tipo],0)),0))</f>
        <v/>
      </c>
      <c r="K37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09" s="37"/>
      <c r="O3709" s="37"/>
      <c r="P3709" s="37"/>
    </row>
    <row r="3710" spans="2:16" x14ac:dyDescent="0.25">
      <c r="B37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0" s="46"/>
      <c r="D3710" s="37"/>
      <c r="E3710" s="37"/>
      <c r="F3710" s="37"/>
      <c r="G3710" s="40" t="str">
        <f>IF(tblMovimientos[[#This Row],[Producto]]="","",TRIM(LEFT(tblMovimientos[[#This Row],[Producto]],FIND(" · ",tblMovimientos[[#This Row],[Producto]]&amp;" · ")-1)))</f>
        <v/>
      </c>
      <c r="H3710" s="40" t="str">
        <f>IF(tblMovimientos[[#This Row],[SKU]]="","",IFERROR(INDEX(tblProductos[Unidad],MATCH(tblMovimientos[[#This Row],[SKU]],tblProductos[SKU],0)),"?"))</f>
        <v/>
      </c>
      <c r="I3710" s="39"/>
      <c r="J3710" s="47" t="str">
        <f>IF(tblMovimientos[[#This Row],[Tipo]]="","",IFERROR(INDEX(tblTiposMov[FactorStock],MATCH(tblMovimientos[[#This Row],[Tipo]],tblTiposMov[Tipo],0)),0))</f>
        <v/>
      </c>
      <c r="K37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0" s="37"/>
      <c r="O3710" s="37"/>
      <c r="P3710" s="37"/>
    </row>
    <row r="3711" spans="2:16" x14ac:dyDescent="0.25">
      <c r="B37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1" s="46"/>
      <c r="D3711" s="37"/>
      <c r="E3711" s="37"/>
      <c r="F3711" s="37"/>
      <c r="G3711" s="40" t="str">
        <f>IF(tblMovimientos[[#This Row],[Producto]]="","",TRIM(LEFT(tblMovimientos[[#This Row],[Producto]],FIND(" · ",tblMovimientos[[#This Row],[Producto]]&amp;" · ")-1)))</f>
        <v/>
      </c>
      <c r="H3711" s="40" t="str">
        <f>IF(tblMovimientos[[#This Row],[SKU]]="","",IFERROR(INDEX(tblProductos[Unidad],MATCH(tblMovimientos[[#This Row],[SKU]],tblProductos[SKU],0)),"?"))</f>
        <v/>
      </c>
      <c r="I3711" s="39"/>
      <c r="J3711" s="47" t="str">
        <f>IF(tblMovimientos[[#This Row],[Tipo]]="","",IFERROR(INDEX(tblTiposMov[FactorStock],MATCH(tblMovimientos[[#This Row],[Tipo]],tblTiposMov[Tipo],0)),0))</f>
        <v/>
      </c>
      <c r="K37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1" s="37"/>
      <c r="O3711" s="37"/>
      <c r="P3711" s="37"/>
    </row>
    <row r="3712" spans="2:16" x14ac:dyDescent="0.25">
      <c r="B37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2" s="46"/>
      <c r="D3712" s="37"/>
      <c r="E3712" s="37"/>
      <c r="F3712" s="37"/>
      <c r="G3712" s="40" t="str">
        <f>IF(tblMovimientos[[#This Row],[Producto]]="","",TRIM(LEFT(tblMovimientos[[#This Row],[Producto]],FIND(" · ",tblMovimientos[[#This Row],[Producto]]&amp;" · ")-1)))</f>
        <v/>
      </c>
      <c r="H3712" s="40" t="str">
        <f>IF(tblMovimientos[[#This Row],[SKU]]="","",IFERROR(INDEX(tblProductos[Unidad],MATCH(tblMovimientos[[#This Row],[SKU]],tblProductos[SKU],0)),"?"))</f>
        <v/>
      </c>
      <c r="I3712" s="39"/>
      <c r="J3712" s="47" t="str">
        <f>IF(tblMovimientos[[#This Row],[Tipo]]="","",IFERROR(INDEX(tblTiposMov[FactorStock],MATCH(tblMovimientos[[#This Row],[Tipo]],tblTiposMov[Tipo],0)),0))</f>
        <v/>
      </c>
      <c r="K37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2" s="37"/>
      <c r="O3712" s="37"/>
      <c r="P3712" s="37"/>
    </row>
    <row r="3713" spans="2:16" x14ac:dyDescent="0.25">
      <c r="B37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3" s="46"/>
      <c r="D3713" s="37"/>
      <c r="E3713" s="37"/>
      <c r="F3713" s="37"/>
      <c r="G3713" s="40" t="str">
        <f>IF(tblMovimientos[[#This Row],[Producto]]="","",TRIM(LEFT(tblMovimientos[[#This Row],[Producto]],FIND(" · ",tblMovimientos[[#This Row],[Producto]]&amp;" · ")-1)))</f>
        <v/>
      </c>
      <c r="H3713" s="40" t="str">
        <f>IF(tblMovimientos[[#This Row],[SKU]]="","",IFERROR(INDEX(tblProductos[Unidad],MATCH(tblMovimientos[[#This Row],[SKU]],tblProductos[SKU],0)),"?"))</f>
        <v/>
      </c>
      <c r="I3713" s="39"/>
      <c r="J3713" s="47" t="str">
        <f>IF(tblMovimientos[[#This Row],[Tipo]]="","",IFERROR(INDEX(tblTiposMov[FactorStock],MATCH(tblMovimientos[[#This Row],[Tipo]],tblTiposMov[Tipo],0)),0))</f>
        <v/>
      </c>
      <c r="K37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3" s="37"/>
      <c r="O3713" s="37"/>
      <c r="P3713" s="37"/>
    </row>
    <row r="3714" spans="2:16" x14ac:dyDescent="0.25">
      <c r="B37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4" s="46"/>
      <c r="D3714" s="37"/>
      <c r="E3714" s="37"/>
      <c r="F3714" s="37"/>
      <c r="G3714" s="40" t="str">
        <f>IF(tblMovimientos[[#This Row],[Producto]]="","",TRIM(LEFT(tblMovimientos[[#This Row],[Producto]],FIND(" · ",tblMovimientos[[#This Row],[Producto]]&amp;" · ")-1)))</f>
        <v/>
      </c>
      <c r="H3714" s="40" t="str">
        <f>IF(tblMovimientos[[#This Row],[SKU]]="","",IFERROR(INDEX(tblProductos[Unidad],MATCH(tblMovimientos[[#This Row],[SKU]],tblProductos[SKU],0)),"?"))</f>
        <v/>
      </c>
      <c r="I3714" s="39"/>
      <c r="J3714" s="47" t="str">
        <f>IF(tblMovimientos[[#This Row],[Tipo]]="","",IFERROR(INDEX(tblTiposMov[FactorStock],MATCH(tblMovimientos[[#This Row],[Tipo]],tblTiposMov[Tipo],0)),0))</f>
        <v/>
      </c>
      <c r="K37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4" s="37"/>
      <c r="O3714" s="37"/>
      <c r="P3714" s="37"/>
    </row>
    <row r="3715" spans="2:16" x14ac:dyDescent="0.25">
      <c r="B37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5" s="46"/>
      <c r="D3715" s="37"/>
      <c r="E3715" s="37"/>
      <c r="F3715" s="37"/>
      <c r="G3715" s="40" t="str">
        <f>IF(tblMovimientos[[#This Row],[Producto]]="","",TRIM(LEFT(tblMovimientos[[#This Row],[Producto]],FIND(" · ",tblMovimientos[[#This Row],[Producto]]&amp;" · ")-1)))</f>
        <v/>
      </c>
      <c r="H3715" s="40" t="str">
        <f>IF(tblMovimientos[[#This Row],[SKU]]="","",IFERROR(INDEX(tblProductos[Unidad],MATCH(tblMovimientos[[#This Row],[SKU]],tblProductos[SKU],0)),"?"))</f>
        <v/>
      </c>
      <c r="I3715" s="39"/>
      <c r="J3715" s="47" t="str">
        <f>IF(tblMovimientos[[#This Row],[Tipo]]="","",IFERROR(INDEX(tblTiposMov[FactorStock],MATCH(tblMovimientos[[#This Row],[Tipo]],tblTiposMov[Tipo],0)),0))</f>
        <v/>
      </c>
      <c r="K37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5" s="37"/>
      <c r="O3715" s="37"/>
      <c r="P3715" s="37"/>
    </row>
    <row r="3716" spans="2:16" x14ac:dyDescent="0.25">
      <c r="B37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6" s="46"/>
      <c r="D3716" s="37"/>
      <c r="E3716" s="37"/>
      <c r="F3716" s="37"/>
      <c r="G3716" s="40" t="str">
        <f>IF(tblMovimientos[[#This Row],[Producto]]="","",TRIM(LEFT(tblMovimientos[[#This Row],[Producto]],FIND(" · ",tblMovimientos[[#This Row],[Producto]]&amp;" · ")-1)))</f>
        <v/>
      </c>
      <c r="H3716" s="40" t="str">
        <f>IF(tblMovimientos[[#This Row],[SKU]]="","",IFERROR(INDEX(tblProductos[Unidad],MATCH(tblMovimientos[[#This Row],[SKU]],tblProductos[SKU],0)),"?"))</f>
        <v/>
      </c>
      <c r="I3716" s="39"/>
      <c r="J3716" s="47" t="str">
        <f>IF(tblMovimientos[[#This Row],[Tipo]]="","",IFERROR(INDEX(tblTiposMov[FactorStock],MATCH(tblMovimientos[[#This Row],[Tipo]],tblTiposMov[Tipo],0)),0))</f>
        <v/>
      </c>
      <c r="K37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6" s="37"/>
      <c r="O3716" s="37"/>
      <c r="P3716" s="37"/>
    </row>
    <row r="3717" spans="2:16" x14ac:dyDescent="0.25">
      <c r="B37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7" s="46"/>
      <c r="D3717" s="37"/>
      <c r="E3717" s="37"/>
      <c r="F3717" s="37"/>
      <c r="G3717" s="40" t="str">
        <f>IF(tblMovimientos[[#This Row],[Producto]]="","",TRIM(LEFT(tblMovimientos[[#This Row],[Producto]],FIND(" · ",tblMovimientos[[#This Row],[Producto]]&amp;" · ")-1)))</f>
        <v/>
      </c>
      <c r="H3717" s="40" t="str">
        <f>IF(tblMovimientos[[#This Row],[SKU]]="","",IFERROR(INDEX(tblProductos[Unidad],MATCH(tblMovimientos[[#This Row],[SKU]],tblProductos[SKU],0)),"?"))</f>
        <v/>
      </c>
      <c r="I3717" s="39"/>
      <c r="J3717" s="47" t="str">
        <f>IF(tblMovimientos[[#This Row],[Tipo]]="","",IFERROR(INDEX(tblTiposMov[FactorStock],MATCH(tblMovimientos[[#This Row],[Tipo]],tblTiposMov[Tipo],0)),0))</f>
        <v/>
      </c>
      <c r="K37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7" s="37"/>
      <c r="O3717" s="37"/>
      <c r="P3717" s="37"/>
    </row>
    <row r="3718" spans="2:16" x14ac:dyDescent="0.25">
      <c r="B37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8" s="46"/>
      <c r="D3718" s="37"/>
      <c r="E3718" s="37"/>
      <c r="F3718" s="37"/>
      <c r="G3718" s="40" t="str">
        <f>IF(tblMovimientos[[#This Row],[Producto]]="","",TRIM(LEFT(tblMovimientos[[#This Row],[Producto]],FIND(" · ",tblMovimientos[[#This Row],[Producto]]&amp;" · ")-1)))</f>
        <v/>
      </c>
      <c r="H3718" s="40" t="str">
        <f>IF(tblMovimientos[[#This Row],[SKU]]="","",IFERROR(INDEX(tblProductos[Unidad],MATCH(tblMovimientos[[#This Row],[SKU]],tblProductos[SKU],0)),"?"))</f>
        <v/>
      </c>
      <c r="I3718" s="39"/>
      <c r="J3718" s="47" t="str">
        <f>IF(tblMovimientos[[#This Row],[Tipo]]="","",IFERROR(INDEX(tblTiposMov[FactorStock],MATCH(tblMovimientos[[#This Row],[Tipo]],tblTiposMov[Tipo],0)),0))</f>
        <v/>
      </c>
      <c r="K37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8" s="37"/>
      <c r="O3718" s="37"/>
      <c r="P3718" s="37"/>
    </row>
    <row r="3719" spans="2:16" x14ac:dyDescent="0.25">
      <c r="B37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19" s="46"/>
      <c r="D3719" s="37"/>
      <c r="E3719" s="37"/>
      <c r="F3719" s="37"/>
      <c r="G3719" s="40" t="str">
        <f>IF(tblMovimientos[[#This Row],[Producto]]="","",TRIM(LEFT(tblMovimientos[[#This Row],[Producto]],FIND(" · ",tblMovimientos[[#This Row],[Producto]]&amp;" · ")-1)))</f>
        <v/>
      </c>
      <c r="H3719" s="40" t="str">
        <f>IF(tblMovimientos[[#This Row],[SKU]]="","",IFERROR(INDEX(tblProductos[Unidad],MATCH(tblMovimientos[[#This Row],[SKU]],tblProductos[SKU],0)),"?"))</f>
        <v/>
      </c>
      <c r="I3719" s="39"/>
      <c r="J3719" s="47" t="str">
        <f>IF(tblMovimientos[[#This Row],[Tipo]]="","",IFERROR(INDEX(tblTiposMov[FactorStock],MATCH(tblMovimientos[[#This Row],[Tipo]],tblTiposMov[Tipo],0)),0))</f>
        <v/>
      </c>
      <c r="K37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19" s="37"/>
      <c r="O3719" s="37"/>
      <c r="P3719" s="37"/>
    </row>
    <row r="3720" spans="2:16" x14ac:dyDescent="0.25">
      <c r="B37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0" s="46"/>
      <c r="D3720" s="37"/>
      <c r="E3720" s="37"/>
      <c r="F3720" s="37"/>
      <c r="G3720" s="40" t="str">
        <f>IF(tblMovimientos[[#This Row],[Producto]]="","",TRIM(LEFT(tblMovimientos[[#This Row],[Producto]],FIND(" · ",tblMovimientos[[#This Row],[Producto]]&amp;" · ")-1)))</f>
        <v/>
      </c>
      <c r="H3720" s="40" t="str">
        <f>IF(tblMovimientos[[#This Row],[SKU]]="","",IFERROR(INDEX(tblProductos[Unidad],MATCH(tblMovimientos[[#This Row],[SKU]],tblProductos[SKU],0)),"?"))</f>
        <v/>
      </c>
      <c r="I3720" s="39"/>
      <c r="J3720" s="47" t="str">
        <f>IF(tblMovimientos[[#This Row],[Tipo]]="","",IFERROR(INDEX(tblTiposMov[FactorStock],MATCH(tblMovimientos[[#This Row],[Tipo]],tblTiposMov[Tipo],0)),0))</f>
        <v/>
      </c>
      <c r="K37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0" s="37"/>
      <c r="O3720" s="37"/>
      <c r="P3720" s="37"/>
    </row>
    <row r="3721" spans="2:16" x14ac:dyDescent="0.25">
      <c r="B37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1" s="46"/>
      <c r="D3721" s="37"/>
      <c r="E3721" s="37"/>
      <c r="F3721" s="37"/>
      <c r="G3721" s="40" t="str">
        <f>IF(tblMovimientos[[#This Row],[Producto]]="","",TRIM(LEFT(tblMovimientos[[#This Row],[Producto]],FIND(" · ",tblMovimientos[[#This Row],[Producto]]&amp;" · ")-1)))</f>
        <v/>
      </c>
      <c r="H3721" s="40" t="str">
        <f>IF(tblMovimientos[[#This Row],[SKU]]="","",IFERROR(INDEX(tblProductos[Unidad],MATCH(tblMovimientos[[#This Row],[SKU]],tblProductos[SKU],0)),"?"))</f>
        <v/>
      </c>
      <c r="I3721" s="39"/>
      <c r="J3721" s="47" t="str">
        <f>IF(tblMovimientos[[#This Row],[Tipo]]="","",IFERROR(INDEX(tblTiposMov[FactorStock],MATCH(tblMovimientos[[#This Row],[Tipo]],tblTiposMov[Tipo],0)),0))</f>
        <v/>
      </c>
      <c r="K37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1" s="37"/>
      <c r="O3721" s="37"/>
      <c r="P3721" s="37"/>
    </row>
    <row r="3722" spans="2:16" x14ac:dyDescent="0.25">
      <c r="B37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2" s="46"/>
      <c r="D3722" s="37"/>
      <c r="E3722" s="37"/>
      <c r="F3722" s="37"/>
      <c r="G3722" s="40" t="str">
        <f>IF(tblMovimientos[[#This Row],[Producto]]="","",TRIM(LEFT(tblMovimientos[[#This Row],[Producto]],FIND(" · ",tblMovimientos[[#This Row],[Producto]]&amp;" · ")-1)))</f>
        <v/>
      </c>
      <c r="H3722" s="40" t="str">
        <f>IF(tblMovimientos[[#This Row],[SKU]]="","",IFERROR(INDEX(tblProductos[Unidad],MATCH(tblMovimientos[[#This Row],[SKU]],tblProductos[SKU],0)),"?"))</f>
        <v/>
      </c>
      <c r="I3722" s="39"/>
      <c r="J3722" s="47" t="str">
        <f>IF(tblMovimientos[[#This Row],[Tipo]]="","",IFERROR(INDEX(tblTiposMov[FactorStock],MATCH(tblMovimientos[[#This Row],[Tipo]],tblTiposMov[Tipo],0)),0))</f>
        <v/>
      </c>
      <c r="K37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2" s="37"/>
      <c r="O3722" s="37"/>
      <c r="P3722" s="37"/>
    </row>
    <row r="3723" spans="2:16" x14ac:dyDescent="0.25">
      <c r="B37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3" s="46"/>
      <c r="D3723" s="37"/>
      <c r="E3723" s="37"/>
      <c r="F3723" s="37"/>
      <c r="G3723" s="40" t="str">
        <f>IF(tblMovimientos[[#This Row],[Producto]]="","",TRIM(LEFT(tblMovimientos[[#This Row],[Producto]],FIND(" · ",tblMovimientos[[#This Row],[Producto]]&amp;" · ")-1)))</f>
        <v/>
      </c>
      <c r="H3723" s="40" t="str">
        <f>IF(tblMovimientos[[#This Row],[SKU]]="","",IFERROR(INDEX(tblProductos[Unidad],MATCH(tblMovimientos[[#This Row],[SKU]],tblProductos[SKU],0)),"?"))</f>
        <v/>
      </c>
      <c r="I3723" s="39"/>
      <c r="J3723" s="47" t="str">
        <f>IF(tblMovimientos[[#This Row],[Tipo]]="","",IFERROR(INDEX(tblTiposMov[FactorStock],MATCH(tblMovimientos[[#This Row],[Tipo]],tblTiposMov[Tipo],0)),0))</f>
        <v/>
      </c>
      <c r="K37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3" s="37"/>
      <c r="O3723" s="37"/>
      <c r="P3723" s="37"/>
    </row>
    <row r="3724" spans="2:16" x14ac:dyDescent="0.25">
      <c r="B37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4" s="46"/>
      <c r="D3724" s="37"/>
      <c r="E3724" s="37"/>
      <c r="F3724" s="37"/>
      <c r="G3724" s="40" t="str">
        <f>IF(tblMovimientos[[#This Row],[Producto]]="","",TRIM(LEFT(tblMovimientos[[#This Row],[Producto]],FIND(" · ",tblMovimientos[[#This Row],[Producto]]&amp;" · ")-1)))</f>
        <v/>
      </c>
      <c r="H3724" s="40" t="str">
        <f>IF(tblMovimientos[[#This Row],[SKU]]="","",IFERROR(INDEX(tblProductos[Unidad],MATCH(tblMovimientos[[#This Row],[SKU]],tblProductos[SKU],0)),"?"))</f>
        <v/>
      </c>
      <c r="I3724" s="39"/>
      <c r="J3724" s="47" t="str">
        <f>IF(tblMovimientos[[#This Row],[Tipo]]="","",IFERROR(INDEX(tblTiposMov[FactorStock],MATCH(tblMovimientos[[#This Row],[Tipo]],tblTiposMov[Tipo],0)),0))</f>
        <v/>
      </c>
      <c r="K37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4" s="37"/>
      <c r="O3724" s="37"/>
      <c r="P3724" s="37"/>
    </row>
    <row r="3725" spans="2:16" x14ac:dyDescent="0.25">
      <c r="B37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5" s="46"/>
      <c r="D3725" s="37"/>
      <c r="E3725" s="37"/>
      <c r="F3725" s="37"/>
      <c r="G3725" s="40" t="str">
        <f>IF(tblMovimientos[[#This Row],[Producto]]="","",TRIM(LEFT(tblMovimientos[[#This Row],[Producto]],FIND(" · ",tblMovimientos[[#This Row],[Producto]]&amp;" · ")-1)))</f>
        <v/>
      </c>
      <c r="H3725" s="40" t="str">
        <f>IF(tblMovimientos[[#This Row],[SKU]]="","",IFERROR(INDEX(tblProductos[Unidad],MATCH(tblMovimientos[[#This Row],[SKU]],tblProductos[SKU],0)),"?"))</f>
        <v/>
      </c>
      <c r="I3725" s="39"/>
      <c r="J3725" s="47" t="str">
        <f>IF(tblMovimientos[[#This Row],[Tipo]]="","",IFERROR(INDEX(tblTiposMov[FactorStock],MATCH(tblMovimientos[[#This Row],[Tipo]],tblTiposMov[Tipo],0)),0))</f>
        <v/>
      </c>
      <c r="K37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5" s="37"/>
      <c r="O3725" s="37"/>
      <c r="P3725" s="37"/>
    </row>
    <row r="3726" spans="2:16" x14ac:dyDescent="0.25">
      <c r="B37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6" s="46"/>
      <c r="D3726" s="37"/>
      <c r="E3726" s="37"/>
      <c r="F3726" s="37"/>
      <c r="G3726" s="40" t="str">
        <f>IF(tblMovimientos[[#This Row],[Producto]]="","",TRIM(LEFT(tblMovimientos[[#This Row],[Producto]],FIND(" · ",tblMovimientos[[#This Row],[Producto]]&amp;" · ")-1)))</f>
        <v/>
      </c>
      <c r="H3726" s="40" t="str">
        <f>IF(tblMovimientos[[#This Row],[SKU]]="","",IFERROR(INDEX(tblProductos[Unidad],MATCH(tblMovimientos[[#This Row],[SKU]],tblProductos[SKU],0)),"?"))</f>
        <v/>
      </c>
      <c r="I3726" s="39"/>
      <c r="J3726" s="47" t="str">
        <f>IF(tblMovimientos[[#This Row],[Tipo]]="","",IFERROR(INDEX(tblTiposMov[FactorStock],MATCH(tblMovimientos[[#This Row],[Tipo]],tblTiposMov[Tipo],0)),0))</f>
        <v/>
      </c>
      <c r="K37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6" s="37"/>
      <c r="O3726" s="37"/>
      <c r="P3726" s="37"/>
    </row>
    <row r="3727" spans="2:16" x14ac:dyDescent="0.25">
      <c r="B37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7" s="46"/>
      <c r="D3727" s="37"/>
      <c r="E3727" s="37"/>
      <c r="F3727" s="37"/>
      <c r="G3727" s="40" t="str">
        <f>IF(tblMovimientos[[#This Row],[Producto]]="","",TRIM(LEFT(tblMovimientos[[#This Row],[Producto]],FIND(" · ",tblMovimientos[[#This Row],[Producto]]&amp;" · ")-1)))</f>
        <v/>
      </c>
      <c r="H3727" s="40" t="str">
        <f>IF(tblMovimientos[[#This Row],[SKU]]="","",IFERROR(INDEX(tblProductos[Unidad],MATCH(tblMovimientos[[#This Row],[SKU]],tblProductos[SKU],0)),"?"))</f>
        <v/>
      </c>
      <c r="I3727" s="39"/>
      <c r="J3727" s="47" t="str">
        <f>IF(tblMovimientos[[#This Row],[Tipo]]="","",IFERROR(INDEX(tblTiposMov[FactorStock],MATCH(tblMovimientos[[#This Row],[Tipo]],tblTiposMov[Tipo],0)),0))</f>
        <v/>
      </c>
      <c r="K37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7" s="37"/>
      <c r="O3727" s="37"/>
      <c r="P3727" s="37"/>
    </row>
    <row r="3728" spans="2:16" x14ac:dyDescent="0.25">
      <c r="B37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8" s="46"/>
      <c r="D3728" s="37"/>
      <c r="E3728" s="37"/>
      <c r="F3728" s="37"/>
      <c r="G3728" s="40" t="str">
        <f>IF(tblMovimientos[[#This Row],[Producto]]="","",TRIM(LEFT(tblMovimientos[[#This Row],[Producto]],FIND(" · ",tblMovimientos[[#This Row],[Producto]]&amp;" · ")-1)))</f>
        <v/>
      </c>
      <c r="H3728" s="40" t="str">
        <f>IF(tblMovimientos[[#This Row],[SKU]]="","",IFERROR(INDEX(tblProductos[Unidad],MATCH(tblMovimientos[[#This Row],[SKU]],tblProductos[SKU],0)),"?"))</f>
        <v/>
      </c>
      <c r="I3728" s="39"/>
      <c r="J3728" s="47" t="str">
        <f>IF(tblMovimientos[[#This Row],[Tipo]]="","",IFERROR(INDEX(tblTiposMov[FactorStock],MATCH(tblMovimientos[[#This Row],[Tipo]],tblTiposMov[Tipo],0)),0))</f>
        <v/>
      </c>
      <c r="K37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8" s="37"/>
      <c r="O3728" s="37"/>
      <c r="P3728" s="37"/>
    </row>
    <row r="3729" spans="2:16" x14ac:dyDescent="0.25">
      <c r="B37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29" s="46"/>
      <c r="D3729" s="37"/>
      <c r="E3729" s="37"/>
      <c r="F3729" s="37"/>
      <c r="G3729" s="40" t="str">
        <f>IF(tblMovimientos[[#This Row],[Producto]]="","",TRIM(LEFT(tblMovimientos[[#This Row],[Producto]],FIND(" · ",tblMovimientos[[#This Row],[Producto]]&amp;" · ")-1)))</f>
        <v/>
      </c>
      <c r="H3729" s="40" t="str">
        <f>IF(tblMovimientos[[#This Row],[SKU]]="","",IFERROR(INDEX(tblProductos[Unidad],MATCH(tblMovimientos[[#This Row],[SKU]],tblProductos[SKU],0)),"?"))</f>
        <v/>
      </c>
      <c r="I3729" s="39"/>
      <c r="J3729" s="47" t="str">
        <f>IF(tblMovimientos[[#This Row],[Tipo]]="","",IFERROR(INDEX(tblTiposMov[FactorStock],MATCH(tblMovimientos[[#This Row],[Tipo]],tblTiposMov[Tipo],0)),0))</f>
        <v/>
      </c>
      <c r="K37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29" s="37"/>
      <c r="O3729" s="37"/>
      <c r="P3729" s="37"/>
    </row>
    <row r="3730" spans="2:16" x14ac:dyDescent="0.25">
      <c r="B37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0" s="46"/>
      <c r="D3730" s="37"/>
      <c r="E3730" s="37"/>
      <c r="F3730" s="37"/>
      <c r="G3730" s="40" t="str">
        <f>IF(tblMovimientos[[#This Row],[Producto]]="","",TRIM(LEFT(tblMovimientos[[#This Row],[Producto]],FIND(" · ",tblMovimientos[[#This Row],[Producto]]&amp;" · ")-1)))</f>
        <v/>
      </c>
      <c r="H3730" s="40" t="str">
        <f>IF(tblMovimientos[[#This Row],[SKU]]="","",IFERROR(INDEX(tblProductos[Unidad],MATCH(tblMovimientos[[#This Row],[SKU]],tblProductos[SKU],0)),"?"))</f>
        <v/>
      </c>
      <c r="I3730" s="39"/>
      <c r="J3730" s="47" t="str">
        <f>IF(tblMovimientos[[#This Row],[Tipo]]="","",IFERROR(INDEX(tblTiposMov[FactorStock],MATCH(tblMovimientos[[#This Row],[Tipo]],tblTiposMov[Tipo],0)),0))</f>
        <v/>
      </c>
      <c r="K37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0" s="37"/>
      <c r="O3730" s="37"/>
      <c r="P3730" s="37"/>
    </row>
    <row r="3731" spans="2:16" x14ac:dyDescent="0.25">
      <c r="B37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1" s="46"/>
      <c r="D3731" s="37"/>
      <c r="E3731" s="37"/>
      <c r="F3731" s="37"/>
      <c r="G3731" s="40" t="str">
        <f>IF(tblMovimientos[[#This Row],[Producto]]="","",TRIM(LEFT(tblMovimientos[[#This Row],[Producto]],FIND(" · ",tblMovimientos[[#This Row],[Producto]]&amp;" · ")-1)))</f>
        <v/>
      </c>
      <c r="H3731" s="40" t="str">
        <f>IF(tblMovimientos[[#This Row],[SKU]]="","",IFERROR(INDEX(tblProductos[Unidad],MATCH(tblMovimientos[[#This Row],[SKU]],tblProductos[SKU],0)),"?"))</f>
        <v/>
      </c>
      <c r="I3731" s="39"/>
      <c r="J3731" s="47" t="str">
        <f>IF(tblMovimientos[[#This Row],[Tipo]]="","",IFERROR(INDEX(tblTiposMov[FactorStock],MATCH(tblMovimientos[[#This Row],[Tipo]],tblTiposMov[Tipo],0)),0))</f>
        <v/>
      </c>
      <c r="K37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1" s="37"/>
      <c r="O3731" s="37"/>
      <c r="P3731" s="37"/>
    </row>
    <row r="3732" spans="2:16" x14ac:dyDescent="0.25">
      <c r="B37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2" s="46"/>
      <c r="D3732" s="37"/>
      <c r="E3732" s="37"/>
      <c r="F3732" s="37"/>
      <c r="G3732" s="40" t="str">
        <f>IF(tblMovimientos[[#This Row],[Producto]]="","",TRIM(LEFT(tblMovimientos[[#This Row],[Producto]],FIND(" · ",tblMovimientos[[#This Row],[Producto]]&amp;" · ")-1)))</f>
        <v/>
      </c>
      <c r="H3732" s="40" t="str">
        <f>IF(tblMovimientos[[#This Row],[SKU]]="","",IFERROR(INDEX(tblProductos[Unidad],MATCH(tblMovimientos[[#This Row],[SKU]],tblProductos[SKU],0)),"?"))</f>
        <v/>
      </c>
      <c r="I3732" s="39"/>
      <c r="J3732" s="47" t="str">
        <f>IF(tblMovimientos[[#This Row],[Tipo]]="","",IFERROR(INDEX(tblTiposMov[FactorStock],MATCH(tblMovimientos[[#This Row],[Tipo]],tblTiposMov[Tipo],0)),0))</f>
        <v/>
      </c>
      <c r="K37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2" s="37"/>
      <c r="O3732" s="37"/>
      <c r="P3732" s="37"/>
    </row>
    <row r="3733" spans="2:16" x14ac:dyDescent="0.25">
      <c r="B37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3" s="46"/>
      <c r="D3733" s="37"/>
      <c r="E3733" s="37"/>
      <c r="F3733" s="37"/>
      <c r="G3733" s="40" t="str">
        <f>IF(tblMovimientos[[#This Row],[Producto]]="","",TRIM(LEFT(tblMovimientos[[#This Row],[Producto]],FIND(" · ",tblMovimientos[[#This Row],[Producto]]&amp;" · ")-1)))</f>
        <v/>
      </c>
      <c r="H3733" s="40" t="str">
        <f>IF(tblMovimientos[[#This Row],[SKU]]="","",IFERROR(INDEX(tblProductos[Unidad],MATCH(tblMovimientos[[#This Row],[SKU]],tblProductos[SKU],0)),"?"))</f>
        <v/>
      </c>
      <c r="I3733" s="39"/>
      <c r="J3733" s="47" t="str">
        <f>IF(tblMovimientos[[#This Row],[Tipo]]="","",IFERROR(INDEX(tblTiposMov[FactorStock],MATCH(tblMovimientos[[#This Row],[Tipo]],tblTiposMov[Tipo],0)),0))</f>
        <v/>
      </c>
      <c r="K37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3" s="37"/>
      <c r="O3733" s="37"/>
      <c r="P3733" s="37"/>
    </row>
    <row r="3734" spans="2:16" x14ac:dyDescent="0.25">
      <c r="B37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4" s="46"/>
      <c r="D3734" s="37"/>
      <c r="E3734" s="37"/>
      <c r="F3734" s="37"/>
      <c r="G3734" s="40" t="str">
        <f>IF(tblMovimientos[[#This Row],[Producto]]="","",TRIM(LEFT(tblMovimientos[[#This Row],[Producto]],FIND(" · ",tblMovimientos[[#This Row],[Producto]]&amp;" · ")-1)))</f>
        <v/>
      </c>
      <c r="H3734" s="40" t="str">
        <f>IF(tblMovimientos[[#This Row],[SKU]]="","",IFERROR(INDEX(tblProductos[Unidad],MATCH(tblMovimientos[[#This Row],[SKU]],tblProductos[SKU],0)),"?"))</f>
        <v/>
      </c>
      <c r="I3734" s="39"/>
      <c r="J3734" s="47" t="str">
        <f>IF(tblMovimientos[[#This Row],[Tipo]]="","",IFERROR(INDEX(tblTiposMov[FactorStock],MATCH(tblMovimientos[[#This Row],[Tipo]],tblTiposMov[Tipo],0)),0))</f>
        <v/>
      </c>
      <c r="K37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4" s="37"/>
      <c r="O3734" s="37"/>
      <c r="P3734" s="37"/>
    </row>
    <row r="3735" spans="2:16" x14ac:dyDescent="0.25">
      <c r="B37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5" s="46"/>
      <c r="D3735" s="37"/>
      <c r="E3735" s="37"/>
      <c r="F3735" s="37"/>
      <c r="G3735" s="40" t="str">
        <f>IF(tblMovimientos[[#This Row],[Producto]]="","",TRIM(LEFT(tblMovimientos[[#This Row],[Producto]],FIND(" · ",tblMovimientos[[#This Row],[Producto]]&amp;" · ")-1)))</f>
        <v/>
      </c>
      <c r="H3735" s="40" t="str">
        <f>IF(tblMovimientos[[#This Row],[SKU]]="","",IFERROR(INDEX(tblProductos[Unidad],MATCH(tblMovimientos[[#This Row],[SKU]],tblProductos[SKU],0)),"?"))</f>
        <v/>
      </c>
      <c r="I3735" s="39"/>
      <c r="J3735" s="47" t="str">
        <f>IF(tblMovimientos[[#This Row],[Tipo]]="","",IFERROR(INDEX(tblTiposMov[FactorStock],MATCH(tblMovimientos[[#This Row],[Tipo]],tblTiposMov[Tipo],0)),0))</f>
        <v/>
      </c>
      <c r="K37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5" s="37"/>
      <c r="O3735" s="37"/>
      <c r="P3735" s="37"/>
    </row>
    <row r="3736" spans="2:16" x14ac:dyDescent="0.25">
      <c r="B37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6" s="46"/>
      <c r="D3736" s="37"/>
      <c r="E3736" s="37"/>
      <c r="F3736" s="37"/>
      <c r="G3736" s="40" t="str">
        <f>IF(tblMovimientos[[#This Row],[Producto]]="","",TRIM(LEFT(tblMovimientos[[#This Row],[Producto]],FIND(" · ",tblMovimientos[[#This Row],[Producto]]&amp;" · ")-1)))</f>
        <v/>
      </c>
      <c r="H3736" s="40" t="str">
        <f>IF(tblMovimientos[[#This Row],[SKU]]="","",IFERROR(INDEX(tblProductos[Unidad],MATCH(tblMovimientos[[#This Row],[SKU]],tblProductos[SKU],0)),"?"))</f>
        <v/>
      </c>
      <c r="I3736" s="39"/>
      <c r="J3736" s="47" t="str">
        <f>IF(tblMovimientos[[#This Row],[Tipo]]="","",IFERROR(INDEX(tblTiposMov[FactorStock],MATCH(tblMovimientos[[#This Row],[Tipo]],tblTiposMov[Tipo],0)),0))</f>
        <v/>
      </c>
      <c r="K37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6" s="37"/>
      <c r="O3736" s="37"/>
      <c r="P3736" s="37"/>
    </row>
    <row r="3737" spans="2:16" x14ac:dyDescent="0.25">
      <c r="B37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7" s="46"/>
      <c r="D3737" s="37"/>
      <c r="E3737" s="37"/>
      <c r="F3737" s="37"/>
      <c r="G3737" s="40" t="str">
        <f>IF(tblMovimientos[[#This Row],[Producto]]="","",TRIM(LEFT(tblMovimientos[[#This Row],[Producto]],FIND(" · ",tblMovimientos[[#This Row],[Producto]]&amp;" · ")-1)))</f>
        <v/>
      </c>
      <c r="H3737" s="40" t="str">
        <f>IF(tblMovimientos[[#This Row],[SKU]]="","",IFERROR(INDEX(tblProductos[Unidad],MATCH(tblMovimientos[[#This Row],[SKU]],tblProductos[SKU],0)),"?"))</f>
        <v/>
      </c>
      <c r="I3737" s="39"/>
      <c r="J3737" s="47" t="str">
        <f>IF(tblMovimientos[[#This Row],[Tipo]]="","",IFERROR(INDEX(tblTiposMov[FactorStock],MATCH(tblMovimientos[[#This Row],[Tipo]],tblTiposMov[Tipo],0)),0))</f>
        <v/>
      </c>
      <c r="K37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7" s="37"/>
      <c r="O3737" s="37"/>
      <c r="P3737" s="37"/>
    </row>
    <row r="3738" spans="2:16" x14ac:dyDescent="0.25">
      <c r="B37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8" s="46"/>
      <c r="D3738" s="37"/>
      <c r="E3738" s="37"/>
      <c r="F3738" s="37"/>
      <c r="G3738" s="40" t="str">
        <f>IF(tblMovimientos[[#This Row],[Producto]]="","",TRIM(LEFT(tblMovimientos[[#This Row],[Producto]],FIND(" · ",tblMovimientos[[#This Row],[Producto]]&amp;" · ")-1)))</f>
        <v/>
      </c>
      <c r="H3738" s="40" t="str">
        <f>IF(tblMovimientos[[#This Row],[SKU]]="","",IFERROR(INDEX(tblProductos[Unidad],MATCH(tblMovimientos[[#This Row],[SKU]],tblProductos[SKU],0)),"?"))</f>
        <v/>
      </c>
      <c r="I3738" s="39"/>
      <c r="J3738" s="47" t="str">
        <f>IF(tblMovimientos[[#This Row],[Tipo]]="","",IFERROR(INDEX(tblTiposMov[FactorStock],MATCH(tblMovimientos[[#This Row],[Tipo]],tblTiposMov[Tipo],0)),0))</f>
        <v/>
      </c>
      <c r="K37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8" s="37"/>
      <c r="O3738" s="37"/>
      <c r="P3738" s="37"/>
    </row>
    <row r="3739" spans="2:16" x14ac:dyDescent="0.25">
      <c r="B37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39" s="46"/>
      <c r="D3739" s="37"/>
      <c r="E3739" s="37"/>
      <c r="F3739" s="37"/>
      <c r="G3739" s="40" t="str">
        <f>IF(tblMovimientos[[#This Row],[Producto]]="","",TRIM(LEFT(tblMovimientos[[#This Row],[Producto]],FIND(" · ",tblMovimientos[[#This Row],[Producto]]&amp;" · ")-1)))</f>
        <v/>
      </c>
      <c r="H3739" s="40" t="str">
        <f>IF(tblMovimientos[[#This Row],[SKU]]="","",IFERROR(INDEX(tblProductos[Unidad],MATCH(tblMovimientos[[#This Row],[SKU]],tblProductos[SKU],0)),"?"))</f>
        <v/>
      </c>
      <c r="I3739" s="39"/>
      <c r="J3739" s="47" t="str">
        <f>IF(tblMovimientos[[#This Row],[Tipo]]="","",IFERROR(INDEX(tblTiposMov[FactorStock],MATCH(tblMovimientos[[#This Row],[Tipo]],tblTiposMov[Tipo],0)),0))</f>
        <v/>
      </c>
      <c r="K37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39" s="37"/>
      <c r="O3739" s="37"/>
      <c r="P3739" s="37"/>
    </row>
    <row r="3740" spans="2:16" x14ac:dyDescent="0.25">
      <c r="B37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0" s="46"/>
      <c r="D3740" s="37"/>
      <c r="E3740" s="37"/>
      <c r="F3740" s="37"/>
      <c r="G3740" s="40" t="str">
        <f>IF(tblMovimientos[[#This Row],[Producto]]="","",TRIM(LEFT(tblMovimientos[[#This Row],[Producto]],FIND(" · ",tblMovimientos[[#This Row],[Producto]]&amp;" · ")-1)))</f>
        <v/>
      </c>
      <c r="H3740" s="40" t="str">
        <f>IF(tblMovimientos[[#This Row],[SKU]]="","",IFERROR(INDEX(tblProductos[Unidad],MATCH(tblMovimientos[[#This Row],[SKU]],tblProductos[SKU],0)),"?"))</f>
        <v/>
      </c>
      <c r="I3740" s="39"/>
      <c r="J3740" s="47" t="str">
        <f>IF(tblMovimientos[[#This Row],[Tipo]]="","",IFERROR(INDEX(tblTiposMov[FactorStock],MATCH(tblMovimientos[[#This Row],[Tipo]],tblTiposMov[Tipo],0)),0))</f>
        <v/>
      </c>
      <c r="K37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0" s="37"/>
      <c r="O3740" s="37"/>
      <c r="P3740" s="37"/>
    </row>
    <row r="3741" spans="2:16" x14ac:dyDescent="0.25">
      <c r="B37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1" s="46"/>
      <c r="D3741" s="37"/>
      <c r="E3741" s="37"/>
      <c r="F3741" s="37"/>
      <c r="G3741" s="40" t="str">
        <f>IF(tblMovimientos[[#This Row],[Producto]]="","",TRIM(LEFT(tblMovimientos[[#This Row],[Producto]],FIND(" · ",tblMovimientos[[#This Row],[Producto]]&amp;" · ")-1)))</f>
        <v/>
      </c>
      <c r="H3741" s="40" t="str">
        <f>IF(tblMovimientos[[#This Row],[SKU]]="","",IFERROR(INDEX(tblProductos[Unidad],MATCH(tblMovimientos[[#This Row],[SKU]],tblProductos[SKU],0)),"?"))</f>
        <v/>
      </c>
      <c r="I3741" s="39"/>
      <c r="J3741" s="47" t="str">
        <f>IF(tblMovimientos[[#This Row],[Tipo]]="","",IFERROR(INDEX(tblTiposMov[FactorStock],MATCH(tblMovimientos[[#This Row],[Tipo]],tblTiposMov[Tipo],0)),0))</f>
        <v/>
      </c>
      <c r="K37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1" s="37"/>
      <c r="O3741" s="37"/>
      <c r="P3741" s="37"/>
    </row>
    <row r="3742" spans="2:16" x14ac:dyDescent="0.25">
      <c r="B37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2" s="46"/>
      <c r="D3742" s="37"/>
      <c r="E3742" s="37"/>
      <c r="F3742" s="37"/>
      <c r="G3742" s="40" t="str">
        <f>IF(tblMovimientos[[#This Row],[Producto]]="","",TRIM(LEFT(tblMovimientos[[#This Row],[Producto]],FIND(" · ",tblMovimientos[[#This Row],[Producto]]&amp;" · ")-1)))</f>
        <v/>
      </c>
      <c r="H3742" s="40" t="str">
        <f>IF(tblMovimientos[[#This Row],[SKU]]="","",IFERROR(INDEX(tblProductos[Unidad],MATCH(tblMovimientos[[#This Row],[SKU]],tblProductos[SKU],0)),"?"))</f>
        <v/>
      </c>
      <c r="I3742" s="39"/>
      <c r="J3742" s="47" t="str">
        <f>IF(tblMovimientos[[#This Row],[Tipo]]="","",IFERROR(INDEX(tblTiposMov[FactorStock],MATCH(tblMovimientos[[#This Row],[Tipo]],tblTiposMov[Tipo],0)),0))</f>
        <v/>
      </c>
      <c r="K37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2" s="37"/>
      <c r="O3742" s="37"/>
      <c r="P3742" s="37"/>
    </row>
    <row r="3743" spans="2:16" x14ac:dyDescent="0.25">
      <c r="B37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3" s="46"/>
      <c r="D3743" s="37"/>
      <c r="E3743" s="37"/>
      <c r="F3743" s="37"/>
      <c r="G3743" s="40" t="str">
        <f>IF(tblMovimientos[[#This Row],[Producto]]="","",TRIM(LEFT(tblMovimientos[[#This Row],[Producto]],FIND(" · ",tblMovimientos[[#This Row],[Producto]]&amp;" · ")-1)))</f>
        <v/>
      </c>
      <c r="H3743" s="40" t="str">
        <f>IF(tblMovimientos[[#This Row],[SKU]]="","",IFERROR(INDEX(tblProductos[Unidad],MATCH(tblMovimientos[[#This Row],[SKU]],tblProductos[SKU],0)),"?"))</f>
        <v/>
      </c>
      <c r="I3743" s="39"/>
      <c r="J3743" s="47" t="str">
        <f>IF(tblMovimientos[[#This Row],[Tipo]]="","",IFERROR(INDEX(tblTiposMov[FactorStock],MATCH(tblMovimientos[[#This Row],[Tipo]],tblTiposMov[Tipo],0)),0))</f>
        <v/>
      </c>
      <c r="K37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3" s="37"/>
      <c r="O3743" s="37"/>
      <c r="P3743" s="37"/>
    </row>
    <row r="3744" spans="2:16" x14ac:dyDescent="0.25">
      <c r="B37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4" s="46"/>
      <c r="D3744" s="37"/>
      <c r="E3744" s="37"/>
      <c r="F3744" s="37"/>
      <c r="G3744" s="40" t="str">
        <f>IF(tblMovimientos[[#This Row],[Producto]]="","",TRIM(LEFT(tblMovimientos[[#This Row],[Producto]],FIND(" · ",tblMovimientos[[#This Row],[Producto]]&amp;" · ")-1)))</f>
        <v/>
      </c>
      <c r="H3744" s="40" t="str">
        <f>IF(tblMovimientos[[#This Row],[SKU]]="","",IFERROR(INDEX(tblProductos[Unidad],MATCH(tblMovimientos[[#This Row],[SKU]],tblProductos[SKU],0)),"?"))</f>
        <v/>
      </c>
      <c r="I3744" s="39"/>
      <c r="J3744" s="47" t="str">
        <f>IF(tblMovimientos[[#This Row],[Tipo]]="","",IFERROR(INDEX(tblTiposMov[FactorStock],MATCH(tblMovimientos[[#This Row],[Tipo]],tblTiposMov[Tipo],0)),0))</f>
        <v/>
      </c>
      <c r="K37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4" s="37"/>
      <c r="O3744" s="37"/>
      <c r="P3744" s="37"/>
    </row>
    <row r="3745" spans="2:16" x14ac:dyDescent="0.25">
      <c r="B37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5" s="46"/>
      <c r="D3745" s="37"/>
      <c r="E3745" s="37"/>
      <c r="F3745" s="37"/>
      <c r="G3745" s="40" t="str">
        <f>IF(tblMovimientos[[#This Row],[Producto]]="","",TRIM(LEFT(tblMovimientos[[#This Row],[Producto]],FIND(" · ",tblMovimientos[[#This Row],[Producto]]&amp;" · ")-1)))</f>
        <v/>
      </c>
      <c r="H3745" s="40" t="str">
        <f>IF(tblMovimientos[[#This Row],[SKU]]="","",IFERROR(INDEX(tblProductos[Unidad],MATCH(tblMovimientos[[#This Row],[SKU]],tblProductos[SKU],0)),"?"))</f>
        <v/>
      </c>
      <c r="I3745" s="39"/>
      <c r="J3745" s="47" t="str">
        <f>IF(tblMovimientos[[#This Row],[Tipo]]="","",IFERROR(INDEX(tblTiposMov[FactorStock],MATCH(tblMovimientos[[#This Row],[Tipo]],tblTiposMov[Tipo],0)),0))</f>
        <v/>
      </c>
      <c r="K37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5" s="37"/>
      <c r="O3745" s="37"/>
      <c r="P3745" s="37"/>
    </row>
    <row r="3746" spans="2:16" x14ac:dyDescent="0.25">
      <c r="B37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6" s="46"/>
      <c r="D3746" s="37"/>
      <c r="E3746" s="37"/>
      <c r="F3746" s="37"/>
      <c r="G3746" s="40" t="str">
        <f>IF(tblMovimientos[[#This Row],[Producto]]="","",TRIM(LEFT(tblMovimientos[[#This Row],[Producto]],FIND(" · ",tblMovimientos[[#This Row],[Producto]]&amp;" · ")-1)))</f>
        <v/>
      </c>
      <c r="H3746" s="40" t="str">
        <f>IF(tblMovimientos[[#This Row],[SKU]]="","",IFERROR(INDEX(tblProductos[Unidad],MATCH(tblMovimientos[[#This Row],[SKU]],tblProductos[SKU],0)),"?"))</f>
        <v/>
      </c>
      <c r="I3746" s="39"/>
      <c r="J3746" s="47" t="str">
        <f>IF(tblMovimientos[[#This Row],[Tipo]]="","",IFERROR(INDEX(tblTiposMov[FactorStock],MATCH(tblMovimientos[[#This Row],[Tipo]],tblTiposMov[Tipo],0)),0))</f>
        <v/>
      </c>
      <c r="K37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6" s="37"/>
      <c r="O3746" s="37"/>
      <c r="P3746" s="37"/>
    </row>
    <row r="3747" spans="2:16" x14ac:dyDescent="0.25">
      <c r="B37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7" s="46"/>
      <c r="D3747" s="37"/>
      <c r="E3747" s="37"/>
      <c r="F3747" s="37"/>
      <c r="G3747" s="40" t="str">
        <f>IF(tblMovimientos[[#This Row],[Producto]]="","",TRIM(LEFT(tblMovimientos[[#This Row],[Producto]],FIND(" · ",tblMovimientos[[#This Row],[Producto]]&amp;" · ")-1)))</f>
        <v/>
      </c>
      <c r="H3747" s="40" t="str">
        <f>IF(tblMovimientos[[#This Row],[SKU]]="","",IFERROR(INDEX(tblProductos[Unidad],MATCH(tblMovimientos[[#This Row],[SKU]],tblProductos[SKU],0)),"?"))</f>
        <v/>
      </c>
      <c r="I3747" s="39"/>
      <c r="J3747" s="47" t="str">
        <f>IF(tblMovimientos[[#This Row],[Tipo]]="","",IFERROR(INDEX(tblTiposMov[FactorStock],MATCH(tblMovimientos[[#This Row],[Tipo]],tblTiposMov[Tipo],0)),0))</f>
        <v/>
      </c>
      <c r="K37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7" s="37"/>
      <c r="O3747" s="37"/>
      <c r="P3747" s="37"/>
    </row>
    <row r="3748" spans="2:16" x14ac:dyDescent="0.25">
      <c r="B37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8" s="46"/>
      <c r="D3748" s="37"/>
      <c r="E3748" s="37"/>
      <c r="F3748" s="37"/>
      <c r="G3748" s="40" t="str">
        <f>IF(tblMovimientos[[#This Row],[Producto]]="","",TRIM(LEFT(tblMovimientos[[#This Row],[Producto]],FIND(" · ",tblMovimientos[[#This Row],[Producto]]&amp;" · ")-1)))</f>
        <v/>
      </c>
      <c r="H3748" s="40" t="str">
        <f>IF(tblMovimientos[[#This Row],[SKU]]="","",IFERROR(INDEX(tblProductos[Unidad],MATCH(tblMovimientos[[#This Row],[SKU]],tblProductos[SKU],0)),"?"))</f>
        <v/>
      </c>
      <c r="I3748" s="39"/>
      <c r="J3748" s="47" t="str">
        <f>IF(tblMovimientos[[#This Row],[Tipo]]="","",IFERROR(INDEX(tblTiposMov[FactorStock],MATCH(tblMovimientos[[#This Row],[Tipo]],tblTiposMov[Tipo],0)),0))</f>
        <v/>
      </c>
      <c r="K37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8" s="37"/>
      <c r="O3748" s="37"/>
      <c r="P3748" s="37"/>
    </row>
    <row r="3749" spans="2:16" x14ac:dyDescent="0.25">
      <c r="B37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49" s="46"/>
      <c r="D3749" s="37"/>
      <c r="E3749" s="37"/>
      <c r="F3749" s="37"/>
      <c r="G3749" s="40" t="str">
        <f>IF(tblMovimientos[[#This Row],[Producto]]="","",TRIM(LEFT(tblMovimientos[[#This Row],[Producto]],FIND(" · ",tblMovimientos[[#This Row],[Producto]]&amp;" · ")-1)))</f>
        <v/>
      </c>
      <c r="H3749" s="40" t="str">
        <f>IF(tblMovimientos[[#This Row],[SKU]]="","",IFERROR(INDEX(tblProductos[Unidad],MATCH(tblMovimientos[[#This Row],[SKU]],tblProductos[SKU],0)),"?"))</f>
        <v/>
      </c>
      <c r="I3749" s="39"/>
      <c r="J3749" s="47" t="str">
        <f>IF(tblMovimientos[[#This Row],[Tipo]]="","",IFERROR(INDEX(tblTiposMov[FactorStock],MATCH(tblMovimientos[[#This Row],[Tipo]],tblTiposMov[Tipo],0)),0))</f>
        <v/>
      </c>
      <c r="K37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49" s="37"/>
      <c r="O3749" s="37"/>
      <c r="P3749" s="37"/>
    </row>
    <row r="3750" spans="2:16" x14ac:dyDescent="0.25">
      <c r="B37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0" s="46"/>
      <c r="D3750" s="37"/>
      <c r="E3750" s="37"/>
      <c r="F3750" s="37"/>
      <c r="G3750" s="40" t="str">
        <f>IF(tblMovimientos[[#This Row],[Producto]]="","",TRIM(LEFT(tblMovimientos[[#This Row],[Producto]],FIND(" · ",tblMovimientos[[#This Row],[Producto]]&amp;" · ")-1)))</f>
        <v/>
      </c>
      <c r="H3750" s="40" t="str">
        <f>IF(tblMovimientos[[#This Row],[SKU]]="","",IFERROR(INDEX(tblProductos[Unidad],MATCH(tblMovimientos[[#This Row],[SKU]],tblProductos[SKU],0)),"?"))</f>
        <v/>
      </c>
      <c r="I3750" s="39"/>
      <c r="J3750" s="47" t="str">
        <f>IF(tblMovimientos[[#This Row],[Tipo]]="","",IFERROR(INDEX(tblTiposMov[FactorStock],MATCH(tblMovimientos[[#This Row],[Tipo]],tblTiposMov[Tipo],0)),0))</f>
        <v/>
      </c>
      <c r="K37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0" s="37"/>
      <c r="O3750" s="37"/>
      <c r="P3750" s="37"/>
    </row>
    <row r="3751" spans="2:16" x14ac:dyDescent="0.25">
      <c r="B37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1" s="46"/>
      <c r="D3751" s="37"/>
      <c r="E3751" s="37"/>
      <c r="F3751" s="37"/>
      <c r="G3751" s="40" t="str">
        <f>IF(tblMovimientos[[#This Row],[Producto]]="","",TRIM(LEFT(tblMovimientos[[#This Row],[Producto]],FIND(" · ",tblMovimientos[[#This Row],[Producto]]&amp;" · ")-1)))</f>
        <v/>
      </c>
      <c r="H3751" s="40" t="str">
        <f>IF(tblMovimientos[[#This Row],[SKU]]="","",IFERROR(INDEX(tblProductos[Unidad],MATCH(tblMovimientos[[#This Row],[SKU]],tblProductos[SKU],0)),"?"))</f>
        <v/>
      </c>
      <c r="I3751" s="39"/>
      <c r="J3751" s="47" t="str">
        <f>IF(tblMovimientos[[#This Row],[Tipo]]="","",IFERROR(INDEX(tblTiposMov[FactorStock],MATCH(tblMovimientos[[#This Row],[Tipo]],tblTiposMov[Tipo],0)),0))</f>
        <v/>
      </c>
      <c r="K37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1" s="37"/>
      <c r="O3751" s="37"/>
      <c r="P3751" s="37"/>
    </row>
    <row r="3752" spans="2:16" x14ac:dyDescent="0.25">
      <c r="B37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2" s="46"/>
      <c r="D3752" s="37"/>
      <c r="E3752" s="37"/>
      <c r="F3752" s="37"/>
      <c r="G3752" s="40" t="str">
        <f>IF(tblMovimientos[[#This Row],[Producto]]="","",TRIM(LEFT(tblMovimientos[[#This Row],[Producto]],FIND(" · ",tblMovimientos[[#This Row],[Producto]]&amp;" · ")-1)))</f>
        <v/>
      </c>
      <c r="H3752" s="40" t="str">
        <f>IF(tblMovimientos[[#This Row],[SKU]]="","",IFERROR(INDEX(tblProductos[Unidad],MATCH(tblMovimientos[[#This Row],[SKU]],tblProductos[SKU],0)),"?"))</f>
        <v/>
      </c>
      <c r="I3752" s="39"/>
      <c r="J3752" s="47" t="str">
        <f>IF(tblMovimientos[[#This Row],[Tipo]]="","",IFERROR(INDEX(tblTiposMov[FactorStock],MATCH(tblMovimientos[[#This Row],[Tipo]],tblTiposMov[Tipo],0)),0))</f>
        <v/>
      </c>
      <c r="K37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2" s="37"/>
      <c r="O3752" s="37"/>
      <c r="P3752" s="37"/>
    </row>
    <row r="3753" spans="2:16" x14ac:dyDescent="0.25">
      <c r="B37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3" s="46"/>
      <c r="D3753" s="37"/>
      <c r="E3753" s="37"/>
      <c r="F3753" s="37"/>
      <c r="G3753" s="40" t="str">
        <f>IF(tblMovimientos[[#This Row],[Producto]]="","",TRIM(LEFT(tblMovimientos[[#This Row],[Producto]],FIND(" · ",tblMovimientos[[#This Row],[Producto]]&amp;" · ")-1)))</f>
        <v/>
      </c>
      <c r="H3753" s="40" t="str">
        <f>IF(tblMovimientos[[#This Row],[SKU]]="","",IFERROR(INDEX(tblProductos[Unidad],MATCH(tblMovimientos[[#This Row],[SKU]],tblProductos[SKU],0)),"?"))</f>
        <v/>
      </c>
      <c r="I3753" s="39"/>
      <c r="J3753" s="47" t="str">
        <f>IF(tblMovimientos[[#This Row],[Tipo]]="","",IFERROR(INDEX(tblTiposMov[FactorStock],MATCH(tblMovimientos[[#This Row],[Tipo]],tblTiposMov[Tipo],0)),0))</f>
        <v/>
      </c>
      <c r="K37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3" s="37"/>
      <c r="O3753" s="37"/>
      <c r="P3753" s="37"/>
    </row>
    <row r="3754" spans="2:16" x14ac:dyDescent="0.25">
      <c r="B37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4" s="46"/>
      <c r="D3754" s="37"/>
      <c r="E3754" s="37"/>
      <c r="F3754" s="37"/>
      <c r="G3754" s="40" t="str">
        <f>IF(tblMovimientos[[#This Row],[Producto]]="","",TRIM(LEFT(tblMovimientos[[#This Row],[Producto]],FIND(" · ",tblMovimientos[[#This Row],[Producto]]&amp;" · ")-1)))</f>
        <v/>
      </c>
      <c r="H3754" s="40" t="str">
        <f>IF(tblMovimientos[[#This Row],[SKU]]="","",IFERROR(INDEX(tblProductos[Unidad],MATCH(tblMovimientos[[#This Row],[SKU]],tblProductos[SKU],0)),"?"))</f>
        <v/>
      </c>
      <c r="I3754" s="39"/>
      <c r="J3754" s="47" t="str">
        <f>IF(tblMovimientos[[#This Row],[Tipo]]="","",IFERROR(INDEX(tblTiposMov[FactorStock],MATCH(tblMovimientos[[#This Row],[Tipo]],tblTiposMov[Tipo],0)),0))</f>
        <v/>
      </c>
      <c r="K37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4" s="37"/>
      <c r="O3754" s="37"/>
      <c r="P3754" s="37"/>
    </row>
    <row r="3755" spans="2:16" x14ac:dyDescent="0.25">
      <c r="B37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5" s="46"/>
      <c r="D3755" s="37"/>
      <c r="E3755" s="37"/>
      <c r="F3755" s="37"/>
      <c r="G3755" s="40" t="str">
        <f>IF(tblMovimientos[[#This Row],[Producto]]="","",TRIM(LEFT(tblMovimientos[[#This Row],[Producto]],FIND(" · ",tblMovimientos[[#This Row],[Producto]]&amp;" · ")-1)))</f>
        <v/>
      </c>
      <c r="H3755" s="40" t="str">
        <f>IF(tblMovimientos[[#This Row],[SKU]]="","",IFERROR(INDEX(tblProductos[Unidad],MATCH(tblMovimientos[[#This Row],[SKU]],tblProductos[SKU],0)),"?"))</f>
        <v/>
      </c>
      <c r="I3755" s="39"/>
      <c r="J3755" s="47" t="str">
        <f>IF(tblMovimientos[[#This Row],[Tipo]]="","",IFERROR(INDEX(tblTiposMov[FactorStock],MATCH(tblMovimientos[[#This Row],[Tipo]],tblTiposMov[Tipo],0)),0))</f>
        <v/>
      </c>
      <c r="K37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5" s="37"/>
      <c r="O3755" s="37"/>
      <c r="P3755" s="37"/>
    </row>
    <row r="3756" spans="2:16" x14ac:dyDescent="0.25">
      <c r="B37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6" s="46"/>
      <c r="D3756" s="37"/>
      <c r="E3756" s="37"/>
      <c r="F3756" s="37"/>
      <c r="G3756" s="40" t="str">
        <f>IF(tblMovimientos[[#This Row],[Producto]]="","",TRIM(LEFT(tblMovimientos[[#This Row],[Producto]],FIND(" · ",tblMovimientos[[#This Row],[Producto]]&amp;" · ")-1)))</f>
        <v/>
      </c>
      <c r="H3756" s="40" t="str">
        <f>IF(tblMovimientos[[#This Row],[SKU]]="","",IFERROR(INDEX(tblProductos[Unidad],MATCH(tblMovimientos[[#This Row],[SKU]],tblProductos[SKU],0)),"?"))</f>
        <v/>
      </c>
      <c r="I3756" s="39"/>
      <c r="J3756" s="47" t="str">
        <f>IF(tblMovimientos[[#This Row],[Tipo]]="","",IFERROR(INDEX(tblTiposMov[FactorStock],MATCH(tblMovimientos[[#This Row],[Tipo]],tblTiposMov[Tipo],0)),0))</f>
        <v/>
      </c>
      <c r="K37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6" s="37"/>
      <c r="O3756" s="37"/>
      <c r="P3756" s="37"/>
    </row>
    <row r="3757" spans="2:16" x14ac:dyDescent="0.25">
      <c r="B37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7" s="46"/>
      <c r="D3757" s="37"/>
      <c r="E3757" s="37"/>
      <c r="F3757" s="37"/>
      <c r="G3757" s="40" t="str">
        <f>IF(tblMovimientos[[#This Row],[Producto]]="","",TRIM(LEFT(tblMovimientos[[#This Row],[Producto]],FIND(" · ",tblMovimientos[[#This Row],[Producto]]&amp;" · ")-1)))</f>
        <v/>
      </c>
      <c r="H3757" s="40" t="str">
        <f>IF(tblMovimientos[[#This Row],[SKU]]="","",IFERROR(INDEX(tblProductos[Unidad],MATCH(tblMovimientos[[#This Row],[SKU]],tblProductos[SKU],0)),"?"))</f>
        <v/>
      </c>
      <c r="I3757" s="39"/>
      <c r="J3757" s="47" t="str">
        <f>IF(tblMovimientos[[#This Row],[Tipo]]="","",IFERROR(INDEX(tblTiposMov[FactorStock],MATCH(tblMovimientos[[#This Row],[Tipo]],tblTiposMov[Tipo],0)),0))</f>
        <v/>
      </c>
      <c r="K37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7" s="37"/>
      <c r="O3757" s="37"/>
      <c r="P3757" s="37"/>
    </row>
    <row r="3758" spans="2:16" x14ac:dyDescent="0.25">
      <c r="B37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8" s="46"/>
      <c r="D3758" s="37"/>
      <c r="E3758" s="37"/>
      <c r="F3758" s="37"/>
      <c r="G3758" s="40" t="str">
        <f>IF(tblMovimientos[[#This Row],[Producto]]="","",TRIM(LEFT(tblMovimientos[[#This Row],[Producto]],FIND(" · ",tblMovimientos[[#This Row],[Producto]]&amp;" · ")-1)))</f>
        <v/>
      </c>
      <c r="H3758" s="40" t="str">
        <f>IF(tblMovimientos[[#This Row],[SKU]]="","",IFERROR(INDEX(tblProductos[Unidad],MATCH(tblMovimientos[[#This Row],[SKU]],tblProductos[SKU],0)),"?"))</f>
        <v/>
      </c>
      <c r="I3758" s="39"/>
      <c r="J3758" s="47" t="str">
        <f>IF(tblMovimientos[[#This Row],[Tipo]]="","",IFERROR(INDEX(tblTiposMov[FactorStock],MATCH(tblMovimientos[[#This Row],[Tipo]],tblTiposMov[Tipo],0)),0))</f>
        <v/>
      </c>
      <c r="K37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8" s="37"/>
      <c r="O3758" s="37"/>
      <c r="P3758" s="37"/>
    </row>
    <row r="3759" spans="2:16" x14ac:dyDescent="0.25">
      <c r="B37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59" s="46"/>
      <c r="D3759" s="37"/>
      <c r="E3759" s="37"/>
      <c r="F3759" s="37"/>
      <c r="G3759" s="40" t="str">
        <f>IF(tblMovimientos[[#This Row],[Producto]]="","",TRIM(LEFT(tblMovimientos[[#This Row],[Producto]],FIND(" · ",tblMovimientos[[#This Row],[Producto]]&amp;" · ")-1)))</f>
        <v/>
      </c>
      <c r="H3759" s="40" t="str">
        <f>IF(tblMovimientos[[#This Row],[SKU]]="","",IFERROR(INDEX(tblProductos[Unidad],MATCH(tblMovimientos[[#This Row],[SKU]],tblProductos[SKU],0)),"?"))</f>
        <v/>
      </c>
      <c r="I3759" s="39"/>
      <c r="J3759" s="47" t="str">
        <f>IF(tblMovimientos[[#This Row],[Tipo]]="","",IFERROR(INDEX(tblTiposMov[FactorStock],MATCH(tblMovimientos[[#This Row],[Tipo]],tblTiposMov[Tipo],0)),0))</f>
        <v/>
      </c>
      <c r="K37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59" s="37"/>
      <c r="O3759" s="37"/>
      <c r="P3759" s="37"/>
    </row>
    <row r="3760" spans="2:16" x14ac:dyDescent="0.25">
      <c r="B37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0" s="46"/>
      <c r="D3760" s="37"/>
      <c r="E3760" s="37"/>
      <c r="F3760" s="37"/>
      <c r="G3760" s="40" t="str">
        <f>IF(tblMovimientos[[#This Row],[Producto]]="","",TRIM(LEFT(tblMovimientos[[#This Row],[Producto]],FIND(" · ",tblMovimientos[[#This Row],[Producto]]&amp;" · ")-1)))</f>
        <v/>
      </c>
      <c r="H3760" s="40" t="str">
        <f>IF(tblMovimientos[[#This Row],[SKU]]="","",IFERROR(INDEX(tblProductos[Unidad],MATCH(tblMovimientos[[#This Row],[SKU]],tblProductos[SKU],0)),"?"))</f>
        <v/>
      </c>
      <c r="I3760" s="39"/>
      <c r="J3760" s="47" t="str">
        <f>IF(tblMovimientos[[#This Row],[Tipo]]="","",IFERROR(INDEX(tblTiposMov[FactorStock],MATCH(tblMovimientos[[#This Row],[Tipo]],tblTiposMov[Tipo],0)),0))</f>
        <v/>
      </c>
      <c r="K37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0" s="37"/>
      <c r="O3760" s="37"/>
      <c r="P3760" s="37"/>
    </row>
    <row r="3761" spans="2:16" x14ac:dyDescent="0.25">
      <c r="B37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1" s="46"/>
      <c r="D3761" s="37"/>
      <c r="E3761" s="37"/>
      <c r="F3761" s="37"/>
      <c r="G3761" s="40" t="str">
        <f>IF(tblMovimientos[[#This Row],[Producto]]="","",TRIM(LEFT(tblMovimientos[[#This Row],[Producto]],FIND(" · ",tblMovimientos[[#This Row],[Producto]]&amp;" · ")-1)))</f>
        <v/>
      </c>
      <c r="H3761" s="40" t="str">
        <f>IF(tblMovimientos[[#This Row],[SKU]]="","",IFERROR(INDEX(tblProductos[Unidad],MATCH(tblMovimientos[[#This Row],[SKU]],tblProductos[SKU],0)),"?"))</f>
        <v/>
      </c>
      <c r="I3761" s="39"/>
      <c r="J3761" s="47" t="str">
        <f>IF(tblMovimientos[[#This Row],[Tipo]]="","",IFERROR(INDEX(tblTiposMov[FactorStock],MATCH(tblMovimientos[[#This Row],[Tipo]],tblTiposMov[Tipo],0)),0))</f>
        <v/>
      </c>
      <c r="K37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1" s="37"/>
      <c r="O3761" s="37"/>
      <c r="P3761" s="37"/>
    </row>
    <row r="3762" spans="2:16" x14ac:dyDescent="0.25">
      <c r="B37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2" s="46"/>
      <c r="D3762" s="37"/>
      <c r="E3762" s="37"/>
      <c r="F3762" s="37"/>
      <c r="G3762" s="40" t="str">
        <f>IF(tblMovimientos[[#This Row],[Producto]]="","",TRIM(LEFT(tblMovimientos[[#This Row],[Producto]],FIND(" · ",tblMovimientos[[#This Row],[Producto]]&amp;" · ")-1)))</f>
        <v/>
      </c>
      <c r="H3762" s="40" t="str">
        <f>IF(tblMovimientos[[#This Row],[SKU]]="","",IFERROR(INDEX(tblProductos[Unidad],MATCH(tblMovimientos[[#This Row],[SKU]],tblProductos[SKU],0)),"?"))</f>
        <v/>
      </c>
      <c r="I3762" s="39"/>
      <c r="J3762" s="47" t="str">
        <f>IF(tblMovimientos[[#This Row],[Tipo]]="","",IFERROR(INDEX(tblTiposMov[FactorStock],MATCH(tblMovimientos[[#This Row],[Tipo]],tblTiposMov[Tipo],0)),0))</f>
        <v/>
      </c>
      <c r="K37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2" s="37"/>
      <c r="O3762" s="37"/>
      <c r="P3762" s="37"/>
    </row>
    <row r="3763" spans="2:16" x14ac:dyDescent="0.25">
      <c r="B37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3" s="46"/>
      <c r="D3763" s="37"/>
      <c r="E3763" s="37"/>
      <c r="F3763" s="37"/>
      <c r="G3763" s="40" t="str">
        <f>IF(tblMovimientos[[#This Row],[Producto]]="","",TRIM(LEFT(tblMovimientos[[#This Row],[Producto]],FIND(" · ",tblMovimientos[[#This Row],[Producto]]&amp;" · ")-1)))</f>
        <v/>
      </c>
      <c r="H3763" s="40" t="str">
        <f>IF(tblMovimientos[[#This Row],[SKU]]="","",IFERROR(INDEX(tblProductos[Unidad],MATCH(tblMovimientos[[#This Row],[SKU]],tblProductos[SKU],0)),"?"))</f>
        <v/>
      </c>
      <c r="I3763" s="39"/>
      <c r="J3763" s="47" t="str">
        <f>IF(tblMovimientos[[#This Row],[Tipo]]="","",IFERROR(INDEX(tblTiposMov[FactorStock],MATCH(tblMovimientos[[#This Row],[Tipo]],tblTiposMov[Tipo],0)),0))</f>
        <v/>
      </c>
      <c r="K37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3" s="37"/>
      <c r="O3763" s="37"/>
      <c r="P3763" s="37"/>
    </row>
    <row r="3764" spans="2:16" x14ac:dyDescent="0.25">
      <c r="B37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4" s="46"/>
      <c r="D3764" s="37"/>
      <c r="E3764" s="37"/>
      <c r="F3764" s="37"/>
      <c r="G3764" s="40" t="str">
        <f>IF(tblMovimientos[[#This Row],[Producto]]="","",TRIM(LEFT(tblMovimientos[[#This Row],[Producto]],FIND(" · ",tblMovimientos[[#This Row],[Producto]]&amp;" · ")-1)))</f>
        <v/>
      </c>
      <c r="H3764" s="40" t="str">
        <f>IF(tblMovimientos[[#This Row],[SKU]]="","",IFERROR(INDEX(tblProductos[Unidad],MATCH(tblMovimientos[[#This Row],[SKU]],tblProductos[SKU],0)),"?"))</f>
        <v/>
      </c>
      <c r="I3764" s="39"/>
      <c r="J3764" s="47" t="str">
        <f>IF(tblMovimientos[[#This Row],[Tipo]]="","",IFERROR(INDEX(tblTiposMov[FactorStock],MATCH(tblMovimientos[[#This Row],[Tipo]],tblTiposMov[Tipo],0)),0))</f>
        <v/>
      </c>
      <c r="K37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4" s="37"/>
      <c r="O3764" s="37"/>
      <c r="P3764" s="37"/>
    </row>
    <row r="3765" spans="2:16" x14ac:dyDescent="0.25">
      <c r="B37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5" s="46"/>
      <c r="D3765" s="37"/>
      <c r="E3765" s="37"/>
      <c r="F3765" s="37"/>
      <c r="G3765" s="40" t="str">
        <f>IF(tblMovimientos[[#This Row],[Producto]]="","",TRIM(LEFT(tblMovimientos[[#This Row],[Producto]],FIND(" · ",tblMovimientos[[#This Row],[Producto]]&amp;" · ")-1)))</f>
        <v/>
      </c>
      <c r="H3765" s="40" t="str">
        <f>IF(tblMovimientos[[#This Row],[SKU]]="","",IFERROR(INDEX(tblProductos[Unidad],MATCH(tblMovimientos[[#This Row],[SKU]],tblProductos[SKU],0)),"?"))</f>
        <v/>
      </c>
      <c r="I3765" s="39"/>
      <c r="J3765" s="47" t="str">
        <f>IF(tblMovimientos[[#This Row],[Tipo]]="","",IFERROR(INDEX(tblTiposMov[FactorStock],MATCH(tblMovimientos[[#This Row],[Tipo]],tblTiposMov[Tipo],0)),0))</f>
        <v/>
      </c>
      <c r="K37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5" s="37"/>
      <c r="O3765" s="37"/>
      <c r="P3765" s="37"/>
    </row>
    <row r="3766" spans="2:16" x14ac:dyDescent="0.25">
      <c r="B37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6" s="46"/>
      <c r="D3766" s="37"/>
      <c r="E3766" s="37"/>
      <c r="F3766" s="37"/>
      <c r="G3766" s="40" t="str">
        <f>IF(tblMovimientos[[#This Row],[Producto]]="","",TRIM(LEFT(tblMovimientos[[#This Row],[Producto]],FIND(" · ",tblMovimientos[[#This Row],[Producto]]&amp;" · ")-1)))</f>
        <v/>
      </c>
      <c r="H3766" s="40" t="str">
        <f>IF(tblMovimientos[[#This Row],[SKU]]="","",IFERROR(INDEX(tblProductos[Unidad],MATCH(tblMovimientos[[#This Row],[SKU]],tblProductos[SKU],0)),"?"))</f>
        <v/>
      </c>
      <c r="I3766" s="39"/>
      <c r="J3766" s="47" t="str">
        <f>IF(tblMovimientos[[#This Row],[Tipo]]="","",IFERROR(INDEX(tblTiposMov[FactorStock],MATCH(tblMovimientos[[#This Row],[Tipo]],tblTiposMov[Tipo],0)),0))</f>
        <v/>
      </c>
      <c r="K37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6" s="37"/>
      <c r="O3766" s="37"/>
      <c r="P3766" s="37"/>
    </row>
    <row r="3767" spans="2:16" x14ac:dyDescent="0.25">
      <c r="B37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7" s="46"/>
      <c r="D3767" s="37"/>
      <c r="E3767" s="37"/>
      <c r="F3767" s="37"/>
      <c r="G3767" s="40" t="str">
        <f>IF(tblMovimientos[[#This Row],[Producto]]="","",TRIM(LEFT(tblMovimientos[[#This Row],[Producto]],FIND(" · ",tblMovimientos[[#This Row],[Producto]]&amp;" · ")-1)))</f>
        <v/>
      </c>
      <c r="H3767" s="40" t="str">
        <f>IF(tblMovimientos[[#This Row],[SKU]]="","",IFERROR(INDEX(tblProductos[Unidad],MATCH(tblMovimientos[[#This Row],[SKU]],tblProductos[SKU],0)),"?"))</f>
        <v/>
      </c>
      <c r="I3767" s="39"/>
      <c r="J3767" s="47" t="str">
        <f>IF(tblMovimientos[[#This Row],[Tipo]]="","",IFERROR(INDEX(tblTiposMov[FactorStock],MATCH(tblMovimientos[[#This Row],[Tipo]],tblTiposMov[Tipo],0)),0))</f>
        <v/>
      </c>
      <c r="K37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7" s="37"/>
      <c r="O3767" s="37"/>
      <c r="P3767" s="37"/>
    </row>
    <row r="3768" spans="2:16" x14ac:dyDescent="0.25">
      <c r="B37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8" s="46"/>
      <c r="D3768" s="37"/>
      <c r="E3768" s="37"/>
      <c r="F3768" s="37"/>
      <c r="G3768" s="40" t="str">
        <f>IF(tblMovimientos[[#This Row],[Producto]]="","",TRIM(LEFT(tblMovimientos[[#This Row],[Producto]],FIND(" · ",tblMovimientos[[#This Row],[Producto]]&amp;" · ")-1)))</f>
        <v/>
      </c>
      <c r="H3768" s="40" t="str">
        <f>IF(tblMovimientos[[#This Row],[SKU]]="","",IFERROR(INDEX(tblProductos[Unidad],MATCH(tblMovimientos[[#This Row],[SKU]],tblProductos[SKU],0)),"?"))</f>
        <v/>
      </c>
      <c r="I3768" s="39"/>
      <c r="J3768" s="47" t="str">
        <f>IF(tblMovimientos[[#This Row],[Tipo]]="","",IFERROR(INDEX(tblTiposMov[FactorStock],MATCH(tblMovimientos[[#This Row],[Tipo]],tblTiposMov[Tipo],0)),0))</f>
        <v/>
      </c>
      <c r="K37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8" s="37"/>
      <c r="O3768" s="37"/>
      <c r="P3768" s="37"/>
    </row>
    <row r="3769" spans="2:16" x14ac:dyDescent="0.25">
      <c r="B37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69" s="46"/>
      <c r="D3769" s="37"/>
      <c r="E3769" s="37"/>
      <c r="F3769" s="37"/>
      <c r="G3769" s="40" t="str">
        <f>IF(tblMovimientos[[#This Row],[Producto]]="","",TRIM(LEFT(tblMovimientos[[#This Row],[Producto]],FIND(" · ",tblMovimientos[[#This Row],[Producto]]&amp;" · ")-1)))</f>
        <v/>
      </c>
      <c r="H3769" s="40" t="str">
        <f>IF(tblMovimientos[[#This Row],[SKU]]="","",IFERROR(INDEX(tblProductos[Unidad],MATCH(tblMovimientos[[#This Row],[SKU]],tblProductos[SKU],0)),"?"))</f>
        <v/>
      </c>
      <c r="I3769" s="39"/>
      <c r="J3769" s="47" t="str">
        <f>IF(tblMovimientos[[#This Row],[Tipo]]="","",IFERROR(INDEX(tblTiposMov[FactorStock],MATCH(tblMovimientos[[#This Row],[Tipo]],tblTiposMov[Tipo],0)),0))</f>
        <v/>
      </c>
      <c r="K37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69" s="37"/>
      <c r="O3769" s="37"/>
      <c r="P3769" s="37"/>
    </row>
    <row r="3770" spans="2:16" x14ac:dyDescent="0.25">
      <c r="B37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0" s="46"/>
      <c r="D3770" s="37"/>
      <c r="E3770" s="37"/>
      <c r="F3770" s="37"/>
      <c r="G3770" s="40" t="str">
        <f>IF(tblMovimientos[[#This Row],[Producto]]="","",TRIM(LEFT(tblMovimientos[[#This Row],[Producto]],FIND(" · ",tblMovimientos[[#This Row],[Producto]]&amp;" · ")-1)))</f>
        <v/>
      </c>
      <c r="H3770" s="40" t="str">
        <f>IF(tblMovimientos[[#This Row],[SKU]]="","",IFERROR(INDEX(tblProductos[Unidad],MATCH(tblMovimientos[[#This Row],[SKU]],tblProductos[SKU],0)),"?"))</f>
        <v/>
      </c>
      <c r="I3770" s="39"/>
      <c r="J3770" s="47" t="str">
        <f>IF(tblMovimientos[[#This Row],[Tipo]]="","",IFERROR(INDEX(tblTiposMov[FactorStock],MATCH(tblMovimientos[[#This Row],[Tipo]],tblTiposMov[Tipo],0)),0))</f>
        <v/>
      </c>
      <c r="K37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0" s="37"/>
      <c r="O3770" s="37"/>
      <c r="P3770" s="37"/>
    </row>
    <row r="3771" spans="2:16" x14ac:dyDescent="0.25">
      <c r="B37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1" s="46"/>
      <c r="D3771" s="37"/>
      <c r="E3771" s="37"/>
      <c r="F3771" s="37"/>
      <c r="G3771" s="40" t="str">
        <f>IF(tblMovimientos[[#This Row],[Producto]]="","",TRIM(LEFT(tblMovimientos[[#This Row],[Producto]],FIND(" · ",tblMovimientos[[#This Row],[Producto]]&amp;" · ")-1)))</f>
        <v/>
      </c>
      <c r="H3771" s="40" t="str">
        <f>IF(tblMovimientos[[#This Row],[SKU]]="","",IFERROR(INDEX(tblProductos[Unidad],MATCH(tblMovimientos[[#This Row],[SKU]],tblProductos[SKU],0)),"?"))</f>
        <v/>
      </c>
      <c r="I3771" s="39"/>
      <c r="J3771" s="47" t="str">
        <f>IF(tblMovimientos[[#This Row],[Tipo]]="","",IFERROR(INDEX(tblTiposMov[FactorStock],MATCH(tblMovimientos[[#This Row],[Tipo]],tblTiposMov[Tipo],0)),0))</f>
        <v/>
      </c>
      <c r="K37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1" s="37"/>
      <c r="O3771" s="37"/>
      <c r="P3771" s="37"/>
    </row>
    <row r="3772" spans="2:16" x14ac:dyDescent="0.25">
      <c r="B37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2" s="46"/>
      <c r="D3772" s="37"/>
      <c r="E3772" s="37"/>
      <c r="F3772" s="37"/>
      <c r="G3772" s="40" t="str">
        <f>IF(tblMovimientos[[#This Row],[Producto]]="","",TRIM(LEFT(tblMovimientos[[#This Row],[Producto]],FIND(" · ",tblMovimientos[[#This Row],[Producto]]&amp;" · ")-1)))</f>
        <v/>
      </c>
      <c r="H3772" s="40" t="str">
        <f>IF(tblMovimientos[[#This Row],[SKU]]="","",IFERROR(INDEX(tblProductos[Unidad],MATCH(tblMovimientos[[#This Row],[SKU]],tblProductos[SKU],0)),"?"))</f>
        <v/>
      </c>
      <c r="I3772" s="39"/>
      <c r="J3772" s="47" t="str">
        <f>IF(tblMovimientos[[#This Row],[Tipo]]="","",IFERROR(INDEX(tblTiposMov[FactorStock],MATCH(tblMovimientos[[#This Row],[Tipo]],tblTiposMov[Tipo],0)),0))</f>
        <v/>
      </c>
      <c r="K37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2" s="37"/>
      <c r="O3772" s="37"/>
      <c r="P3772" s="37"/>
    </row>
    <row r="3773" spans="2:16" x14ac:dyDescent="0.25">
      <c r="B37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3" s="46"/>
      <c r="D3773" s="37"/>
      <c r="E3773" s="37"/>
      <c r="F3773" s="37"/>
      <c r="G3773" s="40" t="str">
        <f>IF(tblMovimientos[[#This Row],[Producto]]="","",TRIM(LEFT(tblMovimientos[[#This Row],[Producto]],FIND(" · ",tblMovimientos[[#This Row],[Producto]]&amp;" · ")-1)))</f>
        <v/>
      </c>
      <c r="H3773" s="40" t="str">
        <f>IF(tblMovimientos[[#This Row],[SKU]]="","",IFERROR(INDEX(tblProductos[Unidad],MATCH(tblMovimientos[[#This Row],[SKU]],tblProductos[SKU],0)),"?"))</f>
        <v/>
      </c>
      <c r="I3773" s="39"/>
      <c r="J3773" s="47" t="str">
        <f>IF(tblMovimientos[[#This Row],[Tipo]]="","",IFERROR(INDEX(tblTiposMov[FactorStock],MATCH(tblMovimientos[[#This Row],[Tipo]],tblTiposMov[Tipo],0)),0))</f>
        <v/>
      </c>
      <c r="K37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3" s="37"/>
      <c r="O3773" s="37"/>
      <c r="P3773" s="37"/>
    </row>
    <row r="3774" spans="2:16" x14ac:dyDescent="0.25">
      <c r="B37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4" s="46"/>
      <c r="D3774" s="37"/>
      <c r="E3774" s="37"/>
      <c r="F3774" s="37"/>
      <c r="G3774" s="40" t="str">
        <f>IF(tblMovimientos[[#This Row],[Producto]]="","",TRIM(LEFT(tblMovimientos[[#This Row],[Producto]],FIND(" · ",tblMovimientos[[#This Row],[Producto]]&amp;" · ")-1)))</f>
        <v/>
      </c>
      <c r="H3774" s="40" t="str">
        <f>IF(tblMovimientos[[#This Row],[SKU]]="","",IFERROR(INDEX(tblProductos[Unidad],MATCH(tblMovimientos[[#This Row],[SKU]],tblProductos[SKU],0)),"?"))</f>
        <v/>
      </c>
      <c r="I3774" s="39"/>
      <c r="J3774" s="47" t="str">
        <f>IF(tblMovimientos[[#This Row],[Tipo]]="","",IFERROR(INDEX(tblTiposMov[FactorStock],MATCH(tblMovimientos[[#This Row],[Tipo]],tblTiposMov[Tipo],0)),0))</f>
        <v/>
      </c>
      <c r="K37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4" s="37"/>
      <c r="O3774" s="37"/>
      <c r="P3774" s="37"/>
    </row>
    <row r="3775" spans="2:16" x14ac:dyDescent="0.25">
      <c r="B37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5" s="46"/>
      <c r="D3775" s="37"/>
      <c r="E3775" s="37"/>
      <c r="F3775" s="37"/>
      <c r="G3775" s="40" t="str">
        <f>IF(tblMovimientos[[#This Row],[Producto]]="","",TRIM(LEFT(tblMovimientos[[#This Row],[Producto]],FIND(" · ",tblMovimientos[[#This Row],[Producto]]&amp;" · ")-1)))</f>
        <v/>
      </c>
      <c r="H3775" s="40" t="str">
        <f>IF(tblMovimientos[[#This Row],[SKU]]="","",IFERROR(INDEX(tblProductos[Unidad],MATCH(tblMovimientos[[#This Row],[SKU]],tblProductos[SKU],0)),"?"))</f>
        <v/>
      </c>
      <c r="I3775" s="39"/>
      <c r="J3775" s="47" t="str">
        <f>IF(tblMovimientos[[#This Row],[Tipo]]="","",IFERROR(INDEX(tblTiposMov[FactorStock],MATCH(tblMovimientos[[#This Row],[Tipo]],tblTiposMov[Tipo],0)),0))</f>
        <v/>
      </c>
      <c r="K37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5" s="37"/>
      <c r="O3775" s="37"/>
      <c r="P3775" s="37"/>
    </row>
    <row r="3776" spans="2:16" x14ac:dyDescent="0.25">
      <c r="B37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6" s="46"/>
      <c r="D3776" s="37"/>
      <c r="E3776" s="37"/>
      <c r="F3776" s="37"/>
      <c r="G3776" s="40" t="str">
        <f>IF(tblMovimientos[[#This Row],[Producto]]="","",TRIM(LEFT(tblMovimientos[[#This Row],[Producto]],FIND(" · ",tblMovimientos[[#This Row],[Producto]]&amp;" · ")-1)))</f>
        <v/>
      </c>
      <c r="H3776" s="40" t="str">
        <f>IF(tblMovimientos[[#This Row],[SKU]]="","",IFERROR(INDEX(tblProductos[Unidad],MATCH(tblMovimientos[[#This Row],[SKU]],tblProductos[SKU],0)),"?"))</f>
        <v/>
      </c>
      <c r="I3776" s="39"/>
      <c r="J3776" s="47" t="str">
        <f>IF(tblMovimientos[[#This Row],[Tipo]]="","",IFERROR(INDEX(tblTiposMov[FactorStock],MATCH(tblMovimientos[[#This Row],[Tipo]],tblTiposMov[Tipo],0)),0))</f>
        <v/>
      </c>
      <c r="K37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6" s="37"/>
      <c r="O3776" s="37"/>
      <c r="P3776" s="37"/>
    </row>
    <row r="3777" spans="2:16" x14ac:dyDescent="0.25">
      <c r="B37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7" s="46"/>
      <c r="D3777" s="37"/>
      <c r="E3777" s="37"/>
      <c r="F3777" s="37"/>
      <c r="G3777" s="40" t="str">
        <f>IF(tblMovimientos[[#This Row],[Producto]]="","",TRIM(LEFT(tblMovimientos[[#This Row],[Producto]],FIND(" · ",tblMovimientos[[#This Row],[Producto]]&amp;" · ")-1)))</f>
        <v/>
      </c>
      <c r="H3777" s="40" t="str">
        <f>IF(tblMovimientos[[#This Row],[SKU]]="","",IFERROR(INDEX(tblProductos[Unidad],MATCH(tblMovimientos[[#This Row],[SKU]],tblProductos[SKU],0)),"?"))</f>
        <v/>
      </c>
      <c r="I3777" s="39"/>
      <c r="J3777" s="47" t="str">
        <f>IF(tblMovimientos[[#This Row],[Tipo]]="","",IFERROR(INDEX(tblTiposMov[FactorStock],MATCH(tblMovimientos[[#This Row],[Tipo]],tblTiposMov[Tipo],0)),0))</f>
        <v/>
      </c>
      <c r="K37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7" s="37"/>
      <c r="O3777" s="37"/>
      <c r="P3777" s="37"/>
    </row>
    <row r="3778" spans="2:16" x14ac:dyDescent="0.25">
      <c r="B37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8" s="46"/>
      <c r="D3778" s="37"/>
      <c r="E3778" s="37"/>
      <c r="F3778" s="37"/>
      <c r="G3778" s="40" t="str">
        <f>IF(tblMovimientos[[#This Row],[Producto]]="","",TRIM(LEFT(tblMovimientos[[#This Row],[Producto]],FIND(" · ",tblMovimientos[[#This Row],[Producto]]&amp;" · ")-1)))</f>
        <v/>
      </c>
      <c r="H3778" s="40" t="str">
        <f>IF(tblMovimientos[[#This Row],[SKU]]="","",IFERROR(INDEX(tblProductos[Unidad],MATCH(tblMovimientos[[#This Row],[SKU]],tblProductos[SKU],0)),"?"))</f>
        <v/>
      </c>
      <c r="I3778" s="39"/>
      <c r="J3778" s="47" t="str">
        <f>IF(tblMovimientos[[#This Row],[Tipo]]="","",IFERROR(INDEX(tblTiposMov[FactorStock],MATCH(tblMovimientos[[#This Row],[Tipo]],tblTiposMov[Tipo],0)),0))</f>
        <v/>
      </c>
      <c r="K37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8" s="37"/>
      <c r="O3778" s="37"/>
      <c r="P3778" s="37"/>
    </row>
    <row r="3779" spans="2:16" x14ac:dyDescent="0.25">
      <c r="B37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79" s="46"/>
      <c r="D3779" s="37"/>
      <c r="E3779" s="37"/>
      <c r="F3779" s="37"/>
      <c r="G3779" s="40" t="str">
        <f>IF(tblMovimientos[[#This Row],[Producto]]="","",TRIM(LEFT(tblMovimientos[[#This Row],[Producto]],FIND(" · ",tblMovimientos[[#This Row],[Producto]]&amp;" · ")-1)))</f>
        <v/>
      </c>
      <c r="H3779" s="40" t="str">
        <f>IF(tblMovimientos[[#This Row],[SKU]]="","",IFERROR(INDEX(tblProductos[Unidad],MATCH(tblMovimientos[[#This Row],[SKU]],tblProductos[SKU],0)),"?"))</f>
        <v/>
      </c>
      <c r="I3779" s="39"/>
      <c r="J3779" s="47" t="str">
        <f>IF(tblMovimientos[[#This Row],[Tipo]]="","",IFERROR(INDEX(tblTiposMov[FactorStock],MATCH(tblMovimientos[[#This Row],[Tipo]],tblTiposMov[Tipo],0)),0))</f>
        <v/>
      </c>
      <c r="K37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79" s="37"/>
      <c r="O3779" s="37"/>
      <c r="P3779" s="37"/>
    </row>
    <row r="3780" spans="2:16" x14ac:dyDescent="0.25">
      <c r="B37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0" s="46"/>
      <c r="D3780" s="37"/>
      <c r="E3780" s="37"/>
      <c r="F3780" s="37"/>
      <c r="G3780" s="40" t="str">
        <f>IF(tblMovimientos[[#This Row],[Producto]]="","",TRIM(LEFT(tblMovimientos[[#This Row],[Producto]],FIND(" · ",tblMovimientos[[#This Row],[Producto]]&amp;" · ")-1)))</f>
        <v/>
      </c>
      <c r="H3780" s="40" t="str">
        <f>IF(tblMovimientos[[#This Row],[SKU]]="","",IFERROR(INDEX(tblProductos[Unidad],MATCH(tblMovimientos[[#This Row],[SKU]],tblProductos[SKU],0)),"?"))</f>
        <v/>
      </c>
      <c r="I3780" s="39"/>
      <c r="J3780" s="47" t="str">
        <f>IF(tblMovimientos[[#This Row],[Tipo]]="","",IFERROR(INDEX(tblTiposMov[FactorStock],MATCH(tblMovimientos[[#This Row],[Tipo]],tblTiposMov[Tipo],0)),0))</f>
        <v/>
      </c>
      <c r="K37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0" s="37"/>
      <c r="O3780" s="37"/>
      <c r="P3780" s="37"/>
    </row>
    <row r="3781" spans="2:16" x14ac:dyDescent="0.25">
      <c r="B37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1" s="46"/>
      <c r="D3781" s="37"/>
      <c r="E3781" s="37"/>
      <c r="F3781" s="37"/>
      <c r="G3781" s="40" t="str">
        <f>IF(tblMovimientos[[#This Row],[Producto]]="","",TRIM(LEFT(tblMovimientos[[#This Row],[Producto]],FIND(" · ",tblMovimientos[[#This Row],[Producto]]&amp;" · ")-1)))</f>
        <v/>
      </c>
      <c r="H3781" s="40" t="str">
        <f>IF(tblMovimientos[[#This Row],[SKU]]="","",IFERROR(INDEX(tblProductos[Unidad],MATCH(tblMovimientos[[#This Row],[SKU]],tblProductos[SKU],0)),"?"))</f>
        <v/>
      </c>
      <c r="I3781" s="39"/>
      <c r="J3781" s="47" t="str">
        <f>IF(tblMovimientos[[#This Row],[Tipo]]="","",IFERROR(INDEX(tblTiposMov[FactorStock],MATCH(tblMovimientos[[#This Row],[Tipo]],tblTiposMov[Tipo],0)),0))</f>
        <v/>
      </c>
      <c r="K37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1" s="37"/>
      <c r="O3781" s="37"/>
      <c r="P3781" s="37"/>
    </row>
    <row r="3782" spans="2:16" x14ac:dyDescent="0.25">
      <c r="B37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2" s="46"/>
      <c r="D3782" s="37"/>
      <c r="E3782" s="37"/>
      <c r="F3782" s="37"/>
      <c r="G3782" s="40" t="str">
        <f>IF(tblMovimientos[[#This Row],[Producto]]="","",TRIM(LEFT(tblMovimientos[[#This Row],[Producto]],FIND(" · ",tblMovimientos[[#This Row],[Producto]]&amp;" · ")-1)))</f>
        <v/>
      </c>
      <c r="H3782" s="40" t="str">
        <f>IF(tblMovimientos[[#This Row],[SKU]]="","",IFERROR(INDEX(tblProductos[Unidad],MATCH(tblMovimientos[[#This Row],[SKU]],tblProductos[SKU],0)),"?"))</f>
        <v/>
      </c>
      <c r="I3782" s="39"/>
      <c r="J3782" s="47" t="str">
        <f>IF(tblMovimientos[[#This Row],[Tipo]]="","",IFERROR(INDEX(tblTiposMov[FactorStock],MATCH(tblMovimientos[[#This Row],[Tipo]],tblTiposMov[Tipo],0)),0))</f>
        <v/>
      </c>
      <c r="K37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2" s="37"/>
      <c r="O3782" s="37"/>
      <c r="P3782" s="37"/>
    </row>
    <row r="3783" spans="2:16" x14ac:dyDescent="0.25">
      <c r="B37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3" s="46"/>
      <c r="D3783" s="37"/>
      <c r="E3783" s="37"/>
      <c r="F3783" s="37"/>
      <c r="G3783" s="40" t="str">
        <f>IF(tblMovimientos[[#This Row],[Producto]]="","",TRIM(LEFT(tblMovimientos[[#This Row],[Producto]],FIND(" · ",tblMovimientos[[#This Row],[Producto]]&amp;" · ")-1)))</f>
        <v/>
      </c>
      <c r="H3783" s="40" t="str">
        <f>IF(tblMovimientos[[#This Row],[SKU]]="","",IFERROR(INDEX(tblProductos[Unidad],MATCH(tblMovimientos[[#This Row],[SKU]],tblProductos[SKU],0)),"?"))</f>
        <v/>
      </c>
      <c r="I3783" s="39"/>
      <c r="J3783" s="47" t="str">
        <f>IF(tblMovimientos[[#This Row],[Tipo]]="","",IFERROR(INDEX(tblTiposMov[FactorStock],MATCH(tblMovimientos[[#This Row],[Tipo]],tblTiposMov[Tipo],0)),0))</f>
        <v/>
      </c>
      <c r="K37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3" s="37"/>
      <c r="O3783" s="37"/>
      <c r="P3783" s="37"/>
    </row>
    <row r="3784" spans="2:16" x14ac:dyDescent="0.25">
      <c r="B37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4" s="46"/>
      <c r="D3784" s="37"/>
      <c r="E3784" s="37"/>
      <c r="F3784" s="37"/>
      <c r="G3784" s="40" t="str">
        <f>IF(tblMovimientos[[#This Row],[Producto]]="","",TRIM(LEFT(tblMovimientos[[#This Row],[Producto]],FIND(" · ",tblMovimientos[[#This Row],[Producto]]&amp;" · ")-1)))</f>
        <v/>
      </c>
      <c r="H3784" s="40" t="str">
        <f>IF(tblMovimientos[[#This Row],[SKU]]="","",IFERROR(INDEX(tblProductos[Unidad],MATCH(tblMovimientos[[#This Row],[SKU]],tblProductos[SKU],0)),"?"))</f>
        <v/>
      </c>
      <c r="I3784" s="39"/>
      <c r="J3784" s="47" t="str">
        <f>IF(tblMovimientos[[#This Row],[Tipo]]="","",IFERROR(INDEX(tblTiposMov[FactorStock],MATCH(tblMovimientos[[#This Row],[Tipo]],tblTiposMov[Tipo],0)),0))</f>
        <v/>
      </c>
      <c r="K37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4" s="37"/>
      <c r="O3784" s="37"/>
      <c r="P3784" s="37"/>
    </row>
    <row r="3785" spans="2:16" x14ac:dyDescent="0.25">
      <c r="B37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5" s="46"/>
      <c r="D3785" s="37"/>
      <c r="E3785" s="37"/>
      <c r="F3785" s="37"/>
      <c r="G3785" s="40" t="str">
        <f>IF(tblMovimientos[[#This Row],[Producto]]="","",TRIM(LEFT(tblMovimientos[[#This Row],[Producto]],FIND(" · ",tblMovimientos[[#This Row],[Producto]]&amp;" · ")-1)))</f>
        <v/>
      </c>
      <c r="H3785" s="40" t="str">
        <f>IF(tblMovimientos[[#This Row],[SKU]]="","",IFERROR(INDEX(tblProductos[Unidad],MATCH(tblMovimientos[[#This Row],[SKU]],tblProductos[SKU],0)),"?"))</f>
        <v/>
      </c>
      <c r="I3785" s="39"/>
      <c r="J3785" s="47" t="str">
        <f>IF(tblMovimientos[[#This Row],[Tipo]]="","",IFERROR(INDEX(tblTiposMov[FactorStock],MATCH(tblMovimientos[[#This Row],[Tipo]],tblTiposMov[Tipo],0)),0))</f>
        <v/>
      </c>
      <c r="K37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5" s="37"/>
      <c r="O3785" s="37"/>
      <c r="P3785" s="37"/>
    </row>
    <row r="3786" spans="2:16" x14ac:dyDescent="0.25">
      <c r="B37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6" s="46"/>
      <c r="D3786" s="37"/>
      <c r="E3786" s="37"/>
      <c r="F3786" s="37"/>
      <c r="G3786" s="40" t="str">
        <f>IF(tblMovimientos[[#This Row],[Producto]]="","",TRIM(LEFT(tblMovimientos[[#This Row],[Producto]],FIND(" · ",tblMovimientos[[#This Row],[Producto]]&amp;" · ")-1)))</f>
        <v/>
      </c>
      <c r="H3786" s="40" t="str">
        <f>IF(tblMovimientos[[#This Row],[SKU]]="","",IFERROR(INDEX(tblProductos[Unidad],MATCH(tblMovimientos[[#This Row],[SKU]],tblProductos[SKU],0)),"?"))</f>
        <v/>
      </c>
      <c r="I3786" s="39"/>
      <c r="J3786" s="47" t="str">
        <f>IF(tblMovimientos[[#This Row],[Tipo]]="","",IFERROR(INDEX(tblTiposMov[FactorStock],MATCH(tblMovimientos[[#This Row],[Tipo]],tblTiposMov[Tipo],0)),0))</f>
        <v/>
      </c>
      <c r="K37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6" s="37"/>
      <c r="O3786" s="37"/>
      <c r="P3786" s="37"/>
    </row>
    <row r="3787" spans="2:16" x14ac:dyDescent="0.25">
      <c r="B37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7" s="46"/>
      <c r="D3787" s="37"/>
      <c r="E3787" s="37"/>
      <c r="F3787" s="37"/>
      <c r="G3787" s="40" t="str">
        <f>IF(tblMovimientos[[#This Row],[Producto]]="","",TRIM(LEFT(tblMovimientos[[#This Row],[Producto]],FIND(" · ",tblMovimientos[[#This Row],[Producto]]&amp;" · ")-1)))</f>
        <v/>
      </c>
      <c r="H3787" s="40" t="str">
        <f>IF(tblMovimientos[[#This Row],[SKU]]="","",IFERROR(INDEX(tblProductos[Unidad],MATCH(tblMovimientos[[#This Row],[SKU]],tblProductos[SKU],0)),"?"))</f>
        <v/>
      </c>
      <c r="I3787" s="39"/>
      <c r="J3787" s="47" t="str">
        <f>IF(tblMovimientos[[#This Row],[Tipo]]="","",IFERROR(INDEX(tblTiposMov[FactorStock],MATCH(tblMovimientos[[#This Row],[Tipo]],tblTiposMov[Tipo],0)),0))</f>
        <v/>
      </c>
      <c r="K37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7" s="37"/>
      <c r="O3787" s="37"/>
      <c r="P3787" s="37"/>
    </row>
    <row r="3788" spans="2:16" x14ac:dyDescent="0.25">
      <c r="B37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8" s="46"/>
      <c r="D3788" s="37"/>
      <c r="E3788" s="37"/>
      <c r="F3788" s="37"/>
      <c r="G3788" s="40" t="str">
        <f>IF(tblMovimientos[[#This Row],[Producto]]="","",TRIM(LEFT(tblMovimientos[[#This Row],[Producto]],FIND(" · ",tblMovimientos[[#This Row],[Producto]]&amp;" · ")-1)))</f>
        <v/>
      </c>
      <c r="H3788" s="40" t="str">
        <f>IF(tblMovimientos[[#This Row],[SKU]]="","",IFERROR(INDEX(tblProductos[Unidad],MATCH(tblMovimientos[[#This Row],[SKU]],tblProductos[SKU],0)),"?"))</f>
        <v/>
      </c>
      <c r="I3788" s="39"/>
      <c r="J3788" s="47" t="str">
        <f>IF(tblMovimientos[[#This Row],[Tipo]]="","",IFERROR(INDEX(tblTiposMov[FactorStock],MATCH(tblMovimientos[[#This Row],[Tipo]],tblTiposMov[Tipo],0)),0))</f>
        <v/>
      </c>
      <c r="K37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8" s="37"/>
      <c r="O3788" s="37"/>
      <c r="P3788" s="37"/>
    </row>
    <row r="3789" spans="2:16" x14ac:dyDescent="0.25">
      <c r="B37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89" s="46"/>
      <c r="D3789" s="37"/>
      <c r="E3789" s="37"/>
      <c r="F3789" s="37"/>
      <c r="G3789" s="40" t="str">
        <f>IF(tblMovimientos[[#This Row],[Producto]]="","",TRIM(LEFT(tblMovimientos[[#This Row],[Producto]],FIND(" · ",tblMovimientos[[#This Row],[Producto]]&amp;" · ")-1)))</f>
        <v/>
      </c>
      <c r="H3789" s="40" t="str">
        <f>IF(tblMovimientos[[#This Row],[SKU]]="","",IFERROR(INDEX(tblProductos[Unidad],MATCH(tblMovimientos[[#This Row],[SKU]],tblProductos[SKU],0)),"?"))</f>
        <v/>
      </c>
      <c r="I3789" s="39"/>
      <c r="J3789" s="47" t="str">
        <f>IF(tblMovimientos[[#This Row],[Tipo]]="","",IFERROR(INDEX(tblTiposMov[FactorStock],MATCH(tblMovimientos[[#This Row],[Tipo]],tblTiposMov[Tipo],0)),0))</f>
        <v/>
      </c>
      <c r="K37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89" s="37"/>
      <c r="O3789" s="37"/>
      <c r="P3789" s="37"/>
    </row>
    <row r="3790" spans="2:16" x14ac:dyDescent="0.25">
      <c r="B37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0" s="46"/>
      <c r="D3790" s="37"/>
      <c r="E3790" s="37"/>
      <c r="F3790" s="37"/>
      <c r="G3790" s="40" t="str">
        <f>IF(tblMovimientos[[#This Row],[Producto]]="","",TRIM(LEFT(tblMovimientos[[#This Row],[Producto]],FIND(" · ",tblMovimientos[[#This Row],[Producto]]&amp;" · ")-1)))</f>
        <v/>
      </c>
      <c r="H3790" s="40" t="str">
        <f>IF(tblMovimientos[[#This Row],[SKU]]="","",IFERROR(INDEX(tblProductos[Unidad],MATCH(tblMovimientos[[#This Row],[SKU]],tblProductos[SKU],0)),"?"))</f>
        <v/>
      </c>
      <c r="I3790" s="39"/>
      <c r="J3790" s="47" t="str">
        <f>IF(tblMovimientos[[#This Row],[Tipo]]="","",IFERROR(INDEX(tblTiposMov[FactorStock],MATCH(tblMovimientos[[#This Row],[Tipo]],tblTiposMov[Tipo],0)),0))</f>
        <v/>
      </c>
      <c r="K37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0" s="37"/>
      <c r="O3790" s="37"/>
      <c r="P3790" s="37"/>
    </row>
    <row r="3791" spans="2:16" x14ac:dyDescent="0.25">
      <c r="B37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1" s="46"/>
      <c r="D3791" s="37"/>
      <c r="E3791" s="37"/>
      <c r="F3791" s="37"/>
      <c r="G3791" s="40" t="str">
        <f>IF(tblMovimientos[[#This Row],[Producto]]="","",TRIM(LEFT(tblMovimientos[[#This Row],[Producto]],FIND(" · ",tblMovimientos[[#This Row],[Producto]]&amp;" · ")-1)))</f>
        <v/>
      </c>
      <c r="H3791" s="40" t="str">
        <f>IF(tblMovimientos[[#This Row],[SKU]]="","",IFERROR(INDEX(tblProductos[Unidad],MATCH(tblMovimientos[[#This Row],[SKU]],tblProductos[SKU],0)),"?"))</f>
        <v/>
      </c>
      <c r="I3791" s="39"/>
      <c r="J3791" s="47" t="str">
        <f>IF(tblMovimientos[[#This Row],[Tipo]]="","",IFERROR(INDEX(tblTiposMov[FactorStock],MATCH(tblMovimientos[[#This Row],[Tipo]],tblTiposMov[Tipo],0)),0))</f>
        <v/>
      </c>
      <c r="K37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1" s="37"/>
      <c r="O3791" s="37"/>
      <c r="P3791" s="37"/>
    </row>
    <row r="3792" spans="2:16" x14ac:dyDescent="0.25">
      <c r="B37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2" s="46"/>
      <c r="D3792" s="37"/>
      <c r="E3792" s="37"/>
      <c r="F3792" s="37"/>
      <c r="G3792" s="40" t="str">
        <f>IF(tblMovimientos[[#This Row],[Producto]]="","",TRIM(LEFT(tblMovimientos[[#This Row],[Producto]],FIND(" · ",tblMovimientos[[#This Row],[Producto]]&amp;" · ")-1)))</f>
        <v/>
      </c>
      <c r="H3792" s="40" t="str">
        <f>IF(tblMovimientos[[#This Row],[SKU]]="","",IFERROR(INDEX(tblProductos[Unidad],MATCH(tblMovimientos[[#This Row],[SKU]],tblProductos[SKU],0)),"?"))</f>
        <v/>
      </c>
      <c r="I3792" s="39"/>
      <c r="J3792" s="47" t="str">
        <f>IF(tblMovimientos[[#This Row],[Tipo]]="","",IFERROR(INDEX(tblTiposMov[FactorStock],MATCH(tblMovimientos[[#This Row],[Tipo]],tblTiposMov[Tipo],0)),0))</f>
        <v/>
      </c>
      <c r="K37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2" s="37"/>
      <c r="O3792" s="37"/>
      <c r="P3792" s="37"/>
    </row>
    <row r="3793" spans="2:16" x14ac:dyDescent="0.25">
      <c r="B37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3" s="46"/>
      <c r="D3793" s="37"/>
      <c r="E3793" s="37"/>
      <c r="F3793" s="37"/>
      <c r="G3793" s="40" t="str">
        <f>IF(tblMovimientos[[#This Row],[Producto]]="","",TRIM(LEFT(tblMovimientos[[#This Row],[Producto]],FIND(" · ",tblMovimientos[[#This Row],[Producto]]&amp;" · ")-1)))</f>
        <v/>
      </c>
      <c r="H3793" s="40" t="str">
        <f>IF(tblMovimientos[[#This Row],[SKU]]="","",IFERROR(INDEX(tblProductos[Unidad],MATCH(tblMovimientos[[#This Row],[SKU]],tblProductos[SKU],0)),"?"))</f>
        <v/>
      </c>
      <c r="I3793" s="39"/>
      <c r="J3793" s="47" t="str">
        <f>IF(tblMovimientos[[#This Row],[Tipo]]="","",IFERROR(INDEX(tblTiposMov[FactorStock],MATCH(tblMovimientos[[#This Row],[Tipo]],tblTiposMov[Tipo],0)),0))</f>
        <v/>
      </c>
      <c r="K37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3" s="37"/>
      <c r="O3793" s="37"/>
      <c r="P3793" s="37"/>
    </row>
    <row r="3794" spans="2:16" x14ac:dyDescent="0.25">
      <c r="B37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4" s="46"/>
      <c r="D3794" s="37"/>
      <c r="E3794" s="37"/>
      <c r="F3794" s="37"/>
      <c r="G3794" s="40" t="str">
        <f>IF(tblMovimientos[[#This Row],[Producto]]="","",TRIM(LEFT(tblMovimientos[[#This Row],[Producto]],FIND(" · ",tblMovimientos[[#This Row],[Producto]]&amp;" · ")-1)))</f>
        <v/>
      </c>
      <c r="H3794" s="40" t="str">
        <f>IF(tblMovimientos[[#This Row],[SKU]]="","",IFERROR(INDEX(tblProductos[Unidad],MATCH(tblMovimientos[[#This Row],[SKU]],tblProductos[SKU],0)),"?"))</f>
        <v/>
      </c>
      <c r="I3794" s="39"/>
      <c r="J3794" s="47" t="str">
        <f>IF(tblMovimientos[[#This Row],[Tipo]]="","",IFERROR(INDEX(tblTiposMov[FactorStock],MATCH(tblMovimientos[[#This Row],[Tipo]],tblTiposMov[Tipo],0)),0))</f>
        <v/>
      </c>
      <c r="K37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4" s="37"/>
      <c r="O3794" s="37"/>
      <c r="P3794" s="37"/>
    </row>
    <row r="3795" spans="2:16" x14ac:dyDescent="0.25">
      <c r="B37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5" s="46"/>
      <c r="D3795" s="37"/>
      <c r="E3795" s="37"/>
      <c r="F3795" s="37"/>
      <c r="G3795" s="40" t="str">
        <f>IF(tblMovimientos[[#This Row],[Producto]]="","",TRIM(LEFT(tblMovimientos[[#This Row],[Producto]],FIND(" · ",tblMovimientos[[#This Row],[Producto]]&amp;" · ")-1)))</f>
        <v/>
      </c>
      <c r="H3795" s="40" t="str">
        <f>IF(tblMovimientos[[#This Row],[SKU]]="","",IFERROR(INDEX(tblProductos[Unidad],MATCH(tblMovimientos[[#This Row],[SKU]],tblProductos[SKU],0)),"?"))</f>
        <v/>
      </c>
      <c r="I3795" s="39"/>
      <c r="J3795" s="47" t="str">
        <f>IF(tblMovimientos[[#This Row],[Tipo]]="","",IFERROR(INDEX(tblTiposMov[FactorStock],MATCH(tblMovimientos[[#This Row],[Tipo]],tblTiposMov[Tipo],0)),0))</f>
        <v/>
      </c>
      <c r="K37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5" s="37"/>
      <c r="O3795" s="37"/>
      <c r="P3795" s="37"/>
    </row>
    <row r="3796" spans="2:16" x14ac:dyDescent="0.25">
      <c r="B37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6" s="46"/>
      <c r="D3796" s="37"/>
      <c r="E3796" s="37"/>
      <c r="F3796" s="37"/>
      <c r="G3796" s="40" t="str">
        <f>IF(tblMovimientos[[#This Row],[Producto]]="","",TRIM(LEFT(tblMovimientos[[#This Row],[Producto]],FIND(" · ",tblMovimientos[[#This Row],[Producto]]&amp;" · ")-1)))</f>
        <v/>
      </c>
      <c r="H3796" s="40" t="str">
        <f>IF(tblMovimientos[[#This Row],[SKU]]="","",IFERROR(INDEX(tblProductos[Unidad],MATCH(tblMovimientos[[#This Row],[SKU]],tblProductos[SKU],0)),"?"))</f>
        <v/>
      </c>
      <c r="I3796" s="39"/>
      <c r="J3796" s="47" t="str">
        <f>IF(tblMovimientos[[#This Row],[Tipo]]="","",IFERROR(INDEX(tblTiposMov[FactorStock],MATCH(tblMovimientos[[#This Row],[Tipo]],tblTiposMov[Tipo],0)),0))</f>
        <v/>
      </c>
      <c r="K37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6" s="37"/>
      <c r="O3796" s="37"/>
      <c r="P3796" s="37"/>
    </row>
    <row r="3797" spans="2:16" x14ac:dyDescent="0.25">
      <c r="B37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7" s="46"/>
      <c r="D3797" s="37"/>
      <c r="E3797" s="37"/>
      <c r="F3797" s="37"/>
      <c r="G3797" s="40" t="str">
        <f>IF(tblMovimientos[[#This Row],[Producto]]="","",TRIM(LEFT(tblMovimientos[[#This Row],[Producto]],FIND(" · ",tblMovimientos[[#This Row],[Producto]]&amp;" · ")-1)))</f>
        <v/>
      </c>
      <c r="H3797" s="40" t="str">
        <f>IF(tblMovimientos[[#This Row],[SKU]]="","",IFERROR(INDEX(tblProductos[Unidad],MATCH(tblMovimientos[[#This Row],[SKU]],tblProductos[SKU],0)),"?"))</f>
        <v/>
      </c>
      <c r="I3797" s="39"/>
      <c r="J3797" s="47" t="str">
        <f>IF(tblMovimientos[[#This Row],[Tipo]]="","",IFERROR(INDEX(tblTiposMov[FactorStock],MATCH(tblMovimientos[[#This Row],[Tipo]],tblTiposMov[Tipo],0)),0))</f>
        <v/>
      </c>
      <c r="K37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7" s="37"/>
      <c r="O3797" s="37"/>
      <c r="P3797" s="37"/>
    </row>
    <row r="3798" spans="2:16" x14ac:dyDescent="0.25">
      <c r="B37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8" s="46"/>
      <c r="D3798" s="37"/>
      <c r="E3798" s="37"/>
      <c r="F3798" s="37"/>
      <c r="G3798" s="40" t="str">
        <f>IF(tblMovimientos[[#This Row],[Producto]]="","",TRIM(LEFT(tblMovimientos[[#This Row],[Producto]],FIND(" · ",tblMovimientos[[#This Row],[Producto]]&amp;" · ")-1)))</f>
        <v/>
      </c>
      <c r="H3798" s="40" t="str">
        <f>IF(tblMovimientos[[#This Row],[SKU]]="","",IFERROR(INDEX(tblProductos[Unidad],MATCH(tblMovimientos[[#This Row],[SKU]],tblProductos[SKU],0)),"?"))</f>
        <v/>
      </c>
      <c r="I3798" s="39"/>
      <c r="J3798" s="47" t="str">
        <f>IF(tblMovimientos[[#This Row],[Tipo]]="","",IFERROR(INDEX(tblTiposMov[FactorStock],MATCH(tblMovimientos[[#This Row],[Tipo]],tblTiposMov[Tipo],0)),0))</f>
        <v/>
      </c>
      <c r="K37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8" s="37"/>
      <c r="O3798" s="37"/>
      <c r="P3798" s="37"/>
    </row>
    <row r="3799" spans="2:16" x14ac:dyDescent="0.25">
      <c r="B37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799" s="46"/>
      <c r="D3799" s="37"/>
      <c r="E3799" s="37"/>
      <c r="F3799" s="37"/>
      <c r="G3799" s="40" t="str">
        <f>IF(tblMovimientos[[#This Row],[Producto]]="","",TRIM(LEFT(tblMovimientos[[#This Row],[Producto]],FIND(" · ",tblMovimientos[[#This Row],[Producto]]&amp;" · ")-1)))</f>
        <v/>
      </c>
      <c r="H3799" s="40" t="str">
        <f>IF(tblMovimientos[[#This Row],[SKU]]="","",IFERROR(INDEX(tblProductos[Unidad],MATCH(tblMovimientos[[#This Row],[SKU]],tblProductos[SKU],0)),"?"))</f>
        <v/>
      </c>
      <c r="I3799" s="39"/>
      <c r="J3799" s="47" t="str">
        <f>IF(tblMovimientos[[#This Row],[Tipo]]="","",IFERROR(INDEX(tblTiposMov[FactorStock],MATCH(tblMovimientos[[#This Row],[Tipo]],tblTiposMov[Tipo],0)),0))</f>
        <v/>
      </c>
      <c r="K37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7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799" s="37"/>
      <c r="O3799" s="37"/>
      <c r="P3799" s="37"/>
    </row>
    <row r="3800" spans="2:16" x14ac:dyDescent="0.25">
      <c r="B38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0" s="46"/>
      <c r="D3800" s="37"/>
      <c r="E3800" s="37"/>
      <c r="F3800" s="37"/>
      <c r="G3800" s="40" t="str">
        <f>IF(tblMovimientos[[#This Row],[Producto]]="","",TRIM(LEFT(tblMovimientos[[#This Row],[Producto]],FIND(" · ",tblMovimientos[[#This Row],[Producto]]&amp;" · ")-1)))</f>
        <v/>
      </c>
      <c r="H3800" s="40" t="str">
        <f>IF(tblMovimientos[[#This Row],[SKU]]="","",IFERROR(INDEX(tblProductos[Unidad],MATCH(tblMovimientos[[#This Row],[SKU]],tblProductos[SKU],0)),"?"))</f>
        <v/>
      </c>
      <c r="I3800" s="39"/>
      <c r="J3800" s="47" t="str">
        <f>IF(tblMovimientos[[#This Row],[Tipo]]="","",IFERROR(INDEX(tblTiposMov[FactorStock],MATCH(tblMovimientos[[#This Row],[Tipo]],tblTiposMov[Tipo],0)),0))</f>
        <v/>
      </c>
      <c r="K38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0" s="37"/>
      <c r="O3800" s="37"/>
      <c r="P3800" s="37"/>
    </row>
    <row r="3801" spans="2:16" x14ac:dyDescent="0.25">
      <c r="B38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1" s="46"/>
      <c r="D3801" s="37"/>
      <c r="E3801" s="37"/>
      <c r="F3801" s="37"/>
      <c r="G3801" s="40" t="str">
        <f>IF(tblMovimientos[[#This Row],[Producto]]="","",TRIM(LEFT(tblMovimientos[[#This Row],[Producto]],FIND(" · ",tblMovimientos[[#This Row],[Producto]]&amp;" · ")-1)))</f>
        <v/>
      </c>
      <c r="H3801" s="40" t="str">
        <f>IF(tblMovimientos[[#This Row],[SKU]]="","",IFERROR(INDEX(tblProductos[Unidad],MATCH(tblMovimientos[[#This Row],[SKU]],tblProductos[SKU],0)),"?"))</f>
        <v/>
      </c>
      <c r="I3801" s="39"/>
      <c r="J3801" s="47" t="str">
        <f>IF(tblMovimientos[[#This Row],[Tipo]]="","",IFERROR(INDEX(tblTiposMov[FactorStock],MATCH(tblMovimientos[[#This Row],[Tipo]],tblTiposMov[Tipo],0)),0))</f>
        <v/>
      </c>
      <c r="K38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1" s="37"/>
      <c r="O3801" s="37"/>
      <c r="P3801" s="37"/>
    </row>
    <row r="3802" spans="2:16" x14ac:dyDescent="0.25">
      <c r="B38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2" s="46"/>
      <c r="D3802" s="37"/>
      <c r="E3802" s="37"/>
      <c r="F3802" s="37"/>
      <c r="G3802" s="40" t="str">
        <f>IF(tblMovimientos[[#This Row],[Producto]]="","",TRIM(LEFT(tblMovimientos[[#This Row],[Producto]],FIND(" · ",tblMovimientos[[#This Row],[Producto]]&amp;" · ")-1)))</f>
        <v/>
      </c>
      <c r="H3802" s="40" t="str">
        <f>IF(tblMovimientos[[#This Row],[SKU]]="","",IFERROR(INDEX(tblProductos[Unidad],MATCH(tblMovimientos[[#This Row],[SKU]],tblProductos[SKU],0)),"?"))</f>
        <v/>
      </c>
      <c r="I3802" s="39"/>
      <c r="J3802" s="47" t="str">
        <f>IF(tblMovimientos[[#This Row],[Tipo]]="","",IFERROR(INDEX(tblTiposMov[FactorStock],MATCH(tblMovimientos[[#This Row],[Tipo]],tblTiposMov[Tipo],0)),0))</f>
        <v/>
      </c>
      <c r="K38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2" s="37"/>
      <c r="O3802" s="37"/>
      <c r="P3802" s="37"/>
    </row>
    <row r="3803" spans="2:16" x14ac:dyDescent="0.25">
      <c r="B38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3" s="46"/>
      <c r="D3803" s="37"/>
      <c r="E3803" s="37"/>
      <c r="F3803" s="37"/>
      <c r="G3803" s="40" t="str">
        <f>IF(tblMovimientos[[#This Row],[Producto]]="","",TRIM(LEFT(tblMovimientos[[#This Row],[Producto]],FIND(" · ",tblMovimientos[[#This Row],[Producto]]&amp;" · ")-1)))</f>
        <v/>
      </c>
      <c r="H3803" s="40" t="str">
        <f>IF(tblMovimientos[[#This Row],[SKU]]="","",IFERROR(INDEX(tblProductos[Unidad],MATCH(tblMovimientos[[#This Row],[SKU]],tblProductos[SKU],0)),"?"))</f>
        <v/>
      </c>
      <c r="I3803" s="39"/>
      <c r="J3803" s="47" t="str">
        <f>IF(tblMovimientos[[#This Row],[Tipo]]="","",IFERROR(INDEX(tblTiposMov[FactorStock],MATCH(tblMovimientos[[#This Row],[Tipo]],tblTiposMov[Tipo],0)),0))</f>
        <v/>
      </c>
      <c r="K38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3" s="37"/>
      <c r="O3803" s="37"/>
      <c r="P3803" s="37"/>
    </row>
    <row r="3804" spans="2:16" x14ac:dyDescent="0.25">
      <c r="B38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4" s="46"/>
      <c r="D3804" s="37"/>
      <c r="E3804" s="37"/>
      <c r="F3804" s="37"/>
      <c r="G3804" s="40" t="str">
        <f>IF(tblMovimientos[[#This Row],[Producto]]="","",TRIM(LEFT(tblMovimientos[[#This Row],[Producto]],FIND(" · ",tblMovimientos[[#This Row],[Producto]]&amp;" · ")-1)))</f>
        <v/>
      </c>
      <c r="H3804" s="40" t="str">
        <f>IF(tblMovimientos[[#This Row],[SKU]]="","",IFERROR(INDEX(tblProductos[Unidad],MATCH(tblMovimientos[[#This Row],[SKU]],tblProductos[SKU],0)),"?"))</f>
        <v/>
      </c>
      <c r="I3804" s="39"/>
      <c r="J3804" s="47" t="str">
        <f>IF(tblMovimientos[[#This Row],[Tipo]]="","",IFERROR(INDEX(tblTiposMov[FactorStock],MATCH(tblMovimientos[[#This Row],[Tipo]],tblTiposMov[Tipo],0)),0))</f>
        <v/>
      </c>
      <c r="K38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4" s="37"/>
      <c r="O3804" s="37"/>
      <c r="P3804" s="37"/>
    </row>
    <row r="3805" spans="2:16" x14ac:dyDescent="0.25">
      <c r="B38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5" s="46"/>
      <c r="D3805" s="37"/>
      <c r="E3805" s="37"/>
      <c r="F3805" s="37"/>
      <c r="G3805" s="40" t="str">
        <f>IF(tblMovimientos[[#This Row],[Producto]]="","",TRIM(LEFT(tblMovimientos[[#This Row],[Producto]],FIND(" · ",tblMovimientos[[#This Row],[Producto]]&amp;" · ")-1)))</f>
        <v/>
      </c>
      <c r="H3805" s="40" t="str">
        <f>IF(tblMovimientos[[#This Row],[SKU]]="","",IFERROR(INDEX(tblProductos[Unidad],MATCH(tblMovimientos[[#This Row],[SKU]],tblProductos[SKU],0)),"?"))</f>
        <v/>
      </c>
      <c r="I3805" s="39"/>
      <c r="J3805" s="47" t="str">
        <f>IF(tblMovimientos[[#This Row],[Tipo]]="","",IFERROR(INDEX(tblTiposMov[FactorStock],MATCH(tblMovimientos[[#This Row],[Tipo]],tblTiposMov[Tipo],0)),0))</f>
        <v/>
      </c>
      <c r="K38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5" s="37"/>
      <c r="O3805" s="37"/>
      <c r="P3805" s="37"/>
    </row>
    <row r="3806" spans="2:16" x14ac:dyDescent="0.25">
      <c r="B38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6" s="46"/>
      <c r="D3806" s="37"/>
      <c r="E3806" s="37"/>
      <c r="F3806" s="37"/>
      <c r="G3806" s="40" t="str">
        <f>IF(tblMovimientos[[#This Row],[Producto]]="","",TRIM(LEFT(tblMovimientos[[#This Row],[Producto]],FIND(" · ",tblMovimientos[[#This Row],[Producto]]&amp;" · ")-1)))</f>
        <v/>
      </c>
      <c r="H3806" s="40" t="str">
        <f>IF(tblMovimientos[[#This Row],[SKU]]="","",IFERROR(INDEX(tblProductos[Unidad],MATCH(tblMovimientos[[#This Row],[SKU]],tblProductos[SKU],0)),"?"))</f>
        <v/>
      </c>
      <c r="I3806" s="39"/>
      <c r="J3806" s="47" t="str">
        <f>IF(tblMovimientos[[#This Row],[Tipo]]="","",IFERROR(INDEX(tblTiposMov[FactorStock],MATCH(tblMovimientos[[#This Row],[Tipo]],tblTiposMov[Tipo],0)),0))</f>
        <v/>
      </c>
      <c r="K38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6" s="37"/>
      <c r="O3806" s="37"/>
      <c r="P3806" s="37"/>
    </row>
    <row r="3807" spans="2:16" x14ac:dyDescent="0.25">
      <c r="B38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7" s="46"/>
      <c r="D3807" s="37"/>
      <c r="E3807" s="37"/>
      <c r="F3807" s="37"/>
      <c r="G3807" s="40" t="str">
        <f>IF(tblMovimientos[[#This Row],[Producto]]="","",TRIM(LEFT(tblMovimientos[[#This Row],[Producto]],FIND(" · ",tblMovimientos[[#This Row],[Producto]]&amp;" · ")-1)))</f>
        <v/>
      </c>
      <c r="H3807" s="40" t="str">
        <f>IF(tblMovimientos[[#This Row],[SKU]]="","",IFERROR(INDEX(tblProductos[Unidad],MATCH(tblMovimientos[[#This Row],[SKU]],tblProductos[SKU],0)),"?"))</f>
        <v/>
      </c>
      <c r="I3807" s="39"/>
      <c r="J3807" s="47" t="str">
        <f>IF(tblMovimientos[[#This Row],[Tipo]]="","",IFERROR(INDEX(tblTiposMov[FactorStock],MATCH(tblMovimientos[[#This Row],[Tipo]],tblTiposMov[Tipo],0)),0))</f>
        <v/>
      </c>
      <c r="K38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7" s="37"/>
      <c r="O3807" s="37"/>
      <c r="P3807" s="37"/>
    </row>
    <row r="3808" spans="2:16" x14ac:dyDescent="0.25">
      <c r="B38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8" s="46"/>
      <c r="D3808" s="37"/>
      <c r="E3808" s="37"/>
      <c r="F3808" s="37"/>
      <c r="G3808" s="40" t="str">
        <f>IF(tblMovimientos[[#This Row],[Producto]]="","",TRIM(LEFT(tblMovimientos[[#This Row],[Producto]],FIND(" · ",tblMovimientos[[#This Row],[Producto]]&amp;" · ")-1)))</f>
        <v/>
      </c>
      <c r="H3808" s="40" t="str">
        <f>IF(tblMovimientos[[#This Row],[SKU]]="","",IFERROR(INDEX(tblProductos[Unidad],MATCH(tblMovimientos[[#This Row],[SKU]],tblProductos[SKU],0)),"?"))</f>
        <v/>
      </c>
      <c r="I3808" s="39"/>
      <c r="J3808" s="47" t="str">
        <f>IF(tblMovimientos[[#This Row],[Tipo]]="","",IFERROR(INDEX(tblTiposMov[FactorStock],MATCH(tblMovimientos[[#This Row],[Tipo]],tblTiposMov[Tipo],0)),0))</f>
        <v/>
      </c>
      <c r="K38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8" s="37"/>
      <c r="O3808" s="37"/>
      <c r="P3808" s="37"/>
    </row>
    <row r="3809" spans="2:16" x14ac:dyDescent="0.25">
      <c r="B38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09" s="46"/>
      <c r="D3809" s="37"/>
      <c r="E3809" s="37"/>
      <c r="F3809" s="37"/>
      <c r="G3809" s="40" t="str">
        <f>IF(tblMovimientos[[#This Row],[Producto]]="","",TRIM(LEFT(tblMovimientos[[#This Row],[Producto]],FIND(" · ",tblMovimientos[[#This Row],[Producto]]&amp;" · ")-1)))</f>
        <v/>
      </c>
      <c r="H3809" s="40" t="str">
        <f>IF(tblMovimientos[[#This Row],[SKU]]="","",IFERROR(INDEX(tblProductos[Unidad],MATCH(tblMovimientos[[#This Row],[SKU]],tblProductos[SKU],0)),"?"))</f>
        <v/>
      </c>
      <c r="I3809" s="39"/>
      <c r="J3809" s="47" t="str">
        <f>IF(tblMovimientos[[#This Row],[Tipo]]="","",IFERROR(INDEX(tblTiposMov[FactorStock],MATCH(tblMovimientos[[#This Row],[Tipo]],tblTiposMov[Tipo],0)),0))</f>
        <v/>
      </c>
      <c r="K38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09" s="37"/>
      <c r="O3809" s="37"/>
      <c r="P3809" s="37"/>
    </row>
    <row r="3810" spans="2:16" x14ac:dyDescent="0.25">
      <c r="B38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0" s="46"/>
      <c r="D3810" s="37"/>
      <c r="E3810" s="37"/>
      <c r="F3810" s="37"/>
      <c r="G3810" s="40" t="str">
        <f>IF(tblMovimientos[[#This Row],[Producto]]="","",TRIM(LEFT(tblMovimientos[[#This Row],[Producto]],FIND(" · ",tblMovimientos[[#This Row],[Producto]]&amp;" · ")-1)))</f>
        <v/>
      </c>
      <c r="H3810" s="40" t="str">
        <f>IF(tblMovimientos[[#This Row],[SKU]]="","",IFERROR(INDEX(tblProductos[Unidad],MATCH(tblMovimientos[[#This Row],[SKU]],tblProductos[SKU],0)),"?"))</f>
        <v/>
      </c>
      <c r="I3810" s="39"/>
      <c r="J3810" s="47" t="str">
        <f>IF(tblMovimientos[[#This Row],[Tipo]]="","",IFERROR(INDEX(tblTiposMov[FactorStock],MATCH(tblMovimientos[[#This Row],[Tipo]],tblTiposMov[Tipo],0)),0))</f>
        <v/>
      </c>
      <c r="K38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0" s="37"/>
      <c r="O3810" s="37"/>
      <c r="P3810" s="37"/>
    </row>
    <row r="3811" spans="2:16" x14ac:dyDescent="0.25">
      <c r="B38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1" s="46"/>
      <c r="D3811" s="37"/>
      <c r="E3811" s="37"/>
      <c r="F3811" s="37"/>
      <c r="G3811" s="40" t="str">
        <f>IF(tblMovimientos[[#This Row],[Producto]]="","",TRIM(LEFT(tblMovimientos[[#This Row],[Producto]],FIND(" · ",tblMovimientos[[#This Row],[Producto]]&amp;" · ")-1)))</f>
        <v/>
      </c>
      <c r="H3811" s="40" t="str">
        <f>IF(tblMovimientos[[#This Row],[SKU]]="","",IFERROR(INDEX(tblProductos[Unidad],MATCH(tblMovimientos[[#This Row],[SKU]],tblProductos[SKU],0)),"?"))</f>
        <v/>
      </c>
      <c r="I3811" s="39"/>
      <c r="J3811" s="47" t="str">
        <f>IF(tblMovimientos[[#This Row],[Tipo]]="","",IFERROR(INDEX(tblTiposMov[FactorStock],MATCH(tblMovimientos[[#This Row],[Tipo]],tblTiposMov[Tipo],0)),0))</f>
        <v/>
      </c>
      <c r="K38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1" s="37"/>
      <c r="O3811" s="37"/>
      <c r="P3811" s="37"/>
    </row>
    <row r="3812" spans="2:16" x14ac:dyDescent="0.25">
      <c r="B38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2" s="46"/>
      <c r="D3812" s="37"/>
      <c r="E3812" s="37"/>
      <c r="F3812" s="37"/>
      <c r="G3812" s="40" t="str">
        <f>IF(tblMovimientos[[#This Row],[Producto]]="","",TRIM(LEFT(tblMovimientos[[#This Row],[Producto]],FIND(" · ",tblMovimientos[[#This Row],[Producto]]&amp;" · ")-1)))</f>
        <v/>
      </c>
      <c r="H3812" s="40" t="str">
        <f>IF(tblMovimientos[[#This Row],[SKU]]="","",IFERROR(INDEX(tblProductos[Unidad],MATCH(tblMovimientos[[#This Row],[SKU]],tblProductos[SKU],0)),"?"))</f>
        <v/>
      </c>
      <c r="I3812" s="39"/>
      <c r="J3812" s="47" t="str">
        <f>IF(tblMovimientos[[#This Row],[Tipo]]="","",IFERROR(INDEX(tblTiposMov[FactorStock],MATCH(tblMovimientos[[#This Row],[Tipo]],tblTiposMov[Tipo],0)),0))</f>
        <v/>
      </c>
      <c r="K38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2" s="37"/>
      <c r="O3812" s="37"/>
      <c r="P3812" s="37"/>
    </row>
    <row r="3813" spans="2:16" x14ac:dyDescent="0.25">
      <c r="B38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3" s="46"/>
      <c r="D3813" s="37"/>
      <c r="E3813" s="37"/>
      <c r="F3813" s="37"/>
      <c r="G3813" s="40" t="str">
        <f>IF(tblMovimientos[[#This Row],[Producto]]="","",TRIM(LEFT(tblMovimientos[[#This Row],[Producto]],FIND(" · ",tblMovimientos[[#This Row],[Producto]]&amp;" · ")-1)))</f>
        <v/>
      </c>
      <c r="H3813" s="40" t="str">
        <f>IF(tblMovimientos[[#This Row],[SKU]]="","",IFERROR(INDEX(tblProductos[Unidad],MATCH(tblMovimientos[[#This Row],[SKU]],tblProductos[SKU],0)),"?"))</f>
        <v/>
      </c>
      <c r="I3813" s="39"/>
      <c r="J3813" s="47" t="str">
        <f>IF(tblMovimientos[[#This Row],[Tipo]]="","",IFERROR(INDEX(tblTiposMov[FactorStock],MATCH(tblMovimientos[[#This Row],[Tipo]],tblTiposMov[Tipo],0)),0))</f>
        <v/>
      </c>
      <c r="K38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3" s="37"/>
      <c r="O3813" s="37"/>
      <c r="P3813" s="37"/>
    </row>
    <row r="3814" spans="2:16" x14ac:dyDescent="0.25">
      <c r="B38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4" s="46"/>
      <c r="D3814" s="37"/>
      <c r="E3814" s="37"/>
      <c r="F3814" s="37"/>
      <c r="G3814" s="40" t="str">
        <f>IF(tblMovimientos[[#This Row],[Producto]]="","",TRIM(LEFT(tblMovimientos[[#This Row],[Producto]],FIND(" · ",tblMovimientos[[#This Row],[Producto]]&amp;" · ")-1)))</f>
        <v/>
      </c>
      <c r="H3814" s="40" t="str">
        <f>IF(tblMovimientos[[#This Row],[SKU]]="","",IFERROR(INDEX(tblProductos[Unidad],MATCH(tblMovimientos[[#This Row],[SKU]],tblProductos[SKU],0)),"?"))</f>
        <v/>
      </c>
      <c r="I3814" s="39"/>
      <c r="J3814" s="47" t="str">
        <f>IF(tblMovimientos[[#This Row],[Tipo]]="","",IFERROR(INDEX(tblTiposMov[FactorStock],MATCH(tblMovimientos[[#This Row],[Tipo]],tblTiposMov[Tipo],0)),0))</f>
        <v/>
      </c>
      <c r="K38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4" s="37"/>
      <c r="O3814" s="37"/>
      <c r="P3814" s="37"/>
    </row>
    <row r="3815" spans="2:16" x14ac:dyDescent="0.25">
      <c r="B38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5" s="46"/>
      <c r="D3815" s="37"/>
      <c r="E3815" s="37"/>
      <c r="F3815" s="37"/>
      <c r="G3815" s="40" t="str">
        <f>IF(tblMovimientos[[#This Row],[Producto]]="","",TRIM(LEFT(tblMovimientos[[#This Row],[Producto]],FIND(" · ",tblMovimientos[[#This Row],[Producto]]&amp;" · ")-1)))</f>
        <v/>
      </c>
      <c r="H3815" s="40" t="str">
        <f>IF(tblMovimientos[[#This Row],[SKU]]="","",IFERROR(INDEX(tblProductos[Unidad],MATCH(tblMovimientos[[#This Row],[SKU]],tblProductos[SKU],0)),"?"))</f>
        <v/>
      </c>
      <c r="I3815" s="39"/>
      <c r="J3815" s="47" t="str">
        <f>IF(tblMovimientos[[#This Row],[Tipo]]="","",IFERROR(INDEX(tblTiposMov[FactorStock],MATCH(tblMovimientos[[#This Row],[Tipo]],tblTiposMov[Tipo],0)),0))</f>
        <v/>
      </c>
      <c r="K38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5" s="37"/>
      <c r="O3815" s="37"/>
      <c r="P3815" s="37"/>
    </row>
    <row r="3816" spans="2:16" x14ac:dyDescent="0.25">
      <c r="B38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6" s="46"/>
      <c r="D3816" s="37"/>
      <c r="E3816" s="37"/>
      <c r="F3816" s="37"/>
      <c r="G3816" s="40" t="str">
        <f>IF(tblMovimientos[[#This Row],[Producto]]="","",TRIM(LEFT(tblMovimientos[[#This Row],[Producto]],FIND(" · ",tblMovimientos[[#This Row],[Producto]]&amp;" · ")-1)))</f>
        <v/>
      </c>
      <c r="H3816" s="40" t="str">
        <f>IF(tblMovimientos[[#This Row],[SKU]]="","",IFERROR(INDEX(tblProductos[Unidad],MATCH(tblMovimientos[[#This Row],[SKU]],tblProductos[SKU],0)),"?"))</f>
        <v/>
      </c>
      <c r="I3816" s="39"/>
      <c r="J3816" s="47" t="str">
        <f>IF(tblMovimientos[[#This Row],[Tipo]]="","",IFERROR(INDEX(tblTiposMov[FactorStock],MATCH(tblMovimientos[[#This Row],[Tipo]],tblTiposMov[Tipo],0)),0))</f>
        <v/>
      </c>
      <c r="K38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6" s="37"/>
      <c r="O3816" s="37"/>
      <c r="P3816" s="37"/>
    </row>
    <row r="3817" spans="2:16" x14ac:dyDescent="0.25">
      <c r="B38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7" s="46"/>
      <c r="D3817" s="37"/>
      <c r="E3817" s="37"/>
      <c r="F3817" s="37"/>
      <c r="G3817" s="40" t="str">
        <f>IF(tblMovimientos[[#This Row],[Producto]]="","",TRIM(LEFT(tblMovimientos[[#This Row],[Producto]],FIND(" · ",tblMovimientos[[#This Row],[Producto]]&amp;" · ")-1)))</f>
        <v/>
      </c>
      <c r="H3817" s="40" t="str">
        <f>IF(tblMovimientos[[#This Row],[SKU]]="","",IFERROR(INDEX(tblProductos[Unidad],MATCH(tblMovimientos[[#This Row],[SKU]],tblProductos[SKU],0)),"?"))</f>
        <v/>
      </c>
      <c r="I3817" s="39"/>
      <c r="J3817" s="47" t="str">
        <f>IF(tblMovimientos[[#This Row],[Tipo]]="","",IFERROR(INDEX(tblTiposMov[FactorStock],MATCH(tblMovimientos[[#This Row],[Tipo]],tblTiposMov[Tipo],0)),0))</f>
        <v/>
      </c>
      <c r="K38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7" s="37"/>
      <c r="O3817" s="37"/>
      <c r="P3817" s="37"/>
    </row>
    <row r="3818" spans="2:16" x14ac:dyDescent="0.25">
      <c r="B38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8" s="46"/>
      <c r="D3818" s="37"/>
      <c r="E3818" s="37"/>
      <c r="F3818" s="37"/>
      <c r="G3818" s="40" t="str">
        <f>IF(tblMovimientos[[#This Row],[Producto]]="","",TRIM(LEFT(tblMovimientos[[#This Row],[Producto]],FIND(" · ",tblMovimientos[[#This Row],[Producto]]&amp;" · ")-1)))</f>
        <v/>
      </c>
      <c r="H3818" s="40" t="str">
        <f>IF(tblMovimientos[[#This Row],[SKU]]="","",IFERROR(INDEX(tblProductos[Unidad],MATCH(tblMovimientos[[#This Row],[SKU]],tblProductos[SKU],0)),"?"))</f>
        <v/>
      </c>
      <c r="I3818" s="39"/>
      <c r="J3818" s="47" t="str">
        <f>IF(tblMovimientos[[#This Row],[Tipo]]="","",IFERROR(INDEX(tblTiposMov[FactorStock],MATCH(tblMovimientos[[#This Row],[Tipo]],tblTiposMov[Tipo],0)),0))</f>
        <v/>
      </c>
      <c r="K38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8" s="37"/>
      <c r="O3818" s="37"/>
      <c r="P3818" s="37"/>
    </row>
    <row r="3819" spans="2:16" x14ac:dyDescent="0.25">
      <c r="B38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19" s="46"/>
      <c r="D3819" s="37"/>
      <c r="E3819" s="37"/>
      <c r="F3819" s="37"/>
      <c r="G3819" s="40" t="str">
        <f>IF(tblMovimientos[[#This Row],[Producto]]="","",TRIM(LEFT(tblMovimientos[[#This Row],[Producto]],FIND(" · ",tblMovimientos[[#This Row],[Producto]]&amp;" · ")-1)))</f>
        <v/>
      </c>
      <c r="H3819" s="40" t="str">
        <f>IF(tblMovimientos[[#This Row],[SKU]]="","",IFERROR(INDEX(tblProductos[Unidad],MATCH(tblMovimientos[[#This Row],[SKU]],tblProductos[SKU],0)),"?"))</f>
        <v/>
      </c>
      <c r="I3819" s="39"/>
      <c r="J3819" s="47" t="str">
        <f>IF(tblMovimientos[[#This Row],[Tipo]]="","",IFERROR(INDEX(tblTiposMov[FactorStock],MATCH(tblMovimientos[[#This Row],[Tipo]],tblTiposMov[Tipo],0)),0))</f>
        <v/>
      </c>
      <c r="K38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19" s="37"/>
      <c r="O3819" s="37"/>
      <c r="P3819" s="37"/>
    </row>
    <row r="3820" spans="2:16" x14ac:dyDescent="0.25">
      <c r="B38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0" s="46"/>
      <c r="D3820" s="37"/>
      <c r="E3820" s="37"/>
      <c r="F3820" s="37"/>
      <c r="G3820" s="40" t="str">
        <f>IF(tblMovimientos[[#This Row],[Producto]]="","",TRIM(LEFT(tblMovimientos[[#This Row],[Producto]],FIND(" · ",tblMovimientos[[#This Row],[Producto]]&amp;" · ")-1)))</f>
        <v/>
      </c>
      <c r="H3820" s="40" t="str">
        <f>IF(tblMovimientos[[#This Row],[SKU]]="","",IFERROR(INDEX(tblProductos[Unidad],MATCH(tblMovimientos[[#This Row],[SKU]],tblProductos[SKU],0)),"?"))</f>
        <v/>
      </c>
      <c r="I3820" s="39"/>
      <c r="J3820" s="47" t="str">
        <f>IF(tblMovimientos[[#This Row],[Tipo]]="","",IFERROR(INDEX(tblTiposMov[FactorStock],MATCH(tblMovimientos[[#This Row],[Tipo]],tblTiposMov[Tipo],0)),0))</f>
        <v/>
      </c>
      <c r="K38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0" s="37"/>
      <c r="O3820" s="37"/>
      <c r="P3820" s="37"/>
    </row>
    <row r="3821" spans="2:16" x14ac:dyDescent="0.25">
      <c r="B38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1" s="46"/>
      <c r="D3821" s="37"/>
      <c r="E3821" s="37"/>
      <c r="F3821" s="37"/>
      <c r="G3821" s="40" t="str">
        <f>IF(tblMovimientos[[#This Row],[Producto]]="","",TRIM(LEFT(tblMovimientos[[#This Row],[Producto]],FIND(" · ",tblMovimientos[[#This Row],[Producto]]&amp;" · ")-1)))</f>
        <v/>
      </c>
      <c r="H3821" s="40" t="str">
        <f>IF(tblMovimientos[[#This Row],[SKU]]="","",IFERROR(INDEX(tblProductos[Unidad],MATCH(tblMovimientos[[#This Row],[SKU]],tblProductos[SKU],0)),"?"))</f>
        <v/>
      </c>
      <c r="I3821" s="39"/>
      <c r="J3821" s="47" t="str">
        <f>IF(tblMovimientos[[#This Row],[Tipo]]="","",IFERROR(INDEX(tblTiposMov[FactorStock],MATCH(tblMovimientos[[#This Row],[Tipo]],tblTiposMov[Tipo],0)),0))</f>
        <v/>
      </c>
      <c r="K38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1" s="37"/>
      <c r="O3821" s="37"/>
      <c r="P3821" s="37"/>
    </row>
    <row r="3822" spans="2:16" x14ac:dyDescent="0.25">
      <c r="B38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2" s="46"/>
      <c r="D3822" s="37"/>
      <c r="E3822" s="37"/>
      <c r="F3822" s="37"/>
      <c r="G3822" s="40" t="str">
        <f>IF(tblMovimientos[[#This Row],[Producto]]="","",TRIM(LEFT(tblMovimientos[[#This Row],[Producto]],FIND(" · ",tblMovimientos[[#This Row],[Producto]]&amp;" · ")-1)))</f>
        <v/>
      </c>
      <c r="H3822" s="40" t="str">
        <f>IF(tblMovimientos[[#This Row],[SKU]]="","",IFERROR(INDEX(tblProductos[Unidad],MATCH(tblMovimientos[[#This Row],[SKU]],tblProductos[SKU],0)),"?"))</f>
        <v/>
      </c>
      <c r="I3822" s="39"/>
      <c r="J3822" s="47" t="str">
        <f>IF(tblMovimientos[[#This Row],[Tipo]]="","",IFERROR(INDEX(tblTiposMov[FactorStock],MATCH(tblMovimientos[[#This Row],[Tipo]],tblTiposMov[Tipo],0)),0))</f>
        <v/>
      </c>
      <c r="K38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2" s="37"/>
      <c r="O3822" s="37"/>
      <c r="P3822" s="37"/>
    </row>
    <row r="3823" spans="2:16" x14ac:dyDescent="0.25">
      <c r="B38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3" s="46"/>
      <c r="D3823" s="37"/>
      <c r="E3823" s="37"/>
      <c r="F3823" s="37"/>
      <c r="G3823" s="40" t="str">
        <f>IF(tblMovimientos[[#This Row],[Producto]]="","",TRIM(LEFT(tblMovimientos[[#This Row],[Producto]],FIND(" · ",tblMovimientos[[#This Row],[Producto]]&amp;" · ")-1)))</f>
        <v/>
      </c>
      <c r="H3823" s="40" t="str">
        <f>IF(tblMovimientos[[#This Row],[SKU]]="","",IFERROR(INDEX(tblProductos[Unidad],MATCH(tblMovimientos[[#This Row],[SKU]],tblProductos[SKU],0)),"?"))</f>
        <v/>
      </c>
      <c r="I3823" s="39"/>
      <c r="J3823" s="47" t="str">
        <f>IF(tblMovimientos[[#This Row],[Tipo]]="","",IFERROR(INDEX(tblTiposMov[FactorStock],MATCH(tblMovimientos[[#This Row],[Tipo]],tblTiposMov[Tipo],0)),0))</f>
        <v/>
      </c>
      <c r="K38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3" s="37"/>
      <c r="O3823" s="37"/>
      <c r="P3823" s="37"/>
    </row>
    <row r="3824" spans="2:16" x14ac:dyDescent="0.25">
      <c r="B38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4" s="46"/>
      <c r="D3824" s="37"/>
      <c r="E3824" s="37"/>
      <c r="F3824" s="37"/>
      <c r="G3824" s="40" t="str">
        <f>IF(tblMovimientos[[#This Row],[Producto]]="","",TRIM(LEFT(tblMovimientos[[#This Row],[Producto]],FIND(" · ",tblMovimientos[[#This Row],[Producto]]&amp;" · ")-1)))</f>
        <v/>
      </c>
      <c r="H3824" s="40" t="str">
        <f>IF(tblMovimientos[[#This Row],[SKU]]="","",IFERROR(INDEX(tblProductos[Unidad],MATCH(tblMovimientos[[#This Row],[SKU]],tblProductos[SKU],0)),"?"))</f>
        <v/>
      </c>
      <c r="I3824" s="39"/>
      <c r="J3824" s="47" t="str">
        <f>IF(tblMovimientos[[#This Row],[Tipo]]="","",IFERROR(INDEX(tblTiposMov[FactorStock],MATCH(tblMovimientos[[#This Row],[Tipo]],tblTiposMov[Tipo],0)),0))</f>
        <v/>
      </c>
      <c r="K38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4" s="37"/>
      <c r="O3824" s="37"/>
      <c r="P3824" s="37"/>
    </row>
    <row r="3825" spans="2:16" x14ac:dyDescent="0.25">
      <c r="B38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5" s="46"/>
      <c r="D3825" s="37"/>
      <c r="E3825" s="37"/>
      <c r="F3825" s="37"/>
      <c r="G3825" s="40" t="str">
        <f>IF(tblMovimientos[[#This Row],[Producto]]="","",TRIM(LEFT(tblMovimientos[[#This Row],[Producto]],FIND(" · ",tblMovimientos[[#This Row],[Producto]]&amp;" · ")-1)))</f>
        <v/>
      </c>
      <c r="H3825" s="40" t="str">
        <f>IF(tblMovimientos[[#This Row],[SKU]]="","",IFERROR(INDEX(tblProductos[Unidad],MATCH(tblMovimientos[[#This Row],[SKU]],tblProductos[SKU],0)),"?"))</f>
        <v/>
      </c>
      <c r="I3825" s="39"/>
      <c r="J3825" s="47" t="str">
        <f>IF(tblMovimientos[[#This Row],[Tipo]]="","",IFERROR(INDEX(tblTiposMov[FactorStock],MATCH(tblMovimientos[[#This Row],[Tipo]],tblTiposMov[Tipo],0)),0))</f>
        <v/>
      </c>
      <c r="K38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5" s="37"/>
      <c r="O3825" s="37"/>
      <c r="P3825" s="37"/>
    </row>
    <row r="3826" spans="2:16" x14ac:dyDescent="0.25">
      <c r="B38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6" s="46"/>
      <c r="D3826" s="37"/>
      <c r="E3826" s="37"/>
      <c r="F3826" s="37"/>
      <c r="G3826" s="40" t="str">
        <f>IF(tblMovimientos[[#This Row],[Producto]]="","",TRIM(LEFT(tblMovimientos[[#This Row],[Producto]],FIND(" · ",tblMovimientos[[#This Row],[Producto]]&amp;" · ")-1)))</f>
        <v/>
      </c>
      <c r="H3826" s="40" t="str">
        <f>IF(tblMovimientos[[#This Row],[SKU]]="","",IFERROR(INDEX(tblProductos[Unidad],MATCH(tblMovimientos[[#This Row],[SKU]],tblProductos[SKU],0)),"?"))</f>
        <v/>
      </c>
      <c r="I3826" s="39"/>
      <c r="J3826" s="47" t="str">
        <f>IF(tblMovimientos[[#This Row],[Tipo]]="","",IFERROR(INDEX(tblTiposMov[FactorStock],MATCH(tblMovimientos[[#This Row],[Tipo]],tblTiposMov[Tipo],0)),0))</f>
        <v/>
      </c>
      <c r="K38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6" s="37"/>
      <c r="O3826" s="37"/>
      <c r="P3826" s="37"/>
    </row>
    <row r="3827" spans="2:16" x14ac:dyDescent="0.25">
      <c r="B38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7" s="46"/>
      <c r="D3827" s="37"/>
      <c r="E3827" s="37"/>
      <c r="F3827" s="37"/>
      <c r="G3827" s="40" t="str">
        <f>IF(tblMovimientos[[#This Row],[Producto]]="","",TRIM(LEFT(tblMovimientos[[#This Row],[Producto]],FIND(" · ",tblMovimientos[[#This Row],[Producto]]&amp;" · ")-1)))</f>
        <v/>
      </c>
      <c r="H3827" s="40" t="str">
        <f>IF(tblMovimientos[[#This Row],[SKU]]="","",IFERROR(INDEX(tblProductos[Unidad],MATCH(tblMovimientos[[#This Row],[SKU]],tblProductos[SKU],0)),"?"))</f>
        <v/>
      </c>
      <c r="I3827" s="39"/>
      <c r="J3827" s="47" t="str">
        <f>IF(tblMovimientos[[#This Row],[Tipo]]="","",IFERROR(INDEX(tblTiposMov[FactorStock],MATCH(tblMovimientos[[#This Row],[Tipo]],tblTiposMov[Tipo],0)),0))</f>
        <v/>
      </c>
      <c r="K38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7" s="37"/>
      <c r="O3827" s="37"/>
      <c r="P3827" s="37"/>
    </row>
    <row r="3828" spans="2:16" x14ac:dyDescent="0.25">
      <c r="B38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8" s="46"/>
      <c r="D3828" s="37"/>
      <c r="E3828" s="37"/>
      <c r="F3828" s="37"/>
      <c r="G3828" s="40" t="str">
        <f>IF(tblMovimientos[[#This Row],[Producto]]="","",TRIM(LEFT(tblMovimientos[[#This Row],[Producto]],FIND(" · ",tblMovimientos[[#This Row],[Producto]]&amp;" · ")-1)))</f>
        <v/>
      </c>
      <c r="H3828" s="40" t="str">
        <f>IF(tblMovimientos[[#This Row],[SKU]]="","",IFERROR(INDEX(tblProductos[Unidad],MATCH(tblMovimientos[[#This Row],[SKU]],tblProductos[SKU],0)),"?"))</f>
        <v/>
      </c>
      <c r="I3828" s="39"/>
      <c r="J3828" s="47" t="str">
        <f>IF(tblMovimientos[[#This Row],[Tipo]]="","",IFERROR(INDEX(tblTiposMov[FactorStock],MATCH(tblMovimientos[[#This Row],[Tipo]],tblTiposMov[Tipo],0)),0))</f>
        <v/>
      </c>
      <c r="K38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8" s="37"/>
      <c r="O3828" s="37"/>
      <c r="P3828" s="37"/>
    </row>
    <row r="3829" spans="2:16" x14ac:dyDescent="0.25">
      <c r="B38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29" s="46"/>
      <c r="D3829" s="37"/>
      <c r="E3829" s="37"/>
      <c r="F3829" s="37"/>
      <c r="G3829" s="40" t="str">
        <f>IF(tblMovimientos[[#This Row],[Producto]]="","",TRIM(LEFT(tblMovimientos[[#This Row],[Producto]],FIND(" · ",tblMovimientos[[#This Row],[Producto]]&amp;" · ")-1)))</f>
        <v/>
      </c>
      <c r="H3829" s="40" t="str">
        <f>IF(tblMovimientos[[#This Row],[SKU]]="","",IFERROR(INDEX(tblProductos[Unidad],MATCH(tblMovimientos[[#This Row],[SKU]],tblProductos[SKU],0)),"?"))</f>
        <v/>
      </c>
      <c r="I3829" s="39"/>
      <c r="J3829" s="47" t="str">
        <f>IF(tblMovimientos[[#This Row],[Tipo]]="","",IFERROR(INDEX(tblTiposMov[FactorStock],MATCH(tblMovimientos[[#This Row],[Tipo]],tblTiposMov[Tipo],0)),0))</f>
        <v/>
      </c>
      <c r="K38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29" s="37"/>
      <c r="O3829" s="37"/>
      <c r="P3829" s="37"/>
    </row>
    <row r="3830" spans="2:16" x14ac:dyDescent="0.25">
      <c r="B38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0" s="46"/>
      <c r="D3830" s="37"/>
      <c r="E3830" s="37"/>
      <c r="F3830" s="37"/>
      <c r="G3830" s="40" t="str">
        <f>IF(tblMovimientos[[#This Row],[Producto]]="","",TRIM(LEFT(tblMovimientos[[#This Row],[Producto]],FIND(" · ",tblMovimientos[[#This Row],[Producto]]&amp;" · ")-1)))</f>
        <v/>
      </c>
      <c r="H3830" s="40" t="str">
        <f>IF(tblMovimientos[[#This Row],[SKU]]="","",IFERROR(INDEX(tblProductos[Unidad],MATCH(tblMovimientos[[#This Row],[SKU]],tblProductos[SKU],0)),"?"))</f>
        <v/>
      </c>
      <c r="I3830" s="39"/>
      <c r="J3830" s="47" t="str">
        <f>IF(tblMovimientos[[#This Row],[Tipo]]="","",IFERROR(INDEX(tblTiposMov[FactorStock],MATCH(tblMovimientos[[#This Row],[Tipo]],tblTiposMov[Tipo],0)),0))</f>
        <v/>
      </c>
      <c r="K38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0" s="37"/>
      <c r="O3830" s="37"/>
      <c r="P3830" s="37"/>
    </row>
    <row r="3831" spans="2:16" x14ac:dyDescent="0.25">
      <c r="B38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1" s="46"/>
      <c r="D3831" s="37"/>
      <c r="E3831" s="37"/>
      <c r="F3831" s="37"/>
      <c r="G3831" s="40" t="str">
        <f>IF(tblMovimientos[[#This Row],[Producto]]="","",TRIM(LEFT(tblMovimientos[[#This Row],[Producto]],FIND(" · ",tblMovimientos[[#This Row],[Producto]]&amp;" · ")-1)))</f>
        <v/>
      </c>
      <c r="H3831" s="40" t="str">
        <f>IF(tblMovimientos[[#This Row],[SKU]]="","",IFERROR(INDEX(tblProductos[Unidad],MATCH(tblMovimientos[[#This Row],[SKU]],tblProductos[SKU],0)),"?"))</f>
        <v/>
      </c>
      <c r="I3831" s="39"/>
      <c r="J3831" s="47" t="str">
        <f>IF(tblMovimientos[[#This Row],[Tipo]]="","",IFERROR(INDEX(tblTiposMov[FactorStock],MATCH(tblMovimientos[[#This Row],[Tipo]],tblTiposMov[Tipo],0)),0))</f>
        <v/>
      </c>
      <c r="K38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1" s="37"/>
      <c r="O3831" s="37"/>
      <c r="P3831" s="37"/>
    </row>
    <row r="3832" spans="2:16" x14ac:dyDescent="0.25">
      <c r="B38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2" s="46"/>
      <c r="D3832" s="37"/>
      <c r="E3832" s="37"/>
      <c r="F3832" s="37"/>
      <c r="G3832" s="40" t="str">
        <f>IF(tblMovimientos[[#This Row],[Producto]]="","",TRIM(LEFT(tblMovimientos[[#This Row],[Producto]],FIND(" · ",tblMovimientos[[#This Row],[Producto]]&amp;" · ")-1)))</f>
        <v/>
      </c>
      <c r="H3832" s="40" t="str">
        <f>IF(tblMovimientos[[#This Row],[SKU]]="","",IFERROR(INDEX(tblProductos[Unidad],MATCH(tblMovimientos[[#This Row],[SKU]],tblProductos[SKU],0)),"?"))</f>
        <v/>
      </c>
      <c r="I3832" s="39"/>
      <c r="J3832" s="47" t="str">
        <f>IF(tblMovimientos[[#This Row],[Tipo]]="","",IFERROR(INDEX(tblTiposMov[FactorStock],MATCH(tblMovimientos[[#This Row],[Tipo]],tblTiposMov[Tipo],0)),0))</f>
        <v/>
      </c>
      <c r="K38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2" s="37"/>
      <c r="O3832" s="37"/>
      <c r="P3832" s="37"/>
    </row>
    <row r="3833" spans="2:16" x14ac:dyDescent="0.25">
      <c r="B38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3" s="46"/>
      <c r="D3833" s="37"/>
      <c r="E3833" s="37"/>
      <c r="F3833" s="37"/>
      <c r="G3833" s="40" t="str">
        <f>IF(tblMovimientos[[#This Row],[Producto]]="","",TRIM(LEFT(tblMovimientos[[#This Row],[Producto]],FIND(" · ",tblMovimientos[[#This Row],[Producto]]&amp;" · ")-1)))</f>
        <v/>
      </c>
      <c r="H3833" s="40" t="str">
        <f>IF(tblMovimientos[[#This Row],[SKU]]="","",IFERROR(INDEX(tblProductos[Unidad],MATCH(tblMovimientos[[#This Row],[SKU]],tblProductos[SKU],0)),"?"))</f>
        <v/>
      </c>
      <c r="I3833" s="39"/>
      <c r="J3833" s="47" t="str">
        <f>IF(tblMovimientos[[#This Row],[Tipo]]="","",IFERROR(INDEX(tblTiposMov[FactorStock],MATCH(tblMovimientos[[#This Row],[Tipo]],tblTiposMov[Tipo],0)),0))</f>
        <v/>
      </c>
      <c r="K38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3" s="37"/>
      <c r="O3833" s="37"/>
      <c r="P3833" s="37"/>
    </row>
    <row r="3834" spans="2:16" x14ac:dyDescent="0.25">
      <c r="B38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4" s="46"/>
      <c r="D3834" s="37"/>
      <c r="E3834" s="37"/>
      <c r="F3834" s="37"/>
      <c r="G3834" s="40" t="str">
        <f>IF(tblMovimientos[[#This Row],[Producto]]="","",TRIM(LEFT(tblMovimientos[[#This Row],[Producto]],FIND(" · ",tblMovimientos[[#This Row],[Producto]]&amp;" · ")-1)))</f>
        <v/>
      </c>
      <c r="H3834" s="40" t="str">
        <f>IF(tblMovimientos[[#This Row],[SKU]]="","",IFERROR(INDEX(tblProductos[Unidad],MATCH(tblMovimientos[[#This Row],[SKU]],tblProductos[SKU],0)),"?"))</f>
        <v/>
      </c>
      <c r="I3834" s="39"/>
      <c r="J3834" s="47" t="str">
        <f>IF(tblMovimientos[[#This Row],[Tipo]]="","",IFERROR(INDEX(tblTiposMov[FactorStock],MATCH(tblMovimientos[[#This Row],[Tipo]],tblTiposMov[Tipo],0)),0))</f>
        <v/>
      </c>
      <c r="K38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4" s="37"/>
      <c r="O3834" s="37"/>
      <c r="P3834" s="37"/>
    </row>
    <row r="3835" spans="2:16" x14ac:dyDescent="0.25">
      <c r="B38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5" s="46"/>
      <c r="D3835" s="37"/>
      <c r="E3835" s="37"/>
      <c r="F3835" s="37"/>
      <c r="G3835" s="40" t="str">
        <f>IF(tblMovimientos[[#This Row],[Producto]]="","",TRIM(LEFT(tblMovimientos[[#This Row],[Producto]],FIND(" · ",tblMovimientos[[#This Row],[Producto]]&amp;" · ")-1)))</f>
        <v/>
      </c>
      <c r="H3835" s="40" t="str">
        <f>IF(tblMovimientos[[#This Row],[SKU]]="","",IFERROR(INDEX(tblProductos[Unidad],MATCH(tblMovimientos[[#This Row],[SKU]],tblProductos[SKU],0)),"?"))</f>
        <v/>
      </c>
      <c r="I3835" s="39"/>
      <c r="J3835" s="47" t="str">
        <f>IF(tblMovimientos[[#This Row],[Tipo]]="","",IFERROR(INDEX(tblTiposMov[FactorStock],MATCH(tblMovimientos[[#This Row],[Tipo]],tblTiposMov[Tipo],0)),0))</f>
        <v/>
      </c>
      <c r="K38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5" s="37"/>
      <c r="O3835" s="37"/>
      <c r="P3835" s="37"/>
    </row>
    <row r="3836" spans="2:16" x14ac:dyDescent="0.25">
      <c r="B38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6" s="46"/>
      <c r="D3836" s="37"/>
      <c r="E3836" s="37"/>
      <c r="F3836" s="37"/>
      <c r="G3836" s="40" t="str">
        <f>IF(tblMovimientos[[#This Row],[Producto]]="","",TRIM(LEFT(tblMovimientos[[#This Row],[Producto]],FIND(" · ",tblMovimientos[[#This Row],[Producto]]&amp;" · ")-1)))</f>
        <v/>
      </c>
      <c r="H3836" s="40" t="str">
        <f>IF(tblMovimientos[[#This Row],[SKU]]="","",IFERROR(INDEX(tblProductos[Unidad],MATCH(tblMovimientos[[#This Row],[SKU]],tblProductos[SKU],0)),"?"))</f>
        <v/>
      </c>
      <c r="I3836" s="39"/>
      <c r="J3836" s="47" t="str">
        <f>IF(tblMovimientos[[#This Row],[Tipo]]="","",IFERROR(INDEX(tblTiposMov[FactorStock],MATCH(tblMovimientos[[#This Row],[Tipo]],tblTiposMov[Tipo],0)),0))</f>
        <v/>
      </c>
      <c r="K38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6" s="37"/>
      <c r="O3836" s="37"/>
      <c r="P3836" s="37"/>
    </row>
    <row r="3837" spans="2:16" x14ac:dyDescent="0.25">
      <c r="B38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7" s="46"/>
      <c r="D3837" s="37"/>
      <c r="E3837" s="37"/>
      <c r="F3837" s="37"/>
      <c r="G3837" s="40" t="str">
        <f>IF(tblMovimientos[[#This Row],[Producto]]="","",TRIM(LEFT(tblMovimientos[[#This Row],[Producto]],FIND(" · ",tblMovimientos[[#This Row],[Producto]]&amp;" · ")-1)))</f>
        <v/>
      </c>
      <c r="H3837" s="40" t="str">
        <f>IF(tblMovimientos[[#This Row],[SKU]]="","",IFERROR(INDEX(tblProductos[Unidad],MATCH(tblMovimientos[[#This Row],[SKU]],tblProductos[SKU],0)),"?"))</f>
        <v/>
      </c>
      <c r="I3837" s="39"/>
      <c r="J3837" s="47" t="str">
        <f>IF(tblMovimientos[[#This Row],[Tipo]]="","",IFERROR(INDEX(tblTiposMov[FactorStock],MATCH(tblMovimientos[[#This Row],[Tipo]],tblTiposMov[Tipo],0)),0))</f>
        <v/>
      </c>
      <c r="K38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7" s="37"/>
      <c r="O3837" s="37"/>
      <c r="P3837" s="37"/>
    </row>
    <row r="3838" spans="2:16" x14ac:dyDescent="0.25">
      <c r="B38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8" s="46"/>
      <c r="D3838" s="37"/>
      <c r="E3838" s="37"/>
      <c r="F3838" s="37"/>
      <c r="G3838" s="40" t="str">
        <f>IF(tblMovimientos[[#This Row],[Producto]]="","",TRIM(LEFT(tblMovimientos[[#This Row],[Producto]],FIND(" · ",tblMovimientos[[#This Row],[Producto]]&amp;" · ")-1)))</f>
        <v/>
      </c>
      <c r="H3838" s="40" t="str">
        <f>IF(tblMovimientos[[#This Row],[SKU]]="","",IFERROR(INDEX(tblProductos[Unidad],MATCH(tblMovimientos[[#This Row],[SKU]],tblProductos[SKU],0)),"?"))</f>
        <v/>
      </c>
      <c r="I3838" s="39"/>
      <c r="J3838" s="47" t="str">
        <f>IF(tblMovimientos[[#This Row],[Tipo]]="","",IFERROR(INDEX(tblTiposMov[FactorStock],MATCH(tblMovimientos[[#This Row],[Tipo]],tblTiposMov[Tipo],0)),0))</f>
        <v/>
      </c>
      <c r="K38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8" s="37"/>
      <c r="O3838" s="37"/>
      <c r="P3838" s="37"/>
    </row>
    <row r="3839" spans="2:16" x14ac:dyDescent="0.25">
      <c r="B38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39" s="46"/>
      <c r="D3839" s="37"/>
      <c r="E3839" s="37"/>
      <c r="F3839" s="37"/>
      <c r="G3839" s="40" t="str">
        <f>IF(tblMovimientos[[#This Row],[Producto]]="","",TRIM(LEFT(tblMovimientos[[#This Row],[Producto]],FIND(" · ",tblMovimientos[[#This Row],[Producto]]&amp;" · ")-1)))</f>
        <v/>
      </c>
      <c r="H3839" s="40" t="str">
        <f>IF(tblMovimientos[[#This Row],[SKU]]="","",IFERROR(INDEX(tblProductos[Unidad],MATCH(tblMovimientos[[#This Row],[SKU]],tblProductos[SKU],0)),"?"))</f>
        <v/>
      </c>
      <c r="I3839" s="39"/>
      <c r="J3839" s="47" t="str">
        <f>IF(tblMovimientos[[#This Row],[Tipo]]="","",IFERROR(INDEX(tblTiposMov[FactorStock],MATCH(tblMovimientos[[#This Row],[Tipo]],tblTiposMov[Tipo],0)),0))</f>
        <v/>
      </c>
      <c r="K38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39" s="37"/>
      <c r="O3839" s="37"/>
      <c r="P3839" s="37"/>
    </row>
    <row r="3840" spans="2:16" x14ac:dyDescent="0.25">
      <c r="B38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0" s="46"/>
      <c r="D3840" s="37"/>
      <c r="E3840" s="37"/>
      <c r="F3840" s="37"/>
      <c r="G3840" s="40" t="str">
        <f>IF(tblMovimientos[[#This Row],[Producto]]="","",TRIM(LEFT(tblMovimientos[[#This Row],[Producto]],FIND(" · ",tblMovimientos[[#This Row],[Producto]]&amp;" · ")-1)))</f>
        <v/>
      </c>
      <c r="H3840" s="40" t="str">
        <f>IF(tblMovimientos[[#This Row],[SKU]]="","",IFERROR(INDEX(tblProductos[Unidad],MATCH(tblMovimientos[[#This Row],[SKU]],tblProductos[SKU],0)),"?"))</f>
        <v/>
      </c>
      <c r="I3840" s="39"/>
      <c r="J3840" s="47" t="str">
        <f>IF(tblMovimientos[[#This Row],[Tipo]]="","",IFERROR(INDEX(tblTiposMov[FactorStock],MATCH(tblMovimientos[[#This Row],[Tipo]],tblTiposMov[Tipo],0)),0))</f>
        <v/>
      </c>
      <c r="K38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0" s="37"/>
      <c r="O3840" s="37"/>
      <c r="P3840" s="37"/>
    </row>
    <row r="3841" spans="2:16" x14ac:dyDescent="0.25">
      <c r="B38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1" s="46"/>
      <c r="D3841" s="37"/>
      <c r="E3841" s="37"/>
      <c r="F3841" s="37"/>
      <c r="G3841" s="40" t="str">
        <f>IF(tblMovimientos[[#This Row],[Producto]]="","",TRIM(LEFT(tblMovimientos[[#This Row],[Producto]],FIND(" · ",tblMovimientos[[#This Row],[Producto]]&amp;" · ")-1)))</f>
        <v/>
      </c>
      <c r="H3841" s="40" t="str">
        <f>IF(tblMovimientos[[#This Row],[SKU]]="","",IFERROR(INDEX(tblProductos[Unidad],MATCH(tblMovimientos[[#This Row],[SKU]],tblProductos[SKU],0)),"?"))</f>
        <v/>
      </c>
      <c r="I3841" s="39"/>
      <c r="J3841" s="47" t="str">
        <f>IF(tblMovimientos[[#This Row],[Tipo]]="","",IFERROR(INDEX(tblTiposMov[FactorStock],MATCH(tblMovimientos[[#This Row],[Tipo]],tblTiposMov[Tipo],0)),0))</f>
        <v/>
      </c>
      <c r="K38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1" s="37"/>
      <c r="O3841" s="37"/>
      <c r="P3841" s="37"/>
    </row>
    <row r="3842" spans="2:16" x14ac:dyDescent="0.25">
      <c r="B38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2" s="46"/>
      <c r="D3842" s="37"/>
      <c r="E3842" s="37"/>
      <c r="F3842" s="37"/>
      <c r="G3842" s="40" t="str">
        <f>IF(tblMovimientos[[#This Row],[Producto]]="","",TRIM(LEFT(tblMovimientos[[#This Row],[Producto]],FIND(" · ",tblMovimientos[[#This Row],[Producto]]&amp;" · ")-1)))</f>
        <v/>
      </c>
      <c r="H3842" s="40" t="str">
        <f>IF(tblMovimientos[[#This Row],[SKU]]="","",IFERROR(INDEX(tblProductos[Unidad],MATCH(tblMovimientos[[#This Row],[SKU]],tblProductos[SKU],0)),"?"))</f>
        <v/>
      </c>
      <c r="I3842" s="39"/>
      <c r="J3842" s="47" t="str">
        <f>IF(tblMovimientos[[#This Row],[Tipo]]="","",IFERROR(INDEX(tblTiposMov[FactorStock],MATCH(tblMovimientos[[#This Row],[Tipo]],tblTiposMov[Tipo],0)),0))</f>
        <v/>
      </c>
      <c r="K38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2" s="37"/>
      <c r="O3842" s="37"/>
      <c r="P3842" s="37"/>
    </row>
    <row r="3843" spans="2:16" x14ac:dyDescent="0.25">
      <c r="B38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3" s="46"/>
      <c r="D3843" s="37"/>
      <c r="E3843" s="37"/>
      <c r="F3843" s="37"/>
      <c r="G3843" s="40" t="str">
        <f>IF(tblMovimientos[[#This Row],[Producto]]="","",TRIM(LEFT(tblMovimientos[[#This Row],[Producto]],FIND(" · ",tblMovimientos[[#This Row],[Producto]]&amp;" · ")-1)))</f>
        <v/>
      </c>
      <c r="H3843" s="40" t="str">
        <f>IF(tblMovimientos[[#This Row],[SKU]]="","",IFERROR(INDEX(tblProductos[Unidad],MATCH(tblMovimientos[[#This Row],[SKU]],tblProductos[SKU],0)),"?"))</f>
        <v/>
      </c>
      <c r="I3843" s="39"/>
      <c r="J3843" s="47" t="str">
        <f>IF(tblMovimientos[[#This Row],[Tipo]]="","",IFERROR(INDEX(tblTiposMov[FactorStock],MATCH(tblMovimientos[[#This Row],[Tipo]],tblTiposMov[Tipo],0)),0))</f>
        <v/>
      </c>
      <c r="K38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3" s="37"/>
      <c r="O3843" s="37"/>
      <c r="P3843" s="37"/>
    </row>
    <row r="3844" spans="2:16" x14ac:dyDescent="0.25">
      <c r="B38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4" s="46"/>
      <c r="D3844" s="37"/>
      <c r="E3844" s="37"/>
      <c r="F3844" s="37"/>
      <c r="G3844" s="40" t="str">
        <f>IF(tblMovimientos[[#This Row],[Producto]]="","",TRIM(LEFT(tblMovimientos[[#This Row],[Producto]],FIND(" · ",tblMovimientos[[#This Row],[Producto]]&amp;" · ")-1)))</f>
        <v/>
      </c>
      <c r="H3844" s="40" t="str">
        <f>IF(tblMovimientos[[#This Row],[SKU]]="","",IFERROR(INDEX(tblProductos[Unidad],MATCH(tblMovimientos[[#This Row],[SKU]],tblProductos[SKU],0)),"?"))</f>
        <v/>
      </c>
      <c r="I3844" s="39"/>
      <c r="J3844" s="47" t="str">
        <f>IF(tblMovimientos[[#This Row],[Tipo]]="","",IFERROR(INDEX(tblTiposMov[FactorStock],MATCH(tblMovimientos[[#This Row],[Tipo]],tblTiposMov[Tipo],0)),0))</f>
        <v/>
      </c>
      <c r="K38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4" s="37"/>
      <c r="O3844" s="37"/>
      <c r="P3844" s="37"/>
    </row>
    <row r="3845" spans="2:16" x14ac:dyDescent="0.25">
      <c r="B38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5" s="46"/>
      <c r="D3845" s="37"/>
      <c r="E3845" s="37"/>
      <c r="F3845" s="37"/>
      <c r="G3845" s="40" t="str">
        <f>IF(tblMovimientos[[#This Row],[Producto]]="","",TRIM(LEFT(tblMovimientos[[#This Row],[Producto]],FIND(" · ",tblMovimientos[[#This Row],[Producto]]&amp;" · ")-1)))</f>
        <v/>
      </c>
      <c r="H3845" s="40" t="str">
        <f>IF(tblMovimientos[[#This Row],[SKU]]="","",IFERROR(INDEX(tblProductos[Unidad],MATCH(tblMovimientos[[#This Row],[SKU]],tblProductos[SKU],0)),"?"))</f>
        <v/>
      </c>
      <c r="I3845" s="39"/>
      <c r="J3845" s="47" t="str">
        <f>IF(tblMovimientos[[#This Row],[Tipo]]="","",IFERROR(INDEX(tblTiposMov[FactorStock],MATCH(tblMovimientos[[#This Row],[Tipo]],tblTiposMov[Tipo],0)),0))</f>
        <v/>
      </c>
      <c r="K38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5" s="37"/>
      <c r="O3845" s="37"/>
      <c r="P3845" s="37"/>
    </row>
    <row r="3846" spans="2:16" x14ac:dyDescent="0.25">
      <c r="B38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6" s="46"/>
      <c r="D3846" s="37"/>
      <c r="E3846" s="37"/>
      <c r="F3846" s="37"/>
      <c r="G3846" s="40" t="str">
        <f>IF(tblMovimientos[[#This Row],[Producto]]="","",TRIM(LEFT(tblMovimientos[[#This Row],[Producto]],FIND(" · ",tblMovimientos[[#This Row],[Producto]]&amp;" · ")-1)))</f>
        <v/>
      </c>
      <c r="H3846" s="40" t="str">
        <f>IF(tblMovimientos[[#This Row],[SKU]]="","",IFERROR(INDEX(tblProductos[Unidad],MATCH(tblMovimientos[[#This Row],[SKU]],tblProductos[SKU],0)),"?"))</f>
        <v/>
      </c>
      <c r="I3846" s="39"/>
      <c r="J3846" s="47" t="str">
        <f>IF(tblMovimientos[[#This Row],[Tipo]]="","",IFERROR(INDEX(tblTiposMov[FactorStock],MATCH(tblMovimientos[[#This Row],[Tipo]],tblTiposMov[Tipo],0)),0))</f>
        <v/>
      </c>
      <c r="K38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6" s="37"/>
      <c r="O3846" s="37"/>
      <c r="P3846" s="37"/>
    </row>
    <row r="3847" spans="2:16" x14ac:dyDescent="0.25">
      <c r="B38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7" s="46"/>
      <c r="D3847" s="37"/>
      <c r="E3847" s="37"/>
      <c r="F3847" s="37"/>
      <c r="G3847" s="40" t="str">
        <f>IF(tblMovimientos[[#This Row],[Producto]]="","",TRIM(LEFT(tblMovimientos[[#This Row],[Producto]],FIND(" · ",tblMovimientos[[#This Row],[Producto]]&amp;" · ")-1)))</f>
        <v/>
      </c>
      <c r="H3847" s="40" t="str">
        <f>IF(tblMovimientos[[#This Row],[SKU]]="","",IFERROR(INDEX(tblProductos[Unidad],MATCH(tblMovimientos[[#This Row],[SKU]],tblProductos[SKU],0)),"?"))</f>
        <v/>
      </c>
      <c r="I3847" s="39"/>
      <c r="J3847" s="47" t="str">
        <f>IF(tblMovimientos[[#This Row],[Tipo]]="","",IFERROR(INDEX(tblTiposMov[FactorStock],MATCH(tblMovimientos[[#This Row],[Tipo]],tblTiposMov[Tipo],0)),0))</f>
        <v/>
      </c>
      <c r="K38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7" s="37"/>
      <c r="O3847" s="37"/>
      <c r="P3847" s="37"/>
    </row>
    <row r="3848" spans="2:16" x14ac:dyDescent="0.25">
      <c r="B38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8" s="46"/>
      <c r="D3848" s="37"/>
      <c r="E3848" s="37"/>
      <c r="F3848" s="37"/>
      <c r="G3848" s="40" t="str">
        <f>IF(tblMovimientos[[#This Row],[Producto]]="","",TRIM(LEFT(tblMovimientos[[#This Row],[Producto]],FIND(" · ",tblMovimientos[[#This Row],[Producto]]&amp;" · ")-1)))</f>
        <v/>
      </c>
      <c r="H3848" s="40" t="str">
        <f>IF(tblMovimientos[[#This Row],[SKU]]="","",IFERROR(INDEX(tblProductos[Unidad],MATCH(tblMovimientos[[#This Row],[SKU]],tblProductos[SKU],0)),"?"))</f>
        <v/>
      </c>
      <c r="I3848" s="39"/>
      <c r="J3848" s="47" t="str">
        <f>IF(tblMovimientos[[#This Row],[Tipo]]="","",IFERROR(INDEX(tblTiposMov[FactorStock],MATCH(tblMovimientos[[#This Row],[Tipo]],tblTiposMov[Tipo],0)),0))</f>
        <v/>
      </c>
      <c r="K38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8" s="37"/>
      <c r="O3848" s="37"/>
      <c r="P3848" s="37"/>
    </row>
    <row r="3849" spans="2:16" x14ac:dyDescent="0.25">
      <c r="B38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49" s="46"/>
      <c r="D3849" s="37"/>
      <c r="E3849" s="37"/>
      <c r="F3849" s="37"/>
      <c r="G3849" s="40" t="str">
        <f>IF(tblMovimientos[[#This Row],[Producto]]="","",TRIM(LEFT(tblMovimientos[[#This Row],[Producto]],FIND(" · ",tblMovimientos[[#This Row],[Producto]]&amp;" · ")-1)))</f>
        <v/>
      </c>
      <c r="H3849" s="40" t="str">
        <f>IF(tblMovimientos[[#This Row],[SKU]]="","",IFERROR(INDEX(tblProductos[Unidad],MATCH(tblMovimientos[[#This Row],[SKU]],tblProductos[SKU],0)),"?"))</f>
        <v/>
      </c>
      <c r="I3849" s="39"/>
      <c r="J3849" s="47" t="str">
        <f>IF(tblMovimientos[[#This Row],[Tipo]]="","",IFERROR(INDEX(tblTiposMov[FactorStock],MATCH(tblMovimientos[[#This Row],[Tipo]],tblTiposMov[Tipo],0)),0))</f>
        <v/>
      </c>
      <c r="K38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49" s="37"/>
      <c r="O3849" s="37"/>
      <c r="P3849" s="37"/>
    </row>
    <row r="3850" spans="2:16" x14ac:dyDescent="0.25">
      <c r="B38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0" s="46"/>
      <c r="D3850" s="37"/>
      <c r="E3850" s="37"/>
      <c r="F3850" s="37"/>
      <c r="G3850" s="40" t="str">
        <f>IF(tblMovimientos[[#This Row],[Producto]]="","",TRIM(LEFT(tblMovimientos[[#This Row],[Producto]],FIND(" · ",tblMovimientos[[#This Row],[Producto]]&amp;" · ")-1)))</f>
        <v/>
      </c>
      <c r="H3850" s="40" t="str">
        <f>IF(tblMovimientos[[#This Row],[SKU]]="","",IFERROR(INDEX(tblProductos[Unidad],MATCH(tblMovimientos[[#This Row],[SKU]],tblProductos[SKU],0)),"?"))</f>
        <v/>
      </c>
      <c r="I3850" s="39"/>
      <c r="J3850" s="47" t="str">
        <f>IF(tblMovimientos[[#This Row],[Tipo]]="","",IFERROR(INDEX(tblTiposMov[FactorStock],MATCH(tblMovimientos[[#This Row],[Tipo]],tblTiposMov[Tipo],0)),0))</f>
        <v/>
      </c>
      <c r="K38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0" s="37"/>
      <c r="O3850" s="37"/>
      <c r="P3850" s="37"/>
    </row>
    <row r="3851" spans="2:16" x14ac:dyDescent="0.25">
      <c r="B38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1" s="46"/>
      <c r="D3851" s="37"/>
      <c r="E3851" s="37"/>
      <c r="F3851" s="37"/>
      <c r="G3851" s="40" t="str">
        <f>IF(tblMovimientos[[#This Row],[Producto]]="","",TRIM(LEFT(tblMovimientos[[#This Row],[Producto]],FIND(" · ",tblMovimientos[[#This Row],[Producto]]&amp;" · ")-1)))</f>
        <v/>
      </c>
      <c r="H3851" s="40" t="str">
        <f>IF(tblMovimientos[[#This Row],[SKU]]="","",IFERROR(INDEX(tblProductos[Unidad],MATCH(tblMovimientos[[#This Row],[SKU]],tblProductos[SKU],0)),"?"))</f>
        <v/>
      </c>
      <c r="I3851" s="39"/>
      <c r="J3851" s="47" t="str">
        <f>IF(tblMovimientos[[#This Row],[Tipo]]="","",IFERROR(INDEX(tblTiposMov[FactorStock],MATCH(tblMovimientos[[#This Row],[Tipo]],tblTiposMov[Tipo],0)),0))</f>
        <v/>
      </c>
      <c r="K38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1" s="37"/>
      <c r="O3851" s="37"/>
      <c r="P3851" s="37"/>
    </row>
    <row r="3852" spans="2:16" x14ac:dyDescent="0.25">
      <c r="B38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2" s="46"/>
      <c r="D3852" s="37"/>
      <c r="E3852" s="37"/>
      <c r="F3852" s="37"/>
      <c r="G3852" s="40" t="str">
        <f>IF(tblMovimientos[[#This Row],[Producto]]="","",TRIM(LEFT(tblMovimientos[[#This Row],[Producto]],FIND(" · ",tblMovimientos[[#This Row],[Producto]]&amp;" · ")-1)))</f>
        <v/>
      </c>
      <c r="H3852" s="40" t="str">
        <f>IF(tblMovimientos[[#This Row],[SKU]]="","",IFERROR(INDEX(tblProductos[Unidad],MATCH(tblMovimientos[[#This Row],[SKU]],tblProductos[SKU],0)),"?"))</f>
        <v/>
      </c>
      <c r="I3852" s="39"/>
      <c r="J3852" s="47" t="str">
        <f>IF(tblMovimientos[[#This Row],[Tipo]]="","",IFERROR(INDEX(tblTiposMov[FactorStock],MATCH(tblMovimientos[[#This Row],[Tipo]],tblTiposMov[Tipo],0)),0))</f>
        <v/>
      </c>
      <c r="K38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2" s="37"/>
      <c r="O3852" s="37"/>
      <c r="P3852" s="37"/>
    </row>
    <row r="3853" spans="2:16" x14ac:dyDescent="0.25">
      <c r="B38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3" s="46"/>
      <c r="D3853" s="37"/>
      <c r="E3853" s="37"/>
      <c r="F3853" s="37"/>
      <c r="G3853" s="40" t="str">
        <f>IF(tblMovimientos[[#This Row],[Producto]]="","",TRIM(LEFT(tblMovimientos[[#This Row],[Producto]],FIND(" · ",tblMovimientos[[#This Row],[Producto]]&amp;" · ")-1)))</f>
        <v/>
      </c>
      <c r="H3853" s="40" t="str">
        <f>IF(tblMovimientos[[#This Row],[SKU]]="","",IFERROR(INDEX(tblProductos[Unidad],MATCH(tblMovimientos[[#This Row],[SKU]],tblProductos[SKU],0)),"?"))</f>
        <v/>
      </c>
      <c r="I3853" s="39"/>
      <c r="J3853" s="47" t="str">
        <f>IF(tblMovimientos[[#This Row],[Tipo]]="","",IFERROR(INDEX(tblTiposMov[FactorStock],MATCH(tblMovimientos[[#This Row],[Tipo]],tblTiposMov[Tipo],0)),0))</f>
        <v/>
      </c>
      <c r="K38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3" s="37"/>
      <c r="O3853" s="37"/>
      <c r="P3853" s="37"/>
    </row>
    <row r="3854" spans="2:16" x14ac:dyDescent="0.25">
      <c r="B38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4" s="46"/>
      <c r="D3854" s="37"/>
      <c r="E3854" s="37"/>
      <c r="F3854" s="37"/>
      <c r="G3854" s="40" t="str">
        <f>IF(tblMovimientos[[#This Row],[Producto]]="","",TRIM(LEFT(tblMovimientos[[#This Row],[Producto]],FIND(" · ",tblMovimientos[[#This Row],[Producto]]&amp;" · ")-1)))</f>
        <v/>
      </c>
      <c r="H3854" s="40" t="str">
        <f>IF(tblMovimientos[[#This Row],[SKU]]="","",IFERROR(INDEX(tblProductos[Unidad],MATCH(tblMovimientos[[#This Row],[SKU]],tblProductos[SKU],0)),"?"))</f>
        <v/>
      </c>
      <c r="I3854" s="39"/>
      <c r="J3854" s="47" t="str">
        <f>IF(tblMovimientos[[#This Row],[Tipo]]="","",IFERROR(INDEX(tblTiposMov[FactorStock],MATCH(tblMovimientos[[#This Row],[Tipo]],tblTiposMov[Tipo],0)),0))</f>
        <v/>
      </c>
      <c r="K38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4" s="37"/>
      <c r="O3854" s="37"/>
      <c r="P3854" s="37"/>
    </row>
    <row r="3855" spans="2:16" x14ac:dyDescent="0.25">
      <c r="B38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5" s="46"/>
      <c r="D3855" s="37"/>
      <c r="E3855" s="37"/>
      <c r="F3855" s="37"/>
      <c r="G3855" s="40" t="str">
        <f>IF(tblMovimientos[[#This Row],[Producto]]="","",TRIM(LEFT(tblMovimientos[[#This Row],[Producto]],FIND(" · ",tblMovimientos[[#This Row],[Producto]]&amp;" · ")-1)))</f>
        <v/>
      </c>
      <c r="H3855" s="40" t="str">
        <f>IF(tblMovimientos[[#This Row],[SKU]]="","",IFERROR(INDEX(tblProductos[Unidad],MATCH(tblMovimientos[[#This Row],[SKU]],tblProductos[SKU],0)),"?"))</f>
        <v/>
      </c>
      <c r="I3855" s="39"/>
      <c r="J3855" s="47" t="str">
        <f>IF(tblMovimientos[[#This Row],[Tipo]]="","",IFERROR(INDEX(tblTiposMov[FactorStock],MATCH(tblMovimientos[[#This Row],[Tipo]],tblTiposMov[Tipo],0)),0))</f>
        <v/>
      </c>
      <c r="K38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5" s="37"/>
      <c r="O3855" s="37"/>
      <c r="P3855" s="37"/>
    </row>
    <row r="3856" spans="2:16" x14ac:dyDescent="0.25">
      <c r="B38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6" s="46"/>
      <c r="D3856" s="37"/>
      <c r="E3856" s="37"/>
      <c r="F3856" s="37"/>
      <c r="G3856" s="40" t="str">
        <f>IF(tblMovimientos[[#This Row],[Producto]]="","",TRIM(LEFT(tblMovimientos[[#This Row],[Producto]],FIND(" · ",tblMovimientos[[#This Row],[Producto]]&amp;" · ")-1)))</f>
        <v/>
      </c>
      <c r="H3856" s="40" t="str">
        <f>IF(tblMovimientos[[#This Row],[SKU]]="","",IFERROR(INDEX(tblProductos[Unidad],MATCH(tblMovimientos[[#This Row],[SKU]],tblProductos[SKU],0)),"?"))</f>
        <v/>
      </c>
      <c r="I3856" s="39"/>
      <c r="J3856" s="47" t="str">
        <f>IF(tblMovimientos[[#This Row],[Tipo]]="","",IFERROR(INDEX(tblTiposMov[FactorStock],MATCH(tblMovimientos[[#This Row],[Tipo]],tblTiposMov[Tipo],0)),0))</f>
        <v/>
      </c>
      <c r="K38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6" s="37"/>
      <c r="O3856" s="37"/>
      <c r="P3856" s="37"/>
    </row>
    <row r="3857" spans="2:16" x14ac:dyDescent="0.25">
      <c r="B38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7" s="46"/>
      <c r="D3857" s="37"/>
      <c r="E3857" s="37"/>
      <c r="F3857" s="37"/>
      <c r="G3857" s="40" t="str">
        <f>IF(tblMovimientos[[#This Row],[Producto]]="","",TRIM(LEFT(tblMovimientos[[#This Row],[Producto]],FIND(" · ",tblMovimientos[[#This Row],[Producto]]&amp;" · ")-1)))</f>
        <v/>
      </c>
      <c r="H3857" s="40" t="str">
        <f>IF(tblMovimientos[[#This Row],[SKU]]="","",IFERROR(INDEX(tblProductos[Unidad],MATCH(tblMovimientos[[#This Row],[SKU]],tblProductos[SKU],0)),"?"))</f>
        <v/>
      </c>
      <c r="I3857" s="39"/>
      <c r="J3857" s="47" t="str">
        <f>IF(tblMovimientos[[#This Row],[Tipo]]="","",IFERROR(INDEX(tblTiposMov[FactorStock],MATCH(tblMovimientos[[#This Row],[Tipo]],tblTiposMov[Tipo],0)),0))</f>
        <v/>
      </c>
      <c r="K38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7" s="37"/>
      <c r="O3857" s="37"/>
      <c r="P3857" s="37"/>
    </row>
    <row r="3858" spans="2:16" x14ac:dyDescent="0.25">
      <c r="B38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8" s="46"/>
      <c r="D3858" s="37"/>
      <c r="E3858" s="37"/>
      <c r="F3858" s="37"/>
      <c r="G3858" s="40" t="str">
        <f>IF(tblMovimientos[[#This Row],[Producto]]="","",TRIM(LEFT(tblMovimientos[[#This Row],[Producto]],FIND(" · ",tblMovimientos[[#This Row],[Producto]]&amp;" · ")-1)))</f>
        <v/>
      </c>
      <c r="H3858" s="40" t="str">
        <f>IF(tblMovimientos[[#This Row],[SKU]]="","",IFERROR(INDEX(tblProductos[Unidad],MATCH(tblMovimientos[[#This Row],[SKU]],tblProductos[SKU],0)),"?"))</f>
        <v/>
      </c>
      <c r="I3858" s="39"/>
      <c r="J3858" s="47" t="str">
        <f>IF(tblMovimientos[[#This Row],[Tipo]]="","",IFERROR(INDEX(tblTiposMov[FactorStock],MATCH(tblMovimientos[[#This Row],[Tipo]],tblTiposMov[Tipo],0)),0))</f>
        <v/>
      </c>
      <c r="K38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8" s="37"/>
      <c r="O3858" s="37"/>
      <c r="P3858" s="37"/>
    </row>
    <row r="3859" spans="2:16" x14ac:dyDescent="0.25">
      <c r="B38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59" s="46"/>
      <c r="D3859" s="37"/>
      <c r="E3859" s="37"/>
      <c r="F3859" s="37"/>
      <c r="G3859" s="40" t="str">
        <f>IF(tblMovimientos[[#This Row],[Producto]]="","",TRIM(LEFT(tblMovimientos[[#This Row],[Producto]],FIND(" · ",tblMovimientos[[#This Row],[Producto]]&amp;" · ")-1)))</f>
        <v/>
      </c>
      <c r="H3859" s="40" t="str">
        <f>IF(tblMovimientos[[#This Row],[SKU]]="","",IFERROR(INDEX(tblProductos[Unidad],MATCH(tblMovimientos[[#This Row],[SKU]],tblProductos[SKU],0)),"?"))</f>
        <v/>
      </c>
      <c r="I3859" s="39"/>
      <c r="J3859" s="47" t="str">
        <f>IF(tblMovimientos[[#This Row],[Tipo]]="","",IFERROR(INDEX(tblTiposMov[FactorStock],MATCH(tblMovimientos[[#This Row],[Tipo]],tblTiposMov[Tipo],0)),0))</f>
        <v/>
      </c>
      <c r="K38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59" s="37"/>
      <c r="O3859" s="37"/>
      <c r="P3859" s="37"/>
    </row>
    <row r="3860" spans="2:16" x14ac:dyDescent="0.25">
      <c r="B38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0" s="46"/>
      <c r="D3860" s="37"/>
      <c r="E3860" s="37"/>
      <c r="F3860" s="37"/>
      <c r="G3860" s="40" t="str">
        <f>IF(tblMovimientos[[#This Row],[Producto]]="","",TRIM(LEFT(tblMovimientos[[#This Row],[Producto]],FIND(" · ",tblMovimientos[[#This Row],[Producto]]&amp;" · ")-1)))</f>
        <v/>
      </c>
      <c r="H3860" s="40" t="str">
        <f>IF(tblMovimientos[[#This Row],[SKU]]="","",IFERROR(INDEX(tblProductos[Unidad],MATCH(tblMovimientos[[#This Row],[SKU]],tblProductos[SKU],0)),"?"))</f>
        <v/>
      </c>
      <c r="I3860" s="39"/>
      <c r="J3860" s="47" t="str">
        <f>IF(tblMovimientos[[#This Row],[Tipo]]="","",IFERROR(INDEX(tblTiposMov[FactorStock],MATCH(tblMovimientos[[#This Row],[Tipo]],tblTiposMov[Tipo],0)),0))</f>
        <v/>
      </c>
      <c r="K38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0" s="37"/>
      <c r="O3860" s="37"/>
      <c r="P3860" s="37"/>
    </row>
    <row r="3861" spans="2:16" x14ac:dyDescent="0.25">
      <c r="B38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1" s="46"/>
      <c r="D3861" s="37"/>
      <c r="E3861" s="37"/>
      <c r="F3861" s="37"/>
      <c r="G3861" s="40" t="str">
        <f>IF(tblMovimientos[[#This Row],[Producto]]="","",TRIM(LEFT(tblMovimientos[[#This Row],[Producto]],FIND(" · ",tblMovimientos[[#This Row],[Producto]]&amp;" · ")-1)))</f>
        <v/>
      </c>
      <c r="H3861" s="40" t="str">
        <f>IF(tblMovimientos[[#This Row],[SKU]]="","",IFERROR(INDEX(tblProductos[Unidad],MATCH(tblMovimientos[[#This Row],[SKU]],tblProductos[SKU],0)),"?"))</f>
        <v/>
      </c>
      <c r="I3861" s="39"/>
      <c r="J3861" s="47" t="str">
        <f>IF(tblMovimientos[[#This Row],[Tipo]]="","",IFERROR(INDEX(tblTiposMov[FactorStock],MATCH(tblMovimientos[[#This Row],[Tipo]],tblTiposMov[Tipo],0)),0))</f>
        <v/>
      </c>
      <c r="K38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1" s="37"/>
      <c r="O3861" s="37"/>
      <c r="P3861" s="37"/>
    </row>
    <row r="3862" spans="2:16" x14ac:dyDescent="0.25">
      <c r="B38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2" s="46"/>
      <c r="D3862" s="37"/>
      <c r="E3862" s="37"/>
      <c r="F3862" s="37"/>
      <c r="G3862" s="40" t="str">
        <f>IF(tblMovimientos[[#This Row],[Producto]]="","",TRIM(LEFT(tblMovimientos[[#This Row],[Producto]],FIND(" · ",tblMovimientos[[#This Row],[Producto]]&amp;" · ")-1)))</f>
        <v/>
      </c>
      <c r="H3862" s="40" t="str">
        <f>IF(tblMovimientos[[#This Row],[SKU]]="","",IFERROR(INDEX(tblProductos[Unidad],MATCH(tblMovimientos[[#This Row],[SKU]],tblProductos[SKU],0)),"?"))</f>
        <v/>
      </c>
      <c r="I3862" s="39"/>
      <c r="J3862" s="47" t="str">
        <f>IF(tblMovimientos[[#This Row],[Tipo]]="","",IFERROR(INDEX(tblTiposMov[FactorStock],MATCH(tblMovimientos[[#This Row],[Tipo]],tblTiposMov[Tipo],0)),0))</f>
        <v/>
      </c>
      <c r="K38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2" s="37"/>
      <c r="O3862" s="37"/>
      <c r="P3862" s="37"/>
    </row>
    <row r="3863" spans="2:16" x14ac:dyDescent="0.25">
      <c r="B38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3" s="46"/>
      <c r="D3863" s="37"/>
      <c r="E3863" s="37"/>
      <c r="F3863" s="37"/>
      <c r="G3863" s="40" t="str">
        <f>IF(tblMovimientos[[#This Row],[Producto]]="","",TRIM(LEFT(tblMovimientos[[#This Row],[Producto]],FIND(" · ",tblMovimientos[[#This Row],[Producto]]&amp;" · ")-1)))</f>
        <v/>
      </c>
      <c r="H3863" s="40" t="str">
        <f>IF(tblMovimientos[[#This Row],[SKU]]="","",IFERROR(INDEX(tblProductos[Unidad],MATCH(tblMovimientos[[#This Row],[SKU]],tblProductos[SKU],0)),"?"))</f>
        <v/>
      </c>
      <c r="I3863" s="39"/>
      <c r="J3863" s="47" t="str">
        <f>IF(tblMovimientos[[#This Row],[Tipo]]="","",IFERROR(INDEX(tblTiposMov[FactorStock],MATCH(tblMovimientos[[#This Row],[Tipo]],tblTiposMov[Tipo],0)),0))</f>
        <v/>
      </c>
      <c r="K38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3" s="37"/>
      <c r="O3863" s="37"/>
      <c r="P3863" s="37"/>
    </row>
    <row r="3864" spans="2:16" x14ac:dyDescent="0.25">
      <c r="B38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4" s="46"/>
      <c r="D3864" s="37"/>
      <c r="E3864" s="37"/>
      <c r="F3864" s="37"/>
      <c r="G3864" s="40" t="str">
        <f>IF(tblMovimientos[[#This Row],[Producto]]="","",TRIM(LEFT(tblMovimientos[[#This Row],[Producto]],FIND(" · ",tblMovimientos[[#This Row],[Producto]]&amp;" · ")-1)))</f>
        <v/>
      </c>
      <c r="H3864" s="40" t="str">
        <f>IF(tblMovimientos[[#This Row],[SKU]]="","",IFERROR(INDEX(tblProductos[Unidad],MATCH(tblMovimientos[[#This Row],[SKU]],tblProductos[SKU],0)),"?"))</f>
        <v/>
      </c>
      <c r="I3864" s="39"/>
      <c r="J3864" s="47" t="str">
        <f>IF(tblMovimientos[[#This Row],[Tipo]]="","",IFERROR(INDEX(tblTiposMov[FactorStock],MATCH(tblMovimientos[[#This Row],[Tipo]],tblTiposMov[Tipo],0)),0))</f>
        <v/>
      </c>
      <c r="K38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4" s="37"/>
      <c r="O3864" s="37"/>
      <c r="P3864" s="37"/>
    </row>
    <row r="3865" spans="2:16" x14ac:dyDescent="0.25">
      <c r="B38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5" s="46"/>
      <c r="D3865" s="37"/>
      <c r="E3865" s="37"/>
      <c r="F3865" s="37"/>
      <c r="G3865" s="40" t="str">
        <f>IF(tblMovimientos[[#This Row],[Producto]]="","",TRIM(LEFT(tblMovimientos[[#This Row],[Producto]],FIND(" · ",tblMovimientos[[#This Row],[Producto]]&amp;" · ")-1)))</f>
        <v/>
      </c>
      <c r="H3865" s="40" t="str">
        <f>IF(tblMovimientos[[#This Row],[SKU]]="","",IFERROR(INDEX(tblProductos[Unidad],MATCH(tblMovimientos[[#This Row],[SKU]],tblProductos[SKU],0)),"?"))</f>
        <v/>
      </c>
      <c r="I3865" s="39"/>
      <c r="J3865" s="47" t="str">
        <f>IF(tblMovimientos[[#This Row],[Tipo]]="","",IFERROR(INDEX(tblTiposMov[FactorStock],MATCH(tblMovimientos[[#This Row],[Tipo]],tblTiposMov[Tipo],0)),0))</f>
        <v/>
      </c>
      <c r="K38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5" s="37"/>
      <c r="O3865" s="37"/>
      <c r="P3865" s="37"/>
    </row>
    <row r="3866" spans="2:16" x14ac:dyDescent="0.25">
      <c r="B38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6" s="46"/>
      <c r="D3866" s="37"/>
      <c r="E3866" s="37"/>
      <c r="F3866" s="37"/>
      <c r="G3866" s="40" t="str">
        <f>IF(tblMovimientos[[#This Row],[Producto]]="","",TRIM(LEFT(tblMovimientos[[#This Row],[Producto]],FIND(" · ",tblMovimientos[[#This Row],[Producto]]&amp;" · ")-1)))</f>
        <v/>
      </c>
      <c r="H3866" s="40" t="str">
        <f>IF(tblMovimientos[[#This Row],[SKU]]="","",IFERROR(INDEX(tblProductos[Unidad],MATCH(tblMovimientos[[#This Row],[SKU]],tblProductos[SKU],0)),"?"))</f>
        <v/>
      </c>
      <c r="I3866" s="39"/>
      <c r="J3866" s="47" t="str">
        <f>IF(tblMovimientos[[#This Row],[Tipo]]="","",IFERROR(INDEX(tblTiposMov[FactorStock],MATCH(tblMovimientos[[#This Row],[Tipo]],tblTiposMov[Tipo],0)),0))</f>
        <v/>
      </c>
      <c r="K38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6" s="37"/>
      <c r="O3866" s="37"/>
      <c r="P3866" s="37"/>
    </row>
    <row r="3867" spans="2:16" x14ac:dyDescent="0.25">
      <c r="B38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7" s="46"/>
      <c r="D3867" s="37"/>
      <c r="E3867" s="37"/>
      <c r="F3867" s="37"/>
      <c r="G3867" s="40" t="str">
        <f>IF(tblMovimientos[[#This Row],[Producto]]="","",TRIM(LEFT(tblMovimientos[[#This Row],[Producto]],FIND(" · ",tblMovimientos[[#This Row],[Producto]]&amp;" · ")-1)))</f>
        <v/>
      </c>
      <c r="H3867" s="40" t="str">
        <f>IF(tblMovimientos[[#This Row],[SKU]]="","",IFERROR(INDEX(tblProductos[Unidad],MATCH(tblMovimientos[[#This Row],[SKU]],tblProductos[SKU],0)),"?"))</f>
        <v/>
      </c>
      <c r="I3867" s="39"/>
      <c r="J3867" s="47" t="str">
        <f>IF(tblMovimientos[[#This Row],[Tipo]]="","",IFERROR(INDEX(tblTiposMov[FactorStock],MATCH(tblMovimientos[[#This Row],[Tipo]],tblTiposMov[Tipo],0)),0))</f>
        <v/>
      </c>
      <c r="K38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7" s="37"/>
      <c r="O3867" s="37"/>
      <c r="P3867" s="37"/>
    </row>
    <row r="3868" spans="2:16" x14ac:dyDescent="0.25">
      <c r="B38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8" s="46"/>
      <c r="D3868" s="37"/>
      <c r="E3868" s="37"/>
      <c r="F3868" s="37"/>
      <c r="G3868" s="40" t="str">
        <f>IF(tblMovimientos[[#This Row],[Producto]]="","",TRIM(LEFT(tblMovimientos[[#This Row],[Producto]],FIND(" · ",tblMovimientos[[#This Row],[Producto]]&amp;" · ")-1)))</f>
        <v/>
      </c>
      <c r="H3868" s="40" t="str">
        <f>IF(tblMovimientos[[#This Row],[SKU]]="","",IFERROR(INDEX(tblProductos[Unidad],MATCH(tblMovimientos[[#This Row],[SKU]],tblProductos[SKU],0)),"?"))</f>
        <v/>
      </c>
      <c r="I3868" s="39"/>
      <c r="J3868" s="47" t="str">
        <f>IF(tblMovimientos[[#This Row],[Tipo]]="","",IFERROR(INDEX(tblTiposMov[FactorStock],MATCH(tblMovimientos[[#This Row],[Tipo]],tblTiposMov[Tipo],0)),0))</f>
        <v/>
      </c>
      <c r="K38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8" s="37"/>
      <c r="O3868" s="37"/>
      <c r="P3868" s="37"/>
    </row>
    <row r="3869" spans="2:16" x14ac:dyDescent="0.25">
      <c r="B38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69" s="46"/>
      <c r="D3869" s="37"/>
      <c r="E3869" s="37"/>
      <c r="F3869" s="37"/>
      <c r="G3869" s="40" t="str">
        <f>IF(tblMovimientos[[#This Row],[Producto]]="","",TRIM(LEFT(tblMovimientos[[#This Row],[Producto]],FIND(" · ",tblMovimientos[[#This Row],[Producto]]&amp;" · ")-1)))</f>
        <v/>
      </c>
      <c r="H3869" s="40" t="str">
        <f>IF(tblMovimientos[[#This Row],[SKU]]="","",IFERROR(INDEX(tblProductos[Unidad],MATCH(tblMovimientos[[#This Row],[SKU]],tblProductos[SKU],0)),"?"))</f>
        <v/>
      </c>
      <c r="I3869" s="39"/>
      <c r="J3869" s="47" t="str">
        <f>IF(tblMovimientos[[#This Row],[Tipo]]="","",IFERROR(INDEX(tblTiposMov[FactorStock],MATCH(tblMovimientos[[#This Row],[Tipo]],tblTiposMov[Tipo],0)),0))</f>
        <v/>
      </c>
      <c r="K38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69" s="37"/>
      <c r="O3869" s="37"/>
      <c r="P3869" s="37"/>
    </row>
    <row r="3870" spans="2:16" x14ac:dyDescent="0.25">
      <c r="B38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0" s="46"/>
      <c r="D3870" s="37"/>
      <c r="E3870" s="37"/>
      <c r="F3870" s="37"/>
      <c r="G3870" s="40" t="str">
        <f>IF(tblMovimientos[[#This Row],[Producto]]="","",TRIM(LEFT(tblMovimientos[[#This Row],[Producto]],FIND(" · ",tblMovimientos[[#This Row],[Producto]]&amp;" · ")-1)))</f>
        <v/>
      </c>
      <c r="H3870" s="40" t="str">
        <f>IF(tblMovimientos[[#This Row],[SKU]]="","",IFERROR(INDEX(tblProductos[Unidad],MATCH(tblMovimientos[[#This Row],[SKU]],tblProductos[SKU],0)),"?"))</f>
        <v/>
      </c>
      <c r="I3870" s="39"/>
      <c r="J3870" s="47" t="str">
        <f>IF(tblMovimientos[[#This Row],[Tipo]]="","",IFERROR(INDEX(tblTiposMov[FactorStock],MATCH(tblMovimientos[[#This Row],[Tipo]],tblTiposMov[Tipo],0)),0))</f>
        <v/>
      </c>
      <c r="K38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0" s="37"/>
      <c r="O3870" s="37"/>
      <c r="P3870" s="37"/>
    </row>
    <row r="3871" spans="2:16" x14ac:dyDescent="0.25">
      <c r="B38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1" s="46"/>
      <c r="D3871" s="37"/>
      <c r="E3871" s="37"/>
      <c r="F3871" s="37"/>
      <c r="G3871" s="40" t="str">
        <f>IF(tblMovimientos[[#This Row],[Producto]]="","",TRIM(LEFT(tblMovimientos[[#This Row],[Producto]],FIND(" · ",tblMovimientos[[#This Row],[Producto]]&amp;" · ")-1)))</f>
        <v/>
      </c>
      <c r="H3871" s="40" t="str">
        <f>IF(tblMovimientos[[#This Row],[SKU]]="","",IFERROR(INDEX(tblProductos[Unidad],MATCH(tblMovimientos[[#This Row],[SKU]],tblProductos[SKU],0)),"?"))</f>
        <v/>
      </c>
      <c r="I3871" s="39"/>
      <c r="J3871" s="47" t="str">
        <f>IF(tblMovimientos[[#This Row],[Tipo]]="","",IFERROR(INDEX(tblTiposMov[FactorStock],MATCH(tblMovimientos[[#This Row],[Tipo]],tblTiposMov[Tipo],0)),0))</f>
        <v/>
      </c>
      <c r="K38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1" s="37"/>
      <c r="O3871" s="37"/>
      <c r="P3871" s="37"/>
    </row>
    <row r="3872" spans="2:16" x14ac:dyDescent="0.25">
      <c r="B38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2" s="46"/>
      <c r="D3872" s="37"/>
      <c r="E3872" s="37"/>
      <c r="F3872" s="37"/>
      <c r="G3872" s="40" t="str">
        <f>IF(tblMovimientos[[#This Row],[Producto]]="","",TRIM(LEFT(tblMovimientos[[#This Row],[Producto]],FIND(" · ",tblMovimientos[[#This Row],[Producto]]&amp;" · ")-1)))</f>
        <v/>
      </c>
      <c r="H3872" s="40" t="str">
        <f>IF(tblMovimientos[[#This Row],[SKU]]="","",IFERROR(INDEX(tblProductos[Unidad],MATCH(tblMovimientos[[#This Row],[SKU]],tblProductos[SKU],0)),"?"))</f>
        <v/>
      </c>
      <c r="I3872" s="39"/>
      <c r="J3872" s="47" t="str">
        <f>IF(tblMovimientos[[#This Row],[Tipo]]="","",IFERROR(INDEX(tblTiposMov[FactorStock],MATCH(tblMovimientos[[#This Row],[Tipo]],tblTiposMov[Tipo],0)),0))</f>
        <v/>
      </c>
      <c r="K38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2" s="37"/>
      <c r="O3872" s="37"/>
      <c r="P3872" s="37"/>
    </row>
    <row r="3873" spans="2:16" x14ac:dyDescent="0.25">
      <c r="B38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3" s="46"/>
      <c r="D3873" s="37"/>
      <c r="E3873" s="37"/>
      <c r="F3873" s="37"/>
      <c r="G3873" s="40" t="str">
        <f>IF(tblMovimientos[[#This Row],[Producto]]="","",TRIM(LEFT(tblMovimientos[[#This Row],[Producto]],FIND(" · ",tblMovimientos[[#This Row],[Producto]]&amp;" · ")-1)))</f>
        <v/>
      </c>
      <c r="H3873" s="40" t="str">
        <f>IF(tblMovimientos[[#This Row],[SKU]]="","",IFERROR(INDEX(tblProductos[Unidad],MATCH(tblMovimientos[[#This Row],[SKU]],tblProductos[SKU],0)),"?"))</f>
        <v/>
      </c>
      <c r="I3873" s="39"/>
      <c r="J3873" s="47" t="str">
        <f>IF(tblMovimientos[[#This Row],[Tipo]]="","",IFERROR(INDEX(tblTiposMov[FactorStock],MATCH(tblMovimientos[[#This Row],[Tipo]],tblTiposMov[Tipo],0)),0))</f>
        <v/>
      </c>
      <c r="K38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3" s="37"/>
      <c r="O3873" s="37"/>
      <c r="P3873" s="37"/>
    </row>
    <row r="3874" spans="2:16" x14ac:dyDescent="0.25">
      <c r="B38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4" s="46"/>
      <c r="D3874" s="37"/>
      <c r="E3874" s="37"/>
      <c r="F3874" s="37"/>
      <c r="G3874" s="40" t="str">
        <f>IF(tblMovimientos[[#This Row],[Producto]]="","",TRIM(LEFT(tblMovimientos[[#This Row],[Producto]],FIND(" · ",tblMovimientos[[#This Row],[Producto]]&amp;" · ")-1)))</f>
        <v/>
      </c>
      <c r="H3874" s="40" t="str">
        <f>IF(tblMovimientos[[#This Row],[SKU]]="","",IFERROR(INDEX(tblProductos[Unidad],MATCH(tblMovimientos[[#This Row],[SKU]],tblProductos[SKU],0)),"?"))</f>
        <v/>
      </c>
      <c r="I3874" s="39"/>
      <c r="J3874" s="47" t="str">
        <f>IF(tblMovimientos[[#This Row],[Tipo]]="","",IFERROR(INDEX(tblTiposMov[FactorStock],MATCH(tblMovimientos[[#This Row],[Tipo]],tblTiposMov[Tipo],0)),0))</f>
        <v/>
      </c>
      <c r="K38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4" s="37"/>
      <c r="O3874" s="37"/>
      <c r="P3874" s="37"/>
    </row>
    <row r="3875" spans="2:16" x14ac:dyDescent="0.25">
      <c r="B38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5" s="46"/>
      <c r="D3875" s="37"/>
      <c r="E3875" s="37"/>
      <c r="F3875" s="37"/>
      <c r="G3875" s="40" t="str">
        <f>IF(tblMovimientos[[#This Row],[Producto]]="","",TRIM(LEFT(tblMovimientos[[#This Row],[Producto]],FIND(" · ",tblMovimientos[[#This Row],[Producto]]&amp;" · ")-1)))</f>
        <v/>
      </c>
      <c r="H3875" s="40" t="str">
        <f>IF(tblMovimientos[[#This Row],[SKU]]="","",IFERROR(INDEX(tblProductos[Unidad],MATCH(tblMovimientos[[#This Row],[SKU]],tblProductos[SKU],0)),"?"))</f>
        <v/>
      </c>
      <c r="I3875" s="39"/>
      <c r="J3875" s="47" t="str">
        <f>IF(tblMovimientos[[#This Row],[Tipo]]="","",IFERROR(INDEX(tblTiposMov[FactorStock],MATCH(tblMovimientos[[#This Row],[Tipo]],tblTiposMov[Tipo],0)),0))</f>
        <v/>
      </c>
      <c r="K38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5" s="37"/>
      <c r="O3875" s="37"/>
      <c r="P3875" s="37"/>
    </row>
    <row r="3876" spans="2:16" x14ac:dyDescent="0.25">
      <c r="B38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6" s="46"/>
      <c r="D3876" s="37"/>
      <c r="E3876" s="37"/>
      <c r="F3876" s="37"/>
      <c r="G3876" s="40" t="str">
        <f>IF(tblMovimientos[[#This Row],[Producto]]="","",TRIM(LEFT(tblMovimientos[[#This Row],[Producto]],FIND(" · ",tblMovimientos[[#This Row],[Producto]]&amp;" · ")-1)))</f>
        <v/>
      </c>
      <c r="H3876" s="40" t="str">
        <f>IF(tblMovimientos[[#This Row],[SKU]]="","",IFERROR(INDEX(tblProductos[Unidad],MATCH(tblMovimientos[[#This Row],[SKU]],tblProductos[SKU],0)),"?"))</f>
        <v/>
      </c>
      <c r="I3876" s="39"/>
      <c r="J3876" s="47" t="str">
        <f>IF(tblMovimientos[[#This Row],[Tipo]]="","",IFERROR(INDEX(tblTiposMov[FactorStock],MATCH(tblMovimientos[[#This Row],[Tipo]],tblTiposMov[Tipo],0)),0))</f>
        <v/>
      </c>
      <c r="K38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6" s="37"/>
      <c r="O3876" s="37"/>
      <c r="P3876" s="37"/>
    </row>
    <row r="3877" spans="2:16" x14ac:dyDescent="0.25">
      <c r="B38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7" s="46"/>
      <c r="D3877" s="37"/>
      <c r="E3877" s="37"/>
      <c r="F3877" s="37"/>
      <c r="G3877" s="40" t="str">
        <f>IF(tblMovimientos[[#This Row],[Producto]]="","",TRIM(LEFT(tblMovimientos[[#This Row],[Producto]],FIND(" · ",tblMovimientos[[#This Row],[Producto]]&amp;" · ")-1)))</f>
        <v/>
      </c>
      <c r="H3877" s="40" t="str">
        <f>IF(tblMovimientos[[#This Row],[SKU]]="","",IFERROR(INDEX(tblProductos[Unidad],MATCH(tblMovimientos[[#This Row],[SKU]],tblProductos[SKU],0)),"?"))</f>
        <v/>
      </c>
      <c r="I3877" s="39"/>
      <c r="J3877" s="47" t="str">
        <f>IF(tblMovimientos[[#This Row],[Tipo]]="","",IFERROR(INDEX(tblTiposMov[FactorStock],MATCH(tblMovimientos[[#This Row],[Tipo]],tblTiposMov[Tipo],0)),0))</f>
        <v/>
      </c>
      <c r="K38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7" s="37"/>
      <c r="O3877" s="37"/>
      <c r="P3877" s="37"/>
    </row>
    <row r="3878" spans="2:16" x14ac:dyDescent="0.25">
      <c r="B38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8" s="46"/>
      <c r="D3878" s="37"/>
      <c r="E3878" s="37"/>
      <c r="F3878" s="37"/>
      <c r="G3878" s="40" t="str">
        <f>IF(tblMovimientos[[#This Row],[Producto]]="","",TRIM(LEFT(tblMovimientos[[#This Row],[Producto]],FIND(" · ",tblMovimientos[[#This Row],[Producto]]&amp;" · ")-1)))</f>
        <v/>
      </c>
      <c r="H3878" s="40" t="str">
        <f>IF(tblMovimientos[[#This Row],[SKU]]="","",IFERROR(INDEX(tblProductos[Unidad],MATCH(tblMovimientos[[#This Row],[SKU]],tblProductos[SKU],0)),"?"))</f>
        <v/>
      </c>
      <c r="I3878" s="39"/>
      <c r="J3878" s="47" t="str">
        <f>IF(tblMovimientos[[#This Row],[Tipo]]="","",IFERROR(INDEX(tblTiposMov[FactorStock],MATCH(tblMovimientos[[#This Row],[Tipo]],tblTiposMov[Tipo],0)),0))</f>
        <v/>
      </c>
      <c r="K38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8" s="37"/>
      <c r="O3878" s="37"/>
      <c r="P3878" s="37"/>
    </row>
    <row r="3879" spans="2:16" x14ac:dyDescent="0.25">
      <c r="B38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79" s="46"/>
      <c r="D3879" s="37"/>
      <c r="E3879" s="37"/>
      <c r="F3879" s="37"/>
      <c r="G3879" s="40" t="str">
        <f>IF(tblMovimientos[[#This Row],[Producto]]="","",TRIM(LEFT(tblMovimientos[[#This Row],[Producto]],FIND(" · ",tblMovimientos[[#This Row],[Producto]]&amp;" · ")-1)))</f>
        <v/>
      </c>
      <c r="H3879" s="40" t="str">
        <f>IF(tblMovimientos[[#This Row],[SKU]]="","",IFERROR(INDEX(tblProductos[Unidad],MATCH(tblMovimientos[[#This Row],[SKU]],tblProductos[SKU],0)),"?"))</f>
        <v/>
      </c>
      <c r="I3879" s="39"/>
      <c r="J3879" s="47" t="str">
        <f>IF(tblMovimientos[[#This Row],[Tipo]]="","",IFERROR(INDEX(tblTiposMov[FactorStock],MATCH(tblMovimientos[[#This Row],[Tipo]],tblTiposMov[Tipo],0)),0))</f>
        <v/>
      </c>
      <c r="K38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79" s="37"/>
      <c r="O3879" s="37"/>
      <c r="P3879" s="37"/>
    </row>
    <row r="3880" spans="2:16" x14ac:dyDescent="0.25">
      <c r="B38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0" s="46"/>
      <c r="D3880" s="37"/>
      <c r="E3880" s="37"/>
      <c r="F3880" s="37"/>
      <c r="G3880" s="40" t="str">
        <f>IF(tblMovimientos[[#This Row],[Producto]]="","",TRIM(LEFT(tblMovimientos[[#This Row],[Producto]],FIND(" · ",tblMovimientos[[#This Row],[Producto]]&amp;" · ")-1)))</f>
        <v/>
      </c>
      <c r="H3880" s="40" t="str">
        <f>IF(tblMovimientos[[#This Row],[SKU]]="","",IFERROR(INDEX(tblProductos[Unidad],MATCH(tblMovimientos[[#This Row],[SKU]],tblProductos[SKU],0)),"?"))</f>
        <v/>
      </c>
      <c r="I3880" s="39"/>
      <c r="J3880" s="47" t="str">
        <f>IF(tblMovimientos[[#This Row],[Tipo]]="","",IFERROR(INDEX(tblTiposMov[FactorStock],MATCH(tblMovimientos[[#This Row],[Tipo]],tblTiposMov[Tipo],0)),0))</f>
        <v/>
      </c>
      <c r="K38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0" s="37"/>
      <c r="O3880" s="37"/>
      <c r="P3880" s="37"/>
    </row>
    <row r="3881" spans="2:16" x14ac:dyDescent="0.25">
      <c r="B38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1" s="46"/>
      <c r="D3881" s="37"/>
      <c r="E3881" s="37"/>
      <c r="F3881" s="37"/>
      <c r="G3881" s="40" t="str">
        <f>IF(tblMovimientos[[#This Row],[Producto]]="","",TRIM(LEFT(tblMovimientos[[#This Row],[Producto]],FIND(" · ",tblMovimientos[[#This Row],[Producto]]&amp;" · ")-1)))</f>
        <v/>
      </c>
      <c r="H3881" s="40" t="str">
        <f>IF(tblMovimientos[[#This Row],[SKU]]="","",IFERROR(INDEX(tblProductos[Unidad],MATCH(tblMovimientos[[#This Row],[SKU]],tblProductos[SKU],0)),"?"))</f>
        <v/>
      </c>
      <c r="I3881" s="39"/>
      <c r="J3881" s="47" t="str">
        <f>IF(tblMovimientos[[#This Row],[Tipo]]="","",IFERROR(INDEX(tblTiposMov[FactorStock],MATCH(tblMovimientos[[#This Row],[Tipo]],tblTiposMov[Tipo],0)),0))</f>
        <v/>
      </c>
      <c r="K38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1" s="37"/>
      <c r="O3881" s="37"/>
      <c r="P3881" s="37"/>
    </row>
    <row r="3882" spans="2:16" x14ac:dyDescent="0.25">
      <c r="B38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2" s="46"/>
      <c r="D3882" s="37"/>
      <c r="E3882" s="37"/>
      <c r="F3882" s="37"/>
      <c r="G3882" s="40" t="str">
        <f>IF(tblMovimientos[[#This Row],[Producto]]="","",TRIM(LEFT(tblMovimientos[[#This Row],[Producto]],FIND(" · ",tblMovimientos[[#This Row],[Producto]]&amp;" · ")-1)))</f>
        <v/>
      </c>
      <c r="H3882" s="40" t="str">
        <f>IF(tblMovimientos[[#This Row],[SKU]]="","",IFERROR(INDEX(tblProductos[Unidad],MATCH(tblMovimientos[[#This Row],[SKU]],tblProductos[SKU],0)),"?"))</f>
        <v/>
      </c>
      <c r="I3882" s="39"/>
      <c r="J3882" s="47" t="str">
        <f>IF(tblMovimientos[[#This Row],[Tipo]]="","",IFERROR(INDEX(tblTiposMov[FactorStock],MATCH(tblMovimientos[[#This Row],[Tipo]],tblTiposMov[Tipo],0)),0))</f>
        <v/>
      </c>
      <c r="K38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2" s="37"/>
      <c r="O3882" s="37"/>
      <c r="P3882" s="37"/>
    </row>
    <row r="3883" spans="2:16" x14ac:dyDescent="0.25">
      <c r="B38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3" s="46"/>
      <c r="D3883" s="37"/>
      <c r="E3883" s="37"/>
      <c r="F3883" s="37"/>
      <c r="G3883" s="40" t="str">
        <f>IF(tblMovimientos[[#This Row],[Producto]]="","",TRIM(LEFT(tblMovimientos[[#This Row],[Producto]],FIND(" · ",tblMovimientos[[#This Row],[Producto]]&amp;" · ")-1)))</f>
        <v/>
      </c>
      <c r="H3883" s="40" t="str">
        <f>IF(tblMovimientos[[#This Row],[SKU]]="","",IFERROR(INDEX(tblProductos[Unidad],MATCH(tblMovimientos[[#This Row],[SKU]],tblProductos[SKU],0)),"?"))</f>
        <v/>
      </c>
      <c r="I3883" s="39"/>
      <c r="J3883" s="47" t="str">
        <f>IF(tblMovimientos[[#This Row],[Tipo]]="","",IFERROR(INDEX(tblTiposMov[FactorStock],MATCH(tblMovimientos[[#This Row],[Tipo]],tblTiposMov[Tipo],0)),0))</f>
        <v/>
      </c>
      <c r="K38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3" s="37"/>
      <c r="O3883" s="37"/>
      <c r="P3883" s="37"/>
    </row>
    <row r="3884" spans="2:16" x14ac:dyDescent="0.25">
      <c r="B38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4" s="46"/>
      <c r="D3884" s="37"/>
      <c r="E3884" s="37"/>
      <c r="F3884" s="37"/>
      <c r="G3884" s="40" t="str">
        <f>IF(tblMovimientos[[#This Row],[Producto]]="","",TRIM(LEFT(tblMovimientos[[#This Row],[Producto]],FIND(" · ",tblMovimientos[[#This Row],[Producto]]&amp;" · ")-1)))</f>
        <v/>
      </c>
      <c r="H3884" s="40" t="str">
        <f>IF(tblMovimientos[[#This Row],[SKU]]="","",IFERROR(INDEX(tblProductos[Unidad],MATCH(tblMovimientos[[#This Row],[SKU]],tblProductos[SKU],0)),"?"))</f>
        <v/>
      </c>
      <c r="I3884" s="39"/>
      <c r="J3884" s="47" t="str">
        <f>IF(tblMovimientos[[#This Row],[Tipo]]="","",IFERROR(INDEX(tblTiposMov[FactorStock],MATCH(tblMovimientos[[#This Row],[Tipo]],tblTiposMov[Tipo],0)),0))</f>
        <v/>
      </c>
      <c r="K38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4" s="37"/>
      <c r="O3884" s="37"/>
      <c r="P3884" s="37"/>
    </row>
    <row r="3885" spans="2:16" x14ac:dyDescent="0.25">
      <c r="B38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5" s="46"/>
      <c r="D3885" s="37"/>
      <c r="E3885" s="37"/>
      <c r="F3885" s="37"/>
      <c r="G3885" s="40" t="str">
        <f>IF(tblMovimientos[[#This Row],[Producto]]="","",TRIM(LEFT(tblMovimientos[[#This Row],[Producto]],FIND(" · ",tblMovimientos[[#This Row],[Producto]]&amp;" · ")-1)))</f>
        <v/>
      </c>
      <c r="H3885" s="40" t="str">
        <f>IF(tblMovimientos[[#This Row],[SKU]]="","",IFERROR(INDEX(tblProductos[Unidad],MATCH(tblMovimientos[[#This Row],[SKU]],tblProductos[SKU],0)),"?"))</f>
        <v/>
      </c>
      <c r="I3885" s="39"/>
      <c r="J3885" s="47" t="str">
        <f>IF(tblMovimientos[[#This Row],[Tipo]]="","",IFERROR(INDEX(tblTiposMov[FactorStock],MATCH(tblMovimientos[[#This Row],[Tipo]],tblTiposMov[Tipo],0)),0))</f>
        <v/>
      </c>
      <c r="K38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5" s="37"/>
      <c r="O3885" s="37"/>
      <c r="P3885" s="37"/>
    </row>
    <row r="3886" spans="2:16" x14ac:dyDescent="0.25">
      <c r="B38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6" s="46"/>
      <c r="D3886" s="37"/>
      <c r="E3886" s="37"/>
      <c r="F3886" s="37"/>
      <c r="G3886" s="40" t="str">
        <f>IF(tblMovimientos[[#This Row],[Producto]]="","",TRIM(LEFT(tblMovimientos[[#This Row],[Producto]],FIND(" · ",tblMovimientos[[#This Row],[Producto]]&amp;" · ")-1)))</f>
        <v/>
      </c>
      <c r="H3886" s="40" t="str">
        <f>IF(tblMovimientos[[#This Row],[SKU]]="","",IFERROR(INDEX(tblProductos[Unidad],MATCH(tblMovimientos[[#This Row],[SKU]],tblProductos[SKU],0)),"?"))</f>
        <v/>
      </c>
      <c r="I3886" s="39"/>
      <c r="J3886" s="47" t="str">
        <f>IF(tblMovimientos[[#This Row],[Tipo]]="","",IFERROR(INDEX(tblTiposMov[FactorStock],MATCH(tblMovimientos[[#This Row],[Tipo]],tblTiposMov[Tipo],0)),0))</f>
        <v/>
      </c>
      <c r="K38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6" s="37"/>
      <c r="O3886" s="37"/>
      <c r="P3886" s="37"/>
    </row>
    <row r="3887" spans="2:16" x14ac:dyDescent="0.25">
      <c r="B38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7" s="46"/>
      <c r="D3887" s="37"/>
      <c r="E3887" s="37"/>
      <c r="F3887" s="37"/>
      <c r="G3887" s="40" t="str">
        <f>IF(tblMovimientos[[#This Row],[Producto]]="","",TRIM(LEFT(tblMovimientos[[#This Row],[Producto]],FIND(" · ",tblMovimientos[[#This Row],[Producto]]&amp;" · ")-1)))</f>
        <v/>
      </c>
      <c r="H3887" s="40" t="str">
        <f>IF(tblMovimientos[[#This Row],[SKU]]="","",IFERROR(INDEX(tblProductos[Unidad],MATCH(tblMovimientos[[#This Row],[SKU]],tblProductos[SKU],0)),"?"))</f>
        <v/>
      </c>
      <c r="I3887" s="39"/>
      <c r="J3887" s="47" t="str">
        <f>IF(tblMovimientos[[#This Row],[Tipo]]="","",IFERROR(INDEX(tblTiposMov[FactorStock],MATCH(tblMovimientos[[#This Row],[Tipo]],tblTiposMov[Tipo],0)),0))</f>
        <v/>
      </c>
      <c r="K38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7" s="37"/>
      <c r="O3887" s="37"/>
      <c r="P3887" s="37"/>
    </row>
    <row r="3888" spans="2:16" x14ac:dyDescent="0.25">
      <c r="B38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8" s="46"/>
      <c r="D3888" s="37"/>
      <c r="E3888" s="37"/>
      <c r="F3888" s="37"/>
      <c r="G3888" s="40" t="str">
        <f>IF(tblMovimientos[[#This Row],[Producto]]="","",TRIM(LEFT(tblMovimientos[[#This Row],[Producto]],FIND(" · ",tblMovimientos[[#This Row],[Producto]]&amp;" · ")-1)))</f>
        <v/>
      </c>
      <c r="H3888" s="40" t="str">
        <f>IF(tblMovimientos[[#This Row],[SKU]]="","",IFERROR(INDEX(tblProductos[Unidad],MATCH(tblMovimientos[[#This Row],[SKU]],tblProductos[SKU],0)),"?"))</f>
        <v/>
      </c>
      <c r="I3888" s="39"/>
      <c r="J3888" s="47" t="str">
        <f>IF(tblMovimientos[[#This Row],[Tipo]]="","",IFERROR(INDEX(tblTiposMov[FactorStock],MATCH(tblMovimientos[[#This Row],[Tipo]],tblTiposMov[Tipo],0)),0))</f>
        <v/>
      </c>
      <c r="K38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8" s="37"/>
      <c r="O3888" s="37"/>
      <c r="P3888" s="37"/>
    </row>
    <row r="3889" spans="2:16" x14ac:dyDescent="0.25">
      <c r="B38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89" s="46"/>
      <c r="D3889" s="37"/>
      <c r="E3889" s="37"/>
      <c r="F3889" s="37"/>
      <c r="G3889" s="40" t="str">
        <f>IF(tblMovimientos[[#This Row],[Producto]]="","",TRIM(LEFT(tblMovimientos[[#This Row],[Producto]],FIND(" · ",tblMovimientos[[#This Row],[Producto]]&amp;" · ")-1)))</f>
        <v/>
      </c>
      <c r="H3889" s="40" t="str">
        <f>IF(tblMovimientos[[#This Row],[SKU]]="","",IFERROR(INDEX(tblProductos[Unidad],MATCH(tblMovimientos[[#This Row],[SKU]],tblProductos[SKU],0)),"?"))</f>
        <v/>
      </c>
      <c r="I3889" s="39"/>
      <c r="J3889" s="47" t="str">
        <f>IF(tblMovimientos[[#This Row],[Tipo]]="","",IFERROR(INDEX(tblTiposMov[FactorStock],MATCH(tblMovimientos[[#This Row],[Tipo]],tblTiposMov[Tipo],0)),0))</f>
        <v/>
      </c>
      <c r="K38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89" s="37"/>
      <c r="O3889" s="37"/>
      <c r="P3889" s="37"/>
    </row>
    <row r="3890" spans="2:16" x14ac:dyDescent="0.25">
      <c r="B38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0" s="46"/>
      <c r="D3890" s="37"/>
      <c r="E3890" s="37"/>
      <c r="F3890" s="37"/>
      <c r="G3890" s="40" t="str">
        <f>IF(tblMovimientos[[#This Row],[Producto]]="","",TRIM(LEFT(tblMovimientos[[#This Row],[Producto]],FIND(" · ",tblMovimientos[[#This Row],[Producto]]&amp;" · ")-1)))</f>
        <v/>
      </c>
      <c r="H3890" s="40" t="str">
        <f>IF(tblMovimientos[[#This Row],[SKU]]="","",IFERROR(INDEX(tblProductos[Unidad],MATCH(tblMovimientos[[#This Row],[SKU]],tblProductos[SKU],0)),"?"))</f>
        <v/>
      </c>
      <c r="I3890" s="39"/>
      <c r="J3890" s="47" t="str">
        <f>IF(tblMovimientos[[#This Row],[Tipo]]="","",IFERROR(INDEX(tblTiposMov[FactorStock],MATCH(tblMovimientos[[#This Row],[Tipo]],tblTiposMov[Tipo],0)),0))</f>
        <v/>
      </c>
      <c r="K38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0" s="37"/>
      <c r="O3890" s="37"/>
      <c r="P3890" s="37"/>
    </row>
    <row r="3891" spans="2:16" x14ac:dyDescent="0.25">
      <c r="B38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1" s="46"/>
      <c r="D3891" s="37"/>
      <c r="E3891" s="37"/>
      <c r="F3891" s="37"/>
      <c r="G3891" s="40" t="str">
        <f>IF(tblMovimientos[[#This Row],[Producto]]="","",TRIM(LEFT(tblMovimientos[[#This Row],[Producto]],FIND(" · ",tblMovimientos[[#This Row],[Producto]]&amp;" · ")-1)))</f>
        <v/>
      </c>
      <c r="H3891" s="40" t="str">
        <f>IF(tblMovimientos[[#This Row],[SKU]]="","",IFERROR(INDEX(tblProductos[Unidad],MATCH(tblMovimientos[[#This Row],[SKU]],tblProductos[SKU],0)),"?"))</f>
        <v/>
      </c>
      <c r="I3891" s="39"/>
      <c r="J3891" s="47" t="str">
        <f>IF(tblMovimientos[[#This Row],[Tipo]]="","",IFERROR(INDEX(tblTiposMov[FactorStock],MATCH(tblMovimientos[[#This Row],[Tipo]],tblTiposMov[Tipo],0)),0))</f>
        <v/>
      </c>
      <c r="K38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1" s="37"/>
      <c r="O3891" s="37"/>
      <c r="P3891" s="37"/>
    </row>
    <row r="3892" spans="2:16" x14ac:dyDescent="0.25">
      <c r="B38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2" s="46"/>
      <c r="D3892" s="37"/>
      <c r="E3892" s="37"/>
      <c r="F3892" s="37"/>
      <c r="G3892" s="40" t="str">
        <f>IF(tblMovimientos[[#This Row],[Producto]]="","",TRIM(LEFT(tblMovimientos[[#This Row],[Producto]],FIND(" · ",tblMovimientos[[#This Row],[Producto]]&amp;" · ")-1)))</f>
        <v/>
      </c>
      <c r="H3892" s="40" t="str">
        <f>IF(tblMovimientos[[#This Row],[SKU]]="","",IFERROR(INDEX(tblProductos[Unidad],MATCH(tblMovimientos[[#This Row],[SKU]],tblProductos[SKU],0)),"?"))</f>
        <v/>
      </c>
      <c r="I3892" s="39"/>
      <c r="J3892" s="47" t="str">
        <f>IF(tblMovimientos[[#This Row],[Tipo]]="","",IFERROR(INDEX(tblTiposMov[FactorStock],MATCH(tblMovimientos[[#This Row],[Tipo]],tblTiposMov[Tipo],0)),0))</f>
        <v/>
      </c>
      <c r="K38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2" s="37"/>
      <c r="O3892" s="37"/>
      <c r="P3892" s="37"/>
    </row>
    <row r="3893" spans="2:16" x14ac:dyDescent="0.25">
      <c r="B38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3" s="46"/>
      <c r="D3893" s="37"/>
      <c r="E3893" s="37"/>
      <c r="F3893" s="37"/>
      <c r="G3893" s="40" t="str">
        <f>IF(tblMovimientos[[#This Row],[Producto]]="","",TRIM(LEFT(tblMovimientos[[#This Row],[Producto]],FIND(" · ",tblMovimientos[[#This Row],[Producto]]&amp;" · ")-1)))</f>
        <v/>
      </c>
      <c r="H3893" s="40" t="str">
        <f>IF(tblMovimientos[[#This Row],[SKU]]="","",IFERROR(INDEX(tblProductos[Unidad],MATCH(tblMovimientos[[#This Row],[SKU]],tblProductos[SKU],0)),"?"))</f>
        <v/>
      </c>
      <c r="I3893" s="39"/>
      <c r="J3893" s="47" t="str">
        <f>IF(tblMovimientos[[#This Row],[Tipo]]="","",IFERROR(INDEX(tblTiposMov[FactorStock],MATCH(tblMovimientos[[#This Row],[Tipo]],tblTiposMov[Tipo],0)),0))</f>
        <v/>
      </c>
      <c r="K38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3" s="37"/>
      <c r="O3893" s="37"/>
      <c r="P3893" s="37"/>
    </row>
    <row r="3894" spans="2:16" x14ac:dyDescent="0.25">
      <c r="B38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4" s="46"/>
      <c r="D3894" s="37"/>
      <c r="E3894" s="37"/>
      <c r="F3894" s="37"/>
      <c r="G3894" s="40" t="str">
        <f>IF(tblMovimientos[[#This Row],[Producto]]="","",TRIM(LEFT(tblMovimientos[[#This Row],[Producto]],FIND(" · ",tblMovimientos[[#This Row],[Producto]]&amp;" · ")-1)))</f>
        <v/>
      </c>
      <c r="H3894" s="40" t="str">
        <f>IF(tblMovimientos[[#This Row],[SKU]]="","",IFERROR(INDEX(tblProductos[Unidad],MATCH(tblMovimientos[[#This Row],[SKU]],tblProductos[SKU],0)),"?"))</f>
        <v/>
      </c>
      <c r="I3894" s="39"/>
      <c r="J3894" s="47" t="str">
        <f>IF(tblMovimientos[[#This Row],[Tipo]]="","",IFERROR(INDEX(tblTiposMov[FactorStock],MATCH(tblMovimientos[[#This Row],[Tipo]],tblTiposMov[Tipo],0)),0))</f>
        <v/>
      </c>
      <c r="K38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4" s="37"/>
      <c r="O3894" s="37"/>
      <c r="P3894" s="37"/>
    </row>
    <row r="3895" spans="2:16" x14ac:dyDescent="0.25">
      <c r="B38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5" s="46"/>
      <c r="D3895" s="37"/>
      <c r="E3895" s="37"/>
      <c r="F3895" s="37"/>
      <c r="G3895" s="40" t="str">
        <f>IF(tblMovimientos[[#This Row],[Producto]]="","",TRIM(LEFT(tblMovimientos[[#This Row],[Producto]],FIND(" · ",tblMovimientos[[#This Row],[Producto]]&amp;" · ")-1)))</f>
        <v/>
      </c>
      <c r="H3895" s="40" t="str">
        <f>IF(tblMovimientos[[#This Row],[SKU]]="","",IFERROR(INDEX(tblProductos[Unidad],MATCH(tblMovimientos[[#This Row],[SKU]],tblProductos[SKU],0)),"?"))</f>
        <v/>
      </c>
      <c r="I3895" s="39"/>
      <c r="J3895" s="47" t="str">
        <f>IF(tblMovimientos[[#This Row],[Tipo]]="","",IFERROR(INDEX(tblTiposMov[FactorStock],MATCH(tblMovimientos[[#This Row],[Tipo]],tblTiposMov[Tipo],0)),0))</f>
        <v/>
      </c>
      <c r="K38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5" s="37"/>
      <c r="O3895" s="37"/>
      <c r="P3895" s="37"/>
    </row>
    <row r="3896" spans="2:16" x14ac:dyDescent="0.25">
      <c r="B38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6" s="46"/>
      <c r="D3896" s="37"/>
      <c r="E3896" s="37"/>
      <c r="F3896" s="37"/>
      <c r="G3896" s="40" t="str">
        <f>IF(tblMovimientos[[#This Row],[Producto]]="","",TRIM(LEFT(tblMovimientos[[#This Row],[Producto]],FIND(" · ",tblMovimientos[[#This Row],[Producto]]&amp;" · ")-1)))</f>
        <v/>
      </c>
      <c r="H3896" s="40" t="str">
        <f>IF(tblMovimientos[[#This Row],[SKU]]="","",IFERROR(INDEX(tblProductos[Unidad],MATCH(tblMovimientos[[#This Row],[SKU]],tblProductos[SKU],0)),"?"))</f>
        <v/>
      </c>
      <c r="I3896" s="39"/>
      <c r="J3896" s="47" t="str">
        <f>IF(tblMovimientos[[#This Row],[Tipo]]="","",IFERROR(INDEX(tblTiposMov[FactorStock],MATCH(tblMovimientos[[#This Row],[Tipo]],tblTiposMov[Tipo],0)),0))</f>
        <v/>
      </c>
      <c r="K38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6" s="37"/>
      <c r="O3896" s="37"/>
      <c r="P3896" s="37"/>
    </row>
    <row r="3897" spans="2:16" x14ac:dyDescent="0.25">
      <c r="B38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7" s="46"/>
      <c r="D3897" s="37"/>
      <c r="E3897" s="37"/>
      <c r="F3897" s="37"/>
      <c r="G3897" s="40" t="str">
        <f>IF(tblMovimientos[[#This Row],[Producto]]="","",TRIM(LEFT(tblMovimientos[[#This Row],[Producto]],FIND(" · ",tblMovimientos[[#This Row],[Producto]]&amp;" · ")-1)))</f>
        <v/>
      </c>
      <c r="H3897" s="40" t="str">
        <f>IF(tblMovimientos[[#This Row],[SKU]]="","",IFERROR(INDEX(tblProductos[Unidad],MATCH(tblMovimientos[[#This Row],[SKU]],tblProductos[SKU],0)),"?"))</f>
        <v/>
      </c>
      <c r="I3897" s="39"/>
      <c r="J3897" s="47" t="str">
        <f>IF(tblMovimientos[[#This Row],[Tipo]]="","",IFERROR(INDEX(tblTiposMov[FactorStock],MATCH(tblMovimientos[[#This Row],[Tipo]],tblTiposMov[Tipo],0)),0))</f>
        <v/>
      </c>
      <c r="K38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7" s="37"/>
      <c r="O3897" s="37"/>
      <c r="P3897" s="37"/>
    </row>
    <row r="3898" spans="2:16" x14ac:dyDescent="0.25">
      <c r="B38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8" s="46"/>
      <c r="D3898" s="37"/>
      <c r="E3898" s="37"/>
      <c r="F3898" s="37"/>
      <c r="G3898" s="40" t="str">
        <f>IF(tblMovimientos[[#This Row],[Producto]]="","",TRIM(LEFT(tblMovimientos[[#This Row],[Producto]],FIND(" · ",tblMovimientos[[#This Row],[Producto]]&amp;" · ")-1)))</f>
        <v/>
      </c>
      <c r="H3898" s="40" t="str">
        <f>IF(tblMovimientos[[#This Row],[SKU]]="","",IFERROR(INDEX(tblProductos[Unidad],MATCH(tblMovimientos[[#This Row],[SKU]],tblProductos[SKU],0)),"?"))</f>
        <v/>
      </c>
      <c r="I3898" s="39"/>
      <c r="J3898" s="47" t="str">
        <f>IF(tblMovimientos[[#This Row],[Tipo]]="","",IFERROR(INDEX(tblTiposMov[FactorStock],MATCH(tblMovimientos[[#This Row],[Tipo]],tblTiposMov[Tipo],0)),0))</f>
        <v/>
      </c>
      <c r="K38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8" s="37"/>
      <c r="O3898" s="37"/>
      <c r="P3898" s="37"/>
    </row>
    <row r="3899" spans="2:16" x14ac:dyDescent="0.25">
      <c r="B38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899" s="46"/>
      <c r="D3899" s="37"/>
      <c r="E3899" s="37"/>
      <c r="F3899" s="37"/>
      <c r="G3899" s="40" t="str">
        <f>IF(tblMovimientos[[#This Row],[Producto]]="","",TRIM(LEFT(tblMovimientos[[#This Row],[Producto]],FIND(" · ",tblMovimientos[[#This Row],[Producto]]&amp;" · ")-1)))</f>
        <v/>
      </c>
      <c r="H3899" s="40" t="str">
        <f>IF(tblMovimientos[[#This Row],[SKU]]="","",IFERROR(INDEX(tblProductos[Unidad],MATCH(tblMovimientos[[#This Row],[SKU]],tblProductos[SKU],0)),"?"))</f>
        <v/>
      </c>
      <c r="I3899" s="39"/>
      <c r="J3899" s="47" t="str">
        <f>IF(tblMovimientos[[#This Row],[Tipo]]="","",IFERROR(INDEX(tblTiposMov[FactorStock],MATCH(tblMovimientos[[#This Row],[Tipo]],tblTiposMov[Tipo],0)),0))</f>
        <v/>
      </c>
      <c r="K38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8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899" s="37"/>
      <c r="O3899" s="37"/>
      <c r="P3899" s="37"/>
    </row>
    <row r="3900" spans="2:16" x14ac:dyDescent="0.25">
      <c r="B39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0" s="46"/>
      <c r="D3900" s="37"/>
      <c r="E3900" s="37"/>
      <c r="F3900" s="37"/>
      <c r="G3900" s="40" t="str">
        <f>IF(tblMovimientos[[#This Row],[Producto]]="","",TRIM(LEFT(tblMovimientos[[#This Row],[Producto]],FIND(" · ",tblMovimientos[[#This Row],[Producto]]&amp;" · ")-1)))</f>
        <v/>
      </c>
      <c r="H3900" s="40" t="str">
        <f>IF(tblMovimientos[[#This Row],[SKU]]="","",IFERROR(INDEX(tblProductos[Unidad],MATCH(tblMovimientos[[#This Row],[SKU]],tblProductos[SKU],0)),"?"))</f>
        <v/>
      </c>
      <c r="I3900" s="39"/>
      <c r="J3900" s="47" t="str">
        <f>IF(tblMovimientos[[#This Row],[Tipo]]="","",IFERROR(INDEX(tblTiposMov[FactorStock],MATCH(tblMovimientos[[#This Row],[Tipo]],tblTiposMov[Tipo],0)),0))</f>
        <v/>
      </c>
      <c r="K39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0" s="37"/>
      <c r="O3900" s="37"/>
      <c r="P3900" s="37"/>
    </row>
    <row r="3901" spans="2:16" x14ac:dyDescent="0.25">
      <c r="B39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1" s="46"/>
      <c r="D3901" s="37"/>
      <c r="E3901" s="37"/>
      <c r="F3901" s="37"/>
      <c r="G3901" s="40" t="str">
        <f>IF(tblMovimientos[[#This Row],[Producto]]="","",TRIM(LEFT(tblMovimientos[[#This Row],[Producto]],FIND(" · ",tblMovimientos[[#This Row],[Producto]]&amp;" · ")-1)))</f>
        <v/>
      </c>
      <c r="H3901" s="40" t="str">
        <f>IF(tblMovimientos[[#This Row],[SKU]]="","",IFERROR(INDEX(tblProductos[Unidad],MATCH(tblMovimientos[[#This Row],[SKU]],tblProductos[SKU],0)),"?"))</f>
        <v/>
      </c>
      <c r="I3901" s="39"/>
      <c r="J3901" s="47" t="str">
        <f>IF(tblMovimientos[[#This Row],[Tipo]]="","",IFERROR(INDEX(tblTiposMov[FactorStock],MATCH(tblMovimientos[[#This Row],[Tipo]],tblTiposMov[Tipo],0)),0))</f>
        <v/>
      </c>
      <c r="K39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1" s="37"/>
      <c r="O3901" s="37"/>
      <c r="P3901" s="37"/>
    </row>
    <row r="3902" spans="2:16" x14ac:dyDescent="0.25">
      <c r="B39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2" s="46"/>
      <c r="D3902" s="37"/>
      <c r="E3902" s="37"/>
      <c r="F3902" s="37"/>
      <c r="G3902" s="40" t="str">
        <f>IF(tblMovimientos[[#This Row],[Producto]]="","",TRIM(LEFT(tblMovimientos[[#This Row],[Producto]],FIND(" · ",tblMovimientos[[#This Row],[Producto]]&amp;" · ")-1)))</f>
        <v/>
      </c>
      <c r="H3902" s="40" t="str">
        <f>IF(tblMovimientos[[#This Row],[SKU]]="","",IFERROR(INDEX(tblProductos[Unidad],MATCH(tblMovimientos[[#This Row],[SKU]],tblProductos[SKU],0)),"?"))</f>
        <v/>
      </c>
      <c r="I3902" s="39"/>
      <c r="J3902" s="47" t="str">
        <f>IF(tblMovimientos[[#This Row],[Tipo]]="","",IFERROR(INDEX(tblTiposMov[FactorStock],MATCH(tblMovimientos[[#This Row],[Tipo]],tblTiposMov[Tipo],0)),0))</f>
        <v/>
      </c>
      <c r="K39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2" s="37"/>
      <c r="O3902" s="37"/>
      <c r="P3902" s="37"/>
    </row>
    <row r="3903" spans="2:16" x14ac:dyDescent="0.25">
      <c r="B39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3" s="46"/>
      <c r="D3903" s="37"/>
      <c r="E3903" s="37"/>
      <c r="F3903" s="37"/>
      <c r="G3903" s="40" t="str">
        <f>IF(tblMovimientos[[#This Row],[Producto]]="","",TRIM(LEFT(tblMovimientos[[#This Row],[Producto]],FIND(" · ",tblMovimientos[[#This Row],[Producto]]&amp;" · ")-1)))</f>
        <v/>
      </c>
      <c r="H3903" s="40" t="str">
        <f>IF(tblMovimientos[[#This Row],[SKU]]="","",IFERROR(INDEX(tblProductos[Unidad],MATCH(tblMovimientos[[#This Row],[SKU]],tblProductos[SKU],0)),"?"))</f>
        <v/>
      </c>
      <c r="I3903" s="39"/>
      <c r="J3903" s="47" t="str">
        <f>IF(tblMovimientos[[#This Row],[Tipo]]="","",IFERROR(INDEX(tblTiposMov[FactorStock],MATCH(tblMovimientos[[#This Row],[Tipo]],tblTiposMov[Tipo],0)),0))</f>
        <v/>
      </c>
      <c r="K39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3" s="37"/>
      <c r="O3903" s="37"/>
      <c r="P3903" s="37"/>
    </row>
    <row r="3904" spans="2:16" x14ac:dyDescent="0.25">
      <c r="B39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4" s="46"/>
      <c r="D3904" s="37"/>
      <c r="E3904" s="37"/>
      <c r="F3904" s="37"/>
      <c r="G3904" s="40" t="str">
        <f>IF(tblMovimientos[[#This Row],[Producto]]="","",TRIM(LEFT(tblMovimientos[[#This Row],[Producto]],FIND(" · ",tblMovimientos[[#This Row],[Producto]]&amp;" · ")-1)))</f>
        <v/>
      </c>
      <c r="H3904" s="40" t="str">
        <f>IF(tblMovimientos[[#This Row],[SKU]]="","",IFERROR(INDEX(tblProductos[Unidad],MATCH(tblMovimientos[[#This Row],[SKU]],tblProductos[SKU],0)),"?"))</f>
        <v/>
      </c>
      <c r="I3904" s="39"/>
      <c r="J3904" s="47" t="str">
        <f>IF(tblMovimientos[[#This Row],[Tipo]]="","",IFERROR(INDEX(tblTiposMov[FactorStock],MATCH(tblMovimientos[[#This Row],[Tipo]],tblTiposMov[Tipo],0)),0))</f>
        <v/>
      </c>
      <c r="K39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4" s="37"/>
      <c r="O3904" s="37"/>
      <c r="P3904" s="37"/>
    </row>
    <row r="3905" spans="2:16" x14ac:dyDescent="0.25">
      <c r="B39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5" s="46"/>
      <c r="D3905" s="37"/>
      <c r="E3905" s="37"/>
      <c r="F3905" s="37"/>
      <c r="G3905" s="40" t="str">
        <f>IF(tblMovimientos[[#This Row],[Producto]]="","",TRIM(LEFT(tblMovimientos[[#This Row],[Producto]],FIND(" · ",tblMovimientos[[#This Row],[Producto]]&amp;" · ")-1)))</f>
        <v/>
      </c>
      <c r="H3905" s="40" t="str">
        <f>IF(tblMovimientos[[#This Row],[SKU]]="","",IFERROR(INDEX(tblProductos[Unidad],MATCH(tblMovimientos[[#This Row],[SKU]],tblProductos[SKU],0)),"?"))</f>
        <v/>
      </c>
      <c r="I3905" s="39"/>
      <c r="J3905" s="47" t="str">
        <f>IF(tblMovimientos[[#This Row],[Tipo]]="","",IFERROR(INDEX(tblTiposMov[FactorStock],MATCH(tblMovimientos[[#This Row],[Tipo]],tblTiposMov[Tipo],0)),0))</f>
        <v/>
      </c>
      <c r="K39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5" s="37"/>
      <c r="O3905" s="37"/>
      <c r="P3905" s="37"/>
    </row>
    <row r="3906" spans="2:16" x14ac:dyDescent="0.25">
      <c r="B39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6" s="46"/>
      <c r="D3906" s="37"/>
      <c r="E3906" s="37"/>
      <c r="F3906" s="37"/>
      <c r="G3906" s="40" t="str">
        <f>IF(tblMovimientos[[#This Row],[Producto]]="","",TRIM(LEFT(tblMovimientos[[#This Row],[Producto]],FIND(" · ",tblMovimientos[[#This Row],[Producto]]&amp;" · ")-1)))</f>
        <v/>
      </c>
      <c r="H3906" s="40" t="str">
        <f>IF(tblMovimientos[[#This Row],[SKU]]="","",IFERROR(INDEX(tblProductos[Unidad],MATCH(tblMovimientos[[#This Row],[SKU]],tblProductos[SKU],0)),"?"))</f>
        <v/>
      </c>
      <c r="I3906" s="39"/>
      <c r="J3906" s="47" t="str">
        <f>IF(tblMovimientos[[#This Row],[Tipo]]="","",IFERROR(INDEX(tblTiposMov[FactorStock],MATCH(tblMovimientos[[#This Row],[Tipo]],tblTiposMov[Tipo],0)),0))</f>
        <v/>
      </c>
      <c r="K39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6" s="37"/>
      <c r="O3906" s="37"/>
      <c r="P3906" s="37"/>
    </row>
    <row r="3907" spans="2:16" x14ac:dyDescent="0.25">
      <c r="B39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7" s="46"/>
      <c r="D3907" s="37"/>
      <c r="E3907" s="37"/>
      <c r="F3907" s="37"/>
      <c r="G3907" s="40" t="str">
        <f>IF(tblMovimientos[[#This Row],[Producto]]="","",TRIM(LEFT(tblMovimientos[[#This Row],[Producto]],FIND(" · ",tblMovimientos[[#This Row],[Producto]]&amp;" · ")-1)))</f>
        <v/>
      </c>
      <c r="H3907" s="40" t="str">
        <f>IF(tblMovimientos[[#This Row],[SKU]]="","",IFERROR(INDEX(tblProductos[Unidad],MATCH(tblMovimientos[[#This Row],[SKU]],tblProductos[SKU],0)),"?"))</f>
        <v/>
      </c>
      <c r="I3907" s="39"/>
      <c r="J3907" s="47" t="str">
        <f>IF(tblMovimientos[[#This Row],[Tipo]]="","",IFERROR(INDEX(tblTiposMov[FactorStock],MATCH(tblMovimientos[[#This Row],[Tipo]],tblTiposMov[Tipo],0)),0))</f>
        <v/>
      </c>
      <c r="K39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7" s="37"/>
      <c r="O3907" s="37"/>
      <c r="P3907" s="37"/>
    </row>
    <row r="3908" spans="2:16" x14ac:dyDescent="0.25">
      <c r="B39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8" s="46"/>
      <c r="D3908" s="37"/>
      <c r="E3908" s="37"/>
      <c r="F3908" s="37"/>
      <c r="G3908" s="40" t="str">
        <f>IF(tblMovimientos[[#This Row],[Producto]]="","",TRIM(LEFT(tblMovimientos[[#This Row],[Producto]],FIND(" · ",tblMovimientos[[#This Row],[Producto]]&amp;" · ")-1)))</f>
        <v/>
      </c>
      <c r="H3908" s="40" t="str">
        <f>IF(tblMovimientos[[#This Row],[SKU]]="","",IFERROR(INDEX(tblProductos[Unidad],MATCH(tblMovimientos[[#This Row],[SKU]],tblProductos[SKU],0)),"?"))</f>
        <v/>
      </c>
      <c r="I3908" s="39"/>
      <c r="J3908" s="47" t="str">
        <f>IF(tblMovimientos[[#This Row],[Tipo]]="","",IFERROR(INDEX(tblTiposMov[FactorStock],MATCH(tblMovimientos[[#This Row],[Tipo]],tblTiposMov[Tipo],0)),0))</f>
        <v/>
      </c>
      <c r="K39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8" s="37"/>
      <c r="O3908" s="37"/>
      <c r="P3908" s="37"/>
    </row>
    <row r="3909" spans="2:16" x14ac:dyDescent="0.25">
      <c r="B39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09" s="46"/>
      <c r="D3909" s="37"/>
      <c r="E3909" s="37"/>
      <c r="F3909" s="37"/>
      <c r="G3909" s="40" t="str">
        <f>IF(tblMovimientos[[#This Row],[Producto]]="","",TRIM(LEFT(tblMovimientos[[#This Row],[Producto]],FIND(" · ",tblMovimientos[[#This Row],[Producto]]&amp;" · ")-1)))</f>
        <v/>
      </c>
      <c r="H3909" s="40" t="str">
        <f>IF(tblMovimientos[[#This Row],[SKU]]="","",IFERROR(INDEX(tblProductos[Unidad],MATCH(tblMovimientos[[#This Row],[SKU]],tblProductos[SKU],0)),"?"))</f>
        <v/>
      </c>
      <c r="I3909" s="39"/>
      <c r="J3909" s="47" t="str">
        <f>IF(tblMovimientos[[#This Row],[Tipo]]="","",IFERROR(INDEX(tblTiposMov[FactorStock],MATCH(tblMovimientos[[#This Row],[Tipo]],tblTiposMov[Tipo],0)),0))</f>
        <v/>
      </c>
      <c r="K39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09" s="37"/>
      <c r="O3909" s="37"/>
      <c r="P3909" s="37"/>
    </row>
    <row r="3910" spans="2:16" x14ac:dyDescent="0.25">
      <c r="B39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0" s="46"/>
      <c r="D3910" s="37"/>
      <c r="E3910" s="37"/>
      <c r="F3910" s="37"/>
      <c r="G3910" s="40" t="str">
        <f>IF(tblMovimientos[[#This Row],[Producto]]="","",TRIM(LEFT(tblMovimientos[[#This Row],[Producto]],FIND(" · ",tblMovimientos[[#This Row],[Producto]]&amp;" · ")-1)))</f>
        <v/>
      </c>
      <c r="H3910" s="40" t="str">
        <f>IF(tblMovimientos[[#This Row],[SKU]]="","",IFERROR(INDEX(tblProductos[Unidad],MATCH(tblMovimientos[[#This Row],[SKU]],tblProductos[SKU],0)),"?"))</f>
        <v/>
      </c>
      <c r="I3910" s="39"/>
      <c r="J3910" s="47" t="str">
        <f>IF(tblMovimientos[[#This Row],[Tipo]]="","",IFERROR(INDEX(tblTiposMov[FactorStock],MATCH(tblMovimientos[[#This Row],[Tipo]],tblTiposMov[Tipo],0)),0))</f>
        <v/>
      </c>
      <c r="K39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0" s="37"/>
      <c r="O3910" s="37"/>
      <c r="P3910" s="37"/>
    </row>
    <row r="3911" spans="2:16" x14ac:dyDescent="0.25">
      <c r="B39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1" s="46"/>
      <c r="D3911" s="37"/>
      <c r="E3911" s="37"/>
      <c r="F3911" s="37"/>
      <c r="G3911" s="40" t="str">
        <f>IF(tblMovimientos[[#This Row],[Producto]]="","",TRIM(LEFT(tblMovimientos[[#This Row],[Producto]],FIND(" · ",tblMovimientos[[#This Row],[Producto]]&amp;" · ")-1)))</f>
        <v/>
      </c>
      <c r="H3911" s="40" t="str">
        <f>IF(tblMovimientos[[#This Row],[SKU]]="","",IFERROR(INDEX(tblProductos[Unidad],MATCH(tblMovimientos[[#This Row],[SKU]],tblProductos[SKU],0)),"?"))</f>
        <v/>
      </c>
      <c r="I3911" s="39"/>
      <c r="J3911" s="47" t="str">
        <f>IF(tblMovimientos[[#This Row],[Tipo]]="","",IFERROR(INDEX(tblTiposMov[FactorStock],MATCH(tblMovimientos[[#This Row],[Tipo]],tblTiposMov[Tipo],0)),0))</f>
        <v/>
      </c>
      <c r="K39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1" s="37"/>
      <c r="O3911" s="37"/>
      <c r="P3911" s="37"/>
    </row>
    <row r="3912" spans="2:16" x14ac:dyDescent="0.25">
      <c r="B39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2" s="46"/>
      <c r="D3912" s="37"/>
      <c r="E3912" s="37"/>
      <c r="F3912" s="37"/>
      <c r="G3912" s="40" t="str">
        <f>IF(tblMovimientos[[#This Row],[Producto]]="","",TRIM(LEFT(tblMovimientos[[#This Row],[Producto]],FIND(" · ",tblMovimientos[[#This Row],[Producto]]&amp;" · ")-1)))</f>
        <v/>
      </c>
      <c r="H3912" s="40" t="str">
        <f>IF(tblMovimientos[[#This Row],[SKU]]="","",IFERROR(INDEX(tblProductos[Unidad],MATCH(tblMovimientos[[#This Row],[SKU]],tblProductos[SKU],0)),"?"))</f>
        <v/>
      </c>
      <c r="I3912" s="39"/>
      <c r="J3912" s="47" t="str">
        <f>IF(tblMovimientos[[#This Row],[Tipo]]="","",IFERROR(INDEX(tblTiposMov[FactorStock],MATCH(tblMovimientos[[#This Row],[Tipo]],tblTiposMov[Tipo],0)),0))</f>
        <v/>
      </c>
      <c r="K39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2" s="37"/>
      <c r="O3912" s="37"/>
      <c r="P3912" s="37"/>
    </row>
    <row r="3913" spans="2:16" x14ac:dyDescent="0.25">
      <c r="B39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3" s="46"/>
      <c r="D3913" s="37"/>
      <c r="E3913" s="37"/>
      <c r="F3913" s="37"/>
      <c r="G3913" s="40" t="str">
        <f>IF(tblMovimientos[[#This Row],[Producto]]="","",TRIM(LEFT(tblMovimientos[[#This Row],[Producto]],FIND(" · ",tblMovimientos[[#This Row],[Producto]]&amp;" · ")-1)))</f>
        <v/>
      </c>
      <c r="H3913" s="40" t="str">
        <f>IF(tblMovimientos[[#This Row],[SKU]]="","",IFERROR(INDEX(tblProductos[Unidad],MATCH(tblMovimientos[[#This Row],[SKU]],tblProductos[SKU],0)),"?"))</f>
        <v/>
      </c>
      <c r="I3913" s="39"/>
      <c r="J3913" s="47" t="str">
        <f>IF(tblMovimientos[[#This Row],[Tipo]]="","",IFERROR(INDEX(tblTiposMov[FactorStock],MATCH(tblMovimientos[[#This Row],[Tipo]],tblTiposMov[Tipo],0)),0))</f>
        <v/>
      </c>
      <c r="K39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3" s="37"/>
      <c r="O3913" s="37"/>
      <c r="P3913" s="37"/>
    </row>
    <row r="3914" spans="2:16" x14ac:dyDescent="0.25">
      <c r="B39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4" s="46"/>
      <c r="D3914" s="37"/>
      <c r="E3914" s="37"/>
      <c r="F3914" s="37"/>
      <c r="G3914" s="40" t="str">
        <f>IF(tblMovimientos[[#This Row],[Producto]]="","",TRIM(LEFT(tblMovimientos[[#This Row],[Producto]],FIND(" · ",tblMovimientos[[#This Row],[Producto]]&amp;" · ")-1)))</f>
        <v/>
      </c>
      <c r="H3914" s="40" t="str">
        <f>IF(tblMovimientos[[#This Row],[SKU]]="","",IFERROR(INDEX(tblProductos[Unidad],MATCH(tblMovimientos[[#This Row],[SKU]],tblProductos[SKU],0)),"?"))</f>
        <v/>
      </c>
      <c r="I3914" s="39"/>
      <c r="J3914" s="47" t="str">
        <f>IF(tblMovimientos[[#This Row],[Tipo]]="","",IFERROR(INDEX(tblTiposMov[FactorStock],MATCH(tblMovimientos[[#This Row],[Tipo]],tblTiposMov[Tipo],0)),0))</f>
        <v/>
      </c>
      <c r="K39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4" s="37"/>
      <c r="O3914" s="37"/>
      <c r="P3914" s="37"/>
    </row>
    <row r="3915" spans="2:16" x14ac:dyDescent="0.25">
      <c r="B39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5" s="46"/>
      <c r="D3915" s="37"/>
      <c r="E3915" s="37"/>
      <c r="F3915" s="37"/>
      <c r="G3915" s="40" t="str">
        <f>IF(tblMovimientos[[#This Row],[Producto]]="","",TRIM(LEFT(tblMovimientos[[#This Row],[Producto]],FIND(" · ",tblMovimientos[[#This Row],[Producto]]&amp;" · ")-1)))</f>
        <v/>
      </c>
      <c r="H3915" s="40" t="str">
        <f>IF(tblMovimientos[[#This Row],[SKU]]="","",IFERROR(INDEX(tblProductos[Unidad],MATCH(tblMovimientos[[#This Row],[SKU]],tblProductos[SKU],0)),"?"))</f>
        <v/>
      </c>
      <c r="I3915" s="39"/>
      <c r="J3915" s="47" t="str">
        <f>IF(tblMovimientos[[#This Row],[Tipo]]="","",IFERROR(INDEX(tblTiposMov[FactorStock],MATCH(tblMovimientos[[#This Row],[Tipo]],tblTiposMov[Tipo],0)),0))</f>
        <v/>
      </c>
      <c r="K39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5" s="37"/>
      <c r="O3915" s="37"/>
      <c r="P3915" s="37"/>
    </row>
    <row r="3916" spans="2:16" x14ac:dyDescent="0.25">
      <c r="B39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6" s="46"/>
      <c r="D3916" s="37"/>
      <c r="E3916" s="37"/>
      <c r="F3916" s="37"/>
      <c r="G3916" s="40" t="str">
        <f>IF(tblMovimientos[[#This Row],[Producto]]="","",TRIM(LEFT(tblMovimientos[[#This Row],[Producto]],FIND(" · ",tblMovimientos[[#This Row],[Producto]]&amp;" · ")-1)))</f>
        <v/>
      </c>
      <c r="H3916" s="40" t="str">
        <f>IF(tblMovimientos[[#This Row],[SKU]]="","",IFERROR(INDEX(tblProductos[Unidad],MATCH(tblMovimientos[[#This Row],[SKU]],tblProductos[SKU],0)),"?"))</f>
        <v/>
      </c>
      <c r="I3916" s="39"/>
      <c r="J3916" s="47" t="str">
        <f>IF(tblMovimientos[[#This Row],[Tipo]]="","",IFERROR(INDEX(tblTiposMov[FactorStock],MATCH(tblMovimientos[[#This Row],[Tipo]],tblTiposMov[Tipo],0)),0))</f>
        <v/>
      </c>
      <c r="K39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6" s="37"/>
      <c r="O3916" s="37"/>
      <c r="P3916" s="37"/>
    </row>
    <row r="3917" spans="2:16" x14ac:dyDescent="0.25">
      <c r="B39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7" s="46"/>
      <c r="D3917" s="37"/>
      <c r="E3917" s="37"/>
      <c r="F3917" s="37"/>
      <c r="G3917" s="40" t="str">
        <f>IF(tblMovimientos[[#This Row],[Producto]]="","",TRIM(LEFT(tblMovimientos[[#This Row],[Producto]],FIND(" · ",tblMovimientos[[#This Row],[Producto]]&amp;" · ")-1)))</f>
        <v/>
      </c>
      <c r="H3917" s="40" t="str">
        <f>IF(tblMovimientos[[#This Row],[SKU]]="","",IFERROR(INDEX(tblProductos[Unidad],MATCH(tblMovimientos[[#This Row],[SKU]],tblProductos[SKU],0)),"?"))</f>
        <v/>
      </c>
      <c r="I3917" s="39"/>
      <c r="J3917" s="47" t="str">
        <f>IF(tblMovimientos[[#This Row],[Tipo]]="","",IFERROR(INDEX(tblTiposMov[FactorStock],MATCH(tblMovimientos[[#This Row],[Tipo]],tblTiposMov[Tipo],0)),0))</f>
        <v/>
      </c>
      <c r="K39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7" s="37"/>
      <c r="O3917" s="37"/>
      <c r="P3917" s="37"/>
    </row>
    <row r="3918" spans="2:16" x14ac:dyDescent="0.25">
      <c r="B39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8" s="46"/>
      <c r="D3918" s="37"/>
      <c r="E3918" s="37"/>
      <c r="F3918" s="37"/>
      <c r="G3918" s="40" t="str">
        <f>IF(tblMovimientos[[#This Row],[Producto]]="","",TRIM(LEFT(tblMovimientos[[#This Row],[Producto]],FIND(" · ",tblMovimientos[[#This Row],[Producto]]&amp;" · ")-1)))</f>
        <v/>
      </c>
      <c r="H3918" s="40" t="str">
        <f>IF(tblMovimientos[[#This Row],[SKU]]="","",IFERROR(INDEX(tblProductos[Unidad],MATCH(tblMovimientos[[#This Row],[SKU]],tblProductos[SKU],0)),"?"))</f>
        <v/>
      </c>
      <c r="I3918" s="39"/>
      <c r="J3918" s="47" t="str">
        <f>IF(tblMovimientos[[#This Row],[Tipo]]="","",IFERROR(INDEX(tblTiposMov[FactorStock],MATCH(tblMovimientos[[#This Row],[Tipo]],tblTiposMov[Tipo],0)),0))</f>
        <v/>
      </c>
      <c r="K39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8" s="37"/>
      <c r="O3918" s="37"/>
      <c r="P3918" s="37"/>
    </row>
    <row r="3919" spans="2:16" x14ac:dyDescent="0.25">
      <c r="B39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19" s="46"/>
      <c r="D3919" s="37"/>
      <c r="E3919" s="37"/>
      <c r="F3919" s="37"/>
      <c r="G3919" s="40" t="str">
        <f>IF(tblMovimientos[[#This Row],[Producto]]="","",TRIM(LEFT(tblMovimientos[[#This Row],[Producto]],FIND(" · ",tblMovimientos[[#This Row],[Producto]]&amp;" · ")-1)))</f>
        <v/>
      </c>
      <c r="H3919" s="40" t="str">
        <f>IF(tblMovimientos[[#This Row],[SKU]]="","",IFERROR(INDEX(tblProductos[Unidad],MATCH(tblMovimientos[[#This Row],[SKU]],tblProductos[SKU],0)),"?"))</f>
        <v/>
      </c>
      <c r="I3919" s="39"/>
      <c r="J3919" s="47" t="str">
        <f>IF(tblMovimientos[[#This Row],[Tipo]]="","",IFERROR(INDEX(tblTiposMov[FactorStock],MATCH(tblMovimientos[[#This Row],[Tipo]],tblTiposMov[Tipo],0)),0))</f>
        <v/>
      </c>
      <c r="K39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19" s="37"/>
      <c r="O3919" s="37"/>
      <c r="P3919" s="37"/>
    </row>
    <row r="3920" spans="2:16" x14ac:dyDescent="0.25">
      <c r="B39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0" s="46"/>
      <c r="D3920" s="37"/>
      <c r="E3920" s="37"/>
      <c r="F3920" s="37"/>
      <c r="G3920" s="40" t="str">
        <f>IF(tblMovimientos[[#This Row],[Producto]]="","",TRIM(LEFT(tblMovimientos[[#This Row],[Producto]],FIND(" · ",tblMovimientos[[#This Row],[Producto]]&amp;" · ")-1)))</f>
        <v/>
      </c>
      <c r="H3920" s="40" t="str">
        <f>IF(tblMovimientos[[#This Row],[SKU]]="","",IFERROR(INDEX(tblProductos[Unidad],MATCH(tblMovimientos[[#This Row],[SKU]],tblProductos[SKU],0)),"?"))</f>
        <v/>
      </c>
      <c r="I3920" s="39"/>
      <c r="J3920" s="47" t="str">
        <f>IF(tblMovimientos[[#This Row],[Tipo]]="","",IFERROR(INDEX(tblTiposMov[FactorStock],MATCH(tblMovimientos[[#This Row],[Tipo]],tblTiposMov[Tipo],0)),0))</f>
        <v/>
      </c>
      <c r="K39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0" s="37"/>
      <c r="O3920" s="37"/>
      <c r="P3920" s="37"/>
    </row>
    <row r="3921" spans="2:16" x14ac:dyDescent="0.25">
      <c r="B39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1" s="46"/>
      <c r="D3921" s="37"/>
      <c r="E3921" s="37"/>
      <c r="F3921" s="37"/>
      <c r="G3921" s="40" t="str">
        <f>IF(tblMovimientos[[#This Row],[Producto]]="","",TRIM(LEFT(tblMovimientos[[#This Row],[Producto]],FIND(" · ",tblMovimientos[[#This Row],[Producto]]&amp;" · ")-1)))</f>
        <v/>
      </c>
      <c r="H3921" s="40" t="str">
        <f>IF(tblMovimientos[[#This Row],[SKU]]="","",IFERROR(INDEX(tblProductos[Unidad],MATCH(tblMovimientos[[#This Row],[SKU]],tblProductos[SKU],0)),"?"))</f>
        <v/>
      </c>
      <c r="I3921" s="39"/>
      <c r="J3921" s="47" t="str">
        <f>IF(tblMovimientos[[#This Row],[Tipo]]="","",IFERROR(INDEX(tblTiposMov[FactorStock],MATCH(tblMovimientos[[#This Row],[Tipo]],tblTiposMov[Tipo],0)),0))</f>
        <v/>
      </c>
      <c r="K39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1" s="37"/>
      <c r="O3921" s="37"/>
      <c r="P3921" s="37"/>
    </row>
    <row r="3922" spans="2:16" x14ac:dyDescent="0.25">
      <c r="B39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2" s="46"/>
      <c r="D3922" s="37"/>
      <c r="E3922" s="37"/>
      <c r="F3922" s="37"/>
      <c r="G3922" s="40" t="str">
        <f>IF(tblMovimientos[[#This Row],[Producto]]="","",TRIM(LEFT(tblMovimientos[[#This Row],[Producto]],FIND(" · ",tblMovimientos[[#This Row],[Producto]]&amp;" · ")-1)))</f>
        <v/>
      </c>
      <c r="H3922" s="40" t="str">
        <f>IF(tblMovimientos[[#This Row],[SKU]]="","",IFERROR(INDEX(tblProductos[Unidad],MATCH(tblMovimientos[[#This Row],[SKU]],tblProductos[SKU],0)),"?"))</f>
        <v/>
      </c>
      <c r="I3922" s="39"/>
      <c r="J3922" s="47" t="str">
        <f>IF(tblMovimientos[[#This Row],[Tipo]]="","",IFERROR(INDEX(tblTiposMov[FactorStock],MATCH(tblMovimientos[[#This Row],[Tipo]],tblTiposMov[Tipo],0)),0))</f>
        <v/>
      </c>
      <c r="K39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2" s="37"/>
      <c r="O3922" s="37"/>
      <c r="P3922" s="37"/>
    </row>
    <row r="3923" spans="2:16" x14ac:dyDescent="0.25">
      <c r="B39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3" s="46"/>
      <c r="D3923" s="37"/>
      <c r="E3923" s="37"/>
      <c r="F3923" s="37"/>
      <c r="G3923" s="40" t="str">
        <f>IF(tblMovimientos[[#This Row],[Producto]]="","",TRIM(LEFT(tblMovimientos[[#This Row],[Producto]],FIND(" · ",tblMovimientos[[#This Row],[Producto]]&amp;" · ")-1)))</f>
        <v/>
      </c>
      <c r="H3923" s="40" t="str">
        <f>IF(tblMovimientos[[#This Row],[SKU]]="","",IFERROR(INDEX(tblProductos[Unidad],MATCH(tblMovimientos[[#This Row],[SKU]],tblProductos[SKU],0)),"?"))</f>
        <v/>
      </c>
      <c r="I3923" s="39"/>
      <c r="J3923" s="47" t="str">
        <f>IF(tblMovimientos[[#This Row],[Tipo]]="","",IFERROR(INDEX(tblTiposMov[FactorStock],MATCH(tblMovimientos[[#This Row],[Tipo]],tblTiposMov[Tipo],0)),0))</f>
        <v/>
      </c>
      <c r="K39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3" s="37"/>
      <c r="O3923" s="37"/>
      <c r="P3923" s="37"/>
    </row>
    <row r="3924" spans="2:16" x14ac:dyDescent="0.25">
      <c r="B39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4" s="46"/>
      <c r="D3924" s="37"/>
      <c r="E3924" s="37"/>
      <c r="F3924" s="37"/>
      <c r="G3924" s="40" t="str">
        <f>IF(tblMovimientos[[#This Row],[Producto]]="","",TRIM(LEFT(tblMovimientos[[#This Row],[Producto]],FIND(" · ",tblMovimientos[[#This Row],[Producto]]&amp;" · ")-1)))</f>
        <v/>
      </c>
      <c r="H3924" s="40" t="str">
        <f>IF(tblMovimientos[[#This Row],[SKU]]="","",IFERROR(INDEX(tblProductos[Unidad],MATCH(tblMovimientos[[#This Row],[SKU]],tblProductos[SKU],0)),"?"))</f>
        <v/>
      </c>
      <c r="I3924" s="39"/>
      <c r="J3924" s="47" t="str">
        <f>IF(tblMovimientos[[#This Row],[Tipo]]="","",IFERROR(INDEX(tblTiposMov[FactorStock],MATCH(tblMovimientos[[#This Row],[Tipo]],tblTiposMov[Tipo],0)),0))</f>
        <v/>
      </c>
      <c r="K39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4" s="37"/>
      <c r="O3924" s="37"/>
      <c r="P3924" s="37"/>
    </row>
    <row r="3925" spans="2:16" x14ac:dyDescent="0.25">
      <c r="B39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5" s="46"/>
      <c r="D3925" s="37"/>
      <c r="E3925" s="37"/>
      <c r="F3925" s="37"/>
      <c r="G3925" s="40" t="str">
        <f>IF(tblMovimientos[[#This Row],[Producto]]="","",TRIM(LEFT(tblMovimientos[[#This Row],[Producto]],FIND(" · ",tblMovimientos[[#This Row],[Producto]]&amp;" · ")-1)))</f>
        <v/>
      </c>
      <c r="H3925" s="40" t="str">
        <f>IF(tblMovimientos[[#This Row],[SKU]]="","",IFERROR(INDEX(tblProductos[Unidad],MATCH(tblMovimientos[[#This Row],[SKU]],tblProductos[SKU],0)),"?"))</f>
        <v/>
      </c>
      <c r="I3925" s="39"/>
      <c r="J3925" s="47" t="str">
        <f>IF(tblMovimientos[[#This Row],[Tipo]]="","",IFERROR(INDEX(tblTiposMov[FactorStock],MATCH(tblMovimientos[[#This Row],[Tipo]],tblTiposMov[Tipo],0)),0))</f>
        <v/>
      </c>
      <c r="K39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5" s="37"/>
      <c r="O3925" s="37"/>
      <c r="P3925" s="37"/>
    </row>
    <row r="3926" spans="2:16" x14ac:dyDescent="0.25">
      <c r="B39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6" s="46"/>
      <c r="D3926" s="37"/>
      <c r="E3926" s="37"/>
      <c r="F3926" s="37"/>
      <c r="G3926" s="40" t="str">
        <f>IF(tblMovimientos[[#This Row],[Producto]]="","",TRIM(LEFT(tblMovimientos[[#This Row],[Producto]],FIND(" · ",tblMovimientos[[#This Row],[Producto]]&amp;" · ")-1)))</f>
        <v/>
      </c>
      <c r="H3926" s="40" t="str">
        <f>IF(tblMovimientos[[#This Row],[SKU]]="","",IFERROR(INDEX(tblProductos[Unidad],MATCH(tblMovimientos[[#This Row],[SKU]],tblProductos[SKU],0)),"?"))</f>
        <v/>
      </c>
      <c r="I3926" s="39"/>
      <c r="J3926" s="47" t="str">
        <f>IF(tblMovimientos[[#This Row],[Tipo]]="","",IFERROR(INDEX(tblTiposMov[FactorStock],MATCH(tblMovimientos[[#This Row],[Tipo]],tblTiposMov[Tipo],0)),0))</f>
        <v/>
      </c>
      <c r="K39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6" s="37"/>
      <c r="O3926" s="37"/>
      <c r="P3926" s="37"/>
    </row>
    <row r="3927" spans="2:16" x14ac:dyDescent="0.25">
      <c r="B39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7" s="46"/>
      <c r="D3927" s="37"/>
      <c r="E3927" s="37"/>
      <c r="F3927" s="37"/>
      <c r="G3927" s="40" t="str">
        <f>IF(tblMovimientos[[#This Row],[Producto]]="","",TRIM(LEFT(tblMovimientos[[#This Row],[Producto]],FIND(" · ",tblMovimientos[[#This Row],[Producto]]&amp;" · ")-1)))</f>
        <v/>
      </c>
      <c r="H3927" s="40" t="str">
        <f>IF(tblMovimientos[[#This Row],[SKU]]="","",IFERROR(INDEX(tblProductos[Unidad],MATCH(tblMovimientos[[#This Row],[SKU]],tblProductos[SKU],0)),"?"))</f>
        <v/>
      </c>
      <c r="I3927" s="39"/>
      <c r="J3927" s="47" t="str">
        <f>IF(tblMovimientos[[#This Row],[Tipo]]="","",IFERROR(INDEX(tblTiposMov[FactorStock],MATCH(tblMovimientos[[#This Row],[Tipo]],tblTiposMov[Tipo],0)),0))</f>
        <v/>
      </c>
      <c r="K39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7" s="37"/>
      <c r="O3927" s="37"/>
      <c r="P3927" s="37"/>
    </row>
    <row r="3928" spans="2:16" x14ac:dyDescent="0.25">
      <c r="B39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8" s="46"/>
      <c r="D3928" s="37"/>
      <c r="E3928" s="37"/>
      <c r="F3928" s="37"/>
      <c r="G3928" s="40" t="str">
        <f>IF(tblMovimientos[[#This Row],[Producto]]="","",TRIM(LEFT(tblMovimientos[[#This Row],[Producto]],FIND(" · ",tblMovimientos[[#This Row],[Producto]]&amp;" · ")-1)))</f>
        <v/>
      </c>
      <c r="H3928" s="40" t="str">
        <f>IF(tblMovimientos[[#This Row],[SKU]]="","",IFERROR(INDEX(tblProductos[Unidad],MATCH(tblMovimientos[[#This Row],[SKU]],tblProductos[SKU],0)),"?"))</f>
        <v/>
      </c>
      <c r="I3928" s="39"/>
      <c r="J3928" s="47" t="str">
        <f>IF(tblMovimientos[[#This Row],[Tipo]]="","",IFERROR(INDEX(tblTiposMov[FactorStock],MATCH(tblMovimientos[[#This Row],[Tipo]],tblTiposMov[Tipo],0)),0))</f>
        <v/>
      </c>
      <c r="K39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8" s="37"/>
      <c r="O3928" s="37"/>
      <c r="P3928" s="37"/>
    </row>
    <row r="3929" spans="2:16" x14ac:dyDescent="0.25">
      <c r="B39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29" s="46"/>
      <c r="D3929" s="37"/>
      <c r="E3929" s="37"/>
      <c r="F3929" s="37"/>
      <c r="G3929" s="40" t="str">
        <f>IF(tblMovimientos[[#This Row],[Producto]]="","",TRIM(LEFT(tblMovimientos[[#This Row],[Producto]],FIND(" · ",tblMovimientos[[#This Row],[Producto]]&amp;" · ")-1)))</f>
        <v/>
      </c>
      <c r="H3929" s="40" t="str">
        <f>IF(tblMovimientos[[#This Row],[SKU]]="","",IFERROR(INDEX(tblProductos[Unidad],MATCH(tblMovimientos[[#This Row],[SKU]],tblProductos[SKU],0)),"?"))</f>
        <v/>
      </c>
      <c r="I3929" s="39"/>
      <c r="J3929" s="47" t="str">
        <f>IF(tblMovimientos[[#This Row],[Tipo]]="","",IFERROR(INDEX(tblTiposMov[FactorStock],MATCH(tblMovimientos[[#This Row],[Tipo]],tblTiposMov[Tipo],0)),0))</f>
        <v/>
      </c>
      <c r="K39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29" s="37"/>
      <c r="O3929" s="37"/>
      <c r="P3929" s="37"/>
    </row>
    <row r="3930" spans="2:16" x14ac:dyDescent="0.25">
      <c r="B39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0" s="46"/>
      <c r="D3930" s="37"/>
      <c r="E3930" s="37"/>
      <c r="F3930" s="37"/>
      <c r="G3930" s="40" t="str">
        <f>IF(tblMovimientos[[#This Row],[Producto]]="","",TRIM(LEFT(tblMovimientos[[#This Row],[Producto]],FIND(" · ",tblMovimientos[[#This Row],[Producto]]&amp;" · ")-1)))</f>
        <v/>
      </c>
      <c r="H3930" s="40" t="str">
        <f>IF(tblMovimientos[[#This Row],[SKU]]="","",IFERROR(INDEX(tblProductos[Unidad],MATCH(tblMovimientos[[#This Row],[SKU]],tblProductos[SKU],0)),"?"))</f>
        <v/>
      </c>
      <c r="I3930" s="39"/>
      <c r="J3930" s="47" t="str">
        <f>IF(tblMovimientos[[#This Row],[Tipo]]="","",IFERROR(INDEX(tblTiposMov[FactorStock],MATCH(tblMovimientos[[#This Row],[Tipo]],tblTiposMov[Tipo],0)),0))</f>
        <v/>
      </c>
      <c r="K39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0" s="37"/>
      <c r="O3930" s="37"/>
      <c r="P3930" s="37"/>
    </row>
    <row r="3931" spans="2:16" x14ac:dyDescent="0.25">
      <c r="B39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1" s="46"/>
      <c r="D3931" s="37"/>
      <c r="E3931" s="37"/>
      <c r="F3931" s="37"/>
      <c r="G3931" s="40" t="str">
        <f>IF(tblMovimientos[[#This Row],[Producto]]="","",TRIM(LEFT(tblMovimientos[[#This Row],[Producto]],FIND(" · ",tblMovimientos[[#This Row],[Producto]]&amp;" · ")-1)))</f>
        <v/>
      </c>
      <c r="H3931" s="40" t="str">
        <f>IF(tblMovimientos[[#This Row],[SKU]]="","",IFERROR(INDEX(tblProductos[Unidad],MATCH(tblMovimientos[[#This Row],[SKU]],tblProductos[SKU],0)),"?"))</f>
        <v/>
      </c>
      <c r="I3931" s="39"/>
      <c r="J3931" s="47" t="str">
        <f>IF(tblMovimientos[[#This Row],[Tipo]]="","",IFERROR(INDEX(tblTiposMov[FactorStock],MATCH(tblMovimientos[[#This Row],[Tipo]],tblTiposMov[Tipo],0)),0))</f>
        <v/>
      </c>
      <c r="K39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1" s="37"/>
      <c r="O3931" s="37"/>
      <c r="P3931" s="37"/>
    </row>
    <row r="3932" spans="2:16" x14ac:dyDescent="0.25">
      <c r="B39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2" s="46"/>
      <c r="D3932" s="37"/>
      <c r="E3932" s="37"/>
      <c r="F3932" s="37"/>
      <c r="G3932" s="40" t="str">
        <f>IF(tblMovimientos[[#This Row],[Producto]]="","",TRIM(LEFT(tblMovimientos[[#This Row],[Producto]],FIND(" · ",tblMovimientos[[#This Row],[Producto]]&amp;" · ")-1)))</f>
        <v/>
      </c>
      <c r="H3932" s="40" t="str">
        <f>IF(tblMovimientos[[#This Row],[SKU]]="","",IFERROR(INDEX(tblProductos[Unidad],MATCH(tblMovimientos[[#This Row],[SKU]],tblProductos[SKU],0)),"?"))</f>
        <v/>
      </c>
      <c r="I3932" s="39"/>
      <c r="J3932" s="47" t="str">
        <f>IF(tblMovimientos[[#This Row],[Tipo]]="","",IFERROR(INDEX(tblTiposMov[FactorStock],MATCH(tblMovimientos[[#This Row],[Tipo]],tblTiposMov[Tipo],0)),0))</f>
        <v/>
      </c>
      <c r="K39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2" s="37"/>
      <c r="O3932" s="37"/>
      <c r="P3932" s="37"/>
    </row>
    <row r="3933" spans="2:16" x14ac:dyDescent="0.25">
      <c r="B39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3" s="46"/>
      <c r="D3933" s="37"/>
      <c r="E3933" s="37"/>
      <c r="F3933" s="37"/>
      <c r="G3933" s="40" t="str">
        <f>IF(tblMovimientos[[#This Row],[Producto]]="","",TRIM(LEFT(tblMovimientos[[#This Row],[Producto]],FIND(" · ",tblMovimientos[[#This Row],[Producto]]&amp;" · ")-1)))</f>
        <v/>
      </c>
      <c r="H3933" s="40" t="str">
        <f>IF(tblMovimientos[[#This Row],[SKU]]="","",IFERROR(INDEX(tblProductos[Unidad],MATCH(tblMovimientos[[#This Row],[SKU]],tblProductos[SKU],0)),"?"))</f>
        <v/>
      </c>
      <c r="I3933" s="39"/>
      <c r="J3933" s="47" t="str">
        <f>IF(tblMovimientos[[#This Row],[Tipo]]="","",IFERROR(INDEX(tblTiposMov[FactorStock],MATCH(tblMovimientos[[#This Row],[Tipo]],tblTiposMov[Tipo],0)),0))</f>
        <v/>
      </c>
      <c r="K39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3" s="37"/>
      <c r="O3933" s="37"/>
      <c r="P3933" s="37"/>
    </row>
    <row r="3934" spans="2:16" x14ac:dyDescent="0.25">
      <c r="B39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4" s="46"/>
      <c r="D3934" s="37"/>
      <c r="E3934" s="37"/>
      <c r="F3934" s="37"/>
      <c r="G3934" s="40" t="str">
        <f>IF(tblMovimientos[[#This Row],[Producto]]="","",TRIM(LEFT(tblMovimientos[[#This Row],[Producto]],FIND(" · ",tblMovimientos[[#This Row],[Producto]]&amp;" · ")-1)))</f>
        <v/>
      </c>
      <c r="H3934" s="40" t="str">
        <f>IF(tblMovimientos[[#This Row],[SKU]]="","",IFERROR(INDEX(tblProductos[Unidad],MATCH(tblMovimientos[[#This Row],[SKU]],tblProductos[SKU],0)),"?"))</f>
        <v/>
      </c>
      <c r="I3934" s="39"/>
      <c r="J3934" s="47" t="str">
        <f>IF(tblMovimientos[[#This Row],[Tipo]]="","",IFERROR(INDEX(tblTiposMov[FactorStock],MATCH(tblMovimientos[[#This Row],[Tipo]],tblTiposMov[Tipo],0)),0))</f>
        <v/>
      </c>
      <c r="K39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4" s="37"/>
      <c r="O3934" s="37"/>
      <c r="P3934" s="37"/>
    </row>
    <row r="3935" spans="2:16" x14ac:dyDescent="0.25">
      <c r="B39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5" s="46"/>
      <c r="D3935" s="37"/>
      <c r="E3935" s="37"/>
      <c r="F3935" s="37"/>
      <c r="G3935" s="40" t="str">
        <f>IF(tblMovimientos[[#This Row],[Producto]]="","",TRIM(LEFT(tblMovimientos[[#This Row],[Producto]],FIND(" · ",tblMovimientos[[#This Row],[Producto]]&amp;" · ")-1)))</f>
        <v/>
      </c>
      <c r="H3935" s="40" t="str">
        <f>IF(tblMovimientos[[#This Row],[SKU]]="","",IFERROR(INDEX(tblProductos[Unidad],MATCH(tblMovimientos[[#This Row],[SKU]],tblProductos[SKU],0)),"?"))</f>
        <v/>
      </c>
      <c r="I3935" s="39"/>
      <c r="J3935" s="47" t="str">
        <f>IF(tblMovimientos[[#This Row],[Tipo]]="","",IFERROR(INDEX(tblTiposMov[FactorStock],MATCH(tblMovimientos[[#This Row],[Tipo]],tblTiposMov[Tipo],0)),0))</f>
        <v/>
      </c>
      <c r="K39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5" s="37"/>
      <c r="O3935" s="37"/>
      <c r="P3935" s="37"/>
    </row>
    <row r="3936" spans="2:16" x14ac:dyDescent="0.25">
      <c r="B39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6" s="46"/>
      <c r="D3936" s="37"/>
      <c r="E3936" s="37"/>
      <c r="F3936" s="37"/>
      <c r="G3936" s="40" t="str">
        <f>IF(tblMovimientos[[#This Row],[Producto]]="","",TRIM(LEFT(tblMovimientos[[#This Row],[Producto]],FIND(" · ",tblMovimientos[[#This Row],[Producto]]&amp;" · ")-1)))</f>
        <v/>
      </c>
      <c r="H3936" s="40" t="str">
        <f>IF(tblMovimientos[[#This Row],[SKU]]="","",IFERROR(INDEX(tblProductos[Unidad],MATCH(tblMovimientos[[#This Row],[SKU]],tblProductos[SKU],0)),"?"))</f>
        <v/>
      </c>
      <c r="I3936" s="39"/>
      <c r="J3936" s="47" t="str">
        <f>IF(tblMovimientos[[#This Row],[Tipo]]="","",IFERROR(INDEX(tblTiposMov[FactorStock],MATCH(tblMovimientos[[#This Row],[Tipo]],tblTiposMov[Tipo],0)),0))</f>
        <v/>
      </c>
      <c r="K39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6" s="37"/>
      <c r="O3936" s="37"/>
      <c r="P3936" s="37"/>
    </row>
    <row r="3937" spans="2:16" x14ac:dyDescent="0.25">
      <c r="B39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7" s="46"/>
      <c r="D3937" s="37"/>
      <c r="E3937" s="37"/>
      <c r="F3937" s="37"/>
      <c r="G3937" s="40" t="str">
        <f>IF(tblMovimientos[[#This Row],[Producto]]="","",TRIM(LEFT(tblMovimientos[[#This Row],[Producto]],FIND(" · ",tblMovimientos[[#This Row],[Producto]]&amp;" · ")-1)))</f>
        <v/>
      </c>
      <c r="H3937" s="40" t="str">
        <f>IF(tblMovimientos[[#This Row],[SKU]]="","",IFERROR(INDEX(tblProductos[Unidad],MATCH(tblMovimientos[[#This Row],[SKU]],tblProductos[SKU],0)),"?"))</f>
        <v/>
      </c>
      <c r="I3937" s="39"/>
      <c r="J3937" s="47" t="str">
        <f>IF(tblMovimientos[[#This Row],[Tipo]]="","",IFERROR(INDEX(tblTiposMov[FactorStock],MATCH(tblMovimientos[[#This Row],[Tipo]],tblTiposMov[Tipo],0)),0))</f>
        <v/>
      </c>
      <c r="K39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7" s="37"/>
      <c r="O3937" s="37"/>
      <c r="P3937" s="37"/>
    </row>
    <row r="3938" spans="2:16" x14ac:dyDescent="0.25">
      <c r="B39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8" s="46"/>
      <c r="D3938" s="37"/>
      <c r="E3938" s="37"/>
      <c r="F3938" s="37"/>
      <c r="G3938" s="40" t="str">
        <f>IF(tblMovimientos[[#This Row],[Producto]]="","",TRIM(LEFT(tblMovimientos[[#This Row],[Producto]],FIND(" · ",tblMovimientos[[#This Row],[Producto]]&amp;" · ")-1)))</f>
        <v/>
      </c>
      <c r="H3938" s="40" t="str">
        <f>IF(tblMovimientos[[#This Row],[SKU]]="","",IFERROR(INDEX(tblProductos[Unidad],MATCH(tblMovimientos[[#This Row],[SKU]],tblProductos[SKU],0)),"?"))</f>
        <v/>
      </c>
      <c r="I3938" s="39"/>
      <c r="J3938" s="47" t="str">
        <f>IF(tblMovimientos[[#This Row],[Tipo]]="","",IFERROR(INDEX(tblTiposMov[FactorStock],MATCH(tblMovimientos[[#This Row],[Tipo]],tblTiposMov[Tipo],0)),0))</f>
        <v/>
      </c>
      <c r="K39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8" s="37"/>
      <c r="O3938" s="37"/>
      <c r="P3938" s="37"/>
    </row>
    <row r="3939" spans="2:16" x14ac:dyDescent="0.25">
      <c r="B39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39" s="46"/>
      <c r="D3939" s="37"/>
      <c r="E3939" s="37"/>
      <c r="F3939" s="37"/>
      <c r="G3939" s="40" t="str">
        <f>IF(tblMovimientos[[#This Row],[Producto]]="","",TRIM(LEFT(tblMovimientos[[#This Row],[Producto]],FIND(" · ",tblMovimientos[[#This Row],[Producto]]&amp;" · ")-1)))</f>
        <v/>
      </c>
      <c r="H3939" s="40" t="str">
        <f>IF(tblMovimientos[[#This Row],[SKU]]="","",IFERROR(INDEX(tblProductos[Unidad],MATCH(tblMovimientos[[#This Row],[SKU]],tblProductos[SKU],0)),"?"))</f>
        <v/>
      </c>
      <c r="I3939" s="39"/>
      <c r="J3939" s="47" t="str">
        <f>IF(tblMovimientos[[#This Row],[Tipo]]="","",IFERROR(INDEX(tblTiposMov[FactorStock],MATCH(tblMovimientos[[#This Row],[Tipo]],tblTiposMov[Tipo],0)),0))</f>
        <v/>
      </c>
      <c r="K39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39" s="37"/>
      <c r="O3939" s="37"/>
      <c r="P3939" s="37"/>
    </row>
    <row r="3940" spans="2:16" x14ac:dyDescent="0.25">
      <c r="B39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0" s="46"/>
      <c r="D3940" s="37"/>
      <c r="E3940" s="37"/>
      <c r="F3940" s="37"/>
      <c r="G3940" s="40" t="str">
        <f>IF(tblMovimientos[[#This Row],[Producto]]="","",TRIM(LEFT(tblMovimientos[[#This Row],[Producto]],FIND(" · ",tblMovimientos[[#This Row],[Producto]]&amp;" · ")-1)))</f>
        <v/>
      </c>
      <c r="H3940" s="40" t="str">
        <f>IF(tblMovimientos[[#This Row],[SKU]]="","",IFERROR(INDEX(tblProductos[Unidad],MATCH(tblMovimientos[[#This Row],[SKU]],tblProductos[SKU],0)),"?"))</f>
        <v/>
      </c>
      <c r="I3940" s="39"/>
      <c r="J3940" s="47" t="str">
        <f>IF(tblMovimientos[[#This Row],[Tipo]]="","",IFERROR(INDEX(tblTiposMov[FactorStock],MATCH(tblMovimientos[[#This Row],[Tipo]],tblTiposMov[Tipo],0)),0))</f>
        <v/>
      </c>
      <c r="K39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0" s="37"/>
      <c r="O3940" s="37"/>
      <c r="P3940" s="37"/>
    </row>
    <row r="3941" spans="2:16" x14ac:dyDescent="0.25">
      <c r="B39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1" s="46"/>
      <c r="D3941" s="37"/>
      <c r="E3941" s="37"/>
      <c r="F3941" s="37"/>
      <c r="G3941" s="40" t="str">
        <f>IF(tblMovimientos[[#This Row],[Producto]]="","",TRIM(LEFT(tblMovimientos[[#This Row],[Producto]],FIND(" · ",tblMovimientos[[#This Row],[Producto]]&amp;" · ")-1)))</f>
        <v/>
      </c>
      <c r="H3941" s="40" t="str">
        <f>IF(tblMovimientos[[#This Row],[SKU]]="","",IFERROR(INDEX(tblProductos[Unidad],MATCH(tblMovimientos[[#This Row],[SKU]],tblProductos[SKU],0)),"?"))</f>
        <v/>
      </c>
      <c r="I3941" s="39"/>
      <c r="J3941" s="47" t="str">
        <f>IF(tblMovimientos[[#This Row],[Tipo]]="","",IFERROR(INDEX(tblTiposMov[FactorStock],MATCH(tblMovimientos[[#This Row],[Tipo]],tblTiposMov[Tipo],0)),0))</f>
        <v/>
      </c>
      <c r="K39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1" s="37"/>
      <c r="O3941" s="37"/>
      <c r="P3941" s="37"/>
    </row>
    <row r="3942" spans="2:16" x14ac:dyDescent="0.25">
      <c r="B39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2" s="46"/>
      <c r="D3942" s="37"/>
      <c r="E3942" s="37"/>
      <c r="F3942" s="37"/>
      <c r="G3942" s="40" t="str">
        <f>IF(tblMovimientos[[#This Row],[Producto]]="","",TRIM(LEFT(tblMovimientos[[#This Row],[Producto]],FIND(" · ",tblMovimientos[[#This Row],[Producto]]&amp;" · ")-1)))</f>
        <v/>
      </c>
      <c r="H3942" s="40" t="str">
        <f>IF(tblMovimientos[[#This Row],[SKU]]="","",IFERROR(INDEX(tblProductos[Unidad],MATCH(tblMovimientos[[#This Row],[SKU]],tblProductos[SKU],0)),"?"))</f>
        <v/>
      </c>
      <c r="I3942" s="39"/>
      <c r="J3942" s="47" t="str">
        <f>IF(tblMovimientos[[#This Row],[Tipo]]="","",IFERROR(INDEX(tblTiposMov[FactorStock],MATCH(tblMovimientos[[#This Row],[Tipo]],tblTiposMov[Tipo],0)),0))</f>
        <v/>
      </c>
      <c r="K39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2" s="37"/>
      <c r="O3942" s="37"/>
      <c r="P3942" s="37"/>
    </row>
    <row r="3943" spans="2:16" x14ac:dyDescent="0.25">
      <c r="B39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3" s="46"/>
      <c r="D3943" s="37"/>
      <c r="E3943" s="37"/>
      <c r="F3943" s="37"/>
      <c r="G3943" s="40" t="str">
        <f>IF(tblMovimientos[[#This Row],[Producto]]="","",TRIM(LEFT(tblMovimientos[[#This Row],[Producto]],FIND(" · ",tblMovimientos[[#This Row],[Producto]]&amp;" · ")-1)))</f>
        <v/>
      </c>
      <c r="H3943" s="40" t="str">
        <f>IF(tblMovimientos[[#This Row],[SKU]]="","",IFERROR(INDEX(tblProductos[Unidad],MATCH(tblMovimientos[[#This Row],[SKU]],tblProductos[SKU],0)),"?"))</f>
        <v/>
      </c>
      <c r="I3943" s="39"/>
      <c r="J3943" s="47" t="str">
        <f>IF(tblMovimientos[[#This Row],[Tipo]]="","",IFERROR(INDEX(tblTiposMov[FactorStock],MATCH(tblMovimientos[[#This Row],[Tipo]],tblTiposMov[Tipo],0)),0))</f>
        <v/>
      </c>
      <c r="K39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3" s="37"/>
      <c r="O3943" s="37"/>
      <c r="P3943" s="37"/>
    </row>
    <row r="3944" spans="2:16" x14ac:dyDescent="0.25">
      <c r="B39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4" s="46"/>
      <c r="D3944" s="37"/>
      <c r="E3944" s="37"/>
      <c r="F3944" s="37"/>
      <c r="G3944" s="40" t="str">
        <f>IF(tblMovimientos[[#This Row],[Producto]]="","",TRIM(LEFT(tblMovimientos[[#This Row],[Producto]],FIND(" · ",tblMovimientos[[#This Row],[Producto]]&amp;" · ")-1)))</f>
        <v/>
      </c>
      <c r="H3944" s="40" t="str">
        <f>IF(tblMovimientos[[#This Row],[SKU]]="","",IFERROR(INDEX(tblProductos[Unidad],MATCH(tblMovimientos[[#This Row],[SKU]],tblProductos[SKU],0)),"?"))</f>
        <v/>
      </c>
      <c r="I3944" s="39"/>
      <c r="J3944" s="47" t="str">
        <f>IF(tblMovimientos[[#This Row],[Tipo]]="","",IFERROR(INDEX(tblTiposMov[FactorStock],MATCH(tblMovimientos[[#This Row],[Tipo]],tblTiposMov[Tipo],0)),0))</f>
        <v/>
      </c>
      <c r="K39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4" s="37"/>
      <c r="O3944" s="37"/>
      <c r="P3944" s="37"/>
    </row>
    <row r="3945" spans="2:16" x14ac:dyDescent="0.25">
      <c r="B39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5" s="46"/>
      <c r="D3945" s="37"/>
      <c r="E3945" s="37"/>
      <c r="F3945" s="37"/>
      <c r="G3945" s="40" t="str">
        <f>IF(tblMovimientos[[#This Row],[Producto]]="","",TRIM(LEFT(tblMovimientos[[#This Row],[Producto]],FIND(" · ",tblMovimientos[[#This Row],[Producto]]&amp;" · ")-1)))</f>
        <v/>
      </c>
      <c r="H3945" s="40" t="str">
        <f>IF(tblMovimientos[[#This Row],[SKU]]="","",IFERROR(INDEX(tblProductos[Unidad],MATCH(tblMovimientos[[#This Row],[SKU]],tblProductos[SKU],0)),"?"))</f>
        <v/>
      </c>
      <c r="I3945" s="39"/>
      <c r="J3945" s="47" t="str">
        <f>IF(tblMovimientos[[#This Row],[Tipo]]="","",IFERROR(INDEX(tblTiposMov[FactorStock],MATCH(tblMovimientos[[#This Row],[Tipo]],tblTiposMov[Tipo],0)),0))</f>
        <v/>
      </c>
      <c r="K39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5" s="37"/>
      <c r="O3945" s="37"/>
      <c r="P3945" s="37"/>
    </row>
    <row r="3946" spans="2:16" x14ac:dyDescent="0.25">
      <c r="B39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6" s="46"/>
      <c r="D3946" s="37"/>
      <c r="E3946" s="37"/>
      <c r="F3946" s="37"/>
      <c r="G3946" s="40" t="str">
        <f>IF(tblMovimientos[[#This Row],[Producto]]="","",TRIM(LEFT(tblMovimientos[[#This Row],[Producto]],FIND(" · ",tblMovimientos[[#This Row],[Producto]]&amp;" · ")-1)))</f>
        <v/>
      </c>
      <c r="H3946" s="40" t="str">
        <f>IF(tblMovimientos[[#This Row],[SKU]]="","",IFERROR(INDEX(tblProductos[Unidad],MATCH(tblMovimientos[[#This Row],[SKU]],tblProductos[SKU],0)),"?"))</f>
        <v/>
      </c>
      <c r="I3946" s="39"/>
      <c r="J3946" s="47" t="str">
        <f>IF(tblMovimientos[[#This Row],[Tipo]]="","",IFERROR(INDEX(tblTiposMov[FactorStock],MATCH(tblMovimientos[[#This Row],[Tipo]],tblTiposMov[Tipo],0)),0))</f>
        <v/>
      </c>
      <c r="K39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6" s="37"/>
      <c r="O3946" s="37"/>
      <c r="P3946" s="37"/>
    </row>
    <row r="3947" spans="2:16" x14ac:dyDescent="0.25">
      <c r="B39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7" s="46"/>
      <c r="D3947" s="37"/>
      <c r="E3947" s="37"/>
      <c r="F3947" s="37"/>
      <c r="G3947" s="40" t="str">
        <f>IF(tblMovimientos[[#This Row],[Producto]]="","",TRIM(LEFT(tblMovimientos[[#This Row],[Producto]],FIND(" · ",tblMovimientos[[#This Row],[Producto]]&amp;" · ")-1)))</f>
        <v/>
      </c>
      <c r="H3947" s="40" t="str">
        <f>IF(tblMovimientos[[#This Row],[SKU]]="","",IFERROR(INDEX(tblProductos[Unidad],MATCH(tblMovimientos[[#This Row],[SKU]],tblProductos[SKU],0)),"?"))</f>
        <v/>
      </c>
      <c r="I3947" s="39"/>
      <c r="J3947" s="47" t="str">
        <f>IF(tblMovimientos[[#This Row],[Tipo]]="","",IFERROR(INDEX(tblTiposMov[FactorStock],MATCH(tblMovimientos[[#This Row],[Tipo]],tblTiposMov[Tipo],0)),0))</f>
        <v/>
      </c>
      <c r="K39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7" s="37"/>
      <c r="O3947" s="37"/>
      <c r="P3947" s="37"/>
    </row>
    <row r="3948" spans="2:16" x14ac:dyDescent="0.25">
      <c r="B39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8" s="46"/>
      <c r="D3948" s="37"/>
      <c r="E3948" s="37"/>
      <c r="F3948" s="37"/>
      <c r="G3948" s="40" t="str">
        <f>IF(tblMovimientos[[#This Row],[Producto]]="","",TRIM(LEFT(tblMovimientos[[#This Row],[Producto]],FIND(" · ",tblMovimientos[[#This Row],[Producto]]&amp;" · ")-1)))</f>
        <v/>
      </c>
      <c r="H3948" s="40" t="str">
        <f>IF(tblMovimientos[[#This Row],[SKU]]="","",IFERROR(INDEX(tblProductos[Unidad],MATCH(tblMovimientos[[#This Row],[SKU]],tblProductos[SKU],0)),"?"))</f>
        <v/>
      </c>
      <c r="I3948" s="39"/>
      <c r="J3948" s="47" t="str">
        <f>IF(tblMovimientos[[#This Row],[Tipo]]="","",IFERROR(INDEX(tblTiposMov[FactorStock],MATCH(tblMovimientos[[#This Row],[Tipo]],tblTiposMov[Tipo],0)),0))</f>
        <v/>
      </c>
      <c r="K39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8" s="37"/>
      <c r="O3948" s="37"/>
      <c r="P3948" s="37"/>
    </row>
    <row r="3949" spans="2:16" x14ac:dyDescent="0.25">
      <c r="B39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49" s="46"/>
      <c r="D3949" s="37"/>
      <c r="E3949" s="37"/>
      <c r="F3949" s="37"/>
      <c r="G3949" s="40" t="str">
        <f>IF(tblMovimientos[[#This Row],[Producto]]="","",TRIM(LEFT(tblMovimientos[[#This Row],[Producto]],FIND(" · ",tblMovimientos[[#This Row],[Producto]]&amp;" · ")-1)))</f>
        <v/>
      </c>
      <c r="H3949" s="40" t="str">
        <f>IF(tblMovimientos[[#This Row],[SKU]]="","",IFERROR(INDEX(tblProductos[Unidad],MATCH(tblMovimientos[[#This Row],[SKU]],tblProductos[SKU],0)),"?"))</f>
        <v/>
      </c>
      <c r="I3949" s="39"/>
      <c r="J3949" s="47" t="str">
        <f>IF(tblMovimientos[[#This Row],[Tipo]]="","",IFERROR(INDEX(tblTiposMov[FactorStock],MATCH(tblMovimientos[[#This Row],[Tipo]],tblTiposMov[Tipo],0)),0))</f>
        <v/>
      </c>
      <c r="K39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49" s="37"/>
      <c r="O3949" s="37"/>
      <c r="P3949" s="37"/>
    </row>
    <row r="3950" spans="2:16" x14ac:dyDescent="0.25">
      <c r="B39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0" s="46"/>
      <c r="D3950" s="37"/>
      <c r="E3950" s="37"/>
      <c r="F3950" s="37"/>
      <c r="G3950" s="40" t="str">
        <f>IF(tblMovimientos[[#This Row],[Producto]]="","",TRIM(LEFT(tblMovimientos[[#This Row],[Producto]],FIND(" · ",tblMovimientos[[#This Row],[Producto]]&amp;" · ")-1)))</f>
        <v/>
      </c>
      <c r="H3950" s="40" t="str">
        <f>IF(tblMovimientos[[#This Row],[SKU]]="","",IFERROR(INDEX(tblProductos[Unidad],MATCH(tblMovimientos[[#This Row],[SKU]],tblProductos[SKU],0)),"?"))</f>
        <v/>
      </c>
      <c r="I3950" s="39"/>
      <c r="J3950" s="47" t="str">
        <f>IF(tblMovimientos[[#This Row],[Tipo]]="","",IFERROR(INDEX(tblTiposMov[FactorStock],MATCH(tblMovimientos[[#This Row],[Tipo]],tblTiposMov[Tipo],0)),0))</f>
        <v/>
      </c>
      <c r="K39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0" s="37"/>
      <c r="O3950" s="37"/>
      <c r="P3950" s="37"/>
    </row>
    <row r="3951" spans="2:16" x14ac:dyDescent="0.25">
      <c r="B39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1" s="46"/>
      <c r="D3951" s="37"/>
      <c r="E3951" s="37"/>
      <c r="F3951" s="37"/>
      <c r="G3951" s="40" t="str">
        <f>IF(tblMovimientos[[#This Row],[Producto]]="","",TRIM(LEFT(tblMovimientos[[#This Row],[Producto]],FIND(" · ",tblMovimientos[[#This Row],[Producto]]&amp;" · ")-1)))</f>
        <v/>
      </c>
      <c r="H3951" s="40" t="str">
        <f>IF(tblMovimientos[[#This Row],[SKU]]="","",IFERROR(INDEX(tblProductos[Unidad],MATCH(tblMovimientos[[#This Row],[SKU]],tblProductos[SKU],0)),"?"))</f>
        <v/>
      </c>
      <c r="I3951" s="39"/>
      <c r="J3951" s="47" t="str">
        <f>IF(tblMovimientos[[#This Row],[Tipo]]="","",IFERROR(INDEX(tblTiposMov[FactorStock],MATCH(tblMovimientos[[#This Row],[Tipo]],tblTiposMov[Tipo],0)),0))</f>
        <v/>
      </c>
      <c r="K39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1" s="37"/>
      <c r="O3951" s="37"/>
      <c r="P3951" s="37"/>
    </row>
    <row r="3952" spans="2:16" x14ac:dyDescent="0.25">
      <c r="B39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2" s="46"/>
      <c r="D3952" s="37"/>
      <c r="E3952" s="37"/>
      <c r="F3952" s="37"/>
      <c r="G3952" s="40" t="str">
        <f>IF(tblMovimientos[[#This Row],[Producto]]="","",TRIM(LEFT(tblMovimientos[[#This Row],[Producto]],FIND(" · ",tblMovimientos[[#This Row],[Producto]]&amp;" · ")-1)))</f>
        <v/>
      </c>
      <c r="H3952" s="40" t="str">
        <f>IF(tblMovimientos[[#This Row],[SKU]]="","",IFERROR(INDEX(tblProductos[Unidad],MATCH(tblMovimientos[[#This Row],[SKU]],tblProductos[SKU],0)),"?"))</f>
        <v/>
      </c>
      <c r="I3952" s="39"/>
      <c r="J3952" s="47" t="str">
        <f>IF(tblMovimientos[[#This Row],[Tipo]]="","",IFERROR(INDEX(tblTiposMov[FactorStock],MATCH(tblMovimientos[[#This Row],[Tipo]],tblTiposMov[Tipo],0)),0))</f>
        <v/>
      </c>
      <c r="K39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2" s="37"/>
      <c r="O3952" s="37"/>
      <c r="P3952" s="37"/>
    </row>
    <row r="3953" spans="2:16" x14ac:dyDescent="0.25">
      <c r="B39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3" s="46"/>
      <c r="D3953" s="37"/>
      <c r="E3953" s="37"/>
      <c r="F3953" s="37"/>
      <c r="G3953" s="40" t="str">
        <f>IF(tblMovimientos[[#This Row],[Producto]]="","",TRIM(LEFT(tblMovimientos[[#This Row],[Producto]],FIND(" · ",tblMovimientos[[#This Row],[Producto]]&amp;" · ")-1)))</f>
        <v/>
      </c>
      <c r="H3953" s="40" t="str">
        <f>IF(tblMovimientos[[#This Row],[SKU]]="","",IFERROR(INDEX(tblProductos[Unidad],MATCH(tblMovimientos[[#This Row],[SKU]],tblProductos[SKU],0)),"?"))</f>
        <v/>
      </c>
      <c r="I3953" s="39"/>
      <c r="J3953" s="47" t="str">
        <f>IF(tblMovimientos[[#This Row],[Tipo]]="","",IFERROR(INDEX(tblTiposMov[FactorStock],MATCH(tblMovimientos[[#This Row],[Tipo]],tblTiposMov[Tipo],0)),0))</f>
        <v/>
      </c>
      <c r="K39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3" s="37"/>
      <c r="O3953" s="37"/>
      <c r="P3953" s="37"/>
    </row>
    <row r="3954" spans="2:16" x14ac:dyDescent="0.25">
      <c r="B39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4" s="46"/>
      <c r="D3954" s="37"/>
      <c r="E3954" s="37"/>
      <c r="F3954" s="37"/>
      <c r="G3954" s="40" t="str">
        <f>IF(tblMovimientos[[#This Row],[Producto]]="","",TRIM(LEFT(tblMovimientos[[#This Row],[Producto]],FIND(" · ",tblMovimientos[[#This Row],[Producto]]&amp;" · ")-1)))</f>
        <v/>
      </c>
      <c r="H3954" s="40" t="str">
        <f>IF(tblMovimientos[[#This Row],[SKU]]="","",IFERROR(INDEX(tblProductos[Unidad],MATCH(tblMovimientos[[#This Row],[SKU]],tblProductos[SKU],0)),"?"))</f>
        <v/>
      </c>
      <c r="I3954" s="39"/>
      <c r="J3954" s="47" t="str">
        <f>IF(tblMovimientos[[#This Row],[Tipo]]="","",IFERROR(INDEX(tblTiposMov[FactorStock],MATCH(tblMovimientos[[#This Row],[Tipo]],tblTiposMov[Tipo],0)),0))</f>
        <v/>
      </c>
      <c r="K39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4" s="37"/>
      <c r="O3954" s="37"/>
      <c r="P3954" s="37"/>
    </row>
    <row r="3955" spans="2:16" x14ac:dyDescent="0.25">
      <c r="B39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5" s="46"/>
      <c r="D3955" s="37"/>
      <c r="E3955" s="37"/>
      <c r="F3955" s="37"/>
      <c r="G3955" s="40" t="str">
        <f>IF(tblMovimientos[[#This Row],[Producto]]="","",TRIM(LEFT(tblMovimientos[[#This Row],[Producto]],FIND(" · ",tblMovimientos[[#This Row],[Producto]]&amp;" · ")-1)))</f>
        <v/>
      </c>
      <c r="H3955" s="40" t="str">
        <f>IF(tblMovimientos[[#This Row],[SKU]]="","",IFERROR(INDEX(tblProductos[Unidad],MATCH(tblMovimientos[[#This Row],[SKU]],tblProductos[SKU],0)),"?"))</f>
        <v/>
      </c>
      <c r="I3955" s="39"/>
      <c r="J3955" s="47" t="str">
        <f>IF(tblMovimientos[[#This Row],[Tipo]]="","",IFERROR(INDEX(tblTiposMov[FactorStock],MATCH(tblMovimientos[[#This Row],[Tipo]],tblTiposMov[Tipo],0)),0))</f>
        <v/>
      </c>
      <c r="K39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5" s="37"/>
      <c r="O3955" s="37"/>
      <c r="P3955" s="37"/>
    </row>
    <row r="3956" spans="2:16" x14ac:dyDescent="0.25">
      <c r="B39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6" s="46"/>
      <c r="D3956" s="37"/>
      <c r="E3956" s="37"/>
      <c r="F3956" s="37"/>
      <c r="G3956" s="40" t="str">
        <f>IF(tblMovimientos[[#This Row],[Producto]]="","",TRIM(LEFT(tblMovimientos[[#This Row],[Producto]],FIND(" · ",tblMovimientos[[#This Row],[Producto]]&amp;" · ")-1)))</f>
        <v/>
      </c>
      <c r="H3956" s="40" t="str">
        <f>IF(tblMovimientos[[#This Row],[SKU]]="","",IFERROR(INDEX(tblProductos[Unidad],MATCH(tblMovimientos[[#This Row],[SKU]],tblProductos[SKU],0)),"?"))</f>
        <v/>
      </c>
      <c r="I3956" s="39"/>
      <c r="J3956" s="47" t="str">
        <f>IF(tblMovimientos[[#This Row],[Tipo]]="","",IFERROR(INDEX(tblTiposMov[FactorStock],MATCH(tblMovimientos[[#This Row],[Tipo]],tblTiposMov[Tipo],0)),0))</f>
        <v/>
      </c>
      <c r="K39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6" s="37"/>
      <c r="O3956" s="37"/>
      <c r="P3956" s="37"/>
    </row>
    <row r="3957" spans="2:16" x14ac:dyDescent="0.25">
      <c r="B39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7" s="46"/>
      <c r="D3957" s="37"/>
      <c r="E3957" s="37"/>
      <c r="F3957" s="37"/>
      <c r="G3957" s="40" t="str">
        <f>IF(tblMovimientos[[#This Row],[Producto]]="","",TRIM(LEFT(tblMovimientos[[#This Row],[Producto]],FIND(" · ",tblMovimientos[[#This Row],[Producto]]&amp;" · ")-1)))</f>
        <v/>
      </c>
      <c r="H3957" s="40" t="str">
        <f>IF(tblMovimientos[[#This Row],[SKU]]="","",IFERROR(INDEX(tblProductos[Unidad],MATCH(tblMovimientos[[#This Row],[SKU]],tblProductos[SKU],0)),"?"))</f>
        <v/>
      </c>
      <c r="I3957" s="39"/>
      <c r="J3957" s="47" t="str">
        <f>IF(tblMovimientos[[#This Row],[Tipo]]="","",IFERROR(INDEX(tblTiposMov[FactorStock],MATCH(tblMovimientos[[#This Row],[Tipo]],tblTiposMov[Tipo],0)),0))</f>
        <v/>
      </c>
      <c r="K39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7" s="37"/>
      <c r="O3957" s="37"/>
      <c r="P3957" s="37"/>
    </row>
    <row r="3958" spans="2:16" x14ac:dyDescent="0.25">
      <c r="B39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8" s="46"/>
      <c r="D3958" s="37"/>
      <c r="E3958" s="37"/>
      <c r="F3958" s="37"/>
      <c r="G3958" s="40" t="str">
        <f>IF(tblMovimientos[[#This Row],[Producto]]="","",TRIM(LEFT(tblMovimientos[[#This Row],[Producto]],FIND(" · ",tblMovimientos[[#This Row],[Producto]]&amp;" · ")-1)))</f>
        <v/>
      </c>
      <c r="H3958" s="40" t="str">
        <f>IF(tblMovimientos[[#This Row],[SKU]]="","",IFERROR(INDEX(tblProductos[Unidad],MATCH(tblMovimientos[[#This Row],[SKU]],tblProductos[SKU],0)),"?"))</f>
        <v/>
      </c>
      <c r="I3958" s="39"/>
      <c r="J3958" s="47" t="str">
        <f>IF(tblMovimientos[[#This Row],[Tipo]]="","",IFERROR(INDEX(tblTiposMov[FactorStock],MATCH(tblMovimientos[[#This Row],[Tipo]],tblTiposMov[Tipo],0)),0))</f>
        <v/>
      </c>
      <c r="K39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8" s="37"/>
      <c r="O3958" s="37"/>
      <c r="P3958" s="37"/>
    </row>
    <row r="3959" spans="2:16" x14ac:dyDescent="0.25">
      <c r="B39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59" s="46"/>
      <c r="D3959" s="37"/>
      <c r="E3959" s="37"/>
      <c r="F3959" s="37"/>
      <c r="G3959" s="40" t="str">
        <f>IF(tblMovimientos[[#This Row],[Producto]]="","",TRIM(LEFT(tblMovimientos[[#This Row],[Producto]],FIND(" · ",tblMovimientos[[#This Row],[Producto]]&amp;" · ")-1)))</f>
        <v/>
      </c>
      <c r="H3959" s="40" t="str">
        <f>IF(tblMovimientos[[#This Row],[SKU]]="","",IFERROR(INDEX(tblProductos[Unidad],MATCH(tblMovimientos[[#This Row],[SKU]],tblProductos[SKU],0)),"?"))</f>
        <v/>
      </c>
      <c r="I3959" s="39"/>
      <c r="J3959" s="47" t="str">
        <f>IF(tblMovimientos[[#This Row],[Tipo]]="","",IFERROR(INDEX(tblTiposMov[FactorStock],MATCH(tblMovimientos[[#This Row],[Tipo]],tblTiposMov[Tipo],0)),0))</f>
        <v/>
      </c>
      <c r="K39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59" s="37"/>
      <c r="O3959" s="37"/>
      <c r="P3959" s="37"/>
    </row>
    <row r="3960" spans="2:16" x14ac:dyDescent="0.25">
      <c r="B39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0" s="46"/>
      <c r="D3960" s="37"/>
      <c r="E3960" s="37"/>
      <c r="F3960" s="37"/>
      <c r="G3960" s="40" t="str">
        <f>IF(tblMovimientos[[#This Row],[Producto]]="","",TRIM(LEFT(tblMovimientos[[#This Row],[Producto]],FIND(" · ",tblMovimientos[[#This Row],[Producto]]&amp;" · ")-1)))</f>
        <v/>
      </c>
      <c r="H3960" s="40" t="str">
        <f>IF(tblMovimientos[[#This Row],[SKU]]="","",IFERROR(INDEX(tblProductos[Unidad],MATCH(tblMovimientos[[#This Row],[SKU]],tblProductos[SKU],0)),"?"))</f>
        <v/>
      </c>
      <c r="I3960" s="39"/>
      <c r="J3960" s="47" t="str">
        <f>IF(tblMovimientos[[#This Row],[Tipo]]="","",IFERROR(INDEX(tblTiposMov[FactorStock],MATCH(tblMovimientos[[#This Row],[Tipo]],tblTiposMov[Tipo],0)),0))</f>
        <v/>
      </c>
      <c r="K39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0" s="37"/>
      <c r="O3960" s="37"/>
      <c r="P3960" s="37"/>
    </row>
    <row r="3961" spans="2:16" x14ac:dyDescent="0.25">
      <c r="B39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1" s="46"/>
      <c r="D3961" s="37"/>
      <c r="E3961" s="37"/>
      <c r="F3961" s="37"/>
      <c r="G3961" s="40" t="str">
        <f>IF(tblMovimientos[[#This Row],[Producto]]="","",TRIM(LEFT(tblMovimientos[[#This Row],[Producto]],FIND(" · ",tblMovimientos[[#This Row],[Producto]]&amp;" · ")-1)))</f>
        <v/>
      </c>
      <c r="H3961" s="40" t="str">
        <f>IF(tblMovimientos[[#This Row],[SKU]]="","",IFERROR(INDEX(tblProductos[Unidad],MATCH(tblMovimientos[[#This Row],[SKU]],tblProductos[SKU],0)),"?"))</f>
        <v/>
      </c>
      <c r="I3961" s="39"/>
      <c r="J3961" s="47" t="str">
        <f>IF(tblMovimientos[[#This Row],[Tipo]]="","",IFERROR(INDEX(tblTiposMov[FactorStock],MATCH(tblMovimientos[[#This Row],[Tipo]],tblTiposMov[Tipo],0)),0))</f>
        <v/>
      </c>
      <c r="K39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1" s="37"/>
      <c r="O3961" s="37"/>
      <c r="P3961" s="37"/>
    </row>
    <row r="3962" spans="2:16" x14ac:dyDescent="0.25">
      <c r="B39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2" s="46"/>
      <c r="D3962" s="37"/>
      <c r="E3962" s="37"/>
      <c r="F3962" s="37"/>
      <c r="G3962" s="40" t="str">
        <f>IF(tblMovimientos[[#This Row],[Producto]]="","",TRIM(LEFT(tblMovimientos[[#This Row],[Producto]],FIND(" · ",tblMovimientos[[#This Row],[Producto]]&amp;" · ")-1)))</f>
        <v/>
      </c>
      <c r="H3962" s="40" t="str">
        <f>IF(tblMovimientos[[#This Row],[SKU]]="","",IFERROR(INDEX(tblProductos[Unidad],MATCH(tblMovimientos[[#This Row],[SKU]],tblProductos[SKU],0)),"?"))</f>
        <v/>
      </c>
      <c r="I3962" s="39"/>
      <c r="J3962" s="47" t="str">
        <f>IF(tblMovimientos[[#This Row],[Tipo]]="","",IFERROR(INDEX(tblTiposMov[FactorStock],MATCH(tblMovimientos[[#This Row],[Tipo]],tblTiposMov[Tipo],0)),0))</f>
        <v/>
      </c>
      <c r="K39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2" s="37"/>
      <c r="O3962" s="37"/>
      <c r="P3962" s="37"/>
    </row>
    <row r="3963" spans="2:16" x14ac:dyDescent="0.25">
      <c r="B39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3" s="46"/>
      <c r="D3963" s="37"/>
      <c r="E3963" s="37"/>
      <c r="F3963" s="37"/>
      <c r="G3963" s="40" t="str">
        <f>IF(tblMovimientos[[#This Row],[Producto]]="","",TRIM(LEFT(tblMovimientos[[#This Row],[Producto]],FIND(" · ",tblMovimientos[[#This Row],[Producto]]&amp;" · ")-1)))</f>
        <v/>
      </c>
      <c r="H3963" s="40" t="str">
        <f>IF(tblMovimientos[[#This Row],[SKU]]="","",IFERROR(INDEX(tblProductos[Unidad],MATCH(tblMovimientos[[#This Row],[SKU]],tblProductos[SKU],0)),"?"))</f>
        <v/>
      </c>
      <c r="I3963" s="39"/>
      <c r="J3963" s="47" t="str">
        <f>IF(tblMovimientos[[#This Row],[Tipo]]="","",IFERROR(INDEX(tblTiposMov[FactorStock],MATCH(tblMovimientos[[#This Row],[Tipo]],tblTiposMov[Tipo],0)),0))</f>
        <v/>
      </c>
      <c r="K39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3" s="37"/>
      <c r="O3963" s="37"/>
      <c r="P3963" s="37"/>
    </row>
    <row r="3964" spans="2:16" x14ac:dyDescent="0.25">
      <c r="B39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4" s="46"/>
      <c r="D3964" s="37"/>
      <c r="E3964" s="37"/>
      <c r="F3964" s="37"/>
      <c r="G3964" s="40" t="str">
        <f>IF(tblMovimientos[[#This Row],[Producto]]="","",TRIM(LEFT(tblMovimientos[[#This Row],[Producto]],FIND(" · ",tblMovimientos[[#This Row],[Producto]]&amp;" · ")-1)))</f>
        <v/>
      </c>
      <c r="H3964" s="40" t="str">
        <f>IF(tblMovimientos[[#This Row],[SKU]]="","",IFERROR(INDEX(tblProductos[Unidad],MATCH(tblMovimientos[[#This Row],[SKU]],tblProductos[SKU],0)),"?"))</f>
        <v/>
      </c>
      <c r="I3964" s="39"/>
      <c r="J3964" s="47" t="str">
        <f>IF(tblMovimientos[[#This Row],[Tipo]]="","",IFERROR(INDEX(tblTiposMov[FactorStock],MATCH(tblMovimientos[[#This Row],[Tipo]],tblTiposMov[Tipo],0)),0))</f>
        <v/>
      </c>
      <c r="K39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4" s="37"/>
      <c r="O3964" s="37"/>
      <c r="P3964" s="37"/>
    </row>
    <row r="3965" spans="2:16" x14ac:dyDescent="0.25">
      <c r="B39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5" s="46"/>
      <c r="D3965" s="37"/>
      <c r="E3965" s="37"/>
      <c r="F3965" s="37"/>
      <c r="G3965" s="40" t="str">
        <f>IF(tblMovimientos[[#This Row],[Producto]]="","",TRIM(LEFT(tblMovimientos[[#This Row],[Producto]],FIND(" · ",tblMovimientos[[#This Row],[Producto]]&amp;" · ")-1)))</f>
        <v/>
      </c>
      <c r="H3965" s="40" t="str">
        <f>IF(tblMovimientos[[#This Row],[SKU]]="","",IFERROR(INDEX(tblProductos[Unidad],MATCH(tblMovimientos[[#This Row],[SKU]],tblProductos[SKU],0)),"?"))</f>
        <v/>
      </c>
      <c r="I3965" s="39"/>
      <c r="J3965" s="47" t="str">
        <f>IF(tblMovimientos[[#This Row],[Tipo]]="","",IFERROR(INDEX(tblTiposMov[FactorStock],MATCH(tblMovimientos[[#This Row],[Tipo]],tblTiposMov[Tipo],0)),0))</f>
        <v/>
      </c>
      <c r="K39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5" s="37"/>
      <c r="O3965" s="37"/>
      <c r="P3965" s="37"/>
    </row>
    <row r="3966" spans="2:16" x14ac:dyDescent="0.25">
      <c r="B39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6" s="46"/>
      <c r="D3966" s="37"/>
      <c r="E3966" s="37"/>
      <c r="F3966" s="37"/>
      <c r="G3966" s="40" t="str">
        <f>IF(tblMovimientos[[#This Row],[Producto]]="","",TRIM(LEFT(tblMovimientos[[#This Row],[Producto]],FIND(" · ",tblMovimientos[[#This Row],[Producto]]&amp;" · ")-1)))</f>
        <v/>
      </c>
      <c r="H3966" s="40" t="str">
        <f>IF(tblMovimientos[[#This Row],[SKU]]="","",IFERROR(INDEX(tblProductos[Unidad],MATCH(tblMovimientos[[#This Row],[SKU]],tblProductos[SKU],0)),"?"))</f>
        <v/>
      </c>
      <c r="I3966" s="39"/>
      <c r="J3966" s="47" t="str">
        <f>IF(tblMovimientos[[#This Row],[Tipo]]="","",IFERROR(INDEX(tblTiposMov[FactorStock],MATCH(tblMovimientos[[#This Row],[Tipo]],tblTiposMov[Tipo],0)),0))</f>
        <v/>
      </c>
      <c r="K39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6" s="37"/>
      <c r="O3966" s="37"/>
      <c r="P3966" s="37"/>
    </row>
    <row r="3967" spans="2:16" x14ac:dyDescent="0.25">
      <c r="B39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7" s="46"/>
      <c r="D3967" s="37"/>
      <c r="E3967" s="37"/>
      <c r="F3967" s="37"/>
      <c r="G3967" s="40" t="str">
        <f>IF(tblMovimientos[[#This Row],[Producto]]="","",TRIM(LEFT(tblMovimientos[[#This Row],[Producto]],FIND(" · ",tblMovimientos[[#This Row],[Producto]]&amp;" · ")-1)))</f>
        <v/>
      </c>
      <c r="H3967" s="40" t="str">
        <f>IF(tblMovimientos[[#This Row],[SKU]]="","",IFERROR(INDEX(tblProductos[Unidad],MATCH(tblMovimientos[[#This Row],[SKU]],tblProductos[SKU],0)),"?"))</f>
        <v/>
      </c>
      <c r="I3967" s="39"/>
      <c r="J3967" s="47" t="str">
        <f>IF(tblMovimientos[[#This Row],[Tipo]]="","",IFERROR(INDEX(tblTiposMov[FactorStock],MATCH(tblMovimientos[[#This Row],[Tipo]],tblTiposMov[Tipo],0)),0))</f>
        <v/>
      </c>
      <c r="K39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7" s="37"/>
      <c r="O3967" s="37"/>
      <c r="P3967" s="37"/>
    </row>
    <row r="3968" spans="2:16" x14ac:dyDescent="0.25">
      <c r="B39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8" s="46"/>
      <c r="D3968" s="37"/>
      <c r="E3968" s="37"/>
      <c r="F3968" s="37"/>
      <c r="G3968" s="40" t="str">
        <f>IF(tblMovimientos[[#This Row],[Producto]]="","",TRIM(LEFT(tblMovimientos[[#This Row],[Producto]],FIND(" · ",tblMovimientos[[#This Row],[Producto]]&amp;" · ")-1)))</f>
        <v/>
      </c>
      <c r="H3968" s="40" t="str">
        <f>IF(tblMovimientos[[#This Row],[SKU]]="","",IFERROR(INDEX(tblProductos[Unidad],MATCH(tblMovimientos[[#This Row],[SKU]],tblProductos[SKU],0)),"?"))</f>
        <v/>
      </c>
      <c r="I3968" s="39"/>
      <c r="J3968" s="47" t="str">
        <f>IF(tblMovimientos[[#This Row],[Tipo]]="","",IFERROR(INDEX(tblTiposMov[FactorStock],MATCH(tblMovimientos[[#This Row],[Tipo]],tblTiposMov[Tipo],0)),0))</f>
        <v/>
      </c>
      <c r="K39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8" s="37"/>
      <c r="O3968" s="37"/>
      <c r="P3968" s="37"/>
    </row>
    <row r="3969" spans="2:16" x14ac:dyDescent="0.25">
      <c r="B39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69" s="46"/>
      <c r="D3969" s="37"/>
      <c r="E3969" s="37"/>
      <c r="F3969" s="37"/>
      <c r="G3969" s="40" t="str">
        <f>IF(tblMovimientos[[#This Row],[Producto]]="","",TRIM(LEFT(tblMovimientos[[#This Row],[Producto]],FIND(" · ",tblMovimientos[[#This Row],[Producto]]&amp;" · ")-1)))</f>
        <v/>
      </c>
      <c r="H3969" s="40" t="str">
        <f>IF(tblMovimientos[[#This Row],[SKU]]="","",IFERROR(INDEX(tblProductos[Unidad],MATCH(tblMovimientos[[#This Row],[SKU]],tblProductos[SKU],0)),"?"))</f>
        <v/>
      </c>
      <c r="I3969" s="39"/>
      <c r="J3969" s="47" t="str">
        <f>IF(tblMovimientos[[#This Row],[Tipo]]="","",IFERROR(INDEX(tblTiposMov[FactorStock],MATCH(tblMovimientos[[#This Row],[Tipo]],tblTiposMov[Tipo],0)),0))</f>
        <v/>
      </c>
      <c r="K39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69" s="37"/>
      <c r="O3969" s="37"/>
      <c r="P3969" s="37"/>
    </row>
    <row r="3970" spans="2:16" x14ac:dyDescent="0.25">
      <c r="B39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0" s="46"/>
      <c r="D3970" s="37"/>
      <c r="E3970" s="37"/>
      <c r="F3970" s="37"/>
      <c r="G3970" s="40" t="str">
        <f>IF(tblMovimientos[[#This Row],[Producto]]="","",TRIM(LEFT(tblMovimientos[[#This Row],[Producto]],FIND(" · ",tblMovimientos[[#This Row],[Producto]]&amp;" · ")-1)))</f>
        <v/>
      </c>
      <c r="H3970" s="40" t="str">
        <f>IF(tblMovimientos[[#This Row],[SKU]]="","",IFERROR(INDEX(tblProductos[Unidad],MATCH(tblMovimientos[[#This Row],[SKU]],tblProductos[SKU],0)),"?"))</f>
        <v/>
      </c>
      <c r="I3970" s="39"/>
      <c r="J3970" s="47" t="str">
        <f>IF(tblMovimientos[[#This Row],[Tipo]]="","",IFERROR(INDEX(tblTiposMov[FactorStock],MATCH(tblMovimientos[[#This Row],[Tipo]],tblTiposMov[Tipo],0)),0))</f>
        <v/>
      </c>
      <c r="K39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0" s="37"/>
      <c r="O3970" s="37"/>
      <c r="P3970" s="37"/>
    </row>
    <row r="3971" spans="2:16" x14ac:dyDescent="0.25">
      <c r="B39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1" s="46"/>
      <c r="D3971" s="37"/>
      <c r="E3971" s="37"/>
      <c r="F3971" s="37"/>
      <c r="G3971" s="40" t="str">
        <f>IF(tblMovimientos[[#This Row],[Producto]]="","",TRIM(LEFT(tblMovimientos[[#This Row],[Producto]],FIND(" · ",tblMovimientos[[#This Row],[Producto]]&amp;" · ")-1)))</f>
        <v/>
      </c>
      <c r="H3971" s="40" t="str">
        <f>IF(tblMovimientos[[#This Row],[SKU]]="","",IFERROR(INDEX(tblProductos[Unidad],MATCH(tblMovimientos[[#This Row],[SKU]],tblProductos[SKU],0)),"?"))</f>
        <v/>
      </c>
      <c r="I3971" s="39"/>
      <c r="J3971" s="47" t="str">
        <f>IF(tblMovimientos[[#This Row],[Tipo]]="","",IFERROR(INDEX(tblTiposMov[FactorStock],MATCH(tblMovimientos[[#This Row],[Tipo]],tblTiposMov[Tipo],0)),0))</f>
        <v/>
      </c>
      <c r="K39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1" s="37"/>
      <c r="O3971" s="37"/>
      <c r="P3971" s="37"/>
    </row>
    <row r="3972" spans="2:16" x14ac:dyDescent="0.25">
      <c r="B39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2" s="46"/>
      <c r="D3972" s="37"/>
      <c r="E3972" s="37"/>
      <c r="F3972" s="37"/>
      <c r="G3972" s="40" t="str">
        <f>IF(tblMovimientos[[#This Row],[Producto]]="","",TRIM(LEFT(tblMovimientos[[#This Row],[Producto]],FIND(" · ",tblMovimientos[[#This Row],[Producto]]&amp;" · ")-1)))</f>
        <v/>
      </c>
      <c r="H3972" s="40" t="str">
        <f>IF(tblMovimientos[[#This Row],[SKU]]="","",IFERROR(INDEX(tblProductos[Unidad],MATCH(tblMovimientos[[#This Row],[SKU]],tblProductos[SKU],0)),"?"))</f>
        <v/>
      </c>
      <c r="I3972" s="39"/>
      <c r="J3972" s="47" t="str">
        <f>IF(tblMovimientos[[#This Row],[Tipo]]="","",IFERROR(INDEX(tblTiposMov[FactorStock],MATCH(tblMovimientos[[#This Row],[Tipo]],tblTiposMov[Tipo],0)),0))</f>
        <v/>
      </c>
      <c r="K39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2" s="37"/>
      <c r="O3972" s="37"/>
      <c r="P3972" s="37"/>
    </row>
    <row r="3973" spans="2:16" x14ac:dyDescent="0.25">
      <c r="B39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3" s="46"/>
      <c r="D3973" s="37"/>
      <c r="E3973" s="37"/>
      <c r="F3973" s="37"/>
      <c r="G3973" s="40" t="str">
        <f>IF(tblMovimientos[[#This Row],[Producto]]="","",TRIM(LEFT(tblMovimientos[[#This Row],[Producto]],FIND(" · ",tblMovimientos[[#This Row],[Producto]]&amp;" · ")-1)))</f>
        <v/>
      </c>
      <c r="H3973" s="40" t="str">
        <f>IF(tblMovimientos[[#This Row],[SKU]]="","",IFERROR(INDEX(tblProductos[Unidad],MATCH(tblMovimientos[[#This Row],[SKU]],tblProductos[SKU],0)),"?"))</f>
        <v/>
      </c>
      <c r="I3973" s="39"/>
      <c r="J3973" s="47" t="str">
        <f>IF(tblMovimientos[[#This Row],[Tipo]]="","",IFERROR(INDEX(tblTiposMov[FactorStock],MATCH(tblMovimientos[[#This Row],[Tipo]],tblTiposMov[Tipo],0)),0))</f>
        <v/>
      </c>
      <c r="K39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3" s="37"/>
      <c r="O3973" s="37"/>
      <c r="P3973" s="37"/>
    </row>
    <row r="3974" spans="2:16" x14ac:dyDescent="0.25">
      <c r="B39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4" s="46"/>
      <c r="D3974" s="37"/>
      <c r="E3974" s="37"/>
      <c r="F3974" s="37"/>
      <c r="G3974" s="40" t="str">
        <f>IF(tblMovimientos[[#This Row],[Producto]]="","",TRIM(LEFT(tblMovimientos[[#This Row],[Producto]],FIND(" · ",tblMovimientos[[#This Row],[Producto]]&amp;" · ")-1)))</f>
        <v/>
      </c>
      <c r="H3974" s="40" t="str">
        <f>IF(tblMovimientos[[#This Row],[SKU]]="","",IFERROR(INDEX(tblProductos[Unidad],MATCH(tblMovimientos[[#This Row],[SKU]],tblProductos[SKU],0)),"?"))</f>
        <v/>
      </c>
      <c r="I3974" s="39"/>
      <c r="J3974" s="47" t="str">
        <f>IF(tblMovimientos[[#This Row],[Tipo]]="","",IFERROR(INDEX(tblTiposMov[FactorStock],MATCH(tblMovimientos[[#This Row],[Tipo]],tblTiposMov[Tipo],0)),0))</f>
        <v/>
      </c>
      <c r="K39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4" s="37"/>
      <c r="O3974" s="37"/>
      <c r="P3974" s="37"/>
    </row>
    <row r="3975" spans="2:16" x14ac:dyDescent="0.25">
      <c r="B39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5" s="46"/>
      <c r="D3975" s="37"/>
      <c r="E3975" s="37"/>
      <c r="F3975" s="37"/>
      <c r="G3975" s="40" t="str">
        <f>IF(tblMovimientos[[#This Row],[Producto]]="","",TRIM(LEFT(tblMovimientos[[#This Row],[Producto]],FIND(" · ",tblMovimientos[[#This Row],[Producto]]&amp;" · ")-1)))</f>
        <v/>
      </c>
      <c r="H3975" s="40" t="str">
        <f>IF(tblMovimientos[[#This Row],[SKU]]="","",IFERROR(INDEX(tblProductos[Unidad],MATCH(tblMovimientos[[#This Row],[SKU]],tblProductos[SKU],0)),"?"))</f>
        <v/>
      </c>
      <c r="I3975" s="39"/>
      <c r="J3975" s="47" t="str">
        <f>IF(tblMovimientos[[#This Row],[Tipo]]="","",IFERROR(INDEX(tblTiposMov[FactorStock],MATCH(tblMovimientos[[#This Row],[Tipo]],tblTiposMov[Tipo],0)),0))</f>
        <v/>
      </c>
      <c r="K39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5" s="37"/>
      <c r="O3975" s="37"/>
      <c r="P3975" s="37"/>
    </row>
    <row r="3976" spans="2:16" x14ac:dyDescent="0.25">
      <c r="B39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6" s="46"/>
      <c r="D3976" s="37"/>
      <c r="E3976" s="37"/>
      <c r="F3976" s="37"/>
      <c r="G3976" s="40" t="str">
        <f>IF(tblMovimientos[[#This Row],[Producto]]="","",TRIM(LEFT(tblMovimientos[[#This Row],[Producto]],FIND(" · ",tblMovimientos[[#This Row],[Producto]]&amp;" · ")-1)))</f>
        <v/>
      </c>
      <c r="H3976" s="40" t="str">
        <f>IF(tblMovimientos[[#This Row],[SKU]]="","",IFERROR(INDEX(tblProductos[Unidad],MATCH(tblMovimientos[[#This Row],[SKU]],tblProductos[SKU],0)),"?"))</f>
        <v/>
      </c>
      <c r="I3976" s="39"/>
      <c r="J3976" s="47" t="str">
        <f>IF(tblMovimientos[[#This Row],[Tipo]]="","",IFERROR(INDEX(tblTiposMov[FactorStock],MATCH(tblMovimientos[[#This Row],[Tipo]],tblTiposMov[Tipo],0)),0))</f>
        <v/>
      </c>
      <c r="K39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6" s="37"/>
      <c r="O3976" s="37"/>
      <c r="P3976" s="37"/>
    </row>
    <row r="3977" spans="2:16" x14ac:dyDescent="0.25">
      <c r="B39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7" s="46"/>
      <c r="D3977" s="37"/>
      <c r="E3977" s="37"/>
      <c r="F3977" s="37"/>
      <c r="G3977" s="40" t="str">
        <f>IF(tblMovimientos[[#This Row],[Producto]]="","",TRIM(LEFT(tblMovimientos[[#This Row],[Producto]],FIND(" · ",tblMovimientos[[#This Row],[Producto]]&amp;" · ")-1)))</f>
        <v/>
      </c>
      <c r="H3977" s="40" t="str">
        <f>IF(tblMovimientos[[#This Row],[SKU]]="","",IFERROR(INDEX(tblProductos[Unidad],MATCH(tblMovimientos[[#This Row],[SKU]],tblProductos[SKU],0)),"?"))</f>
        <v/>
      </c>
      <c r="I3977" s="39"/>
      <c r="J3977" s="47" t="str">
        <f>IF(tblMovimientos[[#This Row],[Tipo]]="","",IFERROR(INDEX(tblTiposMov[FactorStock],MATCH(tblMovimientos[[#This Row],[Tipo]],tblTiposMov[Tipo],0)),0))</f>
        <v/>
      </c>
      <c r="K39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7" s="37"/>
      <c r="O3977" s="37"/>
      <c r="P3977" s="37"/>
    </row>
    <row r="3978" spans="2:16" x14ac:dyDescent="0.25">
      <c r="B39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8" s="46"/>
      <c r="D3978" s="37"/>
      <c r="E3978" s="37"/>
      <c r="F3978" s="37"/>
      <c r="G3978" s="40" t="str">
        <f>IF(tblMovimientos[[#This Row],[Producto]]="","",TRIM(LEFT(tblMovimientos[[#This Row],[Producto]],FIND(" · ",tblMovimientos[[#This Row],[Producto]]&amp;" · ")-1)))</f>
        <v/>
      </c>
      <c r="H3978" s="40" t="str">
        <f>IF(tblMovimientos[[#This Row],[SKU]]="","",IFERROR(INDEX(tblProductos[Unidad],MATCH(tblMovimientos[[#This Row],[SKU]],tblProductos[SKU],0)),"?"))</f>
        <v/>
      </c>
      <c r="I3978" s="39"/>
      <c r="J3978" s="47" t="str">
        <f>IF(tblMovimientos[[#This Row],[Tipo]]="","",IFERROR(INDEX(tblTiposMov[FactorStock],MATCH(tblMovimientos[[#This Row],[Tipo]],tblTiposMov[Tipo],0)),0))</f>
        <v/>
      </c>
      <c r="K39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8" s="37"/>
      <c r="O3978" s="37"/>
      <c r="P3978" s="37"/>
    </row>
    <row r="3979" spans="2:16" x14ac:dyDescent="0.25">
      <c r="B39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79" s="46"/>
      <c r="D3979" s="37"/>
      <c r="E3979" s="37"/>
      <c r="F3979" s="37"/>
      <c r="G3979" s="40" t="str">
        <f>IF(tblMovimientos[[#This Row],[Producto]]="","",TRIM(LEFT(tblMovimientos[[#This Row],[Producto]],FIND(" · ",tblMovimientos[[#This Row],[Producto]]&amp;" · ")-1)))</f>
        <v/>
      </c>
      <c r="H3979" s="40" t="str">
        <f>IF(tblMovimientos[[#This Row],[SKU]]="","",IFERROR(INDEX(tblProductos[Unidad],MATCH(tblMovimientos[[#This Row],[SKU]],tblProductos[SKU],0)),"?"))</f>
        <v/>
      </c>
      <c r="I3979" s="39"/>
      <c r="J3979" s="47" t="str">
        <f>IF(tblMovimientos[[#This Row],[Tipo]]="","",IFERROR(INDEX(tblTiposMov[FactorStock],MATCH(tblMovimientos[[#This Row],[Tipo]],tblTiposMov[Tipo],0)),0))</f>
        <v/>
      </c>
      <c r="K39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79" s="37"/>
      <c r="O3979" s="37"/>
      <c r="P3979" s="37"/>
    </row>
    <row r="3980" spans="2:16" x14ac:dyDescent="0.25">
      <c r="B39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0" s="46"/>
      <c r="D3980" s="37"/>
      <c r="E3980" s="37"/>
      <c r="F3980" s="37"/>
      <c r="G3980" s="40" t="str">
        <f>IF(tblMovimientos[[#This Row],[Producto]]="","",TRIM(LEFT(tblMovimientos[[#This Row],[Producto]],FIND(" · ",tblMovimientos[[#This Row],[Producto]]&amp;" · ")-1)))</f>
        <v/>
      </c>
      <c r="H3980" s="40" t="str">
        <f>IF(tblMovimientos[[#This Row],[SKU]]="","",IFERROR(INDEX(tblProductos[Unidad],MATCH(tblMovimientos[[#This Row],[SKU]],tblProductos[SKU],0)),"?"))</f>
        <v/>
      </c>
      <c r="I3980" s="39"/>
      <c r="J3980" s="47" t="str">
        <f>IF(tblMovimientos[[#This Row],[Tipo]]="","",IFERROR(INDEX(tblTiposMov[FactorStock],MATCH(tblMovimientos[[#This Row],[Tipo]],tblTiposMov[Tipo],0)),0))</f>
        <v/>
      </c>
      <c r="K39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0" s="37"/>
      <c r="O3980" s="37"/>
      <c r="P3980" s="37"/>
    </row>
    <row r="3981" spans="2:16" x14ac:dyDescent="0.25">
      <c r="B39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1" s="46"/>
      <c r="D3981" s="37"/>
      <c r="E3981" s="37"/>
      <c r="F3981" s="37"/>
      <c r="G3981" s="40" t="str">
        <f>IF(tblMovimientos[[#This Row],[Producto]]="","",TRIM(LEFT(tblMovimientos[[#This Row],[Producto]],FIND(" · ",tblMovimientos[[#This Row],[Producto]]&amp;" · ")-1)))</f>
        <v/>
      </c>
      <c r="H3981" s="40" t="str">
        <f>IF(tblMovimientos[[#This Row],[SKU]]="","",IFERROR(INDEX(tblProductos[Unidad],MATCH(tblMovimientos[[#This Row],[SKU]],tblProductos[SKU],0)),"?"))</f>
        <v/>
      </c>
      <c r="I3981" s="39"/>
      <c r="J3981" s="47" t="str">
        <f>IF(tblMovimientos[[#This Row],[Tipo]]="","",IFERROR(INDEX(tblTiposMov[FactorStock],MATCH(tblMovimientos[[#This Row],[Tipo]],tblTiposMov[Tipo],0)),0))</f>
        <v/>
      </c>
      <c r="K39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1" s="37"/>
      <c r="O3981" s="37"/>
      <c r="P3981" s="37"/>
    </row>
    <row r="3982" spans="2:16" x14ac:dyDescent="0.25">
      <c r="B39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2" s="46"/>
      <c r="D3982" s="37"/>
      <c r="E3982" s="37"/>
      <c r="F3982" s="37"/>
      <c r="G3982" s="40" t="str">
        <f>IF(tblMovimientos[[#This Row],[Producto]]="","",TRIM(LEFT(tblMovimientos[[#This Row],[Producto]],FIND(" · ",tblMovimientos[[#This Row],[Producto]]&amp;" · ")-1)))</f>
        <v/>
      </c>
      <c r="H3982" s="40" t="str">
        <f>IF(tblMovimientos[[#This Row],[SKU]]="","",IFERROR(INDEX(tblProductos[Unidad],MATCH(tblMovimientos[[#This Row],[SKU]],tblProductos[SKU],0)),"?"))</f>
        <v/>
      </c>
      <c r="I3982" s="39"/>
      <c r="J3982" s="47" t="str">
        <f>IF(tblMovimientos[[#This Row],[Tipo]]="","",IFERROR(INDEX(tblTiposMov[FactorStock],MATCH(tblMovimientos[[#This Row],[Tipo]],tblTiposMov[Tipo],0)),0))</f>
        <v/>
      </c>
      <c r="K39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2" s="37"/>
      <c r="O3982" s="37"/>
      <c r="P3982" s="37"/>
    </row>
    <row r="3983" spans="2:16" x14ac:dyDescent="0.25">
      <c r="B39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3" s="46"/>
      <c r="D3983" s="37"/>
      <c r="E3983" s="37"/>
      <c r="F3983" s="37"/>
      <c r="G3983" s="40" t="str">
        <f>IF(tblMovimientos[[#This Row],[Producto]]="","",TRIM(LEFT(tblMovimientos[[#This Row],[Producto]],FIND(" · ",tblMovimientos[[#This Row],[Producto]]&amp;" · ")-1)))</f>
        <v/>
      </c>
      <c r="H3983" s="40" t="str">
        <f>IF(tblMovimientos[[#This Row],[SKU]]="","",IFERROR(INDEX(tblProductos[Unidad],MATCH(tblMovimientos[[#This Row],[SKU]],tblProductos[SKU],0)),"?"))</f>
        <v/>
      </c>
      <c r="I3983" s="39"/>
      <c r="J3983" s="47" t="str">
        <f>IF(tblMovimientos[[#This Row],[Tipo]]="","",IFERROR(INDEX(tblTiposMov[FactorStock],MATCH(tblMovimientos[[#This Row],[Tipo]],tblTiposMov[Tipo],0)),0))</f>
        <v/>
      </c>
      <c r="K39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3" s="37"/>
      <c r="O3983" s="37"/>
      <c r="P3983" s="37"/>
    </row>
    <row r="3984" spans="2:16" x14ac:dyDescent="0.25">
      <c r="B39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4" s="46"/>
      <c r="D3984" s="37"/>
      <c r="E3984" s="37"/>
      <c r="F3984" s="37"/>
      <c r="G3984" s="40" t="str">
        <f>IF(tblMovimientos[[#This Row],[Producto]]="","",TRIM(LEFT(tblMovimientos[[#This Row],[Producto]],FIND(" · ",tblMovimientos[[#This Row],[Producto]]&amp;" · ")-1)))</f>
        <v/>
      </c>
      <c r="H3984" s="40" t="str">
        <f>IF(tblMovimientos[[#This Row],[SKU]]="","",IFERROR(INDEX(tblProductos[Unidad],MATCH(tblMovimientos[[#This Row],[SKU]],tblProductos[SKU],0)),"?"))</f>
        <v/>
      </c>
      <c r="I3984" s="39"/>
      <c r="J3984" s="47" t="str">
        <f>IF(tblMovimientos[[#This Row],[Tipo]]="","",IFERROR(INDEX(tblTiposMov[FactorStock],MATCH(tblMovimientos[[#This Row],[Tipo]],tblTiposMov[Tipo],0)),0))</f>
        <v/>
      </c>
      <c r="K39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4" s="37"/>
      <c r="O3984" s="37"/>
      <c r="P3984" s="37"/>
    </row>
    <row r="3985" spans="2:16" x14ac:dyDescent="0.25">
      <c r="B39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5" s="46"/>
      <c r="D3985" s="37"/>
      <c r="E3985" s="37"/>
      <c r="F3985" s="37"/>
      <c r="G3985" s="40" t="str">
        <f>IF(tblMovimientos[[#This Row],[Producto]]="","",TRIM(LEFT(tblMovimientos[[#This Row],[Producto]],FIND(" · ",tblMovimientos[[#This Row],[Producto]]&amp;" · ")-1)))</f>
        <v/>
      </c>
      <c r="H3985" s="40" t="str">
        <f>IF(tblMovimientos[[#This Row],[SKU]]="","",IFERROR(INDEX(tblProductos[Unidad],MATCH(tblMovimientos[[#This Row],[SKU]],tblProductos[SKU],0)),"?"))</f>
        <v/>
      </c>
      <c r="I3985" s="39"/>
      <c r="J3985" s="47" t="str">
        <f>IF(tblMovimientos[[#This Row],[Tipo]]="","",IFERROR(INDEX(tblTiposMov[FactorStock],MATCH(tblMovimientos[[#This Row],[Tipo]],tblTiposMov[Tipo],0)),0))</f>
        <v/>
      </c>
      <c r="K39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5" s="37"/>
      <c r="O3985" s="37"/>
      <c r="P3985" s="37"/>
    </row>
    <row r="3986" spans="2:16" x14ac:dyDescent="0.25">
      <c r="B39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6" s="46"/>
      <c r="D3986" s="37"/>
      <c r="E3986" s="37"/>
      <c r="F3986" s="37"/>
      <c r="G3986" s="40" t="str">
        <f>IF(tblMovimientos[[#This Row],[Producto]]="","",TRIM(LEFT(tblMovimientos[[#This Row],[Producto]],FIND(" · ",tblMovimientos[[#This Row],[Producto]]&amp;" · ")-1)))</f>
        <v/>
      </c>
      <c r="H3986" s="40" t="str">
        <f>IF(tblMovimientos[[#This Row],[SKU]]="","",IFERROR(INDEX(tblProductos[Unidad],MATCH(tblMovimientos[[#This Row],[SKU]],tblProductos[SKU],0)),"?"))</f>
        <v/>
      </c>
      <c r="I3986" s="39"/>
      <c r="J3986" s="47" t="str">
        <f>IF(tblMovimientos[[#This Row],[Tipo]]="","",IFERROR(INDEX(tblTiposMov[FactorStock],MATCH(tblMovimientos[[#This Row],[Tipo]],tblTiposMov[Tipo],0)),0))</f>
        <v/>
      </c>
      <c r="K39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6" s="37"/>
      <c r="O3986" s="37"/>
      <c r="P3986" s="37"/>
    </row>
    <row r="3987" spans="2:16" x14ac:dyDescent="0.25">
      <c r="B39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7" s="46"/>
      <c r="D3987" s="37"/>
      <c r="E3987" s="37"/>
      <c r="F3987" s="37"/>
      <c r="G3987" s="40" t="str">
        <f>IF(tblMovimientos[[#This Row],[Producto]]="","",TRIM(LEFT(tblMovimientos[[#This Row],[Producto]],FIND(" · ",tblMovimientos[[#This Row],[Producto]]&amp;" · ")-1)))</f>
        <v/>
      </c>
      <c r="H3987" s="40" t="str">
        <f>IF(tblMovimientos[[#This Row],[SKU]]="","",IFERROR(INDEX(tblProductos[Unidad],MATCH(tblMovimientos[[#This Row],[SKU]],tblProductos[SKU],0)),"?"))</f>
        <v/>
      </c>
      <c r="I3987" s="39"/>
      <c r="J3987" s="47" t="str">
        <f>IF(tblMovimientos[[#This Row],[Tipo]]="","",IFERROR(INDEX(tblTiposMov[FactorStock],MATCH(tblMovimientos[[#This Row],[Tipo]],tblTiposMov[Tipo],0)),0))</f>
        <v/>
      </c>
      <c r="K39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7" s="37"/>
      <c r="O3987" s="37"/>
      <c r="P3987" s="37"/>
    </row>
    <row r="3988" spans="2:16" x14ac:dyDescent="0.25">
      <c r="B39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8" s="46"/>
      <c r="D3988" s="37"/>
      <c r="E3988" s="37"/>
      <c r="F3988" s="37"/>
      <c r="G3988" s="40" t="str">
        <f>IF(tblMovimientos[[#This Row],[Producto]]="","",TRIM(LEFT(tblMovimientos[[#This Row],[Producto]],FIND(" · ",tblMovimientos[[#This Row],[Producto]]&amp;" · ")-1)))</f>
        <v/>
      </c>
      <c r="H3988" s="40" t="str">
        <f>IF(tblMovimientos[[#This Row],[SKU]]="","",IFERROR(INDEX(tblProductos[Unidad],MATCH(tblMovimientos[[#This Row],[SKU]],tblProductos[SKU],0)),"?"))</f>
        <v/>
      </c>
      <c r="I3988" s="39"/>
      <c r="J3988" s="47" t="str">
        <f>IF(tblMovimientos[[#This Row],[Tipo]]="","",IFERROR(INDEX(tblTiposMov[FactorStock],MATCH(tblMovimientos[[#This Row],[Tipo]],tblTiposMov[Tipo],0)),0))</f>
        <v/>
      </c>
      <c r="K39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8" s="37"/>
      <c r="O3988" s="37"/>
      <c r="P3988" s="37"/>
    </row>
    <row r="3989" spans="2:16" x14ac:dyDescent="0.25">
      <c r="B39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89" s="46"/>
      <c r="D3989" s="37"/>
      <c r="E3989" s="37"/>
      <c r="F3989" s="37"/>
      <c r="G3989" s="40" t="str">
        <f>IF(tblMovimientos[[#This Row],[Producto]]="","",TRIM(LEFT(tblMovimientos[[#This Row],[Producto]],FIND(" · ",tblMovimientos[[#This Row],[Producto]]&amp;" · ")-1)))</f>
        <v/>
      </c>
      <c r="H3989" s="40" t="str">
        <f>IF(tblMovimientos[[#This Row],[SKU]]="","",IFERROR(INDEX(tblProductos[Unidad],MATCH(tblMovimientos[[#This Row],[SKU]],tblProductos[SKU],0)),"?"))</f>
        <v/>
      </c>
      <c r="I3989" s="39"/>
      <c r="J3989" s="47" t="str">
        <f>IF(tblMovimientos[[#This Row],[Tipo]]="","",IFERROR(INDEX(tblTiposMov[FactorStock],MATCH(tblMovimientos[[#This Row],[Tipo]],tblTiposMov[Tipo],0)),0))</f>
        <v/>
      </c>
      <c r="K39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89" s="37"/>
      <c r="O3989" s="37"/>
      <c r="P3989" s="37"/>
    </row>
    <row r="3990" spans="2:16" x14ac:dyDescent="0.25">
      <c r="B39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0" s="46"/>
      <c r="D3990" s="37"/>
      <c r="E3990" s="37"/>
      <c r="F3990" s="37"/>
      <c r="G3990" s="40" t="str">
        <f>IF(tblMovimientos[[#This Row],[Producto]]="","",TRIM(LEFT(tblMovimientos[[#This Row],[Producto]],FIND(" · ",tblMovimientos[[#This Row],[Producto]]&amp;" · ")-1)))</f>
        <v/>
      </c>
      <c r="H3990" s="40" t="str">
        <f>IF(tblMovimientos[[#This Row],[SKU]]="","",IFERROR(INDEX(tblProductos[Unidad],MATCH(tblMovimientos[[#This Row],[SKU]],tblProductos[SKU],0)),"?"))</f>
        <v/>
      </c>
      <c r="I3990" s="39"/>
      <c r="J3990" s="47" t="str">
        <f>IF(tblMovimientos[[#This Row],[Tipo]]="","",IFERROR(INDEX(tblTiposMov[FactorStock],MATCH(tblMovimientos[[#This Row],[Tipo]],tblTiposMov[Tipo],0)),0))</f>
        <v/>
      </c>
      <c r="K39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0" s="37"/>
      <c r="O3990" s="37"/>
      <c r="P3990" s="37"/>
    </row>
    <row r="3991" spans="2:16" x14ac:dyDescent="0.25">
      <c r="B39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1" s="46"/>
      <c r="D3991" s="37"/>
      <c r="E3991" s="37"/>
      <c r="F3991" s="37"/>
      <c r="G3991" s="40" t="str">
        <f>IF(tblMovimientos[[#This Row],[Producto]]="","",TRIM(LEFT(tblMovimientos[[#This Row],[Producto]],FIND(" · ",tblMovimientos[[#This Row],[Producto]]&amp;" · ")-1)))</f>
        <v/>
      </c>
      <c r="H3991" s="40" t="str">
        <f>IF(tblMovimientos[[#This Row],[SKU]]="","",IFERROR(INDEX(tblProductos[Unidad],MATCH(tblMovimientos[[#This Row],[SKU]],tblProductos[SKU],0)),"?"))</f>
        <v/>
      </c>
      <c r="I3991" s="39"/>
      <c r="J3991" s="47" t="str">
        <f>IF(tblMovimientos[[#This Row],[Tipo]]="","",IFERROR(INDEX(tblTiposMov[FactorStock],MATCH(tblMovimientos[[#This Row],[Tipo]],tblTiposMov[Tipo],0)),0))</f>
        <v/>
      </c>
      <c r="K39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1" s="37"/>
      <c r="O3991" s="37"/>
      <c r="P3991" s="37"/>
    </row>
    <row r="3992" spans="2:16" x14ac:dyDescent="0.25">
      <c r="B39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2" s="46"/>
      <c r="D3992" s="37"/>
      <c r="E3992" s="37"/>
      <c r="F3992" s="37"/>
      <c r="G3992" s="40" t="str">
        <f>IF(tblMovimientos[[#This Row],[Producto]]="","",TRIM(LEFT(tblMovimientos[[#This Row],[Producto]],FIND(" · ",tblMovimientos[[#This Row],[Producto]]&amp;" · ")-1)))</f>
        <v/>
      </c>
      <c r="H3992" s="40" t="str">
        <f>IF(tblMovimientos[[#This Row],[SKU]]="","",IFERROR(INDEX(tblProductos[Unidad],MATCH(tblMovimientos[[#This Row],[SKU]],tblProductos[SKU],0)),"?"))</f>
        <v/>
      </c>
      <c r="I3992" s="39"/>
      <c r="J3992" s="47" t="str">
        <f>IF(tblMovimientos[[#This Row],[Tipo]]="","",IFERROR(INDEX(tblTiposMov[FactorStock],MATCH(tblMovimientos[[#This Row],[Tipo]],tblTiposMov[Tipo],0)),0))</f>
        <v/>
      </c>
      <c r="K39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2" s="37"/>
      <c r="O3992" s="37"/>
      <c r="P3992" s="37"/>
    </row>
    <row r="3993" spans="2:16" x14ac:dyDescent="0.25">
      <c r="B39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3" s="46"/>
      <c r="D3993" s="37"/>
      <c r="E3993" s="37"/>
      <c r="F3993" s="37"/>
      <c r="G3993" s="40" t="str">
        <f>IF(tblMovimientos[[#This Row],[Producto]]="","",TRIM(LEFT(tblMovimientos[[#This Row],[Producto]],FIND(" · ",tblMovimientos[[#This Row],[Producto]]&amp;" · ")-1)))</f>
        <v/>
      </c>
      <c r="H3993" s="40" t="str">
        <f>IF(tblMovimientos[[#This Row],[SKU]]="","",IFERROR(INDEX(tblProductos[Unidad],MATCH(tblMovimientos[[#This Row],[SKU]],tblProductos[SKU],0)),"?"))</f>
        <v/>
      </c>
      <c r="I3993" s="39"/>
      <c r="J3993" s="47" t="str">
        <f>IF(tblMovimientos[[#This Row],[Tipo]]="","",IFERROR(INDEX(tblTiposMov[FactorStock],MATCH(tblMovimientos[[#This Row],[Tipo]],tblTiposMov[Tipo],0)),0))</f>
        <v/>
      </c>
      <c r="K39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3" s="37"/>
      <c r="O3993" s="37"/>
      <c r="P3993" s="37"/>
    </row>
    <row r="3994" spans="2:16" x14ac:dyDescent="0.25">
      <c r="B39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4" s="46"/>
      <c r="D3994" s="37"/>
      <c r="E3994" s="37"/>
      <c r="F3994" s="37"/>
      <c r="G3994" s="40" t="str">
        <f>IF(tblMovimientos[[#This Row],[Producto]]="","",TRIM(LEFT(tblMovimientos[[#This Row],[Producto]],FIND(" · ",tblMovimientos[[#This Row],[Producto]]&amp;" · ")-1)))</f>
        <v/>
      </c>
      <c r="H3994" s="40" t="str">
        <f>IF(tblMovimientos[[#This Row],[SKU]]="","",IFERROR(INDEX(tblProductos[Unidad],MATCH(tblMovimientos[[#This Row],[SKU]],tblProductos[SKU],0)),"?"))</f>
        <v/>
      </c>
      <c r="I3994" s="39"/>
      <c r="J3994" s="47" t="str">
        <f>IF(tblMovimientos[[#This Row],[Tipo]]="","",IFERROR(INDEX(tblTiposMov[FactorStock],MATCH(tblMovimientos[[#This Row],[Tipo]],tblTiposMov[Tipo],0)),0))</f>
        <v/>
      </c>
      <c r="K39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4" s="37"/>
      <c r="O3994" s="37"/>
      <c r="P3994" s="37"/>
    </row>
    <row r="3995" spans="2:16" x14ac:dyDescent="0.25">
      <c r="B39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5" s="46"/>
      <c r="D3995" s="37"/>
      <c r="E3995" s="37"/>
      <c r="F3995" s="37"/>
      <c r="G3995" s="40" t="str">
        <f>IF(tblMovimientos[[#This Row],[Producto]]="","",TRIM(LEFT(tblMovimientos[[#This Row],[Producto]],FIND(" · ",tblMovimientos[[#This Row],[Producto]]&amp;" · ")-1)))</f>
        <v/>
      </c>
      <c r="H3995" s="40" t="str">
        <f>IF(tblMovimientos[[#This Row],[SKU]]="","",IFERROR(INDEX(tblProductos[Unidad],MATCH(tblMovimientos[[#This Row],[SKU]],tblProductos[SKU],0)),"?"))</f>
        <v/>
      </c>
      <c r="I3995" s="39"/>
      <c r="J3995" s="47" t="str">
        <f>IF(tblMovimientos[[#This Row],[Tipo]]="","",IFERROR(INDEX(tblTiposMov[FactorStock],MATCH(tblMovimientos[[#This Row],[Tipo]],tblTiposMov[Tipo],0)),0))</f>
        <v/>
      </c>
      <c r="K39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5" s="37"/>
      <c r="O3995" s="37"/>
      <c r="P3995" s="37"/>
    </row>
    <row r="3996" spans="2:16" x14ac:dyDescent="0.25">
      <c r="B39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6" s="46"/>
      <c r="D3996" s="37"/>
      <c r="E3996" s="37"/>
      <c r="F3996" s="37"/>
      <c r="G3996" s="40" t="str">
        <f>IF(tblMovimientos[[#This Row],[Producto]]="","",TRIM(LEFT(tblMovimientos[[#This Row],[Producto]],FIND(" · ",tblMovimientos[[#This Row],[Producto]]&amp;" · ")-1)))</f>
        <v/>
      </c>
      <c r="H3996" s="40" t="str">
        <f>IF(tblMovimientos[[#This Row],[SKU]]="","",IFERROR(INDEX(tblProductos[Unidad],MATCH(tblMovimientos[[#This Row],[SKU]],tblProductos[SKU],0)),"?"))</f>
        <v/>
      </c>
      <c r="I3996" s="39"/>
      <c r="J3996" s="47" t="str">
        <f>IF(tblMovimientos[[#This Row],[Tipo]]="","",IFERROR(INDEX(tblTiposMov[FactorStock],MATCH(tblMovimientos[[#This Row],[Tipo]],tblTiposMov[Tipo],0)),0))</f>
        <v/>
      </c>
      <c r="K39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6" s="37"/>
      <c r="O3996" s="37"/>
      <c r="P3996" s="37"/>
    </row>
    <row r="3997" spans="2:16" x14ac:dyDescent="0.25">
      <c r="B39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7" s="46"/>
      <c r="D3997" s="37"/>
      <c r="E3997" s="37"/>
      <c r="F3997" s="37"/>
      <c r="G3997" s="40" t="str">
        <f>IF(tblMovimientos[[#This Row],[Producto]]="","",TRIM(LEFT(tblMovimientos[[#This Row],[Producto]],FIND(" · ",tblMovimientos[[#This Row],[Producto]]&amp;" · ")-1)))</f>
        <v/>
      </c>
      <c r="H3997" s="40" t="str">
        <f>IF(tblMovimientos[[#This Row],[SKU]]="","",IFERROR(INDEX(tblProductos[Unidad],MATCH(tblMovimientos[[#This Row],[SKU]],tblProductos[SKU],0)),"?"))</f>
        <v/>
      </c>
      <c r="I3997" s="39"/>
      <c r="J3997" s="47" t="str">
        <f>IF(tblMovimientos[[#This Row],[Tipo]]="","",IFERROR(INDEX(tblTiposMov[FactorStock],MATCH(tblMovimientos[[#This Row],[Tipo]],tblTiposMov[Tipo],0)),0))</f>
        <v/>
      </c>
      <c r="K39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7" s="37"/>
      <c r="O3997" s="37"/>
      <c r="P3997" s="37"/>
    </row>
    <row r="3998" spans="2:16" x14ac:dyDescent="0.25">
      <c r="B39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8" s="46"/>
      <c r="D3998" s="37"/>
      <c r="E3998" s="37"/>
      <c r="F3998" s="37"/>
      <c r="G3998" s="40" t="str">
        <f>IF(tblMovimientos[[#This Row],[Producto]]="","",TRIM(LEFT(tblMovimientos[[#This Row],[Producto]],FIND(" · ",tblMovimientos[[#This Row],[Producto]]&amp;" · ")-1)))</f>
        <v/>
      </c>
      <c r="H3998" s="40" t="str">
        <f>IF(tblMovimientos[[#This Row],[SKU]]="","",IFERROR(INDEX(tblProductos[Unidad],MATCH(tblMovimientos[[#This Row],[SKU]],tblProductos[SKU],0)),"?"))</f>
        <v/>
      </c>
      <c r="I3998" s="39"/>
      <c r="J3998" s="47" t="str">
        <f>IF(tblMovimientos[[#This Row],[Tipo]]="","",IFERROR(INDEX(tblTiposMov[FactorStock],MATCH(tblMovimientos[[#This Row],[Tipo]],tblTiposMov[Tipo],0)),0))</f>
        <v/>
      </c>
      <c r="K39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8" s="37"/>
      <c r="O3998" s="37"/>
      <c r="P3998" s="37"/>
    </row>
    <row r="3999" spans="2:16" x14ac:dyDescent="0.25">
      <c r="B39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3999" s="46"/>
      <c r="D3999" s="37"/>
      <c r="E3999" s="37"/>
      <c r="F3999" s="37"/>
      <c r="G3999" s="40" t="str">
        <f>IF(tblMovimientos[[#This Row],[Producto]]="","",TRIM(LEFT(tblMovimientos[[#This Row],[Producto]],FIND(" · ",tblMovimientos[[#This Row],[Producto]]&amp;" · ")-1)))</f>
        <v/>
      </c>
      <c r="H3999" s="40" t="str">
        <f>IF(tblMovimientos[[#This Row],[SKU]]="","",IFERROR(INDEX(tblProductos[Unidad],MATCH(tblMovimientos[[#This Row],[SKU]],tblProductos[SKU],0)),"?"))</f>
        <v/>
      </c>
      <c r="I3999" s="39"/>
      <c r="J3999" s="47" t="str">
        <f>IF(tblMovimientos[[#This Row],[Tipo]]="","",IFERROR(INDEX(tblTiposMov[FactorStock],MATCH(tblMovimientos[[#This Row],[Tipo]],tblTiposMov[Tipo],0)),0))</f>
        <v/>
      </c>
      <c r="K39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39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3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3999" s="37"/>
      <c r="O3999" s="37"/>
      <c r="P3999" s="37"/>
    </row>
    <row r="4000" spans="2:16" x14ac:dyDescent="0.25">
      <c r="B40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0" s="46"/>
      <c r="D4000" s="37"/>
      <c r="E4000" s="37"/>
      <c r="F4000" s="37"/>
      <c r="G4000" s="40" t="str">
        <f>IF(tblMovimientos[[#This Row],[Producto]]="","",TRIM(LEFT(tblMovimientos[[#This Row],[Producto]],FIND(" · ",tblMovimientos[[#This Row],[Producto]]&amp;" · ")-1)))</f>
        <v/>
      </c>
      <c r="H4000" s="40" t="str">
        <f>IF(tblMovimientos[[#This Row],[SKU]]="","",IFERROR(INDEX(tblProductos[Unidad],MATCH(tblMovimientos[[#This Row],[SKU]],tblProductos[SKU],0)),"?"))</f>
        <v/>
      </c>
      <c r="I4000" s="39"/>
      <c r="J4000" s="47" t="str">
        <f>IF(tblMovimientos[[#This Row],[Tipo]]="","",IFERROR(INDEX(tblTiposMov[FactorStock],MATCH(tblMovimientos[[#This Row],[Tipo]],tblTiposMov[Tipo],0)),0))</f>
        <v/>
      </c>
      <c r="K40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0" s="37"/>
      <c r="O4000" s="37"/>
      <c r="P4000" s="37"/>
    </row>
    <row r="4001" spans="2:16" x14ac:dyDescent="0.25">
      <c r="B40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1" s="46"/>
      <c r="D4001" s="37"/>
      <c r="E4001" s="37"/>
      <c r="F4001" s="37"/>
      <c r="G4001" s="40" t="str">
        <f>IF(tblMovimientos[[#This Row],[Producto]]="","",TRIM(LEFT(tblMovimientos[[#This Row],[Producto]],FIND(" · ",tblMovimientos[[#This Row],[Producto]]&amp;" · ")-1)))</f>
        <v/>
      </c>
      <c r="H4001" s="40" t="str">
        <f>IF(tblMovimientos[[#This Row],[SKU]]="","",IFERROR(INDEX(tblProductos[Unidad],MATCH(tblMovimientos[[#This Row],[SKU]],tblProductos[SKU],0)),"?"))</f>
        <v/>
      </c>
      <c r="I4001" s="39"/>
      <c r="J4001" s="47" t="str">
        <f>IF(tblMovimientos[[#This Row],[Tipo]]="","",IFERROR(INDEX(tblTiposMov[FactorStock],MATCH(tblMovimientos[[#This Row],[Tipo]],tblTiposMov[Tipo],0)),0))</f>
        <v/>
      </c>
      <c r="K40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1" s="37"/>
      <c r="O4001" s="37"/>
      <c r="P4001" s="37"/>
    </row>
    <row r="4002" spans="2:16" x14ac:dyDescent="0.25">
      <c r="B40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2" s="46"/>
      <c r="D4002" s="37"/>
      <c r="E4002" s="37"/>
      <c r="F4002" s="37"/>
      <c r="G4002" s="40" t="str">
        <f>IF(tblMovimientos[[#This Row],[Producto]]="","",TRIM(LEFT(tblMovimientos[[#This Row],[Producto]],FIND(" · ",tblMovimientos[[#This Row],[Producto]]&amp;" · ")-1)))</f>
        <v/>
      </c>
      <c r="H4002" s="40" t="str">
        <f>IF(tblMovimientos[[#This Row],[SKU]]="","",IFERROR(INDEX(tblProductos[Unidad],MATCH(tblMovimientos[[#This Row],[SKU]],tblProductos[SKU],0)),"?"))</f>
        <v/>
      </c>
      <c r="I4002" s="39"/>
      <c r="J4002" s="47" t="str">
        <f>IF(tblMovimientos[[#This Row],[Tipo]]="","",IFERROR(INDEX(tblTiposMov[FactorStock],MATCH(tblMovimientos[[#This Row],[Tipo]],tblTiposMov[Tipo],0)),0))</f>
        <v/>
      </c>
      <c r="K40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2" s="37"/>
      <c r="O4002" s="37"/>
      <c r="P4002" s="37"/>
    </row>
    <row r="4003" spans="2:16" x14ac:dyDescent="0.25">
      <c r="B40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3" s="46"/>
      <c r="D4003" s="37"/>
      <c r="E4003" s="37"/>
      <c r="F4003" s="37"/>
      <c r="G4003" s="40" t="str">
        <f>IF(tblMovimientos[[#This Row],[Producto]]="","",TRIM(LEFT(tblMovimientos[[#This Row],[Producto]],FIND(" · ",tblMovimientos[[#This Row],[Producto]]&amp;" · ")-1)))</f>
        <v/>
      </c>
      <c r="H4003" s="40" t="str">
        <f>IF(tblMovimientos[[#This Row],[SKU]]="","",IFERROR(INDEX(tblProductos[Unidad],MATCH(tblMovimientos[[#This Row],[SKU]],tblProductos[SKU],0)),"?"))</f>
        <v/>
      </c>
      <c r="I4003" s="39"/>
      <c r="J4003" s="47" t="str">
        <f>IF(tblMovimientos[[#This Row],[Tipo]]="","",IFERROR(INDEX(tblTiposMov[FactorStock],MATCH(tblMovimientos[[#This Row],[Tipo]],tblTiposMov[Tipo],0)),0))</f>
        <v/>
      </c>
      <c r="K40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3" s="37"/>
      <c r="O4003" s="37"/>
      <c r="P4003" s="37"/>
    </row>
    <row r="4004" spans="2:16" x14ac:dyDescent="0.25">
      <c r="B40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4" s="46"/>
      <c r="D4004" s="37"/>
      <c r="E4004" s="37"/>
      <c r="F4004" s="37"/>
      <c r="G4004" s="40" t="str">
        <f>IF(tblMovimientos[[#This Row],[Producto]]="","",TRIM(LEFT(tblMovimientos[[#This Row],[Producto]],FIND(" · ",tblMovimientos[[#This Row],[Producto]]&amp;" · ")-1)))</f>
        <v/>
      </c>
      <c r="H4004" s="40" t="str">
        <f>IF(tblMovimientos[[#This Row],[SKU]]="","",IFERROR(INDEX(tblProductos[Unidad],MATCH(tblMovimientos[[#This Row],[SKU]],tblProductos[SKU],0)),"?"))</f>
        <v/>
      </c>
      <c r="I4004" s="39"/>
      <c r="J4004" s="47" t="str">
        <f>IF(tblMovimientos[[#This Row],[Tipo]]="","",IFERROR(INDEX(tblTiposMov[FactorStock],MATCH(tblMovimientos[[#This Row],[Tipo]],tblTiposMov[Tipo],0)),0))</f>
        <v/>
      </c>
      <c r="K40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4" s="37"/>
      <c r="O4004" s="37"/>
      <c r="P4004" s="37"/>
    </row>
    <row r="4005" spans="2:16" x14ac:dyDescent="0.25">
      <c r="B40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5" s="46"/>
      <c r="D4005" s="37"/>
      <c r="E4005" s="37"/>
      <c r="F4005" s="37"/>
      <c r="G4005" s="40" t="str">
        <f>IF(tblMovimientos[[#This Row],[Producto]]="","",TRIM(LEFT(tblMovimientos[[#This Row],[Producto]],FIND(" · ",tblMovimientos[[#This Row],[Producto]]&amp;" · ")-1)))</f>
        <v/>
      </c>
      <c r="H4005" s="40" t="str">
        <f>IF(tblMovimientos[[#This Row],[SKU]]="","",IFERROR(INDEX(tblProductos[Unidad],MATCH(tblMovimientos[[#This Row],[SKU]],tblProductos[SKU],0)),"?"))</f>
        <v/>
      </c>
      <c r="I4005" s="39"/>
      <c r="J4005" s="47" t="str">
        <f>IF(tblMovimientos[[#This Row],[Tipo]]="","",IFERROR(INDEX(tblTiposMov[FactorStock],MATCH(tblMovimientos[[#This Row],[Tipo]],tblTiposMov[Tipo],0)),0))</f>
        <v/>
      </c>
      <c r="K40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5" s="37"/>
      <c r="O4005" s="37"/>
      <c r="P4005" s="37"/>
    </row>
    <row r="4006" spans="2:16" x14ac:dyDescent="0.25">
      <c r="B40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6" s="46"/>
      <c r="D4006" s="37"/>
      <c r="E4006" s="37"/>
      <c r="F4006" s="37"/>
      <c r="G4006" s="40" t="str">
        <f>IF(tblMovimientos[[#This Row],[Producto]]="","",TRIM(LEFT(tblMovimientos[[#This Row],[Producto]],FIND(" · ",tblMovimientos[[#This Row],[Producto]]&amp;" · ")-1)))</f>
        <v/>
      </c>
      <c r="H4006" s="40" t="str">
        <f>IF(tblMovimientos[[#This Row],[SKU]]="","",IFERROR(INDEX(tblProductos[Unidad],MATCH(tblMovimientos[[#This Row],[SKU]],tblProductos[SKU],0)),"?"))</f>
        <v/>
      </c>
      <c r="I4006" s="39"/>
      <c r="J4006" s="47" t="str">
        <f>IF(tblMovimientos[[#This Row],[Tipo]]="","",IFERROR(INDEX(tblTiposMov[FactorStock],MATCH(tblMovimientos[[#This Row],[Tipo]],tblTiposMov[Tipo],0)),0))</f>
        <v/>
      </c>
      <c r="K40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6" s="37"/>
      <c r="O4006" s="37"/>
      <c r="P4006" s="37"/>
    </row>
    <row r="4007" spans="2:16" x14ac:dyDescent="0.25">
      <c r="B40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7" s="46"/>
      <c r="D4007" s="37"/>
      <c r="E4007" s="37"/>
      <c r="F4007" s="37"/>
      <c r="G4007" s="40" t="str">
        <f>IF(tblMovimientos[[#This Row],[Producto]]="","",TRIM(LEFT(tblMovimientos[[#This Row],[Producto]],FIND(" · ",tblMovimientos[[#This Row],[Producto]]&amp;" · ")-1)))</f>
        <v/>
      </c>
      <c r="H4007" s="40" t="str">
        <f>IF(tblMovimientos[[#This Row],[SKU]]="","",IFERROR(INDEX(tblProductos[Unidad],MATCH(tblMovimientos[[#This Row],[SKU]],tblProductos[SKU],0)),"?"))</f>
        <v/>
      </c>
      <c r="I4007" s="39"/>
      <c r="J4007" s="47" t="str">
        <f>IF(tblMovimientos[[#This Row],[Tipo]]="","",IFERROR(INDEX(tblTiposMov[FactorStock],MATCH(tblMovimientos[[#This Row],[Tipo]],tblTiposMov[Tipo],0)),0))</f>
        <v/>
      </c>
      <c r="K40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7" s="37"/>
      <c r="O4007" s="37"/>
      <c r="P4007" s="37"/>
    </row>
    <row r="4008" spans="2:16" x14ac:dyDescent="0.25">
      <c r="B40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8" s="46"/>
      <c r="D4008" s="37"/>
      <c r="E4008" s="37"/>
      <c r="F4008" s="37"/>
      <c r="G4008" s="40" t="str">
        <f>IF(tblMovimientos[[#This Row],[Producto]]="","",TRIM(LEFT(tblMovimientos[[#This Row],[Producto]],FIND(" · ",tblMovimientos[[#This Row],[Producto]]&amp;" · ")-1)))</f>
        <v/>
      </c>
      <c r="H4008" s="40" t="str">
        <f>IF(tblMovimientos[[#This Row],[SKU]]="","",IFERROR(INDEX(tblProductos[Unidad],MATCH(tblMovimientos[[#This Row],[SKU]],tblProductos[SKU],0)),"?"))</f>
        <v/>
      </c>
      <c r="I4008" s="39"/>
      <c r="J4008" s="47" t="str">
        <f>IF(tblMovimientos[[#This Row],[Tipo]]="","",IFERROR(INDEX(tblTiposMov[FactorStock],MATCH(tblMovimientos[[#This Row],[Tipo]],tblTiposMov[Tipo],0)),0))</f>
        <v/>
      </c>
      <c r="K40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8" s="37"/>
      <c r="O4008" s="37"/>
      <c r="P4008" s="37"/>
    </row>
    <row r="4009" spans="2:16" x14ac:dyDescent="0.25">
      <c r="B40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09" s="46"/>
      <c r="D4009" s="37"/>
      <c r="E4009" s="37"/>
      <c r="F4009" s="37"/>
      <c r="G4009" s="40" t="str">
        <f>IF(tblMovimientos[[#This Row],[Producto]]="","",TRIM(LEFT(tblMovimientos[[#This Row],[Producto]],FIND(" · ",tblMovimientos[[#This Row],[Producto]]&amp;" · ")-1)))</f>
        <v/>
      </c>
      <c r="H4009" s="40" t="str">
        <f>IF(tblMovimientos[[#This Row],[SKU]]="","",IFERROR(INDEX(tblProductos[Unidad],MATCH(tblMovimientos[[#This Row],[SKU]],tblProductos[SKU],0)),"?"))</f>
        <v/>
      </c>
      <c r="I4009" s="39"/>
      <c r="J4009" s="47" t="str">
        <f>IF(tblMovimientos[[#This Row],[Tipo]]="","",IFERROR(INDEX(tblTiposMov[FactorStock],MATCH(tblMovimientos[[#This Row],[Tipo]],tblTiposMov[Tipo],0)),0))</f>
        <v/>
      </c>
      <c r="K40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09" s="37"/>
      <c r="O4009" s="37"/>
      <c r="P4009" s="37"/>
    </row>
    <row r="4010" spans="2:16" x14ac:dyDescent="0.25">
      <c r="B40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0" s="46"/>
      <c r="D4010" s="37"/>
      <c r="E4010" s="37"/>
      <c r="F4010" s="37"/>
      <c r="G4010" s="40" t="str">
        <f>IF(tblMovimientos[[#This Row],[Producto]]="","",TRIM(LEFT(tblMovimientos[[#This Row],[Producto]],FIND(" · ",tblMovimientos[[#This Row],[Producto]]&amp;" · ")-1)))</f>
        <v/>
      </c>
      <c r="H4010" s="40" t="str">
        <f>IF(tblMovimientos[[#This Row],[SKU]]="","",IFERROR(INDEX(tblProductos[Unidad],MATCH(tblMovimientos[[#This Row],[SKU]],tblProductos[SKU],0)),"?"))</f>
        <v/>
      </c>
      <c r="I4010" s="39"/>
      <c r="J4010" s="47" t="str">
        <f>IF(tblMovimientos[[#This Row],[Tipo]]="","",IFERROR(INDEX(tblTiposMov[FactorStock],MATCH(tblMovimientos[[#This Row],[Tipo]],tblTiposMov[Tipo],0)),0))</f>
        <v/>
      </c>
      <c r="K40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0" s="37"/>
      <c r="O4010" s="37"/>
      <c r="P4010" s="37"/>
    </row>
    <row r="4011" spans="2:16" x14ac:dyDescent="0.25">
      <c r="B40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1" s="46"/>
      <c r="D4011" s="37"/>
      <c r="E4011" s="37"/>
      <c r="F4011" s="37"/>
      <c r="G4011" s="40" t="str">
        <f>IF(tblMovimientos[[#This Row],[Producto]]="","",TRIM(LEFT(tblMovimientos[[#This Row],[Producto]],FIND(" · ",tblMovimientos[[#This Row],[Producto]]&amp;" · ")-1)))</f>
        <v/>
      </c>
      <c r="H4011" s="40" t="str">
        <f>IF(tblMovimientos[[#This Row],[SKU]]="","",IFERROR(INDEX(tblProductos[Unidad],MATCH(tblMovimientos[[#This Row],[SKU]],tblProductos[SKU],0)),"?"))</f>
        <v/>
      </c>
      <c r="I4011" s="39"/>
      <c r="J4011" s="47" t="str">
        <f>IF(tblMovimientos[[#This Row],[Tipo]]="","",IFERROR(INDEX(tblTiposMov[FactorStock],MATCH(tblMovimientos[[#This Row],[Tipo]],tblTiposMov[Tipo],0)),0))</f>
        <v/>
      </c>
      <c r="K40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1" s="37"/>
      <c r="O4011" s="37"/>
      <c r="P4011" s="37"/>
    </row>
    <row r="4012" spans="2:16" x14ac:dyDescent="0.25">
      <c r="B40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2" s="46"/>
      <c r="D4012" s="37"/>
      <c r="E4012" s="37"/>
      <c r="F4012" s="37"/>
      <c r="G4012" s="40" t="str">
        <f>IF(tblMovimientos[[#This Row],[Producto]]="","",TRIM(LEFT(tblMovimientos[[#This Row],[Producto]],FIND(" · ",tblMovimientos[[#This Row],[Producto]]&amp;" · ")-1)))</f>
        <v/>
      </c>
      <c r="H4012" s="40" t="str">
        <f>IF(tblMovimientos[[#This Row],[SKU]]="","",IFERROR(INDEX(tblProductos[Unidad],MATCH(tblMovimientos[[#This Row],[SKU]],tblProductos[SKU],0)),"?"))</f>
        <v/>
      </c>
      <c r="I4012" s="39"/>
      <c r="J4012" s="47" t="str">
        <f>IF(tblMovimientos[[#This Row],[Tipo]]="","",IFERROR(INDEX(tblTiposMov[FactorStock],MATCH(tblMovimientos[[#This Row],[Tipo]],tblTiposMov[Tipo],0)),0))</f>
        <v/>
      </c>
      <c r="K40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2" s="37"/>
      <c r="O4012" s="37"/>
      <c r="P4012" s="37"/>
    </row>
    <row r="4013" spans="2:16" x14ac:dyDescent="0.25">
      <c r="B40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3" s="46"/>
      <c r="D4013" s="37"/>
      <c r="E4013" s="37"/>
      <c r="F4013" s="37"/>
      <c r="G4013" s="40" t="str">
        <f>IF(tblMovimientos[[#This Row],[Producto]]="","",TRIM(LEFT(tblMovimientos[[#This Row],[Producto]],FIND(" · ",tblMovimientos[[#This Row],[Producto]]&amp;" · ")-1)))</f>
        <v/>
      </c>
      <c r="H4013" s="40" t="str">
        <f>IF(tblMovimientos[[#This Row],[SKU]]="","",IFERROR(INDEX(tblProductos[Unidad],MATCH(tblMovimientos[[#This Row],[SKU]],tblProductos[SKU],0)),"?"))</f>
        <v/>
      </c>
      <c r="I4013" s="39"/>
      <c r="J4013" s="47" t="str">
        <f>IF(tblMovimientos[[#This Row],[Tipo]]="","",IFERROR(INDEX(tblTiposMov[FactorStock],MATCH(tblMovimientos[[#This Row],[Tipo]],tblTiposMov[Tipo],0)),0))</f>
        <v/>
      </c>
      <c r="K40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3" s="37"/>
      <c r="O4013" s="37"/>
      <c r="P4013" s="37"/>
    </row>
    <row r="4014" spans="2:16" x14ac:dyDescent="0.25">
      <c r="B40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4" s="46"/>
      <c r="D4014" s="37"/>
      <c r="E4014" s="37"/>
      <c r="F4014" s="37"/>
      <c r="G4014" s="40" t="str">
        <f>IF(tblMovimientos[[#This Row],[Producto]]="","",TRIM(LEFT(tblMovimientos[[#This Row],[Producto]],FIND(" · ",tblMovimientos[[#This Row],[Producto]]&amp;" · ")-1)))</f>
        <v/>
      </c>
      <c r="H4014" s="40" t="str">
        <f>IF(tblMovimientos[[#This Row],[SKU]]="","",IFERROR(INDEX(tblProductos[Unidad],MATCH(tblMovimientos[[#This Row],[SKU]],tblProductos[SKU],0)),"?"))</f>
        <v/>
      </c>
      <c r="I4014" s="39"/>
      <c r="J4014" s="47" t="str">
        <f>IF(tblMovimientos[[#This Row],[Tipo]]="","",IFERROR(INDEX(tblTiposMov[FactorStock],MATCH(tblMovimientos[[#This Row],[Tipo]],tblTiposMov[Tipo],0)),0))</f>
        <v/>
      </c>
      <c r="K40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4" s="37"/>
      <c r="O4014" s="37"/>
      <c r="P4014" s="37"/>
    </row>
    <row r="4015" spans="2:16" x14ac:dyDescent="0.25">
      <c r="B40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5" s="46"/>
      <c r="D4015" s="37"/>
      <c r="E4015" s="37"/>
      <c r="F4015" s="37"/>
      <c r="G4015" s="40" t="str">
        <f>IF(tblMovimientos[[#This Row],[Producto]]="","",TRIM(LEFT(tblMovimientos[[#This Row],[Producto]],FIND(" · ",tblMovimientos[[#This Row],[Producto]]&amp;" · ")-1)))</f>
        <v/>
      </c>
      <c r="H4015" s="40" t="str">
        <f>IF(tblMovimientos[[#This Row],[SKU]]="","",IFERROR(INDEX(tblProductos[Unidad],MATCH(tblMovimientos[[#This Row],[SKU]],tblProductos[SKU],0)),"?"))</f>
        <v/>
      </c>
      <c r="I4015" s="39"/>
      <c r="J4015" s="47" t="str">
        <f>IF(tblMovimientos[[#This Row],[Tipo]]="","",IFERROR(INDEX(tblTiposMov[FactorStock],MATCH(tblMovimientos[[#This Row],[Tipo]],tblTiposMov[Tipo],0)),0))</f>
        <v/>
      </c>
      <c r="K40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5" s="37"/>
      <c r="O4015" s="37"/>
      <c r="P4015" s="37"/>
    </row>
    <row r="4016" spans="2:16" x14ac:dyDescent="0.25">
      <c r="B40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6" s="46"/>
      <c r="D4016" s="37"/>
      <c r="E4016" s="37"/>
      <c r="F4016" s="37"/>
      <c r="G4016" s="40" t="str">
        <f>IF(tblMovimientos[[#This Row],[Producto]]="","",TRIM(LEFT(tblMovimientos[[#This Row],[Producto]],FIND(" · ",tblMovimientos[[#This Row],[Producto]]&amp;" · ")-1)))</f>
        <v/>
      </c>
      <c r="H4016" s="40" t="str">
        <f>IF(tblMovimientos[[#This Row],[SKU]]="","",IFERROR(INDEX(tblProductos[Unidad],MATCH(tblMovimientos[[#This Row],[SKU]],tblProductos[SKU],0)),"?"))</f>
        <v/>
      </c>
      <c r="I4016" s="39"/>
      <c r="J4016" s="47" t="str">
        <f>IF(tblMovimientos[[#This Row],[Tipo]]="","",IFERROR(INDEX(tblTiposMov[FactorStock],MATCH(tblMovimientos[[#This Row],[Tipo]],tblTiposMov[Tipo],0)),0))</f>
        <v/>
      </c>
      <c r="K40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6" s="37"/>
      <c r="O4016" s="37"/>
      <c r="P4016" s="37"/>
    </row>
    <row r="4017" spans="2:16" x14ac:dyDescent="0.25">
      <c r="B40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7" s="46"/>
      <c r="D4017" s="37"/>
      <c r="E4017" s="37"/>
      <c r="F4017" s="37"/>
      <c r="G4017" s="40" t="str">
        <f>IF(tblMovimientos[[#This Row],[Producto]]="","",TRIM(LEFT(tblMovimientos[[#This Row],[Producto]],FIND(" · ",tblMovimientos[[#This Row],[Producto]]&amp;" · ")-1)))</f>
        <v/>
      </c>
      <c r="H4017" s="40" t="str">
        <f>IF(tblMovimientos[[#This Row],[SKU]]="","",IFERROR(INDEX(tblProductos[Unidad],MATCH(tblMovimientos[[#This Row],[SKU]],tblProductos[SKU],0)),"?"))</f>
        <v/>
      </c>
      <c r="I4017" s="39"/>
      <c r="J4017" s="47" t="str">
        <f>IF(tblMovimientos[[#This Row],[Tipo]]="","",IFERROR(INDEX(tblTiposMov[FactorStock],MATCH(tblMovimientos[[#This Row],[Tipo]],tblTiposMov[Tipo],0)),0))</f>
        <v/>
      </c>
      <c r="K40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7" s="37"/>
      <c r="O4017" s="37"/>
      <c r="P4017" s="37"/>
    </row>
    <row r="4018" spans="2:16" x14ac:dyDescent="0.25">
      <c r="B40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8" s="46"/>
      <c r="D4018" s="37"/>
      <c r="E4018" s="37"/>
      <c r="F4018" s="37"/>
      <c r="G4018" s="40" t="str">
        <f>IF(tblMovimientos[[#This Row],[Producto]]="","",TRIM(LEFT(tblMovimientos[[#This Row],[Producto]],FIND(" · ",tblMovimientos[[#This Row],[Producto]]&amp;" · ")-1)))</f>
        <v/>
      </c>
      <c r="H4018" s="40" t="str">
        <f>IF(tblMovimientos[[#This Row],[SKU]]="","",IFERROR(INDEX(tblProductos[Unidad],MATCH(tblMovimientos[[#This Row],[SKU]],tblProductos[SKU],0)),"?"))</f>
        <v/>
      </c>
      <c r="I4018" s="39"/>
      <c r="J4018" s="47" t="str">
        <f>IF(tblMovimientos[[#This Row],[Tipo]]="","",IFERROR(INDEX(tblTiposMov[FactorStock],MATCH(tblMovimientos[[#This Row],[Tipo]],tblTiposMov[Tipo],0)),0))</f>
        <v/>
      </c>
      <c r="K40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8" s="37"/>
      <c r="O4018" s="37"/>
      <c r="P4018" s="37"/>
    </row>
    <row r="4019" spans="2:16" x14ac:dyDescent="0.25">
      <c r="B40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19" s="46"/>
      <c r="D4019" s="37"/>
      <c r="E4019" s="37"/>
      <c r="F4019" s="37"/>
      <c r="G4019" s="40" t="str">
        <f>IF(tblMovimientos[[#This Row],[Producto]]="","",TRIM(LEFT(tblMovimientos[[#This Row],[Producto]],FIND(" · ",tblMovimientos[[#This Row],[Producto]]&amp;" · ")-1)))</f>
        <v/>
      </c>
      <c r="H4019" s="40" t="str">
        <f>IF(tblMovimientos[[#This Row],[SKU]]="","",IFERROR(INDEX(tblProductos[Unidad],MATCH(tblMovimientos[[#This Row],[SKU]],tblProductos[SKU],0)),"?"))</f>
        <v/>
      </c>
      <c r="I4019" s="39"/>
      <c r="J4019" s="47" t="str">
        <f>IF(tblMovimientos[[#This Row],[Tipo]]="","",IFERROR(INDEX(tblTiposMov[FactorStock],MATCH(tblMovimientos[[#This Row],[Tipo]],tblTiposMov[Tipo],0)),0))</f>
        <v/>
      </c>
      <c r="K40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19" s="37"/>
      <c r="O4019" s="37"/>
      <c r="P4019" s="37"/>
    </row>
    <row r="4020" spans="2:16" x14ac:dyDescent="0.25">
      <c r="B40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0" s="46"/>
      <c r="D4020" s="37"/>
      <c r="E4020" s="37"/>
      <c r="F4020" s="37"/>
      <c r="G4020" s="40" t="str">
        <f>IF(tblMovimientos[[#This Row],[Producto]]="","",TRIM(LEFT(tblMovimientos[[#This Row],[Producto]],FIND(" · ",tblMovimientos[[#This Row],[Producto]]&amp;" · ")-1)))</f>
        <v/>
      </c>
      <c r="H4020" s="40" t="str">
        <f>IF(tblMovimientos[[#This Row],[SKU]]="","",IFERROR(INDEX(tblProductos[Unidad],MATCH(tblMovimientos[[#This Row],[SKU]],tblProductos[SKU],0)),"?"))</f>
        <v/>
      </c>
      <c r="I4020" s="39"/>
      <c r="J4020" s="47" t="str">
        <f>IF(tblMovimientos[[#This Row],[Tipo]]="","",IFERROR(INDEX(tblTiposMov[FactorStock],MATCH(tblMovimientos[[#This Row],[Tipo]],tblTiposMov[Tipo],0)),0))</f>
        <v/>
      </c>
      <c r="K40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0" s="37"/>
      <c r="O4020" s="37"/>
      <c r="P4020" s="37"/>
    </row>
    <row r="4021" spans="2:16" x14ac:dyDescent="0.25">
      <c r="B40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1" s="46"/>
      <c r="D4021" s="37"/>
      <c r="E4021" s="37"/>
      <c r="F4021" s="37"/>
      <c r="G4021" s="40" t="str">
        <f>IF(tblMovimientos[[#This Row],[Producto]]="","",TRIM(LEFT(tblMovimientos[[#This Row],[Producto]],FIND(" · ",tblMovimientos[[#This Row],[Producto]]&amp;" · ")-1)))</f>
        <v/>
      </c>
      <c r="H4021" s="40" t="str">
        <f>IF(tblMovimientos[[#This Row],[SKU]]="","",IFERROR(INDEX(tblProductos[Unidad],MATCH(tblMovimientos[[#This Row],[SKU]],tblProductos[SKU],0)),"?"))</f>
        <v/>
      </c>
      <c r="I4021" s="39"/>
      <c r="J4021" s="47" t="str">
        <f>IF(tblMovimientos[[#This Row],[Tipo]]="","",IFERROR(INDEX(tblTiposMov[FactorStock],MATCH(tblMovimientos[[#This Row],[Tipo]],tblTiposMov[Tipo],0)),0))</f>
        <v/>
      </c>
      <c r="K40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1" s="37"/>
      <c r="O4021" s="37"/>
      <c r="P4021" s="37"/>
    </row>
    <row r="4022" spans="2:16" x14ac:dyDescent="0.25">
      <c r="B40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2" s="46"/>
      <c r="D4022" s="37"/>
      <c r="E4022" s="37"/>
      <c r="F4022" s="37"/>
      <c r="G4022" s="40" t="str">
        <f>IF(tblMovimientos[[#This Row],[Producto]]="","",TRIM(LEFT(tblMovimientos[[#This Row],[Producto]],FIND(" · ",tblMovimientos[[#This Row],[Producto]]&amp;" · ")-1)))</f>
        <v/>
      </c>
      <c r="H4022" s="40" t="str">
        <f>IF(tblMovimientos[[#This Row],[SKU]]="","",IFERROR(INDEX(tblProductos[Unidad],MATCH(tblMovimientos[[#This Row],[SKU]],tblProductos[SKU],0)),"?"))</f>
        <v/>
      </c>
      <c r="I4022" s="39"/>
      <c r="J4022" s="47" t="str">
        <f>IF(tblMovimientos[[#This Row],[Tipo]]="","",IFERROR(INDEX(tblTiposMov[FactorStock],MATCH(tblMovimientos[[#This Row],[Tipo]],tblTiposMov[Tipo],0)),0))</f>
        <v/>
      </c>
      <c r="K40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2" s="37"/>
      <c r="O4022" s="37"/>
      <c r="P4022" s="37"/>
    </row>
    <row r="4023" spans="2:16" x14ac:dyDescent="0.25">
      <c r="B40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3" s="46"/>
      <c r="D4023" s="37"/>
      <c r="E4023" s="37"/>
      <c r="F4023" s="37"/>
      <c r="G4023" s="40" t="str">
        <f>IF(tblMovimientos[[#This Row],[Producto]]="","",TRIM(LEFT(tblMovimientos[[#This Row],[Producto]],FIND(" · ",tblMovimientos[[#This Row],[Producto]]&amp;" · ")-1)))</f>
        <v/>
      </c>
      <c r="H4023" s="40" t="str">
        <f>IF(tblMovimientos[[#This Row],[SKU]]="","",IFERROR(INDEX(tblProductos[Unidad],MATCH(tblMovimientos[[#This Row],[SKU]],tblProductos[SKU],0)),"?"))</f>
        <v/>
      </c>
      <c r="I4023" s="39"/>
      <c r="J4023" s="47" t="str">
        <f>IF(tblMovimientos[[#This Row],[Tipo]]="","",IFERROR(INDEX(tblTiposMov[FactorStock],MATCH(tblMovimientos[[#This Row],[Tipo]],tblTiposMov[Tipo],0)),0))</f>
        <v/>
      </c>
      <c r="K40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3" s="37"/>
      <c r="O4023" s="37"/>
      <c r="P4023" s="37"/>
    </row>
    <row r="4024" spans="2:16" x14ac:dyDescent="0.25">
      <c r="B40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4" s="46"/>
      <c r="D4024" s="37"/>
      <c r="E4024" s="37"/>
      <c r="F4024" s="37"/>
      <c r="G4024" s="40" t="str">
        <f>IF(tblMovimientos[[#This Row],[Producto]]="","",TRIM(LEFT(tblMovimientos[[#This Row],[Producto]],FIND(" · ",tblMovimientos[[#This Row],[Producto]]&amp;" · ")-1)))</f>
        <v/>
      </c>
      <c r="H4024" s="40" t="str">
        <f>IF(tblMovimientos[[#This Row],[SKU]]="","",IFERROR(INDEX(tblProductos[Unidad],MATCH(tblMovimientos[[#This Row],[SKU]],tblProductos[SKU],0)),"?"))</f>
        <v/>
      </c>
      <c r="I4024" s="39"/>
      <c r="J4024" s="47" t="str">
        <f>IF(tblMovimientos[[#This Row],[Tipo]]="","",IFERROR(INDEX(tblTiposMov[FactorStock],MATCH(tblMovimientos[[#This Row],[Tipo]],tblTiposMov[Tipo],0)),0))</f>
        <v/>
      </c>
      <c r="K40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4" s="37"/>
      <c r="O4024" s="37"/>
      <c r="P4024" s="37"/>
    </row>
    <row r="4025" spans="2:16" x14ac:dyDescent="0.25">
      <c r="B40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5" s="46"/>
      <c r="D4025" s="37"/>
      <c r="E4025" s="37"/>
      <c r="F4025" s="37"/>
      <c r="G4025" s="40" t="str">
        <f>IF(tblMovimientos[[#This Row],[Producto]]="","",TRIM(LEFT(tblMovimientos[[#This Row],[Producto]],FIND(" · ",tblMovimientos[[#This Row],[Producto]]&amp;" · ")-1)))</f>
        <v/>
      </c>
      <c r="H4025" s="40" t="str">
        <f>IF(tblMovimientos[[#This Row],[SKU]]="","",IFERROR(INDEX(tblProductos[Unidad],MATCH(tblMovimientos[[#This Row],[SKU]],tblProductos[SKU],0)),"?"))</f>
        <v/>
      </c>
      <c r="I4025" s="39"/>
      <c r="J4025" s="47" t="str">
        <f>IF(tblMovimientos[[#This Row],[Tipo]]="","",IFERROR(INDEX(tblTiposMov[FactorStock],MATCH(tblMovimientos[[#This Row],[Tipo]],tblTiposMov[Tipo],0)),0))</f>
        <v/>
      </c>
      <c r="K40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5" s="37"/>
      <c r="O4025" s="37"/>
      <c r="P4025" s="37"/>
    </row>
    <row r="4026" spans="2:16" x14ac:dyDescent="0.25">
      <c r="B40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6" s="46"/>
      <c r="D4026" s="37"/>
      <c r="E4026" s="37"/>
      <c r="F4026" s="37"/>
      <c r="G4026" s="40" t="str">
        <f>IF(tblMovimientos[[#This Row],[Producto]]="","",TRIM(LEFT(tblMovimientos[[#This Row],[Producto]],FIND(" · ",tblMovimientos[[#This Row],[Producto]]&amp;" · ")-1)))</f>
        <v/>
      </c>
      <c r="H4026" s="40" t="str">
        <f>IF(tblMovimientos[[#This Row],[SKU]]="","",IFERROR(INDEX(tblProductos[Unidad],MATCH(tblMovimientos[[#This Row],[SKU]],tblProductos[SKU],0)),"?"))</f>
        <v/>
      </c>
      <c r="I4026" s="39"/>
      <c r="J4026" s="47" t="str">
        <f>IF(tblMovimientos[[#This Row],[Tipo]]="","",IFERROR(INDEX(tblTiposMov[FactorStock],MATCH(tblMovimientos[[#This Row],[Tipo]],tblTiposMov[Tipo],0)),0))</f>
        <v/>
      </c>
      <c r="K40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6" s="37"/>
      <c r="O4026" s="37"/>
      <c r="P4026" s="37"/>
    </row>
    <row r="4027" spans="2:16" x14ac:dyDescent="0.25">
      <c r="B40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7" s="46"/>
      <c r="D4027" s="37"/>
      <c r="E4027" s="37"/>
      <c r="F4027" s="37"/>
      <c r="G4027" s="40" t="str">
        <f>IF(tblMovimientos[[#This Row],[Producto]]="","",TRIM(LEFT(tblMovimientos[[#This Row],[Producto]],FIND(" · ",tblMovimientos[[#This Row],[Producto]]&amp;" · ")-1)))</f>
        <v/>
      </c>
      <c r="H4027" s="40" t="str">
        <f>IF(tblMovimientos[[#This Row],[SKU]]="","",IFERROR(INDEX(tblProductos[Unidad],MATCH(tblMovimientos[[#This Row],[SKU]],tblProductos[SKU],0)),"?"))</f>
        <v/>
      </c>
      <c r="I4027" s="39"/>
      <c r="J4027" s="47" t="str">
        <f>IF(tblMovimientos[[#This Row],[Tipo]]="","",IFERROR(INDEX(tblTiposMov[FactorStock],MATCH(tblMovimientos[[#This Row],[Tipo]],tblTiposMov[Tipo],0)),0))</f>
        <v/>
      </c>
      <c r="K40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7" s="37"/>
      <c r="O4027" s="37"/>
      <c r="P4027" s="37"/>
    </row>
    <row r="4028" spans="2:16" x14ac:dyDescent="0.25">
      <c r="B40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8" s="46"/>
      <c r="D4028" s="37"/>
      <c r="E4028" s="37"/>
      <c r="F4028" s="37"/>
      <c r="G4028" s="40" t="str">
        <f>IF(tblMovimientos[[#This Row],[Producto]]="","",TRIM(LEFT(tblMovimientos[[#This Row],[Producto]],FIND(" · ",tblMovimientos[[#This Row],[Producto]]&amp;" · ")-1)))</f>
        <v/>
      </c>
      <c r="H4028" s="40" t="str">
        <f>IF(tblMovimientos[[#This Row],[SKU]]="","",IFERROR(INDEX(tblProductos[Unidad],MATCH(tblMovimientos[[#This Row],[SKU]],tblProductos[SKU],0)),"?"))</f>
        <v/>
      </c>
      <c r="I4028" s="39"/>
      <c r="J4028" s="47" t="str">
        <f>IF(tblMovimientos[[#This Row],[Tipo]]="","",IFERROR(INDEX(tblTiposMov[FactorStock],MATCH(tblMovimientos[[#This Row],[Tipo]],tblTiposMov[Tipo],0)),0))</f>
        <v/>
      </c>
      <c r="K40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8" s="37"/>
      <c r="O4028" s="37"/>
      <c r="P4028" s="37"/>
    </row>
    <row r="4029" spans="2:16" x14ac:dyDescent="0.25">
      <c r="B40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29" s="46"/>
      <c r="D4029" s="37"/>
      <c r="E4029" s="37"/>
      <c r="F4029" s="37"/>
      <c r="G4029" s="40" t="str">
        <f>IF(tblMovimientos[[#This Row],[Producto]]="","",TRIM(LEFT(tblMovimientos[[#This Row],[Producto]],FIND(" · ",tblMovimientos[[#This Row],[Producto]]&amp;" · ")-1)))</f>
        <v/>
      </c>
      <c r="H4029" s="40" t="str">
        <f>IF(tblMovimientos[[#This Row],[SKU]]="","",IFERROR(INDEX(tblProductos[Unidad],MATCH(tblMovimientos[[#This Row],[SKU]],tblProductos[SKU],0)),"?"))</f>
        <v/>
      </c>
      <c r="I4029" s="39"/>
      <c r="J4029" s="47" t="str">
        <f>IF(tblMovimientos[[#This Row],[Tipo]]="","",IFERROR(INDEX(tblTiposMov[FactorStock],MATCH(tblMovimientos[[#This Row],[Tipo]],tblTiposMov[Tipo],0)),0))</f>
        <v/>
      </c>
      <c r="K40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29" s="37"/>
      <c r="O4029" s="37"/>
      <c r="P4029" s="37"/>
    </row>
    <row r="4030" spans="2:16" x14ac:dyDescent="0.25">
      <c r="B40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0" s="46"/>
      <c r="D4030" s="37"/>
      <c r="E4030" s="37"/>
      <c r="F4030" s="37"/>
      <c r="G4030" s="40" t="str">
        <f>IF(tblMovimientos[[#This Row],[Producto]]="","",TRIM(LEFT(tblMovimientos[[#This Row],[Producto]],FIND(" · ",tblMovimientos[[#This Row],[Producto]]&amp;" · ")-1)))</f>
        <v/>
      </c>
      <c r="H4030" s="40" t="str">
        <f>IF(tblMovimientos[[#This Row],[SKU]]="","",IFERROR(INDEX(tblProductos[Unidad],MATCH(tblMovimientos[[#This Row],[SKU]],tblProductos[SKU],0)),"?"))</f>
        <v/>
      </c>
      <c r="I4030" s="39"/>
      <c r="J4030" s="47" t="str">
        <f>IF(tblMovimientos[[#This Row],[Tipo]]="","",IFERROR(INDEX(tblTiposMov[FactorStock],MATCH(tblMovimientos[[#This Row],[Tipo]],tblTiposMov[Tipo],0)),0))</f>
        <v/>
      </c>
      <c r="K40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0" s="37"/>
      <c r="O4030" s="37"/>
      <c r="P4030" s="37"/>
    </row>
    <row r="4031" spans="2:16" x14ac:dyDescent="0.25">
      <c r="B40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1" s="46"/>
      <c r="D4031" s="37"/>
      <c r="E4031" s="37"/>
      <c r="F4031" s="37"/>
      <c r="G4031" s="40" t="str">
        <f>IF(tblMovimientos[[#This Row],[Producto]]="","",TRIM(LEFT(tblMovimientos[[#This Row],[Producto]],FIND(" · ",tblMovimientos[[#This Row],[Producto]]&amp;" · ")-1)))</f>
        <v/>
      </c>
      <c r="H4031" s="40" t="str">
        <f>IF(tblMovimientos[[#This Row],[SKU]]="","",IFERROR(INDEX(tblProductos[Unidad],MATCH(tblMovimientos[[#This Row],[SKU]],tblProductos[SKU],0)),"?"))</f>
        <v/>
      </c>
      <c r="I4031" s="39"/>
      <c r="J4031" s="47" t="str">
        <f>IF(tblMovimientos[[#This Row],[Tipo]]="","",IFERROR(INDEX(tblTiposMov[FactorStock],MATCH(tblMovimientos[[#This Row],[Tipo]],tblTiposMov[Tipo],0)),0))</f>
        <v/>
      </c>
      <c r="K40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1" s="37"/>
      <c r="O4031" s="37"/>
      <c r="P4031" s="37"/>
    </row>
    <row r="4032" spans="2:16" x14ac:dyDescent="0.25">
      <c r="B40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2" s="46"/>
      <c r="D4032" s="37"/>
      <c r="E4032" s="37"/>
      <c r="F4032" s="37"/>
      <c r="G4032" s="40" t="str">
        <f>IF(tblMovimientos[[#This Row],[Producto]]="","",TRIM(LEFT(tblMovimientos[[#This Row],[Producto]],FIND(" · ",tblMovimientos[[#This Row],[Producto]]&amp;" · ")-1)))</f>
        <v/>
      </c>
      <c r="H4032" s="40" t="str">
        <f>IF(tblMovimientos[[#This Row],[SKU]]="","",IFERROR(INDEX(tblProductos[Unidad],MATCH(tblMovimientos[[#This Row],[SKU]],tblProductos[SKU],0)),"?"))</f>
        <v/>
      </c>
      <c r="I4032" s="39"/>
      <c r="J4032" s="47" t="str">
        <f>IF(tblMovimientos[[#This Row],[Tipo]]="","",IFERROR(INDEX(tblTiposMov[FactorStock],MATCH(tblMovimientos[[#This Row],[Tipo]],tblTiposMov[Tipo],0)),0))</f>
        <v/>
      </c>
      <c r="K40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2" s="37"/>
      <c r="O4032" s="37"/>
      <c r="P4032" s="37"/>
    </row>
    <row r="4033" spans="2:16" x14ac:dyDescent="0.25">
      <c r="B40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3" s="46"/>
      <c r="D4033" s="37"/>
      <c r="E4033" s="37"/>
      <c r="F4033" s="37"/>
      <c r="G4033" s="40" t="str">
        <f>IF(tblMovimientos[[#This Row],[Producto]]="","",TRIM(LEFT(tblMovimientos[[#This Row],[Producto]],FIND(" · ",tblMovimientos[[#This Row],[Producto]]&amp;" · ")-1)))</f>
        <v/>
      </c>
      <c r="H4033" s="40" t="str">
        <f>IF(tblMovimientos[[#This Row],[SKU]]="","",IFERROR(INDEX(tblProductos[Unidad],MATCH(tblMovimientos[[#This Row],[SKU]],tblProductos[SKU],0)),"?"))</f>
        <v/>
      </c>
      <c r="I4033" s="39"/>
      <c r="J4033" s="47" t="str">
        <f>IF(tblMovimientos[[#This Row],[Tipo]]="","",IFERROR(INDEX(tblTiposMov[FactorStock],MATCH(tblMovimientos[[#This Row],[Tipo]],tblTiposMov[Tipo],0)),0))</f>
        <v/>
      </c>
      <c r="K40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3" s="37"/>
      <c r="O4033" s="37"/>
      <c r="P4033" s="37"/>
    </row>
    <row r="4034" spans="2:16" x14ac:dyDescent="0.25">
      <c r="B40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4" s="46"/>
      <c r="D4034" s="37"/>
      <c r="E4034" s="37"/>
      <c r="F4034" s="37"/>
      <c r="G4034" s="40" t="str">
        <f>IF(tblMovimientos[[#This Row],[Producto]]="","",TRIM(LEFT(tblMovimientos[[#This Row],[Producto]],FIND(" · ",tblMovimientos[[#This Row],[Producto]]&amp;" · ")-1)))</f>
        <v/>
      </c>
      <c r="H4034" s="40" t="str">
        <f>IF(tblMovimientos[[#This Row],[SKU]]="","",IFERROR(INDEX(tblProductos[Unidad],MATCH(tblMovimientos[[#This Row],[SKU]],tblProductos[SKU],0)),"?"))</f>
        <v/>
      </c>
      <c r="I4034" s="39"/>
      <c r="J4034" s="47" t="str">
        <f>IF(tblMovimientos[[#This Row],[Tipo]]="","",IFERROR(INDEX(tblTiposMov[FactorStock],MATCH(tblMovimientos[[#This Row],[Tipo]],tblTiposMov[Tipo],0)),0))</f>
        <v/>
      </c>
      <c r="K40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4" s="37"/>
      <c r="O4034" s="37"/>
      <c r="P4034" s="37"/>
    </row>
    <row r="4035" spans="2:16" x14ac:dyDescent="0.25">
      <c r="B40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5" s="46"/>
      <c r="D4035" s="37"/>
      <c r="E4035" s="37"/>
      <c r="F4035" s="37"/>
      <c r="G4035" s="40" t="str">
        <f>IF(tblMovimientos[[#This Row],[Producto]]="","",TRIM(LEFT(tblMovimientos[[#This Row],[Producto]],FIND(" · ",tblMovimientos[[#This Row],[Producto]]&amp;" · ")-1)))</f>
        <v/>
      </c>
      <c r="H4035" s="40" t="str">
        <f>IF(tblMovimientos[[#This Row],[SKU]]="","",IFERROR(INDEX(tblProductos[Unidad],MATCH(tblMovimientos[[#This Row],[SKU]],tblProductos[SKU],0)),"?"))</f>
        <v/>
      </c>
      <c r="I4035" s="39"/>
      <c r="J4035" s="47" t="str">
        <f>IF(tblMovimientos[[#This Row],[Tipo]]="","",IFERROR(INDEX(tblTiposMov[FactorStock],MATCH(tblMovimientos[[#This Row],[Tipo]],tblTiposMov[Tipo],0)),0))</f>
        <v/>
      </c>
      <c r="K40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5" s="37"/>
      <c r="O4035" s="37"/>
      <c r="P4035" s="37"/>
    </row>
    <row r="4036" spans="2:16" x14ac:dyDescent="0.25">
      <c r="B40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6" s="46"/>
      <c r="D4036" s="37"/>
      <c r="E4036" s="37"/>
      <c r="F4036" s="37"/>
      <c r="G4036" s="40" t="str">
        <f>IF(tblMovimientos[[#This Row],[Producto]]="","",TRIM(LEFT(tblMovimientos[[#This Row],[Producto]],FIND(" · ",tblMovimientos[[#This Row],[Producto]]&amp;" · ")-1)))</f>
        <v/>
      </c>
      <c r="H4036" s="40" t="str">
        <f>IF(tblMovimientos[[#This Row],[SKU]]="","",IFERROR(INDEX(tblProductos[Unidad],MATCH(tblMovimientos[[#This Row],[SKU]],tblProductos[SKU],0)),"?"))</f>
        <v/>
      </c>
      <c r="I4036" s="39"/>
      <c r="J4036" s="47" t="str">
        <f>IF(tblMovimientos[[#This Row],[Tipo]]="","",IFERROR(INDEX(tblTiposMov[FactorStock],MATCH(tblMovimientos[[#This Row],[Tipo]],tblTiposMov[Tipo],0)),0))</f>
        <v/>
      </c>
      <c r="K40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6" s="37"/>
      <c r="O4036" s="37"/>
      <c r="P4036" s="37"/>
    </row>
    <row r="4037" spans="2:16" x14ac:dyDescent="0.25">
      <c r="B40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7" s="46"/>
      <c r="D4037" s="37"/>
      <c r="E4037" s="37"/>
      <c r="F4037" s="37"/>
      <c r="G4037" s="40" t="str">
        <f>IF(tblMovimientos[[#This Row],[Producto]]="","",TRIM(LEFT(tblMovimientos[[#This Row],[Producto]],FIND(" · ",tblMovimientos[[#This Row],[Producto]]&amp;" · ")-1)))</f>
        <v/>
      </c>
      <c r="H4037" s="40" t="str">
        <f>IF(tblMovimientos[[#This Row],[SKU]]="","",IFERROR(INDEX(tblProductos[Unidad],MATCH(tblMovimientos[[#This Row],[SKU]],tblProductos[SKU],0)),"?"))</f>
        <v/>
      </c>
      <c r="I4037" s="39"/>
      <c r="J4037" s="47" t="str">
        <f>IF(tblMovimientos[[#This Row],[Tipo]]="","",IFERROR(INDEX(tblTiposMov[FactorStock],MATCH(tblMovimientos[[#This Row],[Tipo]],tblTiposMov[Tipo],0)),0))</f>
        <v/>
      </c>
      <c r="K40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7" s="37"/>
      <c r="O4037" s="37"/>
      <c r="P4037" s="37"/>
    </row>
    <row r="4038" spans="2:16" x14ac:dyDescent="0.25">
      <c r="B40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8" s="46"/>
      <c r="D4038" s="37"/>
      <c r="E4038" s="37"/>
      <c r="F4038" s="37"/>
      <c r="G4038" s="40" t="str">
        <f>IF(tblMovimientos[[#This Row],[Producto]]="","",TRIM(LEFT(tblMovimientos[[#This Row],[Producto]],FIND(" · ",tblMovimientos[[#This Row],[Producto]]&amp;" · ")-1)))</f>
        <v/>
      </c>
      <c r="H4038" s="40" t="str">
        <f>IF(tblMovimientos[[#This Row],[SKU]]="","",IFERROR(INDEX(tblProductos[Unidad],MATCH(tblMovimientos[[#This Row],[SKU]],tblProductos[SKU],0)),"?"))</f>
        <v/>
      </c>
      <c r="I4038" s="39"/>
      <c r="J4038" s="47" t="str">
        <f>IF(tblMovimientos[[#This Row],[Tipo]]="","",IFERROR(INDEX(tblTiposMov[FactorStock],MATCH(tblMovimientos[[#This Row],[Tipo]],tblTiposMov[Tipo],0)),0))</f>
        <v/>
      </c>
      <c r="K40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8" s="37"/>
      <c r="O4038" s="37"/>
      <c r="P4038" s="37"/>
    </row>
    <row r="4039" spans="2:16" x14ac:dyDescent="0.25">
      <c r="B40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39" s="46"/>
      <c r="D4039" s="37"/>
      <c r="E4039" s="37"/>
      <c r="F4039" s="37"/>
      <c r="G4039" s="40" t="str">
        <f>IF(tblMovimientos[[#This Row],[Producto]]="","",TRIM(LEFT(tblMovimientos[[#This Row],[Producto]],FIND(" · ",tblMovimientos[[#This Row],[Producto]]&amp;" · ")-1)))</f>
        <v/>
      </c>
      <c r="H4039" s="40" t="str">
        <f>IF(tblMovimientos[[#This Row],[SKU]]="","",IFERROR(INDEX(tblProductos[Unidad],MATCH(tblMovimientos[[#This Row],[SKU]],tblProductos[SKU],0)),"?"))</f>
        <v/>
      </c>
      <c r="I4039" s="39"/>
      <c r="J4039" s="47" t="str">
        <f>IF(tblMovimientos[[#This Row],[Tipo]]="","",IFERROR(INDEX(tblTiposMov[FactorStock],MATCH(tblMovimientos[[#This Row],[Tipo]],tblTiposMov[Tipo],0)),0))</f>
        <v/>
      </c>
      <c r="K40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39" s="37"/>
      <c r="O4039" s="37"/>
      <c r="P4039" s="37"/>
    </row>
    <row r="4040" spans="2:16" x14ac:dyDescent="0.25">
      <c r="B40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0" s="46"/>
      <c r="D4040" s="37"/>
      <c r="E4040" s="37"/>
      <c r="F4040" s="37"/>
      <c r="G4040" s="40" t="str">
        <f>IF(tblMovimientos[[#This Row],[Producto]]="","",TRIM(LEFT(tblMovimientos[[#This Row],[Producto]],FIND(" · ",tblMovimientos[[#This Row],[Producto]]&amp;" · ")-1)))</f>
        <v/>
      </c>
      <c r="H4040" s="40" t="str">
        <f>IF(tblMovimientos[[#This Row],[SKU]]="","",IFERROR(INDEX(tblProductos[Unidad],MATCH(tblMovimientos[[#This Row],[SKU]],tblProductos[SKU],0)),"?"))</f>
        <v/>
      </c>
      <c r="I4040" s="39"/>
      <c r="J4040" s="47" t="str">
        <f>IF(tblMovimientos[[#This Row],[Tipo]]="","",IFERROR(INDEX(tblTiposMov[FactorStock],MATCH(tblMovimientos[[#This Row],[Tipo]],tblTiposMov[Tipo],0)),0))</f>
        <v/>
      </c>
      <c r="K40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0" s="37"/>
      <c r="O4040" s="37"/>
      <c r="P4040" s="37"/>
    </row>
    <row r="4041" spans="2:16" x14ac:dyDescent="0.25">
      <c r="B40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1" s="46"/>
      <c r="D4041" s="37"/>
      <c r="E4041" s="37"/>
      <c r="F4041" s="37"/>
      <c r="G4041" s="40" t="str">
        <f>IF(tblMovimientos[[#This Row],[Producto]]="","",TRIM(LEFT(tblMovimientos[[#This Row],[Producto]],FIND(" · ",tblMovimientos[[#This Row],[Producto]]&amp;" · ")-1)))</f>
        <v/>
      </c>
      <c r="H4041" s="40" t="str">
        <f>IF(tblMovimientos[[#This Row],[SKU]]="","",IFERROR(INDEX(tblProductos[Unidad],MATCH(tblMovimientos[[#This Row],[SKU]],tblProductos[SKU],0)),"?"))</f>
        <v/>
      </c>
      <c r="I4041" s="39"/>
      <c r="J4041" s="47" t="str">
        <f>IF(tblMovimientos[[#This Row],[Tipo]]="","",IFERROR(INDEX(tblTiposMov[FactorStock],MATCH(tblMovimientos[[#This Row],[Tipo]],tblTiposMov[Tipo],0)),0))</f>
        <v/>
      </c>
      <c r="K40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1" s="37"/>
      <c r="O4041" s="37"/>
      <c r="P4041" s="37"/>
    </row>
    <row r="4042" spans="2:16" x14ac:dyDescent="0.25">
      <c r="B40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2" s="46"/>
      <c r="D4042" s="37"/>
      <c r="E4042" s="37"/>
      <c r="F4042" s="37"/>
      <c r="G4042" s="40" t="str">
        <f>IF(tblMovimientos[[#This Row],[Producto]]="","",TRIM(LEFT(tblMovimientos[[#This Row],[Producto]],FIND(" · ",tblMovimientos[[#This Row],[Producto]]&amp;" · ")-1)))</f>
        <v/>
      </c>
      <c r="H4042" s="40" t="str">
        <f>IF(tblMovimientos[[#This Row],[SKU]]="","",IFERROR(INDEX(tblProductos[Unidad],MATCH(tblMovimientos[[#This Row],[SKU]],tblProductos[SKU],0)),"?"))</f>
        <v/>
      </c>
      <c r="I4042" s="39"/>
      <c r="J4042" s="47" t="str">
        <f>IF(tblMovimientos[[#This Row],[Tipo]]="","",IFERROR(INDEX(tblTiposMov[FactorStock],MATCH(tblMovimientos[[#This Row],[Tipo]],tblTiposMov[Tipo],0)),0))</f>
        <v/>
      </c>
      <c r="K40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2" s="37"/>
      <c r="O4042" s="37"/>
      <c r="P4042" s="37"/>
    </row>
    <row r="4043" spans="2:16" x14ac:dyDescent="0.25">
      <c r="B40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3" s="46"/>
      <c r="D4043" s="37"/>
      <c r="E4043" s="37"/>
      <c r="F4043" s="37"/>
      <c r="G4043" s="40" t="str">
        <f>IF(tblMovimientos[[#This Row],[Producto]]="","",TRIM(LEFT(tblMovimientos[[#This Row],[Producto]],FIND(" · ",tblMovimientos[[#This Row],[Producto]]&amp;" · ")-1)))</f>
        <v/>
      </c>
      <c r="H4043" s="40" t="str">
        <f>IF(tblMovimientos[[#This Row],[SKU]]="","",IFERROR(INDEX(tblProductos[Unidad],MATCH(tblMovimientos[[#This Row],[SKU]],tblProductos[SKU],0)),"?"))</f>
        <v/>
      </c>
      <c r="I4043" s="39"/>
      <c r="J4043" s="47" t="str">
        <f>IF(tblMovimientos[[#This Row],[Tipo]]="","",IFERROR(INDEX(tblTiposMov[FactorStock],MATCH(tblMovimientos[[#This Row],[Tipo]],tblTiposMov[Tipo],0)),0))</f>
        <v/>
      </c>
      <c r="K40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3" s="37"/>
      <c r="O4043" s="37"/>
      <c r="P4043" s="37"/>
    </row>
    <row r="4044" spans="2:16" x14ac:dyDescent="0.25">
      <c r="B40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4" s="46"/>
      <c r="D4044" s="37"/>
      <c r="E4044" s="37"/>
      <c r="F4044" s="37"/>
      <c r="G4044" s="40" t="str">
        <f>IF(tblMovimientos[[#This Row],[Producto]]="","",TRIM(LEFT(tblMovimientos[[#This Row],[Producto]],FIND(" · ",tblMovimientos[[#This Row],[Producto]]&amp;" · ")-1)))</f>
        <v/>
      </c>
      <c r="H4044" s="40" t="str">
        <f>IF(tblMovimientos[[#This Row],[SKU]]="","",IFERROR(INDEX(tblProductos[Unidad],MATCH(tblMovimientos[[#This Row],[SKU]],tblProductos[SKU],0)),"?"))</f>
        <v/>
      </c>
      <c r="I4044" s="39"/>
      <c r="J4044" s="47" t="str">
        <f>IF(tblMovimientos[[#This Row],[Tipo]]="","",IFERROR(INDEX(tblTiposMov[FactorStock],MATCH(tblMovimientos[[#This Row],[Tipo]],tblTiposMov[Tipo],0)),0))</f>
        <v/>
      </c>
      <c r="K40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4" s="37"/>
      <c r="O4044" s="37"/>
      <c r="P4044" s="37"/>
    </row>
    <row r="4045" spans="2:16" x14ac:dyDescent="0.25">
      <c r="B40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5" s="46"/>
      <c r="D4045" s="37"/>
      <c r="E4045" s="37"/>
      <c r="F4045" s="37"/>
      <c r="G4045" s="40" t="str">
        <f>IF(tblMovimientos[[#This Row],[Producto]]="","",TRIM(LEFT(tblMovimientos[[#This Row],[Producto]],FIND(" · ",tblMovimientos[[#This Row],[Producto]]&amp;" · ")-1)))</f>
        <v/>
      </c>
      <c r="H4045" s="40" t="str">
        <f>IF(tblMovimientos[[#This Row],[SKU]]="","",IFERROR(INDEX(tblProductos[Unidad],MATCH(tblMovimientos[[#This Row],[SKU]],tblProductos[SKU],0)),"?"))</f>
        <v/>
      </c>
      <c r="I4045" s="39"/>
      <c r="J4045" s="47" t="str">
        <f>IF(tblMovimientos[[#This Row],[Tipo]]="","",IFERROR(INDEX(tblTiposMov[FactorStock],MATCH(tblMovimientos[[#This Row],[Tipo]],tblTiposMov[Tipo],0)),0))</f>
        <v/>
      </c>
      <c r="K40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5" s="37"/>
      <c r="O4045" s="37"/>
      <c r="P4045" s="37"/>
    </row>
    <row r="4046" spans="2:16" x14ac:dyDescent="0.25">
      <c r="B40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6" s="46"/>
      <c r="D4046" s="37"/>
      <c r="E4046" s="37"/>
      <c r="F4046" s="37"/>
      <c r="G4046" s="40" t="str">
        <f>IF(tblMovimientos[[#This Row],[Producto]]="","",TRIM(LEFT(tblMovimientos[[#This Row],[Producto]],FIND(" · ",tblMovimientos[[#This Row],[Producto]]&amp;" · ")-1)))</f>
        <v/>
      </c>
      <c r="H4046" s="40" t="str">
        <f>IF(tblMovimientos[[#This Row],[SKU]]="","",IFERROR(INDEX(tblProductos[Unidad],MATCH(tblMovimientos[[#This Row],[SKU]],tblProductos[SKU],0)),"?"))</f>
        <v/>
      </c>
      <c r="I4046" s="39"/>
      <c r="J4046" s="47" t="str">
        <f>IF(tblMovimientos[[#This Row],[Tipo]]="","",IFERROR(INDEX(tblTiposMov[FactorStock],MATCH(tblMovimientos[[#This Row],[Tipo]],tblTiposMov[Tipo],0)),0))</f>
        <v/>
      </c>
      <c r="K40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6" s="37"/>
      <c r="O4046" s="37"/>
      <c r="P4046" s="37"/>
    </row>
    <row r="4047" spans="2:16" x14ac:dyDescent="0.25">
      <c r="B40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7" s="46"/>
      <c r="D4047" s="37"/>
      <c r="E4047" s="37"/>
      <c r="F4047" s="37"/>
      <c r="G4047" s="40" t="str">
        <f>IF(tblMovimientos[[#This Row],[Producto]]="","",TRIM(LEFT(tblMovimientos[[#This Row],[Producto]],FIND(" · ",tblMovimientos[[#This Row],[Producto]]&amp;" · ")-1)))</f>
        <v/>
      </c>
      <c r="H4047" s="40" t="str">
        <f>IF(tblMovimientos[[#This Row],[SKU]]="","",IFERROR(INDEX(tblProductos[Unidad],MATCH(tblMovimientos[[#This Row],[SKU]],tblProductos[SKU],0)),"?"))</f>
        <v/>
      </c>
      <c r="I4047" s="39"/>
      <c r="J4047" s="47" t="str">
        <f>IF(tblMovimientos[[#This Row],[Tipo]]="","",IFERROR(INDEX(tblTiposMov[FactorStock],MATCH(tblMovimientos[[#This Row],[Tipo]],tblTiposMov[Tipo],0)),0))</f>
        <v/>
      </c>
      <c r="K40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7" s="37"/>
      <c r="O4047" s="37"/>
      <c r="P4047" s="37"/>
    </row>
    <row r="4048" spans="2:16" x14ac:dyDescent="0.25">
      <c r="B40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8" s="46"/>
      <c r="D4048" s="37"/>
      <c r="E4048" s="37"/>
      <c r="F4048" s="37"/>
      <c r="G4048" s="40" t="str">
        <f>IF(tblMovimientos[[#This Row],[Producto]]="","",TRIM(LEFT(tblMovimientos[[#This Row],[Producto]],FIND(" · ",tblMovimientos[[#This Row],[Producto]]&amp;" · ")-1)))</f>
        <v/>
      </c>
      <c r="H4048" s="40" t="str">
        <f>IF(tblMovimientos[[#This Row],[SKU]]="","",IFERROR(INDEX(tblProductos[Unidad],MATCH(tblMovimientos[[#This Row],[SKU]],tblProductos[SKU],0)),"?"))</f>
        <v/>
      </c>
      <c r="I4048" s="39"/>
      <c r="J4048" s="47" t="str">
        <f>IF(tblMovimientos[[#This Row],[Tipo]]="","",IFERROR(INDEX(tblTiposMov[FactorStock],MATCH(tblMovimientos[[#This Row],[Tipo]],tblTiposMov[Tipo],0)),0))</f>
        <v/>
      </c>
      <c r="K40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8" s="37"/>
      <c r="O4048" s="37"/>
      <c r="P4048" s="37"/>
    </row>
    <row r="4049" spans="2:16" x14ac:dyDescent="0.25">
      <c r="B40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49" s="46"/>
      <c r="D4049" s="37"/>
      <c r="E4049" s="37"/>
      <c r="F4049" s="37"/>
      <c r="G4049" s="40" t="str">
        <f>IF(tblMovimientos[[#This Row],[Producto]]="","",TRIM(LEFT(tblMovimientos[[#This Row],[Producto]],FIND(" · ",tblMovimientos[[#This Row],[Producto]]&amp;" · ")-1)))</f>
        <v/>
      </c>
      <c r="H4049" s="40" t="str">
        <f>IF(tblMovimientos[[#This Row],[SKU]]="","",IFERROR(INDEX(tblProductos[Unidad],MATCH(tblMovimientos[[#This Row],[SKU]],tblProductos[SKU],0)),"?"))</f>
        <v/>
      </c>
      <c r="I4049" s="39"/>
      <c r="J4049" s="47" t="str">
        <f>IF(tblMovimientos[[#This Row],[Tipo]]="","",IFERROR(INDEX(tblTiposMov[FactorStock],MATCH(tblMovimientos[[#This Row],[Tipo]],tblTiposMov[Tipo],0)),0))</f>
        <v/>
      </c>
      <c r="K40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49" s="37"/>
      <c r="O4049" s="37"/>
      <c r="P4049" s="37"/>
    </row>
    <row r="4050" spans="2:16" x14ac:dyDescent="0.25">
      <c r="B40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0" s="46"/>
      <c r="D4050" s="37"/>
      <c r="E4050" s="37"/>
      <c r="F4050" s="37"/>
      <c r="G4050" s="40" t="str">
        <f>IF(tblMovimientos[[#This Row],[Producto]]="","",TRIM(LEFT(tblMovimientos[[#This Row],[Producto]],FIND(" · ",tblMovimientos[[#This Row],[Producto]]&amp;" · ")-1)))</f>
        <v/>
      </c>
      <c r="H4050" s="40" t="str">
        <f>IF(tblMovimientos[[#This Row],[SKU]]="","",IFERROR(INDEX(tblProductos[Unidad],MATCH(tblMovimientos[[#This Row],[SKU]],tblProductos[SKU],0)),"?"))</f>
        <v/>
      </c>
      <c r="I4050" s="39"/>
      <c r="J4050" s="47" t="str">
        <f>IF(tblMovimientos[[#This Row],[Tipo]]="","",IFERROR(INDEX(tblTiposMov[FactorStock],MATCH(tblMovimientos[[#This Row],[Tipo]],tblTiposMov[Tipo],0)),0))</f>
        <v/>
      </c>
      <c r="K40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0" s="37"/>
      <c r="O4050" s="37"/>
      <c r="P4050" s="37"/>
    </row>
    <row r="4051" spans="2:16" x14ac:dyDescent="0.25">
      <c r="B40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1" s="46"/>
      <c r="D4051" s="37"/>
      <c r="E4051" s="37"/>
      <c r="F4051" s="37"/>
      <c r="G4051" s="40" t="str">
        <f>IF(tblMovimientos[[#This Row],[Producto]]="","",TRIM(LEFT(tblMovimientos[[#This Row],[Producto]],FIND(" · ",tblMovimientos[[#This Row],[Producto]]&amp;" · ")-1)))</f>
        <v/>
      </c>
      <c r="H4051" s="40" t="str">
        <f>IF(tblMovimientos[[#This Row],[SKU]]="","",IFERROR(INDEX(tblProductos[Unidad],MATCH(tblMovimientos[[#This Row],[SKU]],tblProductos[SKU],0)),"?"))</f>
        <v/>
      </c>
      <c r="I4051" s="39"/>
      <c r="J4051" s="47" t="str">
        <f>IF(tblMovimientos[[#This Row],[Tipo]]="","",IFERROR(INDEX(tblTiposMov[FactorStock],MATCH(tblMovimientos[[#This Row],[Tipo]],tblTiposMov[Tipo],0)),0))</f>
        <v/>
      </c>
      <c r="K40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1" s="37"/>
      <c r="O4051" s="37"/>
      <c r="P4051" s="37"/>
    </row>
    <row r="4052" spans="2:16" x14ac:dyDescent="0.25">
      <c r="B40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2" s="46"/>
      <c r="D4052" s="37"/>
      <c r="E4052" s="37"/>
      <c r="F4052" s="37"/>
      <c r="G4052" s="40" t="str">
        <f>IF(tblMovimientos[[#This Row],[Producto]]="","",TRIM(LEFT(tblMovimientos[[#This Row],[Producto]],FIND(" · ",tblMovimientos[[#This Row],[Producto]]&amp;" · ")-1)))</f>
        <v/>
      </c>
      <c r="H4052" s="40" t="str">
        <f>IF(tblMovimientos[[#This Row],[SKU]]="","",IFERROR(INDEX(tblProductos[Unidad],MATCH(tblMovimientos[[#This Row],[SKU]],tblProductos[SKU],0)),"?"))</f>
        <v/>
      </c>
      <c r="I4052" s="39"/>
      <c r="J4052" s="47" t="str">
        <f>IF(tblMovimientos[[#This Row],[Tipo]]="","",IFERROR(INDEX(tblTiposMov[FactorStock],MATCH(tblMovimientos[[#This Row],[Tipo]],tblTiposMov[Tipo],0)),0))</f>
        <v/>
      </c>
      <c r="K40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2" s="37"/>
      <c r="O4052" s="37"/>
      <c r="P4052" s="37"/>
    </row>
    <row r="4053" spans="2:16" x14ac:dyDescent="0.25">
      <c r="B40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3" s="46"/>
      <c r="D4053" s="37"/>
      <c r="E4053" s="37"/>
      <c r="F4053" s="37"/>
      <c r="G4053" s="40" t="str">
        <f>IF(tblMovimientos[[#This Row],[Producto]]="","",TRIM(LEFT(tblMovimientos[[#This Row],[Producto]],FIND(" · ",tblMovimientos[[#This Row],[Producto]]&amp;" · ")-1)))</f>
        <v/>
      </c>
      <c r="H4053" s="40" t="str">
        <f>IF(tblMovimientos[[#This Row],[SKU]]="","",IFERROR(INDEX(tblProductos[Unidad],MATCH(tblMovimientos[[#This Row],[SKU]],tblProductos[SKU],0)),"?"))</f>
        <v/>
      </c>
      <c r="I4053" s="39"/>
      <c r="J4053" s="47" t="str">
        <f>IF(tblMovimientos[[#This Row],[Tipo]]="","",IFERROR(INDEX(tblTiposMov[FactorStock],MATCH(tblMovimientos[[#This Row],[Tipo]],tblTiposMov[Tipo],0)),0))</f>
        <v/>
      </c>
      <c r="K40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3" s="37"/>
      <c r="O4053" s="37"/>
      <c r="P4053" s="37"/>
    </row>
    <row r="4054" spans="2:16" x14ac:dyDescent="0.25">
      <c r="B40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4" s="46"/>
      <c r="D4054" s="37"/>
      <c r="E4054" s="37"/>
      <c r="F4054" s="37"/>
      <c r="G4054" s="40" t="str">
        <f>IF(tblMovimientos[[#This Row],[Producto]]="","",TRIM(LEFT(tblMovimientos[[#This Row],[Producto]],FIND(" · ",tblMovimientos[[#This Row],[Producto]]&amp;" · ")-1)))</f>
        <v/>
      </c>
      <c r="H4054" s="40" t="str">
        <f>IF(tblMovimientos[[#This Row],[SKU]]="","",IFERROR(INDEX(tblProductos[Unidad],MATCH(tblMovimientos[[#This Row],[SKU]],tblProductos[SKU],0)),"?"))</f>
        <v/>
      </c>
      <c r="I4054" s="39"/>
      <c r="J4054" s="47" t="str">
        <f>IF(tblMovimientos[[#This Row],[Tipo]]="","",IFERROR(INDEX(tblTiposMov[FactorStock],MATCH(tblMovimientos[[#This Row],[Tipo]],tblTiposMov[Tipo],0)),0))</f>
        <v/>
      </c>
      <c r="K40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4" s="37"/>
      <c r="O4054" s="37"/>
      <c r="P4054" s="37"/>
    </row>
    <row r="4055" spans="2:16" x14ac:dyDescent="0.25">
      <c r="B40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5" s="46"/>
      <c r="D4055" s="37"/>
      <c r="E4055" s="37"/>
      <c r="F4055" s="37"/>
      <c r="G4055" s="40" t="str">
        <f>IF(tblMovimientos[[#This Row],[Producto]]="","",TRIM(LEFT(tblMovimientos[[#This Row],[Producto]],FIND(" · ",tblMovimientos[[#This Row],[Producto]]&amp;" · ")-1)))</f>
        <v/>
      </c>
      <c r="H4055" s="40" t="str">
        <f>IF(tblMovimientos[[#This Row],[SKU]]="","",IFERROR(INDEX(tblProductos[Unidad],MATCH(tblMovimientos[[#This Row],[SKU]],tblProductos[SKU],0)),"?"))</f>
        <v/>
      </c>
      <c r="I4055" s="39"/>
      <c r="J4055" s="47" t="str">
        <f>IF(tblMovimientos[[#This Row],[Tipo]]="","",IFERROR(INDEX(tblTiposMov[FactorStock],MATCH(tblMovimientos[[#This Row],[Tipo]],tblTiposMov[Tipo],0)),0))</f>
        <v/>
      </c>
      <c r="K40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5" s="37"/>
      <c r="O4055" s="37"/>
      <c r="P4055" s="37"/>
    </row>
    <row r="4056" spans="2:16" x14ac:dyDescent="0.25">
      <c r="B40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6" s="46"/>
      <c r="D4056" s="37"/>
      <c r="E4056" s="37"/>
      <c r="F4056" s="37"/>
      <c r="G4056" s="40" t="str">
        <f>IF(tblMovimientos[[#This Row],[Producto]]="","",TRIM(LEFT(tblMovimientos[[#This Row],[Producto]],FIND(" · ",tblMovimientos[[#This Row],[Producto]]&amp;" · ")-1)))</f>
        <v/>
      </c>
      <c r="H4056" s="40" t="str">
        <f>IF(tblMovimientos[[#This Row],[SKU]]="","",IFERROR(INDEX(tblProductos[Unidad],MATCH(tblMovimientos[[#This Row],[SKU]],tblProductos[SKU],0)),"?"))</f>
        <v/>
      </c>
      <c r="I4056" s="39"/>
      <c r="J4056" s="47" t="str">
        <f>IF(tblMovimientos[[#This Row],[Tipo]]="","",IFERROR(INDEX(tblTiposMov[FactorStock],MATCH(tblMovimientos[[#This Row],[Tipo]],tblTiposMov[Tipo],0)),0))</f>
        <v/>
      </c>
      <c r="K40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6" s="37"/>
      <c r="O4056" s="37"/>
      <c r="P4056" s="37"/>
    </row>
    <row r="4057" spans="2:16" x14ac:dyDescent="0.25">
      <c r="B40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7" s="46"/>
      <c r="D4057" s="37"/>
      <c r="E4057" s="37"/>
      <c r="F4057" s="37"/>
      <c r="G4057" s="40" t="str">
        <f>IF(tblMovimientos[[#This Row],[Producto]]="","",TRIM(LEFT(tblMovimientos[[#This Row],[Producto]],FIND(" · ",tblMovimientos[[#This Row],[Producto]]&amp;" · ")-1)))</f>
        <v/>
      </c>
      <c r="H4057" s="40" t="str">
        <f>IF(tblMovimientos[[#This Row],[SKU]]="","",IFERROR(INDEX(tblProductos[Unidad],MATCH(tblMovimientos[[#This Row],[SKU]],tblProductos[SKU],0)),"?"))</f>
        <v/>
      </c>
      <c r="I4057" s="39"/>
      <c r="J4057" s="47" t="str">
        <f>IF(tblMovimientos[[#This Row],[Tipo]]="","",IFERROR(INDEX(tblTiposMov[FactorStock],MATCH(tblMovimientos[[#This Row],[Tipo]],tblTiposMov[Tipo],0)),0))</f>
        <v/>
      </c>
      <c r="K40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7" s="37"/>
      <c r="O4057" s="37"/>
      <c r="P4057" s="37"/>
    </row>
    <row r="4058" spans="2:16" x14ac:dyDescent="0.25">
      <c r="B40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8" s="46"/>
      <c r="D4058" s="37"/>
      <c r="E4058" s="37"/>
      <c r="F4058" s="37"/>
      <c r="G4058" s="40" t="str">
        <f>IF(tblMovimientos[[#This Row],[Producto]]="","",TRIM(LEFT(tblMovimientos[[#This Row],[Producto]],FIND(" · ",tblMovimientos[[#This Row],[Producto]]&amp;" · ")-1)))</f>
        <v/>
      </c>
      <c r="H4058" s="40" t="str">
        <f>IF(tblMovimientos[[#This Row],[SKU]]="","",IFERROR(INDEX(tblProductos[Unidad],MATCH(tblMovimientos[[#This Row],[SKU]],tblProductos[SKU],0)),"?"))</f>
        <v/>
      </c>
      <c r="I4058" s="39"/>
      <c r="J4058" s="47" t="str">
        <f>IF(tblMovimientos[[#This Row],[Tipo]]="","",IFERROR(INDEX(tblTiposMov[FactorStock],MATCH(tblMovimientos[[#This Row],[Tipo]],tblTiposMov[Tipo],0)),0))</f>
        <v/>
      </c>
      <c r="K40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8" s="37"/>
      <c r="O4058" s="37"/>
      <c r="P4058" s="37"/>
    </row>
    <row r="4059" spans="2:16" x14ac:dyDescent="0.25">
      <c r="B40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59" s="46"/>
      <c r="D4059" s="37"/>
      <c r="E4059" s="37"/>
      <c r="F4059" s="37"/>
      <c r="G4059" s="40" t="str">
        <f>IF(tblMovimientos[[#This Row],[Producto]]="","",TRIM(LEFT(tblMovimientos[[#This Row],[Producto]],FIND(" · ",tblMovimientos[[#This Row],[Producto]]&amp;" · ")-1)))</f>
        <v/>
      </c>
      <c r="H4059" s="40" t="str">
        <f>IF(tblMovimientos[[#This Row],[SKU]]="","",IFERROR(INDEX(tblProductos[Unidad],MATCH(tblMovimientos[[#This Row],[SKU]],tblProductos[SKU],0)),"?"))</f>
        <v/>
      </c>
      <c r="I4059" s="39"/>
      <c r="J4059" s="47" t="str">
        <f>IF(tblMovimientos[[#This Row],[Tipo]]="","",IFERROR(INDEX(tblTiposMov[FactorStock],MATCH(tblMovimientos[[#This Row],[Tipo]],tblTiposMov[Tipo],0)),0))</f>
        <v/>
      </c>
      <c r="K40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59" s="37"/>
      <c r="O4059" s="37"/>
      <c r="P4059" s="37"/>
    </row>
    <row r="4060" spans="2:16" x14ac:dyDescent="0.25">
      <c r="B40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0" s="46"/>
      <c r="D4060" s="37"/>
      <c r="E4060" s="37"/>
      <c r="F4060" s="37"/>
      <c r="G4060" s="40" t="str">
        <f>IF(tblMovimientos[[#This Row],[Producto]]="","",TRIM(LEFT(tblMovimientos[[#This Row],[Producto]],FIND(" · ",tblMovimientos[[#This Row],[Producto]]&amp;" · ")-1)))</f>
        <v/>
      </c>
      <c r="H4060" s="40" t="str">
        <f>IF(tblMovimientos[[#This Row],[SKU]]="","",IFERROR(INDEX(tblProductos[Unidad],MATCH(tblMovimientos[[#This Row],[SKU]],tblProductos[SKU],0)),"?"))</f>
        <v/>
      </c>
      <c r="I4060" s="39"/>
      <c r="J4060" s="47" t="str">
        <f>IF(tblMovimientos[[#This Row],[Tipo]]="","",IFERROR(INDEX(tblTiposMov[FactorStock],MATCH(tblMovimientos[[#This Row],[Tipo]],tblTiposMov[Tipo],0)),0))</f>
        <v/>
      </c>
      <c r="K40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0" s="37"/>
      <c r="O4060" s="37"/>
      <c r="P4060" s="37"/>
    </row>
    <row r="4061" spans="2:16" x14ac:dyDescent="0.25">
      <c r="B40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1" s="46"/>
      <c r="D4061" s="37"/>
      <c r="E4061" s="37"/>
      <c r="F4061" s="37"/>
      <c r="G4061" s="40" t="str">
        <f>IF(tblMovimientos[[#This Row],[Producto]]="","",TRIM(LEFT(tblMovimientos[[#This Row],[Producto]],FIND(" · ",tblMovimientos[[#This Row],[Producto]]&amp;" · ")-1)))</f>
        <v/>
      </c>
      <c r="H4061" s="40" t="str">
        <f>IF(tblMovimientos[[#This Row],[SKU]]="","",IFERROR(INDEX(tblProductos[Unidad],MATCH(tblMovimientos[[#This Row],[SKU]],tblProductos[SKU],0)),"?"))</f>
        <v/>
      </c>
      <c r="I4061" s="39"/>
      <c r="J4061" s="47" t="str">
        <f>IF(tblMovimientos[[#This Row],[Tipo]]="","",IFERROR(INDEX(tblTiposMov[FactorStock],MATCH(tblMovimientos[[#This Row],[Tipo]],tblTiposMov[Tipo],0)),0))</f>
        <v/>
      </c>
      <c r="K40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1" s="37"/>
      <c r="O4061" s="37"/>
      <c r="P4061" s="37"/>
    </row>
    <row r="4062" spans="2:16" x14ac:dyDescent="0.25">
      <c r="B40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2" s="46"/>
      <c r="D4062" s="37"/>
      <c r="E4062" s="37"/>
      <c r="F4062" s="37"/>
      <c r="G4062" s="40" t="str">
        <f>IF(tblMovimientos[[#This Row],[Producto]]="","",TRIM(LEFT(tblMovimientos[[#This Row],[Producto]],FIND(" · ",tblMovimientos[[#This Row],[Producto]]&amp;" · ")-1)))</f>
        <v/>
      </c>
      <c r="H4062" s="40" t="str">
        <f>IF(tblMovimientos[[#This Row],[SKU]]="","",IFERROR(INDEX(tblProductos[Unidad],MATCH(tblMovimientos[[#This Row],[SKU]],tblProductos[SKU],0)),"?"))</f>
        <v/>
      </c>
      <c r="I4062" s="39"/>
      <c r="J4062" s="47" t="str">
        <f>IF(tblMovimientos[[#This Row],[Tipo]]="","",IFERROR(INDEX(tblTiposMov[FactorStock],MATCH(tblMovimientos[[#This Row],[Tipo]],tblTiposMov[Tipo],0)),0))</f>
        <v/>
      </c>
      <c r="K40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2" s="37"/>
      <c r="O4062" s="37"/>
      <c r="P4062" s="37"/>
    </row>
    <row r="4063" spans="2:16" x14ac:dyDescent="0.25">
      <c r="B40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3" s="46"/>
      <c r="D4063" s="37"/>
      <c r="E4063" s="37"/>
      <c r="F4063" s="37"/>
      <c r="G4063" s="40" t="str">
        <f>IF(tblMovimientos[[#This Row],[Producto]]="","",TRIM(LEFT(tblMovimientos[[#This Row],[Producto]],FIND(" · ",tblMovimientos[[#This Row],[Producto]]&amp;" · ")-1)))</f>
        <v/>
      </c>
      <c r="H4063" s="40" t="str">
        <f>IF(tblMovimientos[[#This Row],[SKU]]="","",IFERROR(INDEX(tblProductos[Unidad],MATCH(tblMovimientos[[#This Row],[SKU]],tblProductos[SKU],0)),"?"))</f>
        <v/>
      </c>
      <c r="I4063" s="39"/>
      <c r="J4063" s="47" t="str">
        <f>IF(tblMovimientos[[#This Row],[Tipo]]="","",IFERROR(INDEX(tblTiposMov[FactorStock],MATCH(tblMovimientos[[#This Row],[Tipo]],tblTiposMov[Tipo],0)),0))</f>
        <v/>
      </c>
      <c r="K40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3" s="37"/>
      <c r="O4063" s="37"/>
      <c r="P4063" s="37"/>
    </row>
    <row r="4064" spans="2:16" x14ac:dyDescent="0.25">
      <c r="B40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4" s="46"/>
      <c r="D4064" s="37"/>
      <c r="E4064" s="37"/>
      <c r="F4064" s="37"/>
      <c r="G4064" s="40" t="str">
        <f>IF(tblMovimientos[[#This Row],[Producto]]="","",TRIM(LEFT(tblMovimientos[[#This Row],[Producto]],FIND(" · ",tblMovimientos[[#This Row],[Producto]]&amp;" · ")-1)))</f>
        <v/>
      </c>
      <c r="H4064" s="40" t="str">
        <f>IF(tblMovimientos[[#This Row],[SKU]]="","",IFERROR(INDEX(tblProductos[Unidad],MATCH(tblMovimientos[[#This Row],[SKU]],tblProductos[SKU],0)),"?"))</f>
        <v/>
      </c>
      <c r="I4064" s="39"/>
      <c r="J4064" s="47" t="str">
        <f>IF(tblMovimientos[[#This Row],[Tipo]]="","",IFERROR(INDEX(tblTiposMov[FactorStock],MATCH(tblMovimientos[[#This Row],[Tipo]],tblTiposMov[Tipo],0)),0))</f>
        <v/>
      </c>
      <c r="K40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4" s="37"/>
      <c r="O4064" s="37"/>
      <c r="P4064" s="37"/>
    </row>
    <row r="4065" spans="2:16" x14ac:dyDescent="0.25">
      <c r="B40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5" s="46"/>
      <c r="D4065" s="37"/>
      <c r="E4065" s="37"/>
      <c r="F4065" s="37"/>
      <c r="G4065" s="40" t="str">
        <f>IF(tblMovimientos[[#This Row],[Producto]]="","",TRIM(LEFT(tblMovimientos[[#This Row],[Producto]],FIND(" · ",tblMovimientos[[#This Row],[Producto]]&amp;" · ")-1)))</f>
        <v/>
      </c>
      <c r="H4065" s="40" t="str">
        <f>IF(tblMovimientos[[#This Row],[SKU]]="","",IFERROR(INDEX(tblProductos[Unidad],MATCH(tblMovimientos[[#This Row],[SKU]],tblProductos[SKU],0)),"?"))</f>
        <v/>
      </c>
      <c r="I4065" s="39"/>
      <c r="J4065" s="47" t="str">
        <f>IF(tblMovimientos[[#This Row],[Tipo]]="","",IFERROR(INDEX(tblTiposMov[FactorStock],MATCH(tblMovimientos[[#This Row],[Tipo]],tblTiposMov[Tipo],0)),0))</f>
        <v/>
      </c>
      <c r="K40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5" s="37"/>
      <c r="O4065" s="37"/>
      <c r="P4065" s="37"/>
    </row>
    <row r="4066" spans="2:16" x14ac:dyDescent="0.25">
      <c r="B40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6" s="46"/>
      <c r="D4066" s="37"/>
      <c r="E4066" s="37"/>
      <c r="F4066" s="37"/>
      <c r="G4066" s="40" t="str">
        <f>IF(tblMovimientos[[#This Row],[Producto]]="","",TRIM(LEFT(tblMovimientos[[#This Row],[Producto]],FIND(" · ",tblMovimientos[[#This Row],[Producto]]&amp;" · ")-1)))</f>
        <v/>
      </c>
      <c r="H4066" s="40" t="str">
        <f>IF(tblMovimientos[[#This Row],[SKU]]="","",IFERROR(INDEX(tblProductos[Unidad],MATCH(tblMovimientos[[#This Row],[SKU]],tblProductos[SKU],0)),"?"))</f>
        <v/>
      </c>
      <c r="I4066" s="39"/>
      <c r="J4066" s="47" t="str">
        <f>IF(tblMovimientos[[#This Row],[Tipo]]="","",IFERROR(INDEX(tblTiposMov[FactorStock],MATCH(tblMovimientos[[#This Row],[Tipo]],tblTiposMov[Tipo],0)),0))</f>
        <v/>
      </c>
      <c r="K40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6" s="37"/>
      <c r="O4066" s="37"/>
      <c r="P4066" s="37"/>
    </row>
    <row r="4067" spans="2:16" x14ac:dyDescent="0.25">
      <c r="B40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7" s="46"/>
      <c r="D4067" s="37"/>
      <c r="E4067" s="37"/>
      <c r="F4067" s="37"/>
      <c r="G4067" s="40" t="str">
        <f>IF(tblMovimientos[[#This Row],[Producto]]="","",TRIM(LEFT(tblMovimientos[[#This Row],[Producto]],FIND(" · ",tblMovimientos[[#This Row],[Producto]]&amp;" · ")-1)))</f>
        <v/>
      </c>
      <c r="H4067" s="40" t="str">
        <f>IF(tblMovimientos[[#This Row],[SKU]]="","",IFERROR(INDEX(tblProductos[Unidad],MATCH(tblMovimientos[[#This Row],[SKU]],tblProductos[SKU],0)),"?"))</f>
        <v/>
      </c>
      <c r="I4067" s="39"/>
      <c r="J4067" s="47" t="str">
        <f>IF(tblMovimientos[[#This Row],[Tipo]]="","",IFERROR(INDEX(tblTiposMov[FactorStock],MATCH(tblMovimientos[[#This Row],[Tipo]],tblTiposMov[Tipo],0)),0))</f>
        <v/>
      </c>
      <c r="K40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7" s="37"/>
      <c r="O4067" s="37"/>
      <c r="P4067" s="37"/>
    </row>
    <row r="4068" spans="2:16" x14ac:dyDescent="0.25">
      <c r="B40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8" s="46"/>
      <c r="D4068" s="37"/>
      <c r="E4068" s="37"/>
      <c r="F4068" s="37"/>
      <c r="G4068" s="40" t="str">
        <f>IF(tblMovimientos[[#This Row],[Producto]]="","",TRIM(LEFT(tblMovimientos[[#This Row],[Producto]],FIND(" · ",tblMovimientos[[#This Row],[Producto]]&amp;" · ")-1)))</f>
        <v/>
      </c>
      <c r="H4068" s="40" t="str">
        <f>IF(tblMovimientos[[#This Row],[SKU]]="","",IFERROR(INDEX(tblProductos[Unidad],MATCH(tblMovimientos[[#This Row],[SKU]],tblProductos[SKU],0)),"?"))</f>
        <v/>
      </c>
      <c r="I4068" s="39"/>
      <c r="J4068" s="47" t="str">
        <f>IF(tblMovimientos[[#This Row],[Tipo]]="","",IFERROR(INDEX(tblTiposMov[FactorStock],MATCH(tblMovimientos[[#This Row],[Tipo]],tblTiposMov[Tipo],0)),0))</f>
        <v/>
      </c>
      <c r="K40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8" s="37"/>
      <c r="O4068" s="37"/>
      <c r="P4068" s="37"/>
    </row>
    <row r="4069" spans="2:16" x14ac:dyDescent="0.25">
      <c r="B40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69" s="46"/>
      <c r="D4069" s="37"/>
      <c r="E4069" s="37"/>
      <c r="F4069" s="37"/>
      <c r="G4069" s="40" t="str">
        <f>IF(tblMovimientos[[#This Row],[Producto]]="","",TRIM(LEFT(tblMovimientos[[#This Row],[Producto]],FIND(" · ",tblMovimientos[[#This Row],[Producto]]&amp;" · ")-1)))</f>
        <v/>
      </c>
      <c r="H4069" s="40" t="str">
        <f>IF(tblMovimientos[[#This Row],[SKU]]="","",IFERROR(INDEX(tblProductos[Unidad],MATCH(tblMovimientos[[#This Row],[SKU]],tblProductos[SKU],0)),"?"))</f>
        <v/>
      </c>
      <c r="I4069" s="39"/>
      <c r="J4069" s="47" t="str">
        <f>IF(tblMovimientos[[#This Row],[Tipo]]="","",IFERROR(INDEX(tblTiposMov[FactorStock],MATCH(tblMovimientos[[#This Row],[Tipo]],tblTiposMov[Tipo],0)),0))</f>
        <v/>
      </c>
      <c r="K40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69" s="37"/>
      <c r="O4069" s="37"/>
      <c r="P4069" s="37"/>
    </row>
    <row r="4070" spans="2:16" x14ac:dyDescent="0.25">
      <c r="B40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0" s="46"/>
      <c r="D4070" s="37"/>
      <c r="E4070" s="37"/>
      <c r="F4070" s="37"/>
      <c r="G4070" s="40" t="str">
        <f>IF(tblMovimientos[[#This Row],[Producto]]="","",TRIM(LEFT(tblMovimientos[[#This Row],[Producto]],FIND(" · ",tblMovimientos[[#This Row],[Producto]]&amp;" · ")-1)))</f>
        <v/>
      </c>
      <c r="H4070" s="40" t="str">
        <f>IF(tblMovimientos[[#This Row],[SKU]]="","",IFERROR(INDEX(tblProductos[Unidad],MATCH(tblMovimientos[[#This Row],[SKU]],tblProductos[SKU],0)),"?"))</f>
        <v/>
      </c>
      <c r="I4070" s="39"/>
      <c r="J4070" s="47" t="str">
        <f>IF(tblMovimientos[[#This Row],[Tipo]]="","",IFERROR(INDEX(tblTiposMov[FactorStock],MATCH(tblMovimientos[[#This Row],[Tipo]],tblTiposMov[Tipo],0)),0))</f>
        <v/>
      </c>
      <c r="K40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0" s="37"/>
      <c r="O4070" s="37"/>
      <c r="P4070" s="37"/>
    </row>
    <row r="4071" spans="2:16" x14ac:dyDescent="0.25">
      <c r="B40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1" s="46"/>
      <c r="D4071" s="37"/>
      <c r="E4071" s="37"/>
      <c r="F4071" s="37"/>
      <c r="G4071" s="40" t="str">
        <f>IF(tblMovimientos[[#This Row],[Producto]]="","",TRIM(LEFT(tblMovimientos[[#This Row],[Producto]],FIND(" · ",tblMovimientos[[#This Row],[Producto]]&amp;" · ")-1)))</f>
        <v/>
      </c>
      <c r="H4071" s="40" t="str">
        <f>IF(tblMovimientos[[#This Row],[SKU]]="","",IFERROR(INDEX(tblProductos[Unidad],MATCH(tblMovimientos[[#This Row],[SKU]],tblProductos[SKU],0)),"?"))</f>
        <v/>
      </c>
      <c r="I4071" s="39"/>
      <c r="J4071" s="47" t="str">
        <f>IF(tblMovimientos[[#This Row],[Tipo]]="","",IFERROR(INDEX(tblTiposMov[FactorStock],MATCH(tblMovimientos[[#This Row],[Tipo]],tblTiposMov[Tipo],0)),0))</f>
        <v/>
      </c>
      <c r="K40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1" s="37"/>
      <c r="O4071" s="37"/>
      <c r="P4071" s="37"/>
    </row>
    <row r="4072" spans="2:16" x14ac:dyDescent="0.25">
      <c r="B40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2" s="46"/>
      <c r="D4072" s="37"/>
      <c r="E4072" s="37"/>
      <c r="F4072" s="37"/>
      <c r="G4072" s="40" t="str">
        <f>IF(tblMovimientos[[#This Row],[Producto]]="","",TRIM(LEFT(tblMovimientos[[#This Row],[Producto]],FIND(" · ",tblMovimientos[[#This Row],[Producto]]&amp;" · ")-1)))</f>
        <v/>
      </c>
      <c r="H4072" s="40" t="str">
        <f>IF(tblMovimientos[[#This Row],[SKU]]="","",IFERROR(INDEX(tblProductos[Unidad],MATCH(tblMovimientos[[#This Row],[SKU]],tblProductos[SKU],0)),"?"))</f>
        <v/>
      </c>
      <c r="I4072" s="39"/>
      <c r="J4072" s="47" t="str">
        <f>IF(tblMovimientos[[#This Row],[Tipo]]="","",IFERROR(INDEX(tblTiposMov[FactorStock],MATCH(tblMovimientos[[#This Row],[Tipo]],tblTiposMov[Tipo],0)),0))</f>
        <v/>
      </c>
      <c r="K40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2" s="37"/>
      <c r="O4072" s="37"/>
      <c r="P4072" s="37"/>
    </row>
    <row r="4073" spans="2:16" x14ac:dyDescent="0.25">
      <c r="B40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3" s="46"/>
      <c r="D4073" s="37"/>
      <c r="E4073" s="37"/>
      <c r="F4073" s="37"/>
      <c r="G4073" s="40" t="str">
        <f>IF(tblMovimientos[[#This Row],[Producto]]="","",TRIM(LEFT(tblMovimientos[[#This Row],[Producto]],FIND(" · ",tblMovimientos[[#This Row],[Producto]]&amp;" · ")-1)))</f>
        <v/>
      </c>
      <c r="H4073" s="40" t="str">
        <f>IF(tblMovimientos[[#This Row],[SKU]]="","",IFERROR(INDEX(tblProductos[Unidad],MATCH(tblMovimientos[[#This Row],[SKU]],tblProductos[SKU],0)),"?"))</f>
        <v/>
      </c>
      <c r="I4073" s="39"/>
      <c r="J4073" s="47" t="str">
        <f>IF(tblMovimientos[[#This Row],[Tipo]]="","",IFERROR(INDEX(tblTiposMov[FactorStock],MATCH(tblMovimientos[[#This Row],[Tipo]],tblTiposMov[Tipo],0)),0))</f>
        <v/>
      </c>
      <c r="K40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3" s="37"/>
      <c r="O4073" s="37"/>
      <c r="P4073" s="37"/>
    </row>
    <row r="4074" spans="2:16" x14ac:dyDescent="0.25">
      <c r="B40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4" s="46"/>
      <c r="D4074" s="37"/>
      <c r="E4074" s="37"/>
      <c r="F4074" s="37"/>
      <c r="G4074" s="40" t="str">
        <f>IF(tblMovimientos[[#This Row],[Producto]]="","",TRIM(LEFT(tblMovimientos[[#This Row],[Producto]],FIND(" · ",tblMovimientos[[#This Row],[Producto]]&amp;" · ")-1)))</f>
        <v/>
      </c>
      <c r="H4074" s="40" t="str">
        <f>IF(tblMovimientos[[#This Row],[SKU]]="","",IFERROR(INDEX(tblProductos[Unidad],MATCH(tblMovimientos[[#This Row],[SKU]],tblProductos[SKU],0)),"?"))</f>
        <v/>
      </c>
      <c r="I4074" s="39"/>
      <c r="J4074" s="47" t="str">
        <f>IF(tblMovimientos[[#This Row],[Tipo]]="","",IFERROR(INDEX(tblTiposMov[FactorStock],MATCH(tblMovimientos[[#This Row],[Tipo]],tblTiposMov[Tipo],0)),0))</f>
        <v/>
      </c>
      <c r="K40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4" s="37"/>
      <c r="O4074" s="37"/>
      <c r="P4074" s="37"/>
    </row>
    <row r="4075" spans="2:16" x14ac:dyDescent="0.25">
      <c r="B40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5" s="46"/>
      <c r="D4075" s="37"/>
      <c r="E4075" s="37"/>
      <c r="F4075" s="37"/>
      <c r="G4075" s="40" t="str">
        <f>IF(tblMovimientos[[#This Row],[Producto]]="","",TRIM(LEFT(tblMovimientos[[#This Row],[Producto]],FIND(" · ",tblMovimientos[[#This Row],[Producto]]&amp;" · ")-1)))</f>
        <v/>
      </c>
      <c r="H4075" s="40" t="str">
        <f>IF(tblMovimientos[[#This Row],[SKU]]="","",IFERROR(INDEX(tblProductos[Unidad],MATCH(tblMovimientos[[#This Row],[SKU]],tblProductos[SKU],0)),"?"))</f>
        <v/>
      </c>
      <c r="I4075" s="39"/>
      <c r="J4075" s="47" t="str">
        <f>IF(tblMovimientos[[#This Row],[Tipo]]="","",IFERROR(INDEX(tblTiposMov[FactorStock],MATCH(tblMovimientos[[#This Row],[Tipo]],tblTiposMov[Tipo],0)),0))</f>
        <v/>
      </c>
      <c r="K40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5" s="37"/>
      <c r="O4075" s="37"/>
      <c r="P4075" s="37"/>
    </row>
    <row r="4076" spans="2:16" x14ac:dyDescent="0.25">
      <c r="B40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6" s="46"/>
      <c r="D4076" s="37"/>
      <c r="E4076" s="37"/>
      <c r="F4076" s="37"/>
      <c r="G4076" s="40" t="str">
        <f>IF(tblMovimientos[[#This Row],[Producto]]="","",TRIM(LEFT(tblMovimientos[[#This Row],[Producto]],FIND(" · ",tblMovimientos[[#This Row],[Producto]]&amp;" · ")-1)))</f>
        <v/>
      </c>
      <c r="H4076" s="40" t="str">
        <f>IF(tblMovimientos[[#This Row],[SKU]]="","",IFERROR(INDEX(tblProductos[Unidad],MATCH(tblMovimientos[[#This Row],[SKU]],tblProductos[SKU],0)),"?"))</f>
        <v/>
      </c>
      <c r="I4076" s="39"/>
      <c r="J4076" s="47" t="str">
        <f>IF(tblMovimientos[[#This Row],[Tipo]]="","",IFERROR(INDEX(tblTiposMov[FactorStock],MATCH(tblMovimientos[[#This Row],[Tipo]],tblTiposMov[Tipo],0)),0))</f>
        <v/>
      </c>
      <c r="K40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6" s="37"/>
      <c r="O4076" s="37"/>
      <c r="P4076" s="37"/>
    </row>
    <row r="4077" spans="2:16" x14ac:dyDescent="0.25">
      <c r="B40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7" s="46"/>
      <c r="D4077" s="37"/>
      <c r="E4077" s="37"/>
      <c r="F4077" s="37"/>
      <c r="G4077" s="40" t="str">
        <f>IF(tblMovimientos[[#This Row],[Producto]]="","",TRIM(LEFT(tblMovimientos[[#This Row],[Producto]],FIND(" · ",tblMovimientos[[#This Row],[Producto]]&amp;" · ")-1)))</f>
        <v/>
      </c>
      <c r="H4077" s="40" t="str">
        <f>IF(tblMovimientos[[#This Row],[SKU]]="","",IFERROR(INDEX(tblProductos[Unidad],MATCH(tblMovimientos[[#This Row],[SKU]],tblProductos[SKU],0)),"?"))</f>
        <v/>
      </c>
      <c r="I4077" s="39"/>
      <c r="J4077" s="47" t="str">
        <f>IF(tblMovimientos[[#This Row],[Tipo]]="","",IFERROR(INDEX(tblTiposMov[FactorStock],MATCH(tblMovimientos[[#This Row],[Tipo]],tblTiposMov[Tipo],0)),0))</f>
        <v/>
      </c>
      <c r="K40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7" s="37"/>
      <c r="O4077" s="37"/>
      <c r="P4077" s="37"/>
    </row>
    <row r="4078" spans="2:16" x14ac:dyDescent="0.25">
      <c r="B40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8" s="46"/>
      <c r="D4078" s="37"/>
      <c r="E4078" s="37"/>
      <c r="F4078" s="37"/>
      <c r="G4078" s="40" t="str">
        <f>IF(tblMovimientos[[#This Row],[Producto]]="","",TRIM(LEFT(tblMovimientos[[#This Row],[Producto]],FIND(" · ",tblMovimientos[[#This Row],[Producto]]&amp;" · ")-1)))</f>
        <v/>
      </c>
      <c r="H4078" s="40" t="str">
        <f>IF(tblMovimientos[[#This Row],[SKU]]="","",IFERROR(INDEX(tblProductos[Unidad],MATCH(tblMovimientos[[#This Row],[SKU]],tblProductos[SKU],0)),"?"))</f>
        <v/>
      </c>
      <c r="I4078" s="39"/>
      <c r="J4078" s="47" t="str">
        <f>IF(tblMovimientos[[#This Row],[Tipo]]="","",IFERROR(INDEX(tblTiposMov[FactorStock],MATCH(tblMovimientos[[#This Row],[Tipo]],tblTiposMov[Tipo],0)),0))</f>
        <v/>
      </c>
      <c r="K40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8" s="37"/>
      <c r="O4078" s="37"/>
      <c r="P4078" s="37"/>
    </row>
    <row r="4079" spans="2:16" x14ac:dyDescent="0.25">
      <c r="B40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79" s="46"/>
      <c r="D4079" s="37"/>
      <c r="E4079" s="37"/>
      <c r="F4079" s="37"/>
      <c r="G4079" s="40" t="str">
        <f>IF(tblMovimientos[[#This Row],[Producto]]="","",TRIM(LEFT(tblMovimientos[[#This Row],[Producto]],FIND(" · ",tblMovimientos[[#This Row],[Producto]]&amp;" · ")-1)))</f>
        <v/>
      </c>
      <c r="H4079" s="40" t="str">
        <f>IF(tblMovimientos[[#This Row],[SKU]]="","",IFERROR(INDEX(tblProductos[Unidad],MATCH(tblMovimientos[[#This Row],[SKU]],tblProductos[SKU],0)),"?"))</f>
        <v/>
      </c>
      <c r="I4079" s="39"/>
      <c r="J4079" s="47" t="str">
        <f>IF(tblMovimientos[[#This Row],[Tipo]]="","",IFERROR(INDEX(tblTiposMov[FactorStock],MATCH(tblMovimientos[[#This Row],[Tipo]],tblTiposMov[Tipo],0)),0))</f>
        <v/>
      </c>
      <c r="K40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79" s="37"/>
      <c r="O4079" s="37"/>
      <c r="P4079" s="37"/>
    </row>
    <row r="4080" spans="2:16" x14ac:dyDescent="0.25">
      <c r="B40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0" s="46"/>
      <c r="D4080" s="37"/>
      <c r="E4080" s="37"/>
      <c r="F4080" s="37"/>
      <c r="G4080" s="40" t="str">
        <f>IF(tblMovimientos[[#This Row],[Producto]]="","",TRIM(LEFT(tblMovimientos[[#This Row],[Producto]],FIND(" · ",tblMovimientos[[#This Row],[Producto]]&amp;" · ")-1)))</f>
        <v/>
      </c>
      <c r="H4080" s="40" t="str">
        <f>IF(tblMovimientos[[#This Row],[SKU]]="","",IFERROR(INDEX(tblProductos[Unidad],MATCH(tblMovimientos[[#This Row],[SKU]],tblProductos[SKU],0)),"?"))</f>
        <v/>
      </c>
      <c r="I4080" s="39"/>
      <c r="J4080" s="47" t="str">
        <f>IF(tblMovimientos[[#This Row],[Tipo]]="","",IFERROR(INDEX(tblTiposMov[FactorStock],MATCH(tblMovimientos[[#This Row],[Tipo]],tblTiposMov[Tipo],0)),0))</f>
        <v/>
      </c>
      <c r="K40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0" s="37"/>
      <c r="O4080" s="37"/>
      <c r="P4080" s="37"/>
    </row>
    <row r="4081" spans="2:16" x14ac:dyDescent="0.25">
      <c r="B40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1" s="46"/>
      <c r="D4081" s="37"/>
      <c r="E4081" s="37"/>
      <c r="F4081" s="37"/>
      <c r="G4081" s="40" t="str">
        <f>IF(tblMovimientos[[#This Row],[Producto]]="","",TRIM(LEFT(tblMovimientos[[#This Row],[Producto]],FIND(" · ",tblMovimientos[[#This Row],[Producto]]&amp;" · ")-1)))</f>
        <v/>
      </c>
      <c r="H4081" s="40" t="str">
        <f>IF(tblMovimientos[[#This Row],[SKU]]="","",IFERROR(INDEX(tblProductos[Unidad],MATCH(tblMovimientos[[#This Row],[SKU]],tblProductos[SKU],0)),"?"))</f>
        <v/>
      </c>
      <c r="I4081" s="39"/>
      <c r="J4081" s="47" t="str">
        <f>IF(tblMovimientos[[#This Row],[Tipo]]="","",IFERROR(INDEX(tblTiposMov[FactorStock],MATCH(tblMovimientos[[#This Row],[Tipo]],tblTiposMov[Tipo],0)),0))</f>
        <v/>
      </c>
      <c r="K40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1" s="37"/>
      <c r="O4081" s="37"/>
      <c r="P4081" s="37"/>
    </row>
    <row r="4082" spans="2:16" x14ac:dyDescent="0.25">
      <c r="B40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2" s="46"/>
      <c r="D4082" s="37"/>
      <c r="E4082" s="37"/>
      <c r="F4082" s="37"/>
      <c r="G4082" s="40" t="str">
        <f>IF(tblMovimientos[[#This Row],[Producto]]="","",TRIM(LEFT(tblMovimientos[[#This Row],[Producto]],FIND(" · ",tblMovimientos[[#This Row],[Producto]]&amp;" · ")-1)))</f>
        <v/>
      </c>
      <c r="H4082" s="40" t="str">
        <f>IF(tblMovimientos[[#This Row],[SKU]]="","",IFERROR(INDEX(tblProductos[Unidad],MATCH(tblMovimientos[[#This Row],[SKU]],tblProductos[SKU],0)),"?"))</f>
        <v/>
      </c>
      <c r="I4082" s="39"/>
      <c r="J4082" s="47" t="str">
        <f>IF(tblMovimientos[[#This Row],[Tipo]]="","",IFERROR(INDEX(tblTiposMov[FactorStock],MATCH(tblMovimientos[[#This Row],[Tipo]],tblTiposMov[Tipo],0)),0))</f>
        <v/>
      </c>
      <c r="K40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2" s="37"/>
      <c r="O4082" s="37"/>
      <c r="P4082" s="37"/>
    </row>
    <row r="4083" spans="2:16" x14ac:dyDescent="0.25">
      <c r="B40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3" s="46"/>
      <c r="D4083" s="37"/>
      <c r="E4083" s="37"/>
      <c r="F4083" s="37"/>
      <c r="G4083" s="40" t="str">
        <f>IF(tblMovimientos[[#This Row],[Producto]]="","",TRIM(LEFT(tblMovimientos[[#This Row],[Producto]],FIND(" · ",tblMovimientos[[#This Row],[Producto]]&amp;" · ")-1)))</f>
        <v/>
      </c>
      <c r="H4083" s="40" t="str">
        <f>IF(tblMovimientos[[#This Row],[SKU]]="","",IFERROR(INDEX(tblProductos[Unidad],MATCH(tblMovimientos[[#This Row],[SKU]],tblProductos[SKU],0)),"?"))</f>
        <v/>
      </c>
      <c r="I4083" s="39"/>
      <c r="J4083" s="47" t="str">
        <f>IF(tblMovimientos[[#This Row],[Tipo]]="","",IFERROR(INDEX(tblTiposMov[FactorStock],MATCH(tblMovimientos[[#This Row],[Tipo]],tblTiposMov[Tipo],0)),0))</f>
        <v/>
      </c>
      <c r="K40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3" s="37"/>
      <c r="O4083" s="37"/>
      <c r="P4083" s="37"/>
    </row>
    <row r="4084" spans="2:16" x14ac:dyDescent="0.25">
      <c r="B40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4" s="46"/>
      <c r="D4084" s="37"/>
      <c r="E4084" s="37"/>
      <c r="F4084" s="37"/>
      <c r="G4084" s="40" t="str">
        <f>IF(tblMovimientos[[#This Row],[Producto]]="","",TRIM(LEFT(tblMovimientos[[#This Row],[Producto]],FIND(" · ",tblMovimientos[[#This Row],[Producto]]&amp;" · ")-1)))</f>
        <v/>
      </c>
      <c r="H4084" s="40" t="str">
        <f>IF(tblMovimientos[[#This Row],[SKU]]="","",IFERROR(INDEX(tblProductos[Unidad],MATCH(tblMovimientos[[#This Row],[SKU]],tblProductos[SKU],0)),"?"))</f>
        <v/>
      </c>
      <c r="I4084" s="39"/>
      <c r="J4084" s="47" t="str">
        <f>IF(tblMovimientos[[#This Row],[Tipo]]="","",IFERROR(INDEX(tblTiposMov[FactorStock],MATCH(tblMovimientos[[#This Row],[Tipo]],tblTiposMov[Tipo],0)),0))</f>
        <v/>
      </c>
      <c r="K40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4" s="37"/>
      <c r="O4084" s="37"/>
      <c r="P4084" s="37"/>
    </row>
    <row r="4085" spans="2:16" x14ac:dyDescent="0.25">
      <c r="B40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5" s="46"/>
      <c r="D4085" s="37"/>
      <c r="E4085" s="37"/>
      <c r="F4085" s="37"/>
      <c r="G4085" s="40" t="str">
        <f>IF(tblMovimientos[[#This Row],[Producto]]="","",TRIM(LEFT(tblMovimientos[[#This Row],[Producto]],FIND(" · ",tblMovimientos[[#This Row],[Producto]]&amp;" · ")-1)))</f>
        <v/>
      </c>
      <c r="H4085" s="40" t="str">
        <f>IF(tblMovimientos[[#This Row],[SKU]]="","",IFERROR(INDEX(tblProductos[Unidad],MATCH(tblMovimientos[[#This Row],[SKU]],tblProductos[SKU],0)),"?"))</f>
        <v/>
      </c>
      <c r="I4085" s="39"/>
      <c r="J4085" s="47" t="str">
        <f>IF(tblMovimientos[[#This Row],[Tipo]]="","",IFERROR(INDEX(tblTiposMov[FactorStock],MATCH(tblMovimientos[[#This Row],[Tipo]],tblTiposMov[Tipo],0)),0))</f>
        <v/>
      </c>
      <c r="K40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5" s="37"/>
      <c r="O4085" s="37"/>
      <c r="P4085" s="37"/>
    </row>
    <row r="4086" spans="2:16" x14ac:dyDescent="0.25">
      <c r="B40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6" s="46"/>
      <c r="D4086" s="37"/>
      <c r="E4086" s="37"/>
      <c r="F4086" s="37"/>
      <c r="G4086" s="40" t="str">
        <f>IF(tblMovimientos[[#This Row],[Producto]]="","",TRIM(LEFT(tblMovimientos[[#This Row],[Producto]],FIND(" · ",tblMovimientos[[#This Row],[Producto]]&amp;" · ")-1)))</f>
        <v/>
      </c>
      <c r="H4086" s="40" t="str">
        <f>IF(tblMovimientos[[#This Row],[SKU]]="","",IFERROR(INDEX(tblProductos[Unidad],MATCH(tblMovimientos[[#This Row],[SKU]],tblProductos[SKU],0)),"?"))</f>
        <v/>
      </c>
      <c r="I4086" s="39"/>
      <c r="J4086" s="47" t="str">
        <f>IF(tblMovimientos[[#This Row],[Tipo]]="","",IFERROR(INDEX(tblTiposMov[FactorStock],MATCH(tblMovimientos[[#This Row],[Tipo]],tblTiposMov[Tipo],0)),0))</f>
        <v/>
      </c>
      <c r="K40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6" s="37"/>
      <c r="O4086" s="37"/>
      <c r="P4086" s="37"/>
    </row>
    <row r="4087" spans="2:16" x14ac:dyDescent="0.25">
      <c r="B40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7" s="46"/>
      <c r="D4087" s="37"/>
      <c r="E4087" s="37"/>
      <c r="F4087" s="37"/>
      <c r="G4087" s="40" t="str">
        <f>IF(tblMovimientos[[#This Row],[Producto]]="","",TRIM(LEFT(tblMovimientos[[#This Row],[Producto]],FIND(" · ",tblMovimientos[[#This Row],[Producto]]&amp;" · ")-1)))</f>
        <v/>
      </c>
      <c r="H4087" s="40" t="str">
        <f>IF(tblMovimientos[[#This Row],[SKU]]="","",IFERROR(INDEX(tblProductos[Unidad],MATCH(tblMovimientos[[#This Row],[SKU]],tblProductos[SKU],0)),"?"))</f>
        <v/>
      </c>
      <c r="I4087" s="39"/>
      <c r="J4087" s="47" t="str">
        <f>IF(tblMovimientos[[#This Row],[Tipo]]="","",IFERROR(INDEX(tblTiposMov[FactorStock],MATCH(tblMovimientos[[#This Row],[Tipo]],tblTiposMov[Tipo],0)),0))</f>
        <v/>
      </c>
      <c r="K40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7" s="37"/>
      <c r="O4087" s="37"/>
      <c r="P4087" s="37"/>
    </row>
    <row r="4088" spans="2:16" x14ac:dyDescent="0.25">
      <c r="B40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8" s="46"/>
      <c r="D4088" s="37"/>
      <c r="E4088" s="37"/>
      <c r="F4088" s="37"/>
      <c r="G4088" s="40" t="str">
        <f>IF(tblMovimientos[[#This Row],[Producto]]="","",TRIM(LEFT(tblMovimientos[[#This Row],[Producto]],FIND(" · ",tblMovimientos[[#This Row],[Producto]]&amp;" · ")-1)))</f>
        <v/>
      </c>
      <c r="H4088" s="40" t="str">
        <f>IF(tblMovimientos[[#This Row],[SKU]]="","",IFERROR(INDEX(tblProductos[Unidad],MATCH(tblMovimientos[[#This Row],[SKU]],tblProductos[SKU],0)),"?"))</f>
        <v/>
      </c>
      <c r="I4088" s="39"/>
      <c r="J4088" s="47" t="str">
        <f>IF(tblMovimientos[[#This Row],[Tipo]]="","",IFERROR(INDEX(tblTiposMov[FactorStock],MATCH(tblMovimientos[[#This Row],[Tipo]],tblTiposMov[Tipo],0)),0))</f>
        <v/>
      </c>
      <c r="K40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8" s="37"/>
      <c r="O4088" s="37"/>
      <c r="P4088" s="37"/>
    </row>
    <row r="4089" spans="2:16" x14ac:dyDescent="0.25">
      <c r="B40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89" s="46"/>
      <c r="D4089" s="37"/>
      <c r="E4089" s="37"/>
      <c r="F4089" s="37"/>
      <c r="G4089" s="40" t="str">
        <f>IF(tblMovimientos[[#This Row],[Producto]]="","",TRIM(LEFT(tblMovimientos[[#This Row],[Producto]],FIND(" · ",tblMovimientos[[#This Row],[Producto]]&amp;" · ")-1)))</f>
        <v/>
      </c>
      <c r="H4089" s="40" t="str">
        <f>IF(tblMovimientos[[#This Row],[SKU]]="","",IFERROR(INDEX(tblProductos[Unidad],MATCH(tblMovimientos[[#This Row],[SKU]],tblProductos[SKU],0)),"?"))</f>
        <v/>
      </c>
      <c r="I4089" s="39"/>
      <c r="J4089" s="47" t="str">
        <f>IF(tblMovimientos[[#This Row],[Tipo]]="","",IFERROR(INDEX(tblTiposMov[FactorStock],MATCH(tblMovimientos[[#This Row],[Tipo]],tblTiposMov[Tipo],0)),0))</f>
        <v/>
      </c>
      <c r="K40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89" s="37"/>
      <c r="O4089" s="37"/>
      <c r="P4089" s="37"/>
    </row>
    <row r="4090" spans="2:16" x14ac:dyDescent="0.25">
      <c r="B40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0" s="46"/>
      <c r="D4090" s="37"/>
      <c r="E4090" s="37"/>
      <c r="F4090" s="37"/>
      <c r="G4090" s="40" t="str">
        <f>IF(tblMovimientos[[#This Row],[Producto]]="","",TRIM(LEFT(tblMovimientos[[#This Row],[Producto]],FIND(" · ",tblMovimientos[[#This Row],[Producto]]&amp;" · ")-1)))</f>
        <v/>
      </c>
      <c r="H4090" s="40" t="str">
        <f>IF(tblMovimientos[[#This Row],[SKU]]="","",IFERROR(INDEX(tblProductos[Unidad],MATCH(tblMovimientos[[#This Row],[SKU]],tblProductos[SKU],0)),"?"))</f>
        <v/>
      </c>
      <c r="I4090" s="39"/>
      <c r="J4090" s="47" t="str">
        <f>IF(tblMovimientos[[#This Row],[Tipo]]="","",IFERROR(INDEX(tblTiposMov[FactorStock],MATCH(tblMovimientos[[#This Row],[Tipo]],tblTiposMov[Tipo],0)),0))</f>
        <v/>
      </c>
      <c r="K40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0" s="37"/>
      <c r="O4090" s="37"/>
      <c r="P4090" s="37"/>
    </row>
    <row r="4091" spans="2:16" x14ac:dyDescent="0.25">
      <c r="B40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1" s="46"/>
      <c r="D4091" s="37"/>
      <c r="E4091" s="37"/>
      <c r="F4091" s="37"/>
      <c r="G4091" s="40" t="str">
        <f>IF(tblMovimientos[[#This Row],[Producto]]="","",TRIM(LEFT(tblMovimientos[[#This Row],[Producto]],FIND(" · ",tblMovimientos[[#This Row],[Producto]]&amp;" · ")-1)))</f>
        <v/>
      </c>
      <c r="H4091" s="40" t="str">
        <f>IF(tblMovimientos[[#This Row],[SKU]]="","",IFERROR(INDEX(tblProductos[Unidad],MATCH(tblMovimientos[[#This Row],[SKU]],tblProductos[SKU],0)),"?"))</f>
        <v/>
      </c>
      <c r="I4091" s="39"/>
      <c r="J4091" s="47" t="str">
        <f>IF(tblMovimientos[[#This Row],[Tipo]]="","",IFERROR(INDEX(tblTiposMov[FactorStock],MATCH(tblMovimientos[[#This Row],[Tipo]],tblTiposMov[Tipo],0)),0))</f>
        <v/>
      </c>
      <c r="K40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1" s="37"/>
      <c r="O4091" s="37"/>
      <c r="P4091" s="37"/>
    </row>
    <row r="4092" spans="2:16" x14ac:dyDescent="0.25">
      <c r="B40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2" s="46"/>
      <c r="D4092" s="37"/>
      <c r="E4092" s="37"/>
      <c r="F4092" s="37"/>
      <c r="G4092" s="40" t="str">
        <f>IF(tblMovimientos[[#This Row],[Producto]]="","",TRIM(LEFT(tblMovimientos[[#This Row],[Producto]],FIND(" · ",tblMovimientos[[#This Row],[Producto]]&amp;" · ")-1)))</f>
        <v/>
      </c>
      <c r="H4092" s="40" t="str">
        <f>IF(tblMovimientos[[#This Row],[SKU]]="","",IFERROR(INDEX(tblProductos[Unidad],MATCH(tblMovimientos[[#This Row],[SKU]],tblProductos[SKU],0)),"?"))</f>
        <v/>
      </c>
      <c r="I4092" s="39"/>
      <c r="J4092" s="47" t="str">
        <f>IF(tblMovimientos[[#This Row],[Tipo]]="","",IFERROR(INDEX(tblTiposMov[FactorStock],MATCH(tblMovimientos[[#This Row],[Tipo]],tblTiposMov[Tipo],0)),0))</f>
        <v/>
      </c>
      <c r="K40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2" s="37"/>
      <c r="O4092" s="37"/>
      <c r="P4092" s="37"/>
    </row>
    <row r="4093" spans="2:16" x14ac:dyDescent="0.25">
      <c r="B40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3" s="46"/>
      <c r="D4093" s="37"/>
      <c r="E4093" s="37"/>
      <c r="F4093" s="37"/>
      <c r="G4093" s="40" t="str">
        <f>IF(tblMovimientos[[#This Row],[Producto]]="","",TRIM(LEFT(tblMovimientos[[#This Row],[Producto]],FIND(" · ",tblMovimientos[[#This Row],[Producto]]&amp;" · ")-1)))</f>
        <v/>
      </c>
      <c r="H4093" s="40" t="str">
        <f>IF(tblMovimientos[[#This Row],[SKU]]="","",IFERROR(INDEX(tblProductos[Unidad],MATCH(tblMovimientos[[#This Row],[SKU]],tblProductos[SKU],0)),"?"))</f>
        <v/>
      </c>
      <c r="I4093" s="39"/>
      <c r="J4093" s="47" t="str">
        <f>IF(tblMovimientos[[#This Row],[Tipo]]="","",IFERROR(INDEX(tblTiposMov[FactorStock],MATCH(tblMovimientos[[#This Row],[Tipo]],tblTiposMov[Tipo],0)),0))</f>
        <v/>
      </c>
      <c r="K40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3" s="37"/>
      <c r="O4093" s="37"/>
      <c r="P4093" s="37"/>
    </row>
    <row r="4094" spans="2:16" x14ac:dyDescent="0.25">
      <c r="B40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4" s="46"/>
      <c r="D4094" s="37"/>
      <c r="E4094" s="37"/>
      <c r="F4094" s="37"/>
      <c r="G4094" s="40" t="str">
        <f>IF(tblMovimientos[[#This Row],[Producto]]="","",TRIM(LEFT(tblMovimientos[[#This Row],[Producto]],FIND(" · ",tblMovimientos[[#This Row],[Producto]]&amp;" · ")-1)))</f>
        <v/>
      </c>
      <c r="H4094" s="40" t="str">
        <f>IF(tblMovimientos[[#This Row],[SKU]]="","",IFERROR(INDEX(tblProductos[Unidad],MATCH(tblMovimientos[[#This Row],[SKU]],tblProductos[SKU],0)),"?"))</f>
        <v/>
      </c>
      <c r="I4094" s="39"/>
      <c r="J4094" s="47" t="str">
        <f>IF(tblMovimientos[[#This Row],[Tipo]]="","",IFERROR(INDEX(tblTiposMov[FactorStock],MATCH(tblMovimientos[[#This Row],[Tipo]],tblTiposMov[Tipo],0)),0))</f>
        <v/>
      </c>
      <c r="K40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4" s="37"/>
      <c r="O4094" s="37"/>
      <c r="P4094" s="37"/>
    </row>
    <row r="4095" spans="2:16" x14ac:dyDescent="0.25">
      <c r="B40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5" s="46"/>
      <c r="D4095" s="37"/>
      <c r="E4095" s="37"/>
      <c r="F4095" s="37"/>
      <c r="G4095" s="40" t="str">
        <f>IF(tblMovimientos[[#This Row],[Producto]]="","",TRIM(LEFT(tblMovimientos[[#This Row],[Producto]],FIND(" · ",tblMovimientos[[#This Row],[Producto]]&amp;" · ")-1)))</f>
        <v/>
      </c>
      <c r="H4095" s="40" t="str">
        <f>IF(tblMovimientos[[#This Row],[SKU]]="","",IFERROR(INDEX(tblProductos[Unidad],MATCH(tblMovimientos[[#This Row],[SKU]],tblProductos[SKU],0)),"?"))</f>
        <v/>
      </c>
      <c r="I4095" s="39"/>
      <c r="J4095" s="47" t="str">
        <f>IF(tblMovimientos[[#This Row],[Tipo]]="","",IFERROR(INDEX(tblTiposMov[FactorStock],MATCH(tblMovimientos[[#This Row],[Tipo]],tblTiposMov[Tipo],0)),0))</f>
        <v/>
      </c>
      <c r="K40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5" s="37"/>
      <c r="O4095" s="37"/>
      <c r="P4095" s="37"/>
    </row>
    <row r="4096" spans="2:16" x14ac:dyDescent="0.25">
      <c r="B40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6" s="46"/>
      <c r="D4096" s="37"/>
      <c r="E4096" s="37"/>
      <c r="F4096" s="37"/>
      <c r="G4096" s="40" t="str">
        <f>IF(tblMovimientos[[#This Row],[Producto]]="","",TRIM(LEFT(tblMovimientos[[#This Row],[Producto]],FIND(" · ",tblMovimientos[[#This Row],[Producto]]&amp;" · ")-1)))</f>
        <v/>
      </c>
      <c r="H4096" s="40" t="str">
        <f>IF(tblMovimientos[[#This Row],[SKU]]="","",IFERROR(INDEX(tblProductos[Unidad],MATCH(tblMovimientos[[#This Row],[SKU]],tblProductos[SKU],0)),"?"))</f>
        <v/>
      </c>
      <c r="I4096" s="39"/>
      <c r="J4096" s="47" t="str">
        <f>IF(tblMovimientos[[#This Row],[Tipo]]="","",IFERROR(INDEX(tblTiposMov[FactorStock],MATCH(tblMovimientos[[#This Row],[Tipo]],tblTiposMov[Tipo],0)),0))</f>
        <v/>
      </c>
      <c r="K40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6" s="37"/>
      <c r="O4096" s="37"/>
      <c r="P4096" s="37"/>
    </row>
    <row r="4097" spans="2:16" x14ac:dyDescent="0.25">
      <c r="B40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7" s="46"/>
      <c r="D4097" s="37"/>
      <c r="E4097" s="37"/>
      <c r="F4097" s="37"/>
      <c r="G4097" s="40" t="str">
        <f>IF(tblMovimientos[[#This Row],[Producto]]="","",TRIM(LEFT(tblMovimientos[[#This Row],[Producto]],FIND(" · ",tblMovimientos[[#This Row],[Producto]]&amp;" · ")-1)))</f>
        <v/>
      </c>
      <c r="H4097" s="40" t="str">
        <f>IF(tblMovimientos[[#This Row],[SKU]]="","",IFERROR(INDEX(tblProductos[Unidad],MATCH(tblMovimientos[[#This Row],[SKU]],tblProductos[SKU],0)),"?"))</f>
        <v/>
      </c>
      <c r="I4097" s="39"/>
      <c r="J4097" s="47" t="str">
        <f>IF(tblMovimientos[[#This Row],[Tipo]]="","",IFERROR(INDEX(tblTiposMov[FactorStock],MATCH(tblMovimientos[[#This Row],[Tipo]],tblTiposMov[Tipo],0)),0))</f>
        <v/>
      </c>
      <c r="K40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7" s="37"/>
      <c r="O4097" s="37"/>
      <c r="P4097" s="37"/>
    </row>
    <row r="4098" spans="2:16" x14ac:dyDescent="0.25">
      <c r="B40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8" s="46"/>
      <c r="D4098" s="37"/>
      <c r="E4098" s="37"/>
      <c r="F4098" s="37"/>
      <c r="G4098" s="40" t="str">
        <f>IF(tblMovimientos[[#This Row],[Producto]]="","",TRIM(LEFT(tblMovimientos[[#This Row],[Producto]],FIND(" · ",tblMovimientos[[#This Row],[Producto]]&amp;" · ")-1)))</f>
        <v/>
      </c>
      <c r="H4098" s="40" t="str">
        <f>IF(tblMovimientos[[#This Row],[SKU]]="","",IFERROR(INDEX(tblProductos[Unidad],MATCH(tblMovimientos[[#This Row],[SKU]],tblProductos[SKU],0)),"?"))</f>
        <v/>
      </c>
      <c r="I4098" s="39"/>
      <c r="J4098" s="47" t="str">
        <f>IF(tblMovimientos[[#This Row],[Tipo]]="","",IFERROR(INDEX(tblTiposMov[FactorStock],MATCH(tblMovimientos[[#This Row],[Tipo]],tblTiposMov[Tipo],0)),0))</f>
        <v/>
      </c>
      <c r="K40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8" s="37"/>
      <c r="O4098" s="37"/>
      <c r="P4098" s="37"/>
    </row>
    <row r="4099" spans="2:16" x14ac:dyDescent="0.25">
      <c r="B40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099" s="46"/>
      <c r="D4099" s="37"/>
      <c r="E4099" s="37"/>
      <c r="F4099" s="37"/>
      <c r="G4099" s="40" t="str">
        <f>IF(tblMovimientos[[#This Row],[Producto]]="","",TRIM(LEFT(tblMovimientos[[#This Row],[Producto]],FIND(" · ",tblMovimientos[[#This Row],[Producto]]&amp;" · ")-1)))</f>
        <v/>
      </c>
      <c r="H4099" s="40" t="str">
        <f>IF(tblMovimientos[[#This Row],[SKU]]="","",IFERROR(INDEX(tblProductos[Unidad],MATCH(tblMovimientos[[#This Row],[SKU]],tblProductos[SKU],0)),"?"))</f>
        <v/>
      </c>
      <c r="I4099" s="39"/>
      <c r="J4099" s="47" t="str">
        <f>IF(tblMovimientos[[#This Row],[Tipo]]="","",IFERROR(INDEX(tblTiposMov[FactorStock],MATCH(tblMovimientos[[#This Row],[Tipo]],tblTiposMov[Tipo],0)),0))</f>
        <v/>
      </c>
      <c r="K40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0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0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099" s="37"/>
      <c r="O4099" s="37"/>
      <c r="P4099" s="37"/>
    </row>
    <row r="4100" spans="2:16" x14ac:dyDescent="0.25">
      <c r="B41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0" s="46"/>
      <c r="D4100" s="37"/>
      <c r="E4100" s="37"/>
      <c r="F4100" s="37"/>
      <c r="G4100" s="40" t="str">
        <f>IF(tblMovimientos[[#This Row],[Producto]]="","",TRIM(LEFT(tblMovimientos[[#This Row],[Producto]],FIND(" · ",tblMovimientos[[#This Row],[Producto]]&amp;" · ")-1)))</f>
        <v/>
      </c>
      <c r="H4100" s="40" t="str">
        <f>IF(tblMovimientos[[#This Row],[SKU]]="","",IFERROR(INDEX(tblProductos[Unidad],MATCH(tblMovimientos[[#This Row],[SKU]],tblProductos[SKU],0)),"?"))</f>
        <v/>
      </c>
      <c r="I4100" s="39"/>
      <c r="J4100" s="47" t="str">
        <f>IF(tblMovimientos[[#This Row],[Tipo]]="","",IFERROR(INDEX(tblTiposMov[FactorStock],MATCH(tblMovimientos[[#This Row],[Tipo]],tblTiposMov[Tipo],0)),0))</f>
        <v/>
      </c>
      <c r="K41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0" s="37"/>
      <c r="O4100" s="37"/>
      <c r="P4100" s="37"/>
    </row>
    <row r="4101" spans="2:16" x14ac:dyDescent="0.25">
      <c r="B41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1" s="46"/>
      <c r="D4101" s="37"/>
      <c r="E4101" s="37"/>
      <c r="F4101" s="37"/>
      <c r="G4101" s="40" t="str">
        <f>IF(tblMovimientos[[#This Row],[Producto]]="","",TRIM(LEFT(tblMovimientos[[#This Row],[Producto]],FIND(" · ",tblMovimientos[[#This Row],[Producto]]&amp;" · ")-1)))</f>
        <v/>
      </c>
      <c r="H4101" s="40" t="str">
        <f>IF(tblMovimientos[[#This Row],[SKU]]="","",IFERROR(INDEX(tblProductos[Unidad],MATCH(tblMovimientos[[#This Row],[SKU]],tblProductos[SKU],0)),"?"))</f>
        <v/>
      </c>
      <c r="I4101" s="39"/>
      <c r="J4101" s="47" t="str">
        <f>IF(tblMovimientos[[#This Row],[Tipo]]="","",IFERROR(INDEX(tblTiposMov[FactorStock],MATCH(tblMovimientos[[#This Row],[Tipo]],tblTiposMov[Tipo],0)),0))</f>
        <v/>
      </c>
      <c r="K41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1" s="37"/>
      <c r="O4101" s="37"/>
      <c r="P4101" s="37"/>
    </row>
    <row r="4102" spans="2:16" x14ac:dyDescent="0.25">
      <c r="B41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2" s="46"/>
      <c r="D4102" s="37"/>
      <c r="E4102" s="37"/>
      <c r="F4102" s="37"/>
      <c r="G4102" s="40" t="str">
        <f>IF(tblMovimientos[[#This Row],[Producto]]="","",TRIM(LEFT(tblMovimientos[[#This Row],[Producto]],FIND(" · ",tblMovimientos[[#This Row],[Producto]]&amp;" · ")-1)))</f>
        <v/>
      </c>
      <c r="H4102" s="40" t="str">
        <f>IF(tblMovimientos[[#This Row],[SKU]]="","",IFERROR(INDEX(tblProductos[Unidad],MATCH(tblMovimientos[[#This Row],[SKU]],tblProductos[SKU],0)),"?"))</f>
        <v/>
      </c>
      <c r="I4102" s="39"/>
      <c r="J4102" s="47" t="str">
        <f>IF(tblMovimientos[[#This Row],[Tipo]]="","",IFERROR(INDEX(tblTiposMov[FactorStock],MATCH(tblMovimientos[[#This Row],[Tipo]],tblTiposMov[Tipo],0)),0))</f>
        <v/>
      </c>
      <c r="K41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2" s="37"/>
      <c r="O4102" s="37"/>
      <c r="P4102" s="37"/>
    </row>
    <row r="4103" spans="2:16" x14ac:dyDescent="0.25">
      <c r="B41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3" s="46"/>
      <c r="D4103" s="37"/>
      <c r="E4103" s="37"/>
      <c r="F4103" s="37"/>
      <c r="G4103" s="40" t="str">
        <f>IF(tblMovimientos[[#This Row],[Producto]]="","",TRIM(LEFT(tblMovimientos[[#This Row],[Producto]],FIND(" · ",tblMovimientos[[#This Row],[Producto]]&amp;" · ")-1)))</f>
        <v/>
      </c>
      <c r="H4103" s="40" t="str">
        <f>IF(tblMovimientos[[#This Row],[SKU]]="","",IFERROR(INDEX(tblProductos[Unidad],MATCH(tblMovimientos[[#This Row],[SKU]],tblProductos[SKU],0)),"?"))</f>
        <v/>
      </c>
      <c r="I4103" s="39"/>
      <c r="J4103" s="47" t="str">
        <f>IF(tblMovimientos[[#This Row],[Tipo]]="","",IFERROR(INDEX(tblTiposMov[FactorStock],MATCH(tblMovimientos[[#This Row],[Tipo]],tblTiposMov[Tipo],0)),0))</f>
        <v/>
      </c>
      <c r="K41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3" s="37"/>
      <c r="O4103" s="37"/>
      <c r="P4103" s="37"/>
    </row>
    <row r="4104" spans="2:16" x14ac:dyDescent="0.25">
      <c r="B41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4" s="46"/>
      <c r="D4104" s="37"/>
      <c r="E4104" s="37"/>
      <c r="F4104" s="37"/>
      <c r="G4104" s="40" t="str">
        <f>IF(tblMovimientos[[#This Row],[Producto]]="","",TRIM(LEFT(tblMovimientos[[#This Row],[Producto]],FIND(" · ",tblMovimientos[[#This Row],[Producto]]&amp;" · ")-1)))</f>
        <v/>
      </c>
      <c r="H4104" s="40" t="str">
        <f>IF(tblMovimientos[[#This Row],[SKU]]="","",IFERROR(INDEX(tblProductos[Unidad],MATCH(tblMovimientos[[#This Row],[SKU]],tblProductos[SKU],0)),"?"))</f>
        <v/>
      </c>
      <c r="I4104" s="39"/>
      <c r="J4104" s="47" t="str">
        <f>IF(tblMovimientos[[#This Row],[Tipo]]="","",IFERROR(INDEX(tblTiposMov[FactorStock],MATCH(tblMovimientos[[#This Row],[Tipo]],tblTiposMov[Tipo],0)),0))</f>
        <v/>
      </c>
      <c r="K41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4" s="37"/>
      <c r="O4104" s="37"/>
      <c r="P4104" s="37"/>
    </row>
    <row r="4105" spans="2:16" x14ac:dyDescent="0.25">
      <c r="B41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5" s="46"/>
      <c r="D4105" s="37"/>
      <c r="E4105" s="37"/>
      <c r="F4105" s="37"/>
      <c r="G4105" s="40" t="str">
        <f>IF(tblMovimientos[[#This Row],[Producto]]="","",TRIM(LEFT(tblMovimientos[[#This Row],[Producto]],FIND(" · ",tblMovimientos[[#This Row],[Producto]]&amp;" · ")-1)))</f>
        <v/>
      </c>
      <c r="H4105" s="40" t="str">
        <f>IF(tblMovimientos[[#This Row],[SKU]]="","",IFERROR(INDEX(tblProductos[Unidad],MATCH(tblMovimientos[[#This Row],[SKU]],tblProductos[SKU],0)),"?"))</f>
        <v/>
      </c>
      <c r="I4105" s="39"/>
      <c r="J4105" s="47" t="str">
        <f>IF(tblMovimientos[[#This Row],[Tipo]]="","",IFERROR(INDEX(tblTiposMov[FactorStock],MATCH(tblMovimientos[[#This Row],[Tipo]],tblTiposMov[Tipo],0)),0))</f>
        <v/>
      </c>
      <c r="K41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5" s="37"/>
      <c r="O4105" s="37"/>
      <c r="P4105" s="37"/>
    </row>
    <row r="4106" spans="2:16" x14ac:dyDescent="0.25">
      <c r="B41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6" s="46"/>
      <c r="D4106" s="37"/>
      <c r="E4106" s="37"/>
      <c r="F4106" s="37"/>
      <c r="G4106" s="40" t="str">
        <f>IF(tblMovimientos[[#This Row],[Producto]]="","",TRIM(LEFT(tblMovimientos[[#This Row],[Producto]],FIND(" · ",tblMovimientos[[#This Row],[Producto]]&amp;" · ")-1)))</f>
        <v/>
      </c>
      <c r="H4106" s="40" t="str">
        <f>IF(tblMovimientos[[#This Row],[SKU]]="","",IFERROR(INDEX(tblProductos[Unidad],MATCH(tblMovimientos[[#This Row],[SKU]],tblProductos[SKU],0)),"?"))</f>
        <v/>
      </c>
      <c r="I4106" s="39"/>
      <c r="J4106" s="47" t="str">
        <f>IF(tblMovimientos[[#This Row],[Tipo]]="","",IFERROR(INDEX(tblTiposMov[FactorStock],MATCH(tblMovimientos[[#This Row],[Tipo]],tblTiposMov[Tipo],0)),0))</f>
        <v/>
      </c>
      <c r="K41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6" s="37"/>
      <c r="O4106" s="37"/>
      <c r="P4106" s="37"/>
    </row>
    <row r="4107" spans="2:16" x14ac:dyDescent="0.25">
      <c r="B41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7" s="46"/>
      <c r="D4107" s="37"/>
      <c r="E4107" s="37"/>
      <c r="F4107" s="37"/>
      <c r="G4107" s="40" t="str">
        <f>IF(tblMovimientos[[#This Row],[Producto]]="","",TRIM(LEFT(tblMovimientos[[#This Row],[Producto]],FIND(" · ",tblMovimientos[[#This Row],[Producto]]&amp;" · ")-1)))</f>
        <v/>
      </c>
      <c r="H4107" s="40" t="str">
        <f>IF(tblMovimientos[[#This Row],[SKU]]="","",IFERROR(INDEX(tblProductos[Unidad],MATCH(tblMovimientos[[#This Row],[SKU]],tblProductos[SKU],0)),"?"))</f>
        <v/>
      </c>
      <c r="I4107" s="39"/>
      <c r="J4107" s="47" t="str">
        <f>IF(tblMovimientos[[#This Row],[Tipo]]="","",IFERROR(INDEX(tblTiposMov[FactorStock],MATCH(tblMovimientos[[#This Row],[Tipo]],tblTiposMov[Tipo],0)),0))</f>
        <v/>
      </c>
      <c r="K41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7" s="37"/>
      <c r="O4107" s="37"/>
      <c r="P4107" s="37"/>
    </row>
    <row r="4108" spans="2:16" x14ac:dyDescent="0.25">
      <c r="B41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8" s="46"/>
      <c r="D4108" s="37"/>
      <c r="E4108" s="37"/>
      <c r="F4108" s="37"/>
      <c r="G4108" s="40" t="str">
        <f>IF(tblMovimientos[[#This Row],[Producto]]="","",TRIM(LEFT(tblMovimientos[[#This Row],[Producto]],FIND(" · ",tblMovimientos[[#This Row],[Producto]]&amp;" · ")-1)))</f>
        <v/>
      </c>
      <c r="H4108" s="40" t="str">
        <f>IF(tblMovimientos[[#This Row],[SKU]]="","",IFERROR(INDEX(tblProductos[Unidad],MATCH(tblMovimientos[[#This Row],[SKU]],tblProductos[SKU],0)),"?"))</f>
        <v/>
      </c>
      <c r="I4108" s="39"/>
      <c r="J4108" s="47" t="str">
        <f>IF(tblMovimientos[[#This Row],[Tipo]]="","",IFERROR(INDEX(tblTiposMov[FactorStock],MATCH(tblMovimientos[[#This Row],[Tipo]],tblTiposMov[Tipo],0)),0))</f>
        <v/>
      </c>
      <c r="K41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8" s="37"/>
      <c r="O4108" s="37"/>
      <c r="P4108" s="37"/>
    </row>
    <row r="4109" spans="2:16" x14ac:dyDescent="0.25">
      <c r="B41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09" s="46"/>
      <c r="D4109" s="37"/>
      <c r="E4109" s="37"/>
      <c r="F4109" s="37"/>
      <c r="G4109" s="40" t="str">
        <f>IF(tblMovimientos[[#This Row],[Producto]]="","",TRIM(LEFT(tblMovimientos[[#This Row],[Producto]],FIND(" · ",tblMovimientos[[#This Row],[Producto]]&amp;" · ")-1)))</f>
        <v/>
      </c>
      <c r="H4109" s="40" t="str">
        <f>IF(tblMovimientos[[#This Row],[SKU]]="","",IFERROR(INDEX(tblProductos[Unidad],MATCH(tblMovimientos[[#This Row],[SKU]],tblProductos[SKU],0)),"?"))</f>
        <v/>
      </c>
      <c r="I4109" s="39"/>
      <c r="J4109" s="47" t="str">
        <f>IF(tblMovimientos[[#This Row],[Tipo]]="","",IFERROR(INDEX(tblTiposMov[FactorStock],MATCH(tblMovimientos[[#This Row],[Tipo]],tblTiposMov[Tipo],0)),0))</f>
        <v/>
      </c>
      <c r="K41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09" s="37"/>
      <c r="O4109" s="37"/>
      <c r="P4109" s="37"/>
    </row>
    <row r="4110" spans="2:16" x14ac:dyDescent="0.25">
      <c r="B41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0" s="46"/>
      <c r="D4110" s="37"/>
      <c r="E4110" s="37"/>
      <c r="F4110" s="37"/>
      <c r="G4110" s="40" t="str">
        <f>IF(tblMovimientos[[#This Row],[Producto]]="","",TRIM(LEFT(tblMovimientos[[#This Row],[Producto]],FIND(" · ",tblMovimientos[[#This Row],[Producto]]&amp;" · ")-1)))</f>
        <v/>
      </c>
      <c r="H4110" s="40" t="str">
        <f>IF(tblMovimientos[[#This Row],[SKU]]="","",IFERROR(INDEX(tblProductos[Unidad],MATCH(tblMovimientos[[#This Row],[SKU]],tblProductos[SKU],0)),"?"))</f>
        <v/>
      </c>
      <c r="I4110" s="39"/>
      <c r="J4110" s="47" t="str">
        <f>IF(tblMovimientos[[#This Row],[Tipo]]="","",IFERROR(INDEX(tblTiposMov[FactorStock],MATCH(tblMovimientos[[#This Row],[Tipo]],tblTiposMov[Tipo],0)),0))</f>
        <v/>
      </c>
      <c r="K41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0" s="37"/>
      <c r="O4110" s="37"/>
      <c r="P4110" s="37"/>
    </row>
    <row r="4111" spans="2:16" x14ac:dyDescent="0.25">
      <c r="B41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1" s="46"/>
      <c r="D4111" s="37"/>
      <c r="E4111" s="37"/>
      <c r="F4111" s="37"/>
      <c r="G4111" s="40" t="str">
        <f>IF(tblMovimientos[[#This Row],[Producto]]="","",TRIM(LEFT(tblMovimientos[[#This Row],[Producto]],FIND(" · ",tblMovimientos[[#This Row],[Producto]]&amp;" · ")-1)))</f>
        <v/>
      </c>
      <c r="H4111" s="40" t="str">
        <f>IF(tblMovimientos[[#This Row],[SKU]]="","",IFERROR(INDEX(tblProductos[Unidad],MATCH(tblMovimientos[[#This Row],[SKU]],tblProductos[SKU],0)),"?"))</f>
        <v/>
      </c>
      <c r="I4111" s="39"/>
      <c r="J4111" s="47" t="str">
        <f>IF(tblMovimientos[[#This Row],[Tipo]]="","",IFERROR(INDEX(tblTiposMov[FactorStock],MATCH(tblMovimientos[[#This Row],[Tipo]],tblTiposMov[Tipo],0)),0))</f>
        <v/>
      </c>
      <c r="K41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1" s="37"/>
      <c r="O4111" s="37"/>
      <c r="P4111" s="37"/>
    </row>
    <row r="4112" spans="2:16" x14ac:dyDescent="0.25">
      <c r="B41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2" s="46"/>
      <c r="D4112" s="37"/>
      <c r="E4112" s="37"/>
      <c r="F4112" s="37"/>
      <c r="G4112" s="40" t="str">
        <f>IF(tblMovimientos[[#This Row],[Producto]]="","",TRIM(LEFT(tblMovimientos[[#This Row],[Producto]],FIND(" · ",tblMovimientos[[#This Row],[Producto]]&amp;" · ")-1)))</f>
        <v/>
      </c>
      <c r="H4112" s="40" t="str">
        <f>IF(tblMovimientos[[#This Row],[SKU]]="","",IFERROR(INDEX(tblProductos[Unidad],MATCH(tblMovimientos[[#This Row],[SKU]],tblProductos[SKU],0)),"?"))</f>
        <v/>
      </c>
      <c r="I4112" s="39"/>
      <c r="J4112" s="47" t="str">
        <f>IF(tblMovimientos[[#This Row],[Tipo]]="","",IFERROR(INDEX(tblTiposMov[FactorStock],MATCH(tblMovimientos[[#This Row],[Tipo]],tblTiposMov[Tipo],0)),0))</f>
        <v/>
      </c>
      <c r="K41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2" s="37"/>
      <c r="O4112" s="37"/>
      <c r="P4112" s="37"/>
    </row>
    <row r="4113" spans="2:16" x14ac:dyDescent="0.25">
      <c r="B41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3" s="46"/>
      <c r="D4113" s="37"/>
      <c r="E4113" s="37"/>
      <c r="F4113" s="37"/>
      <c r="G4113" s="40" t="str">
        <f>IF(tblMovimientos[[#This Row],[Producto]]="","",TRIM(LEFT(tblMovimientos[[#This Row],[Producto]],FIND(" · ",tblMovimientos[[#This Row],[Producto]]&amp;" · ")-1)))</f>
        <v/>
      </c>
      <c r="H4113" s="40" t="str">
        <f>IF(tblMovimientos[[#This Row],[SKU]]="","",IFERROR(INDEX(tblProductos[Unidad],MATCH(tblMovimientos[[#This Row],[SKU]],tblProductos[SKU],0)),"?"))</f>
        <v/>
      </c>
      <c r="I4113" s="39"/>
      <c r="J4113" s="47" t="str">
        <f>IF(tblMovimientos[[#This Row],[Tipo]]="","",IFERROR(INDEX(tblTiposMov[FactorStock],MATCH(tblMovimientos[[#This Row],[Tipo]],tblTiposMov[Tipo],0)),0))</f>
        <v/>
      </c>
      <c r="K41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3" s="37"/>
      <c r="O4113" s="37"/>
      <c r="P4113" s="37"/>
    </row>
    <row r="4114" spans="2:16" x14ac:dyDescent="0.25">
      <c r="B41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4" s="46"/>
      <c r="D4114" s="37"/>
      <c r="E4114" s="37"/>
      <c r="F4114" s="37"/>
      <c r="G4114" s="40" t="str">
        <f>IF(tblMovimientos[[#This Row],[Producto]]="","",TRIM(LEFT(tblMovimientos[[#This Row],[Producto]],FIND(" · ",tblMovimientos[[#This Row],[Producto]]&amp;" · ")-1)))</f>
        <v/>
      </c>
      <c r="H4114" s="40" t="str">
        <f>IF(tblMovimientos[[#This Row],[SKU]]="","",IFERROR(INDEX(tblProductos[Unidad],MATCH(tblMovimientos[[#This Row],[SKU]],tblProductos[SKU],0)),"?"))</f>
        <v/>
      </c>
      <c r="I4114" s="39"/>
      <c r="J4114" s="47" t="str">
        <f>IF(tblMovimientos[[#This Row],[Tipo]]="","",IFERROR(INDEX(tblTiposMov[FactorStock],MATCH(tblMovimientos[[#This Row],[Tipo]],tblTiposMov[Tipo],0)),0))</f>
        <v/>
      </c>
      <c r="K41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4" s="37"/>
      <c r="O4114" s="37"/>
      <c r="P4114" s="37"/>
    </row>
    <row r="4115" spans="2:16" x14ac:dyDescent="0.25">
      <c r="B41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5" s="46"/>
      <c r="D4115" s="37"/>
      <c r="E4115" s="37"/>
      <c r="F4115" s="37"/>
      <c r="G4115" s="40" t="str">
        <f>IF(tblMovimientos[[#This Row],[Producto]]="","",TRIM(LEFT(tblMovimientos[[#This Row],[Producto]],FIND(" · ",tblMovimientos[[#This Row],[Producto]]&amp;" · ")-1)))</f>
        <v/>
      </c>
      <c r="H4115" s="40" t="str">
        <f>IF(tblMovimientos[[#This Row],[SKU]]="","",IFERROR(INDEX(tblProductos[Unidad],MATCH(tblMovimientos[[#This Row],[SKU]],tblProductos[SKU],0)),"?"))</f>
        <v/>
      </c>
      <c r="I4115" s="39"/>
      <c r="J4115" s="47" t="str">
        <f>IF(tblMovimientos[[#This Row],[Tipo]]="","",IFERROR(INDEX(tblTiposMov[FactorStock],MATCH(tblMovimientos[[#This Row],[Tipo]],tblTiposMov[Tipo],0)),0))</f>
        <v/>
      </c>
      <c r="K41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5" s="37"/>
      <c r="O4115" s="37"/>
      <c r="P4115" s="37"/>
    </row>
    <row r="4116" spans="2:16" x14ac:dyDescent="0.25">
      <c r="B41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6" s="46"/>
      <c r="D4116" s="37"/>
      <c r="E4116" s="37"/>
      <c r="F4116" s="37"/>
      <c r="G4116" s="40" t="str">
        <f>IF(tblMovimientos[[#This Row],[Producto]]="","",TRIM(LEFT(tblMovimientos[[#This Row],[Producto]],FIND(" · ",tblMovimientos[[#This Row],[Producto]]&amp;" · ")-1)))</f>
        <v/>
      </c>
      <c r="H4116" s="40" t="str">
        <f>IF(tblMovimientos[[#This Row],[SKU]]="","",IFERROR(INDEX(tblProductos[Unidad],MATCH(tblMovimientos[[#This Row],[SKU]],tblProductos[SKU],0)),"?"))</f>
        <v/>
      </c>
      <c r="I4116" s="39"/>
      <c r="J4116" s="47" t="str">
        <f>IF(tblMovimientos[[#This Row],[Tipo]]="","",IFERROR(INDEX(tblTiposMov[FactorStock],MATCH(tblMovimientos[[#This Row],[Tipo]],tblTiposMov[Tipo],0)),0))</f>
        <v/>
      </c>
      <c r="K41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6" s="37"/>
      <c r="O4116" s="37"/>
      <c r="P4116" s="37"/>
    </row>
    <row r="4117" spans="2:16" x14ac:dyDescent="0.25">
      <c r="B41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7" s="46"/>
      <c r="D4117" s="37"/>
      <c r="E4117" s="37"/>
      <c r="F4117" s="37"/>
      <c r="G4117" s="40" t="str">
        <f>IF(tblMovimientos[[#This Row],[Producto]]="","",TRIM(LEFT(tblMovimientos[[#This Row],[Producto]],FIND(" · ",tblMovimientos[[#This Row],[Producto]]&amp;" · ")-1)))</f>
        <v/>
      </c>
      <c r="H4117" s="40" t="str">
        <f>IF(tblMovimientos[[#This Row],[SKU]]="","",IFERROR(INDEX(tblProductos[Unidad],MATCH(tblMovimientos[[#This Row],[SKU]],tblProductos[SKU],0)),"?"))</f>
        <v/>
      </c>
      <c r="I4117" s="39"/>
      <c r="J4117" s="47" t="str">
        <f>IF(tblMovimientos[[#This Row],[Tipo]]="","",IFERROR(INDEX(tblTiposMov[FactorStock],MATCH(tblMovimientos[[#This Row],[Tipo]],tblTiposMov[Tipo],0)),0))</f>
        <v/>
      </c>
      <c r="K41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7" s="37"/>
      <c r="O4117" s="37"/>
      <c r="P4117" s="37"/>
    </row>
    <row r="4118" spans="2:16" x14ac:dyDescent="0.25">
      <c r="B41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8" s="46"/>
      <c r="D4118" s="37"/>
      <c r="E4118" s="37"/>
      <c r="F4118" s="37"/>
      <c r="G4118" s="40" t="str">
        <f>IF(tblMovimientos[[#This Row],[Producto]]="","",TRIM(LEFT(tblMovimientos[[#This Row],[Producto]],FIND(" · ",tblMovimientos[[#This Row],[Producto]]&amp;" · ")-1)))</f>
        <v/>
      </c>
      <c r="H4118" s="40" t="str">
        <f>IF(tblMovimientos[[#This Row],[SKU]]="","",IFERROR(INDEX(tblProductos[Unidad],MATCH(tblMovimientos[[#This Row],[SKU]],tblProductos[SKU],0)),"?"))</f>
        <v/>
      </c>
      <c r="I4118" s="39"/>
      <c r="J4118" s="47" t="str">
        <f>IF(tblMovimientos[[#This Row],[Tipo]]="","",IFERROR(INDEX(tblTiposMov[FactorStock],MATCH(tblMovimientos[[#This Row],[Tipo]],tblTiposMov[Tipo],0)),0))</f>
        <v/>
      </c>
      <c r="K41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8" s="37"/>
      <c r="O4118" s="37"/>
      <c r="P4118" s="37"/>
    </row>
    <row r="4119" spans="2:16" x14ac:dyDescent="0.25">
      <c r="B41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19" s="46"/>
      <c r="D4119" s="37"/>
      <c r="E4119" s="37"/>
      <c r="F4119" s="37"/>
      <c r="G4119" s="40" t="str">
        <f>IF(tblMovimientos[[#This Row],[Producto]]="","",TRIM(LEFT(tblMovimientos[[#This Row],[Producto]],FIND(" · ",tblMovimientos[[#This Row],[Producto]]&amp;" · ")-1)))</f>
        <v/>
      </c>
      <c r="H4119" s="40" t="str">
        <f>IF(tblMovimientos[[#This Row],[SKU]]="","",IFERROR(INDEX(tblProductos[Unidad],MATCH(tblMovimientos[[#This Row],[SKU]],tblProductos[SKU],0)),"?"))</f>
        <v/>
      </c>
      <c r="I4119" s="39"/>
      <c r="J4119" s="47" t="str">
        <f>IF(tblMovimientos[[#This Row],[Tipo]]="","",IFERROR(INDEX(tblTiposMov[FactorStock],MATCH(tblMovimientos[[#This Row],[Tipo]],tblTiposMov[Tipo],0)),0))</f>
        <v/>
      </c>
      <c r="K41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19" s="37"/>
      <c r="O4119" s="37"/>
      <c r="P4119" s="37"/>
    </row>
    <row r="4120" spans="2:16" x14ac:dyDescent="0.25">
      <c r="B41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0" s="46"/>
      <c r="D4120" s="37"/>
      <c r="E4120" s="37"/>
      <c r="F4120" s="37"/>
      <c r="G4120" s="40" t="str">
        <f>IF(tblMovimientos[[#This Row],[Producto]]="","",TRIM(LEFT(tblMovimientos[[#This Row],[Producto]],FIND(" · ",tblMovimientos[[#This Row],[Producto]]&amp;" · ")-1)))</f>
        <v/>
      </c>
      <c r="H4120" s="40" t="str">
        <f>IF(tblMovimientos[[#This Row],[SKU]]="","",IFERROR(INDEX(tblProductos[Unidad],MATCH(tblMovimientos[[#This Row],[SKU]],tblProductos[SKU],0)),"?"))</f>
        <v/>
      </c>
      <c r="I4120" s="39"/>
      <c r="J4120" s="47" t="str">
        <f>IF(tblMovimientos[[#This Row],[Tipo]]="","",IFERROR(INDEX(tblTiposMov[FactorStock],MATCH(tblMovimientos[[#This Row],[Tipo]],tblTiposMov[Tipo],0)),0))</f>
        <v/>
      </c>
      <c r="K41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0" s="37"/>
      <c r="O4120" s="37"/>
      <c r="P4120" s="37"/>
    </row>
    <row r="4121" spans="2:16" x14ac:dyDescent="0.25">
      <c r="B41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1" s="46"/>
      <c r="D4121" s="37"/>
      <c r="E4121" s="37"/>
      <c r="F4121" s="37"/>
      <c r="G4121" s="40" t="str">
        <f>IF(tblMovimientos[[#This Row],[Producto]]="","",TRIM(LEFT(tblMovimientos[[#This Row],[Producto]],FIND(" · ",tblMovimientos[[#This Row],[Producto]]&amp;" · ")-1)))</f>
        <v/>
      </c>
      <c r="H4121" s="40" t="str">
        <f>IF(tblMovimientos[[#This Row],[SKU]]="","",IFERROR(INDEX(tblProductos[Unidad],MATCH(tblMovimientos[[#This Row],[SKU]],tblProductos[SKU],0)),"?"))</f>
        <v/>
      </c>
      <c r="I4121" s="39"/>
      <c r="J4121" s="47" t="str">
        <f>IF(tblMovimientos[[#This Row],[Tipo]]="","",IFERROR(INDEX(tblTiposMov[FactorStock],MATCH(tblMovimientos[[#This Row],[Tipo]],tblTiposMov[Tipo],0)),0))</f>
        <v/>
      </c>
      <c r="K41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1" s="37"/>
      <c r="O4121" s="37"/>
      <c r="P4121" s="37"/>
    </row>
    <row r="4122" spans="2:16" x14ac:dyDescent="0.25">
      <c r="B41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2" s="46"/>
      <c r="D4122" s="37"/>
      <c r="E4122" s="37"/>
      <c r="F4122" s="37"/>
      <c r="G4122" s="40" t="str">
        <f>IF(tblMovimientos[[#This Row],[Producto]]="","",TRIM(LEFT(tblMovimientos[[#This Row],[Producto]],FIND(" · ",tblMovimientos[[#This Row],[Producto]]&amp;" · ")-1)))</f>
        <v/>
      </c>
      <c r="H4122" s="40" t="str">
        <f>IF(tblMovimientos[[#This Row],[SKU]]="","",IFERROR(INDEX(tblProductos[Unidad],MATCH(tblMovimientos[[#This Row],[SKU]],tblProductos[SKU],0)),"?"))</f>
        <v/>
      </c>
      <c r="I4122" s="39"/>
      <c r="J4122" s="47" t="str">
        <f>IF(tblMovimientos[[#This Row],[Tipo]]="","",IFERROR(INDEX(tblTiposMov[FactorStock],MATCH(tblMovimientos[[#This Row],[Tipo]],tblTiposMov[Tipo],0)),0))</f>
        <v/>
      </c>
      <c r="K41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2" s="37"/>
      <c r="O4122" s="37"/>
      <c r="P4122" s="37"/>
    </row>
    <row r="4123" spans="2:16" x14ac:dyDescent="0.25">
      <c r="B41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3" s="46"/>
      <c r="D4123" s="37"/>
      <c r="E4123" s="37"/>
      <c r="F4123" s="37"/>
      <c r="G4123" s="40" t="str">
        <f>IF(tblMovimientos[[#This Row],[Producto]]="","",TRIM(LEFT(tblMovimientos[[#This Row],[Producto]],FIND(" · ",tblMovimientos[[#This Row],[Producto]]&amp;" · ")-1)))</f>
        <v/>
      </c>
      <c r="H4123" s="40" t="str">
        <f>IF(tblMovimientos[[#This Row],[SKU]]="","",IFERROR(INDEX(tblProductos[Unidad],MATCH(tblMovimientos[[#This Row],[SKU]],tblProductos[SKU],0)),"?"))</f>
        <v/>
      </c>
      <c r="I4123" s="39"/>
      <c r="J4123" s="47" t="str">
        <f>IF(tblMovimientos[[#This Row],[Tipo]]="","",IFERROR(INDEX(tblTiposMov[FactorStock],MATCH(tblMovimientos[[#This Row],[Tipo]],tblTiposMov[Tipo],0)),0))</f>
        <v/>
      </c>
      <c r="K41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3" s="37"/>
      <c r="O4123" s="37"/>
      <c r="P4123" s="37"/>
    </row>
    <row r="4124" spans="2:16" x14ac:dyDescent="0.25">
      <c r="B41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4" s="46"/>
      <c r="D4124" s="37"/>
      <c r="E4124" s="37"/>
      <c r="F4124" s="37"/>
      <c r="G4124" s="40" t="str">
        <f>IF(tblMovimientos[[#This Row],[Producto]]="","",TRIM(LEFT(tblMovimientos[[#This Row],[Producto]],FIND(" · ",tblMovimientos[[#This Row],[Producto]]&amp;" · ")-1)))</f>
        <v/>
      </c>
      <c r="H4124" s="40" t="str">
        <f>IF(tblMovimientos[[#This Row],[SKU]]="","",IFERROR(INDEX(tblProductos[Unidad],MATCH(tblMovimientos[[#This Row],[SKU]],tblProductos[SKU],0)),"?"))</f>
        <v/>
      </c>
      <c r="I4124" s="39"/>
      <c r="J4124" s="47" t="str">
        <f>IF(tblMovimientos[[#This Row],[Tipo]]="","",IFERROR(INDEX(tblTiposMov[FactorStock],MATCH(tblMovimientos[[#This Row],[Tipo]],tblTiposMov[Tipo],0)),0))</f>
        <v/>
      </c>
      <c r="K41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4" s="37"/>
      <c r="O4124" s="37"/>
      <c r="P4124" s="37"/>
    </row>
    <row r="4125" spans="2:16" x14ac:dyDescent="0.25">
      <c r="B41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5" s="46"/>
      <c r="D4125" s="37"/>
      <c r="E4125" s="37"/>
      <c r="F4125" s="37"/>
      <c r="G4125" s="40" t="str">
        <f>IF(tblMovimientos[[#This Row],[Producto]]="","",TRIM(LEFT(tblMovimientos[[#This Row],[Producto]],FIND(" · ",tblMovimientos[[#This Row],[Producto]]&amp;" · ")-1)))</f>
        <v/>
      </c>
      <c r="H4125" s="40" t="str">
        <f>IF(tblMovimientos[[#This Row],[SKU]]="","",IFERROR(INDEX(tblProductos[Unidad],MATCH(tblMovimientos[[#This Row],[SKU]],tblProductos[SKU],0)),"?"))</f>
        <v/>
      </c>
      <c r="I4125" s="39"/>
      <c r="J4125" s="47" t="str">
        <f>IF(tblMovimientos[[#This Row],[Tipo]]="","",IFERROR(INDEX(tblTiposMov[FactorStock],MATCH(tblMovimientos[[#This Row],[Tipo]],tblTiposMov[Tipo],0)),0))</f>
        <v/>
      </c>
      <c r="K41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5" s="37"/>
      <c r="O4125" s="37"/>
      <c r="P4125" s="37"/>
    </row>
    <row r="4126" spans="2:16" x14ac:dyDescent="0.25">
      <c r="B41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6" s="46"/>
      <c r="D4126" s="37"/>
      <c r="E4126" s="37"/>
      <c r="F4126" s="37"/>
      <c r="G4126" s="40" t="str">
        <f>IF(tblMovimientos[[#This Row],[Producto]]="","",TRIM(LEFT(tblMovimientos[[#This Row],[Producto]],FIND(" · ",tblMovimientos[[#This Row],[Producto]]&amp;" · ")-1)))</f>
        <v/>
      </c>
      <c r="H4126" s="40" t="str">
        <f>IF(tblMovimientos[[#This Row],[SKU]]="","",IFERROR(INDEX(tblProductos[Unidad],MATCH(tblMovimientos[[#This Row],[SKU]],tblProductos[SKU],0)),"?"))</f>
        <v/>
      </c>
      <c r="I4126" s="39"/>
      <c r="J4126" s="47" t="str">
        <f>IF(tblMovimientos[[#This Row],[Tipo]]="","",IFERROR(INDEX(tblTiposMov[FactorStock],MATCH(tblMovimientos[[#This Row],[Tipo]],tblTiposMov[Tipo],0)),0))</f>
        <v/>
      </c>
      <c r="K41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6" s="37"/>
      <c r="O4126" s="37"/>
      <c r="P4126" s="37"/>
    </row>
    <row r="4127" spans="2:16" x14ac:dyDescent="0.25">
      <c r="B41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7" s="46"/>
      <c r="D4127" s="37"/>
      <c r="E4127" s="37"/>
      <c r="F4127" s="37"/>
      <c r="G4127" s="40" t="str">
        <f>IF(tblMovimientos[[#This Row],[Producto]]="","",TRIM(LEFT(tblMovimientos[[#This Row],[Producto]],FIND(" · ",tblMovimientos[[#This Row],[Producto]]&amp;" · ")-1)))</f>
        <v/>
      </c>
      <c r="H4127" s="40" t="str">
        <f>IF(tblMovimientos[[#This Row],[SKU]]="","",IFERROR(INDEX(tblProductos[Unidad],MATCH(tblMovimientos[[#This Row],[SKU]],tblProductos[SKU],0)),"?"))</f>
        <v/>
      </c>
      <c r="I4127" s="39"/>
      <c r="J4127" s="47" t="str">
        <f>IF(tblMovimientos[[#This Row],[Tipo]]="","",IFERROR(INDEX(tblTiposMov[FactorStock],MATCH(tblMovimientos[[#This Row],[Tipo]],tblTiposMov[Tipo],0)),0))</f>
        <v/>
      </c>
      <c r="K41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7" s="37"/>
      <c r="O4127" s="37"/>
      <c r="P4127" s="37"/>
    </row>
    <row r="4128" spans="2:16" x14ac:dyDescent="0.25">
      <c r="B41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8" s="46"/>
      <c r="D4128" s="37"/>
      <c r="E4128" s="37"/>
      <c r="F4128" s="37"/>
      <c r="G4128" s="40" t="str">
        <f>IF(tblMovimientos[[#This Row],[Producto]]="","",TRIM(LEFT(tblMovimientos[[#This Row],[Producto]],FIND(" · ",tblMovimientos[[#This Row],[Producto]]&amp;" · ")-1)))</f>
        <v/>
      </c>
      <c r="H4128" s="40" t="str">
        <f>IF(tblMovimientos[[#This Row],[SKU]]="","",IFERROR(INDEX(tblProductos[Unidad],MATCH(tblMovimientos[[#This Row],[SKU]],tblProductos[SKU],0)),"?"))</f>
        <v/>
      </c>
      <c r="I4128" s="39"/>
      <c r="J4128" s="47" t="str">
        <f>IF(tblMovimientos[[#This Row],[Tipo]]="","",IFERROR(INDEX(tblTiposMov[FactorStock],MATCH(tblMovimientos[[#This Row],[Tipo]],tblTiposMov[Tipo],0)),0))</f>
        <v/>
      </c>
      <c r="K41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8" s="37"/>
      <c r="O4128" s="37"/>
      <c r="P4128" s="37"/>
    </row>
    <row r="4129" spans="2:16" x14ac:dyDescent="0.25">
      <c r="B41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29" s="46"/>
      <c r="D4129" s="37"/>
      <c r="E4129" s="37"/>
      <c r="F4129" s="37"/>
      <c r="G4129" s="40" t="str">
        <f>IF(tblMovimientos[[#This Row],[Producto]]="","",TRIM(LEFT(tblMovimientos[[#This Row],[Producto]],FIND(" · ",tblMovimientos[[#This Row],[Producto]]&amp;" · ")-1)))</f>
        <v/>
      </c>
      <c r="H4129" s="40" t="str">
        <f>IF(tblMovimientos[[#This Row],[SKU]]="","",IFERROR(INDEX(tblProductos[Unidad],MATCH(tblMovimientos[[#This Row],[SKU]],tblProductos[SKU],0)),"?"))</f>
        <v/>
      </c>
      <c r="I4129" s="39"/>
      <c r="J4129" s="47" t="str">
        <f>IF(tblMovimientos[[#This Row],[Tipo]]="","",IFERROR(INDEX(tblTiposMov[FactorStock],MATCH(tblMovimientos[[#This Row],[Tipo]],tblTiposMov[Tipo],0)),0))</f>
        <v/>
      </c>
      <c r="K41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29" s="37"/>
      <c r="O4129" s="37"/>
      <c r="P4129" s="37"/>
    </row>
    <row r="4130" spans="2:16" x14ac:dyDescent="0.25">
      <c r="B41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0" s="46"/>
      <c r="D4130" s="37"/>
      <c r="E4130" s="37"/>
      <c r="F4130" s="37"/>
      <c r="G4130" s="40" t="str">
        <f>IF(tblMovimientos[[#This Row],[Producto]]="","",TRIM(LEFT(tblMovimientos[[#This Row],[Producto]],FIND(" · ",tblMovimientos[[#This Row],[Producto]]&amp;" · ")-1)))</f>
        <v/>
      </c>
      <c r="H4130" s="40" t="str">
        <f>IF(tblMovimientos[[#This Row],[SKU]]="","",IFERROR(INDEX(tblProductos[Unidad],MATCH(tblMovimientos[[#This Row],[SKU]],tblProductos[SKU],0)),"?"))</f>
        <v/>
      </c>
      <c r="I4130" s="39"/>
      <c r="J4130" s="47" t="str">
        <f>IF(tblMovimientos[[#This Row],[Tipo]]="","",IFERROR(INDEX(tblTiposMov[FactorStock],MATCH(tblMovimientos[[#This Row],[Tipo]],tblTiposMov[Tipo],0)),0))</f>
        <v/>
      </c>
      <c r="K41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0" s="37"/>
      <c r="O4130" s="37"/>
      <c r="P4130" s="37"/>
    </row>
    <row r="4131" spans="2:16" x14ac:dyDescent="0.25">
      <c r="B41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1" s="46"/>
      <c r="D4131" s="37"/>
      <c r="E4131" s="37"/>
      <c r="F4131" s="37"/>
      <c r="G4131" s="40" t="str">
        <f>IF(tblMovimientos[[#This Row],[Producto]]="","",TRIM(LEFT(tblMovimientos[[#This Row],[Producto]],FIND(" · ",tblMovimientos[[#This Row],[Producto]]&amp;" · ")-1)))</f>
        <v/>
      </c>
      <c r="H4131" s="40" t="str">
        <f>IF(tblMovimientos[[#This Row],[SKU]]="","",IFERROR(INDEX(tblProductos[Unidad],MATCH(tblMovimientos[[#This Row],[SKU]],tblProductos[SKU],0)),"?"))</f>
        <v/>
      </c>
      <c r="I4131" s="39"/>
      <c r="J4131" s="47" t="str">
        <f>IF(tblMovimientos[[#This Row],[Tipo]]="","",IFERROR(INDEX(tblTiposMov[FactorStock],MATCH(tblMovimientos[[#This Row],[Tipo]],tblTiposMov[Tipo],0)),0))</f>
        <v/>
      </c>
      <c r="K41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1" s="37"/>
      <c r="O4131" s="37"/>
      <c r="P4131" s="37"/>
    </row>
    <row r="4132" spans="2:16" x14ac:dyDescent="0.25">
      <c r="B41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2" s="46"/>
      <c r="D4132" s="37"/>
      <c r="E4132" s="37"/>
      <c r="F4132" s="37"/>
      <c r="G4132" s="40" t="str">
        <f>IF(tblMovimientos[[#This Row],[Producto]]="","",TRIM(LEFT(tblMovimientos[[#This Row],[Producto]],FIND(" · ",tblMovimientos[[#This Row],[Producto]]&amp;" · ")-1)))</f>
        <v/>
      </c>
      <c r="H4132" s="40" t="str">
        <f>IF(tblMovimientos[[#This Row],[SKU]]="","",IFERROR(INDEX(tblProductos[Unidad],MATCH(tblMovimientos[[#This Row],[SKU]],tblProductos[SKU],0)),"?"))</f>
        <v/>
      </c>
      <c r="I4132" s="39"/>
      <c r="J4132" s="47" t="str">
        <f>IF(tblMovimientos[[#This Row],[Tipo]]="","",IFERROR(INDEX(tblTiposMov[FactorStock],MATCH(tblMovimientos[[#This Row],[Tipo]],tblTiposMov[Tipo],0)),0))</f>
        <v/>
      </c>
      <c r="K41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2" s="37"/>
      <c r="O4132" s="37"/>
      <c r="P4132" s="37"/>
    </row>
    <row r="4133" spans="2:16" x14ac:dyDescent="0.25">
      <c r="B41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3" s="46"/>
      <c r="D4133" s="37"/>
      <c r="E4133" s="37"/>
      <c r="F4133" s="37"/>
      <c r="G4133" s="40" t="str">
        <f>IF(tblMovimientos[[#This Row],[Producto]]="","",TRIM(LEFT(tblMovimientos[[#This Row],[Producto]],FIND(" · ",tblMovimientos[[#This Row],[Producto]]&amp;" · ")-1)))</f>
        <v/>
      </c>
      <c r="H4133" s="40" t="str">
        <f>IF(tblMovimientos[[#This Row],[SKU]]="","",IFERROR(INDEX(tblProductos[Unidad],MATCH(tblMovimientos[[#This Row],[SKU]],tblProductos[SKU],0)),"?"))</f>
        <v/>
      </c>
      <c r="I4133" s="39"/>
      <c r="J4133" s="47" t="str">
        <f>IF(tblMovimientos[[#This Row],[Tipo]]="","",IFERROR(INDEX(tblTiposMov[FactorStock],MATCH(tblMovimientos[[#This Row],[Tipo]],tblTiposMov[Tipo],0)),0))</f>
        <v/>
      </c>
      <c r="K41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3" s="37"/>
      <c r="O4133" s="37"/>
      <c r="P4133" s="37"/>
    </row>
    <row r="4134" spans="2:16" x14ac:dyDescent="0.25">
      <c r="B41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4" s="46"/>
      <c r="D4134" s="37"/>
      <c r="E4134" s="37"/>
      <c r="F4134" s="37"/>
      <c r="G4134" s="40" t="str">
        <f>IF(tblMovimientos[[#This Row],[Producto]]="","",TRIM(LEFT(tblMovimientos[[#This Row],[Producto]],FIND(" · ",tblMovimientos[[#This Row],[Producto]]&amp;" · ")-1)))</f>
        <v/>
      </c>
      <c r="H4134" s="40" t="str">
        <f>IF(tblMovimientos[[#This Row],[SKU]]="","",IFERROR(INDEX(tblProductos[Unidad],MATCH(tblMovimientos[[#This Row],[SKU]],tblProductos[SKU],0)),"?"))</f>
        <v/>
      </c>
      <c r="I4134" s="39"/>
      <c r="J4134" s="47" t="str">
        <f>IF(tblMovimientos[[#This Row],[Tipo]]="","",IFERROR(INDEX(tblTiposMov[FactorStock],MATCH(tblMovimientos[[#This Row],[Tipo]],tblTiposMov[Tipo],0)),0))</f>
        <v/>
      </c>
      <c r="K41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4" s="37"/>
      <c r="O4134" s="37"/>
      <c r="P4134" s="37"/>
    </row>
    <row r="4135" spans="2:16" x14ac:dyDescent="0.25">
      <c r="B41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5" s="46"/>
      <c r="D4135" s="37"/>
      <c r="E4135" s="37"/>
      <c r="F4135" s="37"/>
      <c r="G4135" s="40" t="str">
        <f>IF(tblMovimientos[[#This Row],[Producto]]="","",TRIM(LEFT(tblMovimientos[[#This Row],[Producto]],FIND(" · ",tblMovimientos[[#This Row],[Producto]]&amp;" · ")-1)))</f>
        <v/>
      </c>
      <c r="H4135" s="40" t="str">
        <f>IF(tblMovimientos[[#This Row],[SKU]]="","",IFERROR(INDEX(tblProductos[Unidad],MATCH(tblMovimientos[[#This Row],[SKU]],tblProductos[SKU],0)),"?"))</f>
        <v/>
      </c>
      <c r="I4135" s="39"/>
      <c r="J4135" s="47" t="str">
        <f>IF(tblMovimientos[[#This Row],[Tipo]]="","",IFERROR(INDEX(tblTiposMov[FactorStock],MATCH(tblMovimientos[[#This Row],[Tipo]],tblTiposMov[Tipo],0)),0))</f>
        <v/>
      </c>
      <c r="K41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5" s="37"/>
      <c r="O4135" s="37"/>
      <c r="P4135" s="37"/>
    </row>
    <row r="4136" spans="2:16" x14ac:dyDescent="0.25">
      <c r="B41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6" s="46"/>
      <c r="D4136" s="37"/>
      <c r="E4136" s="37"/>
      <c r="F4136" s="37"/>
      <c r="G4136" s="40" t="str">
        <f>IF(tblMovimientos[[#This Row],[Producto]]="","",TRIM(LEFT(tblMovimientos[[#This Row],[Producto]],FIND(" · ",tblMovimientos[[#This Row],[Producto]]&amp;" · ")-1)))</f>
        <v/>
      </c>
      <c r="H4136" s="40" t="str">
        <f>IF(tblMovimientos[[#This Row],[SKU]]="","",IFERROR(INDEX(tblProductos[Unidad],MATCH(tblMovimientos[[#This Row],[SKU]],tblProductos[SKU],0)),"?"))</f>
        <v/>
      </c>
      <c r="I4136" s="39"/>
      <c r="J4136" s="47" t="str">
        <f>IF(tblMovimientos[[#This Row],[Tipo]]="","",IFERROR(INDEX(tblTiposMov[FactorStock],MATCH(tblMovimientos[[#This Row],[Tipo]],tblTiposMov[Tipo],0)),0))</f>
        <v/>
      </c>
      <c r="K41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6" s="37"/>
      <c r="O4136" s="37"/>
      <c r="P4136" s="37"/>
    </row>
    <row r="4137" spans="2:16" x14ac:dyDescent="0.25">
      <c r="B41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7" s="46"/>
      <c r="D4137" s="37"/>
      <c r="E4137" s="37"/>
      <c r="F4137" s="37"/>
      <c r="G4137" s="40" t="str">
        <f>IF(tblMovimientos[[#This Row],[Producto]]="","",TRIM(LEFT(tblMovimientos[[#This Row],[Producto]],FIND(" · ",tblMovimientos[[#This Row],[Producto]]&amp;" · ")-1)))</f>
        <v/>
      </c>
      <c r="H4137" s="40" t="str">
        <f>IF(tblMovimientos[[#This Row],[SKU]]="","",IFERROR(INDEX(tblProductos[Unidad],MATCH(tblMovimientos[[#This Row],[SKU]],tblProductos[SKU],0)),"?"))</f>
        <v/>
      </c>
      <c r="I4137" s="39"/>
      <c r="J4137" s="47" t="str">
        <f>IF(tblMovimientos[[#This Row],[Tipo]]="","",IFERROR(INDEX(tblTiposMov[FactorStock],MATCH(tblMovimientos[[#This Row],[Tipo]],tblTiposMov[Tipo],0)),0))</f>
        <v/>
      </c>
      <c r="K41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7" s="37"/>
      <c r="O4137" s="37"/>
      <c r="P4137" s="37"/>
    </row>
    <row r="4138" spans="2:16" x14ac:dyDescent="0.25">
      <c r="B41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8" s="46"/>
      <c r="D4138" s="37"/>
      <c r="E4138" s="37"/>
      <c r="F4138" s="37"/>
      <c r="G4138" s="40" t="str">
        <f>IF(tblMovimientos[[#This Row],[Producto]]="","",TRIM(LEFT(tblMovimientos[[#This Row],[Producto]],FIND(" · ",tblMovimientos[[#This Row],[Producto]]&amp;" · ")-1)))</f>
        <v/>
      </c>
      <c r="H4138" s="40" t="str">
        <f>IF(tblMovimientos[[#This Row],[SKU]]="","",IFERROR(INDEX(tblProductos[Unidad],MATCH(tblMovimientos[[#This Row],[SKU]],tblProductos[SKU],0)),"?"))</f>
        <v/>
      </c>
      <c r="I4138" s="39"/>
      <c r="J4138" s="47" t="str">
        <f>IF(tblMovimientos[[#This Row],[Tipo]]="","",IFERROR(INDEX(tblTiposMov[FactorStock],MATCH(tblMovimientos[[#This Row],[Tipo]],tblTiposMov[Tipo],0)),0))</f>
        <v/>
      </c>
      <c r="K41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8" s="37"/>
      <c r="O4138" s="37"/>
      <c r="P4138" s="37"/>
    </row>
    <row r="4139" spans="2:16" x14ac:dyDescent="0.25">
      <c r="B41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39" s="46"/>
      <c r="D4139" s="37"/>
      <c r="E4139" s="37"/>
      <c r="F4139" s="37"/>
      <c r="G4139" s="40" t="str">
        <f>IF(tblMovimientos[[#This Row],[Producto]]="","",TRIM(LEFT(tblMovimientos[[#This Row],[Producto]],FIND(" · ",tblMovimientos[[#This Row],[Producto]]&amp;" · ")-1)))</f>
        <v/>
      </c>
      <c r="H4139" s="40" t="str">
        <f>IF(tblMovimientos[[#This Row],[SKU]]="","",IFERROR(INDEX(tblProductos[Unidad],MATCH(tblMovimientos[[#This Row],[SKU]],tblProductos[SKU],0)),"?"))</f>
        <v/>
      </c>
      <c r="I4139" s="39"/>
      <c r="J4139" s="47" t="str">
        <f>IF(tblMovimientos[[#This Row],[Tipo]]="","",IFERROR(INDEX(tblTiposMov[FactorStock],MATCH(tblMovimientos[[#This Row],[Tipo]],tblTiposMov[Tipo],0)),0))</f>
        <v/>
      </c>
      <c r="K41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39" s="37"/>
      <c r="O4139" s="37"/>
      <c r="P4139" s="37"/>
    </row>
    <row r="4140" spans="2:16" x14ac:dyDescent="0.25">
      <c r="B41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0" s="46"/>
      <c r="D4140" s="37"/>
      <c r="E4140" s="37"/>
      <c r="F4140" s="37"/>
      <c r="G4140" s="40" t="str">
        <f>IF(tblMovimientos[[#This Row],[Producto]]="","",TRIM(LEFT(tblMovimientos[[#This Row],[Producto]],FIND(" · ",tblMovimientos[[#This Row],[Producto]]&amp;" · ")-1)))</f>
        <v/>
      </c>
      <c r="H4140" s="40" t="str">
        <f>IF(tblMovimientos[[#This Row],[SKU]]="","",IFERROR(INDEX(tblProductos[Unidad],MATCH(tblMovimientos[[#This Row],[SKU]],tblProductos[SKU],0)),"?"))</f>
        <v/>
      </c>
      <c r="I4140" s="39"/>
      <c r="J4140" s="47" t="str">
        <f>IF(tblMovimientos[[#This Row],[Tipo]]="","",IFERROR(INDEX(tblTiposMov[FactorStock],MATCH(tblMovimientos[[#This Row],[Tipo]],tblTiposMov[Tipo],0)),0))</f>
        <v/>
      </c>
      <c r="K41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0" s="37"/>
      <c r="O4140" s="37"/>
      <c r="P4140" s="37"/>
    </row>
    <row r="4141" spans="2:16" x14ac:dyDescent="0.25">
      <c r="B41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1" s="46"/>
      <c r="D4141" s="37"/>
      <c r="E4141" s="37"/>
      <c r="F4141" s="37"/>
      <c r="G4141" s="40" t="str">
        <f>IF(tblMovimientos[[#This Row],[Producto]]="","",TRIM(LEFT(tblMovimientos[[#This Row],[Producto]],FIND(" · ",tblMovimientos[[#This Row],[Producto]]&amp;" · ")-1)))</f>
        <v/>
      </c>
      <c r="H4141" s="40" t="str">
        <f>IF(tblMovimientos[[#This Row],[SKU]]="","",IFERROR(INDEX(tblProductos[Unidad],MATCH(tblMovimientos[[#This Row],[SKU]],tblProductos[SKU],0)),"?"))</f>
        <v/>
      </c>
      <c r="I4141" s="39"/>
      <c r="J4141" s="47" t="str">
        <f>IF(tblMovimientos[[#This Row],[Tipo]]="","",IFERROR(INDEX(tblTiposMov[FactorStock],MATCH(tblMovimientos[[#This Row],[Tipo]],tblTiposMov[Tipo],0)),0))</f>
        <v/>
      </c>
      <c r="K41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1" s="37"/>
      <c r="O4141" s="37"/>
      <c r="P4141" s="37"/>
    </row>
    <row r="4142" spans="2:16" x14ac:dyDescent="0.25">
      <c r="B41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2" s="46"/>
      <c r="D4142" s="37"/>
      <c r="E4142" s="37"/>
      <c r="F4142" s="37"/>
      <c r="G4142" s="40" t="str">
        <f>IF(tblMovimientos[[#This Row],[Producto]]="","",TRIM(LEFT(tblMovimientos[[#This Row],[Producto]],FIND(" · ",tblMovimientos[[#This Row],[Producto]]&amp;" · ")-1)))</f>
        <v/>
      </c>
      <c r="H4142" s="40" t="str">
        <f>IF(tblMovimientos[[#This Row],[SKU]]="","",IFERROR(INDEX(tblProductos[Unidad],MATCH(tblMovimientos[[#This Row],[SKU]],tblProductos[SKU],0)),"?"))</f>
        <v/>
      </c>
      <c r="I4142" s="39"/>
      <c r="J4142" s="47" t="str">
        <f>IF(tblMovimientos[[#This Row],[Tipo]]="","",IFERROR(INDEX(tblTiposMov[FactorStock],MATCH(tblMovimientos[[#This Row],[Tipo]],tblTiposMov[Tipo],0)),0))</f>
        <v/>
      </c>
      <c r="K41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2" s="37"/>
      <c r="O4142" s="37"/>
      <c r="P4142" s="37"/>
    </row>
    <row r="4143" spans="2:16" x14ac:dyDescent="0.25">
      <c r="B41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3" s="46"/>
      <c r="D4143" s="37"/>
      <c r="E4143" s="37"/>
      <c r="F4143" s="37"/>
      <c r="G4143" s="40" t="str">
        <f>IF(tblMovimientos[[#This Row],[Producto]]="","",TRIM(LEFT(tblMovimientos[[#This Row],[Producto]],FIND(" · ",tblMovimientos[[#This Row],[Producto]]&amp;" · ")-1)))</f>
        <v/>
      </c>
      <c r="H4143" s="40" t="str">
        <f>IF(tblMovimientos[[#This Row],[SKU]]="","",IFERROR(INDEX(tblProductos[Unidad],MATCH(tblMovimientos[[#This Row],[SKU]],tblProductos[SKU],0)),"?"))</f>
        <v/>
      </c>
      <c r="I4143" s="39"/>
      <c r="J4143" s="47" t="str">
        <f>IF(tblMovimientos[[#This Row],[Tipo]]="","",IFERROR(INDEX(tblTiposMov[FactorStock],MATCH(tblMovimientos[[#This Row],[Tipo]],tblTiposMov[Tipo],0)),0))</f>
        <v/>
      </c>
      <c r="K41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3" s="37"/>
      <c r="O4143" s="37"/>
      <c r="P4143" s="37"/>
    </row>
    <row r="4144" spans="2:16" x14ac:dyDescent="0.25">
      <c r="B41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4" s="46"/>
      <c r="D4144" s="37"/>
      <c r="E4144" s="37"/>
      <c r="F4144" s="37"/>
      <c r="G4144" s="40" t="str">
        <f>IF(tblMovimientos[[#This Row],[Producto]]="","",TRIM(LEFT(tblMovimientos[[#This Row],[Producto]],FIND(" · ",tblMovimientos[[#This Row],[Producto]]&amp;" · ")-1)))</f>
        <v/>
      </c>
      <c r="H4144" s="40" t="str">
        <f>IF(tblMovimientos[[#This Row],[SKU]]="","",IFERROR(INDEX(tblProductos[Unidad],MATCH(tblMovimientos[[#This Row],[SKU]],tblProductos[SKU],0)),"?"))</f>
        <v/>
      </c>
      <c r="I4144" s="39"/>
      <c r="J4144" s="47" t="str">
        <f>IF(tblMovimientos[[#This Row],[Tipo]]="","",IFERROR(INDEX(tblTiposMov[FactorStock],MATCH(tblMovimientos[[#This Row],[Tipo]],tblTiposMov[Tipo],0)),0))</f>
        <v/>
      </c>
      <c r="K41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4" s="37"/>
      <c r="O4144" s="37"/>
      <c r="P4144" s="37"/>
    </row>
    <row r="4145" spans="2:16" x14ac:dyDescent="0.25">
      <c r="B41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5" s="46"/>
      <c r="D4145" s="37"/>
      <c r="E4145" s="37"/>
      <c r="F4145" s="37"/>
      <c r="G4145" s="40" t="str">
        <f>IF(tblMovimientos[[#This Row],[Producto]]="","",TRIM(LEFT(tblMovimientos[[#This Row],[Producto]],FIND(" · ",tblMovimientos[[#This Row],[Producto]]&amp;" · ")-1)))</f>
        <v/>
      </c>
      <c r="H4145" s="40" t="str">
        <f>IF(tblMovimientos[[#This Row],[SKU]]="","",IFERROR(INDEX(tblProductos[Unidad],MATCH(tblMovimientos[[#This Row],[SKU]],tblProductos[SKU],0)),"?"))</f>
        <v/>
      </c>
      <c r="I4145" s="39"/>
      <c r="J4145" s="47" t="str">
        <f>IF(tblMovimientos[[#This Row],[Tipo]]="","",IFERROR(INDEX(tblTiposMov[FactorStock],MATCH(tblMovimientos[[#This Row],[Tipo]],tblTiposMov[Tipo],0)),0))</f>
        <v/>
      </c>
      <c r="K41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5" s="37"/>
      <c r="O4145" s="37"/>
      <c r="P4145" s="37"/>
    </row>
    <row r="4146" spans="2:16" x14ac:dyDescent="0.25">
      <c r="B41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6" s="46"/>
      <c r="D4146" s="37"/>
      <c r="E4146" s="37"/>
      <c r="F4146" s="37"/>
      <c r="G4146" s="40" t="str">
        <f>IF(tblMovimientos[[#This Row],[Producto]]="","",TRIM(LEFT(tblMovimientos[[#This Row],[Producto]],FIND(" · ",tblMovimientos[[#This Row],[Producto]]&amp;" · ")-1)))</f>
        <v/>
      </c>
      <c r="H4146" s="40" t="str">
        <f>IF(tblMovimientos[[#This Row],[SKU]]="","",IFERROR(INDEX(tblProductos[Unidad],MATCH(tblMovimientos[[#This Row],[SKU]],tblProductos[SKU],0)),"?"))</f>
        <v/>
      </c>
      <c r="I4146" s="39"/>
      <c r="J4146" s="47" t="str">
        <f>IF(tblMovimientos[[#This Row],[Tipo]]="","",IFERROR(INDEX(tblTiposMov[FactorStock],MATCH(tblMovimientos[[#This Row],[Tipo]],tblTiposMov[Tipo],0)),0))</f>
        <v/>
      </c>
      <c r="K41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6" s="37"/>
      <c r="O4146" s="37"/>
      <c r="P4146" s="37"/>
    </row>
    <row r="4147" spans="2:16" x14ac:dyDescent="0.25">
      <c r="B41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7" s="46"/>
      <c r="D4147" s="37"/>
      <c r="E4147" s="37"/>
      <c r="F4147" s="37"/>
      <c r="G4147" s="40" t="str">
        <f>IF(tblMovimientos[[#This Row],[Producto]]="","",TRIM(LEFT(tblMovimientos[[#This Row],[Producto]],FIND(" · ",tblMovimientos[[#This Row],[Producto]]&amp;" · ")-1)))</f>
        <v/>
      </c>
      <c r="H4147" s="40" t="str">
        <f>IF(tblMovimientos[[#This Row],[SKU]]="","",IFERROR(INDEX(tblProductos[Unidad],MATCH(tblMovimientos[[#This Row],[SKU]],tblProductos[SKU],0)),"?"))</f>
        <v/>
      </c>
      <c r="I4147" s="39"/>
      <c r="J4147" s="47" t="str">
        <f>IF(tblMovimientos[[#This Row],[Tipo]]="","",IFERROR(INDEX(tblTiposMov[FactorStock],MATCH(tblMovimientos[[#This Row],[Tipo]],tblTiposMov[Tipo],0)),0))</f>
        <v/>
      </c>
      <c r="K41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7" s="37"/>
      <c r="O4147" s="37"/>
      <c r="P4147" s="37"/>
    </row>
    <row r="4148" spans="2:16" x14ac:dyDescent="0.25">
      <c r="B41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8" s="46"/>
      <c r="D4148" s="37"/>
      <c r="E4148" s="37"/>
      <c r="F4148" s="37"/>
      <c r="G4148" s="40" t="str">
        <f>IF(tblMovimientos[[#This Row],[Producto]]="","",TRIM(LEFT(tblMovimientos[[#This Row],[Producto]],FIND(" · ",tblMovimientos[[#This Row],[Producto]]&amp;" · ")-1)))</f>
        <v/>
      </c>
      <c r="H4148" s="40" t="str">
        <f>IF(tblMovimientos[[#This Row],[SKU]]="","",IFERROR(INDEX(tblProductos[Unidad],MATCH(tblMovimientos[[#This Row],[SKU]],tblProductos[SKU],0)),"?"))</f>
        <v/>
      </c>
      <c r="I4148" s="39"/>
      <c r="J4148" s="47" t="str">
        <f>IF(tblMovimientos[[#This Row],[Tipo]]="","",IFERROR(INDEX(tblTiposMov[FactorStock],MATCH(tblMovimientos[[#This Row],[Tipo]],tblTiposMov[Tipo],0)),0))</f>
        <v/>
      </c>
      <c r="K41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8" s="37"/>
      <c r="O4148" s="37"/>
      <c r="P4148" s="37"/>
    </row>
    <row r="4149" spans="2:16" x14ac:dyDescent="0.25">
      <c r="B41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49" s="46"/>
      <c r="D4149" s="37"/>
      <c r="E4149" s="37"/>
      <c r="F4149" s="37"/>
      <c r="G4149" s="40" t="str">
        <f>IF(tblMovimientos[[#This Row],[Producto]]="","",TRIM(LEFT(tblMovimientos[[#This Row],[Producto]],FIND(" · ",tblMovimientos[[#This Row],[Producto]]&amp;" · ")-1)))</f>
        <v/>
      </c>
      <c r="H4149" s="40" t="str">
        <f>IF(tblMovimientos[[#This Row],[SKU]]="","",IFERROR(INDEX(tblProductos[Unidad],MATCH(tblMovimientos[[#This Row],[SKU]],tblProductos[SKU],0)),"?"))</f>
        <v/>
      </c>
      <c r="I4149" s="39"/>
      <c r="J4149" s="47" t="str">
        <f>IF(tblMovimientos[[#This Row],[Tipo]]="","",IFERROR(INDEX(tblTiposMov[FactorStock],MATCH(tblMovimientos[[#This Row],[Tipo]],tblTiposMov[Tipo],0)),0))</f>
        <v/>
      </c>
      <c r="K41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49" s="37"/>
      <c r="O4149" s="37"/>
      <c r="P4149" s="37"/>
    </row>
    <row r="4150" spans="2:16" x14ac:dyDescent="0.25">
      <c r="B41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0" s="46"/>
      <c r="D4150" s="37"/>
      <c r="E4150" s="37"/>
      <c r="F4150" s="37"/>
      <c r="G4150" s="40" t="str">
        <f>IF(tblMovimientos[[#This Row],[Producto]]="","",TRIM(LEFT(tblMovimientos[[#This Row],[Producto]],FIND(" · ",tblMovimientos[[#This Row],[Producto]]&amp;" · ")-1)))</f>
        <v/>
      </c>
      <c r="H4150" s="40" t="str">
        <f>IF(tblMovimientos[[#This Row],[SKU]]="","",IFERROR(INDEX(tblProductos[Unidad],MATCH(tblMovimientos[[#This Row],[SKU]],tblProductos[SKU],0)),"?"))</f>
        <v/>
      </c>
      <c r="I4150" s="39"/>
      <c r="J4150" s="47" t="str">
        <f>IF(tblMovimientos[[#This Row],[Tipo]]="","",IFERROR(INDEX(tblTiposMov[FactorStock],MATCH(tblMovimientos[[#This Row],[Tipo]],tblTiposMov[Tipo],0)),0))</f>
        <v/>
      </c>
      <c r="K41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0" s="37"/>
      <c r="O4150" s="37"/>
      <c r="P4150" s="37"/>
    </row>
    <row r="4151" spans="2:16" x14ac:dyDescent="0.25">
      <c r="B41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1" s="46"/>
      <c r="D4151" s="37"/>
      <c r="E4151" s="37"/>
      <c r="F4151" s="37"/>
      <c r="G4151" s="40" t="str">
        <f>IF(tblMovimientos[[#This Row],[Producto]]="","",TRIM(LEFT(tblMovimientos[[#This Row],[Producto]],FIND(" · ",tblMovimientos[[#This Row],[Producto]]&amp;" · ")-1)))</f>
        <v/>
      </c>
      <c r="H4151" s="40" t="str">
        <f>IF(tblMovimientos[[#This Row],[SKU]]="","",IFERROR(INDEX(tblProductos[Unidad],MATCH(tblMovimientos[[#This Row],[SKU]],tblProductos[SKU],0)),"?"))</f>
        <v/>
      </c>
      <c r="I4151" s="39"/>
      <c r="J4151" s="47" t="str">
        <f>IF(tblMovimientos[[#This Row],[Tipo]]="","",IFERROR(INDEX(tblTiposMov[FactorStock],MATCH(tblMovimientos[[#This Row],[Tipo]],tblTiposMov[Tipo],0)),0))</f>
        <v/>
      </c>
      <c r="K41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1" s="37"/>
      <c r="O4151" s="37"/>
      <c r="P4151" s="37"/>
    </row>
    <row r="4152" spans="2:16" x14ac:dyDescent="0.25">
      <c r="B41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2" s="46"/>
      <c r="D4152" s="37"/>
      <c r="E4152" s="37"/>
      <c r="F4152" s="37"/>
      <c r="G4152" s="40" t="str">
        <f>IF(tblMovimientos[[#This Row],[Producto]]="","",TRIM(LEFT(tblMovimientos[[#This Row],[Producto]],FIND(" · ",tblMovimientos[[#This Row],[Producto]]&amp;" · ")-1)))</f>
        <v/>
      </c>
      <c r="H4152" s="40" t="str">
        <f>IF(tblMovimientos[[#This Row],[SKU]]="","",IFERROR(INDEX(tblProductos[Unidad],MATCH(tblMovimientos[[#This Row],[SKU]],tblProductos[SKU],0)),"?"))</f>
        <v/>
      </c>
      <c r="I4152" s="39"/>
      <c r="J4152" s="47" t="str">
        <f>IF(tblMovimientos[[#This Row],[Tipo]]="","",IFERROR(INDEX(tblTiposMov[FactorStock],MATCH(tblMovimientos[[#This Row],[Tipo]],tblTiposMov[Tipo],0)),0))</f>
        <v/>
      </c>
      <c r="K41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2" s="37"/>
      <c r="O4152" s="37"/>
      <c r="P4152" s="37"/>
    </row>
    <row r="4153" spans="2:16" x14ac:dyDescent="0.25">
      <c r="B41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3" s="46"/>
      <c r="D4153" s="37"/>
      <c r="E4153" s="37"/>
      <c r="F4153" s="37"/>
      <c r="G4153" s="40" t="str">
        <f>IF(tblMovimientos[[#This Row],[Producto]]="","",TRIM(LEFT(tblMovimientos[[#This Row],[Producto]],FIND(" · ",tblMovimientos[[#This Row],[Producto]]&amp;" · ")-1)))</f>
        <v/>
      </c>
      <c r="H4153" s="40" t="str">
        <f>IF(tblMovimientos[[#This Row],[SKU]]="","",IFERROR(INDEX(tblProductos[Unidad],MATCH(tblMovimientos[[#This Row],[SKU]],tblProductos[SKU],0)),"?"))</f>
        <v/>
      </c>
      <c r="I4153" s="39"/>
      <c r="J4153" s="47" t="str">
        <f>IF(tblMovimientos[[#This Row],[Tipo]]="","",IFERROR(INDEX(tblTiposMov[FactorStock],MATCH(tblMovimientos[[#This Row],[Tipo]],tblTiposMov[Tipo],0)),0))</f>
        <v/>
      </c>
      <c r="K41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3" s="37"/>
      <c r="O4153" s="37"/>
      <c r="P4153" s="37"/>
    </row>
    <row r="4154" spans="2:16" x14ac:dyDescent="0.25">
      <c r="B41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4" s="46"/>
      <c r="D4154" s="37"/>
      <c r="E4154" s="37"/>
      <c r="F4154" s="37"/>
      <c r="G4154" s="40" t="str">
        <f>IF(tblMovimientos[[#This Row],[Producto]]="","",TRIM(LEFT(tblMovimientos[[#This Row],[Producto]],FIND(" · ",tblMovimientos[[#This Row],[Producto]]&amp;" · ")-1)))</f>
        <v/>
      </c>
      <c r="H4154" s="40" t="str">
        <f>IF(tblMovimientos[[#This Row],[SKU]]="","",IFERROR(INDEX(tblProductos[Unidad],MATCH(tblMovimientos[[#This Row],[SKU]],tblProductos[SKU],0)),"?"))</f>
        <v/>
      </c>
      <c r="I4154" s="39"/>
      <c r="J4154" s="47" t="str">
        <f>IF(tblMovimientos[[#This Row],[Tipo]]="","",IFERROR(INDEX(tblTiposMov[FactorStock],MATCH(tblMovimientos[[#This Row],[Tipo]],tblTiposMov[Tipo],0)),0))</f>
        <v/>
      </c>
      <c r="K41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4" s="37"/>
      <c r="O4154" s="37"/>
      <c r="P4154" s="37"/>
    </row>
    <row r="4155" spans="2:16" x14ac:dyDescent="0.25">
      <c r="B41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5" s="46"/>
      <c r="D4155" s="37"/>
      <c r="E4155" s="37"/>
      <c r="F4155" s="37"/>
      <c r="G4155" s="40" t="str">
        <f>IF(tblMovimientos[[#This Row],[Producto]]="","",TRIM(LEFT(tblMovimientos[[#This Row],[Producto]],FIND(" · ",tblMovimientos[[#This Row],[Producto]]&amp;" · ")-1)))</f>
        <v/>
      </c>
      <c r="H4155" s="40" t="str">
        <f>IF(tblMovimientos[[#This Row],[SKU]]="","",IFERROR(INDEX(tblProductos[Unidad],MATCH(tblMovimientos[[#This Row],[SKU]],tblProductos[SKU],0)),"?"))</f>
        <v/>
      </c>
      <c r="I4155" s="39"/>
      <c r="J4155" s="47" t="str">
        <f>IF(tblMovimientos[[#This Row],[Tipo]]="","",IFERROR(INDEX(tblTiposMov[FactorStock],MATCH(tblMovimientos[[#This Row],[Tipo]],tblTiposMov[Tipo],0)),0))</f>
        <v/>
      </c>
      <c r="K41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5" s="37"/>
      <c r="O4155" s="37"/>
      <c r="P4155" s="37"/>
    </row>
    <row r="4156" spans="2:16" x14ac:dyDescent="0.25">
      <c r="B41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6" s="46"/>
      <c r="D4156" s="37"/>
      <c r="E4156" s="37"/>
      <c r="F4156" s="37"/>
      <c r="G4156" s="40" t="str">
        <f>IF(tblMovimientos[[#This Row],[Producto]]="","",TRIM(LEFT(tblMovimientos[[#This Row],[Producto]],FIND(" · ",tblMovimientos[[#This Row],[Producto]]&amp;" · ")-1)))</f>
        <v/>
      </c>
      <c r="H4156" s="40" t="str">
        <f>IF(tblMovimientos[[#This Row],[SKU]]="","",IFERROR(INDEX(tblProductos[Unidad],MATCH(tblMovimientos[[#This Row],[SKU]],tblProductos[SKU],0)),"?"))</f>
        <v/>
      </c>
      <c r="I4156" s="39"/>
      <c r="J4156" s="47" t="str">
        <f>IF(tblMovimientos[[#This Row],[Tipo]]="","",IFERROR(INDEX(tblTiposMov[FactorStock],MATCH(tblMovimientos[[#This Row],[Tipo]],tblTiposMov[Tipo],0)),0))</f>
        <v/>
      </c>
      <c r="K41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6" s="37"/>
      <c r="O4156" s="37"/>
      <c r="P4156" s="37"/>
    </row>
    <row r="4157" spans="2:16" x14ac:dyDescent="0.25">
      <c r="B41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7" s="46"/>
      <c r="D4157" s="37"/>
      <c r="E4157" s="37"/>
      <c r="F4157" s="37"/>
      <c r="G4157" s="40" t="str">
        <f>IF(tblMovimientos[[#This Row],[Producto]]="","",TRIM(LEFT(tblMovimientos[[#This Row],[Producto]],FIND(" · ",tblMovimientos[[#This Row],[Producto]]&amp;" · ")-1)))</f>
        <v/>
      </c>
      <c r="H4157" s="40" t="str">
        <f>IF(tblMovimientos[[#This Row],[SKU]]="","",IFERROR(INDEX(tblProductos[Unidad],MATCH(tblMovimientos[[#This Row],[SKU]],tblProductos[SKU],0)),"?"))</f>
        <v/>
      </c>
      <c r="I4157" s="39"/>
      <c r="J4157" s="47" t="str">
        <f>IF(tblMovimientos[[#This Row],[Tipo]]="","",IFERROR(INDEX(tblTiposMov[FactorStock],MATCH(tblMovimientos[[#This Row],[Tipo]],tblTiposMov[Tipo],0)),0))</f>
        <v/>
      </c>
      <c r="K41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7" s="37"/>
      <c r="O4157" s="37"/>
      <c r="P4157" s="37"/>
    </row>
    <row r="4158" spans="2:16" x14ac:dyDescent="0.25">
      <c r="B41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8" s="46"/>
      <c r="D4158" s="37"/>
      <c r="E4158" s="37"/>
      <c r="F4158" s="37"/>
      <c r="G4158" s="40" t="str">
        <f>IF(tblMovimientos[[#This Row],[Producto]]="","",TRIM(LEFT(tblMovimientos[[#This Row],[Producto]],FIND(" · ",tblMovimientos[[#This Row],[Producto]]&amp;" · ")-1)))</f>
        <v/>
      </c>
      <c r="H4158" s="40" t="str">
        <f>IF(tblMovimientos[[#This Row],[SKU]]="","",IFERROR(INDEX(tblProductos[Unidad],MATCH(tblMovimientos[[#This Row],[SKU]],tblProductos[SKU],0)),"?"))</f>
        <v/>
      </c>
      <c r="I4158" s="39"/>
      <c r="J4158" s="47" t="str">
        <f>IF(tblMovimientos[[#This Row],[Tipo]]="","",IFERROR(INDEX(tblTiposMov[FactorStock],MATCH(tblMovimientos[[#This Row],[Tipo]],tblTiposMov[Tipo],0)),0))</f>
        <v/>
      </c>
      <c r="K41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8" s="37"/>
      <c r="O4158" s="37"/>
      <c r="P4158" s="37"/>
    </row>
    <row r="4159" spans="2:16" x14ac:dyDescent="0.25">
      <c r="B41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59" s="46"/>
      <c r="D4159" s="37"/>
      <c r="E4159" s="37"/>
      <c r="F4159" s="37"/>
      <c r="G4159" s="40" t="str">
        <f>IF(tblMovimientos[[#This Row],[Producto]]="","",TRIM(LEFT(tblMovimientos[[#This Row],[Producto]],FIND(" · ",tblMovimientos[[#This Row],[Producto]]&amp;" · ")-1)))</f>
        <v/>
      </c>
      <c r="H4159" s="40" t="str">
        <f>IF(tblMovimientos[[#This Row],[SKU]]="","",IFERROR(INDEX(tblProductos[Unidad],MATCH(tblMovimientos[[#This Row],[SKU]],tblProductos[SKU],0)),"?"))</f>
        <v/>
      </c>
      <c r="I4159" s="39"/>
      <c r="J4159" s="47" t="str">
        <f>IF(tblMovimientos[[#This Row],[Tipo]]="","",IFERROR(INDEX(tblTiposMov[FactorStock],MATCH(tblMovimientos[[#This Row],[Tipo]],tblTiposMov[Tipo],0)),0))</f>
        <v/>
      </c>
      <c r="K41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59" s="37"/>
      <c r="O4159" s="37"/>
      <c r="P4159" s="37"/>
    </row>
    <row r="4160" spans="2:16" x14ac:dyDescent="0.25">
      <c r="B41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0" s="46"/>
      <c r="D4160" s="37"/>
      <c r="E4160" s="37"/>
      <c r="F4160" s="37"/>
      <c r="G4160" s="40" t="str">
        <f>IF(tblMovimientos[[#This Row],[Producto]]="","",TRIM(LEFT(tblMovimientos[[#This Row],[Producto]],FIND(" · ",tblMovimientos[[#This Row],[Producto]]&amp;" · ")-1)))</f>
        <v/>
      </c>
      <c r="H4160" s="40" t="str">
        <f>IF(tblMovimientos[[#This Row],[SKU]]="","",IFERROR(INDEX(tblProductos[Unidad],MATCH(tblMovimientos[[#This Row],[SKU]],tblProductos[SKU],0)),"?"))</f>
        <v/>
      </c>
      <c r="I4160" s="39"/>
      <c r="J4160" s="47" t="str">
        <f>IF(tblMovimientos[[#This Row],[Tipo]]="","",IFERROR(INDEX(tblTiposMov[FactorStock],MATCH(tblMovimientos[[#This Row],[Tipo]],tblTiposMov[Tipo],0)),0))</f>
        <v/>
      </c>
      <c r="K41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0" s="37"/>
      <c r="O4160" s="37"/>
      <c r="P4160" s="37"/>
    </row>
    <row r="4161" spans="2:16" x14ac:dyDescent="0.25">
      <c r="B41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1" s="46"/>
      <c r="D4161" s="37"/>
      <c r="E4161" s="37"/>
      <c r="F4161" s="37"/>
      <c r="G4161" s="40" t="str">
        <f>IF(tblMovimientos[[#This Row],[Producto]]="","",TRIM(LEFT(tblMovimientos[[#This Row],[Producto]],FIND(" · ",tblMovimientos[[#This Row],[Producto]]&amp;" · ")-1)))</f>
        <v/>
      </c>
      <c r="H4161" s="40" t="str">
        <f>IF(tblMovimientos[[#This Row],[SKU]]="","",IFERROR(INDEX(tblProductos[Unidad],MATCH(tblMovimientos[[#This Row],[SKU]],tblProductos[SKU],0)),"?"))</f>
        <v/>
      </c>
      <c r="I4161" s="39"/>
      <c r="J4161" s="47" t="str">
        <f>IF(tblMovimientos[[#This Row],[Tipo]]="","",IFERROR(INDEX(tblTiposMov[FactorStock],MATCH(tblMovimientos[[#This Row],[Tipo]],tblTiposMov[Tipo],0)),0))</f>
        <v/>
      </c>
      <c r="K41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1" s="37"/>
      <c r="O4161" s="37"/>
      <c r="P4161" s="37"/>
    </row>
    <row r="4162" spans="2:16" x14ac:dyDescent="0.25">
      <c r="B41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2" s="46"/>
      <c r="D4162" s="37"/>
      <c r="E4162" s="37"/>
      <c r="F4162" s="37"/>
      <c r="G4162" s="40" t="str">
        <f>IF(tblMovimientos[[#This Row],[Producto]]="","",TRIM(LEFT(tblMovimientos[[#This Row],[Producto]],FIND(" · ",tblMovimientos[[#This Row],[Producto]]&amp;" · ")-1)))</f>
        <v/>
      </c>
      <c r="H4162" s="40" t="str">
        <f>IF(tblMovimientos[[#This Row],[SKU]]="","",IFERROR(INDEX(tblProductos[Unidad],MATCH(tblMovimientos[[#This Row],[SKU]],tblProductos[SKU],0)),"?"))</f>
        <v/>
      </c>
      <c r="I4162" s="39"/>
      <c r="J4162" s="47" t="str">
        <f>IF(tblMovimientos[[#This Row],[Tipo]]="","",IFERROR(INDEX(tblTiposMov[FactorStock],MATCH(tblMovimientos[[#This Row],[Tipo]],tblTiposMov[Tipo],0)),0))</f>
        <v/>
      </c>
      <c r="K41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2" s="37"/>
      <c r="O4162" s="37"/>
      <c r="P4162" s="37"/>
    </row>
    <row r="4163" spans="2:16" x14ac:dyDescent="0.25">
      <c r="B41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3" s="46"/>
      <c r="D4163" s="37"/>
      <c r="E4163" s="37"/>
      <c r="F4163" s="37"/>
      <c r="G4163" s="40" t="str">
        <f>IF(tblMovimientos[[#This Row],[Producto]]="","",TRIM(LEFT(tblMovimientos[[#This Row],[Producto]],FIND(" · ",tblMovimientos[[#This Row],[Producto]]&amp;" · ")-1)))</f>
        <v/>
      </c>
      <c r="H4163" s="40" t="str">
        <f>IF(tblMovimientos[[#This Row],[SKU]]="","",IFERROR(INDEX(tblProductos[Unidad],MATCH(tblMovimientos[[#This Row],[SKU]],tblProductos[SKU],0)),"?"))</f>
        <v/>
      </c>
      <c r="I4163" s="39"/>
      <c r="J4163" s="47" t="str">
        <f>IF(tblMovimientos[[#This Row],[Tipo]]="","",IFERROR(INDEX(tblTiposMov[FactorStock],MATCH(tblMovimientos[[#This Row],[Tipo]],tblTiposMov[Tipo],0)),0))</f>
        <v/>
      </c>
      <c r="K41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3" s="37"/>
      <c r="O4163" s="37"/>
      <c r="P4163" s="37"/>
    </row>
    <row r="4164" spans="2:16" x14ac:dyDescent="0.25">
      <c r="B41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4" s="46"/>
      <c r="D4164" s="37"/>
      <c r="E4164" s="37"/>
      <c r="F4164" s="37"/>
      <c r="G4164" s="40" t="str">
        <f>IF(tblMovimientos[[#This Row],[Producto]]="","",TRIM(LEFT(tblMovimientos[[#This Row],[Producto]],FIND(" · ",tblMovimientos[[#This Row],[Producto]]&amp;" · ")-1)))</f>
        <v/>
      </c>
      <c r="H4164" s="40" t="str">
        <f>IF(tblMovimientos[[#This Row],[SKU]]="","",IFERROR(INDEX(tblProductos[Unidad],MATCH(tblMovimientos[[#This Row],[SKU]],tblProductos[SKU],0)),"?"))</f>
        <v/>
      </c>
      <c r="I4164" s="39"/>
      <c r="J4164" s="47" t="str">
        <f>IF(tblMovimientos[[#This Row],[Tipo]]="","",IFERROR(INDEX(tblTiposMov[FactorStock],MATCH(tblMovimientos[[#This Row],[Tipo]],tblTiposMov[Tipo],0)),0))</f>
        <v/>
      </c>
      <c r="K41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4" s="37"/>
      <c r="O4164" s="37"/>
      <c r="P4164" s="37"/>
    </row>
    <row r="4165" spans="2:16" x14ac:dyDescent="0.25">
      <c r="B41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5" s="46"/>
      <c r="D4165" s="37"/>
      <c r="E4165" s="37"/>
      <c r="F4165" s="37"/>
      <c r="G4165" s="40" t="str">
        <f>IF(tblMovimientos[[#This Row],[Producto]]="","",TRIM(LEFT(tblMovimientos[[#This Row],[Producto]],FIND(" · ",tblMovimientos[[#This Row],[Producto]]&amp;" · ")-1)))</f>
        <v/>
      </c>
      <c r="H4165" s="40" t="str">
        <f>IF(tblMovimientos[[#This Row],[SKU]]="","",IFERROR(INDEX(tblProductos[Unidad],MATCH(tblMovimientos[[#This Row],[SKU]],tblProductos[SKU],0)),"?"))</f>
        <v/>
      </c>
      <c r="I4165" s="39"/>
      <c r="J4165" s="47" t="str">
        <f>IF(tblMovimientos[[#This Row],[Tipo]]="","",IFERROR(INDEX(tblTiposMov[FactorStock],MATCH(tblMovimientos[[#This Row],[Tipo]],tblTiposMov[Tipo],0)),0))</f>
        <v/>
      </c>
      <c r="K41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5" s="37"/>
      <c r="O4165" s="37"/>
      <c r="P4165" s="37"/>
    </row>
    <row r="4166" spans="2:16" x14ac:dyDescent="0.25">
      <c r="B41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6" s="46"/>
      <c r="D4166" s="37"/>
      <c r="E4166" s="37"/>
      <c r="F4166" s="37"/>
      <c r="G4166" s="40" t="str">
        <f>IF(tblMovimientos[[#This Row],[Producto]]="","",TRIM(LEFT(tblMovimientos[[#This Row],[Producto]],FIND(" · ",tblMovimientos[[#This Row],[Producto]]&amp;" · ")-1)))</f>
        <v/>
      </c>
      <c r="H4166" s="40" t="str">
        <f>IF(tblMovimientos[[#This Row],[SKU]]="","",IFERROR(INDEX(tblProductos[Unidad],MATCH(tblMovimientos[[#This Row],[SKU]],tblProductos[SKU],0)),"?"))</f>
        <v/>
      </c>
      <c r="I4166" s="39"/>
      <c r="J4166" s="47" t="str">
        <f>IF(tblMovimientos[[#This Row],[Tipo]]="","",IFERROR(INDEX(tblTiposMov[FactorStock],MATCH(tblMovimientos[[#This Row],[Tipo]],tblTiposMov[Tipo],0)),0))</f>
        <v/>
      </c>
      <c r="K41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6" s="37"/>
      <c r="O4166" s="37"/>
      <c r="P4166" s="37"/>
    </row>
    <row r="4167" spans="2:16" x14ac:dyDescent="0.25">
      <c r="B41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7" s="46"/>
      <c r="D4167" s="37"/>
      <c r="E4167" s="37"/>
      <c r="F4167" s="37"/>
      <c r="G4167" s="40" t="str">
        <f>IF(tblMovimientos[[#This Row],[Producto]]="","",TRIM(LEFT(tblMovimientos[[#This Row],[Producto]],FIND(" · ",tblMovimientos[[#This Row],[Producto]]&amp;" · ")-1)))</f>
        <v/>
      </c>
      <c r="H4167" s="40" t="str">
        <f>IF(tblMovimientos[[#This Row],[SKU]]="","",IFERROR(INDEX(tblProductos[Unidad],MATCH(tblMovimientos[[#This Row],[SKU]],tblProductos[SKU],0)),"?"))</f>
        <v/>
      </c>
      <c r="I4167" s="39"/>
      <c r="J4167" s="47" t="str">
        <f>IF(tblMovimientos[[#This Row],[Tipo]]="","",IFERROR(INDEX(tblTiposMov[FactorStock],MATCH(tblMovimientos[[#This Row],[Tipo]],tblTiposMov[Tipo],0)),0))</f>
        <v/>
      </c>
      <c r="K41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7" s="37"/>
      <c r="O4167" s="37"/>
      <c r="P4167" s="37"/>
    </row>
    <row r="4168" spans="2:16" x14ac:dyDescent="0.25">
      <c r="B41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8" s="46"/>
      <c r="D4168" s="37"/>
      <c r="E4168" s="37"/>
      <c r="F4168" s="37"/>
      <c r="G4168" s="40" t="str">
        <f>IF(tblMovimientos[[#This Row],[Producto]]="","",TRIM(LEFT(tblMovimientos[[#This Row],[Producto]],FIND(" · ",tblMovimientos[[#This Row],[Producto]]&amp;" · ")-1)))</f>
        <v/>
      </c>
      <c r="H4168" s="40" t="str">
        <f>IF(tblMovimientos[[#This Row],[SKU]]="","",IFERROR(INDEX(tblProductos[Unidad],MATCH(tblMovimientos[[#This Row],[SKU]],tblProductos[SKU],0)),"?"))</f>
        <v/>
      </c>
      <c r="I4168" s="39"/>
      <c r="J4168" s="47" t="str">
        <f>IF(tblMovimientos[[#This Row],[Tipo]]="","",IFERROR(INDEX(tblTiposMov[FactorStock],MATCH(tblMovimientos[[#This Row],[Tipo]],tblTiposMov[Tipo],0)),0))</f>
        <v/>
      </c>
      <c r="K41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8" s="37"/>
      <c r="O4168" s="37"/>
      <c r="P4168" s="37"/>
    </row>
    <row r="4169" spans="2:16" x14ac:dyDescent="0.25">
      <c r="B41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69" s="46"/>
      <c r="D4169" s="37"/>
      <c r="E4169" s="37"/>
      <c r="F4169" s="37"/>
      <c r="G4169" s="40" t="str">
        <f>IF(tblMovimientos[[#This Row],[Producto]]="","",TRIM(LEFT(tblMovimientos[[#This Row],[Producto]],FIND(" · ",tblMovimientos[[#This Row],[Producto]]&amp;" · ")-1)))</f>
        <v/>
      </c>
      <c r="H4169" s="40" t="str">
        <f>IF(tblMovimientos[[#This Row],[SKU]]="","",IFERROR(INDEX(tblProductos[Unidad],MATCH(tblMovimientos[[#This Row],[SKU]],tblProductos[SKU],0)),"?"))</f>
        <v/>
      </c>
      <c r="I4169" s="39"/>
      <c r="J4169" s="47" t="str">
        <f>IF(tblMovimientos[[#This Row],[Tipo]]="","",IFERROR(INDEX(tblTiposMov[FactorStock],MATCH(tblMovimientos[[#This Row],[Tipo]],tblTiposMov[Tipo],0)),0))</f>
        <v/>
      </c>
      <c r="K41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69" s="37"/>
      <c r="O4169" s="37"/>
      <c r="P4169" s="37"/>
    </row>
    <row r="4170" spans="2:16" x14ac:dyDescent="0.25">
      <c r="B41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0" s="46"/>
      <c r="D4170" s="37"/>
      <c r="E4170" s="37"/>
      <c r="F4170" s="37"/>
      <c r="G4170" s="40" t="str">
        <f>IF(tblMovimientos[[#This Row],[Producto]]="","",TRIM(LEFT(tblMovimientos[[#This Row],[Producto]],FIND(" · ",tblMovimientos[[#This Row],[Producto]]&amp;" · ")-1)))</f>
        <v/>
      </c>
      <c r="H4170" s="40" t="str">
        <f>IF(tblMovimientos[[#This Row],[SKU]]="","",IFERROR(INDEX(tblProductos[Unidad],MATCH(tblMovimientos[[#This Row],[SKU]],tblProductos[SKU],0)),"?"))</f>
        <v/>
      </c>
      <c r="I4170" s="39"/>
      <c r="J4170" s="47" t="str">
        <f>IF(tblMovimientos[[#This Row],[Tipo]]="","",IFERROR(INDEX(tblTiposMov[FactorStock],MATCH(tblMovimientos[[#This Row],[Tipo]],tblTiposMov[Tipo],0)),0))</f>
        <v/>
      </c>
      <c r="K41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0" s="37"/>
      <c r="O4170" s="37"/>
      <c r="P4170" s="37"/>
    </row>
    <row r="4171" spans="2:16" x14ac:dyDescent="0.25">
      <c r="B41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1" s="46"/>
      <c r="D4171" s="37"/>
      <c r="E4171" s="37"/>
      <c r="F4171" s="37"/>
      <c r="G4171" s="40" t="str">
        <f>IF(tblMovimientos[[#This Row],[Producto]]="","",TRIM(LEFT(tblMovimientos[[#This Row],[Producto]],FIND(" · ",tblMovimientos[[#This Row],[Producto]]&amp;" · ")-1)))</f>
        <v/>
      </c>
      <c r="H4171" s="40" t="str">
        <f>IF(tblMovimientos[[#This Row],[SKU]]="","",IFERROR(INDEX(tblProductos[Unidad],MATCH(tblMovimientos[[#This Row],[SKU]],tblProductos[SKU],0)),"?"))</f>
        <v/>
      </c>
      <c r="I4171" s="39"/>
      <c r="J4171" s="47" t="str">
        <f>IF(tblMovimientos[[#This Row],[Tipo]]="","",IFERROR(INDEX(tblTiposMov[FactorStock],MATCH(tblMovimientos[[#This Row],[Tipo]],tblTiposMov[Tipo],0)),0))</f>
        <v/>
      </c>
      <c r="K41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1" s="37"/>
      <c r="O4171" s="37"/>
      <c r="P4171" s="37"/>
    </row>
    <row r="4172" spans="2:16" x14ac:dyDescent="0.25">
      <c r="B41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2" s="46"/>
      <c r="D4172" s="37"/>
      <c r="E4172" s="37"/>
      <c r="F4172" s="37"/>
      <c r="G4172" s="40" t="str">
        <f>IF(tblMovimientos[[#This Row],[Producto]]="","",TRIM(LEFT(tblMovimientos[[#This Row],[Producto]],FIND(" · ",tblMovimientos[[#This Row],[Producto]]&amp;" · ")-1)))</f>
        <v/>
      </c>
      <c r="H4172" s="40" t="str">
        <f>IF(tblMovimientos[[#This Row],[SKU]]="","",IFERROR(INDEX(tblProductos[Unidad],MATCH(tblMovimientos[[#This Row],[SKU]],tblProductos[SKU],0)),"?"))</f>
        <v/>
      </c>
      <c r="I4172" s="39"/>
      <c r="J4172" s="47" t="str">
        <f>IF(tblMovimientos[[#This Row],[Tipo]]="","",IFERROR(INDEX(tblTiposMov[FactorStock],MATCH(tblMovimientos[[#This Row],[Tipo]],tblTiposMov[Tipo],0)),0))</f>
        <v/>
      </c>
      <c r="K41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2" s="37"/>
      <c r="O4172" s="37"/>
      <c r="P4172" s="37"/>
    </row>
    <row r="4173" spans="2:16" x14ac:dyDescent="0.25">
      <c r="B41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3" s="46"/>
      <c r="D4173" s="37"/>
      <c r="E4173" s="37"/>
      <c r="F4173" s="37"/>
      <c r="G4173" s="40" t="str">
        <f>IF(tblMovimientos[[#This Row],[Producto]]="","",TRIM(LEFT(tblMovimientos[[#This Row],[Producto]],FIND(" · ",tblMovimientos[[#This Row],[Producto]]&amp;" · ")-1)))</f>
        <v/>
      </c>
      <c r="H4173" s="40" t="str">
        <f>IF(tblMovimientos[[#This Row],[SKU]]="","",IFERROR(INDEX(tblProductos[Unidad],MATCH(tblMovimientos[[#This Row],[SKU]],tblProductos[SKU],0)),"?"))</f>
        <v/>
      </c>
      <c r="I4173" s="39"/>
      <c r="J4173" s="47" t="str">
        <f>IF(tblMovimientos[[#This Row],[Tipo]]="","",IFERROR(INDEX(tblTiposMov[FactorStock],MATCH(tblMovimientos[[#This Row],[Tipo]],tblTiposMov[Tipo],0)),0))</f>
        <v/>
      </c>
      <c r="K41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3" s="37"/>
      <c r="O4173" s="37"/>
      <c r="P4173" s="37"/>
    </row>
    <row r="4174" spans="2:16" x14ac:dyDescent="0.25">
      <c r="B41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4" s="46"/>
      <c r="D4174" s="37"/>
      <c r="E4174" s="37"/>
      <c r="F4174" s="37"/>
      <c r="G4174" s="40" t="str">
        <f>IF(tblMovimientos[[#This Row],[Producto]]="","",TRIM(LEFT(tblMovimientos[[#This Row],[Producto]],FIND(" · ",tblMovimientos[[#This Row],[Producto]]&amp;" · ")-1)))</f>
        <v/>
      </c>
      <c r="H4174" s="40" t="str">
        <f>IF(tblMovimientos[[#This Row],[SKU]]="","",IFERROR(INDEX(tblProductos[Unidad],MATCH(tblMovimientos[[#This Row],[SKU]],tblProductos[SKU],0)),"?"))</f>
        <v/>
      </c>
      <c r="I4174" s="39"/>
      <c r="J4174" s="47" t="str">
        <f>IF(tblMovimientos[[#This Row],[Tipo]]="","",IFERROR(INDEX(tblTiposMov[FactorStock],MATCH(tblMovimientos[[#This Row],[Tipo]],tblTiposMov[Tipo],0)),0))</f>
        <v/>
      </c>
      <c r="K41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4" s="37"/>
      <c r="O4174" s="37"/>
      <c r="P4174" s="37"/>
    </row>
    <row r="4175" spans="2:16" x14ac:dyDescent="0.25">
      <c r="B41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5" s="46"/>
      <c r="D4175" s="37"/>
      <c r="E4175" s="37"/>
      <c r="F4175" s="37"/>
      <c r="G4175" s="40" t="str">
        <f>IF(tblMovimientos[[#This Row],[Producto]]="","",TRIM(LEFT(tblMovimientos[[#This Row],[Producto]],FIND(" · ",tblMovimientos[[#This Row],[Producto]]&amp;" · ")-1)))</f>
        <v/>
      </c>
      <c r="H4175" s="40" t="str">
        <f>IF(tblMovimientos[[#This Row],[SKU]]="","",IFERROR(INDEX(tblProductos[Unidad],MATCH(tblMovimientos[[#This Row],[SKU]],tblProductos[SKU],0)),"?"))</f>
        <v/>
      </c>
      <c r="I4175" s="39"/>
      <c r="J4175" s="47" t="str">
        <f>IF(tblMovimientos[[#This Row],[Tipo]]="","",IFERROR(INDEX(tblTiposMov[FactorStock],MATCH(tblMovimientos[[#This Row],[Tipo]],tblTiposMov[Tipo],0)),0))</f>
        <v/>
      </c>
      <c r="K41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5" s="37"/>
      <c r="O4175" s="37"/>
      <c r="P4175" s="37"/>
    </row>
    <row r="4176" spans="2:16" x14ac:dyDescent="0.25">
      <c r="B41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6" s="46"/>
      <c r="D4176" s="37"/>
      <c r="E4176" s="37"/>
      <c r="F4176" s="37"/>
      <c r="G4176" s="40" t="str">
        <f>IF(tblMovimientos[[#This Row],[Producto]]="","",TRIM(LEFT(tblMovimientos[[#This Row],[Producto]],FIND(" · ",tblMovimientos[[#This Row],[Producto]]&amp;" · ")-1)))</f>
        <v/>
      </c>
      <c r="H4176" s="40" t="str">
        <f>IF(tblMovimientos[[#This Row],[SKU]]="","",IFERROR(INDEX(tblProductos[Unidad],MATCH(tblMovimientos[[#This Row],[SKU]],tblProductos[SKU],0)),"?"))</f>
        <v/>
      </c>
      <c r="I4176" s="39"/>
      <c r="J4176" s="47" t="str">
        <f>IF(tblMovimientos[[#This Row],[Tipo]]="","",IFERROR(INDEX(tblTiposMov[FactorStock],MATCH(tblMovimientos[[#This Row],[Tipo]],tblTiposMov[Tipo],0)),0))</f>
        <v/>
      </c>
      <c r="K41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6" s="37"/>
      <c r="O4176" s="37"/>
      <c r="P4176" s="37"/>
    </row>
    <row r="4177" spans="2:16" x14ac:dyDescent="0.25">
      <c r="B41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7" s="46"/>
      <c r="D4177" s="37"/>
      <c r="E4177" s="37"/>
      <c r="F4177" s="37"/>
      <c r="G4177" s="40" t="str">
        <f>IF(tblMovimientos[[#This Row],[Producto]]="","",TRIM(LEFT(tblMovimientos[[#This Row],[Producto]],FIND(" · ",tblMovimientos[[#This Row],[Producto]]&amp;" · ")-1)))</f>
        <v/>
      </c>
      <c r="H4177" s="40" t="str">
        <f>IF(tblMovimientos[[#This Row],[SKU]]="","",IFERROR(INDEX(tblProductos[Unidad],MATCH(tblMovimientos[[#This Row],[SKU]],tblProductos[SKU],0)),"?"))</f>
        <v/>
      </c>
      <c r="I4177" s="39"/>
      <c r="J4177" s="47" t="str">
        <f>IF(tblMovimientos[[#This Row],[Tipo]]="","",IFERROR(INDEX(tblTiposMov[FactorStock],MATCH(tblMovimientos[[#This Row],[Tipo]],tblTiposMov[Tipo],0)),0))</f>
        <v/>
      </c>
      <c r="K41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7" s="37"/>
      <c r="O4177" s="37"/>
      <c r="P4177" s="37"/>
    </row>
    <row r="4178" spans="2:16" x14ac:dyDescent="0.25">
      <c r="B41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8" s="46"/>
      <c r="D4178" s="37"/>
      <c r="E4178" s="37"/>
      <c r="F4178" s="37"/>
      <c r="G4178" s="40" t="str">
        <f>IF(tblMovimientos[[#This Row],[Producto]]="","",TRIM(LEFT(tblMovimientos[[#This Row],[Producto]],FIND(" · ",tblMovimientos[[#This Row],[Producto]]&amp;" · ")-1)))</f>
        <v/>
      </c>
      <c r="H4178" s="40" t="str">
        <f>IF(tblMovimientos[[#This Row],[SKU]]="","",IFERROR(INDEX(tblProductos[Unidad],MATCH(tblMovimientos[[#This Row],[SKU]],tblProductos[SKU],0)),"?"))</f>
        <v/>
      </c>
      <c r="I4178" s="39"/>
      <c r="J4178" s="47" t="str">
        <f>IF(tblMovimientos[[#This Row],[Tipo]]="","",IFERROR(INDEX(tblTiposMov[FactorStock],MATCH(tblMovimientos[[#This Row],[Tipo]],tblTiposMov[Tipo],0)),0))</f>
        <v/>
      </c>
      <c r="K41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8" s="37"/>
      <c r="O4178" s="37"/>
      <c r="P4178" s="37"/>
    </row>
    <row r="4179" spans="2:16" x14ac:dyDescent="0.25">
      <c r="B41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79" s="46"/>
      <c r="D4179" s="37"/>
      <c r="E4179" s="37"/>
      <c r="F4179" s="37"/>
      <c r="G4179" s="40" t="str">
        <f>IF(tblMovimientos[[#This Row],[Producto]]="","",TRIM(LEFT(tblMovimientos[[#This Row],[Producto]],FIND(" · ",tblMovimientos[[#This Row],[Producto]]&amp;" · ")-1)))</f>
        <v/>
      </c>
      <c r="H4179" s="40" t="str">
        <f>IF(tblMovimientos[[#This Row],[SKU]]="","",IFERROR(INDEX(tblProductos[Unidad],MATCH(tblMovimientos[[#This Row],[SKU]],tblProductos[SKU],0)),"?"))</f>
        <v/>
      </c>
      <c r="I4179" s="39"/>
      <c r="J4179" s="47" t="str">
        <f>IF(tblMovimientos[[#This Row],[Tipo]]="","",IFERROR(INDEX(tblTiposMov[FactorStock],MATCH(tblMovimientos[[#This Row],[Tipo]],tblTiposMov[Tipo],0)),0))</f>
        <v/>
      </c>
      <c r="K41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79" s="37"/>
      <c r="O4179" s="37"/>
      <c r="P4179" s="37"/>
    </row>
    <row r="4180" spans="2:16" x14ac:dyDescent="0.25">
      <c r="B41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0" s="46"/>
      <c r="D4180" s="37"/>
      <c r="E4180" s="37"/>
      <c r="F4180" s="37"/>
      <c r="G4180" s="40" t="str">
        <f>IF(tblMovimientos[[#This Row],[Producto]]="","",TRIM(LEFT(tblMovimientos[[#This Row],[Producto]],FIND(" · ",tblMovimientos[[#This Row],[Producto]]&amp;" · ")-1)))</f>
        <v/>
      </c>
      <c r="H4180" s="40" t="str">
        <f>IF(tblMovimientos[[#This Row],[SKU]]="","",IFERROR(INDEX(tblProductos[Unidad],MATCH(tblMovimientos[[#This Row],[SKU]],tblProductos[SKU],0)),"?"))</f>
        <v/>
      </c>
      <c r="I4180" s="39"/>
      <c r="J4180" s="47" t="str">
        <f>IF(tblMovimientos[[#This Row],[Tipo]]="","",IFERROR(INDEX(tblTiposMov[FactorStock],MATCH(tblMovimientos[[#This Row],[Tipo]],tblTiposMov[Tipo],0)),0))</f>
        <v/>
      </c>
      <c r="K41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0" s="37"/>
      <c r="O4180" s="37"/>
      <c r="P4180" s="37"/>
    </row>
    <row r="4181" spans="2:16" x14ac:dyDescent="0.25">
      <c r="B41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1" s="46"/>
      <c r="D4181" s="37"/>
      <c r="E4181" s="37"/>
      <c r="F4181" s="37"/>
      <c r="G4181" s="40" t="str">
        <f>IF(tblMovimientos[[#This Row],[Producto]]="","",TRIM(LEFT(tblMovimientos[[#This Row],[Producto]],FIND(" · ",tblMovimientos[[#This Row],[Producto]]&amp;" · ")-1)))</f>
        <v/>
      </c>
      <c r="H4181" s="40" t="str">
        <f>IF(tblMovimientos[[#This Row],[SKU]]="","",IFERROR(INDEX(tblProductos[Unidad],MATCH(tblMovimientos[[#This Row],[SKU]],tblProductos[SKU],0)),"?"))</f>
        <v/>
      </c>
      <c r="I4181" s="39"/>
      <c r="J4181" s="47" t="str">
        <f>IF(tblMovimientos[[#This Row],[Tipo]]="","",IFERROR(INDEX(tblTiposMov[FactorStock],MATCH(tblMovimientos[[#This Row],[Tipo]],tblTiposMov[Tipo],0)),0))</f>
        <v/>
      </c>
      <c r="K41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1" s="37"/>
      <c r="O4181" s="37"/>
      <c r="P4181" s="37"/>
    </row>
    <row r="4182" spans="2:16" x14ac:dyDescent="0.25">
      <c r="B41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2" s="46"/>
      <c r="D4182" s="37"/>
      <c r="E4182" s="37"/>
      <c r="F4182" s="37"/>
      <c r="G4182" s="40" t="str">
        <f>IF(tblMovimientos[[#This Row],[Producto]]="","",TRIM(LEFT(tblMovimientos[[#This Row],[Producto]],FIND(" · ",tblMovimientos[[#This Row],[Producto]]&amp;" · ")-1)))</f>
        <v/>
      </c>
      <c r="H4182" s="40" t="str">
        <f>IF(tblMovimientos[[#This Row],[SKU]]="","",IFERROR(INDEX(tblProductos[Unidad],MATCH(tblMovimientos[[#This Row],[SKU]],tblProductos[SKU],0)),"?"))</f>
        <v/>
      </c>
      <c r="I4182" s="39"/>
      <c r="J4182" s="47" t="str">
        <f>IF(tblMovimientos[[#This Row],[Tipo]]="","",IFERROR(INDEX(tblTiposMov[FactorStock],MATCH(tblMovimientos[[#This Row],[Tipo]],tblTiposMov[Tipo],0)),0))</f>
        <v/>
      </c>
      <c r="K41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2" s="37"/>
      <c r="O4182" s="37"/>
      <c r="P4182" s="37"/>
    </row>
    <row r="4183" spans="2:16" x14ac:dyDescent="0.25">
      <c r="B41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3" s="46"/>
      <c r="D4183" s="37"/>
      <c r="E4183" s="37"/>
      <c r="F4183" s="37"/>
      <c r="G4183" s="40" t="str">
        <f>IF(tblMovimientos[[#This Row],[Producto]]="","",TRIM(LEFT(tblMovimientos[[#This Row],[Producto]],FIND(" · ",tblMovimientos[[#This Row],[Producto]]&amp;" · ")-1)))</f>
        <v/>
      </c>
      <c r="H4183" s="40" t="str">
        <f>IF(tblMovimientos[[#This Row],[SKU]]="","",IFERROR(INDEX(tblProductos[Unidad],MATCH(tblMovimientos[[#This Row],[SKU]],tblProductos[SKU],0)),"?"))</f>
        <v/>
      </c>
      <c r="I4183" s="39"/>
      <c r="J4183" s="47" t="str">
        <f>IF(tblMovimientos[[#This Row],[Tipo]]="","",IFERROR(INDEX(tblTiposMov[FactorStock],MATCH(tblMovimientos[[#This Row],[Tipo]],tblTiposMov[Tipo],0)),0))</f>
        <v/>
      </c>
      <c r="K41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3" s="37"/>
      <c r="O4183" s="37"/>
      <c r="P4183" s="37"/>
    </row>
    <row r="4184" spans="2:16" x14ac:dyDescent="0.25">
      <c r="B41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4" s="46"/>
      <c r="D4184" s="37"/>
      <c r="E4184" s="37"/>
      <c r="F4184" s="37"/>
      <c r="G4184" s="40" t="str">
        <f>IF(tblMovimientos[[#This Row],[Producto]]="","",TRIM(LEFT(tblMovimientos[[#This Row],[Producto]],FIND(" · ",tblMovimientos[[#This Row],[Producto]]&amp;" · ")-1)))</f>
        <v/>
      </c>
      <c r="H4184" s="40" t="str">
        <f>IF(tblMovimientos[[#This Row],[SKU]]="","",IFERROR(INDEX(tblProductos[Unidad],MATCH(tblMovimientos[[#This Row],[SKU]],tblProductos[SKU],0)),"?"))</f>
        <v/>
      </c>
      <c r="I4184" s="39"/>
      <c r="J4184" s="47" t="str">
        <f>IF(tblMovimientos[[#This Row],[Tipo]]="","",IFERROR(INDEX(tblTiposMov[FactorStock],MATCH(tblMovimientos[[#This Row],[Tipo]],tblTiposMov[Tipo],0)),0))</f>
        <v/>
      </c>
      <c r="K41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4" s="37"/>
      <c r="O4184" s="37"/>
      <c r="P4184" s="37"/>
    </row>
    <row r="4185" spans="2:16" x14ac:dyDescent="0.25">
      <c r="B41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5" s="46"/>
      <c r="D4185" s="37"/>
      <c r="E4185" s="37"/>
      <c r="F4185" s="37"/>
      <c r="G4185" s="40" t="str">
        <f>IF(tblMovimientos[[#This Row],[Producto]]="","",TRIM(LEFT(tblMovimientos[[#This Row],[Producto]],FIND(" · ",tblMovimientos[[#This Row],[Producto]]&amp;" · ")-1)))</f>
        <v/>
      </c>
      <c r="H4185" s="40" t="str">
        <f>IF(tblMovimientos[[#This Row],[SKU]]="","",IFERROR(INDEX(tblProductos[Unidad],MATCH(tblMovimientos[[#This Row],[SKU]],tblProductos[SKU],0)),"?"))</f>
        <v/>
      </c>
      <c r="I4185" s="39"/>
      <c r="J4185" s="47" t="str">
        <f>IF(tblMovimientos[[#This Row],[Tipo]]="","",IFERROR(INDEX(tblTiposMov[FactorStock],MATCH(tblMovimientos[[#This Row],[Tipo]],tblTiposMov[Tipo],0)),0))</f>
        <v/>
      </c>
      <c r="K41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5" s="37"/>
      <c r="O4185" s="37"/>
      <c r="P4185" s="37"/>
    </row>
    <row r="4186" spans="2:16" x14ac:dyDescent="0.25">
      <c r="B41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6" s="46"/>
      <c r="D4186" s="37"/>
      <c r="E4186" s="37"/>
      <c r="F4186" s="37"/>
      <c r="G4186" s="40" t="str">
        <f>IF(tblMovimientos[[#This Row],[Producto]]="","",TRIM(LEFT(tblMovimientos[[#This Row],[Producto]],FIND(" · ",tblMovimientos[[#This Row],[Producto]]&amp;" · ")-1)))</f>
        <v/>
      </c>
      <c r="H4186" s="40" t="str">
        <f>IF(tblMovimientos[[#This Row],[SKU]]="","",IFERROR(INDEX(tblProductos[Unidad],MATCH(tblMovimientos[[#This Row],[SKU]],tblProductos[SKU],0)),"?"))</f>
        <v/>
      </c>
      <c r="I4186" s="39"/>
      <c r="J4186" s="47" t="str">
        <f>IF(tblMovimientos[[#This Row],[Tipo]]="","",IFERROR(INDEX(tblTiposMov[FactorStock],MATCH(tblMovimientos[[#This Row],[Tipo]],tblTiposMov[Tipo],0)),0))</f>
        <v/>
      </c>
      <c r="K41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6" s="37"/>
      <c r="O4186" s="37"/>
      <c r="P4186" s="37"/>
    </row>
    <row r="4187" spans="2:16" x14ac:dyDescent="0.25">
      <c r="B41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7" s="46"/>
      <c r="D4187" s="37"/>
      <c r="E4187" s="37"/>
      <c r="F4187" s="37"/>
      <c r="G4187" s="40" t="str">
        <f>IF(tblMovimientos[[#This Row],[Producto]]="","",TRIM(LEFT(tblMovimientos[[#This Row],[Producto]],FIND(" · ",tblMovimientos[[#This Row],[Producto]]&amp;" · ")-1)))</f>
        <v/>
      </c>
      <c r="H4187" s="40" t="str">
        <f>IF(tblMovimientos[[#This Row],[SKU]]="","",IFERROR(INDEX(tblProductos[Unidad],MATCH(tblMovimientos[[#This Row],[SKU]],tblProductos[SKU],0)),"?"))</f>
        <v/>
      </c>
      <c r="I4187" s="39"/>
      <c r="J4187" s="47" t="str">
        <f>IF(tblMovimientos[[#This Row],[Tipo]]="","",IFERROR(INDEX(tblTiposMov[FactorStock],MATCH(tblMovimientos[[#This Row],[Tipo]],tblTiposMov[Tipo],0)),0))</f>
        <v/>
      </c>
      <c r="K41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7" s="37"/>
      <c r="O4187" s="37"/>
      <c r="P4187" s="37"/>
    </row>
    <row r="4188" spans="2:16" x14ac:dyDescent="0.25">
      <c r="B41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8" s="46"/>
      <c r="D4188" s="37"/>
      <c r="E4188" s="37"/>
      <c r="F4188" s="37"/>
      <c r="G4188" s="40" t="str">
        <f>IF(tblMovimientos[[#This Row],[Producto]]="","",TRIM(LEFT(tblMovimientos[[#This Row],[Producto]],FIND(" · ",tblMovimientos[[#This Row],[Producto]]&amp;" · ")-1)))</f>
        <v/>
      </c>
      <c r="H4188" s="40" t="str">
        <f>IF(tblMovimientos[[#This Row],[SKU]]="","",IFERROR(INDEX(tblProductos[Unidad],MATCH(tblMovimientos[[#This Row],[SKU]],tblProductos[SKU],0)),"?"))</f>
        <v/>
      </c>
      <c r="I4188" s="39"/>
      <c r="J4188" s="47" t="str">
        <f>IF(tblMovimientos[[#This Row],[Tipo]]="","",IFERROR(INDEX(tblTiposMov[FactorStock],MATCH(tblMovimientos[[#This Row],[Tipo]],tblTiposMov[Tipo],0)),0))</f>
        <v/>
      </c>
      <c r="K41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8" s="37"/>
      <c r="O4188" s="37"/>
      <c r="P4188" s="37"/>
    </row>
    <row r="4189" spans="2:16" x14ac:dyDescent="0.25">
      <c r="B41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89" s="46"/>
      <c r="D4189" s="37"/>
      <c r="E4189" s="37"/>
      <c r="F4189" s="37"/>
      <c r="G4189" s="40" t="str">
        <f>IF(tblMovimientos[[#This Row],[Producto]]="","",TRIM(LEFT(tblMovimientos[[#This Row],[Producto]],FIND(" · ",tblMovimientos[[#This Row],[Producto]]&amp;" · ")-1)))</f>
        <v/>
      </c>
      <c r="H4189" s="40" t="str">
        <f>IF(tblMovimientos[[#This Row],[SKU]]="","",IFERROR(INDEX(tblProductos[Unidad],MATCH(tblMovimientos[[#This Row],[SKU]],tblProductos[SKU],0)),"?"))</f>
        <v/>
      </c>
      <c r="I4189" s="39"/>
      <c r="J4189" s="47" t="str">
        <f>IF(tblMovimientos[[#This Row],[Tipo]]="","",IFERROR(INDEX(tblTiposMov[FactorStock],MATCH(tblMovimientos[[#This Row],[Tipo]],tblTiposMov[Tipo],0)),0))</f>
        <v/>
      </c>
      <c r="K41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89" s="37"/>
      <c r="O4189" s="37"/>
      <c r="P4189" s="37"/>
    </row>
    <row r="4190" spans="2:16" x14ac:dyDescent="0.25">
      <c r="B41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0" s="46"/>
      <c r="D4190" s="37"/>
      <c r="E4190" s="37"/>
      <c r="F4190" s="37"/>
      <c r="G4190" s="40" t="str">
        <f>IF(tblMovimientos[[#This Row],[Producto]]="","",TRIM(LEFT(tblMovimientos[[#This Row],[Producto]],FIND(" · ",tblMovimientos[[#This Row],[Producto]]&amp;" · ")-1)))</f>
        <v/>
      </c>
      <c r="H4190" s="40" t="str">
        <f>IF(tblMovimientos[[#This Row],[SKU]]="","",IFERROR(INDEX(tblProductos[Unidad],MATCH(tblMovimientos[[#This Row],[SKU]],tblProductos[SKU],0)),"?"))</f>
        <v/>
      </c>
      <c r="I4190" s="39"/>
      <c r="J4190" s="47" t="str">
        <f>IF(tblMovimientos[[#This Row],[Tipo]]="","",IFERROR(INDEX(tblTiposMov[FactorStock],MATCH(tblMovimientos[[#This Row],[Tipo]],tblTiposMov[Tipo],0)),0))</f>
        <v/>
      </c>
      <c r="K41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0" s="37"/>
      <c r="O4190" s="37"/>
      <c r="P4190" s="37"/>
    </row>
    <row r="4191" spans="2:16" x14ac:dyDescent="0.25">
      <c r="B41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1" s="46"/>
      <c r="D4191" s="37"/>
      <c r="E4191" s="37"/>
      <c r="F4191" s="37"/>
      <c r="G4191" s="40" t="str">
        <f>IF(tblMovimientos[[#This Row],[Producto]]="","",TRIM(LEFT(tblMovimientos[[#This Row],[Producto]],FIND(" · ",tblMovimientos[[#This Row],[Producto]]&amp;" · ")-1)))</f>
        <v/>
      </c>
      <c r="H4191" s="40" t="str">
        <f>IF(tblMovimientos[[#This Row],[SKU]]="","",IFERROR(INDEX(tblProductos[Unidad],MATCH(tblMovimientos[[#This Row],[SKU]],tblProductos[SKU],0)),"?"))</f>
        <v/>
      </c>
      <c r="I4191" s="39"/>
      <c r="J4191" s="47" t="str">
        <f>IF(tblMovimientos[[#This Row],[Tipo]]="","",IFERROR(INDEX(tblTiposMov[FactorStock],MATCH(tblMovimientos[[#This Row],[Tipo]],tblTiposMov[Tipo],0)),0))</f>
        <v/>
      </c>
      <c r="K41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1" s="37"/>
      <c r="O4191" s="37"/>
      <c r="P4191" s="37"/>
    </row>
    <row r="4192" spans="2:16" x14ac:dyDescent="0.25">
      <c r="B41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2" s="46"/>
      <c r="D4192" s="37"/>
      <c r="E4192" s="37"/>
      <c r="F4192" s="37"/>
      <c r="G4192" s="40" t="str">
        <f>IF(tblMovimientos[[#This Row],[Producto]]="","",TRIM(LEFT(tblMovimientos[[#This Row],[Producto]],FIND(" · ",tblMovimientos[[#This Row],[Producto]]&amp;" · ")-1)))</f>
        <v/>
      </c>
      <c r="H4192" s="40" t="str">
        <f>IF(tblMovimientos[[#This Row],[SKU]]="","",IFERROR(INDEX(tblProductos[Unidad],MATCH(tblMovimientos[[#This Row],[SKU]],tblProductos[SKU],0)),"?"))</f>
        <v/>
      </c>
      <c r="I4192" s="39"/>
      <c r="J4192" s="47" t="str">
        <f>IF(tblMovimientos[[#This Row],[Tipo]]="","",IFERROR(INDEX(tblTiposMov[FactorStock],MATCH(tblMovimientos[[#This Row],[Tipo]],tblTiposMov[Tipo],0)),0))</f>
        <v/>
      </c>
      <c r="K41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2" s="37"/>
      <c r="O4192" s="37"/>
      <c r="P4192" s="37"/>
    </row>
    <row r="4193" spans="2:16" x14ac:dyDescent="0.25">
      <c r="B41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3" s="46"/>
      <c r="D4193" s="37"/>
      <c r="E4193" s="37"/>
      <c r="F4193" s="37"/>
      <c r="G4193" s="40" t="str">
        <f>IF(tblMovimientos[[#This Row],[Producto]]="","",TRIM(LEFT(tblMovimientos[[#This Row],[Producto]],FIND(" · ",tblMovimientos[[#This Row],[Producto]]&amp;" · ")-1)))</f>
        <v/>
      </c>
      <c r="H4193" s="40" t="str">
        <f>IF(tblMovimientos[[#This Row],[SKU]]="","",IFERROR(INDEX(tblProductos[Unidad],MATCH(tblMovimientos[[#This Row],[SKU]],tblProductos[SKU],0)),"?"))</f>
        <v/>
      </c>
      <c r="I4193" s="39"/>
      <c r="J4193" s="47" t="str">
        <f>IF(tblMovimientos[[#This Row],[Tipo]]="","",IFERROR(INDEX(tblTiposMov[FactorStock],MATCH(tblMovimientos[[#This Row],[Tipo]],tblTiposMov[Tipo],0)),0))</f>
        <v/>
      </c>
      <c r="K41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3" s="37"/>
      <c r="O4193" s="37"/>
      <c r="P4193" s="37"/>
    </row>
    <row r="4194" spans="2:16" x14ac:dyDescent="0.25">
      <c r="B41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4" s="46"/>
      <c r="D4194" s="37"/>
      <c r="E4194" s="37"/>
      <c r="F4194" s="37"/>
      <c r="G4194" s="40" t="str">
        <f>IF(tblMovimientos[[#This Row],[Producto]]="","",TRIM(LEFT(tblMovimientos[[#This Row],[Producto]],FIND(" · ",tblMovimientos[[#This Row],[Producto]]&amp;" · ")-1)))</f>
        <v/>
      </c>
      <c r="H4194" s="40" t="str">
        <f>IF(tblMovimientos[[#This Row],[SKU]]="","",IFERROR(INDEX(tblProductos[Unidad],MATCH(tblMovimientos[[#This Row],[SKU]],tblProductos[SKU],0)),"?"))</f>
        <v/>
      </c>
      <c r="I4194" s="39"/>
      <c r="J4194" s="47" t="str">
        <f>IF(tblMovimientos[[#This Row],[Tipo]]="","",IFERROR(INDEX(tblTiposMov[FactorStock],MATCH(tblMovimientos[[#This Row],[Tipo]],tblTiposMov[Tipo],0)),0))</f>
        <v/>
      </c>
      <c r="K41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4" s="37"/>
      <c r="O4194" s="37"/>
      <c r="P4194" s="37"/>
    </row>
    <row r="4195" spans="2:16" x14ac:dyDescent="0.25">
      <c r="B41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5" s="46"/>
      <c r="D4195" s="37"/>
      <c r="E4195" s="37"/>
      <c r="F4195" s="37"/>
      <c r="G4195" s="40" t="str">
        <f>IF(tblMovimientos[[#This Row],[Producto]]="","",TRIM(LEFT(tblMovimientos[[#This Row],[Producto]],FIND(" · ",tblMovimientos[[#This Row],[Producto]]&amp;" · ")-1)))</f>
        <v/>
      </c>
      <c r="H4195" s="40" t="str">
        <f>IF(tblMovimientos[[#This Row],[SKU]]="","",IFERROR(INDEX(tblProductos[Unidad],MATCH(tblMovimientos[[#This Row],[SKU]],tblProductos[SKU],0)),"?"))</f>
        <v/>
      </c>
      <c r="I4195" s="39"/>
      <c r="J4195" s="47" t="str">
        <f>IF(tblMovimientos[[#This Row],[Tipo]]="","",IFERROR(INDEX(tblTiposMov[FactorStock],MATCH(tblMovimientos[[#This Row],[Tipo]],tblTiposMov[Tipo],0)),0))</f>
        <v/>
      </c>
      <c r="K41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5" s="37"/>
      <c r="O4195" s="37"/>
      <c r="P4195" s="37"/>
    </row>
    <row r="4196" spans="2:16" x14ac:dyDescent="0.25">
      <c r="B41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6" s="46"/>
      <c r="D4196" s="37"/>
      <c r="E4196" s="37"/>
      <c r="F4196" s="37"/>
      <c r="G4196" s="40" t="str">
        <f>IF(tblMovimientos[[#This Row],[Producto]]="","",TRIM(LEFT(tblMovimientos[[#This Row],[Producto]],FIND(" · ",tblMovimientos[[#This Row],[Producto]]&amp;" · ")-1)))</f>
        <v/>
      </c>
      <c r="H4196" s="40" t="str">
        <f>IF(tblMovimientos[[#This Row],[SKU]]="","",IFERROR(INDEX(tblProductos[Unidad],MATCH(tblMovimientos[[#This Row],[SKU]],tblProductos[SKU],0)),"?"))</f>
        <v/>
      </c>
      <c r="I4196" s="39"/>
      <c r="J4196" s="47" t="str">
        <f>IF(tblMovimientos[[#This Row],[Tipo]]="","",IFERROR(INDEX(tblTiposMov[FactorStock],MATCH(tblMovimientos[[#This Row],[Tipo]],tblTiposMov[Tipo],0)),0))</f>
        <v/>
      </c>
      <c r="K41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6" s="37"/>
      <c r="O4196" s="37"/>
      <c r="P4196" s="37"/>
    </row>
    <row r="4197" spans="2:16" x14ac:dyDescent="0.25">
      <c r="B41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7" s="46"/>
      <c r="D4197" s="37"/>
      <c r="E4197" s="37"/>
      <c r="F4197" s="37"/>
      <c r="G4197" s="40" t="str">
        <f>IF(tblMovimientos[[#This Row],[Producto]]="","",TRIM(LEFT(tblMovimientos[[#This Row],[Producto]],FIND(" · ",tblMovimientos[[#This Row],[Producto]]&amp;" · ")-1)))</f>
        <v/>
      </c>
      <c r="H4197" s="40" t="str">
        <f>IF(tblMovimientos[[#This Row],[SKU]]="","",IFERROR(INDEX(tblProductos[Unidad],MATCH(tblMovimientos[[#This Row],[SKU]],tblProductos[SKU],0)),"?"))</f>
        <v/>
      </c>
      <c r="I4197" s="39"/>
      <c r="J4197" s="47" t="str">
        <f>IF(tblMovimientos[[#This Row],[Tipo]]="","",IFERROR(INDEX(tblTiposMov[FactorStock],MATCH(tblMovimientos[[#This Row],[Tipo]],tblTiposMov[Tipo],0)),0))</f>
        <v/>
      </c>
      <c r="K41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7" s="37"/>
      <c r="O4197" s="37"/>
      <c r="P4197" s="37"/>
    </row>
    <row r="4198" spans="2:16" x14ac:dyDescent="0.25">
      <c r="B41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8" s="46"/>
      <c r="D4198" s="37"/>
      <c r="E4198" s="37"/>
      <c r="F4198" s="37"/>
      <c r="G4198" s="40" t="str">
        <f>IF(tblMovimientos[[#This Row],[Producto]]="","",TRIM(LEFT(tblMovimientos[[#This Row],[Producto]],FIND(" · ",tblMovimientos[[#This Row],[Producto]]&amp;" · ")-1)))</f>
        <v/>
      </c>
      <c r="H4198" s="40" t="str">
        <f>IF(tblMovimientos[[#This Row],[SKU]]="","",IFERROR(INDEX(tblProductos[Unidad],MATCH(tblMovimientos[[#This Row],[SKU]],tblProductos[SKU],0)),"?"))</f>
        <v/>
      </c>
      <c r="I4198" s="39"/>
      <c r="J4198" s="47" t="str">
        <f>IF(tblMovimientos[[#This Row],[Tipo]]="","",IFERROR(INDEX(tblTiposMov[FactorStock],MATCH(tblMovimientos[[#This Row],[Tipo]],tblTiposMov[Tipo],0)),0))</f>
        <v/>
      </c>
      <c r="K41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8" s="37"/>
      <c r="O4198" s="37"/>
      <c r="P4198" s="37"/>
    </row>
    <row r="4199" spans="2:16" x14ac:dyDescent="0.25">
      <c r="B41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199" s="46"/>
      <c r="D4199" s="37"/>
      <c r="E4199" s="37"/>
      <c r="F4199" s="37"/>
      <c r="G4199" s="40" t="str">
        <f>IF(tblMovimientos[[#This Row],[Producto]]="","",TRIM(LEFT(tblMovimientos[[#This Row],[Producto]],FIND(" · ",tblMovimientos[[#This Row],[Producto]]&amp;" · ")-1)))</f>
        <v/>
      </c>
      <c r="H4199" s="40" t="str">
        <f>IF(tblMovimientos[[#This Row],[SKU]]="","",IFERROR(INDEX(tblProductos[Unidad],MATCH(tblMovimientos[[#This Row],[SKU]],tblProductos[SKU],0)),"?"))</f>
        <v/>
      </c>
      <c r="I4199" s="39"/>
      <c r="J4199" s="47" t="str">
        <f>IF(tblMovimientos[[#This Row],[Tipo]]="","",IFERROR(INDEX(tblTiposMov[FactorStock],MATCH(tblMovimientos[[#This Row],[Tipo]],tblTiposMov[Tipo],0)),0))</f>
        <v/>
      </c>
      <c r="K41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1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1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199" s="37"/>
      <c r="O4199" s="37"/>
      <c r="P4199" s="37"/>
    </row>
    <row r="4200" spans="2:16" x14ac:dyDescent="0.25">
      <c r="B42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0" s="46"/>
      <c r="D4200" s="37"/>
      <c r="E4200" s="37"/>
      <c r="F4200" s="37"/>
      <c r="G4200" s="40" t="str">
        <f>IF(tblMovimientos[[#This Row],[Producto]]="","",TRIM(LEFT(tblMovimientos[[#This Row],[Producto]],FIND(" · ",tblMovimientos[[#This Row],[Producto]]&amp;" · ")-1)))</f>
        <v/>
      </c>
      <c r="H4200" s="40" t="str">
        <f>IF(tblMovimientos[[#This Row],[SKU]]="","",IFERROR(INDEX(tblProductos[Unidad],MATCH(tblMovimientos[[#This Row],[SKU]],tblProductos[SKU],0)),"?"))</f>
        <v/>
      </c>
      <c r="I4200" s="39"/>
      <c r="J4200" s="47" t="str">
        <f>IF(tblMovimientos[[#This Row],[Tipo]]="","",IFERROR(INDEX(tblTiposMov[FactorStock],MATCH(tblMovimientos[[#This Row],[Tipo]],tblTiposMov[Tipo],0)),0))</f>
        <v/>
      </c>
      <c r="K42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0" s="37"/>
      <c r="O4200" s="37"/>
      <c r="P4200" s="37"/>
    </row>
    <row r="4201" spans="2:16" x14ac:dyDescent="0.25">
      <c r="B42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1" s="46"/>
      <c r="D4201" s="37"/>
      <c r="E4201" s="37"/>
      <c r="F4201" s="37"/>
      <c r="G4201" s="40" t="str">
        <f>IF(tblMovimientos[[#This Row],[Producto]]="","",TRIM(LEFT(tblMovimientos[[#This Row],[Producto]],FIND(" · ",tblMovimientos[[#This Row],[Producto]]&amp;" · ")-1)))</f>
        <v/>
      </c>
      <c r="H4201" s="40" t="str">
        <f>IF(tblMovimientos[[#This Row],[SKU]]="","",IFERROR(INDEX(tblProductos[Unidad],MATCH(tblMovimientos[[#This Row],[SKU]],tblProductos[SKU],0)),"?"))</f>
        <v/>
      </c>
      <c r="I4201" s="39"/>
      <c r="J4201" s="47" t="str">
        <f>IF(tblMovimientos[[#This Row],[Tipo]]="","",IFERROR(INDEX(tblTiposMov[FactorStock],MATCH(tblMovimientos[[#This Row],[Tipo]],tblTiposMov[Tipo],0)),0))</f>
        <v/>
      </c>
      <c r="K42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1" s="37"/>
      <c r="O4201" s="37"/>
      <c r="P4201" s="37"/>
    </row>
    <row r="4202" spans="2:16" x14ac:dyDescent="0.25">
      <c r="B42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2" s="46"/>
      <c r="D4202" s="37"/>
      <c r="E4202" s="37"/>
      <c r="F4202" s="37"/>
      <c r="G4202" s="40" t="str">
        <f>IF(tblMovimientos[[#This Row],[Producto]]="","",TRIM(LEFT(tblMovimientos[[#This Row],[Producto]],FIND(" · ",tblMovimientos[[#This Row],[Producto]]&amp;" · ")-1)))</f>
        <v/>
      </c>
      <c r="H4202" s="40" t="str">
        <f>IF(tblMovimientos[[#This Row],[SKU]]="","",IFERROR(INDEX(tblProductos[Unidad],MATCH(tblMovimientos[[#This Row],[SKU]],tblProductos[SKU],0)),"?"))</f>
        <v/>
      </c>
      <c r="I4202" s="39"/>
      <c r="J4202" s="47" t="str">
        <f>IF(tblMovimientos[[#This Row],[Tipo]]="","",IFERROR(INDEX(tblTiposMov[FactorStock],MATCH(tblMovimientos[[#This Row],[Tipo]],tblTiposMov[Tipo],0)),0))</f>
        <v/>
      </c>
      <c r="K42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2" s="37"/>
      <c r="O4202" s="37"/>
      <c r="P4202" s="37"/>
    </row>
    <row r="4203" spans="2:16" x14ac:dyDescent="0.25">
      <c r="B42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3" s="46"/>
      <c r="D4203" s="37"/>
      <c r="E4203" s="37"/>
      <c r="F4203" s="37"/>
      <c r="G4203" s="40" t="str">
        <f>IF(tblMovimientos[[#This Row],[Producto]]="","",TRIM(LEFT(tblMovimientos[[#This Row],[Producto]],FIND(" · ",tblMovimientos[[#This Row],[Producto]]&amp;" · ")-1)))</f>
        <v/>
      </c>
      <c r="H4203" s="40" t="str">
        <f>IF(tblMovimientos[[#This Row],[SKU]]="","",IFERROR(INDEX(tblProductos[Unidad],MATCH(tblMovimientos[[#This Row],[SKU]],tblProductos[SKU],0)),"?"))</f>
        <v/>
      </c>
      <c r="I4203" s="39"/>
      <c r="J4203" s="47" t="str">
        <f>IF(tblMovimientos[[#This Row],[Tipo]]="","",IFERROR(INDEX(tblTiposMov[FactorStock],MATCH(tblMovimientos[[#This Row],[Tipo]],tblTiposMov[Tipo],0)),0))</f>
        <v/>
      </c>
      <c r="K42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3" s="37"/>
      <c r="O4203" s="37"/>
      <c r="P4203" s="37"/>
    </row>
    <row r="4204" spans="2:16" x14ac:dyDescent="0.25">
      <c r="B42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4" s="46"/>
      <c r="D4204" s="37"/>
      <c r="E4204" s="37"/>
      <c r="F4204" s="37"/>
      <c r="G4204" s="40" t="str">
        <f>IF(tblMovimientos[[#This Row],[Producto]]="","",TRIM(LEFT(tblMovimientos[[#This Row],[Producto]],FIND(" · ",tblMovimientos[[#This Row],[Producto]]&amp;" · ")-1)))</f>
        <v/>
      </c>
      <c r="H4204" s="40" t="str">
        <f>IF(tblMovimientos[[#This Row],[SKU]]="","",IFERROR(INDEX(tblProductos[Unidad],MATCH(tblMovimientos[[#This Row],[SKU]],tblProductos[SKU],0)),"?"))</f>
        <v/>
      </c>
      <c r="I4204" s="39"/>
      <c r="J4204" s="47" t="str">
        <f>IF(tblMovimientos[[#This Row],[Tipo]]="","",IFERROR(INDEX(tblTiposMov[FactorStock],MATCH(tblMovimientos[[#This Row],[Tipo]],tblTiposMov[Tipo],0)),0))</f>
        <v/>
      </c>
      <c r="K42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4" s="37"/>
      <c r="O4204" s="37"/>
      <c r="P4204" s="37"/>
    </row>
    <row r="4205" spans="2:16" x14ac:dyDescent="0.25">
      <c r="B42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5" s="46"/>
      <c r="D4205" s="37"/>
      <c r="E4205" s="37"/>
      <c r="F4205" s="37"/>
      <c r="G4205" s="40" t="str">
        <f>IF(tblMovimientos[[#This Row],[Producto]]="","",TRIM(LEFT(tblMovimientos[[#This Row],[Producto]],FIND(" · ",tblMovimientos[[#This Row],[Producto]]&amp;" · ")-1)))</f>
        <v/>
      </c>
      <c r="H4205" s="40" t="str">
        <f>IF(tblMovimientos[[#This Row],[SKU]]="","",IFERROR(INDEX(tblProductos[Unidad],MATCH(tblMovimientos[[#This Row],[SKU]],tblProductos[SKU],0)),"?"))</f>
        <v/>
      </c>
      <c r="I4205" s="39"/>
      <c r="J4205" s="47" t="str">
        <f>IF(tblMovimientos[[#This Row],[Tipo]]="","",IFERROR(INDEX(tblTiposMov[FactorStock],MATCH(tblMovimientos[[#This Row],[Tipo]],tblTiposMov[Tipo],0)),0))</f>
        <v/>
      </c>
      <c r="K42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5" s="37"/>
      <c r="O4205" s="37"/>
      <c r="P4205" s="37"/>
    </row>
    <row r="4206" spans="2:16" x14ac:dyDescent="0.25">
      <c r="B42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6" s="46"/>
      <c r="D4206" s="37"/>
      <c r="E4206" s="37"/>
      <c r="F4206" s="37"/>
      <c r="G4206" s="40" t="str">
        <f>IF(tblMovimientos[[#This Row],[Producto]]="","",TRIM(LEFT(tblMovimientos[[#This Row],[Producto]],FIND(" · ",tblMovimientos[[#This Row],[Producto]]&amp;" · ")-1)))</f>
        <v/>
      </c>
      <c r="H4206" s="40" t="str">
        <f>IF(tblMovimientos[[#This Row],[SKU]]="","",IFERROR(INDEX(tblProductos[Unidad],MATCH(tblMovimientos[[#This Row],[SKU]],tblProductos[SKU],0)),"?"))</f>
        <v/>
      </c>
      <c r="I4206" s="39"/>
      <c r="J4206" s="47" t="str">
        <f>IF(tblMovimientos[[#This Row],[Tipo]]="","",IFERROR(INDEX(tblTiposMov[FactorStock],MATCH(tblMovimientos[[#This Row],[Tipo]],tblTiposMov[Tipo],0)),0))</f>
        <v/>
      </c>
      <c r="K42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6" s="37"/>
      <c r="O4206" s="37"/>
      <c r="P4206" s="37"/>
    </row>
    <row r="4207" spans="2:16" x14ac:dyDescent="0.25">
      <c r="B42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7" s="46"/>
      <c r="D4207" s="37"/>
      <c r="E4207" s="37"/>
      <c r="F4207" s="37"/>
      <c r="G4207" s="40" t="str">
        <f>IF(tblMovimientos[[#This Row],[Producto]]="","",TRIM(LEFT(tblMovimientos[[#This Row],[Producto]],FIND(" · ",tblMovimientos[[#This Row],[Producto]]&amp;" · ")-1)))</f>
        <v/>
      </c>
      <c r="H4207" s="40" t="str">
        <f>IF(tblMovimientos[[#This Row],[SKU]]="","",IFERROR(INDEX(tblProductos[Unidad],MATCH(tblMovimientos[[#This Row],[SKU]],tblProductos[SKU],0)),"?"))</f>
        <v/>
      </c>
      <c r="I4207" s="39"/>
      <c r="J4207" s="47" t="str">
        <f>IF(tblMovimientos[[#This Row],[Tipo]]="","",IFERROR(INDEX(tblTiposMov[FactorStock],MATCH(tblMovimientos[[#This Row],[Tipo]],tblTiposMov[Tipo],0)),0))</f>
        <v/>
      </c>
      <c r="K42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7" s="37"/>
      <c r="O4207" s="37"/>
      <c r="P4207" s="37"/>
    </row>
    <row r="4208" spans="2:16" x14ac:dyDescent="0.25">
      <c r="B42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8" s="46"/>
      <c r="D4208" s="37"/>
      <c r="E4208" s="37"/>
      <c r="F4208" s="37"/>
      <c r="G4208" s="40" t="str">
        <f>IF(tblMovimientos[[#This Row],[Producto]]="","",TRIM(LEFT(tblMovimientos[[#This Row],[Producto]],FIND(" · ",tblMovimientos[[#This Row],[Producto]]&amp;" · ")-1)))</f>
        <v/>
      </c>
      <c r="H4208" s="40" t="str">
        <f>IF(tblMovimientos[[#This Row],[SKU]]="","",IFERROR(INDEX(tblProductos[Unidad],MATCH(tblMovimientos[[#This Row],[SKU]],tblProductos[SKU],0)),"?"))</f>
        <v/>
      </c>
      <c r="I4208" s="39"/>
      <c r="J4208" s="47" t="str">
        <f>IF(tblMovimientos[[#This Row],[Tipo]]="","",IFERROR(INDEX(tblTiposMov[FactorStock],MATCH(tblMovimientos[[#This Row],[Tipo]],tblTiposMov[Tipo],0)),0))</f>
        <v/>
      </c>
      <c r="K42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8" s="37"/>
      <c r="O4208" s="37"/>
      <c r="P4208" s="37"/>
    </row>
    <row r="4209" spans="2:16" x14ac:dyDescent="0.25">
      <c r="B42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09" s="46"/>
      <c r="D4209" s="37"/>
      <c r="E4209" s="37"/>
      <c r="F4209" s="37"/>
      <c r="G4209" s="40" t="str">
        <f>IF(tblMovimientos[[#This Row],[Producto]]="","",TRIM(LEFT(tblMovimientos[[#This Row],[Producto]],FIND(" · ",tblMovimientos[[#This Row],[Producto]]&amp;" · ")-1)))</f>
        <v/>
      </c>
      <c r="H4209" s="40" t="str">
        <f>IF(tblMovimientos[[#This Row],[SKU]]="","",IFERROR(INDEX(tblProductos[Unidad],MATCH(tblMovimientos[[#This Row],[SKU]],tblProductos[SKU],0)),"?"))</f>
        <v/>
      </c>
      <c r="I4209" s="39"/>
      <c r="J4209" s="47" t="str">
        <f>IF(tblMovimientos[[#This Row],[Tipo]]="","",IFERROR(INDEX(tblTiposMov[FactorStock],MATCH(tblMovimientos[[#This Row],[Tipo]],tblTiposMov[Tipo],0)),0))</f>
        <v/>
      </c>
      <c r="K42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09" s="37"/>
      <c r="O4209" s="37"/>
      <c r="P4209" s="37"/>
    </row>
    <row r="4210" spans="2:16" x14ac:dyDescent="0.25">
      <c r="B42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0" s="46"/>
      <c r="D4210" s="37"/>
      <c r="E4210" s="37"/>
      <c r="F4210" s="37"/>
      <c r="G4210" s="40" t="str">
        <f>IF(tblMovimientos[[#This Row],[Producto]]="","",TRIM(LEFT(tblMovimientos[[#This Row],[Producto]],FIND(" · ",tblMovimientos[[#This Row],[Producto]]&amp;" · ")-1)))</f>
        <v/>
      </c>
      <c r="H4210" s="40" t="str">
        <f>IF(tblMovimientos[[#This Row],[SKU]]="","",IFERROR(INDEX(tblProductos[Unidad],MATCH(tblMovimientos[[#This Row],[SKU]],tblProductos[SKU],0)),"?"))</f>
        <v/>
      </c>
      <c r="I4210" s="39"/>
      <c r="J4210" s="47" t="str">
        <f>IF(tblMovimientos[[#This Row],[Tipo]]="","",IFERROR(INDEX(tblTiposMov[FactorStock],MATCH(tblMovimientos[[#This Row],[Tipo]],tblTiposMov[Tipo],0)),0))</f>
        <v/>
      </c>
      <c r="K42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0" s="37"/>
      <c r="O4210" s="37"/>
      <c r="P4210" s="37"/>
    </row>
    <row r="4211" spans="2:16" x14ac:dyDescent="0.25">
      <c r="B42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1" s="46"/>
      <c r="D4211" s="37"/>
      <c r="E4211" s="37"/>
      <c r="F4211" s="37"/>
      <c r="G4211" s="40" t="str">
        <f>IF(tblMovimientos[[#This Row],[Producto]]="","",TRIM(LEFT(tblMovimientos[[#This Row],[Producto]],FIND(" · ",tblMovimientos[[#This Row],[Producto]]&amp;" · ")-1)))</f>
        <v/>
      </c>
      <c r="H4211" s="40" t="str">
        <f>IF(tblMovimientos[[#This Row],[SKU]]="","",IFERROR(INDEX(tblProductos[Unidad],MATCH(tblMovimientos[[#This Row],[SKU]],tblProductos[SKU],0)),"?"))</f>
        <v/>
      </c>
      <c r="I4211" s="39"/>
      <c r="J4211" s="47" t="str">
        <f>IF(tblMovimientos[[#This Row],[Tipo]]="","",IFERROR(INDEX(tblTiposMov[FactorStock],MATCH(tblMovimientos[[#This Row],[Tipo]],tblTiposMov[Tipo],0)),0))</f>
        <v/>
      </c>
      <c r="K42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1" s="37"/>
      <c r="O4211" s="37"/>
      <c r="P4211" s="37"/>
    </row>
    <row r="4212" spans="2:16" x14ac:dyDescent="0.25">
      <c r="B42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2" s="46"/>
      <c r="D4212" s="37"/>
      <c r="E4212" s="37"/>
      <c r="F4212" s="37"/>
      <c r="G4212" s="40" t="str">
        <f>IF(tblMovimientos[[#This Row],[Producto]]="","",TRIM(LEFT(tblMovimientos[[#This Row],[Producto]],FIND(" · ",tblMovimientos[[#This Row],[Producto]]&amp;" · ")-1)))</f>
        <v/>
      </c>
      <c r="H4212" s="40" t="str">
        <f>IF(tblMovimientos[[#This Row],[SKU]]="","",IFERROR(INDEX(tblProductos[Unidad],MATCH(tblMovimientos[[#This Row],[SKU]],tblProductos[SKU],0)),"?"))</f>
        <v/>
      </c>
      <c r="I4212" s="39"/>
      <c r="J4212" s="47" t="str">
        <f>IF(tblMovimientos[[#This Row],[Tipo]]="","",IFERROR(INDEX(tblTiposMov[FactorStock],MATCH(tblMovimientos[[#This Row],[Tipo]],tblTiposMov[Tipo],0)),0))</f>
        <v/>
      </c>
      <c r="K42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2" s="37"/>
      <c r="O4212" s="37"/>
      <c r="P4212" s="37"/>
    </row>
    <row r="4213" spans="2:16" x14ac:dyDescent="0.25">
      <c r="B42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3" s="46"/>
      <c r="D4213" s="37"/>
      <c r="E4213" s="37"/>
      <c r="F4213" s="37"/>
      <c r="G4213" s="40" t="str">
        <f>IF(tblMovimientos[[#This Row],[Producto]]="","",TRIM(LEFT(tblMovimientos[[#This Row],[Producto]],FIND(" · ",tblMovimientos[[#This Row],[Producto]]&amp;" · ")-1)))</f>
        <v/>
      </c>
      <c r="H4213" s="40" t="str">
        <f>IF(tblMovimientos[[#This Row],[SKU]]="","",IFERROR(INDEX(tblProductos[Unidad],MATCH(tblMovimientos[[#This Row],[SKU]],tblProductos[SKU],0)),"?"))</f>
        <v/>
      </c>
      <c r="I4213" s="39"/>
      <c r="J4213" s="47" t="str">
        <f>IF(tblMovimientos[[#This Row],[Tipo]]="","",IFERROR(INDEX(tblTiposMov[FactorStock],MATCH(tblMovimientos[[#This Row],[Tipo]],tblTiposMov[Tipo],0)),0))</f>
        <v/>
      </c>
      <c r="K42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3" s="37"/>
      <c r="O4213" s="37"/>
      <c r="P4213" s="37"/>
    </row>
    <row r="4214" spans="2:16" x14ac:dyDescent="0.25">
      <c r="B42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4" s="46"/>
      <c r="D4214" s="37"/>
      <c r="E4214" s="37"/>
      <c r="F4214" s="37"/>
      <c r="G4214" s="40" t="str">
        <f>IF(tblMovimientos[[#This Row],[Producto]]="","",TRIM(LEFT(tblMovimientos[[#This Row],[Producto]],FIND(" · ",tblMovimientos[[#This Row],[Producto]]&amp;" · ")-1)))</f>
        <v/>
      </c>
      <c r="H4214" s="40" t="str">
        <f>IF(tblMovimientos[[#This Row],[SKU]]="","",IFERROR(INDEX(tblProductos[Unidad],MATCH(tblMovimientos[[#This Row],[SKU]],tblProductos[SKU],0)),"?"))</f>
        <v/>
      </c>
      <c r="I4214" s="39"/>
      <c r="J4214" s="47" t="str">
        <f>IF(tblMovimientos[[#This Row],[Tipo]]="","",IFERROR(INDEX(tblTiposMov[FactorStock],MATCH(tblMovimientos[[#This Row],[Tipo]],tblTiposMov[Tipo],0)),0))</f>
        <v/>
      </c>
      <c r="K42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4" s="37"/>
      <c r="O4214" s="37"/>
      <c r="P4214" s="37"/>
    </row>
    <row r="4215" spans="2:16" x14ac:dyDescent="0.25">
      <c r="B42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5" s="46"/>
      <c r="D4215" s="37"/>
      <c r="E4215" s="37"/>
      <c r="F4215" s="37"/>
      <c r="G4215" s="40" t="str">
        <f>IF(tblMovimientos[[#This Row],[Producto]]="","",TRIM(LEFT(tblMovimientos[[#This Row],[Producto]],FIND(" · ",tblMovimientos[[#This Row],[Producto]]&amp;" · ")-1)))</f>
        <v/>
      </c>
      <c r="H4215" s="40" t="str">
        <f>IF(tblMovimientos[[#This Row],[SKU]]="","",IFERROR(INDEX(tblProductos[Unidad],MATCH(tblMovimientos[[#This Row],[SKU]],tblProductos[SKU],0)),"?"))</f>
        <v/>
      </c>
      <c r="I4215" s="39"/>
      <c r="J4215" s="47" t="str">
        <f>IF(tblMovimientos[[#This Row],[Tipo]]="","",IFERROR(INDEX(tblTiposMov[FactorStock],MATCH(tblMovimientos[[#This Row],[Tipo]],tblTiposMov[Tipo],0)),0))</f>
        <v/>
      </c>
      <c r="K42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5" s="37"/>
      <c r="O4215" s="37"/>
      <c r="P4215" s="37"/>
    </row>
    <row r="4216" spans="2:16" x14ac:dyDescent="0.25">
      <c r="B42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6" s="46"/>
      <c r="D4216" s="37"/>
      <c r="E4216" s="37"/>
      <c r="F4216" s="37"/>
      <c r="G4216" s="40" t="str">
        <f>IF(tblMovimientos[[#This Row],[Producto]]="","",TRIM(LEFT(tblMovimientos[[#This Row],[Producto]],FIND(" · ",tblMovimientos[[#This Row],[Producto]]&amp;" · ")-1)))</f>
        <v/>
      </c>
      <c r="H4216" s="40" t="str">
        <f>IF(tblMovimientos[[#This Row],[SKU]]="","",IFERROR(INDEX(tblProductos[Unidad],MATCH(tblMovimientos[[#This Row],[SKU]],tblProductos[SKU],0)),"?"))</f>
        <v/>
      </c>
      <c r="I4216" s="39"/>
      <c r="J4216" s="47" t="str">
        <f>IF(tblMovimientos[[#This Row],[Tipo]]="","",IFERROR(INDEX(tblTiposMov[FactorStock],MATCH(tblMovimientos[[#This Row],[Tipo]],tblTiposMov[Tipo],0)),0))</f>
        <v/>
      </c>
      <c r="K42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6" s="37"/>
      <c r="O4216" s="37"/>
      <c r="P4216" s="37"/>
    </row>
    <row r="4217" spans="2:16" x14ac:dyDescent="0.25">
      <c r="B42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7" s="46"/>
      <c r="D4217" s="37"/>
      <c r="E4217" s="37"/>
      <c r="F4217" s="37"/>
      <c r="G4217" s="40" t="str">
        <f>IF(tblMovimientos[[#This Row],[Producto]]="","",TRIM(LEFT(tblMovimientos[[#This Row],[Producto]],FIND(" · ",tblMovimientos[[#This Row],[Producto]]&amp;" · ")-1)))</f>
        <v/>
      </c>
      <c r="H4217" s="40" t="str">
        <f>IF(tblMovimientos[[#This Row],[SKU]]="","",IFERROR(INDEX(tblProductos[Unidad],MATCH(tblMovimientos[[#This Row],[SKU]],tblProductos[SKU],0)),"?"))</f>
        <v/>
      </c>
      <c r="I4217" s="39"/>
      <c r="J4217" s="47" t="str">
        <f>IF(tblMovimientos[[#This Row],[Tipo]]="","",IFERROR(INDEX(tblTiposMov[FactorStock],MATCH(tblMovimientos[[#This Row],[Tipo]],tblTiposMov[Tipo],0)),0))</f>
        <v/>
      </c>
      <c r="K42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7" s="37"/>
      <c r="O4217" s="37"/>
      <c r="P4217" s="37"/>
    </row>
    <row r="4218" spans="2:16" x14ac:dyDescent="0.25">
      <c r="B42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8" s="46"/>
      <c r="D4218" s="37"/>
      <c r="E4218" s="37"/>
      <c r="F4218" s="37"/>
      <c r="G4218" s="40" t="str">
        <f>IF(tblMovimientos[[#This Row],[Producto]]="","",TRIM(LEFT(tblMovimientos[[#This Row],[Producto]],FIND(" · ",tblMovimientos[[#This Row],[Producto]]&amp;" · ")-1)))</f>
        <v/>
      </c>
      <c r="H4218" s="40" t="str">
        <f>IF(tblMovimientos[[#This Row],[SKU]]="","",IFERROR(INDEX(tblProductos[Unidad],MATCH(tblMovimientos[[#This Row],[SKU]],tblProductos[SKU],0)),"?"))</f>
        <v/>
      </c>
      <c r="I4218" s="39"/>
      <c r="J4218" s="47" t="str">
        <f>IF(tblMovimientos[[#This Row],[Tipo]]="","",IFERROR(INDEX(tblTiposMov[FactorStock],MATCH(tblMovimientos[[#This Row],[Tipo]],tblTiposMov[Tipo],0)),0))</f>
        <v/>
      </c>
      <c r="K42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8" s="37"/>
      <c r="O4218" s="37"/>
      <c r="P4218" s="37"/>
    </row>
    <row r="4219" spans="2:16" x14ac:dyDescent="0.25">
      <c r="B42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19" s="46"/>
      <c r="D4219" s="37"/>
      <c r="E4219" s="37"/>
      <c r="F4219" s="37"/>
      <c r="G4219" s="40" t="str">
        <f>IF(tblMovimientos[[#This Row],[Producto]]="","",TRIM(LEFT(tblMovimientos[[#This Row],[Producto]],FIND(" · ",tblMovimientos[[#This Row],[Producto]]&amp;" · ")-1)))</f>
        <v/>
      </c>
      <c r="H4219" s="40" t="str">
        <f>IF(tblMovimientos[[#This Row],[SKU]]="","",IFERROR(INDEX(tblProductos[Unidad],MATCH(tblMovimientos[[#This Row],[SKU]],tblProductos[SKU],0)),"?"))</f>
        <v/>
      </c>
      <c r="I4219" s="39"/>
      <c r="J4219" s="47" t="str">
        <f>IF(tblMovimientos[[#This Row],[Tipo]]="","",IFERROR(INDEX(tblTiposMov[FactorStock],MATCH(tblMovimientos[[#This Row],[Tipo]],tblTiposMov[Tipo],0)),0))</f>
        <v/>
      </c>
      <c r="K42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19" s="37"/>
      <c r="O4219" s="37"/>
      <c r="P4219" s="37"/>
    </row>
    <row r="4220" spans="2:16" x14ac:dyDescent="0.25">
      <c r="B42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0" s="46"/>
      <c r="D4220" s="37"/>
      <c r="E4220" s="37"/>
      <c r="F4220" s="37"/>
      <c r="G4220" s="40" t="str">
        <f>IF(tblMovimientos[[#This Row],[Producto]]="","",TRIM(LEFT(tblMovimientos[[#This Row],[Producto]],FIND(" · ",tblMovimientos[[#This Row],[Producto]]&amp;" · ")-1)))</f>
        <v/>
      </c>
      <c r="H4220" s="40" t="str">
        <f>IF(tblMovimientos[[#This Row],[SKU]]="","",IFERROR(INDEX(tblProductos[Unidad],MATCH(tblMovimientos[[#This Row],[SKU]],tblProductos[SKU],0)),"?"))</f>
        <v/>
      </c>
      <c r="I4220" s="39"/>
      <c r="J4220" s="47" t="str">
        <f>IF(tblMovimientos[[#This Row],[Tipo]]="","",IFERROR(INDEX(tblTiposMov[FactorStock],MATCH(tblMovimientos[[#This Row],[Tipo]],tblTiposMov[Tipo],0)),0))</f>
        <v/>
      </c>
      <c r="K42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0" s="37"/>
      <c r="O4220" s="37"/>
      <c r="P4220" s="37"/>
    </row>
    <row r="4221" spans="2:16" x14ac:dyDescent="0.25">
      <c r="B42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1" s="46"/>
      <c r="D4221" s="37"/>
      <c r="E4221" s="37"/>
      <c r="F4221" s="37"/>
      <c r="G4221" s="40" t="str">
        <f>IF(tblMovimientos[[#This Row],[Producto]]="","",TRIM(LEFT(tblMovimientos[[#This Row],[Producto]],FIND(" · ",tblMovimientos[[#This Row],[Producto]]&amp;" · ")-1)))</f>
        <v/>
      </c>
      <c r="H4221" s="40" t="str">
        <f>IF(tblMovimientos[[#This Row],[SKU]]="","",IFERROR(INDEX(tblProductos[Unidad],MATCH(tblMovimientos[[#This Row],[SKU]],tblProductos[SKU],0)),"?"))</f>
        <v/>
      </c>
      <c r="I4221" s="39"/>
      <c r="J4221" s="47" t="str">
        <f>IF(tblMovimientos[[#This Row],[Tipo]]="","",IFERROR(INDEX(tblTiposMov[FactorStock],MATCH(tblMovimientos[[#This Row],[Tipo]],tblTiposMov[Tipo],0)),0))</f>
        <v/>
      </c>
      <c r="K42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1" s="37"/>
      <c r="O4221" s="37"/>
      <c r="P4221" s="37"/>
    </row>
    <row r="4222" spans="2:16" x14ac:dyDescent="0.25">
      <c r="B42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2" s="46"/>
      <c r="D4222" s="37"/>
      <c r="E4222" s="37"/>
      <c r="F4222" s="37"/>
      <c r="G4222" s="40" t="str">
        <f>IF(tblMovimientos[[#This Row],[Producto]]="","",TRIM(LEFT(tblMovimientos[[#This Row],[Producto]],FIND(" · ",tblMovimientos[[#This Row],[Producto]]&amp;" · ")-1)))</f>
        <v/>
      </c>
      <c r="H4222" s="40" t="str">
        <f>IF(tblMovimientos[[#This Row],[SKU]]="","",IFERROR(INDEX(tblProductos[Unidad],MATCH(tblMovimientos[[#This Row],[SKU]],tblProductos[SKU],0)),"?"))</f>
        <v/>
      </c>
      <c r="I4222" s="39"/>
      <c r="J4222" s="47" t="str">
        <f>IF(tblMovimientos[[#This Row],[Tipo]]="","",IFERROR(INDEX(tblTiposMov[FactorStock],MATCH(tblMovimientos[[#This Row],[Tipo]],tblTiposMov[Tipo],0)),0))</f>
        <v/>
      </c>
      <c r="K42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2" s="37"/>
      <c r="O4222" s="37"/>
      <c r="P4222" s="37"/>
    </row>
    <row r="4223" spans="2:16" x14ac:dyDescent="0.25">
      <c r="B42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3" s="46"/>
      <c r="D4223" s="37"/>
      <c r="E4223" s="37"/>
      <c r="F4223" s="37"/>
      <c r="G4223" s="40" t="str">
        <f>IF(tblMovimientos[[#This Row],[Producto]]="","",TRIM(LEFT(tblMovimientos[[#This Row],[Producto]],FIND(" · ",tblMovimientos[[#This Row],[Producto]]&amp;" · ")-1)))</f>
        <v/>
      </c>
      <c r="H4223" s="40" t="str">
        <f>IF(tblMovimientos[[#This Row],[SKU]]="","",IFERROR(INDEX(tblProductos[Unidad],MATCH(tblMovimientos[[#This Row],[SKU]],tblProductos[SKU],0)),"?"))</f>
        <v/>
      </c>
      <c r="I4223" s="39"/>
      <c r="J4223" s="47" t="str">
        <f>IF(tblMovimientos[[#This Row],[Tipo]]="","",IFERROR(INDEX(tblTiposMov[FactorStock],MATCH(tblMovimientos[[#This Row],[Tipo]],tblTiposMov[Tipo],0)),0))</f>
        <v/>
      </c>
      <c r="K42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3" s="37"/>
      <c r="O4223" s="37"/>
      <c r="P4223" s="37"/>
    </row>
    <row r="4224" spans="2:16" x14ac:dyDescent="0.25">
      <c r="B42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4" s="46"/>
      <c r="D4224" s="37"/>
      <c r="E4224" s="37"/>
      <c r="F4224" s="37"/>
      <c r="G4224" s="40" t="str">
        <f>IF(tblMovimientos[[#This Row],[Producto]]="","",TRIM(LEFT(tblMovimientos[[#This Row],[Producto]],FIND(" · ",tblMovimientos[[#This Row],[Producto]]&amp;" · ")-1)))</f>
        <v/>
      </c>
      <c r="H4224" s="40" t="str">
        <f>IF(tblMovimientos[[#This Row],[SKU]]="","",IFERROR(INDEX(tblProductos[Unidad],MATCH(tblMovimientos[[#This Row],[SKU]],tblProductos[SKU],0)),"?"))</f>
        <v/>
      </c>
      <c r="I4224" s="39"/>
      <c r="J4224" s="47" t="str">
        <f>IF(tblMovimientos[[#This Row],[Tipo]]="","",IFERROR(INDEX(tblTiposMov[FactorStock],MATCH(tblMovimientos[[#This Row],[Tipo]],tblTiposMov[Tipo],0)),0))</f>
        <v/>
      </c>
      <c r="K42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4" s="37"/>
      <c r="O4224" s="37"/>
      <c r="P4224" s="37"/>
    </row>
    <row r="4225" spans="2:16" x14ac:dyDescent="0.25">
      <c r="B42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5" s="46"/>
      <c r="D4225" s="37"/>
      <c r="E4225" s="37"/>
      <c r="F4225" s="37"/>
      <c r="G4225" s="40" t="str">
        <f>IF(tblMovimientos[[#This Row],[Producto]]="","",TRIM(LEFT(tblMovimientos[[#This Row],[Producto]],FIND(" · ",tblMovimientos[[#This Row],[Producto]]&amp;" · ")-1)))</f>
        <v/>
      </c>
      <c r="H4225" s="40" t="str">
        <f>IF(tblMovimientos[[#This Row],[SKU]]="","",IFERROR(INDEX(tblProductos[Unidad],MATCH(tblMovimientos[[#This Row],[SKU]],tblProductos[SKU],0)),"?"))</f>
        <v/>
      </c>
      <c r="I4225" s="39"/>
      <c r="J4225" s="47" t="str">
        <f>IF(tblMovimientos[[#This Row],[Tipo]]="","",IFERROR(INDEX(tblTiposMov[FactorStock],MATCH(tblMovimientos[[#This Row],[Tipo]],tblTiposMov[Tipo],0)),0))</f>
        <v/>
      </c>
      <c r="K42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5" s="37"/>
      <c r="O4225" s="37"/>
      <c r="P4225" s="37"/>
    </row>
    <row r="4226" spans="2:16" x14ac:dyDescent="0.25">
      <c r="B42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6" s="46"/>
      <c r="D4226" s="37"/>
      <c r="E4226" s="37"/>
      <c r="F4226" s="37"/>
      <c r="G4226" s="40" t="str">
        <f>IF(tblMovimientos[[#This Row],[Producto]]="","",TRIM(LEFT(tblMovimientos[[#This Row],[Producto]],FIND(" · ",tblMovimientos[[#This Row],[Producto]]&amp;" · ")-1)))</f>
        <v/>
      </c>
      <c r="H4226" s="40" t="str">
        <f>IF(tblMovimientos[[#This Row],[SKU]]="","",IFERROR(INDEX(tblProductos[Unidad],MATCH(tblMovimientos[[#This Row],[SKU]],tblProductos[SKU],0)),"?"))</f>
        <v/>
      </c>
      <c r="I4226" s="39"/>
      <c r="J4226" s="47" t="str">
        <f>IF(tblMovimientos[[#This Row],[Tipo]]="","",IFERROR(INDEX(tblTiposMov[FactorStock],MATCH(tblMovimientos[[#This Row],[Tipo]],tblTiposMov[Tipo],0)),0))</f>
        <v/>
      </c>
      <c r="K42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6" s="37"/>
      <c r="O4226" s="37"/>
      <c r="P4226" s="37"/>
    </row>
    <row r="4227" spans="2:16" x14ac:dyDescent="0.25">
      <c r="B42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7" s="46"/>
      <c r="D4227" s="37"/>
      <c r="E4227" s="37"/>
      <c r="F4227" s="37"/>
      <c r="G4227" s="40" t="str">
        <f>IF(tblMovimientos[[#This Row],[Producto]]="","",TRIM(LEFT(tblMovimientos[[#This Row],[Producto]],FIND(" · ",tblMovimientos[[#This Row],[Producto]]&amp;" · ")-1)))</f>
        <v/>
      </c>
      <c r="H4227" s="40" t="str">
        <f>IF(tblMovimientos[[#This Row],[SKU]]="","",IFERROR(INDEX(tblProductos[Unidad],MATCH(tblMovimientos[[#This Row],[SKU]],tblProductos[SKU],0)),"?"))</f>
        <v/>
      </c>
      <c r="I4227" s="39"/>
      <c r="J4227" s="47" t="str">
        <f>IF(tblMovimientos[[#This Row],[Tipo]]="","",IFERROR(INDEX(tblTiposMov[FactorStock],MATCH(tblMovimientos[[#This Row],[Tipo]],tblTiposMov[Tipo],0)),0))</f>
        <v/>
      </c>
      <c r="K42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7" s="37"/>
      <c r="O4227" s="37"/>
      <c r="P4227" s="37"/>
    </row>
    <row r="4228" spans="2:16" x14ac:dyDescent="0.25">
      <c r="B42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8" s="46"/>
      <c r="D4228" s="37"/>
      <c r="E4228" s="37"/>
      <c r="F4228" s="37"/>
      <c r="G4228" s="40" t="str">
        <f>IF(tblMovimientos[[#This Row],[Producto]]="","",TRIM(LEFT(tblMovimientos[[#This Row],[Producto]],FIND(" · ",tblMovimientos[[#This Row],[Producto]]&amp;" · ")-1)))</f>
        <v/>
      </c>
      <c r="H4228" s="40" t="str">
        <f>IF(tblMovimientos[[#This Row],[SKU]]="","",IFERROR(INDEX(tblProductos[Unidad],MATCH(tblMovimientos[[#This Row],[SKU]],tblProductos[SKU],0)),"?"))</f>
        <v/>
      </c>
      <c r="I4228" s="39"/>
      <c r="J4228" s="47" t="str">
        <f>IF(tblMovimientos[[#This Row],[Tipo]]="","",IFERROR(INDEX(tblTiposMov[FactorStock],MATCH(tblMovimientos[[#This Row],[Tipo]],tblTiposMov[Tipo],0)),0))</f>
        <v/>
      </c>
      <c r="K42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8" s="37"/>
      <c r="O4228" s="37"/>
      <c r="P4228" s="37"/>
    </row>
    <row r="4229" spans="2:16" x14ac:dyDescent="0.25">
      <c r="B42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29" s="46"/>
      <c r="D4229" s="37"/>
      <c r="E4229" s="37"/>
      <c r="F4229" s="37"/>
      <c r="G4229" s="40" t="str">
        <f>IF(tblMovimientos[[#This Row],[Producto]]="","",TRIM(LEFT(tblMovimientos[[#This Row],[Producto]],FIND(" · ",tblMovimientos[[#This Row],[Producto]]&amp;" · ")-1)))</f>
        <v/>
      </c>
      <c r="H4229" s="40" t="str">
        <f>IF(tblMovimientos[[#This Row],[SKU]]="","",IFERROR(INDEX(tblProductos[Unidad],MATCH(tblMovimientos[[#This Row],[SKU]],tblProductos[SKU],0)),"?"))</f>
        <v/>
      </c>
      <c r="I4229" s="39"/>
      <c r="J4229" s="47" t="str">
        <f>IF(tblMovimientos[[#This Row],[Tipo]]="","",IFERROR(INDEX(tblTiposMov[FactorStock],MATCH(tblMovimientos[[#This Row],[Tipo]],tblTiposMov[Tipo],0)),0))</f>
        <v/>
      </c>
      <c r="K42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29" s="37"/>
      <c r="O4229" s="37"/>
      <c r="P4229" s="37"/>
    </row>
    <row r="4230" spans="2:16" x14ac:dyDescent="0.25">
      <c r="B42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0" s="46"/>
      <c r="D4230" s="37"/>
      <c r="E4230" s="37"/>
      <c r="F4230" s="37"/>
      <c r="G4230" s="40" t="str">
        <f>IF(tblMovimientos[[#This Row],[Producto]]="","",TRIM(LEFT(tblMovimientos[[#This Row],[Producto]],FIND(" · ",tblMovimientos[[#This Row],[Producto]]&amp;" · ")-1)))</f>
        <v/>
      </c>
      <c r="H4230" s="40" t="str">
        <f>IF(tblMovimientos[[#This Row],[SKU]]="","",IFERROR(INDEX(tblProductos[Unidad],MATCH(tblMovimientos[[#This Row],[SKU]],tblProductos[SKU],0)),"?"))</f>
        <v/>
      </c>
      <c r="I4230" s="39"/>
      <c r="J4230" s="47" t="str">
        <f>IF(tblMovimientos[[#This Row],[Tipo]]="","",IFERROR(INDEX(tblTiposMov[FactorStock],MATCH(tblMovimientos[[#This Row],[Tipo]],tblTiposMov[Tipo],0)),0))</f>
        <v/>
      </c>
      <c r="K42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0" s="37"/>
      <c r="O4230" s="37"/>
      <c r="P4230" s="37"/>
    </row>
    <row r="4231" spans="2:16" x14ac:dyDescent="0.25">
      <c r="B42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1" s="46"/>
      <c r="D4231" s="37"/>
      <c r="E4231" s="37"/>
      <c r="F4231" s="37"/>
      <c r="G4231" s="40" t="str">
        <f>IF(tblMovimientos[[#This Row],[Producto]]="","",TRIM(LEFT(tblMovimientos[[#This Row],[Producto]],FIND(" · ",tblMovimientos[[#This Row],[Producto]]&amp;" · ")-1)))</f>
        <v/>
      </c>
      <c r="H4231" s="40" t="str">
        <f>IF(tblMovimientos[[#This Row],[SKU]]="","",IFERROR(INDEX(tblProductos[Unidad],MATCH(tblMovimientos[[#This Row],[SKU]],tblProductos[SKU],0)),"?"))</f>
        <v/>
      </c>
      <c r="I4231" s="39"/>
      <c r="J4231" s="47" t="str">
        <f>IF(tblMovimientos[[#This Row],[Tipo]]="","",IFERROR(INDEX(tblTiposMov[FactorStock],MATCH(tblMovimientos[[#This Row],[Tipo]],tblTiposMov[Tipo],0)),0))</f>
        <v/>
      </c>
      <c r="K42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1" s="37"/>
      <c r="O4231" s="37"/>
      <c r="P4231" s="37"/>
    </row>
    <row r="4232" spans="2:16" x14ac:dyDescent="0.25">
      <c r="B42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2" s="46"/>
      <c r="D4232" s="37"/>
      <c r="E4232" s="37"/>
      <c r="F4232" s="37"/>
      <c r="G4232" s="40" t="str">
        <f>IF(tblMovimientos[[#This Row],[Producto]]="","",TRIM(LEFT(tblMovimientos[[#This Row],[Producto]],FIND(" · ",tblMovimientos[[#This Row],[Producto]]&amp;" · ")-1)))</f>
        <v/>
      </c>
      <c r="H4232" s="40" t="str">
        <f>IF(tblMovimientos[[#This Row],[SKU]]="","",IFERROR(INDEX(tblProductos[Unidad],MATCH(tblMovimientos[[#This Row],[SKU]],tblProductos[SKU],0)),"?"))</f>
        <v/>
      </c>
      <c r="I4232" s="39"/>
      <c r="J4232" s="47" t="str">
        <f>IF(tblMovimientos[[#This Row],[Tipo]]="","",IFERROR(INDEX(tblTiposMov[FactorStock],MATCH(tblMovimientos[[#This Row],[Tipo]],tblTiposMov[Tipo],0)),0))</f>
        <v/>
      </c>
      <c r="K42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2" s="37"/>
      <c r="O4232" s="37"/>
      <c r="P4232" s="37"/>
    </row>
    <row r="4233" spans="2:16" x14ac:dyDescent="0.25">
      <c r="B42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3" s="46"/>
      <c r="D4233" s="37"/>
      <c r="E4233" s="37"/>
      <c r="F4233" s="37"/>
      <c r="G4233" s="40" t="str">
        <f>IF(tblMovimientos[[#This Row],[Producto]]="","",TRIM(LEFT(tblMovimientos[[#This Row],[Producto]],FIND(" · ",tblMovimientos[[#This Row],[Producto]]&amp;" · ")-1)))</f>
        <v/>
      </c>
      <c r="H4233" s="40" t="str">
        <f>IF(tblMovimientos[[#This Row],[SKU]]="","",IFERROR(INDEX(tblProductos[Unidad],MATCH(tblMovimientos[[#This Row],[SKU]],tblProductos[SKU],0)),"?"))</f>
        <v/>
      </c>
      <c r="I4233" s="39"/>
      <c r="J4233" s="47" t="str">
        <f>IF(tblMovimientos[[#This Row],[Tipo]]="","",IFERROR(INDEX(tblTiposMov[FactorStock],MATCH(tblMovimientos[[#This Row],[Tipo]],tblTiposMov[Tipo],0)),0))</f>
        <v/>
      </c>
      <c r="K42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3" s="37"/>
      <c r="O4233" s="37"/>
      <c r="P4233" s="37"/>
    </row>
    <row r="4234" spans="2:16" x14ac:dyDescent="0.25">
      <c r="B42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4" s="46"/>
      <c r="D4234" s="37"/>
      <c r="E4234" s="37"/>
      <c r="F4234" s="37"/>
      <c r="G4234" s="40" t="str">
        <f>IF(tblMovimientos[[#This Row],[Producto]]="","",TRIM(LEFT(tblMovimientos[[#This Row],[Producto]],FIND(" · ",tblMovimientos[[#This Row],[Producto]]&amp;" · ")-1)))</f>
        <v/>
      </c>
      <c r="H4234" s="40" t="str">
        <f>IF(tblMovimientos[[#This Row],[SKU]]="","",IFERROR(INDEX(tblProductos[Unidad],MATCH(tblMovimientos[[#This Row],[SKU]],tblProductos[SKU],0)),"?"))</f>
        <v/>
      </c>
      <c r="I4234" s="39"/>
      <c r="J4234" s="47" t="str">
        <f>IF(tblMovimientos[[#This Row],[Tipo]]="","",IFERROR(INDEX(tblTiposMov[FactorStock],MATCH(tblMovimientos[[#This Row],[Tipo]],tblTiposMov[Tipo],0)),0))</f>
        <v/>
      </c>
      <c r="K42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4" s="37"/>
      <c r="O4234" s="37"/>
      <c r="P4234" s="37"/>
    </row>
    <row r="4235" spans="2:16" x14ac:dyDescent="0.25">
      <c r="B42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5" s="46"/>
      <c r="D4235" s="37"/>
      <c r="E4235" s="37"/>
      <c r="F4235" s="37"/>
      <c r="G4235" s="40" t="str">
        <f>IF(tblMovimientos[[#This Row],[Producto]]="","",TRIM(LEFT(tblMovimientos[[#This Row],[Producto]],FIND(" · ",tblMovimientos[[#This Row],[Producto]]&amp;" · ")-1)))</f>
        <v/>
      </c>
      <c r="H4235" s="40" t="str">
        <f>IF(tblMovimientos[[#This Row],[SKU]]="","",IFERROR(INDEX(tblProductos[Unidad],MATCH(tblMovimientos[[#This Row],[SKU]],tblProductos[SKU],0)),"?"))</f>
        <v/>
      </c>
      <c r="I4235" s="39"/>
      <c r="J4235" s="47" t="str">
        <f>IF(tblMovimientos[[#This Row],[Tipo]]="","",IFERROR(INDEX(tblTiposMov[FactorStock],MATCH(tblMovimientos[[#This Row],[Tipo]],tblTiposMov[Tipo],0)),0))</f>
        <v/>
      </c>
      <c r="K42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5" s="37"/>
      <c r="O4235" s="37"/>
      <c r="P4235" s="37"/>
    </row>
    <row r="4236" spans="2:16" x14ac:dyDescent="0.25">
      <c r="B42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6" s="46"/>
      <c r="D4236" s="37"/>
      <c r="E4236" s="37"/>
      <c r="F4236" s="37"/>
      <c r="G4236" s="40" t="str">
        <f>IF(tblMovimientos[[#This Row],[Producto]]="","",TRIM(LEFT(tblMovimientos[[#This Row],[Producto]],FIND(" · ",tblMovimientos[[#This Row],[Producto]]&amp;" · ")-1)))</f>
        <v/>
      </c>
      <c r="H4236" s="40" t="str">
        <f>IF(tblMovimientos[[#This Row],[SKU]]="","",IFERROR(INDEX(tblProductos[Unidad],MATCH(tblMovimientos[[#This Row],[SKU]],tblProductos[SKU],0)),"?"))</f>
        <v/>
      </c>
      <c r="I4236" s="39"/>
      <c r="J4236" s="47" t="str">
        <f>IF(tblMovimientos[[#This Row],[Tipo]]="","",IFERROR(INDEX(tblTiposMov[FactorStock],MATCH(tblMovimientos[[#This Row],[Tipo]],tblTiposMov[Tipo],0)),0))</f>
        <v/>
      </c>
      <c r="K42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6" s="37"/>
      <c r="O4236" s="37"/>
      <c r="P4236" s="37"/>
    </row>
    <row r="4237" spans="2:16" x14ac:dyDescent="0.25">
      <c r="B42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7" s="46"/>
      <c r="D4237" s="37"/>
      <c r="E4237" s="37"/>
      <c r="F4237" s="37"/>
      <c r="G4237" s="40" t="str">
        <f>IF(tblMovimientos[[#This Row],[Producto]]="","",TRIM(LEFT(tblMovimientos[[#This Row],[Producto]],FIND(" · ",tblMovimientos[[#This Row],[Producto]]&amp;" · ")-1)))</f>
        <v/>
      </c>
      <c r="H4237" s="40" t="str">
        <f>IF(tblMovimientos[[#This Row],[SKU]]="","",IFERROR(INDEX(tblProductos[Unidad],MATCH(tblMovimientos[[#This Row],[SKU]],tblProductos[SKU],0)),"?"))</f>
        <v/>
      </c>
      <c r="I4237" s="39"/>
      <c r="J4237" s="47" t="str">
        <f>IF(tblMovimientos[[#This Row],[Tipo]]="","",IFERROR(INDEX(tblTiposMov[FactorStock],MATCH(tblMovimientos[[#This Row],[Tipo]],tblTiposMov[Tipo],0)),0))</f>
        <v/>
      </c>
      <c r="K42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7" s="37"/>
      <c r="O4237" s="37"/>
      <c r="P4237" s="37"/>
    </row>
    <row r="4238" spans="2:16" x14ac:dyDescent="0.25">
      <c r="B42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8" s="46"/>
      <c r="D4238" s="37"/>
      <c r="E4238" s="37"/>
      <c r="F4238" s="37"/>
      <c r="G4238" s="40" t="str">
        <f>IF(tblMovimientos[[#This Row],[Producto]]="","",TRIM(LEFT(tblMovimientos[[#This Row],[Producto]],FIND(" · ",tblMovimientos[[#This Row],[Producto]]&amp;" · ")-1)))</f>
        <v/>
      </c>
      <c r="H4238" s="40" t="str">
        <f>IF(tblMovimientos[[#This Row],[SKU]]="","",IFERROR(INDEX(tblProductos[Unidad],MATCH(tblMovimientos[[#This Row],[SKU]],tblProductos[SKU],0)),"?"))</f>
        <v/>
      </c>
      <c r="I4238" s="39"/>
      <c r="J4238" s="47" t="str">
        <f>IF(tblMovimientos[[#This Row],[Tipo]]="","",IFERROR(INDEX(tblTiposMov[FactorStock],MATCH(tblMovimientos[[#This Row],[Tipo]],tblTiposMov[Tipo],0)),0))</f>
        <v/>
      </c>
      <c r="K42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8" s="37"/>
      <c r="O4238" s="37"/>
      <c r="P4238" s="37"/>
    </row>
    <row r="4239" spans="2:16" x14ac:dyDescent="0.25">
      <c r="B42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39" s="46"/>
      <c r="D4239" s="37"/>
      <c r="E4239" s="37"/>
      <c r="F4239" s="37"/>
      <c r="G4239" s="40" t="str">
        <f>IF(tblMovimientos[[#This Row],[Producto]]="","",TRIM(LEFT(tblMovimientos[[#This Row],[Producto]],FIND(" · ",tblMovimientos[[#This Row],[Producto]]&amp;" · ")-1)))</f>
        <v/>
      </c>
      <c r="H4239" s="40" t="str">
        <f>IF(tblMovimientos[[#This Row],[SKU]]="","",IFERROR(INDEX(tblProductos[Unidad],MATCH(tblMovimientos[[#This Row],[SKU]],tblProductos[SKU],0)),"?"))</f>
        <v/>
      </c>
      <c r="I4239" s="39"/>
      <c r="J4239" s="47" t="str">
        <f>IF(tblMovimientos[[#This Row],[Tipo]]="","",IFERROR(INDEX(tblTiposMov[FactorStock],MATCH(tblMovimientos[[#This Row],[Tipo]],tblTiposMov[Tipo],0)),0))</f>
        <v/>
      </c>
      <c r="K42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39" s="37"/>
      <c r="O4239" s="37"/>
      <c r="P4239" s="37"/>
    </row>
    <row r="4240" spans="2:16" x14ac:dyDescent="0.25">
      <c r="B42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0" s="46"/>
      <c r="D4240" s="37"/>
      <c r="E4240" s="37"/>
      <c r="F4240" s="37"/>
      <c r="G4240" s="40" t="str">
        <f>IF(tblMovimientos[[#This Row],[Producto]]="","",TRIM(LEFT(tblMovimientos[[#This Row],[Producto]],FIND(" · ",tblMovimientos[[#This Row],[Producto]]&amp;" · ")-1)))</f>
        <v/>
      </c>
      <c r="H4240" s="40" t="str">
        <f>IF(tblMovimientos[[#This Row],[SKU]]="","",IFERROR(INDEX(tblProductos[Unidad],MATCH(tblMovimientos[[#This Row],[SKU]],tblProductos[SKU],0)),"?"))</f>
        <v/>
      </c>
      <c r="I4240" s="39"/>
      <c r="J4240" s="47" t="str">
        <f>IF(tblMovimientos[[#This Row],[Tipo]]="","",IFERROR(INDEX(tblTiposMov[FactorStock],MATCH(tblMovimientos[[#This Row],[Tipo]],tblTiposMov[Tipo],0)),0))</f>
        <v/>
      </c>
      <c r="K42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0" s="37"/>
      <c r="O4240" s="37"/>
      <c r="P4240" s="37"/>
    </row>
    <row r="4241" spans="2:16" x14ac:dyDescent="0.25">
      <c r="B42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1" s="46"/>
      <c r="D4241" s="37"/>
      <c r="E4241" s="37"/>
      <c r="F4241" s="37"/>
      <c r="G4241" s="40" t="str">
        <f>IF(tblMovimientos[[#This Row],[Producto]]="","",TRIM(LEFT(tblMovimientos[[#This Row],[Producto]],FIND(" · ",tblMovimientos[[#This Row],[Producto]]&amp;" · ")-1)))</f>
        <v/>
      </c>
      <c r="H4241" s="40" t="str">
        <f>IF(tblMovimientos[[#This Row],[SKU]]="","",IFERROR(INDEX(tblProductos[Unidad],MATCH(tblMovimientos[[#This Row],[SKU]],tblProductos[SKU],0)),"?"))</f>
        <v/>
      </c>
      <c r="I4241" s="39"/>
      <c r="J4241" s="47" t="str">
        <f>IF(tblMovimientos[[#This Row],[Tipo]]="","",IFERROR(INDEX(tblTiposMov[FactorStock],MATCH(tblMovimientos[[#This Row],[Tipo]],tblTiposMov[Tipo],0)),0))</f>
        <v/>
      </c>
      <c r="K42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1" s="37"/>
      <c r="O4241" s="37"/>
      <c r="P4241" s="37"/>
    </row>
    <row r="4242" spans="2:16" x14ac:dyDescent="0.25">
      <c r="B42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2" s="46"/>
      <c r="D4242" s="37"/>
      <c r="E4242" s="37"/>
      <c r="F4242" s="37"/>
      <c r="G4242" s="40" t="str">
        <f>IF(tblMovimientos[[#This Row],[Producto]]="","",TRIM(LEFT(tblMovimientos[[#This Row],[Producto]],FIND(" · ",tblMovimientos[[#This Row],[Producto]]&amp;" · ")-1)))</f>
        <v/>
      </c>
      <c r="H4242" s="40" t="str">
        <f>IF(tblMovimientos[[#This Row],[SKU]]="","",IFERROR(INDEX(tblProductos[Unidad],MATCH(tblMovimientos[[#This Row],[SKU]],tblProductos[SKU],0)),"?"))</f>
        <v/>
      </c>
      <c r="I4242" s="39"/>
      <c r="J4242" s="47" t="str">
        <f>IF(tblMovimientos[[#This Row],[Tipo]]="","",IFERROR(INDEX(tblTiposMov[FactorStock],MATCH(tblMovimientos[[#This Row],[Tipo]],tblTiposMov[Tipo],0)),0))</f>
        <v/>
      </c>
      <c r="K42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2" s="37"/>
      <c r="O4242" s="37"/>
      <c r="P4242" s="37"/>
    </row>
    <row r="4243" spans="2:16" x14ac:dyDescent="0.25">
      <c r="B42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3" s="46"/>
      <c r="D4243" s="37"/>
      <c r="E4243" s="37"/>
      <c r="F4243" s="37"/>
      <c r="G4243" s="40" t="str">
        <f>IF(tblMovimientos[[#This Row],[Producto]]="","",TRIM(LEFT(tblMovimientos[[#This Row],[Producto]],FIND(" · ",tblMovimientos[[#This Row],[Producto]]&amp;" · ")-1)))</f>
        <v/>
      </c>
      <c r="H4243" s="40" t="str">
        <f>IF(tblMovimientos[[#This Row],[SKU]]="","",IFERROR(INDEX(tblProductos[Unidad],MATCH(tblMovimientos[[#This Row],[SKU]],tblProductos[SKU],0)),"?"))</f>
        <v/>
      </c>
      <c r="I4243" s="39"/>
      <c r="J4243" s="47" t="str">
        <f>IF(tblMovimientos[[#This Row],[Tipo]]="","",IFERROR(INDEX(tblTiposMov[FactorStock],MATCH(tblMovimientos[[#This Row],[Tipo]],tblTiposMov[Tipo],0)),0))</f>
        <v/>
      </c>
      <c r="K42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3" s="37"/>
      <c r="O4243" s="37"/>
      <c r="P4243" s="37"/>
    </row>
    <row r="4244" spans="2:16" x14ac:dyDescent="0.25">
      <c r="B42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4" s="46"/>
      <c r="D4244" s="37"/>
      <c r="E4244" s="37"/>
      <c r="F4244" s="37"/>
      <c r="G4244" s="40" t="str">
        <f>IF(tblMovimientos[[#This Row],[Producto]]="","",TRIM(LEFT(tblMovimientos[[#This Row],[Producto]],FIND(" · ",tblMovimientos[[#This Row],[Producto]]&amp;" · ")-1)))</f>
        <v/>
      </c>
      <c r="H4244" s="40" t="str">
        <f>IF(tblMovimientos[[#This Row],[SKU]]="","",IFERROR(INDEX(tblProductos[Unidad],MATCH(tblMovimientos[[#This Row],[SKU]],tblProductos[SKU],0)),"?"))</f>
        <v/>
      </c>
      <c r="I4244" s="39"/>
      <c r="J4244" s="47" t="str">
        <f>IF(tblMovimientos[[#This Row],[Tipo]]="","",IFERROR(INDEX(tblTiposMov[FactorStock],MATCH(tblMovimientos[[#This Row],[Tipo]],tblTiposMov[Tipo],0)),0))</f>
        <v/>
      </c>
      <c r="K42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4" s="37"/>
      <c r="O4244" s="37"/>
      <c r="P4244" s="37"/>
    </row>
    <row r="4245" spans="2:16" x14ac:dyDescent="0.25">
      <c r="B42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5" s="46"/>
      <c r="D4245" s="37"/>
      <c r="E4245" s="37"/>
      <c r="F4245" s="37"/>
      <c r="G4245" s="40" t="str">
        <f>IF(tblMovimientos[[#This Row],[Producto]]="","",TRIM(LEFT(tblMovimientos[[#This Row],[Producto]],FIND(" · ",tblMovimientos[[#This Row],[Producto]]&amp;" · ")-1)))</f>
        <v/>
      </c>
      <c r="H4245" s="40" t="str">
        <f>IF(tblMovimientos[[#This Row],[SKU]]="","",IFERROR(INDEX(tblProductos[Unidad],MATCH(tblMovimientos[[#This Row],[SKU]],tblProductos[SKU],0)),"?"))</f>
        <v/>
      </c>
      <c r="I4245" s="39"/>
      <c r="J4245" s="47" t="str">
        <f>IF(tblMovimientos[[#This Row],[Tipo]]="","",IFERROR(INDEX(tblTiposMov[FactorStock],MATCH(tblMovimientos[[#This Row],[Tipo]],tblTiposMov[Tipo],0)),0))</f>
        <v/>
      </c>
      <c r="K42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5" s="37"/>
      <c r="O4245" s="37"/>
      <c r="P4245" s="37"/>
    </row>
    <row r="4246" spans="2:16" x14ac:dyDescent="0.25">
      <c r="B42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6" s="46"/>
      <c r="D4246" s="37"/>
      <c r="E4246" s="37"/>
      <c r="F4246" s="37"/>
      <c r="G4246" s="40" t="str">
        <f>IF(tblMovimientos[[#This Row],[Producto]]="","",TRIM(LEFT(tblMovimientos[[#This Row],[Producto]],FIND(" · ",tblMovimientos[[#This Row],[Producto]]&amp;" · ")-1)))</f>
        <v/>
      </c>
      <c r="H4246" s="40" t="str">
        <f>IF(tblMovimientos[[#This Row],[SKU]]="","",IFERROR(INDEX(tblProductos[Unidad],MATCH(tblMovimientos[[#This Row],[SKU]],tblProductos[SKU],0)),"?"))</f>
        <v/>
      </c>
      <c r="I4246" s="39"/>
      <c r="J4246" s="47" t="str">
        <f>IF(tblMovimientos[[#This Row],[Tipo]]="","",IFERROR(INDEX(tblTiposMov[FactorStock],MATCH(tblMovimientos[[#This Row],[Tipo]],tblTiposMov[Tipo],0)),0))</f>
        <v/>
      </c>
      <c r="K42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6" s="37"/>
      <c r="O4246" s="37"/>
      <c r="P4246" s="37"/>
    </row>
    <row r="4247" spans="2:16" x14ac:dyDescent="0.25">
      <c r="B42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7" s="46"/>
      <c r="D4247" s="37"/>
      <c r="E4247" s="37"/>
      <c r="F4247" s="37"/>
      <c r="G4247" s="40" t="str">
        <f>IF(tblMovimientos[[#This Row],[Producto]]="","",TRIM(LEFT(tblMovimientos[[#This Row],[Producto]],FIND(" · ",tblMovimientos[[#This Row],[Producto]]&amp;" · ")-1)))</f>
        <v/>
      </c>
      <c r="H4247" s="40" t="str">
        <f>IF(tblMovimientos[[#This Row],[SKU]]="","",IFERROR(INDEX(tblProductos[Unidad],MATCH(tblMovimientos[[#This Row],[SKU]],tblProductos[SKU],0)),"?"))</f>
        <v/>
      </c>
      <c r="I4247" s="39"/>
      <c r="J4247" s="47" t="str">
        <f>IF(tblMovimientos[[#This Row],[Tipo]]="","",IFERROR(INDEX(tblTiposMov[FactorStock],MATCH(tblMovimientos[[#This Row],[Tipo]],tblTiposMov[Tipo],0)),0))</f>
        <v/>
      </c>
      <c r="K42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7" s="37"/>
      <c r="O4247" s="37"/>
      <c r="P4247" s="37"/>
    </row>
    <row r="4248" spans="2:16" x14ac:dyDescent="0.25">
      <c r="B42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8" s="46"/>
      <c r="D4248" s="37"/>
      <c r="E4248" s="37"/>
      <c r="F4248" s="37"/>
      <c r="G4248" s="40" t="str">
        <f>IF(tblMovimientos[[#This Row],[Producto]]="","",TRIM(LEFT(tblMovimientos[[#This Row],[Producto]],FIND(" · ",tblMovimientos[[#This Row],[Producto]]&amp;" · ")-1)))</f>
        <v/>
      </c>
      <c r="H4248" s="40" t="str">
        <f>IF(tblMovimientos[[#This Row],[SKU]]="","",IFERROR(INDEX(tblProductos[Unidad],MATCH(tblMovimientos[[#This Row],[SKU]],tblProductos[SKU],0)),"?"))</f>
        <v/>
      </c>
      <c r="I4248" s="39"/>
      <c r="J4248" s="47" t="str">
        <f>IF(tblMovimientos[[#This Row],[Tipo]]="","",IFERROR(INDEX(tblTiposMov[FactorStock],MATCH(tblMovimientos[[#This Row],[Tipo]],tblTiposMov[Tipo],0)),0))</f>
        <v/>
      </c>
      <c r="K42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8" s="37"/>
      <c r="O4248" s="37"/>
      <c r="P4248" s="37"/>
    </row>
    <row r="4249" spans="2:16" x14ac:dyDescent="0.25">
      <c r="B42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49" s="46"/>
      <c r="D4249" s="37"/>
      <c r="E4249" s="37"/>
      <c r="F4249" s="37"/>
      <c r="G4249" s="40" t="str">
        <f>IF(tblMovimientos[[#This Row],[Producto]]="","",TRIM(LEFT(tblMovimientos[[#This Row],[Producto]],FIND(" · ",tblMovimientos[[#This Row],[Producto]]&amp;" · ")-1)))</f>
        <v/>
      </c>
      <c r="H4249" s="40" t="str">
        <f>IF(tblMovimientos[[#This Row],[SKU]]="","",IFERROR(INDEX(tblProductos[Unidad],MATCH(tblMovimientos[[#This Row],[SKU]],tblProductos[SKU],0)),"?"))</f>
        <v/>
      </c>
      <c r="I4249" s="39"/>
      <c r="J4249" s="47" t="str">
        <f>IF(tblMovimientos[[#This Row],[Tipo]]="","",IFERROR(INDEX(tblTiposMov[FactorStock],MATCH(tblMovimientos[[#This Row],[Tipo]],tblTiposMov[Tipo],0)),0))</f>
        <v/>
      </c>
      <c r="K42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49" s="37"/>
      <c r="O4249" s="37"/>
      <c r="P4249" s="37"/>
    </row>
    <row r="4250" spans="2:16" x14ac:dyDescent="0.25">
      <c r="B42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0" s="46"/>
      <c r="D4250" s="37"/>
      <c r="E4250" s="37"/>
      <c r="F4250" s="37"/>
      <c r="G4250" s="40" t="str">
        <f>IF(tblMovimientos[[#This Row],[Producto]]="","",TRIM(LEFT(tblMovimientos[[#This Row],[Producto]],FIND(" · ",tblMovimientos[[#This Row],[Producto]]&amp;" · ")-1)))</f>
        <v/>
      </c>
      <c r="H4250" s="40" t="str">
        <f>IF(tblMovimientos[[#This Row],[SKU]]="","",IFERROR(INDEX(tblProductos[Unidad],MATCH(tblMovimientos[[#This Row],[SKU]],tblProductos[SKU],0)),"?"))</f>
        <v/>
      </c>
      <c r="I4250" s="39"/>
      <c r="J4250" s="47" t="str">
        <f>IF(tblMovimientos[[#This Row],[Tipo]]="","",IFERROR(INDEX(tblTiposMov[FactorStock],MATCH(tblMovimientos[[#This Row],[Tipo]],tblTiposMov[Tipo],0)),0))</f>
        <v/>
      </c>
      <c r="K42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0" s="37"/>
      <c r="O4250" s="37"/>
      <c r="P4250" s="37"/>
    </row>
    <row r="4251" spans="2:16" x14ac:dyDescent="0.25">
      <c r="B42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1" s="46"/>
      <c r="D4251" s="37"/>
      <c r="E4251" s="37"/>
      <c r="F4251" s="37"/>
      <c r="G4251" s="40" t="str">
        <f>IF(tblMovimientos[[#This Row],[Producto]]="","",TRIM(LEFT(tblMovimientos[[#This Row],[Producto]],FIND(" · ",tblMovimientos[[#This Row],[Producto]]&amp;" · ")-1)))</f>
        <v/>
      </c>
      <c r="H4251" s="40" t="str">
        <f>IF(tblMovimientos[[#This Row],[SKU]]="","",IFERROR(INDEX(tblProductos[Unidad],MATCH(tblMovimientos[[#This Row],[SKU]],tblProductos[SKU],0)),"?"))</f>
        <v/>
      </c>
      <c r="I4251" s="39"/>
      <c r="J4251" s="47" t="str">
        <f>IF(tblMovimientos[[#This Row],[Tipo]]="","",IFERROR(INDEX(tblTiposMov[FactorStock],MATCH(tblMovimientos[[#This Row],[Tipo]],tblTiposMov[Tipo],0)),0))</f>
        <v/>
      </c>
      <c r="K42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1" s="37"/>
      <c r="O4251" s="37"/>
      <c r="P4251" s="37"/>
    </row>
    <row r="4252" spans="2:16" x14ac:dyDescent="0.25">
      <c r="B42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2" s="46"/>
      <c r="D4252" s="37"/>
      <c r="E4252" s="37"/>
      <c r="F4252" s="37"/>
      <c r="G4252" s="40" t="str">
        <f>IF(tblMovimientos[[#This Row],[Producto]]="","",TRIM(LEFT(tblMovimientos[[#This Row],[Producto]],FIND(" · ",tblMovimientos[[#This Row],[Producto]]&amp;" · ")-1)))</f>
        <v/>
      </c>
      <c r="H4252" s="40" t="str">
        <f>IF(tblMovimientos[[#This Row],[SKU]]="","",IFERROR(INDEX(tblProductos[Unidad],MATCH(tblMovimientos[[#This Row],[SKU]],tblProductos[SKU],0)),"?"))</f>
        <v/>
      </c>
      <c r="I4252" s="39"/>
      <c r="J4252" s="47" t="str">
        <f>IF(tblMovimientos[[#This Row],[Tipo]]="","",IFERROR(INDEX(tblTiposMov[FactorStock],MATCH(tblMovimientos[[#This Row],[Tipo]],tblTiposMov[Tipo],0)),0))</f>
        <v/>
      </c>
      <c r="K42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2" s="37"/>
      <c r="O4252" s="37"/>
      <c r="P4252" s="37"/>
    </row>
    <row r="4253" spans="2:16" x14ac:dyDescent="0.25">
      <c r="B42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3" s="46"/>
      <c r="D4253" s="37"/>
      <c r="E4253" s="37"/>
      <c r="F4253" s="37"/>
      <c r="G4253" s="40" t="str">
        <f>IF(tblMovimientos[[#This Row],[Producto]]="","",TRIM(LEFT(tblMovimientos[[#This Row],[Producto]],FIND(" · ",tblMovimientos[[#This Row],[Producto]]&amp;" · ")-1)))</f>
        <v/>
      </c>
      <c r="H4253" s="40" t="str">
        <f>IF(tblMovimientos[[#This Row],[SKU]]="","",IFERROR(INDEX(tblProductos[Unidad],MATCH(tblMovimientos[[#This Row],[SKU]],tblProductos[SKU],0)),"?"))</f>
        <v/>
      </c>
      <c r="I4253" s="39"/>
      <c r="J4253" s="47" t="str">
        <f>IF(tblMovimientos[[#This Row],[Tipo]]="","",IFERROR(INDEX(tblTiposMov[FactorStock],MATCH(tblMovimientos[[#This Row],[Tipo]],tblTiposMov[Tipo],0)),0))</f>
        <v/>
      </c>
      <c r="K42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3" s="37"/>
      <c r="O4253" s="37"/>
      <c r="P4253" s="37"/>
    </row>
    <row r="4254" spans="2:16" x14ac:dyDescent="0.25">
      <c r="B42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4" s="46"/>
      <c r="D4254" s="37"/>
      <c r="E4254" s="37"/>
      <c r="F4254" s="37"/>
      <c r="G4254" s="40" t="str">
        <f>IF(tblMovimientos[[#This Row],[Producto]]="","",TRIM(LEFT(tblMovimientos[[#This Row],[Producto]],FIND(" · ",tblMovimientos[[#This Row],[Producto]]&amp;" · ")-1)))</f>
        <v/>
      </c>
      <c r="H4254" s="40" t="str">
        <f>IF(tblMovimientos[[#This Row],[SKU]]="","",IFERROR(INDEX(tblProductos[Unidad],MATCH(tblMovimientos[[#This Row],[SKU]],tblProductos[SKU],0)),"?"))</f>
        <v/>
      </c>
      <c r="I4254" s="39"/>
      <c r="J4254" s="47" t="str">
        <f>IF(tblMovimientos[[#This Row],[Tipo]]="","",IFERROR(INDEX(tblTiposMov[FactorStock],MATCH(tblMovimientos[[#This Row],[Tipo]],tblTiposMov[Tipo],0)),0))</f>
        <v/>
      </c>
      <c r="K42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4" s="37"/>
      <c r="O4254" s="37"/>
      <c r="P4254" s="37"/>
    </row>
    <row r="4255" spans="2:16" x14ac:dyDescent="0.25">
      <c r="B42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5" s="46"/>
      <c r="D4255" s="37"/>
      <c r="E4255" s="37"/>
      <c r="F4255" s="37"/>
      <c r="G4255" s="40" t="str">
        <f>IF(tblMovimientos[[#This Row],[Producto]]="","",TRIM(LEFT(tblMovimientos[[#This Row],[Producto]],FIND(" · ",tblMovimientos[[#This Row],[Producto]]&amp;" · ")-1)))</f>
        <v/>
      </c>
      <c r="H4255" s="40" t="str">
        <f>IF(tblMovimientos[[#This Row],[SKU]]="","",IFERROR(INDEX(tblProductos[Unidad],MATCH(tblMovimientos[[#This Row],[SKU]],tblProductos[SKU],0)),"?"))</f>
        <v/>
      </c>
      <c r="I4255" s="39"/>
      <c r="J4255" s="47" t="str">
        <f>IF(tblMovimientos[[#This Row],[Tipo]]="","",IFERROR(INDEX(tblTiposMov[FactorStock],MATCH(tblMovimientos[[#This Row],[Tipo]],tblTiposMov[Tipo],0)),0))</f>
        <v/>
      </c>
      <c r="K42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5" s="37"/>
      <c r="O4255" s="37"/>
      <c r="P4255" s="37"/>
    </row>
    <row r="4256" spans="2:16" x14ac:dyDescent="0.25">
      <c r="B42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6" s="46"/>
      <c r="D4256" s="37"/>
      <c r="E4256" s="37"/>
      <c r="F4256" s="37"/>
      <c r="G4256" s="40" t="str">
        <f>IF(tblMovimientos[[#This Row],[Producto]]="","",TRIM(LEFT(tblMovimientos[[#This Row],[Producto]],FIND(" · ",tblMovimientos[[#This Row],[Producto]]&amp;" · ")-1)))</f>
        <v/>
      </c>
      <c r="H4256" s="40" t="str">
        <f>IF(tblMovimientos[[#This Row],[SKU]]="","",IFERROR(INDEX(tblProductos[Unidad],MATCH(tblMovimientos[[#This Row],[SKU]],tblProductos[SKU],0)),"?"))</f>
        <v/>
      </c>
      <c r="I4256" s="39"/>
      <c r="J4256" s="47" t="str">
        <f>IF(tblMovimientos[[#This Row],[Tipo]]="","",IFERROR(INDEX(tblTiposMov[FactorStock],MATCH(tblMovimientos[[#This Row],[Tipo]],tblTiposMov[Tipo],0)),0))</f>
        <v/>
      </c>
      <c r="K42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6" s="37"/>
      <c r="O4256" s="37"/>
      <c r="P4256" s="37"/>
    </row>
    <row r="4257" spans="2:16" x14ac:dyDescent="0.25">
      <c r="B42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7" s="46"/>
      <c r="D4257" s="37"/>
      <c r="E4257" s="37"/>
      <c r="F4257" s="37"/>
      <c r="G4257" s="40" t="str">
        <f>IF(tblMovimientos[[#This Row],[Producto]]="","",TRIM(LEFT(tblMovimientos[[#This Row],[Producto]],FIND(" · ",tblMovimientos[[#This Row],[Producto]]&amp;" · ")-1)))</f>
        <v/>
      </c>
      <c r="H4257" s="40" t="str">
        <f>IF(tblMovimientos[[#This Row],[SKU]]="","",IFERROR(INDEX(tblProductos[Unidad],MATCH(tblMovimientos[[#This Row],[SKU]],tblProductos[SKU],0)),"?"))</f>
        <v/>
      </c>
      <c r="I4257" s="39"/>
      <c r="J4257" s="47" t="str">
        <f>IF(tblMovimientos[[#This Row],[Tipo]]="","",IFERROR(INDEX(tblTiposMov[FactorStock],MATCH(tblMovimientos[[#This Row],[Tipo]],tblTiposMov[Tipo],0)),0))</f>
        <v/>
      </c>
      <c r="K42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7" s="37"/>
      <c r="O4257" s="37"/>
      <c r="P4257" s="37"/>
    </row>
    <row r="4258" spans="2:16" x14ac:dyDescent="0.25">
      <c r="B42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8" s="46"/>
      <c r="D4258" s="37"/>
      <c r="E4258" s="37"/>
      <c r="F4258" s="37"/>
      <c r="G4258" s="40" t="str">
        <f>IF(tblMovimientos[[#This Row],[Producto]]="","",TRIM(LEFT(tblMovimientos[[#This Row],[Producto]],FIND(" · ",tblMovimientos[[#This Row],[Producto]]&amp;" · ")-1)))</f>
        <v/>
      </c>
      <c r="H4258" s="40" t="str">
        <f>IF(tblMovimientos[[#This Row],[SKU]]="","",IFERROR(INDEX(tblProductos[Unidad],MATCH(tblMovimientos[[#This Row],[SKU]],tblProductos[SKU],0)),"?"))</f>
        <v/>
      </c>
      <c r="I4258" s="39"/>
      <c r="J4258" s="47" t="str">
        <f>IF(tblMovimientos[[#This Row],[Tipo]]="","",IFERROR(INDEX(tblTiposMov[FactorStock],MATCH(tblMovimientos[[#This Row],[Tipo]],tblTiposMov[Tipo],0)),0))</f>
        <v/>
      </c>
      <c r="K42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8" s="37"/>
      <c r="O4258" s="37"/>
      <c r="P4258" s="37"/>
    </row>
    <row r="4259" spans="2:16" x14ac:dyDescent="0.25">
      <c r="B42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59" s="46"/>
      <c r="D4259" s="37"/>
      <c r="E4259" s="37"/>
      <c r="F4259" s="37"/>
      <c r="G4259" s="40" t="str">
        <f>IF(tblMovimientos[[#This Row],[Producto]]="","",TRIM(LEFT(tblMovimientos[[#This Row],[Producto]],FIND(" · ",tblMovimientos[[#This Row],[Producto]]&amp;" · ")-1)))</f>
        <v/>
      </c>
      <c r="H4259" s="40" t="str">
        <f>IF(tblMovimientos[[#This Row],[SKU]]="","",IFERROR(INDEX(tblProductos[Unidad],MATCH(tblMovimientos[[#This Row],[SKU]],tblProductos[SKU],0)),"?"))</f>
        <v/>
      </c>
      <c r="I4259" s="39"/>
      <c r="J4259" s="47" t="str">
        <f>IF(tblMovimientos[[#This Row],[Tipo]]="","",IFERROR(INDEX(tblTiposMov[FactorStock],MATCH(tblMovimientos[[#This Row],[Tipo]],tblTiposMov[Tipo],0)),0))</f>
        <v/>
      </c>
      <c r="K42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59" s="37"/>
      <c r="O4259" s="37"/>
      <c r="P4259" s="37"/>
    </row>
    <row r="4260" spans="2:16" x14ac:dyDescent="0.25">
      <c r="B42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0" s="46"/>
      <c r="D4260" s="37"/>
      <c r="E4260" s="37"/>
      <c r="F4260" s="37"/>
      <c r="G4260" s="40" t="str">
        <f>IF(tblMovimientos[[#This Row],[Producto]]="","",TRIM(LEFT(tblMovimientos[[#This Row],[Producto]],FIND(" · ",tblMovimientos[[#This Row],[Producto]]&amp;" · ")-1)))</f>
        <v/>
      </c>
      <c r="H4260" s="40" t="str">
        <f>IF(tblMovimientos[[#This Row],[SKU]]="","",IFERROR(INDEX(tblProductos[Unidad],MATCH(tblMovimientos[[#This Row],[SKU]],tblProductos[SKU],0)),"?"))</f>
        <v/>
      </c>
      <c r="I4260" s="39"/>
      <c r="J4260" s="47" t="str">
        <f>IF(tblMovimientos[[#This Row],[Tipo]]="","",IFERROR(INDEX(tblTiposMov[FactorStock],MATCH(tblMovimientos[[#This Row],[Tipo]],tblTiposMov[Tipo],0)),0))</f>
        <v/>
      </c>
      <c r="K42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0" s="37"/>
      <c r="O4260" s="37"/>
      <c r="P4260" s="37"/>
    </row>
    <row r="4261" spans="2:16" x14ac:dyDescent="0.25">
      <c r="B42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1" s="46"/>
      <c r="D4261" s="37"/>
      <c r="E4261" s="37"/>
      <c r="F4261" s="37"/>
      <c r="G4261" s="40" t="str">
        <f>IF(tblMovimientos[[#This Row],[Producto]]="","",TRIM(LEFT(tblMovimientos[[#This Row],[Producto]],FIND(" · ",tblMovimientos[[#This Row],[Producto]]&amp;" · ")-1)))</f>
        <v/>
      </c>
      <c r="H4261" s="40" t="str">
        <f>IF(tblMovimientos[[#This Row],[SKU]]="","",IFERROR(INDEX(tblProductos[Unidad],MATCH(tblMovimientos[[#This Row],[SKU]],tblProductos[SKU],0)),"?"))</f>
        <v/>
      </c>
      <c r="I4261" s="39"/>
      <c r="J4261" s="47" t="str">
        <f>IF(tblMovimientos[[#This Row],[Tipo]]="","",IFERROR(INDEX(tblTiposMov[FactorStock],MATCH(tblMovimientos[[#This Row],[Tipo]],tblTiposMov[Tipo],0)),0))</f>
        <v/>
      </c>
      <c r="K42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1" s="37"/>
      <c r="O4261" s="37"/>
      <c r="P4261" s="37"/>
    </row>
    <row r="4262" spans="2:16" x14ac:dyDescent="0.25">
      <c r="B42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2" s="46"/>
      <c r="D4262" s="37"/>
      <c r="E4262" s="37"/>
      <c r="F4262" s="37"/>
      <c r="G4262" s="40" t="str">
        <f>IF(tblMovimientos[[#This Row],[Producto]]="","",TRIM(LEFT(tblMovimientos[[#This Row],[Producto]],FIND(" · ",tblMovimientos[[#This Row],[Producto]]&amp;" · ")-1)))</f>
        <v/>
      </c>
      <c r="H4262" s="40" t="str">
        <f>IF(tblMovimientos[[#This Row],[SKU]]="","",IFERROR(INDEX(tblProductos[Unidad],MATCH(tblMovimientos[[#This Row],[SKU]],tblProductos[SKU],0)),"?"))</f>
        <v/>
      </c>
      <c r="I4262" s="39"/>
      <c r="J4262" s="47" t="str">
        <f>IF(tblMovimientos[[#This Row],[Tipo]]="","",IFERROR(INDEX(tblTiposMov[FactorStock],MATCH(tblMovimientos[[#This Row],[Tipo]],tblTiposMov[Tipo],0)),0))</f>
        <v/>
      </c>
      <c r="K42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2" s="37"/>
      <c r="O4262" s="37"/>
      <c r="P4262" s="37"/>
    </row>
    <row r="4263" spans="2:16" x14ac:dyDescent="0.25">
      <c r="B42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3" s="46"/>
      <c r="D4263" s="37"/>
      <c r="E4263" s="37"/>
      <c r="F4263" s="37"/>
      <c r="G4263" s="40" t="str">
        <f>IF(tblMovimientos[[#This Row],[Producto]]="","",TRIM(LEFT(tblMovimientos[[#This Row],[Producto]],FIND(" · ",tblMovimientos[[#This Row],[Producto]]&amp;" · ")-1)))</f>
        <v/>
      </c>
      <c r="H4263" s="40" t="str">
        <f>IF(tblMovimientos[[#This Row],[SKU]]="","",IFERROR(INDEX(tblProductos[Unidad],MATCH(tblMovimientos[[#This Row],[SKU]],tblProductos[SKU],0)),"?"))</f>
        <v/>
      </c>
      <c r="I4263" s="39"/>
      <c r="J4263" s="47" t="str">
        <f>IF(tblMovimientos[[#This Row],[Tipo]]="","",IFERROR(INDEX(tblTiposMov[FactorStock],MATCH(tblMovimientos[[#This Row],[Tipo]],tblTiposMov[Tipo],0)),0))</f>
        <v/>
      </c>
      <c r="K42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3" s="37"/>
      <c r="O4263" s="37"/>
      <c r="P4263" s="37"/>
    </row>
    <row r="4264" spans="2:16" x14ac:dyDescent="0.25">
      <c r="B42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4" s="46"/>
      <c r="D4264" s="37"/>
      <c r="E4264" s="37"/>
      <c r="F4264" s="37"/>
      <c r="G4264" s="40" t="str">
        <f>IF(tblMovimientos[[#This Row],[Producto]]="","",TRIM(LEFT(tblMovimientos[[#This Row],[Producto]],FIND(" · ",tblMovimientos[[#This Row],[Producto]]&amp;" · ")-1)))</f>
        <v/>
      </c>
      <c r="H4264" s="40" t="str">
        <f>IF(tblMovimientos[[#This Row],[SKU]]="","",IFERROR(INDEX(tblProductos[Unidad],MATCH(tblMovimientos[[#This Row],[SKU]],tblProductos[SKU],0)),"?"))</f>
        <v/>
      </c>
      <c r="I4264" s="39"/>
      <c r="J4264" s="47" t="str">
        <f>IF(tblMovimientos[[#This Row],[Tipo]]="","",IFERROR(INDEX(tblTiposMov[FactorStock],MATCH(tblMovimientos[[#This Row],[Tipo]],tblTiposMov[Tipo],0)),0))</f>
        <v/>
      </c>
      <c r="K42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4" s="37"/>
      <c r="O4264" s="37"/>
      <c r="P4264" s="37"/>
    </row>
    <row r="4265" spans="2:16" x14ac:dyDescent="0.25">
      <c r="B42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5" s="46"/>
      <c r="D4265" s="37"/>
      <c r="E4265" s="37"/>
      <c r="F4265" s="37"/>
      <c r="G4265" s="40" t="str">
        <f>IF(tblMovimientos[[#This Row],[Producto]]="","",TRIM(LEFT(tblMovimientos[[#This Row],[Producto]],FIND(" · ",tblMovimientos[[#This Row],[Producto]]&amp;" · ")-1)))</f>
        <v/>
      </c>
      <c r="H4265" s="40" t="str">
        <f>IF(tblMovimientos[[#This Row],[SKU]]="","",IFERROR(INDEX(tblProductos[Unidad],MATCH(tblMovimientos[[#This Row],[SKU]],tblProductos[SKU],0)),"?"))</f>
        <v/>
      </c>
      <c r="I4265" s="39"/>
      <c r="J4265" s="47" t="str">
        <f>IF(tblMovimientos[[#This Row],[Tipo]]="","",IFERROR(INDEX(tblTiposMov[FactorStock],MATCH(tblMovimientos[[#This Row],[Tipo]],tblTiposMov[Tipo],0)),0))</f>
        <v/>
      </c>
      <c r="K42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5" s="37"/>
      <c r="O4265" s="37"/>
      <c r="P4265" s="37"/>
    </row>
    <row r="4266" spans="2:16" x14ac:dyDescent="0.25">
      <c r="B42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6" s="46"/>
      <c r="D4266" s="37"/>
      <c r="E4266" s="37"/>
      <c r="F4266" s="37"/>
      <c r="G4266" s="40" t="str">
        <f>IF(tblMovimientos[[#This Row],[Producto]]="","",TRIM(LEFT(tblMovimientos[[#This Row],[Producto]],FIND(" · ",tblMovimientos[[#This Row],[Producto]]&amp;" · ")-1)))</f>
        <v/>
      </c>
      <c r="H4266" s="40" t="str">
        <f>IF(tblMovimientos[[#This Row],[SKU]]="","",IFERROR(INDEX(tblProductos[Unidad],MATCH(tblMovimientos[[#This Row],[SKU]],tblProductos[SKU],0)),"?"))</f>
        <v/>
      </c>
      <c r="I4266" s="39"/>
      <c r="J4266" s="47" t="str">
        <f>IF(tblMovimientos[[#This Row],[Tipo]]="","",IFERROR(INDEX(tblTiposMov[FactorStock],MATCH(tblMovimientos[[#This Row],[Tipo]],tblTiposMov[Tipo],0)),0))</f>
        <v/>
      </c>
      <c r="K42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6" s="37"/>
      <c r="O4266" s="37"/>
      <c r="P4266" s="37"/>
    </row>
    <row r="4267" spans="2:16" x14ac:dyDescent="0.25">
      <c r="B42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7" s="46"/>
      <c r="D4267" s="37"/>
      <c r="E4267" s="37"/>
      <c r="F4267" s="37"/>
      <c r="G4267" s="40" t="str">
        <f>IF(tblMovimientos[[#This Row],[Producto]]="","",TRIM(LEFT(tblMovimientos[[#This Row],[Producto]],FIND(" · ",tblMovimientos[[#This Row],[Producto]]&amp;" · ")-1)))</f>
        <v/>
      </c>
      <c r="H4267" s="40" t="str">
        <f>IF(tblMovimientos[[#This Row],[SKU]]="","",IFERROR(INDEX(tblProductos[Unidad],MATCH(tblMovimientos[[#This Row],[SKU]],tblProductos[SKU],0)),"?"))</f>
        <v/>
      </c>
      <c r="I4267" s="39"/>
      <c r="J4267" s="47" t="str">
        <f>IF(tblMovimientos[[#This Row],[Tipo]]="","",IFERROR(INDEX(tblTiposMov[FactorStock],MATCH(tblMovimientos[[#This Row],[Tipo]],tblTiposMov[Tipo],0)),0))</f>
        <v/>
      </c>
      <c r="K42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7" s="37"/>
      <c r="O4267" s="37"/>
      <c r="P4267" s="37"/>
    </row>
    <row r="4268" spans="2:16" x14ac:dyDescent="0.25">
      <c r="B42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8" s="46"/>
      <c r="D4268" s="37"/>
      <c r="E4268" s="37"/>
      <c r="F4268" s="37"/>
      <c r="G4268" s="40" t="str">
        <f>IF(tblMovimientos[[#This Row],[Producto]]="","",TRIM(LEFT(tblMovimientos[[#This Row],[Producto]],FIND(" · ",tblMovimientos[[#This Row],[Producto]]&amp;" · ")-1)))</f>
        <v/>
      </c>
      <c r="H4268" s="40" t="str">
        <f>IF(tblMovimientos[[#This Row],[SKU]]="","",IFERROR(INDEX(tblProductos[Unidad],MATCH(tblMovimientos[[#This Row],[SKU]],tblProductos[SKU],0)),"?"))</f>
        <v/>
      </c>
      <c r="I4268" s="39"/>
      <c r="J4268" s="47" t="str">
        <f>IF(tblMovimientos[[#This Row],[Tipo]]="","",IFERROR(INDEX(tblTiposMov[FactorStock],MATCH(tblMovimientos[[#This Row],[Tipo]],tblTiposMov[Tipo],0)),0))</f>
        <v/>
      </c>
      <c r="K42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8" s="37"/>
      <c r="O4268" s="37"/>
      <c r="P4268" s="37"/>
    </row>
    <row r="4269" spans="2:16" x14ac:dyDescent="0.25">
      <c r="B42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69" s="46"/>
      <c r="D4269" s="37"/>
      <c r="E4269" s="37"/>
      <c r="F4269" s="37"/>
      <c r="G4269" s="40" t="str">
        <f>IF(tblMovimientos[[#This Row],[Producto]]="","",TRIM(LEFT(tblMovimientos[[#This Row],[Producto]],FIND(" · ",tblMovimientos[[#This Row],[Producto]]&amp;" · ")-1)))</f>
        <v/>
      </c>
      <c r="H4269" s="40" t="str">
        <f>IF(tblMovimientos[[#This Row],[SKU]]="","",IFERROR(INDEX(tblProductos[Unidad],MATCH(tblMovimientos[[#This Row],[SKU]],tblProductos[SKU],0)),"?"))</f>
        <v/>
      </c>
      <c r="I4269" s="39"/>
      <c r="J4269" s="47" t="str">
        <f>IF(tblMovimientos[[#This Row],[Tipo]]="","",IFERROR(INDEX(tblTiposMov[FactorStock],MATCH(tblMovimientos[[#This Row],[Tipo]],tblTiposMov[Tipo],0)),0))</f>
        <v/>
      </c>
      <c r="K42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69" s="37"/>
      <c r="O4269" s="37"/>
      <c r="P4269" s="37"/>
    </row>
    <row r="4270" spans="2:16" x14ac:dyDescent="0.25">
      <c r="B42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0" s="46"/>
      <c r="D4270" s="37"/>
      <c r="E4270" s="37"/>
      <c r="F4270" s="37"/>
      <c r="G4270" s="40" t="str">
        <f>IF(tblMovimientos[[#This Row],[Producto]]="","",TRIM(LEFT(tblMovimientos[[#This Row],[Producto]],FIND(" · ",tblMovimientos[[#This Row],[Producto]]&amp;" · ")-1)))</f>
        <v/>
      </c>
      <c r="H4270" s="40" t="str">
        <f>IF(tblMovimientos[[#This Row],[SKU]]="","",IFERROR(INDEX(tblProductos[Unidad],MATCH(tblMovimientos[[#This Row],[SKU]],tblProductos[SKU],0)),"?"))</f>
        <v/>
      </c>
      <c r="I4270" s="39"/>
      <c r="J4270" s="47" t="str">
        <f>IF(tblMovimientos[[#This Row],[Tipo]]="","",IFERROR(INDEX(tblTiposMov[FactorStock],MATCH(tblMovimientos[[#This Row],[Tipo]],tblTiposMov[Tipo],0)),0))</f>
        <v/>
      </c>
      <c r="K42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0" s="37"/>
      <c r="O4270" s="37"/>
      <c r="P4270" s="37"/>
    </row>
    <row r="4271" spans="2:16" x14ac:dyDescent="0.25">
      <c r="B42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1" s="46"/>
      <c r="D4271" s="37"/>
      <c r="E4271" s="37"/>
      <c r="F4271" s="37"/>
      <c r="G4271" s="40" t="str">
        <f>IF(tblMovimientos[[#This Row],[Producto]]="","",TRIM(LEFT(tblMovimientos[[#This Row],[Producto]],FIND(" · ",tblMovimientos[[#This Row],[Producto]]&amp;" · ")-1)))</f>
        <v/>
      </c>
      <c r="H4271" s="40" t="str">
        <f>IF(tblMovimientos[[#This Row],[SKU]]="","",IFERROR(INDEX(tblProductos[Unidad],MATCH(tblMovimientos[[#This Row],[SKU]],tblProductos[SKU],0)),"?"))</f>
        <v/>
      </c>
      <c r="I4271" s="39"/>
      <c r="J4271" s="47" t="str">
        <f>IF(tblMovimientos[[#This Row],[Tipo]]="","",IFERROR(INDEX(tblTiposMov[FactorStock],MATCH(tblMovimientos[[#This Row],[Tipo]],tblTiposMov[Tipo],0)),0))</f>
        <v/>
      </c>
      <c r="K42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1" s="37"/>
      <c r="O4271" s="37"/>
      <c r="P4271" s="37"/>
    </row>
    <row r="4272" spans="2:16" x14ac:dyDescent="0.25">
      <c r="B42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2" s="46"/>
      <c r="D4272" s="37"/>
      <c r="E4272" s="37"/>
      <c r="F4272" s="37"/>
      <c r="G4272" s="40" t="str">
        <f>IF(tblMovimientos[[#This Row],[Producto]]="","",TRIM(LEFT(tblMovimientos[[#This Row],[Producto]],FIND(" · ",tblMovimientos[[#This Row],[Producto]]&amp;" · ")-1)))</f>
        <v/>
      </c>
      <c r="H4272" s="40" t="str">
        <f>IF(tblMovimientos[[#This Row],[SKU]]="","",IFERROR(INDEX(tblProductos[Unidad],MATCH(tblMovimientos[[#This Row],[SKU]],tblProductos[SKU],0)),"?"))</f>
        <v/>
      </c>
      <c r="I4272" s="39"/>
      <c r="J4272" s="47" t="str">
        <f>IF(tblMovimientos[[#This Row],[Tipo]]="","",IFERROR(INDEX(tblTiposMov[FactorStock],MATCH(tblMovimientos[[#This Row],[Tipo]],tblTiposMov[Tipo],0)),0))</f>
        <v/>
      </c>
      <c r="K42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2" s="37"/>
      <c r="O4272" s="37"/>
      <c r="P4272" s="37"/>
    </row>
    <row r="4273" spans="2:16" x14ac:dyDescent="0.25">
      <c r="B42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3" s="46"/>
      <c r="D4273" s="37"/>
      <c r="E4273" s="37"/>
      <c r="F4273" s="37"/>
      <c r="G4273" s="40" t="str">
        <f>IF(tblMovimientos[[#This Row],[Producto]]="","",TRIM(LEFT(tblMovimientos[[#This Row],[Producto]],FIND(" · ",tblMovimientos[[#This Row],[Producto]]&amp;" · ")-1)))</f>
        <v/>
      </c>
      <c r="H4273" s="40" t="str">
        <f>IF(tblMovimientos[[#This Row],[SKU]]="","",IFERROR(INDEX(tblProductos[Unidad],MATCH(tblMovimientos[[#This Row],[SKU]],tblProductos[SKU],0)),"?"))</f>
        <v/>
      </c>
      <c r="I4273" s="39"/>
      <c r="J4273" s="47" t="str">
        <f>IF(tblMovimientos[[#This Row],[Tipo]]="","",IFERROR(INDEX(tblTiposMov[FactorStock],MATCH(tblMovimientos[[#This Row],[Tipo]],tblTiposMov[Tipo],0)),0))</f>
        <v/>
      </c>
      <c r="K42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3" s="37"/>
      <c r="O4273" s="37"/>
      <c r="P4273" s="37"/>
    </row>
    <row r="4274" spans="2:16" x14ac:dyDescent="0.25">
      <c r="B42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4" s="46"/>
      <c r="D4274" s="37"/>
      <c r="E4274" s="37"/>
      <c r="F4274" s="37"/>
      <c r="G4274" s="40" t="str">
        <f>IF(tblMovimientos[[#This Row],[Producto]]="","",TRIM(LEFT(tblMovimientos[[#This Row],[Producto]],FIND(" · ",tblMovimientos[[#This Row],[Producto]]&amp;" · ")-1)))</f>
        <v/>
      </c>
      <c r="H4274" s="40" t="str">
        <f>IF(tblMovimientos[[#This Row],[SKU]]="","",IFERROR(INDEX(tblProductos[Unidad],MATCH(tblMovimientos[[#This Row],[SKU]],tblProductos[SKU],0)),"?"))</f>
        <v/>
      </c>
      <c r="I4274" s="39"/>
      <c r="J4274" s="47" t="str">
        <f>IF(tblMovimientos[[#This Row],[Tipo]]="","",IFERROR(INDEX(tblTiposMov[FactorStock],MATCH(tblMovimientos[[#This Row],[Tipo]],tblTiposMov[Tipo],0)),0))</f>
        <v/>
      </c>
      <c r="K42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4" s="37"/>
      <c r="O4274" s="37"/>
      <c r="P4274" s="37"/>
    </row>
    <row r="4275" spans="2:16" x14ac:dyDescent="0.25">
      <c r="B42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5" s="46"/>
      <c r="D4275" s="37"/>
      <c r="E4275" s="37"/>
      <c r="F4275" s="37"/>
      <c r="G4275" s="40" t="str">
        <f>IF(tblMovimientos[[#This Row],[Producto]]="","",TRIM(LEFT(tblMovimientos[[#This Row],[Producto]],FIND(" · ",tblMovimientos[[#This Row],[Producto]]&amp;" · ")-1)))</f>
        <v/>
      </c>
      <c r="H4275" s="40" t="str">
        <f>IF(tblMovimientos[[#This Row],[SKU]]="","",IFERROR(INDEX(tblProductos[Unidad],MATCH(tblMovimientos[[#This Row],[SKU]],tblProductos[SKU],0)),"?"))</f>
        <v/>
      </c>
      <c r="I4275" s="39"/>
      <c r="J4275" s="47" t="str">
        <f>IF(tblMovimientos[[#This Row],[Tipo]]="","",IFERROR(INDEX(tblTiposMov[FactorStock],MATCH(tblMovimientos[[#This Row],[Tipo]],tblTiposMov[Tipo],0)),0))</f>
        <v/>
      </c>
      <c r="K42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5" s="37"/>
      <c r="O4275" s="37"/>
      <c r="P4275" s="37"/>
    </row>
    <row r="4276" spans="2:16" x14ac:dyDescent="0.25">
      <c r="B42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6" s="46"/>
      <c r="D4276" s="37"/>
      <c r="E4276" s="37"/>
      <c r="F4276" s="37"/>
      <c r="G4276" s="40" t="str">
        <f>IF(tblMovimientos[[#This Row],[Producto]]="","",TRIM(LEFT(tblMovimientos[[#This Row],[Producto]],FIND(" · ",tblMovimientos[[#This Row],[Producto]]&amp;" · ")-1)))</f>
        <v/>
      </c>
      <c r="H4276" s="40" t="str">
        <f>IF(tblMovimientos[[#This Row],[SKU]]="","",IFERROR(INDEX(tblProductos[Unidad],MATCH(tblMovimientos[[#This Row],[SKU]],tblProductos[SKU],0)),"?"))</f>
        <v/>
      </c>
      <c r="I4276" s="39"/>
      <c r="J4276" s="47" t="str">
        <f>IF(tblMovimientos[[#This Row],[Tipo]]="","",IFERROR(INDEX(tblTiposMov[FactorStock],MATCH(tblMovimientos[[#This Row],[Tipo]],tblTiposMov[Tipo],0)),0))</f>
        <v/>
      </c>
      <c r="K42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6" s="37"/>
      <c r="O4276" s="37"/>
      <c r="P4276" s="37"/>
    </row>
    <row r="4277" spans="2:16" x14ac:dyDescent="0.25">
      <c r="B42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7" s="46"/>
      <c r="D4277" s="37"/>
      <c r="E4277" s="37"/>
      <c r="F4277" s="37"/>
      <c r="G4277" s="40" t="str">
        <f>IF(tblMovimientos[[#This Row],[Producto]]="","",TRIM(LEFT(tblMovimientos[[#This Row],[Producto]],FIND(" · ",tblMovimientos[[#This Row],[Producto]]&amp;" · ")-1)))</f>
        <v/>
      </c>
      <c r="H4277" s="40" t="str">
        <f>IF(tblMovimientos[[#This Row],[SKU]]="","",IFERROR(INDEX(tblProductos[Unidad],MATCH(tblMovimientos[[#This Row],[SKU]],tblProductos[SKU],0)),"?"))</f>
        <v/>
      </c>
      <c r="I4277" s="39"/>
      <c r="J4277" s="47" t="str">
        <f>IF(tblMovimientos[[#This Row],[Tipo]]="","",IFERROR(INDEX(tblTiposMov[FactorStock],MATCH(tblMovimientos[[#This Row],[Tipo]],tblTiposMov[Tipo],0)),0))</f>
        <v/>
      </c>
      <c r="K42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7" s="37"/>
      <c r="O4277" s="37"/>
      <c r="P4277" s="37"/>
    </row>
    <row r="4278" spans="2:16" x14ac:dyDescent="0.25">
      <c r="B42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8" s="46"/>
      <c r="D4278" s="37"/>
      <c r="E4278" s="37"/>
      <c r="F4278" s="37"/>
      <c r="G4278" s="40" t="str">
        <f>IF(tblMovimientos[[#This Row],[Producto]]="","",TRIM(LEFT(tblMovimientos[[#This Row],[Producto]],FIND(" · ",tblMovimientos[[#This Row],[Producto]]&amp;" · ")-1)))</f>
        <v/>
      </c>
      <c r="H4278" s="40" t="str">
        <f>IF(tblMovimientos[[#This Row],[SKU]]="","",IFERROR(INDEX(tblProductos[Unidad],MATCH(tblMovimientos[[#This Row],[SKU]],tblProductos[SKU],0)),"?"))</f>
        <v/>
      </c>
      <c r="I4278" s="39"/>
      <c r="J4278" s="47" t="str">
        <f>IF(tblMovimientos[[#This Row],[Tipo]]="","",IFERROR(INDEX(tblTiposMov[FactorStock],MATCH(tblMovimientos[[#This Row],[Tipo]],tblTiposMov[Tipo],0)),0))</f>
        <v/>
      </c>
      <c r="K42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8" s="37"/>
      <c r="O4278" s="37"/>
      <c r="P4278" s="37"/>
    </row>
    <row r="4279" spans="2:16" x14ac:dyDescent="0.25">
      <c r="B42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79" s="46"/>
      <c r="D4279" s="37"/>
      <c r="E4279" s="37"/>
      <c r="F4279" s="37"/>
      <c r="G4279" s="40" t="str">
        <f>IF(tblMovimientos[[#This Row],[Producto]]="","",TRIM(LEFT(tblMovimientos[[#This Row],[Producto]],FIND(" · ",tblMovimientos[[#This Row],[Producto]]&amp;" · ")-1)))</f>
        <v/>
      </c>
      <c r="H4279" s="40" t="str">
        <f>IF(tblMovimientos[[#This Row],[SKU]]="","",IFERROR(INDEX(tblProductos[Unidad],MATCH(tblMovimientos[[#This Row],[SKU]],tblProductos[SKU],0)),"?"))</f>
        <v/>
      </c>
      <c r="I4279" s="39"/>
      <c r="J4279" s="47" t="str">
        <f>IF(tblMovimientos[[#This Row],[Tipo]]="","",IFERROR(INDEX(tblTiposMov[FactorStock],MATCH(tblMovimientos[[#This Row],[Tipo]],tblTiposMov[Tipo],0)),0))</f>
        <v/>
      </c>
      <c r="K42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79" s="37"/>
      <c r="O4279" s="37"/>
      <c r="P4279" s="37"/>
    </row>
    <row r="4280" spans="2:16" x14ac:dyDescent="0.25">
      <c r="B42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0" s="46"/>
      <c r="D4280" s="37"/>
      <c r="E4280" s="37"/>
      <c r="F4280" s="37"/>
      <c r="G4280" s="40" t="str">
        <f>IF(tblMovimientos[[#This Row],[Producto]]="","",TRIM(LEFT(tblMovimientos[[#This Row],[Producto]],FIND(" · ",tblMovimientos[[#This Row],[Producto]]&amp;" · ")-1)))</f>
        <v/>
      </c>
      <c r="H4280" s="40" t="str">
        <f>IF(tblMovimientos[[#This Row],[SKU]]="","",IFERROR(INDEX(tblProductos[Unidad],MATCH(tblMovimientos[[#This Row],[SKU]],tblProductos[SKU],0)),"?"))</f>
        <v/>
      </c>
      <c r="I4280" s="39"/>
      <c r="J4280" s="47" t="str">
        <f>IF(tblMovimientos[[#This Row],[Tipo]]="","",IFERROR(INDEX(tblTiposMov[FactorStock],MATCH(tblMovimientos[[#This Row],[Tipo]],tblTiposMov[Tipo],0)),0))</f>
        <v/>
      </c>
      <c r="K42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0" s="37"/>
      <c r="O4280" s="37"/>
      <c r="P4280" s="37"/>
    </row>
    <row r="4281" spans="2:16" x14ac:dyDescent="0.25">
      <c r="B42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1" s="46"/>
      <c r="D4281" s="37"/>
      <c r="E4281" s="37"/>
      <c r="F4281" s="37"/>
      <c r="G4281" s="40" t="str">
        <f>IF(tblMovimientos[[#This Row],[Producto]]="","",TRIM(LEFT(tblMovimientos[[#This Row],[Producto]],FIND(" · ",tblMovimientos[[#This Row],[Producto]]&amp;" · ")-1)))</f>
        <v/>
      </c>
      <c r="H4281" s="40" t="str">
        <f>IF(tblMovimientos[[#This Row],[SKU]]="","",IFERROR(INDEX(tblProductos[Unidad],MATCH(tblMovimientos[[#This Row],[SKU]],tblProductos[SKU],0)),"?"))</f>
        <v/>
      </c>
      <c r="I4281" s="39"/>
      <c r="J4281" s="47" t="str">
        <f>IF(tblMovimientos[[#This Row],[Tipo]]="","",IFERROR(INDEX(tblTiposMov[FactorStock],MATCH(tblMovimientos[[#This Row],[Tipo]],tblTiposMov[Tipo],0)),0))</f>
        <v/>
      </c>
      <c r="K42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1" s="37"/>
      <c r="O4281" s="37"/>
      <c r="P4281" s="37"/>
    </row>
    <row r="4282" spans="2:16" x14ac:dyDescent="0.25">
      <c r="B42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2" s="46"/>
      <c r="D4282" s="37"/>
      <c r="E4282" s="37"/>
      <c r="F4282" s="37"/>
      <c r="G4282" s="40" t="str">
        <f>IF(tblMovimientos[[#This Row],[Producto]]="","",TRIM(LEFT(tblMovimientos[[#This Row],[Producto]],FIND(" · ",tblMovimientos[[#This Row],[Producto]]&amp;" · ")-1)))</f>
        <v/>
      </c>
      <c r="H4282" s="40" t="str">
        <f>IF(tblMovimientos[[#This Row],[SKU]]="","",IFERROR(INDEX(tblProductos[Unidad],MATCH(tblMovimientos[[#This Row],[SKU]],tblProductos[SKU],0)),"?"))</f>
        <v/>
      </c>
      <c r="I4282" s="39"/>
      <c r="J4282" s="47" t="str">
        <f>IF(tblMovimientos[[#This Row],[Tipo]]="","",IFERROR(INDEX(tblTiposMov[FactorStock],MATCH(tblMovimientos[[#This Row],[Tipo]],tblTiposMov[Tipo],0)),0))</f>
        <v/>
      </c>
      <c r="K42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2" s="37"/>
      <c r="O4282" s="37"/>
      <c r="P4282" s="37"/>
    </row>
    <row r="4283" spans="2:16" x14ac:dyDescent="0.25">
      <c r="B42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3" s="46"/>
      <c r="D4283" s="37"/>
      <c r="E4283" s="37"/>
      <c r="F4283" s="37"/>
      <c r="G4283" s="40" t="str">
        <f>IF(tblMovimientos[[#This Row],[Producto]]="","",TRIM(LEFT(tblMovimientos[[#This Row],[Producto]],FIND(" · ",tblMovimientos[[#This Row],[Producto]]&amp;" · ")-1)))</f>
        <v/>
      </c>
      <c r="H4283" s="40" t="str">
        <f>IF(tblMovimientos[[#This Row],[SKU]]="","",IFERROR(INDEX(tblProductos[Unidad],MATCH(tblMovimientos[[#This Row],[SKU]],tblProductos[SKU],0)),"?"))</f>
        <v/>
      </c>
      <c r="I4283" s="39"/>
      <c r="J4283" s="47" t="str">
        <f>IF(tblMovimientos[[#This Row],[Tipo]]="","",IFERROR(INDEX(tblTiposMov[FactorStock],MATCH(tblMovimientos[[#This Row],[Tipo]],tblTiposMov[Tipo],0)),0))</f>
        <v/>
      </c>
      <c r="K42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3" s="37"/>
      <c r="O4283" s="37"/>
      <c r="P4283" s="37"/>
    </row>
    <row r="4284" spans="2:16" x14ac:dyDescent="0.25">
      <c r="B42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4" s="46"/>
      <c r="D4284" s="37"/>
      <c r="E4284" s="37"/>
      <c r="F4284" s="37"/>
      <c r="G4284" s="40" t="str">
        <f>IF(tblMovimientos[[#This Row],[Producto]]="","",TRIM(LEFT(tblMovimientos[[#This Row],[Producto]],FIND(" · ",tblMovimientos[[#This Row],[Producto]]&amp;" · ")-1)))</f>
        <v/>
      </c>
      <c r="H4284" s="40" t="str">
        <f>IF(tblMovimientos[[#This Row],[SKU]]="","",IFERROR(INDEX(tblProductos[Unidad],MATCH(tblMovimientos[[#This Row],[SKU]],tblProductos[SKU],0)),"?"))</f>
        <v/>
      </c>
      <c r="I4284" s="39"/>
      <c r="J4284" s="47" t="str">
        <f>IF(tblMovimientos[[#This Row],[Tipo]]="","",IFERROR(INDEX(tblTiposMov[FactorStock],MATCH(tblMovimientos[[#This Row],[Tipo]],tblTiposMov[Tipo],0)),0))</f>
        <v/>
      </c>
      <c r="K42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4" s="37"/>
      <c r="O4284" s="37"/>
      <c r="P4284" s="37"/>
    </row>
    <row r="4285" spans="2:16" x14ac:dyDescent="0.25">
      <c r="B42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5" s="46"/>
      <c r="D4285" s="37"/>
      <c r="E4285" s="37"/>
      <c r="F4285" s="37"/>
      <c r="G4285" s="40" t="str">
        <f>IF(tblMovimientos[[#This Row],[Producto]]="","",TRIM(LEFT(tblMovimientos[[#This Row],[Producto]],FIND(" · ",tblMovimientos[[#This Row],[Producto]]&amp;" · ")-1)))</f>
        <v/>
      </c>
      <c r="H4285" s="40" t="str">
        <f>IF(tblMovimientos[[#This Row],[SKU]]="","",IFERROR(INDEX(tblProductos[Unidad],MATCH(tblMovimientos[[#This Row],[SKU]],tblProductos[SKU],0)),"?"))</f>
        <v/>
      </c>
      <c r="I4285" s="39"/>
      <c r="J4285" s="47" t="str">
        <f>IF(tblMovimientos[[#This Row],[Tipo]]="","",IFERROR(INDEX(tblTiposMov[FactorStock],MATCH(tblMovimientos[[#This Row],[Tipo]],tblTiposMov[Tipo],0)),0))</f>
        <v/>
      </c>
      <c r="K42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5" s="37"/>
      <c r="O4285" s="37"/>
      <c r="P4285" s="37"/>
    </row>
    <row r="4286" spans="2:16" x14ac:dyDescent="0.25">
      <c r="B42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6" s="46"/>
      <c r="D4286" s="37"/>
      <c r="E4286" s="37"/>
      <c r="F4286" s="37"/>
      <c r="G4286" s="40" t="str">
        <f>IF(tblMovimientos[[#This Row],[Producto]]="","",TRIM(LEFT(tblMovimientos[[#This Row],[Producto]],FIND(" · ",tblMovimientos[[#This Row],[Producto]]&amp;" · ")-1)))</f>
        <v/>
      </c>
      <c r="H4286" s="40" t="str">
        <f>IF(tblMovimientos[[#This Row],[SKU]]="","",IFERROR(INDEX(tblProductos[Unidad],MATCH(tblMovimientos[[#This Row],[SKU]],tblProductos[SKU],0)),"?"))</f>
        <v/>
      </c>
      <c r="I4286" s="39"/>
      <c r="J4286" s="47" t="str">
        <f>IF(tblMovimientos[[#This Row],[Tipo]]="","",IFERROR(INDEX(tblTiposMov[FactorStock],MATCH(tblMovimientos[[#This Row],[Tipo]],tblTiposMov[Tipo],0)),0))</f>
        <v/>
      </c>
      <c r="K42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6" s="37"/>
      <c r="O4286" s="37"/>
      <c r="P4286" s="37"/>
    </row>
    <row r="4287" spans="2:16" x14ac:dyDescent="0.25">
      <c r="B42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7" s="46"/>
      <c r="D4287" s="37"/>
      <c r="E4287" s="37"/>
      <c r="F4287" s="37"/>
      <c r="G4287" s="40" t="str">
        <f>IF(tblMovimientos[[#This Row],[Producto]]="","",TRIM(LEFT(tblMovimientos[[#This Row],[Producto]],FIND(" · ",tblMovimientos[[#This Row],[Producto]]&amp;" · ")-1)))</f>
        <v/>
      </c>
      <c r="H4287" s="40" t="str">
        <f>IF(tblMovimientos[[#This Row],[SKU]]="","",IFERROR(INDEX(tblProductos[Unidad],MATCH(tblMovimientos[[#This Row],[SKU]],tblProductos[SKU],0)),"?"))</f>
        <v/>
      </c>
      <c r="I4287" s="39"/>
      <c r="J4287" s="47" t="str">
        <f>IF(tblMovimientos[[#This Row],[Tipo]]="","",IFERROR(INDEX(tblTiposMov[FactorStock],MATCH(tblMovimientos[[#This Row],[Tipo]],tblTiposMov[Tipo],0)),0))</f>
        <v/>
      </c>
      <c r="K42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7" s="37"/>
      <c r="O4287" s="37"/>
      <c r="P4287" s="37"/>
    </row>
    <row r="4288" spans="2:16" x14ac:dyDescent="0.25">
      <c r="B42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8" s="46"/>
      <c r="D4288" s="37"/>
      <c r="E4288" s="37"/>
      <c r="F4288" s="37"/>
      <c r="G4288" s="40" t="str">
        <f>IF(tblMovimientos[[#This Row],[Producto]]="","",TRIM(LEFT(tblMovimientos[[#This Row],[Producto]],FIND(" · ",tblMovimientos[[#This Row],[Producto]]&amp;" · ")-1)))</f>
        <v/>
      </c>
      <c r="H4288" s="40" t="str">
        <f>IF(tblMovimientos[[#This Row],[SKU]]="","",IFERROR(INDEX(tblProductos[Unidad],MATCH(tblMovimientos[[#This Row],[SKU]],tblProductos[SKU],0)),"?"))</f>
        <v/>
      </c>
      <c r="I4288" s="39"/>
      <c r="J4288" s="47" t="str">
        <f>IF(tblMovimientos[[#This Row],[Tipo]]="","",IFERROR(INDEX(tblTiposMov[FactorStock],MATCH(tblMovimientos[[#This Row],[Tipo]],tblTiposMov[Tipo],0)),0))</f>
        <v/>
      </c>
      <c r="K42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8" s="37"/>
      <c r="O4288" s="37"/>
      <c r="P4288" s="37"/>
    </row>
    <row r="4289" spans="2:16" x14ac:dyDescent="0.25">
      <c r="B42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89" s="46"/>
      <c r="D4289" s="37"/>
      <c r="E4289" s="37"/>
      <c r="F4289" s="37"/>
      <c r="G4289" s="40" t="str">
        <f>IF(tblMovimientos[[#This Row],[Producto]]="","",TRIM(LEFT(tblMovimientos[[#This Row],[Producto]],FIND(" · ",tblMovimientos[[#This Row],[Producto]]&amp;" · ")-1)))</f>
        <v/>
      </c>
      <c r="H4289" s="40" t="str">
        <f>IF(tblMovimientos[[#This Row],[SKU]]="","",IFERROR(INDEX(tblProductos[Unidad],MATCH(tblMovimientos[[#This Row],[SKU]],tblProductos[SKU],0)),"?"))</f>
        <v/>
      </c>
      <c r="I4289" s="39"/>
      <c r="J4289" s="47" t="str">
        <f>IF(tblMovimientos[[#This Row],[Tipo]]="","",IFERROR(INDEX(tblTiposMov[FactorStock],MATCH(tblMovimientos[[#This Row],[Tipo]],tblTiposMov[Tipo],0)),0))</f>
        <v/>
      </c>
      <c r="K42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89" s="37"/>
      <c r="O4289" s="37"/>
      <c r="P4289" s="37"/>
    </row>
    <row r="4290" spans="2:16" x14ac:dyDescent="0.25">
      <c r="B42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0" s="46"/>
      <c r="D4290" s="37"/>
      <c r="E4290" s="37"/>
      <c r="F4290" s="37"/>
      <c r="G4290" s="40" t="str">
        <f>IF(tblMovimientos[[#This Row],[Producto]]="","",TRIM(LEFT(tblMovimientos[[#This Row],[Producto]],FIND(" · ",tblMovimientos[[#This Row],[Producto]]&amp;" · ")-1)))</f>
        <v/>
      </c>
      <c r="H4290" s="40" t="str">
        <f>IF(tblMovimientos[[#This Row],[SKU]]="","",IFERROR(INDEX(tblProductos[Unidad],MATCH(tblMovimientos[[#This Row],[SKU]],tblProductos[SKU],0)),"?"))</f>
        <v/>
      </c>
      <c r="I4290" s="39"/>
      <c r="J4290" s="47" t="str">
        <f>IF(tblMovimientos[[#This Row],[Tipo]]="","",IFERROR(INDEX(tblTiposMov[FactorStock],MATCH(tblMovimientos[[#This Row],[Tipo]],tblTiposMov[Tipo],0)),0))</f>
        <v/>
      </c>
      <c r="K42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0" s="37"/>
      <c r="O4290" s="37"/>
      <c r="P4290" s="37"/>
    </row>
    <row r="4291" spans="2:16" x14ac:dyDescent="0.25">
      <c r="B42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1" s="46"/>
      <c r="D4291" s="37"/>
      <c r="E4291" s="37"/>
      <c r="F4291" s="37"/>
      <c r="G4291" s="40" t="str">
        <f>IF(tblMovimientos[[#This Row],[Producto]]="","",TRIM(LEFT(tblMovimientos[[#This Row],[Producto]],FIND(" · ",tblMovimientos[[#This Row],[Producto]]&amp;" · ")-1)))</f>
        <v/>
      </c>
      <c r="H4291" s="40" t="str">
        <f>IF(tblMovimientos[[#This Row],[SKU]]="","",IFERROR(INDEX(tblProductos[Unidad],MATCH(tblMovimientos[[#This Row],[SKU]],tblProductos[SKU],0)),"?"))</f>
        <v/>
      </c>
      <c r="I4291" s="39"/>
      <c r="J4291" s="47" t="str">
        <f>IF(tblMovimientos[[#This Row],[Tipo]]="","",IFERROR(INDEX(tblTiposMov[FactorStock],MATCH(tblMovimientos[[#This Row],[Tipo]],tblTiposMov[Tipo],0)),0))</f>
        <v/>
      </c>
      <c r="K42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1" s="37"/>
      <c r="O4291" s="37"/>
      <c r="P4291" s="37"/>
    </row>
    <row r="4292" spans="2:16" x14ac:dyDescent="0.25">
      <c r="B42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2" s="46"/>
      <c r="D4292" s="37"/>
      <c r="E4292" s="37"/>
      <c r="F4292" s="37"/>
      <c r="G4292" s="40" t="str">
        <f>IF(tblMovimientos[[#This Row],[Producto]]="","",TRIM(LEFT(tblMovimientos[[#This Row],[Producto]],FIND(" · ",tblMovimientos[[#This Row],[Producto]]&amp;" · ")-1)))</f>
        <v/>
      </c>
      <c r="H4292" s="40" t="str">
        <f>IF(tblMovimientos[[#This Row],[SKU]]="","",IFERROR(INDEX(tblProductos[Unidad],MATCH(tblMovimientos[[#This Row],[SKU]],tblProductos[SKU],0)),"?"))</f>
        <v/>
      </c>
      <c r="I4292" s="39"/>
      <c r="J4292" s="47" t="str">
        <f>IF(tblMovimientos[[#This Row],[Tipo]]="","",IFERROR(INDEX(tblTiposMov[FactorStock],MATCH(tblMovimientos[[#This Row],[Tipo]],tblTiposMov[Tipo],0)),0))</f>
        <v/>
      </c>
      <c r="K42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2" s="37"/>
      <c r="O4292" s="37"/>
      <c r="P4292" s="37"/>
    </row>
    <row r="4293" spans="2:16" x14ac:dyDescent="0.25">
      <c r="B42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3" s="46"/>
      <c r="D4293" s="37"/>
      <c r="E4293" s="37"/>
      <c r="F4293" s="37"/>
      <c r="G4293" s="40" t="str">
        <f>IF(tblMovimientos[[#This Row],[Producto]]="","",TRIM(LEFT(tblMovimientos[[#This Row],[Producto]],FIND(" · ",tblMovimientos[[#This Row],[Producto]]&amp;" · ")-1)))</f>
        <v/>
      </c>
      <c r="H4293" s="40" t="str">
        <f>IF(tblMovimientos[[#This Row],[SKU]]="","",IFERROR(INDEX(tblProductos[Unidad],MATCH(tblMovimientos[[#This Row],[SKU]],tblProductos[SKU],0)),"?"))</f>
        <v/>
      </c>
      <c r="I4293" s="39"/>
      <c r="J4293" s="47" t="str">
        <f>IF(tblMovimientos[[#This Row],[Tipo]]="","",IFERROR(INDEX(tblTiposMov[FactorStock],MATCH(tblMovimientos[[#This Row],[Tipo]],tblTiposMov[Tipo],0)),0))</f>
        <v/>
      </c>
      <c r="K42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3" s="37"/>
      <c r="O4293" s="37"/>
      <c r="P4293" s="37"/>
    </row>
    <row r="4294" spans="2:16" x14ac:dyDescent="0.25">
      <c r="B42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4" s="46"/>
      <c r="D4294" s="37"/>
      <c r="E4294" s="37"/>
      <c r="F4294" s="37"/>
      <c r="G4294" s="40" t="str">
        <f>IF(tblMovimientos[[#This Row],[Producto]]="","",TRIM(LEFT(tblMovimientos[[#This Row],[Producto]],FIND(" · ",tblMovimientos[[#This Row],[Producto]]&amp;" · ")-1)))</f>
        <v/>
      </c>
      <c r="H4294" s="40" t="str">
        <f>IF(tblMovimientos[[#This Row],[SKU]]="","",IFERROR(INDEX(tblProductos[Unidad],MATCH(tblMovimientos[[#This Row],[SKU]],tblProductos[SKU],0)),"?"))</f>
        <v/>
      </c>
      <c r="I4294" s="39"/>
      <c r="J4294" s="47" t="str">
        <f>IF(tblMovimientos[[#This Row],[Tipo]]="","",IFERROR(INDEX(tblTiposMov[FactorStock],MATCH(tblMovimientos[[#This Row],[Tipo]],tblTiposMov[Tipo],0)),0))</f>
        <v/>
      </c>
      <c r="K42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4" s="37"/>
      <c r="O4294" s="37"/>
      <c r="P4294" s="37"/>
    </row>
    <row r="4295" spans="2:16" x14ac:dyDescent="0.25">
      <c r="B42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5" s="46"/>
      <c r="D4295" s="37"/>
      <c r="E4295" s="37"/>
      <c r="F4295" s="37"/>
      <c r="G4295" s="40" t="str">
        <f>IF(tblMovimientos[[#This Row],[Producto]]="","",TRIM(LEFT(tblMovimientos[[#This Row],[Producto]],FIND(" · ",tblMovimientos[[#This Row],[Producto]]&amp;" · ")-1)))</f>
        <v/>
      </c>
      <c r="H4295" s="40" t="str">
        <f>IF(tblMovimientos[[#This Row],[SKU]]="","",IFERROR(INDEX(tblProductos[Unidad],MATCH(tblMovimientos[[#This Row],[SKU]],tblProductos[SKU],0)),"?"))</f>
        <v/>
      </c>
      <c r="I4295" s="39"/>
      <c r="J4295" s="47" t="str">
        <f>IF(tblMovimientos[[#This Row],[Tipo]]="","",IFERROR(INDEX(tblTiposMov[FactorStock],MATCH(tblMovimientos[[#This Row],[Tipo]],tblTiposMov[Tipo],0)),0))</f>
        <v/>
      </c>
      <c r="K42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5" s="37"/>
      <c r="O4295" s="37"/>
      <c r="P4295" s="37"/>
    </row>
    <row r="4296" spans="2:16" x14ac:dyDescent="0.25">
      <c r="B42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6" s="46"/>
      <c r="D4296" s="37"/>
      <c r="E4296" s="37"/>
      <c r="F4296" s="37"/>
      <c r="G4296" s="40" t="str">
        <f>IF(tblMovimientos[[#This Row],[Producto]]="","",TRIM(LEFT(tblMovimientos[[#This Row],[Producto]],FIND(" · ",tblMovimientos[[#This Row],[Producto]]&amp;" · ")-1)))</f>
        <v/>
      </c>
      <c r="H4296" s="40" t="str">
        <f>IF(tblMovimientos[[#This Row],[SKU]]="","",IFERROR(INDEX(tblProductos[Unidad],MATCH(tblMovimientos[[#This Row],[SKU]],tblProductos[SKU],0)),"?"))</f>
        <v/>
      </c>
      <c r="I4296" s="39"/>
      <c r="J4296" s="47" t="str">
        <f>IF(tblMovimientos[[#This Row],[Tipo]]="","",IFERROR(INDEX(tblTiposMov[FactorStock],MATCH(tblMovimientos[[#This Row],[Tipo]],tblTiposMov[Tipo],0)),0))</f>
        <v/>
      </c>
      <c r="K42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6" s="37"/>
      <c r="O4296" s="37"/>
      <c r="P4296" s="37"/>
    </row>
    <row r="4297" spans="2:16" x14ac:dyDescent="0.25">
      <c r="B42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7" s="46"/>
      <c r="D4297" s="37"/>
      <c r="E4297" s="37"/>
      <c r="F4297" s="37"/>
      <c r="G4297" s="40" t="str">
        <f>IF(tblMovimientos[[#This Row],[Producto]]="","",TRIM(LEFT(tblMovimientos[[#This Row],[Producto]],FIND(" · ",tblMovimientos[[#This Row],[Producto]]&amp;" · ")-1)))</f>
        <v/>
      </c>
      <c r="H4297" s="40" t="str">
        <f>IF(tblMovimientos[[#This Row],[SKU]]="","",IFERROR(INDEX(tblProductos[Unidad],MATCH(tblMovimientos[[#This Row],[SKU]],tblProductos[SKU],0)),"?"))</f>
        <v/>
      </c>
      <c r="I4297" s="39"/>
      <c r="J4297" s="47" t="str">
        <f>IF(tblMovimientos[[#This Row],[Tipo]]="","",IFERROR(INDEX(tblTiposMov[FactorStock],MATCH(tblMovimientos[[#This Row],[Tipo]],tblTiposMov[Tipo],0)),0))</f>
        <v/>
      </c>
      <c r="K42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7" s="37"/>
      <c r="O4297" s="37"/>
      <c r="P4297" s="37"/>
    </row>
    <row r="4298" spans="2:16" x14ac:dyDescent="0.25">
      <c r="B42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8" s="46"/>
      <c r="D4298" s="37"/>
      <c r="E4298" s="37"/>
      <c r="F4298" s="37"/>
      <c r="G4298" s="40" t="str">
        <f>IF(tblMovimientos[[#This Row],[Producto]]="","",TRIM(LEFT(tblMovimientos[[#This Row],[Producto]],FIND(" · ",tblMovimientos[[#This Row],[Producto]]&amp;" · ")-1)))</f>
        <v/>
      </c>
      <c r="H4298" s="40" t="str">
        <f>IF(tblMovimientos[[#This Row],[SKU]]="","",IFERROR(INDEX(tblProductos[Unidad],MATCH(tblMovimientos[[#This Row],[SKU]],tblProductos[SKU],0)),"?"))</f>
        <v/>
      </c>
      <c r="I4298" s="39"/>
      <c r="J4298" s="47" t="str">
        <f>IF(tblMovimientos[[#This Row],[Tipo]]="","",IFERROR(INDEX(tblTiposMov[FactorStock],MATCH(tblMovimientos[[#This Row],[Tipo]],tblTiposMov[Tipo],0)),0))</f>
        <v/>
      </c>
      <c r="K42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8" s="37"/>
      <c r="O4298" s="37"/>
      <c r="P4298" s="37"/>
    </row>
    <row r="4299" spans="2:16" x14ac:dyDescent="0.25">
      <c r="B42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299" s="46"/>
      <c r="D4299" s="37"/>
      <c r="E4299" s="37"/>
      <c r="F4299" s="37"/>
      <c r="G4299" s="40" t="str">
        <f>IF(tblMovimientos[[#This Row],[Producto]]="","",TRIM(LEFT(tblMovimientos[[#This Row],[Producto]],FIND(" · ",tblMovimientos[[#This Row],[Producto]]&amp;" · ")-1)))</f>
        <v/>
      </c>
      <c r="H4299" s="40" t="str">
        <f>IF(tblMovimientos[[#This Row],[SKU]]="","",IFERROR(INDEX(tblProductos[Unidad],MATCH(tblMovimientos[[#This Row],[SKU]],tblProductos[SKU],0)),"?"))</f>
        <v/>
      </c>
      <c r="I4299" s="39"/>
      <c r="J4299" s="47" t="str">
        <f>IF(tblMovimientos[[#This Row],[Tipo]]="","",IFERROR(INDEX(tblTiposMov[FactorStock],MATCH(tblMovimientos[[#This Row],[Tipo]],tblTiposMov[Tipo],0)),0))</f>
        <v/>
      </c>
      <c r="K42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2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2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299" s="37"/>
      <c r="O4299" s="37"/>
      <c r="P4299" s="37"/>
    </row>
    <row r="4300" spans="2:16" x14ac:dyDescent="0.25">
      <c r="B43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0" s="46"/>
      <c r="D4300" s="37"/>
      <c r="E4300" s="37"/>
      <c r="F4300" s="37"/>
      <c r="G4300" s="40" t="str">
        <f>IF(tblMovimientos[[#This Row],[Producto]]="","",TRIM(LEFT(tblMovimientos[[#This Row],[Producto]],FIND(" · ",tblMovimientos[[#This Row],[Producto]]&amp;" · ")-1)))</f>
        <v/>
      </c>
      <c r="H4300" s="40" t="str">
        <f>IF(tblMovimientos[[#This Row],[SKU]]="","",IFERROR(INDEX(tblProductos[Unidad],MATCH(tblMovimientos[[#This Row],[SKU]],tblProductos[SKU],0)),"?"))</f>
        <v/>
      </c>
      <c r="I4300" s="39"/>
      <c r="J4300" s="47" t="str">
        <f>IF(tblMovimientos[[#This Row],[Tipo]]="","",IFERROR(INDEX(tblTiposMov[FactorStock],MATCH(tblMovimientos[[#This Row],[Tipo]],tblTiposMov[Tipo],0)),0))</f>
        <v/>
      </c>
      <c r="K43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0" s="37"/>
      <c r="O4300" s="37"/>
      <c r="P4300" s="37"/>
    </row>
    <row r="4301" spans="2:16" x14ac:dyDescent="0.25">
      <c r="B43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1" s="46"/>
      <c r="D4301" s="37"/>
      <c r="E4301" s="37"/>
      <c r="F4301" s="37"/>
      <c r="G4301" s="40" t="str">
        <f>IF(tblMovimientos[[#This Row],[Producto]]="","",TRIM(LEFT(tblMovimientos[[#This Row],[Producto]],FIND(" · ",tblMovimientos[[#This Row],[Producto]]&amp;" · ")-1)))</f>
        <v/>
      </c>
      <c r="H4301" s="40" t="str">
        <f>IF(tblMovimientos[[#This Row],[SKU]]="","",IFERROR(INDEX(tblProductos[Unidad],MATCH(tblMovimientos[[#This Row],[SKU]],tblProductos[SKU],0)),"?"))</f>
        <v/>
      </c>
      <c r="I4301" s="39"/>
      <c r="J4301" s="47" t="str">
        <f>IF(tblMovimientos[[#This Row],[Tipo]]="","",IFERROR(INDEX(tblTiposMov[FactorStock],MATCH(tblMovimientos[[#This Row],[Tipo]],tblTiposMov[Tipo],0)),0))</f>
        <v/>
      </c>
      <c r="K43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1" s="37"/>
      <c r="O4301" s="37"/>
      <c r="P4301" s="37"/>
    </row>
    <row r="4302" spans="2:16" x14ac:dyDescent="0.25">
      <c r="B43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2" s="46"/>
      <c r="D4302" s="37"/>
      <c r="E4302" s="37"/>
      <c r="F4302" s="37"/>
      <c r="G4302" s="40" t="str">
        <f>IF(tblMovimientos[[#This Row],[Producto]]="","",TRIM(LEFT(tblMovimientos[[#This Row],[Producto]],FIND(" · ",tblMovimientos[[#This Row],[Producto]]&amp;" · ")-1)))</f>
        <v/>
      </c>
      <c r="H4302" s="40" t="str">
        <f>IF(tblMovimientos[[#This Row],[SKU]]="","",IFERROR(INDEX(tblProductos[Unidad],MATCH(tblMovimientos[[#This Row],[SKU]],tblProductos[SKU],0)),"?"))</f>
        <v/>
      </c>
      <c r="I4302" s="39"/>
      <c r="J4302" s="47" t="str">
        <f>IF(tblMovimientos[[#This Row],[Tipo]]="","",IFERROR(INDEX(tblTiposMov[FactorStock],MATCH(tblMovimientos[[#This Row],[Tipo]],tblTiposMov[Tipo],0)),0))</f>
        <v/>
      </c>
      <c r="K43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2" s="37"/>
      <c r="O4302" s="37"/>
      <c r="P4302" s="37"/>
    </row>
    <row r="4303" spans="2:16" x14ac:dyDescent="0.25">
      <c r="B43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3" s="46"/>
      <c r="D4303" s="37"/>
      <c r="E4303" s="37"/>
      <c r="F4303" s="37"/>
      <c r="G4303" s="40" t="str">
        <f>IF(tblMovimientos[[#This Row],[Producto]]="","",TRIM(LEFT(tblMovimientos[[#This Row],[Producto]],FIND(" · ",tblMovimientos[[#This Row],[Producto]]&amp;" · ")-1)))</f>
        <v/>
      </c>
      <c r="H4303" s="40" t="str">
        <f>IF(tblMovimientos[[#This Row],[SKU]]="","",IFERROR(INDEX(tblProductos[Unidad],MATCH(tblMovimientos[[#This Row],[SKU]],tblProductos[SKU],0)),"?"))</f>
        <v/>
      </c>
      <c r="I4303" s="39"/>
      <c r="J4303" s="47" t="str">
        <f>IF(tblMovimientos[[#This Row],[Tipo]]="","",IFERROR(INDEX(tblTiposMov[FactorStock],MATCH(tblMovimientos[[#This Row],[Tipo]],tblTiposMov[Tipo],0)),0))</f>
        <v/>
      </c>
      <c r="K43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3" s="37"/>
      <c r="O4303" s="37"/>
      <c r="P4303" s="37"/>
    </row>
    <row r="4304" spans="2:16" x14ac:dyDescent="0.25">
      <c r="B43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4" s="46"/>
      <c r="D4304" s="37"/>
      <c r="E4304" s="37"/>
      <c r="F4304" s="37"/>
      <c r="G4304" s="40" t="str">
        <f>IF(tblMovimientos[[#This Row],[Producto]]="","",TRIM(LEFT(tblMovimientos[[#This Row],[Producto]],FIND(" · ",tblMovimientos[[#This Row],[Producto]]&amp;" · ")-1)))</f>
        <v/>
      </c>
      <c r="H4304" s="40" t="str">
        <f>IF(tblMovimientos[[#This Row],[SKU]]="","",IFERROR(INDEX(tblProductos[Unidad],MATCH(tblMovimientos[[#This Row],[SKU]],tblProductos[SKU],0)),"?"))</f>
        <v/>
      </c>
      <c r="I4304" s="39"/>
      <c r="J4304" s="47" t="str">
        <f>IF(tblMovimientos[[#This Row],[Tipo]]="","",IFERROR(INDEX(tblTiposMov[FactorStock],MATCH(tblMovimientos[[#This Row],[Tipo]],tblTiposMov[Tipo],0)),0))</f>
        <v/>
      </c>
      <c r="K43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4" s="37"/>
      <c r="O4304" s="37"/>
      <c r="P4304" s="37"/>
    </row>
    <row r="4305" spans="2:16" x14ac:dyDescent="0.25">
      <c r="B43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5" s="46"/>
      <c r="D4305" s="37"/>
      <c r="E4305" s="37"/>
      <c r="F4305" s="37"/>
      <c r="G4305" s="40" t="str">
        <f>IF(tblMovimientos[[#This Row],[Producto]]="","",TRIM(LEFT(tblMovimientos[[#This Row],[Producto]],FIND(" · ",tblMovimientos[[#This Row],[Producto]]&amp;" · ")-1)))</f>
        <v/>
      </c>
      <c r="H4305" s="40" t="str">
        <f>IF(tblMovimientos[[#This Row],[SKU]]="","",IFERROR(INDEX(tblProductos[Unidad],MATCH(tblMovimientos[[#This Row],[SKU]],tblProductos[SKU],0)),"?"))</f>
        <v/>
      </c>
      <c r="I4305" s="39"/>
      <c r="J4305" s="47" t="str">
        <f>IF(tblMovimientos[[#This Row],[Tipo]]="","",IFERROR(INDEX(tblTiposMov[FactorStock],MATCH(tblMovimientos[[#This Row],[Tipo]],tblTiposMov[Tipo],0)),0))</f>
        <v/>
      </c>
      <c r="K43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5" s="37"/>
      <c r="O4305" s="37"/>
      <c r="P4305" s="37"/>
    </row>
    <row r="4306" spans="2:16" x14ac:dyDescent="0.25">
      <c r="B43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6" s="46"/>
      <c r="D4306" s="37"/>
      <c r="E4306" s="37"/>
      <c r="F4306" s="37"/>
      <c r="G4306" s="40" t="str">
        <f>IF(tblMovimientos[[#This Row],[Producto]]="","",TRIM(LEFT(tblMovimientos[[#This Row],[Producto]],FIND(" · ",tblMovimientos[[#This Row],[Producto]]&amp;" · ")-1)))</f>
        <v/>
      </c>
      <c r="H4306" s="40" t="str">
        <f>IF(tblMovimientos[[#This Row],[SKU]]="","",IFERROR(INDEX(tblProductos[Unidad],MATCH(tblMovimientos[[#This Row],[SKU]],tblProductos[SKU],0)),"?"))</f>
        <v/>
      </c>
      <c r="I4306" s="39"/>
      <c r="J4306" s="47" t="str">
        <f>IF(tblMovimientos[[#This Row],[Tipo]]="","",IFERROR(INDEX(tblTiposMov[FactorStock],MATCH(tblMovimientos[[#This Row],[Tipo]],tblTiposMov[Tipo],0)),0))</f>
        <v/>
      </c>
      <c r="K43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6" s="37"/>
      <c r="O4306" s="37"/>
      <c r="P4306" s="37"/>
    </row>
    <row r="4307" spans="2:16" x14ac:dyDescent="0.25">
      <c r="B43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7" s="46"/>
      <c r="D4307" s="37"/>
      <c r="E4307" s="37"/>
      <c r="F4307" s="37"/>
      <c r="G4307" s="40" t="str">
        <f>IF(tblMovimientos[[#This Row],[Producto]]="","",TRIM(LEFT(tblMovimientos[[#This Row],[Producto]],FIND(" · ",tblMovimientos[[#This Row],[Producto]]&amp;" · ")-1)))</f>
        <v/>
      </c>
      <c r="H4307" s="40" t="str">
        <f>IF(tblMovimientos[[#This Row],[SKU]]="","",IFERROR(INDEX(tblProductos[Unidad],MATCH(tblMovimientos[[#This Row],[SKU]],tblProductos[SKU],0)),"?"))</f>
        <v/>
      </c>
      <c r="I4307" s="39"/>
      <c r="J4307" s="47" t="str">
        <f>IF(tblMovimientos[[#This Row],[Tipo]]="","",IFERROR(INDEX(tblTiposMov[FactorStock],MATCH(tblMovimientos[[#This Row],[Tipo]],tblTiposMov[Tipo],0)),0))</f>
        <v/>
      </c>
      <c r="K43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7" s="37"/>
      <c r="O4307" s="37"/>
      <c r="P4307" s="37"/>
    </row>
    <row r="4308" spans="2:16" x14ac:dyDescent="0.25">
      <c r="B43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8" s="46"/>
      <c r="D4308" s="37"/>
      <c r="E4308" s="37"/>
      <c r="F4308" s="37"/>
      <c r="G4308" s="40" t="str">
        <f>IF(tblMovimientos[[#This Row],[Producto]]="","",TRIM(LEFT(tblMovimientos[[#This Row],[Producto]],FIND(" · ",tblMovimientos[[#This Row],[Producto]]&amp;" · ")-1)))</f>
        <v/>
      </c>
      <c r="H4308" s="40" t="str">
        <f>IF(tblMovimientos[[#This Row],[SKU]]="","",IFERROR(INDEX(tblProductos[Unidad],MATCH(tblMovimientos[[#This Row],[SKU]],tblProductos[SKU],0)),"?"))</f>
        <v/>
      </c>
      <c r="I4308" s="39"/>
      <c r="J4308" s="47" t="str">
        <f>IF(tblMovimientos[[#This Row],[Tipo]]="","",IFERROR(INDEX(tblTiposMov[FactorStock],MATCH(tblMovimientos[[#This Row],[Tipo]],tblTiposMov[Tipo],0)),0))</f>
        <v/>
      </c>
      <c r="K43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8" s="37"/>
      <c r="O4308" s="37"/>
      <c r="P4308" s="37"/>
    </row>
    <row r="4309" spans="2:16" x14ac:dyDescent="0.25">
      <c r="B43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09" s="46"/>
      <c r="D4309" s="37"/>
      <c r="E4309" s="37"/>
      <c r="F4309" s="37"/>
      <c r="G4309" s="40" t="str">
        <f>IF(tblMovimientos[[#This Row],[Producto]]="","",TRIM(LEFT(tblMovimientos[[#This Row],[Producto]],FIND(" · ",tblMovimientos[[#This Row],[Producto]]&amp;" · ")-1)))</f>
        <v/>
      </c>
      <c r="H4309" s="40" t="str">
        <f>IF(tblMovimientos[[#This Row],[SKU]]="","",IFERROR(INDEX(tblProductos[Unidad],MATCH(tblMovimientos[[#This Row],[SKU]],tblProductos[SKU],0)),"?"))</f>
        <v/>
      </c>
      <c r="I4309" s="39"/>
      <c r="J4309" s="47" t="str">
        <f>IF(tblMovimientos[[#This Row],[Tipo]]="","",IFERROR(INDEX(tblTiposMov[FactorStock],MATCH(tblMovimientos[[#This Row],[Tipo]],tblTiposMov[Tipo],0)),0))</f>
        <v/>
      </c>
      <c r="K43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09" s="37"/>
      <c r="O4309" s="37"/>
      <c r="P4309" s="37"/>
    </row>
    <row r="4310" spans="2:16" x14ac:dyDescent="0.25">
      <c r="B43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0" s="46"/>
      <c r="D4310" s="37"/>
      <c r="E4310" s="37"/>
      <c r="F4310" s="37"/>
      <c r="G4310" s="40" t="str">
        <f>IF(tblMovimientos[[#This Row],[Producto]]="","",TRIM(LEFT(tblMovimientos[[#This Row],[Producto]],FIND(" · ",tblMovimientos[[#This Row],[Producto]]&amp;" · ")-1)))</f>
        <v/>
      </c>
      <c r="H4310" s="40" t="str">
        <f>IF(tblMovimientos[[#This Row],[SKU]]="","",IFERROR(INDEX(tblProductos[Unidad],MATCH(tblMovimientos[[#This Row],[SKU]],tblProductos[SKU],0)),"?"))</f>
        <v/>
      </c>
      <c r="I4310" s="39"/>
      <c r="J4310" s="47" t="str">
        <f>IF(tblMovimientos[[#This Row],[Tipo]]="","",IFERROR(INDEX(tblTiposMov[FactorStock],MATCH(tblMovimientos[[#This Row],[Tipo]],tblTiposMov[Tipo],0)),0))</f>
        <v/>
      </c>
      <c r="K43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0" s="37"/>
      <c r="O4310" s="37"/>
      <c r="P4310" s="37"/>
    </row>
    <row r="4311" spans="2:16" x14ac:dyDescent="0.25">
      <c r="B43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1" s="46"/>
      <c r="D4311" s="37"/>
      <c r="E4311" s="37"/>
      <c r="F4311" s="37"/>
      <c r="G4311" s="40" t="str">
        <f>IF(tblMovimientos[[#This Row],[Producto]]="","",TRIM(LEFT(tblMovimientos[[#This Row],[Producto]],FIND(" · ",tblMovimientos[[#This Row],[Producto]]&amp;" · ")-1)))</f>
        <v/>
      </c>
      <c r="H4311" s="40" t="str">
        <f>IF(tblMovimientos[[#This Row],[SKU]]="","",IFERROR(INDEX(tblProductos[Unidad],MATCH(tblMovimientos[[#This Row],[SKU]],tblProductos[SKU],0)),"?"))</f>
        <v/>
      </c>
      <c r="I4311" s="39"/>
      <c r="J4311" s="47" t="str">
        <f>IF(tblMovimientos[[#This Row],[Tipo]]="","",IFERROR(INDEX(tblTiposMov[FactorStock],MATCH(tblMovimientos[[#This Row],[Tipo]],tblTiposMov[Tipo],0)),0))</f>
        <v/>
      </c>
      <c r="K43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1" s="37"/>
      <c r="O4311" s="37"/>
      <c r="P4311" s="37"/>
    </row>
    <row r="4312" spans="2:16" x14ac:dyDescent="0.25">
      <c r="B43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2" s="46"/>
      <c r="D4312" s="37"/>
      <c r="E4312" s="37"/>
      <c r="F4312" s="37"/>
      <c r="G4312" s="40" t="str">
        <f>IF(tblMovimientos[[#This Row],[Producto]]="","",TRIM(LEFT(tblMovimientos[[#This Row],[Producto]],FIND(" · ",tblMovimientos[[#This Row],[Producto]]&amp;" · ")-1)))</f>
        <v/>
      </c>
      <c r="H4312" s="40" t="str">
        <f>IF(tblMovimientos[[#This Row],[SKU]]="","",IFERROR(INDEX(tblProductos[Unidad],MATCH(tblMovimientos[[#This Row],[SKU]],tblProductos[SKU],0)),"?"))</f>
        <v/>
      </c>
      <c r="I4312" s="39"/>
      <c r="J4312" s="47" t="str">
        <f>IF(tblMovimientos[[#This Row],[Tipo]]="","",IFERROR(INDEX(tblTiposMov[FactorStock],MATCH(tblMovimientos[[#This Row],[Tipo]],tblTiposMov[Tipo],0)),0))</f>
        <v/>
      </c>
      <c r="K43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2" s="37"/>
      <c r="O4312" s="37"/>
      <c r="P4312" s="37"/>
    </row>
    <row r="4313" spans="2:16" x14ac:dyDescent="0.25">
      <c r="B43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3" s="46"/>
      <c r="D4313" s="37"/>
      <c r="E4313" s="37"/>
      <c r="F4313" s="37"/>
      <c r="G4313" s="40" t="str">
        <f>IF(tblMovimientos[[#This Row],[Producto]]="","",TRIM(LEFT(tblMovimientos[[#This Row],[Producto]],FIND(" · ",tblMovimientos[[#This Row],[Producto]]&amp;" · ")-1)))</f>
        <v/>
      </c>
      <c r="H4313" s="40" t="str">
        <f>IF(tblMovimientos[[#This Row],[SKU]]="","",IFERROR(INDEX(tblProductos[Unidad],MATCH(tblMovimientos[[#This Row],[SKU]],tblProductos[SKU],0)),"?"))</f>
        <v/>
      </c>
      <c r="I4313" s="39"/>
      <c r="J4313" s="47" t="str">
        <f>IF(tblMovimientos[[#This Row],[Tipo]]="","",IFERROR(INDEX(tblTiposMov[FactorStock],MATCH(tblMovimientos[[#This Row],[Tipo]],tblTiposMov[Tipo],0)),0))</f>
        <v/>
      </c>
      <c r="K43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3" s="37"/>
      <c r="O4313" s="37"/>
      <c r="P4313" s="37"/>
    </row>
    <row r="4314" spans="2:16" x14ac:dyDescent="0.25">
      <c r="B43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4" s="46"/>
      <c r="D4314" s="37"/>
      <c r="E4314" s="37"/>
      <c r="F4314" s="37"/>
      <c r="G4314" s="40" t="str">
        <f>IF(tblMovimientos[[#This Row],[Producto]]="","",TRIM(LEFT(tblMovimientos[[#This Row],[Producto]],FIND(" · ",tblMovimientos[[#This Row],[Producto]]&amp;" · ")-1)))</f>
        <v/>
      </c>
      <c r="H4314" s="40" t="str">
        <f>IF(tblMovimientos[[#This Row],[SKU]]="","",IFERROR(INDEX(tblProductos[Unidad],MATCH(tblMovimientos[[#This Row],[SKU]],tblProductos[SKU],0)),"?"))</f>
        <v/>
      </c>
      <c r="I4314" s="39"/>
      <c r="J4314" s="47" t="str">
        <f>IF(tblMovimientos[[#This Row],[Tipo]]="","",IFERROR(INDEX(tblTiposMov[FactorStock],MATCH(tblMovimientos[[#This Row],[Tipo]],tblTiposMov[Tipo],0)),0))</f>
        <v/>
      </c>
      <c r="K43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4" s="37"/>
      <c r="O4314" s="37"/>
      <c r="P4314" s="37"/>
    </row>
    <row r="4315" spans="2:16" x14ac:dyDescent="0.25">
      <c r="B43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5" s="46"/>
      <c r="D4315" s="37"/>
      <c r="E4315" s="37"/>
      <c r="F4315" s="37"/>
      <c r="G4315" s="40" t="str">
        <f>IF(tblMovimientos[[#This Row],[Producto]]="","",TRIM(LEFT(tblMovimientos[[#This Row],[Producto]],FIND(" · ",tblMovimientos[[#This Row],[Producto]]&amp;" · ")-1)))</f>
        <v/>
      </c>
      <c r="H4315" s="40" t="str">
        <f>IF(tblMovimientos[[#This Row],[SKU]]="","",IFERROR(INDEX(tblProductos[Unidad],MATCH(tblMovimientos[[#This Row],[SKU]],tblProductos[SKU],0)),"?"))</f>
        <v/>
      </c>
      <c r="I4315" s="39"/>
      <c r="J4315" s="47" t="str">
        <f>IF(tblMovimientos[[#This Row],[Tipo]]="","",IFERROR(INDEX(tblTiposMov[FactorStock],MATCH(tblMovimientos[[#This Row],[Tipo]],tblTiposMov[Tipo],0)),0))</f>
        <v/>
      </c>
      <c r="K43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5" s="37"/>
      <c r="O4315" s="37"/>
      <c r="P4315" s="37"/>
    </row>
    <row r="4316" spans="2:16" x14ac:dyDescent="0.25">
      <c r="B43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6" s="46"/>
      <c r="D4316" s="37"/>
      <c r="E4316" s="37"/>
      <c r="F4316" s="37"/>
      <c r="G4316" s="40" t="str">
        <f>IF(tblMovimientos[[#This Row],[Producto]]="","",TRIM(LEFT(tblMovimientos[[#This Row],[Producto]],FIND(" · ",tblMovimientos[[#This Row],[Producto]]&amp;" · ")-1)))</f>
        <v/>
      </c>
      <c r="H4316" s="40" t="str">
        <f>IF(tblMovimientos[[#This Row],[SKU]]="","",IFERROR(INDEX(tblProductos[Unidad],MATCH(tblMovimientos[[#This Row],[SKU]],tblProductos[SKU],0)),"?"))</f>
        <v/>
      </c>
      <c r="I4316" s="39"/>
      <c r="J4316" s="47" t="str">
        <f>IF(tblMovimientos[[#This Row],[Tipo]]="","",IFERROR(INDEX(tblTiposMov[FactorStock],MATCH(tblMovimientos[[#This Row],[Tipo]],tblTiposMov[Tipo],0)),0))</f>
        <v/>
      </c>
      <c r="K43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6" s="37"/>
      <c r="O4316" s="37"/>
      <c r="P4316" s="37"/>
    </row>
    <row r="4317" spans="2:16" x14ac:dyDescent="0.25">
      <c r="B43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7" s="46"/>
      <c r="D4317" s="37"/>
      <c r="E4317" s="37"/>
      <c r="F4317" s="37"/>
      <c r="G4317" s="40" t="str">
        <f>IF(tblMovimientos[[#This Row],[Producto]]="","",TRIM(LEFT(tblMovimientos[[#This Row],[Producto]],FIND(" · ",tblMovimientos[[#This Row],[Producto]]&amp;" · ")-1)))</f>
        <v/>
      </c>
      <c r="H4317" s="40" t="str">
        <f>IF(tblMovimientos[[#This Row],[SKU]]="","",IFERROR(INDEX(tblProductos[Unidad],MATCH(tblMovimientos[[#This Row],[SKU]],tblProductos[SKU],0)),"?"))</f>
        <v/>
      </c>
      <c r="I4317" s="39"/>
      <c r="J4317" s="47" t="str">
        <f>IF(tblMovimientos[[#This Row],[Tipo]]="","",IFERROR(INDEX(tblTiposMov[FactorStock],MATCH(tblMovimientos[[#This Row],[Tipo]],tblTiposMov[Tipo],0)),0))</f>
        <v/>
      </c>
      <c r="K43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7" s="37"/>
      <c r="O4317" s="37"/>
      <c r="P4317" s="37"/>
    </row>
    <row r="4318" spans="2:16" x14ac:dyDescent="0.25">
      <c r="B43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8" s="46"/>
      <c r="D4318" s="37"/>
      <c r="E4318" s="37"/>
      <c r="F4318" s="37"/>
      <c r="G4318" s="40" t="str">
        <f>IF(tblMovimientos[[#This Row],[Producto]]="","",TRIM(LEFT(tblMovimientos[[#This Row],[Producto]],FIND(" · ",tblMovimientos[[#This Row],[Producto]]&amp;" · ")-1)))</f>
        <v/>
      </c>
      <c r="H4318" s="40" t="str">
        <f>IF(tblMovimientos[[#This Row],[SKU]]="","",IFERROR(INDEX(tblProductos[Unidad],MATCH(tblMovimientos[[#This Row],[SKU]],tblProductos[SKU],0)),"?"))</f>
        <v/>
      </c>
      <c r="I4318" s="39"/>
      <c r="J4318" s="47" t="str">
        <f>IF(tblMovimientos[[#This Row],[Tipo]]="","",IFERROR(INDEX(tblTiposMov[FactorStock],MATCH(tblMovimientos[[#This Row],[Tipo]],tblTiposMov[Tipo],0)),0))</f>
        <v/>
      </c>
      <c r="K43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8" s="37"/>
      <c r="O4318" s="37"/>
      <c r="P4318" s="37"/>
    </row>
    <row r="4319" spans="2:16" x14ac:dyDescent="0.25">
      <c r="B43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19" s="46"/>
      <c r="D4319" s="37"/>
      <c r="E4319" s="37"/>
      <c r="F4319" s="37"/>
      <c r="G4319" s="40" t="str">
        <f>IF(tblMovimientos[[#This Row],[Producto]]="","",TRIM(LEFT(tblMovimientos[[#This Row],[Producto]],FIND(" · ",tblMovimientos[[#This Row],[Producto]]&amp;" · ")-1)))</f>
        <v/>
      </c>
      <c r="H4319" s="40" t="str">
        <f>IF(tblMovimientos[[#This Row],[SKU]]="","",IFERROR(INDEX(tblProductos[Unidad],MATCH(tblMovimientos[[#This Row],[SKU]],tblProductos[SKU],0)),"?"))</f>
        <v/>
      </c>
      <c r="I4319" s="39"/>
      <c r="J4319" s="47" t="str">
        <f>IF(tblMovimientos[[#This Row],[Tipo]]="","",IFERROR(INDEX(tblTiposMov[FactorStock],MATCH(tblMovimientos[[#This Row],[Tipo]],tblTiposMov[Tipo],0)),0))</f>
        <v/>
      </c>
      <c r="K43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19" s="37"/>
      <c r="O4319" s="37"/>
      <c r="P4319" s="37"/>
    </row>
    <row r="4320" spans="2:16" x14ac:dyDescent="0.25">
      <c r="B43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0" s="46"/>
      <c r="D4320" s="37"/>
      <c r="E4320" s="37"/>
      <c r="F4320" s="37"/>
      <c r="G4320" s="40" t="str">
        <f>IF(tblMovimientos[[#This Row],[Producto]]="","",TRIM(LEFT(tblMovimientos[[#This Row],[Producto]],FIND(" · ",tblMovimientos[[#This Row],[Producto]]&amp;" · ")-1)))</f>
        <v/>
      </c>
      <c r="H4320" s="40" t="str">
        <f>IF(tblMovimientos[[#This Row],[SKU]]="","",IFERROR(INDEX(tblProductos[Unidad],MATCH(tblMovimientos[[#This Row],[SKU]],tblProductos[SKU],0)),"?"))</f>
        <v/>
      </c>
      <c r="I4320" s="39"/>
      <c r="J4320" s="47" t="str">
        <f>IF(tblMovimientos[[#This Row],[Tipo]]="","",IFERROR(INDEX(tblTiposMov[FactorStock],MATCH(tblMovimientos[[#This Row],[Tipo]],tblTiposMov[Tipo],0)),0))</f>
        <v/>
      </c>
      <c r="K43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0" s="37"/>
      <c r="O4320" s="37"/>
      <c r="P4320" s="37"/>
    </row>
    <row r="4321" spans="2:16" x14ac:dyDescent="0.25">
      <c r="B43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1" s="46"/>
      <c r="D4321" s="37"/>
      <c r="E4321" s="37"/>
      <c r="F4321" s="37"/>
      <c r="G4321" s="40" t="str">
        <f>IF(tblMovimientos[[#This Row],[Producto]]="","",TRIM(LEFT(tblMovimientos[[#This Row],[Producto]],FIND(" · ",tblMovimientos[[#This Row],[Producto]]&amp;" · ")-1)))</f>
        <v/>
      </c>
      <c r="H4321" s="40" t="str">
        <f>IF(tblMovimientos[[#This Row],[SKU]]="","",IFERROR(INDEX(tblProductos[Unidad],MATCH(tblMovimientos[[#This Row],[SKU]],tblProductos[SKU],0)),"?"))</f>
        <v/>
      </c>
      <c r="I4321" s="39"/>
      <c r="J4321" s="47" t="str">
        <f>IF(tblMovimientos[[#This Row],[Tipo]]="","",IFERROR(INDEX(tblTiposMov[FactorStock],MATCH(tblMovimientos[[#This Row],[Tipo]],tblTiposMov[Tipo],0)),0))</f>
        <v/>
      </c>
      <c r="K43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1" s="37"/>
      <c r="O4321" s="37"/>
      <c r="P4321" s="37"/>
    </row>
    <row r="4322" spans="2:16" x14ac:dyDescent="0.25">
      <c r="B43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2" s="46"/>
      <c r="D4322" s="37"/>
      <c r="E4322" s="37"/>
      <c r="F4322" s="37"/>
      <c r="G4322" s="40" t="str">
        <f>IF(tblMovimientos[[#This Row],[Producto]]="","",TRIM(LEFT(tblMovimientos[[#This Row],[Producto]],FIND(" · ",tblMovimientos[[#This Row],[Producto]]&amp;" · ")-1)))</f>
        <v/>
      </c>
      <c r="H4322" s="40" t="str">
        <f>IF(tblMovimientos[[#This Row],[SKU]]="","",IFERROR(INDEX(tblProductos[Unidad],MATCH(tblMovimientos[[#This Row],[SKU]],tblProductos[SKU],0)),"?"))</f>
        <v/>
      </c>
      <c r="I4322" s="39"/>
      <c r="J4322" s="47" t="str">
        <f>IF(tblMovimientos[[#This Row],[Tipo]]="","",IFERROR(INDEX(tblTiposMov[FactorStock],MATCH(tblMovimientos[[#This Row],[Tipo]],tblTiposMov[Tipo],0)),0))</f>
        <v/>
      </c>
      <c r="K43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2" s="37"/>
      <c r="O4322" s="37"/>
      <c r="P4322" s="37"/>
    </row>
    <row r="4323" spans="2:16" x14ac:dyDescent="0.25">
      <c r="B43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3" s="46"/>
      <c r="D4323" s="37"/>
      <c r="E4323" s="37"/>
      <c r="F4323" s="37"/>
      <c r="G4323" s="40" t="str">
        <f>IF(tblMovimientos[[#This Row],[Producto]]="","",TRIM(LEFT(tblMovimientos[[#This Row],[Producto]],FIND(" · ",tblMovimientos[[#This Row],[Producto]]&amp;" · ")-1)))</f>
        <v/>
      </c>
      <c r="H4323" s="40" t="str">
        <f>IF(tblMovimientos[[#This Row],[SKU]]="","",IFERROR(INDEX(tblProductos[Unidad],MATCH(tblMovimientos[[#This Row],[SKU]],tblProductos[SKU],0)),"?"))</f>
        <v/>
      </c>
      <c r="I4323" s="39"/>
      <c r="J4323" s="47" t="str">
        <f>IF(tblMovimientos[[#This Row],[Tipo]]="","",IFERROR(INDEX(tblTiposMov[FactorStock],MATCH(tblMovimientos[[#This Row],[Tipo]],tblTiposMov[Tipo],0)),0))</f>
        <v/>
      </c>
      <c r="K43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3" s="37"/>
      <c r="O4323" s="37"/>
      <c r="P4323" s="37"/>
    </row>
    <row r="4324" spans="2:16" x14ac:dyDescent="0.25">
      <c r="B43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4" s="46"/>
      <c r="D4324" s="37"/>
      <c r="E4324" s="37"/>
      <c r="F4324" s="37"/>
      <c r="G4324" s="40" t="str">
        <f>IF(tblMovimientos[[#This Row],[Producto]]="","",TRIM(LEFT(tblMovimientos[[#This Row],[Producto]],FIND(" · ",tblMovimientos[[#This Row],[Producto]]&amp;" · ")-1)))</f>
        <v/>
      </c>
      <c r="H4324" s="40" t="str">
        <f>IF(tblMovimientos[[#This Row],[SKU]]="","",IFERROR(INDEX(tblProductos[Unidad],MATCH(tblMovimientos[[#This Row],[SKU]],tblProductos[SKU],0)),"?"))</f>
        <v/>
      </c>
      <c r="I4324" s="39"/>
      <c r="J4324" s="47" t="str">
        <f>IF(tblMovimientos[[#This Row],[Tipo]]="","",IFERROR(INDEX(tblTiposMov[FactorStock],MATCH(tblMovimientos[[#This Row],[Tipo]],tblTiposMov[Tipo],0)),0))</f>
        <v/>
      </c>
      <c r="K43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4" s="37"/>
      <c r="O4324" s="37"/>
      <c r="P4324" s="37"/>
    </row>
    <row r="4325" spans="2:16" x14ac:dyDescent="0.25">
      <c r="B43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5" s="46"/>
      <c r="D4325" s="37"/>
      <c r="E4325" s="37"/>
      <c r="F4325" s="37"/>
      <c r="G4325" s="40" t="str">
        <f>IF(tblMovimientos[[#This Row],[Producto]]="","",TRIM(LEFT(tblMovimientos[[#This Row],[Producto]],FIND(" · ",tblMovimientos[[#This Row],[Producto]]&amp;" · ")-1)))</f>
        <v/>
      </c>
      <c r="H4325" s="40" t="str">
        <f>IF(tblMovimientos[[#This Row],[SKU]]="","",IFERROR(INDEX(tblProductos[Unidad],MATCH(tblMovimientos[[#This Row],[SKU]],tblProductos[SKU],0)),"?"))</f>
        <v/>
      </c>
      <c r="I4325" s="39"/>
      <c r="J4325" s="47" t="str">
        <f>IF(tblMovimientos[[#This Row],[Tipo]]="","",IFERROR(INDEX(tblTiposMov[FactorStock],MATCH(tblMovimientos[[#This Row],[Tipo]],tblTiposMov[Tipo],0)),0))</f>
        <v/>
      </c>
      <c r="K43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5" s="37"/>
      <c r="O4325" s="37"/>
      <c r="P4325" s="37"/>
    </row>
    <row r="4326" spans="2:16" x14ac:dyDescent="0.25">
      <c r="B43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6" s="46"/>
      <c r="D4326" s="37"/>
      <c r="E4326" s="37"/>
      <c r="F4326" s="37"/>
      <c r="G4326" s="40" t="str">
        <f>IF(tblMovimientos[[#This Row],[Producto]]="","",TRIM(LEFT(tblMovimientos[[#This Row],[Producto]],FIND(" · ",tblMovimientos[[#This Row],[Producto]]&amp;" · ")-1)))</f>
        <v/>
      </c>
      <c r="H4326" s="40" t="str">
        <f>IF(tblMovimientos[[#This Row],[SKU]]="","",IFERROR(INDEX(tblProductos[Unidad],MATCH(tblMovimientos[[#This Row],[SKU]],tblProductos[SKU],0)),"?"))</f>
        <v/>
      </c>
      <c r="I4326" s="39"/>
      <c r="J4326" s="47" t="str">
        <f>IF(tblMovimientos[[#This Row],[Tipo]]="","",IFERROR(INDEX(tblTiposMov[FactorStock],MATCH(tblMovimientos[[#This Row],[Tipo]],tblTiposMov[Tipo],0)),0))</f>
        <v/>
      </c>
      <c r="K43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6" s="37"/>
      <c r="O4326" s="37"/>
      <c r="P4326" s="37"/>
    </row>
    <row r="4327" spans="2:16" x14ac:dyDescent="0.25">
      <c r="B43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7" s="46"/>
      <c r="D4327" s="37"/>
      <c r="E4327" s="37"/>
      <c r="F4327" s="37"/>
      <c r="G4327" s="40" t="str">
        <f>IF(tblMovimientos[[#This Row],[Producto]]="","",TRIM(LEFT(tblMovimientos[[#This Row],[Producto]],FIND(" · ",tblMovimientos[[#This Row],[Producto]]&amp;" · ")-1)))</f>
        <v/>
      </c>
      <c r="H4327" s="40" t="str">
        <f>IF(tblMovimientos[[#This Row],[SKU]]="","",IFERROR(INDEX(tblProductos[Unidad],MATCH(tblMovimientos[[#This Row],[SKU]],tblProductos[SKU],0)),"?"))</f>
        <v/>
      </c>
      <c r="I4327" s="39"/>
      <c r="J4327" s="47" t="str">
        <f>IF(tblMovimientos[[#This Row],[Tipo]]="","",IFERROR(INDEX(tblTiposMov[FactorStock],MATCH(tblMovimientos[[#This Row],[Tipo]],tblTiposMov[Tipo],0)),0))</f>
        <v/>
      </c>
      <c r="K43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7" s="37"/>
      <c r="O4327" s="37"/>
      <c r="P4327" s="37"/>
    </row>
    <row r="4328" spans="2:16" x14ac:dyDescent="0.25">
      <c r="B43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8" s="46"/>
      <c r="D4328" s="37"/>
      <c r="E4328" s="37"/>
      <c r="F4328" s="37"/>
      <c r="G4328" s="40" t="str">
        <f>IF(tblMovimientos[[#This Row],[Producto]]="","",TRIM(LEFT(tblMovimientos[[#This Row],[Producto]],FIND(" · ",tblMovimientos[[#This Row],[Producto]]&amp;" · ")-1)))</f>
        <v/>
      </c>
      <c r="H4328" s="40" t="str">
        <f>IF(tblMovimientos[[#This Row],[SKU]]="","",IFERROR(INDEX(tblProductos[Unidad],MATCH(tblMovimientos[[#This Row],[SKU]],tblProductos[SKU],0)),"?"))</f>
        <v/>
      </c>
      <c r="I4328" s="39"/>
      <c r="J4328" s="47" t="str">
        <f>IF(tblMovimientos[[#This Row],[Tipo]]="","",IFERROR(INDEX(tblTiposMov[FactorStock],MATCH(tblMovimientos[[#This Row],[Tipo]],tblTiposMov[Tipo],0)),0))</f>
        <v/>
      </c>
      <c r="K43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8" s="37"/>
      <c r="O4328" s="37"/>
      <c r="P4328" s="37"/>
    </row>
    <row r="4329" spans="2:16" x14ac:dyDescent="0.25">
      <c r="B43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29" s="46"/>
      <c r="D4329" s="37"/>
      <c r="E4329" s="37"/>
      <c r="F4329" s="37"/>
      <c r="G4329" s="40" t="str">
        <f>IF(tblMovimientos[[#This Row],[Producto]]="","",TRIM(LEFT(tblMovimientos[[#This Row],[Producto]],FIND(" · ",tblMovimientos[[#This Row],[Producto]]&amp;" · ")-1)))</f>
        <v/>
      </c>
      <c r="H4329" s="40" t="str">
        <f>IF(tblMovimientos[[#This Row],[SKU]]="","",IFERROR(INDEX(tblProductos[Unidad],MATCH(tblMovimientos[[#This Row],[SKU]],tblProductos[SKU],0)),"?"))</f>
        <v/>
      </c>
      <c r="I4329" s="39"/>
      <c r="J4329" s="47" t="str">
        <f>IF(tblMovimientos[[#This Row],[Tipo]]="","",IFERROR(INDEX(tblTiposMov[FactorStock],MATCH(tblMovimientos[[#This Row],[Tipo]],tblTiposMov[Tipo],0)),0))</f>
        <v/>
      </c>
      <c r="K43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29" s="37"/>
      <c r="O4329" s="37"/>
      <c r="P4329" s="37"/>
    </row>
    <row r="4330" spans="2:16" x14ac:dyDescent="0.25">
      <c r="B43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0" s="46"/>
      <c r="D4330" s="37"/>
      <c r="E4330" s="37"/>
      <c r="F4330" s="37"/>
      <c r="G4330" s="40" t="str">
        <f>IF(tblMovimientos[[#This Row],[Producto]]="","",TRIM(LEFT(tblMovimientos[[#This Row],[Producto]],FIND(" · ",tblMovimientos[[#This Row],[Producto]]&amp;" · ")-1)))</f>
        <v/>
      </c>
      <c r="H4330" s="40" t="str">
        <f>IF(tblMovimientos[[#This Row],[SKU]]="","",IFERROR(INDEX(tblProductos[Unidad],MATCH(tblMovimientos[[#This Row],[SKU]],tblProductos[SKU],0)),"?"))</f>
        <v/>
      </c>
      <c r="I4330" s="39"/>
      <c r="J4330" s="47" t="str">
        <f>IF(tblMovimientos[[#This Row],[Tipo]]="","",IFERROR(INDEX(tblTiposMov[FactorStock],MATCH(tblMovimientos[[#This Row],[Tipo]],tblTiposMov[Tipo],0)),0))</f>
        <v/>
      </c>
      <c r="K43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0" s="37"/>
      <c r="O4330" s="37"/>
      <c r="P4330" s="37"/>
    </row>
    <row r="4331" spans="2:16" x14ac:dyDescent="0.25">
      <c r="B43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1" s="46"/>
      <c r="D4331" s="37"/>
      <c r="E4331" s="37"/>
      <c r="F4331" s="37"/>
      <c r="G4331" s="40" t="str">
        <f>IF(tblMovimientos[[#This Row],[Producto]]="","",TRIM(LEFT(tblMovimientos[[#This Row],[Producto]],FIND(" · ",tblMovimientos[[#This Row],[Producto]]&amp;" · ")-1)))</f>
        <v/>
      </c>
      <c r="H4331" s="40" t="str">
        <f>IF(tblMovimientos[[#This Row],[SKU]]="","",IFERROR(INDEX(tblProductos[Unidad],MATCH(tblMovimientos[[#This Row],[SKU]],tblProductos[SKU],0)),"?"))</f>
        <v/>
      </c>
      <c r="I4331" s="39"/>
      <c r="J4331" s="47" t="str">
        <f>IF(tblMovimientos[[#This Row],[Tipo]]="","",IFERROR(INDEX(tblTiposMov[FactorStock],MATCH(tblMovimientos[[#This Row],[Tipo]],tblTiposMov[Tipo],0)),0))</f>
        <v/>
      </c>
      <c r="K43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1" s="37"/>
      <c r="O4331" s="37"/>
      <c r="P4331" s="37"/>
    </row>
    <row r="4332" spans="2:16" x14ac:dyDescent="0.25">
      <c r="B43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2" s="46"/>
      <c r="D4332" s="37"/>
      <c r="E4332" s="37"/>
      <c r="F4332" s="37"/>
      <c r="G4332" s="40" t="str">
        <f>IF(tblMovimientos[[#This Row],[Producto]]="","",TRIM(LEFT(tblMovimientos[[#This Row],[Producto]],FIND(" · ",tblMovimientos[[#This Row],[Producto]]&amp;" · ")-1)))</f>
        <v/>
      </c>
      <c r="H4332" s="40" t="str">
        <f>IF(tblMovimientos[[#This Row],[SKU]]="","",IFERROR(INDEX(tblProductos[Unidad],MATCH(tblMovimientos[[#This Row],[SKU]],tblProductos[SKU],0)),"?"))</f>
        <v/>
      </c>
      <c r="I4332" s="39"/>
      <c r="J4332" s="47" t="str">
        <f>IF(tblMovimientos[[#This Row],[Tipo]]="","",IFERROR(INDEX(tblTiposMov[FactorStock],MATCH(tblMovimientos[[#This Row],[Tipo]],tblTiposMov[Tipo],0)),0))</f>
        <v/>
      </c>
      <c r="K43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2" s="37"/>
      <c r="O4332" s="37"/>
      <c r="P4332" s="37"/>
    </row>
    <row r="4333" spans="2:16" x14ac:dyDescent="0.25">
      <c r="B43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3" s="46"/>
      <c r="D4333" s="37"/>
      <c r="E4333" s="37"/>
      <c r="F4333" s="37"/>
      <c r="G4333" s="40" t="str">
        <f>IF(tblMovimientos[[#This Row],[Producto]]="","",TRIM(LEFT(tblMovimientos[[#This Row],[Producto]],FIND(" · ",tblMovimientos[[#This Row],[Producto]]&amp;" · ")-1)))</f>
        <v/>
      </c>
      <c r="H4333" s="40" t="str">
        <f>IF(tblMovimientos[[#This Row],[SKU]]="","",IFERROR(INDEX(tblProductos[Unidad],MATCH(tblMovimientos[[#This Row],[SKU]],tblProductos[SKU],0)),"?"))</f>
        <v/>
      </c>
      <c r="I4333" s="39"/>
      <c r="J4333" s="47" t="str">
        <f>IF(tblMovimientos[[#This Row],[Tipo]]="","",IFERROR(INDEX(tblTiposMov[FactorStock],MATCH(tblMovimientos[[#This Row],[Tipo]],tblTiposMov[Tipo],0)),0))</f>
        <v/>
      </c>
      <c r="K43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3" s="37"/>
      <c r="O4333" s="37"/>
      <c r="P4333" s="37"/>
    </row>
    <row r="4334" spans="2:16" x14ac:dyDescent="0.25">
      <c r="B43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4" s="46"/>
      <c r="D4334" s="37"/>
      <c r="E4334" s="37"/>
      <c r="F4334" s="37"/>
      <c r="G4334" s="40" t="str">
        <f>IF(tblMovimientos[[#This Row],[Producto]]="","",TRIM(LEFT(tblMovimientos[[#This Row],[Producto]],FIND(" · ",tblMovimientos[[#This Row],[Producto]]&amp;" · ")-1)))</f>
        <v/>
      </c>
      <c r="H4334" s="40" t="str">
        <f>IF(tblMovimientos[[#This Row],[SKU]]="","",IFERROR(INDEX(tblProductos[Unidad],MATCH(tblMovimientos[[#This Row],[SKU]],tblProductos[SKU],0)),"?"))</f>
        <v/>
      </c>
      <c r="I4334" s="39"/>
      <c r="J4334" s="47" t="str">
        <f>IF(tblMovimientos[[#This Row],[Tipo]]="","",IFERROR(INDEX(tblTiposMov[FactorStock],MATCH(tblMovimientos[[#This Row],[Tipo]],tblTiposMov[Tipo],0)),0))</f>
        <v/>
      </c>
      <c r="K43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4" s="37"/>
      <c r="O4334" s="37"/>
      <c r="P4334" s="37"/>
    </row>
    <row r="4335" spans="2:16" x14ac:dyDescent="0.25">
      <c r="B43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5" s="46"/>
      <c r="D4335" s="37"/>
      <c r="E4335" s="37"/>
      <c r="F4335" s="37"/>
      <c r="G4335" s="40" t="str">
        <f>IF(tblMovimientos[[#This Row],[Producto]]="","",TRIM(LEFT(tblMovimientos[[#This Row],[Producto]],FIND(" · ",tblMovimientos[[#This Row],[Producto]]&amp;" · ")-1)))</f>
        <v/>
      </c>
      <c r="H4335" s="40" t="str">
        <f>IF(tblMovimientos[[#This Row],[SKU]]="","",IFERROR(INDEX(tblProductos[Unidad],MATCH(tblMovimientos[[#This Row],[SKU]],tblProductos[SKU],0)),"?"))</f>
        <v/>
      </c>
      <c r="I4335" s="39"/>
      <c r="J4335" s="47" t="str">
        <f>IF(tblMovimientos[[#This Row],[Tipo]]="","",IFERROR(INDEX(tblTiposMov[FactorStock],MATCH(tblMovimientos[[#This Row],[Tipo]],tblTiposMov[Tipo],0)),0))</f>
        <v/>
      </c>
      <c r="K43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5" s="37"/>
      <c r="O4335" s="37"/>
      <c r="P4335" s="37"/>
    </row>
    <row r="4336" spans="2:16" x14ac:dyDescent="0.25">
      <c r="B43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6" s="46"/>
      <c r="D4336" s="37"/>
      <c r="E4336" s="37"/>
      <c r="F4336" s="37"/>
      <c r="G4336" s="40" t="str">
        <f>IF(tblMovimientos[[#This Row],[Producto]]="","",TRIM(LEFT(tblMovimientos[[#This Row],[Producto]],FIND(" · ",tblMovimientos[[#This Row],[Producto]]&amp;" · ")-1)))</f>
        <v/>
      </c>
      <c r="H4336" s="40" t="str">
        <f>IF(tblMovimientos[[#This Row],[SKU]]="","",IFERROR(INDEX(tblProductos[Unidad],MATCH(tblMovimientos[[#This Row],[SKU]],tblProductos[SKU],0)),"?"))</f>
        <v/>
      </c>
      <c r="I4336" s="39"/>
      <c r="J4336" s="47" t="str">
        <f>IF(tblMovimientos[[#This Row],[Tipo]]="","",IFERROR(INDEX(tblTiposMov[FactorStock],MATCH(tblMovimientos[[#This Row],[Tipo]],tblTiposMov[Tipo],0)),0))</f>
        <v/>
      </c>
      <c r="K43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6" s="37"/>
      <c r="O4336" s="37"/>
      <c r="P4336" s="37"/>
    </row>
    <row r="4337" spans="2:16" x14ac:dyDescent="0.25">
      <c r="B43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7" s="46"/>
      <c r="D4337" s="37"/>
      <c r="E4337" s="37"/>
      <c r="F4337" s="37"/>
      <c r="G4337" s="40" t="str">
        <f>IF(tblMovimientos[[#This Row],[Producto]]="","",TRIM(LEFT(tblMovimientos[[#This Row],[Producto]],FIND(" · ",tblMovimientos[[#This Row],[Producto]]&amp;" · ")-1)))</f>
        <v/>
      </c>
      <c r="H4337" s="40" t="str">
        <f>IF(tblMovimientos[[#This Row],[SKU]]="","",IFERROR(INDEX(tblProductos[Unidad],MATCH(tblMovimientos[[#This Row],[SKU]],tblProductos[SKU],0)),"?"))</f>
        <v/>
      </c>
      <c r="I4337" s="39"/>
      <c r="J4337" s="47" t="str">
        <f>IF(tblMovimientos[[#This Row],[Tipo]]="","",IFERROR(INDEX(tblTiposMov[FactorStock],MATCH(tblMovimientos[[#This Row],[Tipo]],tblTiposMov[Tipo],0)),0))</f>
        <v/>
      </c>
      <c r="K43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7" s="37"/>
      <c r="O4337" s="37"/>
      <c r="P4337" s="37"/>
    </row>
    <row r="4338" spans="2:16" x14ac:dyDescent="0.25">
      <c r="B43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8" s="46"/>
      <c r="D4338" s="37"/>
      <c r="E4338" s="37"/>
      <c r="F4338" s="37"/>
      <c r="G4338" s="40" t="str">
        <f>IF(tblMovimientos[[#This Row],[Producto]]="","",TRIM(LEFT(tblMovimientos[[#This Row],[Producto]],FIND(" · ",tblMovimientos[[#This Row],[Producto]]&amp;" · ")-1)))</f>
        <v/>
      </c>
      <c r="H4338" s="40" t="str">
        <f>IF(tblMovimientos[[#This Row],[SKU]]="","",IFERROR(INDEX(tblProductos[Unidad],MATCH(tblMovimientos[[#This Row],[SKU]],tblProductos[SKU],0)),"?"))</f>
        <v/>
      </c>
      <c r="I4338" s="39"/>
      <c r="J4338" s="47" t="str">
        <f>IF(tblMovimientos[[#This Row],[Tipo]]="","",IFERROR(INDEX(tblTiposMov[FactorStock],MATCH(tblMovimientos[[#This Row],[Tipo]],tblTiposMov[Tipo],0)),0))</f>
        <v/>
      </c>
      <c r="K43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8" s="37"/>
      <c r="O4338" s="37"/>
      <c r="P4338" s="37"/>
    </row>
    <row r="4339" spans="2:16" x14ac:dyDescent="0.25">
      <c r="B43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39" s="46"/>
      <c r="D4339" s="37"/>
      <c r="E4339" s="37"/>
      <c r="F4339" s="37"/>
      <c r="G4339" s="40" t="str">
        <f>IF(tblMovimientos[[#This Row],[Producto]]="","",TRIM(LEFT(tblMovimientos[[#This Row],[Producto]],FIND(" · ",tblMovimientos[[#This Row],[Producto]]&amp;" · ")-1)))</f>
        <v/>
      </c>
      <c r="H4339" s="40" t="str">
        <f>IF(tblMovimientos[[#This Row],[SKU]]="","",IFERROR(INDEX(tblProductos[Unidad],MATCH(tblMovimientos[[#This Row],[SKU]],tblProductos[SKU],0)),"?"))</f>
        <v/>
      </c>
      <c r="I4339" s="39"/>
      <c r="J4339" s="47" t="str">
        <f>IF(tblMovimientos[[#This Row],[Tipo]]="","",IFERROR(INDEX(tblTiposMov[FactorStock],MATCH(tblMovimientos[[#This Row],[Tipo]],tblTiposMov[Tipo],0)),0))</f>
        <v/>
      </c>
      <c r="K43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39" s="37"/>
      <c r="O4339" s="37"/>
      <c r="P4339" s="37"/>
    </row>
    <row r="4340" spans="2:16" x14ac:dyDescent="0.25">
      <c r="B43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0" s="46"/>
      <c r="D4340" s="37"/>
      <c r="E4340" s="37"/>
      <c r="F4340" s="37"/>
      <c r="G4340" s="40" t="str">
        <f>IF(tblMovimientos[[#This Row],[Producto]]="","",TRIM(LEFT(tblMovimientos[[#This Row],[Producto]],FIND(" · ",tblMovimientos[[#This Row],[Producto]]&amp;" · ")-1)))</f>
        <v/>
      </c>
      <c r="H4340" s="40" t="str">
        <f>IF(tblMovimientos[[#This Row],[SKU]]="","",IFERROR(INDEX(tblProductos[Unidad],MATCH(tblMovimientos[[#This Row],[SKU]],tblProductos[SKU],0)),"?"))</f>
        <v/>
      </c>
      <c r="I4340" s="39"/>
      <c r="J4340" s="47" t="str">
        <f>IF(tblMovimientos[[#This Row],[Tipo]]="","",IFERROR(INDEX(tblTiposMov[FactorStock],MATCH(tblMovimientos[[#This Row],[Tipo]],tblTiposMov[Tipo],0)),0))</f>
        <v/>
      </c>
      <c r="K43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0" s="37"/>
      <c r="O4340" s="37"/>
      <c r="P4340" s="37"/>
    </row>
    <row r="4341" spans="2:16" x14ac:dyDescent="0.25">
      <c r="B43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1" s="46"/>
      <c r="D4341" s="37"/>
      <c r="E4341" s="37"/>
      <c r="F4341" s="37"/>
      <c r="G4341" s="40" t="str">
        <f>IF(tblMovimientos[[#This Row],[Producto]]="","",TRIM(LEFT(tblMovimientos[[#This Row],[Producto]],FIND(" · ",tblMovimientos[[#This Row],[Producto]]&amp;" · ")-1)))</f>
        <v/>
      </c>
      <c r="H4341" s="40" t="str">
        <f>IF(tblMovimientos[[#This Row],[SKU]]="","",IFERROR(INDEX(tblProductos[Unidad],MATCH(tblMovimientos[[#This Row],[SKU]],tblProductos[SKU],0)),"?"))</f>
        <v/>
      </c>
      <c r="I4341" s="39"/>
      <c r="J4341" s="47" t="str">
        <f>IF(tblMovimientos[[#This Row],[Tipo]]="","",IFERROR(INDEX(tblTiposMov[FactorStock],MATCH(tblMovimientos[[#This Row],[Tipo]],tblTiposMov[Tipo],0)),0))</f>
        <v/>
      </c>
      <c r="K43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1" s="37"/>
      <c r="O4341" s="37"/>
      <c r="P4341" s="37"/>
    </row>
    <row r="4342" spans="2:16" x14ac:dyDescent="0.25">
      <c r="B43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2" s="46"/>
      <c r="D4342" s="37"/>
      <c r="E4342" s="37"/>
      <c r="F4342" s="37"/>
      <c r="G4342" s="40" t="str">
        <f>IF(tblMovimientos[[#This Row],[Producto]]="","",TRIM(LEFT(tblMovimientos[[#This Row],[Producto]],FIND(" · ",tblMovimientos[[#This Row],[Producto]]&amp;" · ")-1)))</f>
        <v/>
      </c>
      <c r="H4342" s="40" t="str">
        <f>IF(tblMovimientos[[#This Row],[SKU]]="","",IFERROR(INDEX(tblProductos[Unidad],MATCH(tblMovimientos[[#This Row],[SKU]],tblProductos[SKU],0)),"?"))</f>
        <v/>
      </c>
      <c r="I4342" s="39"/>
      <c r="J4342" s="47" t="str">
        <f>IF(tblMovimientos[[#This Row],[Tipo]]="","",IFERROR(INDEX(tblTiposMov[FactorStock],MATCH(tblMovimientos[[#This Row],[Tipo]],tblTiposMov[Tipo],0)),0))</f>
        <v/>
      </c>
      <c r="K43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2" s="37"/>
      <c r="O4342" s="37"/>
      <c r="P4342" s="37"/>
    </row>
    <row r="4343" spans="2:16" x14ac:dyDescent="0.25">
      <c r="B43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3" s="46"/>
      <c r="D4343" s="37"/>
      <c r="E4343" s="37"/>
      <c r="F4343" s="37"/>
      <c r="G4343" s="40" t="str">
        <f>IF(tblMovimientos[[#This Row],[Producto]]="","",TRIM(LEFT(tblMovimientos[[#This Row],[Producto]],FIND(" · ",tblMovimientos[[#This Row],[Producto]]&amp;" · ")-1)))</f>
        <v/>
      </c>
      <c r="H4343" s="40" t="str">
        <f>IF(tblMovimientos[[#This Row],[SKU]]="","",IFERROR(INDEX(tblProductos[Unidad],MATCH(tblMovimientos[[#This Row],[SKU]],tblProductos[SKU],0)),"?"))</f>
        <v/>
      </c>
      <c r="I4343" s="39"/>
      <c r="J4343" s="47" t="str">
        <f>IF(tblMovimientos[[#This Row],[Tipo]]="","",IFERROR(INDEX(tblTiposMov[FactorStock],MATCH(tblMovimientos[[#This Row],[Tipo]],tblTiposMov[Tipo],0)),0))</f>
        <v/>
      </c>
      <c r="K43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3" s="37"/>
      <c r="O4343" s="37"/>
      <c r="P4343" s="37"/>
    </row>
    <row r="4344" spans="2:16" x14ac:dyDescent="0.25">
      <c r="B43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4" s="46"/>
      <c r="D4344" s="37"/>
      <c r="E4344" s="37"/>
      <c r="F4344" s="37"/>
      <c r="G4344" s="40" t="str">
        <f>IF(tblMovimientos[[#This Row],[Producto]]="","",TRIM(LEFT(tblMovimientos[[#This Row],[Producto]],FIND(" · ",tblMovimientos[[#This Row],[Producto]]&amp;" · ")-1)))</f>
        <v/>
      </c>
      <c r="H4344" s="40" t="str">
        <f>IF(tblMovimientos[[#This Row],[SKU]]="","",IFERROR(INDEX(tblProductos[Unidad],MATCH(tblMovimientos[[#This Row],[SKU]],tblProductos[SKU],0)),"?"))</f>
        <v/>
      </c>
      <c r="I4344" s="39"/>
      <c r="J4344" s="47" t="str">
        <f>IF(tblMovimientos[[#This Row],[Tipo]]="","",IFERROR(INDEX(tblTiposMov[FactorStock],MATCH(tblMovimientos[[#This Row],[Tipo]],tblTiposMov[Tipo],0)),0))</f>
        <v/>
      </c>
      <c r="K43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4" s="37"/>
      <c r="O4344" s="37"/>
      <c r="P4344" s="37"/>
    </row>
    <row r="4345" spans="2:16" x14ac:dyDescent="0.25">
      <c r="B43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5" s="46"/>
      <c r="D4345" s="37"/>
      <c r="E4345" s="37"/>
      <c r="F4345" s="37"/>
      <c r="G4345" s="40" t="str">
        <f>IF(tblMovimientos[[#This Row],[Producto]]="","",TRIM(LEFT(tblMovimientos[[#This Row],[Producto]],FIND(" · ",tblMovimientos[[#This Row],[Producto]]&amp;" · ")-1)))</f>
        <v/>
      </c>
      <c r="H4345" s="40" t="str">
        <f>IF(tblMovimientos[[#This Row],[SKU]]="","",IFERROR(INDEX(tblProductos[Unidad],MATCH(tblMovimientos[[#This Row],[SKU]],tblProductos[SKU],0)),"?"))</f>
        <v/>
      </c>
      <c r="I4345" s="39"/>
      <c r="J4345" s="47" t="str">
        <f>IF(tblMovimientos[[#This Row],[Tipo]]="","",IFERROR(INDEX(tblTiposMov[FactorStock],MATCH(tblMovimientos[[#This Row],[Tipo]],tblTiposMov[Tipo],0)),0))</f>
        <v/>
      </c>
      <c r="K43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5" s="37"/>
      <c r="O4345" s="37"/>
      <c r="P4345" s="37"/>
    </row>
    <row r="4346" spans="2:16" x14ac:dyDescent="0.25">
      <c r="B43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6" s="46"/>
      <c r="D4346" s="37"/>
      <c r="E4346" s="37"/>
      <c r="F4346" s="37"/>
      <c r="G4346" s="40" t="str">
        <f>IF(tblMovimientos[[#This Row],[Producto]]="","",TRIM(LEFT(tblMovimientos[[#This Row],[Producto]],FIND(" · ",tblMovimientos[[#This Row],[Producto]]&amp;" · ")-1)))</f>
        <v/>
      </c>
      <c r="H4346" s="40" t="str">
        <f>IF(tblMovimientos[[#This Row],[SKU]]="","",IFERROR(INDEX(tblProductos[Unidad],MATCH(tblMovimientos[[#This Row],[SKU]],tblProductos[SKU],0)),"?"))</f>
        <v/>
      </c>
      <c r="I4346" s="39"/>
      <c r="J4346" s="47" t="str">
        <f>IF(tblMovimientos[[#This Row],[Tipo]]="","",IFERROR(INDEX(tblTiposMov[FactorStock],MATCH(tblMovimientos[[#This Row],[Tipo]],tblTiposMov[Tipo],0)),0))</f>
        <v/>
      </c>
      <c r="K43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6" s="37"/>
      <c r="O4346" s="37"/>
      <c r="P4346" s="37"/>
    </row>
    <row r="4347" spans="2:16" x14ac:dyDescent="0.25">
      <c r="B43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7" s="46"/>
      <c r="D4347" s="37"/>
      <c r="E4347" s="37"/>
      <c r="F4347" s="37"/>
      <c r="G4347" s="40" t="str">
        <f>IF(tblMovimientos[[#This Row],[Producto]]="","",TRIM(LEFT(tblMovimientos[[#This Row],[Producto]],FIND(" · ",tblMovimientos[[#This Row],[Producto]]&amp;" · ")-1)))</f>
        <v/>
      </c>
      <c r="H4347" s="40" t="str">
        <f>IF(tblMovimientos[[#This Row],[SKU]]="","",IFERROR(INDEX(tblProductos[Unidad],MATCH(tblMovimientos[[#This Row],[SKU]],tblProductos[SKU],0)),"?"))</f>
        <v/>
      </c>
      <c r="I4347" s="39"/>
      <c r="J4347" s="47" t="str">
        <f>IF(tblMovimientos[[#This Row],[Tipo]]="","",IFERROR(INDEX(tblTiposMov[FactorStock],MATCH(tblMovimientos[[#This Row],[Tipo]],tblTiposMov[Tipo],0)),0))</f>
        <v/>
      </c>
      <c r="K43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7" s="37"/>
      <c r="O4347" s="37"/>
      <c r="P4347" s="37"/>
    </row>
    <row r="4348" spans="2:16" x14ac:dyDescent="0.25">
      <c r="B43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8" s="46"/>
      <c r="D4348" s="37"/>
      <c r="E4348" s="37"/>
      <c r="F4348" s="37"/>
      <c r="G4348" s="40" t="str">
        <f>IF(tblMovimientos[[#This Row],[Producto]]="","",TRIM(LEFT(tblMovimientos[[#This Row],[Producto]],FIND(" · ",tblMovimientos[[#This Row],[Producto]]&amp;" · ")-1)))</f>
        <v/>
      </c>
      <c r="H4348" s="40" t="str">
        <f>IF(tblMovimientos[[#This Row],[SKU]]="","",IFERROR(INDEX(tblProductos[Unidad],MATCH(tblMovimientos[[#This Row],[SKU]],tblProductos[SKU],0)),"?"))</f>
        <v/>
      </c>
      <c r="I4348" s="39"/>
      <c r="J4348" s="47" t="str">
        <f>IF(tblMovimientos[[#This Row],[Tipo]]="","",IFERROR(INDEX(tblTiposMov[FactorStock],MATCH(tblMovimientos[[#This Row],[Tipo]],tblTiposMov[Tipo],0)),0))</f>
        <v/>
      </c>
      <c r="K43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8" s="37"/>
      <c r="O4348" s="37"/>
      <c r="P4348" s="37"/>
    </row>
    <row r="4349" spans="2:16" x14ac:dyDescent="0.25">
      <c r="B43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49" s="46"/>
      <c r="D4349" s="37"/>
      <c r="E4349" s="37"/>
      <c r="F4349" s="37"/>
      <c r="G4349" s="40" t="str">
        <f>IF(tblMovimientos[[#This Row],[Producto]]="","",TRIM(LEFT(tblMovimientos[[#This Row],[Producto]],FIND(" · ",tblMovimientos[[#This Row],[Producto]]&amp;" · ")-1)))</f>
        <v/>
      </c>
      <c r="H4349" s="40" t="str">
        <f>IF(tblMovimientos[[#This Row],[SKU]]="","",IFERROR(INDEX(tblProductos[Unidad],MATCH(tblMovimientos[[#This Row],[SKU]],tblProductos[SKU],0)),"?"))</f>
        <v/>
      </c>
      <c r="I4349" s="39"/>
      <c r="J4349" s="47" t="str">
        <f>IF(tblMovimientos[[#This Row],[Tipo]]="","",IFERROR(INDEX(tblTiposMov[FactorStock],MATCH(tblMovimientos[[#This Row],[Tipo]],tblTiposMov[Tipo],0)),0))</f>
        <v/>
      </c>
      <c r="K43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49" s="37"/>
      <c r="O4349" s="37"/>
      <c r="P4349" s="37"/>
    </row>
    <row r="4350" spans="2:16" x14ac:dyDescent="0.25">
      <c r="B43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0" s="46"/>
      <c r="D4350" s="37"/>
      <c r="E4350" s="37"/>
      <c r="F4350" s="37"/>
      <c r="G4350" s="40" t="str">
        <f>IF(tblMovimientos[[#This Row],[Producto]]="","",TRIM(LEFT(tblMovimientos[[#This Row],[Producto]],FIND(" · ",tblMovimientos[[#This Row],[Producto]]&amp;" · ")-1)))</f>
        <v/>
      </c>
      <c r="H4350" s="40" t="str">
        <f>IF(tblMovimientos[[#This Row],[SKU]]="","",IFERROR(INDEX(tblProductos[Unidad],MATCH(tblMovimientos[[#This Row],[SKU]],tblProductos[SKU],0)),"?"))</f>
        <v/>
      </c>
      <c r="I4350" s="39"/>
      <c r="J4350" s="47" t="str">
        <f>IF(tblMovimientos[[#This Row],[Tipo]]="","",IFERROR(INDEX(tblTiposMov[FactorStock],MATCH(tblMovimientos[[#This Row],[Tipo]],tblTiposMov[Tipo],0)),0))</f>
        <v/>
      </c>
      <c r="K43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0" s="37"/>
      <c r="O4350" s="37"/>
      <c r="P4350" s="37"/>
    </row>
    <row r="4351" spans="2:16" x14ac:dyDescent="0.25">
      <c r="B43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1" s="46"/>
      <c r="D4351" s="37"/>
      <c r="E4351" s="37"/>
      <c r="F4351" s="37"/>
      <c r="G4351" s="40" t="str">
        <f>IF(tblMovimientos[[#This Row],[Producto]]="","",TRIM(LEFT(tblMovimientos[[#This Row],[Producto]],FIND(" · ",tblMovimientos[[#This Row],[Producto]]&amp;" · ")-1)))</f>
        <v/>
      </c>
      <c r="H4351" s="40" t="str">
        <f>IF(tblMovimientos[[#This Row],[SKU]]="","",IFERROR(INDEX(tblProductos[Unidad],MATCH(tblMovimientos[[#This Row],[SKU]],tblProductos[SKU],0)),"?"))</f>
        <v/>
      </c>
      <c r="I4351" s="39"/>
      <c r="J4351" s="47" t="str">
        <f>IF(tblMovimientos[[#This Row],[Tipo]]="","",IFERROR(INDEX(tblTiposMov[FactorStock],MATCH(tblMovimientos[[#This Row],[Tipo]],tblTiposMov[Tipo],0)),0))</f>
        <v/>
      </c>
      <c r="K43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1" s="37"/>
      <c r="O4351" s="37"/>
      <c r="P4351" s="37"/>
    </row>
    <row r="4352" spans="2:16" x14ac:dyDescent="0.25">
      <c r="B43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2" s="46"/>
      <c r="D4352" s="37"/>
      <c r="E4352" s="37"/>
      <c r="F4352" s="37"/>
      <c r="G4352" s="40" t="str">
        <f>IF(tblMovimientos[[#This Row],[Producto]]="","",TRIM(LEFT(tblMovimientos[[#This Row],[Producto]],FIND(" · ",tblMovimientos[[#This Row],[Producto]]&amp;" · ")-1)))</f>
        <v/>
      </c>
      <c r="H4352" s="40" t="str">
        <f>IF(tblMovimientos[[#This Row],[SKU]]="","",IFERROR(INDEX(tblProductos[Unidad],MATCH(tblMovimientos[[#This Row],[SKU]],tblProductos[SKU],0)),"?"))</f>
        <v/>
      </c>
      <c r="I4352" s="39"/>
      <c r="J4352" s="47" t="str">
        <f>IF(tblMovimientos[[#This Row],[Tipo]]="","",IFERROR(INDEX(tblTiposMov[FactorStock],MATCH(tblMovimientos[[#This Row],[Tipo]],tblTiposMov[Tipo],0)),0))</f>
        <v/>
      </c>
      <c r="K43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2" s="37"/>
      <c r="O4352" s="37"/>
      <c r="P4352" s="37"/>
    </row>
    <row r="4353" spans="2:16" x14ac:dyDescent="0.25">
      <c r="B43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3" s="46"/>
      <c r="D4353" s="37"/>
      <c r="E4353" s="37"/>
      <c r="F4353" s="37"/>
      <c r="G4353" s="40" t="str">
        <f>IF(tblMovimientos[[#This Row],[Producto]]="","",TRIM(LEFT(tblMovimientos[[#This Row],[Producto]],FIND(" · ",tblMovimientos[[#This Row],[Producto]]&amp;" · ")-1)))</f>
        <v/>
      </c>
      <c r="H4353" s="40" t="str">
        <f>IF(tblMovimientos[[#This Row],[SKU]]="","",IFERROR(INDEX(tblProductos[Unidad],MATCH(tblMovimientos[[#This Row],[SKU]],tblProductos[SKU],0)),"?"))</f>
        <v/>
      </c>
      <c r="I4353" s="39"/>
      <c r="J4353" s="47" t="str">
        <f>IF(tblMovimientos[[#This Row],[Tipo]]="","",IFERROR(INDEX(tblTiposMov[FactorStock],MATCH(tblMovimientos[[#This Row],[Tipo]],tblTiposMov[Tipo],0)),0))</f>
        <v/>
      </c>
      <c r="K43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3" s="37"/>
      <c r="O4353" s="37"/>
      <c r="P4353" s="37"/>
    </row>
    <row r="4354" spans="2:16" x14ac:dyDescent="0.25">
      <c r="B43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4" s="46"/>
      <c r="D4354" s="37"/>
      <c r="E4354" s="37"/>
      <c r="F4354" s="37"/>
      <c r="G4354" s="40" t="str">
        <f>IF(tblMovimientos[[#This Row],[Producto]]="","",TRIM(LEFT(tblMovimientos[[#This Row],[Producto]],FIND(" · ",tblMovimientos[[#This Row],[Producto]]&amp;" · ")-1)))</f>
        <v/>
      </c>
      <c r="H4354" s="40" t="str">
        <f>IF(tblMovimientos[[#This Row],[SKU]]="","",IFERROR(INDEX(tblProductos[Unidad],MATCH(tblMovimientos[[#This Row],[SKU]],tblProductos[SKU],0)),"?"))</f>
        <v/>
      </c>
      <c r="I4354" s="39"/>
      <c r="J4354" s="47" t="str">
        <f>IF(tblMovimientos[[#This Row],[Tipo]]="","",IFERROR(INDEX(tblTiposMov[FactorStock],MATCH(tblMovimientos[[#This Row],[Tipo]],tblTiposMov[Tipo],0)),0))</f>
        <v/>
      </c>
      <c r="K43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4" s="37"/>
      <c r="O4354" s="37"/>
      <c r="P4354" s="37"/>
    </row>
    <row r="4355" spans="2:16" x14ac:dyDescent="0.25">
      <c r="B43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5" s="46"/>
      <c r="D4355" s="37"/>
      <c r="E4355" s="37"/>
      <c r="F4355" s="37"/>
      <c r="G4355" s="40" t="str">
        <f>IF(tblMovimientos[[#This Row],[Producto]]="","",TRIM(LEFT(tblMovimientos[[#This Row],[Producto]],FIND(" · ",tblMovimientos[[#This Row],[Producto]]&amp;" · ")-1)))</f>
        <v/>
      </c>
      <c r="H4355" s="40" t="str">
        <f>IF(tblMovimientos[[#This Row],[SKU]]="","",IFERROR(INDEX(tblProductos[Unidad],MATCH(tblMovimientos[[#This Row],[SKU]],tblProductos[SKU],0)),"?"))</f>
        <v/>
      </c>
      <c r="I4355" s="39"/>
      <c r="J4355" s="47" t="str">
        <f>IF(tblMovimientos[[#This Row],[Tipo]]="","",IFERROR(INDEX(tblTiposMov[FactorStock],MATCH(tblMovimientos[[#This Row],[Tipo]],tblTiposMov[Tipo],0)),0))</f>
        <v/>
      </c>
      <c r="K43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5" s="37"/>
      <c r="O4355" s="37"/>
      <c r="P4355" s="37"/>
    </row>
    <row r="4356" spans="2:16" x14ac:dyDescent="0.25">
      <c r="B43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6" s="46"/>
      <c r="D4356" s="37"/>
      <c r="E4356" s="37"/>
      <c r="F4356" s="37"/>
      <c r="G4356" s="40" t="str">
        <f>IF(tblMovimientos[[#This Row],[Producto]]="","",TRIM(LEFT(tblMovimientos[[#This Row],[Producto]],FIND(" · ",tblMovimientos[[#This Row],[Producto]]&amp;" · ")-1)))</f>
        <v/>
      </c>
      <c r="H4356" s="40" t="str">
        <f>IF(tblMovimientos[[#This Row],[SKU]]="","",IFERROR(INDEX(tblProductos[Unidad],MATCH(tblMovimientos[[#This Row],[SKU]],tblProductos[SKU],0)),"?"))</f>
        <v/>
      </c>
      <c r="I4356" s="39"/>
      <c r="J4356" s="47" t="str">
        <f>IF(tblMovimientos[[#This Row],[Tipo]]="","",IFERROR(INDEX(tblTiposMov[FactorStock],MATCH(tblMovimientos[[#This Row],[Tipo]],tblTiposMov[Tipo],0)),0))</f>
        <v/>
      </c>
      <c r="K43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6" s="37"/>
      <c r="O4356" s="37"/>
      <c r="P4356" s="37"/>
    </row>
    <row r="4357" spans="2:16" x14ac:dyDescent="0.25">
      <c r="B43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7" s="46"/>
      <c r="D4357" s="37"/>
      <c r="E4357" s="37"/>
      <c r="F4357" s="37"/>
      <c r="G4357" s="40" t="str">
        <f>IF(tblMovimientos[[#This Row],[Producto]]="","",TRIM(LEFT(tblMovimientos[[#This Row],[Producto]],FIND(" · ",tblMovimientos[[#This Row],[Producto]]&amp;" · ")-1)))</f>
        <v/>
      </c>
      <c r="H4357" s="40" t="str">
        <f>IF(tblMovimientos[[#This Row],[SKU]]="","",IFERROR(INDEX(tblProductos[Unidad],MATCH(tblMovimientos[[#This Row],[SKU]],tblProductos[SKU],0)),"?"))</f>
        <v/>
      </c>
      <c r="I4357" s="39"/>
      <c r="J4357" s="47" t="str">
        <f>IF(tblMovimientos[[#This Row],[Tipo]]="","",IFERROR(INDEX(tblTiposMov[FactorStock],MATCH(tblMovimientos[[#This Row],[Tipo]],tblTiposMov[Tipo],0)),0))</f>
        <v/>
      </c>
      <c r="K43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7" s="37"/>
      <c r="O4357" s="37"/>
      <c r="P4357" s="37"/>
    </row>
    <row r="4358" spans="2:16" x14ac:dyDescent="0.25">
      <c r="B43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8" s="46"/>
      <c r="D4358" s="37"/>
      <c r="E4358" s="37"/>
      <c r="F4358" s="37"/>
      <c r="G4358" s="40" t="str">
        <f>IF(tblMovimientos[[#This Row],[Producto]]="","",TRIM(LEFT(tblMovimientos[[#This Row],[Producto]],FIND(" · ",tblMovimientos[[#This Row],[Producto]]&amp;" · ")-1)))</f>
        <v/>
      </c>
      <c r="H4358" s="40" t="str">
        <f>IF(tblMovimientos[[#This Row],[SKU]]="","",IFERROR(INDEX(tblProductos[Unidad],MATCH(tblMovimientos[[#This Row],[SKU]],tblProductos[SKU],0)),"?"))</f>
        <v/>
      </c>
      <c r="I4358" s="39"/>
      <c r="J4358" s="47" t="str">
        <f>IF(tblMovimientos[[#This Row],[Tipo]]="","",IFERROR(INDEX(tblTiposMov[FactorStock],MATCH(tblMovimientos[[#This Row],[Tipo]],tblTiposMov[Tipo],0)),0))</f>
        <v/>
      </c>
      <c r="K43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8" s="37"/>
      <c r="O4358" s="37"/>
      <c r="P4358" s="37"/>
    </row>
    <row r="4359" spans="2:16" x14ac:dyDescent="0.25">
      <c r="B43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59" s="46"/>
      <c r="D4359" s="37"/>
      <c r="E4359" s="37"/>
      <c r="F4359" s="37"/>
      <c r="G4359" s="40" t="str">
        <f>IF(tblMovimientos[[#This Row],[Producto]]="","",TRIM(LEFT(tblMovimientos[[#This Row],[Producto]],FIND(" · ",tblMovimientos[[#This Row],[Producto]]&amp;" · ")-1)))</f>
        <v/>
      </c>
      <c r="H4359" s="40" t="str">
        <f>IF(tblMovimientos[[#This Row],[SKU]]="","",IFERROR(INDEX(tblProductos[Unidad],MATCH(tblMovimientos[[#This Row],[SKU]],tblProductos[SKU],0)),"?"))</f>
        <v/>
      </c>
      <c r="I4359" s="39"/>
      <c r="J4359" s="47" t="str">
        <f>IF(tblMovimientos[[#This Row],[Tipo]]="","",IFERROR(INDEX(tblTiposMov[FactorStock],MATCH(tblMovimientos[[#This Row],[Tipo]],tblTiposMov[Tipo],0)),0))</f>
        <v/>
      </c>
      <c r="K43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59" s="37"/>
      <c r="O4359" s="37"/>
      <c r="P4359" s="37"/>
    </row>
    <row r="4360" spans="2:16" x14ac:dyDescent="0.25">
      <c r="B43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0" s="46"/>
      <c r="D4360" s="37"/>
      <c r="E4360" s="37"/>
      <c r="F4360" s="37"/>
      <c r="G4360" s="40" t="str">
        <f>IF(tblMovimientos[[#This Row],[Producto]]="","",TRIM(LEFT(tblMovimientos[[#This Row],[Producto]],FIND(" · ",tblMovimientos[[#This Row],[Producto]]&amp;" · ")-1)))</f>
        <v/>
      </c>
      <c r="H4360" s="40" t="str">
        <f>IF(tblMovimientos[[#This Row],[SKU]]="","",IFERROR(INDEX(tblProductos[Unidad],MATCH(tblMovimientos[[#This Row],[SKU]],tblProductos[SKU],0)),"?"))</f>
        <v/>
      </c>
      <c r="I4360" s="39"/>
      <c r="J4360" s="47" t="str">
        <f>IF(tblMovimientos[[#This Row],[Tipo]]="","",IFERROR(INDEX(tblTiposMov[FactorStock],MATCH(tblMovimientos[[#This Row],[Tipo]],tblTiposMov[Tipo],0)),0))</f>
        <v/>
      </c>
      <c r="K43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0" s="37"/>
      <c r="O4360" s="37"/>
      <c r="P4360" s="37"/>
    </row>
    <row r="4361" spans="2:16" x14ac:dyDescent="0.25">
      <c r="B43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1" s="46"/>
      <c r="D4361" s="37"/>
      <c r="E4361" s="37"/>
      <c r="F4361" s="37"/>
      <c r="G4361" s="40" t="str">
        <f>IF(tblMovimientos[[#This Row],[Producto]]="","",TRIM(LEFT(tblMovimientos[[#This Row],[Producto]],FIND(" · ",tblMovimientos[[#This Row],[Producto]]&amp;" · ")-1)))</f>
        <v/>
      </c>
      <c r="H4361" s="40" t="str">
        <f>IF(tblMovimientos[[#This Row],[SKU]]="","",IFERROR(INDEX(tblProductos[Unidad],MATCH(tblMovimientos[[#This Row],[SKU]],tblProductos[SKU],0)),"?"))</f>
        <v/>
      </c>
      <c r="I4361" s="39"/>
      <c r="J4361" s="47" t="str">
        <f>IF(tblMovimientos[[#This Row],[Tipo]]="","",IFERROR(INDEX(tblTiposMov[FactorStock],MATCH(tblMovimientos[[#This Row],[Tipo]],tblTiposMov[Tipo],0)),0))</f>
        <v/>
      </c>
      <c r="K43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1" s="37"/>
      <c r="O4361" s="37"/>
      <c r="P4361" s="37"/>
    </row>
    <row r="4362" spans="2:16" x14ac:dyDescent="0.25">
      <c r="B43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2" s="46"/>
      <c r="D4362" s="37"/>
      <c r="E4362" s="37"/>
      <c r="F4362" s="37"/>
      <c r="G4362" s="40" t="str">
        <f>IF(tblMovimientos[[#This Row],[Producto]]="","",TRIM(LEFT(tblMovimientos[[#This Row],[Producto]],FIND(" · ",tblMovimientos[[#This Row],[Producto]]&amp;" · ")-1)))</f>
        <v/>
      </c>
      <c r="H4362" s="40" t="str">
        <f>IF(tblMovimientos[[#This Row],[SKU]]="","",IFERROR(INDEX(tblProductos[Unidad],MATCH(tblMovimientos[[#This Row],[SKU]],tblProductos[SKU],0)),"?"))</f>
        <v/>
      </c>
      <c r="I4362" s="39"/>
      <c r="J4362" s="47" t="str">
        <f>IF(tblMovimientos[[#This Row],[Tipo]]="","",IFERROR(INDEX(tblTiposMov[FactorStock],MATCH(tblMovimientos[[#This Row],[Tipo]],tblTiposMov[Tipo],0)),0))</f>
        <v/>
      </c>
      <c r="K43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2" s="37"/>
      <c r="O4362" s="37"/>
      <c r="P4362" s="37"/>
    </row>
    <row r="4363" spans="2:16" x14ac:dyDescent="0.25">
      <c r="B43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3" s="46"/>
      <c r="D4363" s="37"/>
      <c r="E4363" s="37"/>
      <c r="F4363" s="37"/>
      <c r="G4363" s="40" t="str">
        <f>IF(tblMovimientos[[#This Row],[Producto]]="","",TRIM(LEFT(tblMovimientos[[#This Row],[Producto]],FIND(" · ",tblMovimientos[[#This Row],[Producto]]&amp;" · ")-1)))</f>
        <v/>
      </c>
      <c r="H4363" s="40" t="str">
        <f>IF(tblMovimientos[[#This Row],[SKU]]="","",IFERROR(INDEX(tblProductos[Unidad],MATCH(tblMovimientos[[#This Row],[SKU]],tblProductos[SKU],0)),"?"))</f>
        <v/>
      </c>
      <c r="I4363" s="39"/>
      <c r="J4363" s="47" t="str">
        <f>IF(tblMovimientos[[#This Row],[Tipo]]="","",IFERROR(INDEX(tblTiposMov[FactorStock],MATCH(tblMovimientos[[#This Row],[Tipo]],tblTiposMov[Tipo],0)),0))</f>
        <v/>
      </c>
      <c r="K43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3" s="37"/>
      <c r="O4363" s="37"/>
      <c r="P4363" s="37"/>
    </row>
    <row r="4364" spans="2:16" x14ac:dyDescent="0.25">
      <c r="B43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4" s="46"/>
      <c r="D4364" s="37"/>
      <c r="E4364" s="37"/>
      <c r="F4364" s="37"/>
      <c r="G4364" s="40" t="str">
        <f>IF(tblMovimientos[[#This Row],[Producto]]="","",TRIM(LEFT(tblMovimientos[[#This Row],[Producto]],FIND(" · ",tblMovimientos[[#This Row],[Producto]]&amp;" · ")-1)))</f>
        <v/>
      </c>
      <c r="H4364" s="40" t="str">
        <f>IF(tblMovimientos[[#This Row],[SKU]]="","",IFERROR(INDEX(tblProductos[Unidad],MATCH(tblMovimientos[[#This Row],[SKU]],tblProductos[SKU],0)),"?"))</f>
        <v/>
      </c>
      <c r="I4364" s="39"/>
      <c r="J4364" s="47" t="str">
        <f>IF(tblMovimientos[[#This Row],[Tipo]]="","",IFERROR(INDEX(tblTiposMov[FactorStock],MATCH(tblMovimientos[[#This Row],[Tipo]],tblTiposMov[Tipo],0)),0))</f>
        <v/>
      </c>
      <c r="K43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4" s="37"/>
      <c r="O4364" s="37"/>
      <c r="P4364" s="37"/>
    </row>
    <row r="4365" spans="2:16" x14ac:dyDescent="0.25">
      <c r="B43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5" s="46"/>
      <c r="D4365" s="37"/>
      <c r="E4365" s="37"/>
      <c r="F4365" s="37"/>
      <c r="G4365" s="40" t="str">
        <f>IF(tblMovimientos[[#This Row],[Producto]]="","",TRIM(LEFT(tblMovimientos[[#This Row],[Producto]],FIND(" · ",tblMovimientos[[#This Row],[Producto]]&amp;" · ")-1)))</f>
        <v/>
      </c>
      <c r="H4365" s="40" t="str">
        <f>IF(tblMovimientos[[#This Row],[SKU]]="","",IFERROR(INDEX(tblProductos[Unidad],MATCH(tblMovimientos[[#This Row],[SKU]],tblProductos[SKU],0)),"?"))</f>
        <v/>
      </c>
      <c r="I4365" s="39"/>
      <c r="J4365" s="47" t="str">
        <f>IF(tblMovimientos[[#This Row],[Tipo]]="","",IFERROR(INDEX(tblTiposMov[FactorStock],MATCH(tblMovimientos[[#This Row],[Tipo]],tblTiposMov[Tipo],0)),0))</f>
        <v/>
      </c>
      <c r="K43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5" s="37"/>
      <c r="O4365" s="37"/>
      <c r="P4365" s="37"/>
    </row>
    <row r="4366" spans="2:16" x14ac:dyDescent="0.25">
      <c r="B43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6" s="46"/>
      <c r="D4366" s="37"/>
      <c r="E4366" s="37"/>
      <c r="F4366" s="37"/>
      <c r="G4366" s="40" t="str">
        <f>IF(tblMovimientos[[#This Row],[Producto]]="","",TRIM(LEFT(tblMovimientos[[#This Row],[Producto]],FIND(" · ",tblMovimientos[[#This Row],[Producto]]&amp;" · ")-1)))</f>
        <v/>
      </c>
      <c r="H4366" s="40" t="str">
        <f>IF(tblMovimientos[[#This Row],[SKU]]="","",IFERROR(INDEX(tblProductos[Unidad],MATCH(tblMovimientos[[#This Row],[SKU]],tblProductos[SKU],0)),"?"))</f>
        <v/>
      </c>
      <c r="I4366" s="39"/>
      <c r="J4366" s="47" t="str">
        <f>IF(tblMovimientos[[#This Row],[Tipo]]="","",IFERROR(INDEX(tblTiposMov[FactorStock],MATCH(tblMovimientos[[#This Row],[Tipo]],tblTiposMov[Tipo],0)),0))</f>
        <v/>
      </c>
      <c r="K43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6" s="37"/>
      <c r="O4366" s="37"/>
      <c r="P4366" s="37"/>
    </row>
    <row r="4367" spans="2:16" x14ac:dyDescent="0.25">
      <c r="B43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7" s="46"/>
      <c r="D4367" s="37"/>
      <c r="E4367" s="37"/>
      <c r="F4367" s="37"/>
      <c r="G4367" s="40" t="str">
        <f>IF(tblMovimientos[[#This Row],[Producto]]="","",TRIM(LEFT(tblMovimientos[[#This Row],[Producto]],FIND(" · ",tblMovimientos[[#This Row],[Producto]]&amp;" · ")-1)))</f>
        <v/>
      </c>
      <c r="H4367" s="40" t="str">
        <f>IF(tblMovimientos[[#This Row],[SKU]]="","",IFERROR(INDEX(tblProductos[Unidad],MATCH(tblMovimientos[[#This Row],[SKU]],tblProductos[SKU],0)),"?"))</f>
        <v/>
      </c>
      <c r="I4367" s="39"/>
      <c r="J4367" s="47" t="str">
        <f>IF(tblMovimientos[[#This Row],[Tipo]]="","",IFERROR(INDEX(tblTiposMov[FactorStock],MATCH(tblMovimientos[[#This Row],[Tipo]],tblTiposMov[Tipo],0)),0))</f>
        <v/>
      </c>
      <c r="K43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7" s="37"/>
      <c r="O4367" s="37"/>
      <c r="P4367" s="37"/>
    </row>
    <row r="4368" spans="2:16" x14ac:dyDescent="0.25">
      <c r="B43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8" s="46"/>
      <c r="D4368" s="37"/>
      <c r="E4368" s="37"/>
      <c r="F4368" s="37"/>
      <c r="G4368" s="40" t="str">
        <f>IF(tblMovimientos[[#This Row],[Producto]]="","",TRIM(LEFT(tblMovimientos[[#This Row],[Producto]],FIND(" · ",tblMovimientos[[#This Row],[Producto]]&amp;" · ")-1)))</f>
        <v/>
      </c>
      <c r="H4368" s="40" t="str">
        <f>IF(tblMovimientos[[#This Row],[SKU]]="","",IFERROR(INDEX(tblProductos[Unidad],MATCH(tblMovimientos[[#This Row],[SKU]],tblProductos[SKU],0)),"?"))</f>
        <v/>
      </c>
      <c r="I4368" s="39"/>
      <c r="J4368" s="47" t="str">
        <f>IF(tblMovimientos[[#This Row],[Tipo]]="","",IFERROR(INDEX(tblTiposMov[FactorStock],MATCH(tblMovimientos[[#This Row],[Tipo]],tblTiposMov[Tipo],0)),0))</f>
        <v/>
      </c>
      <c r="K43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8" s="37"/>
      <c r="O4368" s="37"/>
      <c r="P4368" s="37"/>
    </row>
    <row r="4369" spans="2:16" x14ac:dyDescent="0.25">
      <c r="B43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69" s="46"/>
      <c r="D4369" s="37"/>
      <c r="E4369" s="37"/>
      <c r="F4369" s="37"/>
      <c r="G4369" s="40" t="str">
        <f>IF(tblMovimientos[[#This Row],[Producto]]="","",TRIM(LEFT(tblMovimientos[[#This Row],[Producto]],FIND(" · ",tblMovimientos[[#This Row],[Producto]]&amp;" · ")-1)))</f>
        <v/>
      </c>
      <c r="H4369" s="40" t="str">
        <f>IF(tblMovimientos[[#This Row],[SKU]]="","",IFERROR(INDEX(tblProductos[Unidad],MATCH(tblMovimientos[[#This Row],[SKU]],tblProductos[SKU],0)),"?"))</f>
        <v/>
      </c>
      <c r="I4369" s="39"/>
      <c r="J4369" s="47" t="str">
        <f>IF(tblMovimientos[[#This Row],[Tipo]]="","",IFERROR(INDEX(tblTiposMov[FactorStock],MATCH(tblMovimientos[[#This Row],[Tipo]],tblTiposMov[Tipo],0)),0))</f>
        <v/>
      </c>
      <c r="K43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69" s="37"/>
      <c r="O4369" s="37"/>
      <c r="P4369" s="37"/>
    </row>
    <row r="4370" spans="2:16" x14ac:dyDescent="0.25">
      <c r="B43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0" s="46"/>
      <c r="D4370" s="37"/>
      <c r="E4370" s="37"/>
      <c r="F4370" s="37"/>
      <c r="G4370" s="40" t="str">
        <f>IF(tblMovimientos[[#This Row],[Producto]]="","",TRIM(LEFT(tblMovimientos[[#This Row],[Producto]],FIND(" · ",tblMovimientos[[#This Row],[Producto]]&amp;" · ")-1)))</f>
        <v/>
      </c>
      <c r="H4370" s="40" t="str">
        <f>IF(tblMovimientos[[#This Row],[SKU]]="","",IFERROR(INDEX(tblProductos[Unidad],MATCH(tblMovimientos[[#This Row],[SKU]],tblProductos[SKU],0)),"?"))</f>
        <v/>
      </c>
      <c r="I4370" s="39"/>
      <c r="J4370" s="47" t="str">
        <f>IF(tblMovimientos[[#This Row],[Tipo]]="","",IFERROR(INDEX(tblTiposMov[FactorStock],MATCH(tblMovimientos[[#This Row],[Tipo]],tblTiposMov[Tipo],0)),0))</f>
        <v/>
      </c>
      <c r="K43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0" s="37"/>
      <c r="O4370" s="37"/>
      <c r="P4370" s="37"/>
    </row>
    <row r="4371" spans="2:16" x14ac:dyDescent="0.25">
      <c r="B43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1" s="46"/>
      <c r="D4371" s="37"/>
      <c r="E4371" s="37"/>
      <c r="F4371" s="37"/>
      <c r="G4371" s="40" t="str">
        <f>IF(tblMovimientos[[#This Row],[Producto]]="","",TRIM(LEFT(tblMovimientos[[#This Row],[Producto]],FIND(" · ",tblMovimientos[[#This Row],[Producto]]&amp;" · ")-1)))</f>
        <v/>
      </c>
      <c r="H4371" s="40" t="str">
        <f>IF(tblMovimientos[[#This Row],[SKU]]="","",IFERROR(INDEX(tblProductos[Unidad],MATCH(tblMovimientos[[#This Row],[SKU]],tblProductos[SKU],0)),"?"))</f>
        <v/>
      </c>
      <c r="I4371" s="39"/>
      <c r="J4371" s="47" t="str">
        <f>IF(tblMovimientos[[#This Row],[Tipo]]="","",IFERROR(INDEX(tblTiposMov[FactorStock],MATCH(tblMovimientos[[#This Row],[Tipo]],tblTiposMov[Tipo],0)),0))</f>
        <v/>
      </c>
      <c r="K43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1" s="37"/>
      <c r="O4371" s="37"/>
      <c r="P4371" s="37"/>
    </row>
    <row r="4372" spans="2:16" x14ac:dyDescent="0.25">
      <c r="B43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2" s="46"/>
      <c r="D4372" s="37"/>
      <c r="E4372" s="37"/>
      <c r="F4372" s="37"/>
      <c r="G4372" s="40" t="str">
        <f>IF(tblMovimientos[[#This Row],[Producto]]="","",TRIM(LEFT(tblMovimientos[[#This Row],[Producto]],FIND(" · ",tblMovimientos[[#This Row],[Producto]]&amp;" · ")-1)))</f>
        <v/>
      </c>
      <c r="H4372" s="40" t="str">
        <f>IF(tblMovimientos[[#This Row],[SKU]]="","",IFERROR(INDEX(tblProductos[Unidad],MATCH(tblMovimientos[[#This Row],[SKU]],tblProductos[SKU],0)),"?"))</f>
        <v/>
      </c>
      <c r="I4372" s="39"/>
      <c r="J4372" s="47" t="str">
        <f>IF(tblMovimientos[[#This Row],[Tipo]]="","",IFERROR(INDEX(tblTiposMov[FactorStock],MATCH(tblMovimientos[[#This Row],[Tipo]],tblTiposMov[Tipo],0)),0))</f>
        <v/>
      </c>
      <c r="K43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2" s="37"/>
      <c r="O4372" s="37"/>
      <c r="P4372" s="37"/>
    </row>
    <row r="4373" spans="2:16" x14ac:dyDescent="0.25">
      <c r="B43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3" s="46"/>
      <c r="D4373" s="37"/>
      <c r="E4373" s="37"/>
      <c r="F4373" s="37"/>
      <c r="G4373" s="40" t="str">
        <f>IF(tblMovimientos[[#This Row],[Producto]]="","",TRIM(LEFT(tblMovimientos[[#This Row],[Producto]],FIND(" · ",tblMovimientos[[#This Row],[Producto]]&amp;" · ")-1)))</f>
        <v/>
      </c>
      <c r="H4373" s="40" t="str">
        <f>IF(tblMovimientos[[#This Row],[SKU]]="","",IFERROR(INDEX(tblProductos[Unidad],MATCH(tblMovimientos[[#This Row],[SKU]],tblProductos[SKU],0)),"?"))</f>
        <v/>
      </c>
      <c r="I4373" s="39"/>
      <c r="J4373" s="47" t="str">
        <f>IF(tblMovimientos[[#This Row],[Tipo]]="","",IFERROR(INDEX(tblTiposMov[FactorStock],MATCH(tblMovimientos[[#This Row],[Tipo]],tblTiposMov[Tipo],0)),0))</f>
        <v/>
      </c>
      <c r="K43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3" s="37"/>
      <c r="O4373" s="37"/>
      <c r="P4373" s="37"/>
    </row>
    <row r="4374" spans="2:16" x14ac:dyDescent="0.25">
      <c r="B43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4" s="46"/>
      <c r="D4374" s="37"/>
      <c r="E4374" s="37"/>
      <c r="F4374" s="37"/>
      <c r="G4374" s="40" t="str">
        <f>IF(tblMovimientos[[#This Row],[Producto]]="","",TRIM(LEFT(tblMovimientos[[#This Row],[Producto]],FIND(" · ",tblMovimientos[[#This Row],[Producto]]&amp;" · ")-1)))</f>
        <v/>
      </c>
      <c r="H4374" s="40" t="str">
        <f>IF(tblMovimientos[[#This Row],[SKU]]="","",IFERROR(INDEX(tblProductos[Unidad],MATCH(tblMovimientos[[#This Row],[SKU]],tblProductos[SKU],0)),"?"))</f>
        <v/>
      </c>
      <c r="I4374" s="39"/>
      <c r="J4374" s="47" t="str">
        <f>IF(tblMovimientos[[#This Row],[Tipo]]="","",IFERROR(INDEX(tblTiposMov[FactorStock],MATCH(tblMovimientos[[#This Row],[Tipo]],tblTiposMov[Tipo],0)),0))</f>
        <v/>
      </c>
      <c r="K43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4" s="37"/>
      <c r="O4374" s="37"/>
      <c r="P4374" s="37"/>
    </row>
    <row r="4375" spans="2:16" x14ac:dyDescent="0.25">
      <c r="B43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5" s="46"/>
      <c r="D4375" s="37"/>
      <c r="E4375" s="37"/>
      <c r="F4375" s="37"/>
      <c r="G4375" s="40" t="str">
        <f>IF(tblMovimientos[[#This Row],[Producto]]="","",TRIM(LEFT(tblMovimientos[[#This Row],[Producto]],FIND(" · ",tblMovimientos[[#This Row],[Producto]]&amp;" · ")-1)))</f>
        <v/>
      </c>
      <c r="H4375" s="40" t="str">
        <f>IF(tblMovimientos[[#This Row],[SKU]]="","",IFERROR(INDEX(tblProductos[Unidad],MATCH(tblMovimientos[[#This Row],[SKU]],tblProductos[SKU],0)),"?"))</f>
        <v/>
      </c>
      <c r="I4375" s="39"/>
      <c r="J4375" s="47" t="str">
        <f>IF(tblMovimientos[[#This Row],[Tipo]]="","",IFERROR(INDEX(tblTiposMov[FactorStock],MATCH(tblMovimientos[[#This Row],[Tipo]],tblTiposMov[Tipo],0)),0))</f>
        <v/>
      </c>
      <c r="K43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5" s="37"/>
      <c r="O4375" s="37"/>
      <c r="P4375" s="37"/>
    </row>
    <row r="4376" spans="2:16" x14ac:dyDescent="0.25">
      <c r="B43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6" s="46"/>
      <c r="D4376" s="37"/>
      <c r="E4376" s="37"/>
      <c r="F4376" s="37"/>
      <c r="G4376" s="40" t="str">
        <f>IF(tblMovimientos[[#This Row],[Producto]]="","",TRIM(LEFT(tblMovimientos[[#This Row],[Producto]],FIND(" · ",tblMovimientos[[#This Row],[Producto]]&amp;" · ")-1)))</f>
        <v/>
      </c>
      <c r="H4376" s="40" t="str">
        <f>IF(tblMovimientos[[#This Row],[SKU]]="","",IFERROR(INDEX(tblProductos[Unidad],MATCH(tblMovimientos[[#This Row],[SKU]],tblProductos[SKU],0)),"?"))</f>
        <v/>
      </c>
      <c r="I4376" s="39"/>
      <c r="J4376" s="47" t="str">
        <f>IF(tblMovimientos[[#This Row],[Tipo]]="","",IFERROR(INDEX(tblTiposMov[FactorStock],MATCH(tblMovimientos[[#This Row],[Tipo]],tblTiposMov[Tipo],0)),0))</f>
        <v/>
      </c>
      <c r="K43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6" s="37"/>
      <c r="O4376" s="37"/>
      <c r="P4376" s="37"/>
    </row>
    <row r="4377" spans="2:16" x14ac:dyDescent="0.25">
      <c r="B43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7" s="46"/>
      <c r="D4377" s="37"/>
      <c r="E4377" s="37"/>
      <c r="F4377" s="37"/>
      <c r="G4377" s="40" t="str">
        <f>IF(tblMovimientos[[#This Row],[Producto]]="","",TRIM(LEFT(tblMovimientos[[#This Row],[Producto]],FIND(" · ",tblMovimientos[[#This Row],[Producto]]&amp;" · ")-1)))</f>
        <v/>
      </c>
      <c r="H4377" s="40" t="str">
        <f>IF(tblMovimientos[[#This Row],[SKU]]="","",IFERROR(INDEX(tblProductos[Unidad],MATCH(tblMovimientos[[#This Row],[SKU]],tblProductos[SKU],0)),"?"))</f>
        <v/>
      </c>
      <c r="I4377" s="39"/>
      <c r="J4377" s="47" t="str">
        <f>IF(tblMovimientos[[#This Row],[Tipo]]="","",IFERROR(INDEX(tblTiposMov[FactorStock],MATCH(tblMovimientos[[#This Row],[Tipo]],tblTiposMov[Tipo],0)),0))</f>
        <v/>
      </c>
      <c r="K43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7" s="37"/>
      <c r="O4377" s="37"/>
      <c r="P4377" s="37"/>
    </row>
    <row r="4378" spans="2:16" x14ac:dyDescent="0.25">
      <c r="B43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8" s="46"/>
      <c r="D4378" s="37"/>
      <c r="E4378" s="37"/>
      <c r="F4378" s="37"/>
      <c r="G4378" s="40" t="str">
        <f>IF(tblMovimientos[[#This Row],[Producto]]="","",TRIM(LEFT(tblMovimientos[[#This Row],[Producto]],FIND(" · ",tblMovimientos[[#This Row],[Producto]]&amp;" · ")-1)))</f>
        <v/>
      </c>
      <c r="H4378" s="40" t="str">
        <f>IF(tblMovimientos[[#This Row],[SKU]]="","",IFERROR(INDEX(tblProductos[Unidad],MATCH(tblMovimientos[[#This Row],[SKU]],tblProductos[SKU],0)),"?"))</f>
        <v/>
      </c>
      <c r="I4378" s="39"/>
      <c r="J4378" s="47" t="str">
        <f>IF(tblMovimientos[[#This Row],[Tipo]]="","",IFERROR(INDEX(tblTiposMov[FactorStock],MATCH(tblMovimientos[[#This Row],[Tipo]],tblTiposMov[Tipo],0)),0))</f>
        <v/>
      </c>
      <c r="K43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8" s="37"/>
      <c r="O4378" s="37"/>
      <c r="P4378" s="37"/>
    </row>
    <row r="4379" spans="2:16" x14ac:dyDescent="0.25">
      <c r="B43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79" s="46"/>
      <c r="D4379" s="37"/>
      <c r="E4379" s="37"/>
      <c r="F4379" s="37"/>
      <c r="G4379" s="40" t="str">
        <f>IF(tblMovimientos[[#This Row],[Producto]]="","",TRIM(LEFT(tblMovimientos[[#This Row],[Producto]],FIND(" · ",tblMovimientos[[#This Row],[Producto]]&amp;" · ")-1)))</f>
        <v/>
      </c>
      <c r="H4379" s="40" t="str">
        <f>IF(tblMovimientos[[#This Row],[SKU]]="","",IFERROR(INDEX(tblProductos[Unidad],MATCH(tblMovimientos[[#This Row],[SKU]],tblProductos[SKU],0)),"?"))</f>
        <v/>
      </c>
      <c r="I4379" s="39"/>
      <c r="J4379" s="47" t="str">
        <f>IF(tblMovimientos[[#This Row],[Tipo]]="","",IFERROR(INDEX(tblTiposMov[FactorStock],MATCH(tblMovimientos[[#This Row],[Tipo]],tblTiposMov[Tipo],0)),0))</f>
        <v/>
      </c>
      <c r="K43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79" s="37"/>
      <c r="O4379" s="37"/>
      <c r="P4379" s="37"/>
    </row>
    <row r="4380" spans="2:16" x14ac:dyDescent="0.25">
      <c r="B43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0" s="46"/>
      <c r="D4380" s="37"/>
      <c r="E4380" s="37"/>
      <c r="F4380" s="37"/>
      <c r="G4380" s="40" t="str">
        <f>IF(tblMovimientos[[#This Row],[Producto]]="","",TRIM(LEFT(tblMovimientos[[#This Row],[Producto]],FIND(" · ",tblMovimientos[[#This Row],[Producto]]&amp;" · ")-1)))</f>
        <v/>
      </c>
      <c r="H4380" s="40" t="str">
        <f>IF(tblMovimientos[[#This Row],[SKU]]="","",IFERROR(INDEX(tblProductos[Unidad],MATCH(tblMovimientos[[#This Row],[SKU]],tblProductos[SKU],0)),"?"))</f>
        <v/>
      </c>
      <c r="I4380" s="39"/>
      <c r="J4380" s="47" t="str">
        <f>IF(tblMovimientos[[#This Row],[Tipo]]="","",IFERROR(INDEX(tblTiposMov[FactorStock],MATCH(tblMovimientos[[#This Row],[Tipo]],tblTiposMov[Tipo],0)),0))</f>
        <v/>
      </c>
      <c r="K43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0" s="37"/>
      <c r="O4380" s="37"/>
      <c r="P4380" s="37"/>
    </row>
    <row r="4381" spans="2:16" x14ac:dyDescent="0.25">
      <c r="B43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1" s="46"/>
      <c r="D4381" s="37"/>
      <c r="E4381" s="37"/>
      <c r="F4381" s="37"/>
      <c r="G4381" s="40" t="str">
        <f>IF(tblMovimientos[[#This Row],[Producto]]="","",TRIM(LEFT(tblMovimientos[[#This Row],[Producto]],FIND(" · ",tblMovimientos[[#This Row],[Producto]]&amp;" · ")-1)))</f>
        <v/>
      </c>
      <c r="H4381" s="40" t="str">
        <f>IF(tblMovimientos[[#This Row],[SKU]]="","",IFERROR(INDEX(tblProductos[Unidad],MATCH(tblMovimientos[[#This Row],[SKU]],tblProductos[SKU],0)),"?"))</f>
        <v/>
      </c>
      <c r="I4381" s="39"/>
      <c r="J4381" s="47" t="str">
        <f>IF(tblMovimientos[[#This Row],[Tipo]]="","",IFERROR(INDEX(tblTiposMov[FactorStock],MATCH(tblMovimientos[[#This Row],[Tipo]],tblTiposMov[Tipo],0)),0))</f>
        <v/>
      </c>
      <c r="K43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1" s="37"/>
      <c r="O4381" s="37"/>
      <c r="P4381" s="37"/>
    </row>
    <row r="4382" spans="2:16" x14ac:dyDescent="0.25">
      <c r="B43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2" s="46"/>
      <c r="D4382" s="37"/>
      <c r="E4382" s="37"/>
      <c r="F4382" s="37"/>
      <c r="G4382" s="40" t="str">
        <f>IF(tblMovimientos[[#This Row],[Producto]]="","",TRIM(LEFT(tblMovimientos[[#This Row],[Producto]],FIND(" · ",tblMovimientos[[#This Row],[Producto]]&amp;" · ")-1)))</f>
        <v/>
      </c>
      <c r="H4382" s="40" t="str">
        <f>IF(tblMovimientos[[#This Row],[SKU]]="","",IFERROR(INDEX(tblProductos[Unidad],MATCH(tblMovimientos[[#This Row],[SKU]],tblProductos[SKU],0)),"?"))</f>
        <v/>
      </c>
      <c r="I4382" s="39"/>
      <c r="J4382" s="47" t="str">
        <f>IF(tblMovimientos[[#This Row],[Tipo]]="","",IFERROR(INDEX(tblTiposMov[FactorStock],MATCH(tblMovimientos[[#This Row],[Tipo]],tblTiposMov[Tipo],0)),0))</f>
        <v/>
      </c>
      <c r="K43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2" s="37"/>
      <c r="O4382" s="37"/>
      <c r="P4382" s="37"/>
    </row>
    <row r="4383" spans="2:16" x14ac:dyDescent="0.25">
      <c r="B43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3" s="46"/>
      <c r="D4383" s="37"/>
      <c r="E4383" s="37"/>
      <c r="F4383" s="37"/>
      <c r="G4383" s="40" t="str">
        <f>IF(tblMovimientos[[#This Row],[Producto]]="","",TRIM(LEFT(tblMovimientos[[#This Row],[Producto]],FIND(" · ",tblMovimientos[[#This Row],[Producto]]&amp;" · ")-1)))</f>
        <v/>
      </c>
      <c r="H4383" s="40" t="str">
        <f>IF(tblMovimientos[[#This Row],[SKU]]="","",IFERROR(INDEX(tblProductos[Unidad],MATCH(tblMovimientos[[#This Row],[SKU]],tblProductos[SKU],0)),"?"))</f>
        <v/>
      </c>
      <c r="I4383" s="39"/>
      <c r="J4383" s="47" t="str">
        <f>IF(tblMovimientos[[#This Row],[Tipo]]="","",IFERROR(INDEX(tblTiposMov[FactorStock],MATCH(tblMovimientos[[#This Row],[Tipo]],tblTiposMov[Tipo],0)),0))</f>
        <v/>
      </c>
      <c r="K43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3" s="37"/>
      <c r="O4383" s="37"/>
      <c r="P4383" s="37"/>
    </row>
    <row r="4384" spans="2:16" x14ac:dyDescent="0.25">
      <c r="B43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4" s="46"/>
      <c r="D4384" s="37"/>
      <c r="E4384" s="37"/>
      <c r="F4384" s="37"/>
      <c r="G4384" s="40" t="str">
        <f>IF(tblMovimientos[[#This Row],[Producto]]="","",TRIM(LEFT(tblMovimientos[[#This Row],[Producto]],FIND(" · ",tblMovimientos[[#This Row],[Producto]]&amp;" · ")-1)))</f>
        <v/>
      </c>
      <c r="H4384" s="40" t="str">
        <f>IF(tblMovimientos[[#This Row],[SKU]]="","",IFERROR(INDEX(tblProductos[Unidad],MATCH(tblMovimientos[[#This Row],[SKU]],tblProductos[SKU],0)),"?"))</f>
        <v/>
      </c>
      <c r="I4384" s="39"/>
      <c r="J4384" s="47" t="str">
        <f>IF(tblMovimientos[[#This Row],[Tipo]]="","",IFERROR(INDEX(tblTiposMov[FactorStock],MATCH(tblMovimientos[[#This Row],[Tipo]],tblTiposMov[Tipo],0)),0))</f>
        <v/>
      </c>
      <c r="K43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4" s="37"/>
      <c r="O4384" s="37"/>
      <c r="P4384" s="37"/>
    </row>
    <row r="4385" spans="2:16" x14ac:dyDescent="0.25">
      <c r="B43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5" s="46"/>
      <c r="D4385" s="37"/>
      <c r="E4385" s="37"/>
      <c r="F4385" s="37"/>
      <c r="G4385" s="40" t="str">
        <f>IF(tblMovimientos[[#This Row],[Producto]]="","",TRIM(LEFT(tblMovimientos[[#This Row],[Producto]],FIND(" · ",tblMovimientos[[#This Row],[Producto]]&amp;" · ")-1)))</f>
        <v/>
      </c>
      <c r="H4385" s="40" t="str">
        <f>IF(tblMovimientos[[#This Row],[SKU]]="","",IFERROR(INDEX(tblProductos[Unidad],MATCH(tblMovimientos[[#This Row],[SKU]],tblProductos[SKU],0)),"?"))</f>
        <v/>
      </c>
      <c r="I4385" s="39"/>
      <c r="J4385" s="47" t="str">
        <f>IF(tblMovimientos[[#This Row],[Tipo]]="","",IFERROR(INDEX(tblTiposMov[FactorStock],MATCH(tblMovimientos[[#This Row],[Tipo]],tblTiposMov[Tipo],0)),0))</f>
        <v/>
      </c>
      <c r="K43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5" s="37"/>
      <c r="O4385" s="37"/>
      <c r="P4385" s="37"/>
    </row>
    <row r="4386" spans="2:16" x14ac:dyDescent="0.25">
      <c r="B43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6" s="46"/>
      <c r="D4386" s="37"/>
      <c r="E4386" s="37"/>
      <c r="F4386" s="37"/>
      <c r="G4386" s="40" t="str">
        <f>IF(tblMovimientos[[#This Row],[Producto]]="","",TRIM(LEFT(tblMovimientos[[#This Row],[Producto]],FIND(" · ",tblMovimientos[[#This Row],[Producto]]&amp;" · ")-1)))</f>
        <v/>
      </c>
      <c r="H4386" s="40" t="str">
        <f>IF(tblMovimientos[[#This Row],[SKU]]="","",IFERROR(INDEX(tblProductos[Unidad],MATCH(tblMovimientos[[#This Row],[SKU]],tblProductos[SKU],0)),"?"))</f>
        <v/>
      </c>
      <c r="I4386" s="39"/>
      <c r="J4386" s="47" t="str">
        <f>IF(tblMovimientos[[#This Row],[Tipo]]="","",IFERROR(INDEX(tblTiposMov[FactorStock],MATCH(tblMovimientos[[#This Row],[Tipo]],tblTiposMov[Tipo],0)),0))</f>
        <v/>
      </c>
      <c r="K43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6" s="37"/>
      <c r="O4386" s="37"/>
      <c r="P4386" s="37"/>
    </row>
    <row r="4387" spans="2:16" x14ac:dyDescent="0.25">
      <c r="B43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7" s="46"/>
      <c r="D4387" s="37"/>
      <c r="E4387" s="37"/>
      <c r="F4387" s="37"/>
      <c r="G4387" s="40" t="str">
        <f>IF(tblMovimientos[[#This Row],[Producto]]="","",TRIM(LEFT(tblMovimientos[[#This Row],[Producto]],FIND(" · ",tblMovimientos[[#This Row],[Producto]]&amp;" · ")-1)))</f>
        <v/>
      </c>
      <c r="H4387" s="40" t="str">
        <f>IF(tblMovimientos[[#This Row],[SKU]]="","",IFERROR(INDEX(tblProductos[Unidad],MATCH(tblMovimientos[[#This Row],[SKU]],tblProductos[SKU],0)),"?"))</f>
        <v/>
      </c>
      <c r="I4387" s="39"/>
      <c r="J4387" s="47" t="str">
        <f>IF(tblMovimientos[[#This Row],[Tipo]]="","",IFERROR(INDEX(tblTiposMov[FactorStock],MATCH(tblMovimientos[[#This Row],[Tipo]],tblTiposMov[Tipo],0)),0))</f>
        <v/>
      </c>
      <c r="K43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7" s="37"/>
      <c r="O4387" s="37"/>
      <c r="P4387" s="37"/>
    </row>
    <row r="4388" spans="2:16" x14ac:dyDescent="0.25">
      <c r="B43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8" s="46"/>
      <c r="D4388" s="37"/>
      <c r="E4388" s="37"/>
      <c r="F4388" s="37"/>
      <c r="G4388" s="40" t="str">
        <f>IF(tblMovimientos[[#This Row],[Producto]]="","",TRIM(LEFT(tblMovimientos[[#This Row],[Producto]],FIND(" · ",tblMovimientos[[#This Row],[Producto]]&amp;" · ")-1)))</f>
        <v/>
      </c>
      <c r="H4388" s="40" t="str">
        <f>IF(tblMovimientos[[#This Row],[SKU]]="","",IFERROR(INDEX(tblProductos[Unidad],MATCH(tblMovimientos[[#This Row],[SKU]],tblProductos[SKU],0)),"?"))</f>
        <v/>
      </c>
      <c r="I4388" s="39"/>
      <c r="J4388" s="47" t="str">
        <f>IF(tblMovimientos[[#This Row],[Tipo]]="","",IFERROR(INDEX(tblTiposMov[FactorStock],MATCH(tblMovimientos[[#This Row],[Tipo]],tblTiposMov[Tipo],0)),0))</f>
        <v/>
      </c>
      <c r="K43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8" s="37"/>
      <c r="O4388" s="37"/>
      <c r="P4388" s="37"/>
    </row>
    <row r="4389" spans="2:16" x14ac:dyDescent="0.25">
      <c r="B43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89" s="46"/>
      <c r="D4389" s="37"/>
      <c r="E4389" s="37"/>
      <c r="F4389" s="37"/>
      <c r="G4389" s="40" t="str">
        <f>IF(tblMovimientos[[#This Row],[Producto]]="","",TRIM(LEFT(tblMovimientos[[#This Row],[Producto]],FIND(" · ",tblMovimientos[[#This Row],[Producto]]&amp;" · ")-1)))</f>
        <v/>
      </c>
      <c r="H4389" s="40" t="str">
        <f>IF(tblMovimientos[[#This Row],[SKU]]="","",IFERROR(INDEX(tblProductos[Unidad],MATCH(tblMovimientos[[#This Row],[SKU]],tblProductos[SKU],0)),"?"))</f>
        <v/>
      </c>
      <c r="I4389" s="39"/>
      <c r="J4389" s="47" t="str">
        <f>IF(tblMovimientos[[#This Row],[Tipo]]="","",IFERROR(INDEX(tblTiposMov[FactorStock],MATCH(tblMovimientos[[#This Row],[Tipo]],tblTiposMov[Tipo],0)),0))</f>
        <v/>
      </c>
      <c r="K43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89" s="37"/>
      <c r="O4389" s="37"/>
      <c r="P4389" s="37"/>
    </row>
    <row r="4390" spans="2:16" x14ac:dyDescent="0.25">
      <c r="B43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0" s="46"/>
      <c r="D4390" s="37"/>
      <c r="E4390" s="37"/>
      <c r="F4390" s="37"/>
      <c r="G4390" s="40" t="str">
        <f>IF(tblMovimientos[[#This Row],[Producto]]="","",TRIM(LEFT(tblMovimientos[[#This Row],[Producto]],FIND(" · ",tblMovimientos[[#This Row],[Producto]]&amp;" · ")-1)))</f>
        <v/>
      </c>
      <c r="H4390" s="40" t="str">
        <f>IF(tblMovimientos[[#This Row],[SKU]]="","",IFERROR(INDEX(tblProductos[Unidad],MATCH(tblMovimientos[[#This Row],[SKU]],tblProductos[SKU],0)),"?"))</f>
        <v/>
      </c>
      <c r="I4390" s="39"/>
      <c r="J4390" s="47" t="str">
        <f>IF(tblMovimientos[[#This Row],[Tipo]]="","",IFERROR(INDEX(tblTiposMov[FactorStock],MATCH(tblMovimientos[[#This Row],[Tipo]],tblTiposMov[Tipo],0)),0))</f>
        <v/>
      </c>
      <c r="K43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0" s="37"/>
      <c r="O4390" s="37"/>
      <c r="P4390" s="37"/>
    </row>
    <row r="4391" spans="2:16" x14ac:dyDescent="0.25">
      <c r="B43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1" s="46"/>
      <c r="D4391" s="37"/>
      <c r="E4391" s="37"/>
      <c r="F4391" s="37"/>
      <c r="G4391" s="40" t="str">
        <f>IF(tblMovimientos[[#This Row],[Producto]]="","",TRIM(LEFT(tblMovimientos[[#This Row],[Producto]],FIND(" · ",tblMovimientos[[#This Row],[Producto]]&amp;" · ")-1)))</f>
        <v/>
      </c>
      <c r="H4391" s="40" t="str">
        <f>IF(tblMovimientos[[#This Row],[SKU]]="","",IFERROR(INDEX(tblProductos[Unidad],MATCH(tblMovimientos[[#This Row],[SKU]],tblProductos[SKU],0)),"?"))</f>
        <v/>
      </c>
      <c r="I4391" s="39"/>
      <c r="J4391" s="47" t="str">
        <f>IF(tblMovimientos[[#This Row],[Tipo]]="","",IFERROR(INDEX(tblTiposMov[FactorStock],MATCH(tblMovimientos[[#This Row],[Tipo]],tblTiposMov[Tipo],0)),0))</f>
        <v/>
      </c>
      <c r="K43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1" s="37"/>
      <c r="O4391" s="37"/>
      <c r="P4391" s="37"/>
    </row>
    <row r="4392" spans="2:16" x14ac:dyDescent="0.25">
      <c r="B43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2" s="46"/>
      <c r="D4392" s="37"/>
      <c r="E4392" s="37"/>
      <c r="F4392" s="37"/>
      <c r="G4392" s="40" t="str">
        <f>IF(tblMovimientos[[#This Row],[Producto]]="","",TRIM(LEFT(tblMovimientos[[#This Row],[Producto]],FIND(" · ",tblMovimientos[[#This Row],[Producto]]&amp;" · ")-1)))</f>
        <v/>
      </c>
      <c r="H4392" s="40" t="str">
        <f>IF(tblMovimientos[[#This Row],[SKU]]="","",IFERROR(INDEX(tblProductos[Unidad],MATCH(tblMovimientos[[#This Row],[SKU]],tblProductos[SKU],0)),"?"))</f>
        <v/>
      </c>
      <c r="I4392" s="39"/>
      <c r="J4392" s="47" t="str">
        <f>IF(tblMovimientos[[#This Row],[Tipo]]="","",IFERROR(INDEX(tblTiposMov[FactorStock],MATCH(tblMovimientos[[#This Row],[Tipo]],tblTiposMov[Tipo],0)),0))</f>
        <v/>
      </c>
      <c r="K43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2" s="37"/>
      <c r="O4392" s="37"/>
      <c r="P4392" s="37"/>
    </row>
    <row r="4393" spans="2:16" x14ac:dyDescent="0.25">
      <c r="B43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3" s="46"/>
      <c r="D4393" s="37"/>
      <c r="E4393" s="37"/>
      <c r="F4393" s="37"/>
      <c r="G4393" s="40" t="str">
        <f>IF(tblMovimientos[[#This Row],[Producto]]="","",TRIM(LEFT(tblMovimientos[[#This Row],[Producto]],FIND(" · ",tblMovimientos[[#This Row],[Producto]]&amp;" · ")-1)))</f>
        <v/>
      </c>
      <c r="H4393" s="40" t="str">
        <f>IF(tblMovimientos[[#This Row],[SKU]]="","",IFERROR(INDEX(tblProductos[Unidad],MATCH(tblMovimientos[[#This Row],[SKU]],tblProductos[SKU],0)),"?"))</f>
        <v/>
      </c>
      <c r="I4393" s="39"/>
      <c r="J4393" s="47" t="str">
        <f>IF(tblMovimientos[[#This Row],[Tipo]]="","",IFERROR(INDEX(tblTiposMov[FactorStock],MATCH(tblMovimientos[[#This Row],[Tipo]],tblTiposMov[Tipo],0)),0))</f>
        <v/>
      </c>
      <c r="K43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3" s="37"/>
      <c r="O4393" s="37"/>
      <c r="P4393" s="37"/>
    </row>
    <row r="4394" spans="2:16" x14ac:dyDescent="0.25">
      <c r="B43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4" s="46"/>
      <c r="D4394" s="37"/>
      <c r="E4394" s="37"/>
      <c r="F4394" s="37"/>
      <c r="G4394" s="40" t="str">
        <f>IF(tblMovimientos[[#This Row],[Producto]]="","",TRIM(LEFT(tblMovimientos[[#This Row],[Producto]],FIND(" · ",tblMovimientos[[#This Row],[Producto]]&amp;" · ")-1)))</f>
        <v/>
      </c>
      <c r="H4394" s="40" t="str">
        <f>IF(tblMovimientos[[#This Row],[SKU]]="","",IFERROR(INDEX(tblProductos[Unidad],MATCH(tblMovimientos[[#This Row],[SKU]],tblProductos[SKU],0)),"?"))</f>
        <v/>
      </c>
      <c r="I4394" s="39"/>
      <c r="J4394" s="47" t="str">
        <f>IF(tblMovimientos[[#This Row],[Tipo]]="","",IFERROR(INDEX(tblTiposMov[FactorStock],MATCH(tblMovimientos[[#This Row],[Tipo]],tblTiposMov[Tipo],0)),0))</f>
        <v/>
      </c>
      <c r="K43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4" s="37"/>
      <c r="O4394" s="37"/>
      <c r="P4394" s="37"/>
    </row>
    <row r="4395" spans="2:16" x14ac:dyDescent="0.25">
      <c r="B43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5" s="46"/>
      <c r="D4395" s="37"/>
      <c r="E4395" s="37"/>
      <c r="F4395" s="37"/>
      <c r="G4395" s="40" t="str">
        <f>IF(tblMovimientos[[#This Row],[Producto]]="","",TRIM(LEFT(tblMovimientos[[#This Row],[Producto]],FIND(" · ",tblMovimientos[[#This Row],[Producto]]&amp;" · ")-1)))</f>
        <v/>
      </c>
      <c r="H4395" s="40" t="str">
        <f>IF(tblMovimientos[[#This Row],[SKU]]="","",IFERROR(INDEX(tblProductos[Unidad],MATCH(tblMovimientos[[#This Row],[SKU]],tblProductos[SKU],0)),"?"))</f>
        <v/>
      </c>
      <c r="I4395" s="39"/>
      <c r="J4395" s="47" t="str">
        <f>IF(tblMovimientos[[#This Row],[Tipo]]="","",IFERROR(INDEX(tblTiposMov[FactorStock],MATCH(tblMovimientos[[#This Row],[Tipo]],tblTiposMov[Tipo],0)),0))</f>
        <v/>
      </c>
      <c r="K43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5" s="37"/>
      <c r="O4395" s="37"/>
      <c r="P4395" s="37"/>
    </row>
    <row r="4396" spans="2:16" x14ac:dyDescent="0.25">
      <c r="B43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6" s="46"/>
      <c r="D4396" s="37"/>
      <c r="E4396" s="37"/>
      <c r="F4396" s="37"/>
      <c r="G4396" s="40" t="str">
        <f>IF(tblMovimientos[[#This Row],[Producto]]="","",TRIM(LEFT(tblMovimientos[[#This Row],[Producto]],FIND(" · ",tblMovimientos[[#This Row],[Producto]]&amp;" · ")-1)))</f>
        <v/>
      </c>
      <c r="H4396" s="40" t="str">
        <f>IF(tblMovimientos[[#This Row],[SKU]]="","",IFERROR(INDEX(tblProductos[Unidad],MATCH(tblMovimientos[[#This Row],[SKU]],tblProductos[SKU],0)),"?"))</f>
        <v/>
      </c>
      <c r="I4396" s="39"/>
      <c r="J4396" s="47" t="str">
        <f>IF(tblMovimientos[[#This Row],[Tipo]]="","",IFERROR(INDEX(tblTiposMov[FactorStock],MATCH(tblMovimientos[[#This Row],[Tipo]],tblTiposMov[Tipo],0)),0))</f>
        <v/>
      </c>
      <c r="K43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6" s="37"/>
      <c r="O4396" s="37"/>
      <c r="P4396" s="37"/>
    </row>
    <row r="4397" spans="2:16" x14ac:dyDescent="0.25">
      <c r="B43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7" s="46"/>
      <c r="D4397" s="37"/>
      <c r="E4397" s="37"/>
      <c r="F4397" s="37"/>
      <c r="G4397" s="40" t="str">
        <f>IF(tblMovimientos[[#This Row],[Producto]]="","",TRIM(LEFT(tblMovimientos[[#This Row],[Producto]],FIND(" · ",tblMovimientos[[#This Row],[Producto]]&amp;" · ")-1)))</f>
        <v/>
      </c>
      <c r="H4397" s="40" t="str">
        <f>IF(tblMovimientos[[#This Row],[SKU]]="","",IFERROR(INDEX(tblProductos[Unidad],MATCH(tblMovimientos[[#This Row],[SKU]],tblProductos[SKU],0)),"?"))</f>
        <v/>
      </c>
      <c r="I4397" s="39"/>
      <c r="J4397" s="47" t="str">
        <f>IF(tblMovimientos[[#This Row],[Tipo]]="","",IFERROR(INDEX(tblTiposMov[FactorStock],MATCH(tblMovimientos[[#This Row],[Tipo]],tblTiposMov[Tipo],0)),0))</f>
        <v/>
      </c>
      <c r="K43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7" s="37"/>
      <c r="O4397" s="37"/>
      <c r="P4397" s="37"/>
    </row>
    <row r="4398" spans="2:16" x14ac:dyDescent="0.25">
      <c r="B43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8" s="46"/>
      <c r="D4398" s="37"/>
      <c r="E4398" s="37"/>
      <c r="F4398" s="37"/>
      <c r="G4398" s="40" t="str">
        <f>IF(tblMovimientos[[#This Row],[Producto]]="","",TRIM(LEFT(tblMovimientos[[#This Row],[Producto]],FIND(" · ",tblMovimientos[[#This Row],[Producto]]&amp;" · ")-1)))</f>
        <v/>
      </c>
      <c r="H4398" s="40" t="str">
        <f>IF(tblMovimientos[[#This Row],[SKU]]="","",IFERROR(INDEX(tblProductos[Unidad],MATCH(tblMovimientos[[#This Row],[SKU]],tblProductos[SKU],0)),"?"))</f>
        <v/>
      </c>
      <c r="I4398" s="39"/>
      <c r="J4398" s="47" t="str">
        <f>IF(tblMovimientos[[#This Row],[Tipo]]="","",IFERROR(INDEX(tblTiposMov[FactorStock],MATCH(tblMovimientos[[#This Row],[Tipo]],tblTiposMov[Tipo],0)),0))</f>
        <v/>
      </c>
      <c r="K43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8" s="37"/>
      <c r="O4398" s="37"/>
      <c r="P4398" s="37"/>
    </row>
    <row r="4399" spans="2:16" x14ac:dyDescent="0.25">
      <c r="B43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399" s="46"/>
      <c r="D4399" s="37"/>
      <c r="E4399" s="37"/>
      <c r="F4399" s="37"/>
      <c r="G4399" s="40" t="str">
        <f>IF(tblMovimientos[[#This Row],[Producto]]="","",TRIM(LEFT(tblMovimientos[[#This Row],[Producto]],FIND(" · ",tblMovimientos[[#This Row],[Producto]]&amp;" · ")-1)))</f>
        <v/>
      </c>
      <c r="H4399" s="40" t="str">
        <f>IF(tblMovimientos[[#This Row],[SKU]]="","",IFERROR(INDEX(tblProductos[Unidad],MATCH(tblMovimientos[[#This Row],[SKU]],tblProductos[SKU],0)),"?"))</f>
        <v/>
      </c>
      <c r="I4399" s="39"/>
      <c r="J4399" s="47" t="str">
        <f>IF(tblMovimientos[[#This Row],[Tipo]]="","",IFERROR(INDEX(tblTiposMov[FactorStock],MATCH(tblMovimientos[[#This Row],[Tipo]],tblTiposMov[Tipo],0)),0))</f>
        <v/>
      </c>
      <c r="K43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3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3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399" s="37"/>
      <c r="O4399" s="37"/>
      <c r="P4399" s="37"/>
    </row>
    <row r="4400" spans="2:16" x14ac:dyDescent="0.25">
      <c r="B44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0" s="46"/>
      <c r="D4400" s="37"/>
      <c r="E4400" s="37"/>
      <c r="F4400" s="37"/>
      <c r="G4400" s="40" t="str">
        <f>IF(tblMovimientos[[#This Row],[Producto]]="","",TRIM(LEFT(tblMovimientos[[#This Row],[Producto]],FIND(" · ",tblMovimientos[[#This Row],[Producto]]&amp;" · ")-1)))</f>
        <v/>
      </c>
      <c r="H4400" s="40" t="str">
        <f>IF(tblMovimientos[[#This Row],[SKU]]="","",IFERROR(INDEX(tblProductos[Unidad],MATCH(tblMovimientos[[#This Row],[SKU]],tblProductos[SKU],0)),"?"))</f>
        <v/>
      </c>
      <c r="I4400" s="39"/>
      <c r="J4400" s="47" t="str">
        <f>IF(tblMovimientos[[#This Row],[Tipo]]="","",IFERROR(INDEX(tblTiposMov[FactorStock],MATCH(tblMovimientos[[#This Row],[Tipo]],tblTiposMov[Tipo],0)),0))</f>
        <v/>
      </c>
      <c r="K44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0" s="37"/>
      <c r="O4400" s="37"/>
      <c r="P4400" s="37"/>
    </row>
    <row r="4401" spans="2:16" x14ac:dyDescent="0.25">
      <c r="B44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1" s="46"/>
      <c r="D4401" s="37"/>
      <c r="E4401" s="37"/>
      <c r="F4401" s="37"/>
      <c r="G4401" s="40" t="str">
        <f>IF(tblMovimientos[[#This Row],[Producto]]="","",TRIM(LEFT(tblMovimientos[[#This Row],[Producto]],FIND(" · ",tblMovimientos[[#This Row],[Producto]]&amp;" · ")-1)))</f>
        <v/>
      </c>
      <c r="H4401" s="40" t="str">
        <f>IF(tblMovimientos[[#This Row],[SKU]]="","",IFERROR(INDEX(tblProductos[Unidad],MATCH(tblMovimientos[[#This Row],[SKU]],tblProductos[SKU],0)),"?"))</f>
        <v/>
      </c>
      <c r="I4401" s="39"/>
      <c r="J4401" s="47" t="str">
        <f>IF(tblMovimientos[[#This Row],[Tipo]]="","",IFERROR(INDEX(tblTiposMov[FactorStock],MATCH(tblMovimientos[[#This Row],[Tipo]],tblTiposMov[Tipo],0)),0))</f>
        <v/>
      </c>
      <c r="K44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1" s="37"/>
      <c r="O4401" s="37"/>
      <c r="P4401" s="37"/>
    </row>
    <row r="4402" spans="2:16" x14ac:dyDescent="0.25">
      <c r="B44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2" s="46"/>
      <c r="D4402" s="37"/>
      <c r="E4402" s="37"/>
      <c r="F4402" s="37"/>
      <c r="G4402" s="40" t="str">
        <f>IF(tblMovimientos[[#This Row],[Producto]]="","",TRIM(LEFT(tblMovimientos[[#This Row],[Producto]],FIND(" · ",tblMovimientos[[#This Row],[Producto]]&amp;" · ")-1)))</f>
        <v/>
      </c>
      <c r="H4402" s="40" t="str">
        <f>IF(tblMovimientos[[#This Row],[SKU]]="","",IFERROR(INDEX(tblProductos[Unidad],MATCH(tblMovimientos[[#This Row],[SKU]],tblProductos[SKU],0)),"?"))</f>
        <v/>
      </c>
      <c r="I4402" s="39"/>
      <c r="J4402" s="47" t="str">
        <f>IF(tblMovimientos[[#This Row],[Tipo]]="","",IFERROR(INDEX(tblTiposMov[FactorStock],MATCH(tblMovimientos[[#This Row],[Tipo]],tblTiposMov[Tipo],0)),0))</f>
        <v/>
      </c>
      <c r="K44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2" s="37"/>
      <c r="O4402" s="37"/>
      <c r="P4402" s="37"/>
    </row>
    <row r="4403" spans="2:16" x14ac:dyDescent="0.25">
      <c r="B44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3" s="46"/>
      <c r="D4403" s="37"/>
      <c r="E4403" s="37"/>
      <c r="F4403" s="37"/>
      <c r="G4403" s="40" t="str">
        <f>IF(tblMovimientos[[#This Row],[Producto]]="","",TRIM(LEFT(tblMovimientos[[#This Row],[Producto]],FIND(" · ",tblMovimientos[[#This Row],[Producto]]&amp;" · ")-1)))</f>
        <v/>
      </c>
      <c r="H4403" s="40" t="str">
        <f>IF(tblMovimientos[[#This Row],[SKU]]="","",IFERROR(INDEX(tblProductos[Unidad],MATCH(tblMovimientos[[#This Row],[SKU]],tblProductos[SKU],0)),"?"))</f>
        <v/>
      </c>
      <c r="I4403" s="39"/>
      <c r="J4403" s="47" t="str">
        <f>IF(tblMovimientos[[#This Row],[Tipo]]="","",IFERROR(INDEX(tblTiposMov[FactorStock],MATCH(tblMovimientos[[#This Row],[Tipo]],tblTiposMov[Tipo],0)),0))</f>
        <v/>
      </c>
      <c r="K44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3" s="37"/>
      <c r="O4403" s="37"/>
      <c r="P4403" s="37"/>
    </row>
    <row r="4404" spans="2:16" x14ac:dyDescent="0.25">
      <c r="B44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4" s="46"/>
      <c r="D4404" s="37"/>
      <c r="E4404" s="37"/>
      <c r="F4404" s="37"/>
      <c r="G4404" s="40" t="str">
        <f>IF(tblMovimientos[[#This Row],[Producto]]="","",TRIM(LEFT(tblMovimientos[[#This Row],[Producto]],FIND(" · ",tblMovimientos[[#This Row],[Producto]]&amp;" · ")-1)))</f>
        <v/>
      </c>
      <c r="H4404" s="40" t="str">
        <f>IF(tblMovimientos[[#This Row],[SKU]]="","",IFERROR(INDEX(tblProductos[Unidad],MATCH(tblMovimientos[[#This Row],[SKU]],tblProductos[SKU],0)),"?"))</f>
        <v/>
      </c>
      <c r="I4404" s="39"/>
      <c r="J4404" s="47" t="str">
        <f>IF(tblMovimientos[[#This Row],[Tipo]]="","",IFERROR(INDEX(tblTiposMov[FactorStock],MATCH(tblMovimientos[[#This Row],[Tipo]],tblTiposMov[Tipo],0)),0))</f>
        <v/>
      </c>
      <c r="K44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4" s="37"/>
      <c r="O4404" s="37"/>
      <c r="P4404" s="37"/>
    </row>
    <row r="4405" spans="2:16" x14ac:dyDescent="0.25">
      <c r="B44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5" s="46"/>
      <c r="D4405" s="37"/>
      <c r="E4405" s="37"/>
      <c r="F4405" s="37"/>
      <c r="G4405" s="40" t="str">
        <f>IF(tblMovimientos[[#This Row],[Producto]]="","",TRIM(LEFT(tblMovimientos[[#This Row],[Producto]],FIND(" · ",tblMovimientos[[#This Row],[Producto]]&amp;" · ")-1)))</f>
        <v/>
      </c>
      <c r="H4405" s="40" t="str">
        <f>IF(tblMovimientos[[#This Row],[SKU]]="","",IFERROR(INDEX(tblProductos[Unidad],MATCH(tblMovimientos[[#This Row],[SKU]],tblProductos[SKU],0)),"?"))</f>
        <v/>
      </c>
      <c r="I4405" s="39"/>
      <c r="J4405" s="47" t="str">
        <f>IF(tblMovimientos[[#This Row],[Tipo]]="","",IFERROR(INDEX(tblTiposMov[FactorStock],MATCH(tblMovimientos[[#This Row],[Tipo]],tblTiposMov[Tipo],0)),0))</f>
        <v/>
      </c>
      <c r="K44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5" s="37"/>
      <c r="O4405" s="37"/>
      <c r="P4405" s="37"/>
    </row>
    <row r="4406" spans="2:16" x14ac:dyDescent="0.25">
      <c r="B44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6" s="46"/>
      <c r="D4406" s="37"/>
      <c r="E4406" s="37"/>
      <c r="F4406" s="37"/>
      <c r="G4406" s="40" t="str">
        <f>IF(tblMovimientos[[#This Row],[Producto]]="","",TRIM(LEFT(tblMovimientos[[#This Row],[Producto]],FIND(" · ",tblMovimientos[[#This Row],[Producto]]&amp;" · ")-1)))</f>
        <v/>
      </c>
      <c r="H4406" s="40" t="str">
        <f>IF(tblMovimientos[[#This Row],[SKU]]="","",IFERROR(INDEX(tblProductos[Unidad],MATCH(tblMovimientos[[#This Row],[SKU]],tblProductos[SKU],0)),"?"))</f>
        <v/>
      </c>
      <c r="I4406" s="39"/>
      <c r="J4406" s="47" t="str">
        <f>IF(tblMovimientos[[#This Row],[Tipo]]="","",IFERROR(INDEX(tblTiposMov[FactorStock],MATCH(tblMovimientos[[#This Row],[Tipo]],tblTiposMov[Tipo],0)),0))</f>
        <v/>
      </c>
      <c r="K44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6" s="37"/>
      <c r="O4406" s="37"/>
      <c r="P4406" s="37"/>
    </row>
    <row r="4407" spans="2:16" x14ac:dyDescent="0.25">
      <c r="B44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7" s="46"/>
      <c r="D4407" s="37"/>
      <c r="E4407" s="37"/>
      <c r="F4407" s="37"/>
      <c r="G4407" s="40" t="str">
        <f>IF(tblMovimientos[[#This Row],[Producto]]="","",TRIM(LEFT(tblMovimientos[[#This Row],[Producto]],FIND(" · ",tblMovimientos[[#This Row],[Producto]]&amp;" · ")-1)))</f>
        <v/>
      </c>
      <c r="H4407" s="40" t="str">
        <f>IF(tblMovimientos[[#This Row],[SKU]]="","",IFERROR(INDEX(tblProductos[Unidad],MATCH(tblMovimientos[[#This Row],[SKU]],tblProductos[SKU],0)),"?"))</f>
        <v/>
      </c>
      <c r="I4407" s="39"/>
      <c r="J4407" s="47" t="str">
        <f>IF(tblMovimientos[[#This Row],[Tipo]]="","",IFERROR(INDEX(tblTiposMov[FactorStock],MATCH(tblMovimientos[[#This Row],[Tipo]],tblTiposMov[Tipo],0)),0))</f>
        <v/>
      </c>
      <c r="K44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7" s="37"/>
      <c r="O4407" s="37"/>
      <c r="P4407" s="37"/>
    </row>
    <row r="4408" spans="2:16" x14ac:dyDescent="0.25">
      <c r="B44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8" s="46"/>
      <c r="D4408" s="37"/>
      <c r="E4408" s="37"/>
      <c r="F4408" s="37"/>
      <c r="G4408" s="40" t="str">
        <f>IF(tblMovimientos[[#This Row],[Producto]]="","",TRIM(LEFT(tblMovimientos[[#This Row],[Producto]],FIND(" · ",tblMovimientos[[#This Row],[Producto]]&amp;" · ")-1)))</f>
        <v/>
      </c>
      <c r="H4408" s="40" t="str">
        <f>IF(tblMovimientos[[#This Row],[SKU]]="","",IFERROR(INDEX(tblProductos[Unidad],MATCH(tblMovimientos[[#This Row],[SKU]],tblProductos[SKU],0)),"?"))</f>
        <v/>
      </c>
      <c r="I4408" s="39"/>
      <c r="J4408" s="47" t="str">
        <f>IF(tblMovimientos[[#This Row],[Tipo]]="","",IFERROR(INDEX(tblTiposMov[FactorStock],MATCH(tblMovimientos[[#This Row],[Tipo]],tblTiposMov[Tipo],0)),0))</f>
        <v/>
      </c>
      <c r="K44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8" s="37"/>
      <c r="O4408" s="37"/>
      <c r="P4408" s="37"/>
    </row>
    <row r="4409" spans="2:16" x14ac:dyDescent="0.25">
      <c r="B44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09" s="46"/>
      <c r="D4409" s="37"/>
      <c r="E4409" s="37"/>
      <c r="F4409" s="37"/>
      <c r="G4409" s="40" t="str">
        <f>IF(tblMovimientos[[#This Row],[Producto]]="","",TRIM(LEFT(tblMovimientos[[#This Row],[Producto]],FIND(" · ",tblMovimientos[[#This Row],[Producto]]&amp;" · ")-1)))</f>
        <v/>
      </c>
      <c r="H4409" s="40" t="str">
        <f>IF(tblMovimientos[[#This Row],[SKU]]="","",IFERROR(INDEX(tblProductos[Unidad],MATCH(tblMovimientos[[#This Row],[SKU]],tblProductos[SKU],0)),"?"))</f>
        <v/>
      </c>
      <c r="I4409" s="39"/>
      <c r="J4409" s="47" t="str">
        <f>IF(tblMovimientos[[#This Row],[Tipo]]="","",IFERROR(INDEX(tblTiposMov[FactorStock],MATCH(tblMovimientos[[#This Row],[Tipo]],tblTiposMov[Tipo],0)),0))</f>
        <v/>
      </c>
      <c r="K44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09" s="37"/>
      <c r="O4409" s="37"/>
      <c r="P4409" s="37"/>
    </row>
    <row r="4410" spans="2:16" x14ac:dyDescent="0.25">
      <c r="B44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0" s="46"/>
      <c r="D4410" s="37"/>
      <c r="E4410" s="37"/>
      <c r="F4410" s="37"/>
      <c r="G4410" s="40" t="str">
        <f>IF(tblMovimientos[[#This Row],[Producto]]="","",TRIM(LEFT(tblMovimientos[[#This Row],[Producto]],FIND(" · ",tblMovimientos[[#This Row],[Producto]]&amp;" · ")-1)))</f>
        <v/>
      </c>
      <c r="H4410" s="40" t="str">
        <f>IF(tblMovimientos[[#This Row],[SKU]]="","",IFERROR(INDEX(tblProductos[Unidad],MATCH(tblMovimientos[[#This Row],[SKU]],tblProductos[SKU],0)),"?"))</f>
        <v/>
      </c>
      <c r="I4410" s="39"/>
      <c r="J4410" s="47" t="str">
        <f>IF(tblMovimientos[[#This Row],[Tipo]]="","",IFERROR(INDEX(tblTiposMov[FactorStock],MATCH(tblMovimientos[[#This Row],[Tipo]],tblTiposMov[Tipo],0)),0))</f>
        <v/>
      </c>
      <c r="K44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0" s="37"/>
      <c r="O4410" s="37"/>
      <c r="P4410" s="37"/>
    </row>
    <row r="4411" spans="2:16" x14ac:dyDescent="0.25">
      <c r="B44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1" s="46"/>
      <c r="D4411" s="37"/>
      <c r="E4411" s="37"/>
      <c r="F4411" s="37"/>
      <c r="G4411" s="40" t="str">
        <f>IF(tblMovimientos[[#This Row],[Producto]]="","",TRIM(LEFT(tblMovimientos[[#This Row],[Producto]],FIND(" · ",tblMovimientos[[#This Row],[Producto]]&amp;" · ")-1)))</f>
        <v/>
      </c>
      <c r="H4411" s="40" t="str">
        <f>IF(tblMovimientos[[#This Row],[SKU]]="","",IFERROR(INDEX(tblProductos[Unidad],MATCH(tblMovimientos[[#This Row],[SKU]],tblProductos[SKU],0)),"?"))</f>
        <v/>
      </c>
      <c r="I4411" s="39"/>
      <c r="J4411" s="47" t="str">
        <f>IF(tblMovimientos[[#This Row],[Tipo]]="","",IFERROR(INDEX(tblTiposMov[FactorStock],MATCH(tblMovimientos[[#This Row],[Tipo]],tblTiposMov[Tipo],0)),0))</f>
        <v/>
      </c>
      <c r="K44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1" s="37"/>
      <c r="O4411" s="37"/>
      <c r="P4411" s="37"/>
    </row>
    <row r="4412" spans="2:16" x14ac:dyDescent="0.25">
      <c r="B44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2" s="46"/>
      <c r="D4412" s="37"/>
      <c r="E4412" s="37"/>
      <c r="F4412" s="37"/>
      <c r="G4412" s="40" t="str">
        <f>IF(tblMovimientos[[#This Row],[Producto]]="","",TRIM(LEFT(tblMovimientos[[#This Row],[Producto]],FIND(" · ",tblMovimientos[[#This Row],[Producto]]&amp;" · ")-1)))</f>
        <v/>
      </c>
      <c r="H4412" s="40" t="str">
        <f>IF(tblMovimientos[[#This Row],[SKU]]="","",IFERROR(INDEX(tblProductos[Unidad],MATCH(tblMovimientos[[#This Row],[SKU]],tblProductos[SKU],0)),"?"))</f>
        <v/>
      </c>
      <c r="I4412" s="39"/>
      <c r="J4412" s="47" t="str">
        <f>IF(tblMovimientos[[#This Row],[Tipo]]="","",IFERROR(INDEX(tblTiposMov[FactorStock],MATCH(tblMovimientos[[#This Row],[Tipo]],tblTiposMov[Tipo],0)),0))</f>
        <v/>
      </c>
      <c r="K44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2" s="37"/>
      <c r="O4412" s="37"/>
      <c r="P4412" s="37"/>
    </row>
    <row r="4413" spans="2:16" x14ac:dyDescent="0.25">
      <c r="B44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3" s="46"/>
      <c r="D4413" s="37"/>
      <c r="E4413" s="37"/>
      <c r="F4413" s="37"/>
      <c r="G4413" s="40" t="str">
        <f>IF(tblMovimientos[[#This Row],[Producto]]="","",TRIM(LEFT(tblMovimientos[[#This Row],[Producto]],FIND(" · ",tblMovimientos[[#This Row],[Producto]]&amp;" · ")-1)))</f>
        <v/>
      </c>
      <c r="H4413" s="40" t="str">
        <f>IF(tblMovimientos[[#This Row],[SKU]]="","",IFERROR(INDEX(tblProductos[Unidad],MATCH(tblMovimientos[[#This Row],[SKU]],tblProductos[SKU],0)),"?"))</f>
        <v/>
      </c>
      <c r="I4413" s="39"/>
      <c r="J4413" s="47" t="str">
        <f>IF(tblMovimientos[[#This Row],[Tipo]]="","",IFERROR(INDEX(tblTiposMov[FactorStock],MATCH(tblMovimientos[[#This Row],[Tipo]],tblTiposMov[Tipo],0)),0))</f>
        <v/>
      </c>
      <c r="K44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3" s="37"/>
      <c r="O4413" s="37"/>
      <c r="P4413" s="37"/>
    </row>
    <row r="4414" spans="2:16" x14ac:dyDescent="0.25">
      <c r="B44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4" s="46"/>
      <c r="D4414" s="37"/>
      <c r="E4414" s="37"/>
      <c r="F4414" s="37"/>
      <c r="G4414" s="40" t="str">
        <f>IF(tblMovimientos[[#This Row],[Producto]]="","",TRIM(LEFT(tblMovimientos[[#This Row],[Producto]],FIND(" · ",tblMovimientos[[#This Row],[Producto]]&amp;" · ")-1)))</f>
        <v/>
      </c>
      <c r="H4414" s="40" t="str">
        <f>IF(tblMovimientos[[#This Row],[SKU]]="","",IFERROR(INDEX(tblProductos[Unidad],MATCH(tblMovimientos[[#This Row],[SKU]],tblProductos[SKU],0)),"?"))</f>
        <v/>
      </c>
      <c r="I4414" s="39"/>
      <c r="J4414" s="47" t="str">
        <f>IF(tblMovimientos[[#This Row],[Tipo]]="","",IFERROR(INDEX(tblTiposMov[FactorStock],MATCH(tblMovimientos[[#This Row],[Tipo]],tblTiposMov[Tipo],0)),0))</f>
        <v/>
      </c>
      <c r="K44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4" s="37"/>
      <c r="O4414" s="37"/>
      <c r="P4414" s="37"/>
    </row>
    <row r="4415" spans="2:16" x14ac:dyDescent="0.25">
      <c r="B44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5" s="46"/>
      <c r="D4415" s="37"/>
      <c r="E4415" s="37"/>
      <c r="F4415" s="37"/>
      <c r="G4415" s="40" t="str">
        <f>IF(tblMovimientos[[#This Row],[Producto]]="","",TRIM(LEFT(tblMovimientos[[#This Row],[Producto]],FIND(" · ",tblMovimientos[[#This Row],[Producto]]&amp;" · ")-1)))</f>
        <v/>
      </c>
      <c r="H4415" s="40" t="str">
        <f>IF(tblMovimientos[[#This Row],[SKU]]="","",IFERROR(INDEX(tblProductos[Unidad],MATCH(tblMovimientos[[#This Row],[SKU]],tblProductos[SKU],0)),"?"))</f>
        <v/>
      </c>
      <c r="I4415" s="39"/>
      <c r="J4415" s="47" t="str">
        <f>IF(tblMovimientos[[#This Row],[Tipo]]="","",IFERROR(INDEX(tblTiposMov[FactorStock],MATCH(tblMovimientos[[#This Row],[Tipo]],tblTiposMov[Tipo],0)),0))</f>
        <v/>
      </c>
      <c r="K44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5" s="37"/>
      <c r="O4415" s="37"/>
      <c r="P4415" s="37"/>
    </row>
    <row r="4416" spans="2:16" x14ac:dyDescent="0.25">
      <c r="B44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6" s="46"/>
      <c r="D4416" s="37"/>
      <c r="E4416" s="37"/>
      <c r="F4416" s="37"/>
      <c r="G4416" s="40" t="str">
        <f>IF(tblMovimientos[[#This Row],[Producto]]="","",TRIM(LEFT(tblMovimientos[[#This Row],[Producto]],FIND(" · ",tblMovimientos[[#This Row],[Producto]]&amp;" · ")-1)))</f>
        <v/>
      </c>
      <c r="H4416" s="40" t="str">
        <f>IF(tblMovimientos[[#This Row],[SKU]]="","",IFERROR(INDEX(tblProductos[Unidad],MATCH(tblMovimientos[[#This Row],[SKU]],tblProductos[SKU],0)),"?"))</f>
        <v/>
      </c>
      <c r="I4416" s="39"/>
      <c r="J4416" s="47" t="str">
        <f>IF(tblMovimientos[[#This Row],[Tipo]]="","",IFERROR(INDEX(tblTiposMov[FactorStock],MATCH(tblMovimientos[[#This Row],[Tipo]],tblTiposMov[Tipo],0)),0))</f>
        <v/>
      </c>
      <c r="K44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6" s="37"/>
      <c r="O4416" s="37"/>
      <c r="P4416" s="37"/>
    </row>
    <row r="4417" spans="2:16" x14ac:dyDescent="0.25">
      <c r="B44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7" s="46"/>
      <c r="D4417" s="37"/>
      <c r="E4417" s="37"/>
      <c r="F4417" s="37"/>
      <c r="G4417" s="40" t="str">
        <f>IF(tblMovimientos[[#This Row],[Producto]]="","",TRIM(LEFT(tblMovimientos[[#This Row],[Producto]],FIND(" · ",tblMovimientos[[#This Row],[Producto]]&amp;" · ")-1)))</f>
        <v/>
      </c>
      <c r="H4417" s="40" t="str">
        <f>IF(tblMovimientos[[#This Row],[SKU]]="","",IFERROR(INDEX(tblProductos[Unidad],MATCH(tblMovimientos[[#This Row],[SKU]],tblProductos[SKU],0)),"?"))</f>
        <v/>
      </c>
      <c r="I4417" s="39"/>
      <c r="J4417" s="47" t="str">
        <f>IF(tblMovimientos[[#This Row],[Tipo]]="","",IFERROR(INDEX(tblTiposMov[FactorStock],MATCH(tblMovimientos[[#This Row],[Tipo]],tblTiposMov[Tipo],0)),0))</f>
        <v/>
      </c>
      <c r="K44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7" s="37"/>
      <c r="O4417" s="37"/>
      <c r="P4417" s="37"/>
    </row>
    <row r="4418" spans="2:16" x14ac:dyDescent="0.25">
      <c r="B44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8" s="46"/>
      <c r="D4418" s="37"/>
      <c r="E4418" s="37"/>
      <c r="F4418" s="37"/>
      <c r="G4418" s="40" t="str">
        <f>IF(tblMovimientos[[#This Row],[Producto]]="","",TRIM(LEFT(tblMovimientos[[#This Row],[Producto]],FIND(" · ",tblMovimientos[[#This Row],[Producto]]&amp;" · ")-1)))</f>
        <v/>
      </c>
      <c r="H4418" s="40" t="str">
        <f>IF(tblMovimientos[[#This Row],[SKU]]="","",IFERROR(INDEX(tblProductos[Unidad],MATCH(tblMovimientos[[#This Row],[SKU]],tblProductos[SKU],0)),"?"))</f>
        <v/>
      </c>
      <c r="I4418" s="39"/>
      <c r="J4418" s="47" t="str">
        <f>IF(tblMovimientos[[#This Row],[Tipo]]="","",IFERROR(INDEX(tblTiposMov[FactorStock],MATCH(tblMovimientos[[#This Row],[Tipo]],tblTiposMov[Tipo],0)),0))</f>
        <v/>
      </c>
      <c r="K44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8" s="37"/>
      <c r="O4418" s="37"/>
      <c r="P4418" s="37"/>
    </row>
    <row r="4419" spans="2:16" x14ac:dyDescent="0.25">
      <c r="B44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19" s="46"/>
      <c r="D4419" s="37"/>
      <c r="E4419" s="37"/>
      <c r="F4419" s="37"/>
      <c r="G4419" s="40" t="str">
        <f>IF(tblMovimientos[[#This Row],[Producto]]="","",TRIM(LEFT(tblMovimientos[[#This Row],[Producto]],FIND(" · ",tblMovimientos[[#This Row],[Producto]]&amp;" · ")-1)))</f>
        <v/>
      </c>
      <c r="H4419" s="40" t="str">
        <f>IF(tblMovimientos[[#This Row],[SKU]]="","",IFERROR(INDEX(tblProductos[Unidad],MATCH(tblMovimientos[[#This Row],[SKU]],tblProductos[SKU],0)),"?"))</f>
        <v/>
      </c>
      <c r="I4419" s="39"/>
      <c r="J4419" s="47" t="str">
        <f>IF(tblMovimientos[[#This Row],[Tipo]]="","",IFERROR(INDEX(tblTiposMov[FactorStock],MATCH(tblMovimientos[[#This Row],[Tipo]],tblTiposMov[Tipo],0)),0))</f>
        <v/>
      </c>
      <c r="K44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19" s="37"/>
      <c r="O4419" s="37"/>
      <c r="P4419" s="37"/>
    </row>
    <row r="4420" spans="2:16" x14ac:dyDescent="0.25">
      <c r="B44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0" s="46"/>
      <c r="D4420" s="37"/>
      <c r="E4420" s="37"/>
      <c r="F4420" s="37"/>
      <c r="G4420" s="40" t="str">
        <f>IF(tblMovimientos[[#This Row],[Producto]]="","",TRIM(LEFT(tblMovimientos[[#This Row],[Producto]],FIND(" · ",tblMovimientos[[#This Row],[Producto]]&amp;" · ")-1)))</f>
        <v/>
      </c>
      <c r="H4420" s="40" t="str">
        <f>IF(tblMovimientos[[#This Row],[SKU]]="","",IFERROR(INDEX(tblProductos[Unidad],MATCH(tblMovimientos[[#This Row],[SKU]],tblProductos[SKU],0)),"?"))</f>
        <v/>
      </c>
      <c r="I4420" s="39"/>
      <c r="J4420" s="47" t="str">
        <f>IF(tblMovimientos[[#This Row],[Tipo]]="","",IFERROR(INDEX(tblTiposMov[FactorStock],MATCH(tblMovimientos[[#This Row],[Tipo]],tblTiposMov[Tipo],0)),0))</f>
        <v/>
      </c>
      <c r="K44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0" s="37"/>
      <c r="O4420" s="37"/>
      <c r="P4420" s="37"/>
    </row>
    <row r="4421" spans="2:16" x14ac:dyDescent="0.25">
      <c r="B44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1" s="46"/>
      <c r="D4421" s="37"/>
      <c r="E4421" s="37"/>
      <c r="F4421" s="37"/>
      <c r="G4421" s="40" t="str">
        <f>IF(tblMovimientos[[#This Row],[Producto]]="","",TRIM(LEFT(tblMovimientos[[#This Row],[Producto]],FIND(" · ",tblMovimientos[[#This Row],[Producto]]&amp;" · ")-1)))</f>
        <v/>
      </c>
      <c r="H4421" s="40" t="str">
        <f>IF(tblMovimientos[[#This Row],[SKU]]="","",IFERROR(INDEX(tblProductos[Unidad],MATCH(tblMovimientos[[#This Row],[SKU]],tblProductos[SKU],0)),"?"))</f>
        <v/>
      </c>
      <c r="I4421" s="39"/>
      <c r="J4421" s="47" t="str">
        <f>IF(tblMovimientos[[#This Row],[Tipo]]="","",IFERROR(INDEX(tblTiposMov[FactorStock],MATCH(tblMovimientos[[#This Row],[Tipo]],tblTiposMov[Tipo],0)),0))</f>
        <v/>
      </c>
      <c r="K44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1" s="37"/>
      <c r="O4421" s="37"/>
      <c r="P4421" s="37"/>
    </row>
    <row r="4422" spans="2:16" x14ac:dyDescent="0.25">
      <c r="B44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2" s="46"/>
      <c r="D4422" s="37"/>
      <c r="E4422" s="37"/>
      <c r="F4422" s="37"/>
      <c r="G4422" s="40" t="str">
        <f>IF(tblMovimientos[[#This Row],[Producto]]="","",TRIM(LEFT(tblMovimientos[[#This Row],[Producto]],FIND(" · ",tblMovimientos[[#This Row],[Producto]]&amp;" · ")-1)))</f>
        <v/>
      </c>
      <c r="H4422" s="40" t="str">
        <f>IF(tblMovimientos[[#This Row],[SKU]]="","",IFERROR(INDEX(tblProductos[Unidad],MATCH(tblMovimientos[[#This Row],[SKU]],tblProductos[SKU],0)),"?"))</f>
        <v/>
      </c>
      <c r="I4422" s="39"/>
      <c r="J4422" s="47" t="str">
        <f>IF(tblMovimientos[[#This Row],[Tipo]]="","",IFERROR(INDEX(tblTiposMov[FactorStock],MATCH(tblMovimientos[[#This Row],[Tipo]],tblTiposMov[Tipo],0)),0))</f>
        <v/>
      </c>
      <c r="K44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2" s="37"/>
      <c r="O4422" s="37"/>
      <c r="P4422" s="37"/>
    </row>
    <row r="4423" spans="2:16" x14ac:dyDescent="0.25">
      <c r="B44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3" s="46"/>
      <c r="D4423" s="37"/>
      <c r="E4423" s="37"/>
      <c r="F4423" s="37"/>
      <c r="G4423" s="40" t="str">
        <f>IF(tblMovimientos[[#This Row],[Producto]]="","",TRIM(LEFT(tblMovimientos[[#This Row],[Producto]],FIND(" · ",tblMovimientos[[#This Row],[Producto]]&amp;" · ")-1)))</f>
        <v/>
      </c>
      <c r="H4423" s="40" t="str">
        <f>IF(tblMovimientos[[#This Row],[SKU]]="","",IFERROR(INDEX(tblProductos[Unidad],MATCH(tblMovimientos[[#This Row],[SKU]],tblProductos[SKU],0)),"?"))</f>
        <v/>
      </c>
      <c r="I4423" s="39"/>
      <c r="J4423" s="47" t="str">
        <f>IF(tblMovimientos[[#This Row],[Tipo]]="","",IFERROR(INDEX(tblTiposMov[FactorStock],MATCH(tblMovimientos[[#This Row],[Tipo]],tblTiposMov[Tipo],0)),0))</f>
        <v/>
      </c>
      <c r="K44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3" s="37"/>
      <c r="O4423" s="37"/>
      <c r="P4423" s="37"/>
    </row>
    <row r="4424" spans="2:16" x14ac:dyDescent="0.25">
      <c r="B44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4" s="46"/>
      <c r="D4424" s="37"/>
      <c r="E4424" s="37"/>
      <c r="F4424" s="37"/>
      <c r="G4424" s="40" t="str">
        <f>IF(tblMovimientos[[#This Row],[Producto]]="","",TRIM(LEFT(tblMovimientos[[#This Row],[Producto]],FIND(" · ",tblMovimientos[[#This Row],[Producto]]&amp;" · ")-1)))</f>
        <v/>
      </c>
      <c r="H4424" s="40" t="str">
        <f>IF(tblMovimientos[[#This Row],[SKU]]="","",IFERROR(INDEX(tblProductos[Unidad],MATCH(tblMovimientos[[#This Row],[SKU]],tblProductos[SKU],0)),"?"))</f>
        <v/>
      </c>
      <c r="I4424" s="39"/>
      <c r="J4424" s="47" t="str">
        <f>IF(tblMovimientos[[#This Row],[Tipo]]="","",IFERROR(INDEX(tblTiposMov[FactorStock],MATCH(tblMovimientos[[#This Row],[Tipo]],tblTiposMov[Tipo],0)),0))</f>
        <v/>
      </c>
      <c r="K44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4" s="37"/>
      <c r="O4424" s="37"/>
      <c r="P4424" s="37"/>
    </row>
    <row r="4425" spans="2:16" x14ac:dyDescent="0.25">
      <c r="B44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5" s="46"/>
      <c r="D4425" s="37"/>
      <c r="E4425" s="37"/>
      <c r="F4425" s="37"/>
      <c r="G4425" s="40" t="str">
        <f>IF(tblMovimientos[[#This Row],[Producto]]="","",TRIM(LEFT(tblMovimientos[[#This Row],[Producto]],FIND(" · ",tblMovimientos[[#This Row],[Producto]]&amp;" · ")-1)))</f>
        <v/>
      </c>
      <c r="H4425" s="40" t="str">
        <f>IF(tblMovimientos[[#This Row],[SKU]]="","",IFERROR(INDEX(tblProductos[Unidad],MATCH(tblMovimientos[[#This Row],[SKU]],tblProductos[SKU],0)),"?"))</f>
        <v/>
      </c>
      <c r="I4425" s="39"/>
      <c r="J4425" s="47" t="str">
        <f>IF(tblMovimientos[[#This Row],[Tipo]]="","",IFERROR(INDEX(tblTiposMov[FactorStock],MATCH(tblMovimientos[[#This Row],[Tipo]],tblTiposMov[Tipo],0)),0))</f>
        <v/>
      </c>
      <c r="K44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5" s="37"/>
      <c r="O4425" s="37"/>
      <c r="P4425" s="37"/>
    </row>
    <row r="4426" spans="2:16" x14ac:dyDescent="0.25">
      <c r="B44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6" s="46"/>
      <c r="D4426" s="37"/>
      <c r="E4426" s="37"/>
      <c r="F4426" s="37"/>
      <c r="G4426" s="40" t="str">
        <f>IF(tblMovimientos[[#This Row],[Producto]]="","",TRIM(LEFT(tblMovimientos[[#This Row],[Producto]],FIND(" · ",tblMovimientos[[#This Row],[Producto]]&amp;" · ")-1)))</f>
        <v/>
      </c>
      <c r="H4426" s="40" t="str">
        <f>IF(tblMovimientos[[#This Row],[SKU]]="","",IFERROR(INDEX(tblProductos[Unidad],MATCH(tblMovimientos[[#This Row],[SKU]],tblProductos[SKU],0)),"?"))</f>
        <v/>
      </c>
      <c r="I4426" s="39"/>
      <c r="J4426" s="47" t="str">
        <f>IF(tblMovimientos[[#This Row],[Tipo]]="","",IFERROR(INDEX(tblTiposMov[FactorStock],MATCH(tblMovimientos[[#This Row],[Tipo]],tblTiposMov[Tipo],0)),0))</f>
        <v/>
      </c>
      <c r="K44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6" s="37"/>
      <c r="O4426" s="37"/>
      <c r="P4426" s="37"/>
    </row>
    <row r="4427" spans="2:16" x14ac:dyDescent="0.25">
      <c r="B44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7" s="46"/>
      <c r="D4427" s="37"/>
      <c r="E4427" s="37"/>
      <c r="F4427" s="37"/>
      <c r="G4427" s="40" t="str">
        <f>IF(tblMovimientos[[#This Row],[Producto]]="","",TRIM(LEFT(tblMovimientos[[#This Row],[Producto]],FIND(" · ",tblMovimientos[[#This Row],[Producto]]&amp;" · ")-1)))</f>
        <v/>
      </c>
      <c r="H4427" s="40" t="str">
        <f>IF(tblMovimientos[[#This Row],[SKU]]="","",IFERROR(INDEX(tblProductos[Unidad],MATCH(tblMovimientos[[#This Row],[SKU]],tblProductos[SKU],0)),"?"))</f>
        <v/>
      </c>
      <c r="I4427" s="39"/>
      <c r="J4427" s="47" t="str">
        <f>IF(tblMovimientos[[#This Row],[Tipo]]="","",IFERROR(INDEX(tblTiposMov[FactorStock],MATCH(tblMovimientos[[#This Row],[Tipo]],tblTiposMov[Tipo],0)),0))</f>
        <v/>
      </c>
      <c r="K44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7" s="37"/>
      <c r="O4427" s="37"/>
      <c r="P4427" s="37"/>
    </row>
    <row r="4428" spans="2:16" x14ac:dyDescent="0.25">
      <c r="B44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8" s="46"/>
      <c r="D4428" s="37"/>
      <c r="E4428" s="37"/>
      <c r="F4428" s="37"/>
      <c r="G4428" s="40" t="str">
        <f>IF(tblMovimientos[[#This Row],[Producto]]="","",TRIM(LEFT(tblMovimientos[[#This Row],[Producto]],FIND(" · ",tblMovimientos[[#This Row],[Producto]]&amp;" · ")-1)))</f>
        <v/>
      </c>
      <c r="H4428" s="40" t="str">
        <f>IF(tblMovimientos[[#This Row],[SKU]]="","",IFERROR(INDEX(tblProductos[Unidad],MATCH(tblMovimientos[[#This Row],[SKU]],tblProductos[SKU],0)),"?"))</f>
        <v/>
      </c>
      <c r="I4428" s="39"/>
      <c r="J4428" s="47" t="str">
        <f>IF(tblMovimientos[[#This Row],[Tipo]]="","",IFERROR(INDEX(tblTiposMov[FactorStock],MATCH(tblMovimientos[[#This Row],[Tipo]],tblTiposMov[Tipo],0)),0))</f>
        <v/>
      </c>
      <c r="K44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8" s="37"/>
      <c r="O4428" s="37"/>
      <c r="P4428" s="37"/>
    </row>
    <row r="4429" spans="2:16" x14ac:dyDescent="0.25">
      <c r="B44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29" s="46"/>
      <c r="D4429" s="37"/>
      <c r="E4429" s="37"/>
      <c r="F4429" s="37"/>
      <c r="G4429" s="40" t="str">
        <f>IF(tblMovimientos[[#This Row],[Producto]]="","",TRIM(LEFT(tblMovimientos[[#This Row],[Producto]],FIND(" · ",tblMovimientos[[#This Row],[Producto]]&amp;" · ")-1)))</f>
        <v/>
      </c>
      <c r="H4429" s="40" t="str">
        <f>IF(tblMovimientos[[#This Row],[SKU]]="","",IFERROR(INDEX(tblProductos[Unidad],MATCH(tblMovimientos[[#This Row],[SKU]],tblProductos[SKU],0)),"?"))</f>
        <v/>
      </c>
      <c r="I4429" s="39"/>
      <c r="J4429" s="47" t="str">
        <f>IF(tblMovimientos[[#This Row],[Tipo]]="","",IFERROR(INDEX(tblTiposMov[FactorStock],MATCH(tblMovimientos[[#This Row],[Tipo]],tblTiposMov[Tipo],0)),0))</f>
        <v/>
      </c>
      <c r="K44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29" s="37"/>
      <c r="O4429" s="37"/>
      <c r="P4429" s="37"/>
    </row>
    <row r="4430" spans="2:16" x14ac:dyDescent="0.25">
      <c r="B44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0" s="46"/>
      <c r="D4430" s="37"/>
      <c r="E4430" s="37"/>
      <c r="F4430" s="37"/>
      <c r="G4430" s="40" t="str">
        <f>IF(tblMovimientos[[#This Row],[Producto]]="","",TRIM(LEFT(tblMovimientos[[#This Row],[Producto]],FIND(" · ",tblMovimientos[[#This Row],[Producto]]&amp;" · ")-1)))</f>
        <v/>
      </c>
      <c r="H4430" s="40" t="str">
        <f>IF(tblMovimientos[[#This Row],[SKU]]="","",IFERROR(INDEX(tblProductos[Unidad],MATCH(tblMovimientos[[#This Row],[SKU]],tblProductos[SKU],0)),"?"))</f>
        <v/>
      </c>
      <c r="I4430" s="39"/>
      <c r="J4430" s="47" t="str">
        <f>IF(tblMovimientos[[#This Row],[Tipo]]="","",IFERROR(INDEX(tblTiposMov[FactorStock],MATCH(tblMovimientos[[#This Row],[Tipo]],tblTiposMov[Tipo],0)),0))</f>
        <v/>
      </c>
      <c r="K44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0" s="37"/>
      <c r="O4430" s="37"/>
      <c r="P4430" s="37"/>
    </row>
    <row r="4431" spans="2:16" x14ac:dyDescent="0.25">
      <c r="B44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1" s="46"/>
      <c r="D4431" s="37"/>
      <c r="E4431" s="37"/>
      <c r="F4431" s="37"/>
      <c r="G4431" s="40" t="str">
        <f>IF(tblMovimientos[[#This Row],[Producto]]="","",TRIM(LEFT(tblMovimientos[[#This Row],[Producto]],FIND(" · ",tblMovimientos[[#This Row],[Producto]]&amp;" · ")-1)))</f>
        <v/>
      </c>
      <c r="H4431" s="40" t="str">
        <f>IF(tblMovimientos[[#This Row],[SKU]]="","",IFERROR(INDEX(tblProductos[Unidad],MATCH(tblMovimientos[[#This Row],[SKU]],tblProductos[SKU],0)),"?"))</f>
        <v/>
      </c>
      <c r="I4431" s="39"/>
      <c r="J4431" s="47" t="str">
        <f>IF(tblMovimientos[[#This Row],[Tipo]]="","",IFERROR(INDEX(tblTiposMov[FactorStock],MATCH(tblMovimientos[[#This Row],[Tipo]],tblTiposMov[Tipo],0)),0))</f>
        <v/>
      </c>
      <c r="K44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1" s="37"/>
      <c r="O4431" s="37"/>
      <c r="P4431" s="37"/>
    </row>
    <row r="4432" spans="2:16" x14ac:dyDescent="0.25">
      <c r="B44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2" s="46"/>
      <c r="D4432" s="37"/>
      <c r="E4432" s="37"/>
      <c r="F4432" s="37"/>
      <c r="G4432" s="40" t="str">
        <f>IF(tblMovimientos[[#This Row],[Producto]]="","",TRIM(LEFT(tblMovimientos[[#This Row],[Producto]],FIND(" · ",tblMovimientos[[#This Row],[Producto]]&amp;" · ")-1)))</f>
        <v/>
      </c>
      <c r="H4432" s="40" t="str">
        <f>IF(tblMovimientos[[#This Row],[SKU]]="","",IFERROR(INDEX(tblProductos[Unidad],MATCH(tblMovimientos[[#This Row],[SKU]],tblProductos[SKU],0)),"?"))</f>
        <v/>
      </c>
      <c r="I4432" s="39"/>
      <c r="J4432" s="47" t="str">
        <f>IF(tblMovimientos[[#This Row],[Tipo]]="","",IFERROR(INDEX(tblTiposMov[FactorStock],MATCH(tblMovimientos[[#This Row],[Tipo]],tblTiposMov[Tipo],0)),0))</f>
        <v/>
      </c>
      <c r="K44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2" s="37"/>
      <c r="O4432" s="37"/>
      <c r="P4432" s="37"/>
    </row>
    <row r="4433" spans="2:16" x14ac:dyDescent="0.25">
      <c r="B44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3" s="46"/>
      <c r="D4433" s="37"/>
      <c r="E4433" s="37"/>
      <c r="F4433" s="37"/>
      <c r="G4433" s="40" t="str">
        <f>IF(tblMovimientos[[#This Row],[Producto]]="","",TRIM(LEFT(tblMovimientos[[#This Row],[Producto]],FIND(" · ",tblMovimientos[[#This Row],[Producto]]&amp;" · ")-1)))</f>
        <v/>
      </c>
      <c r="H4433" s="40" t="str">
        <f>IF(tblMovimientos[[#This Row],[SKU]]="","",IFERROR(INDEX(tblProductos[Unidad],MATCH(tblMovimientos[[#This Row],[SKU]],tblProductos[SKU],0)),"?"))</f>
        <v/>
      </c>
      <c r="I4433" s="39"/>
      <c r="J4433" s="47" t="str">
        <f>IF(tblMovimientos[[#This Row],[Tipo]]="","",IFERROR(INDEX(tblTiposMov[FactorStock],MATCH(tblMovimientos[[#This Row],[Tipo]],tblTiposMov[Tipo],0)),0))</f>
        <v/>
      </c>
      <c r="K44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3" s="37"/>
      <c r="O4433" s="37"/>
      <c r="P4433" s="37"/>
    </row>
    <row r="4434" spans="2:16" x14ac:dyDescent="0.25">
      <c r="B44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4" s="46"/>
      <c r="D4434" s="37"/>
      <c r="E4434" s="37"/>
      <c r="F4434" s="37"/>
      <c r="G4434" s="40" t="str">
        <f>IF(tblMovimientos[[#This Row],[Producto]]="","",TRIM(LEFT(tblMovimientos[[#This Row],[Producto]],FIND(" · ",tblMovimientos[[#This Row],[Producto]]&amp;" · ")-1)))</f>
        <v/>
      </c>
      <c r="H4434" s="40" t="str">
        <f>IF(tblMovimientos[[#This Row],[SKU]]="","",IFERROR(INDEX(tblProductos[Unidad],MATCH(tblMovimientos[[#This Row],[SKU]],tblProductos[SKU],0)),"?"))</f>
        <v/>
      </c>
      <c r="I4434" s="39"/>
      <c r="J4434" s="47" t="str">
        <f>IF(tblMovimientos[[#This Row],[Tipo]]="","",IFERROR(INDEX(tblTiposMov[FactorStock],MATCH(tblMovimientos[[#This Row],[Tipo]],tblTiposMov[Tipo],0)),0))</f>
        <v/>
      </c>
      <c r="K44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4" s="37"/>
      <c r="O4434" s="37"/>
      <c r="P4434" s="37"/>
    </row>
    <row r="4435" spans="2:16" x14ac:dyDescent="0.25">
      <c r="B44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5" s="46"/>
      <c r="D4435" s="37"/>
      <c r="E4435" s="37"/>
      <c r="F4435" s="37"/>
      <c r="G4435" s="40" t="str">
        <f>IF(tblMovimientos[[#This Row],[Producto]]="","",TRIM(LEFT(tblMovimientos[[#This Row],[Producto]],FIND(" · ",tblMovimientos[[#This Row],[Producto]]&amp;" · ")-1)))</f>
        <v/>
      </c>
      <c r="H4435" s="40" t="str">
        <f>IF(tblMovimientos[[#This Row],[SKU]]="","",IFERROR(INDEX(tblProductos[Unidad],MATCH(tblMovimientos[[#This Row],[SKU]],tblProductos[SKU],0)),"?"))</f>
        <v/>
      </c>
      <c r="I4435" s="39"/>
      <c r="J4435" s="47" t="str">
        <f>IF(tblMovimientos[[#This Row],[Tipo]]="","",IFERROR(INDEX(tblTiposMov[FactorStock],MATCH(tblMovimientos[[#This Row],[Tipo]],tblTiposMov[Tipo],0)),0))</f>
        <v/>
      </c>
      <c r="K44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5" s="37"/>
      <c r="O4435" s="37"/>
      <c r="P4435" s="37"/>
    </row>
    <row r="4436" spans="2:16" x14ac:dyDescent="0.25">
      <c r="B44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6" s="46"/>
      <c r="D4436" s="37"/>
      <c r="E4436" s="37"/>
      <c r="F4436" s="37"/>
      <c r="G4436" s="40" t="str">
        <f>IF(tblMovimientos[[#This Row],[Producto]]="","",TRIM(LEFT(tblMovimientos[[#This Row],[Producto]],FIND(" · ",tblMovimientos[[#This Row],[Producto]]&amp;" · ")-1)))</f>
        <v/>
      </c>
      <c r="H4436" s="40" t="str">
        <f>IF(tblMovimientos[[#This Row],[SKU]]="","",IFERROR(INDEX(tblProductos[Unidad],MATCH(tblMovimientos[[#This Row],[SKU]],tblProductos[SKU],0)),"?"))</f>
        <v/>
      </c>
      <c r="I4436" s="39"/>
      <c r="J4436" s="47" t="str">
        <f>IF(tblMovimientos[[#This Row],[Tipo]]="","",IFERROR(INDEX(tblTiposMov[FactorStock],MATCH(tblMovimientos[[#This Row],[Tipo]],tblTiposMov[Tipo],0)),0))</f>
        <v/>
      </c>
      <c r="K44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6" s="37"/>
      <c r="O4436" s="37"/>
      <c r="P4436" s="37"/>
    </row>
    <row r="4437" spans="2:16" x14ac:dyDescent="0.25">
      <c r="B44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7" s="46"/>
      <c r="D4437" s="37"/>
      <c r="E4437" s="37"/>
      <c r="F4437" s="37"/>
      <c r="G4437" s="40" t="str">
        <f>IF(tblMovimientos[[#This Row],[Producto]]="","",TRIM(LEFT(tblMovimientos[[#This Row],[Producto]],FIND(" · ",tblMovimientos[[#This Row],[Producto]]&amp;" · ")-1)))</f>
        <v/>
      </c>
      <c r="H4437" s="40" t="str">
        <f>IF(tblMovimientos[[#This Row],[SKU]]="","",IFERROR(INDEX(tblProductos[Unidad],MATCH(tblMovimientos[[#This Row],[SKU]],tblProductos[SKU],0)),"?"))</f>
        <v/>
      </c>
      <c r="I4437" s="39"/>
      <c r="J4437" s="47" t="str">
        <f>IF(tblMovimientos[[#This Row],[Tipo]]="","",IFERROR(INDEX(tblTiposMov[FactorStock],MATCH(tblMovimientos[[#This Row],[Tipo]],tblTiposMov[Tipo],0)),0))</f>
        <v/>
      </c>
      <c r="K44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7" s="37"/>
      <c r="O4437" s="37"/>
      <c r="P4437" s="37"/>
    </row>
    <row r="4438" spans="2:16" x14ac:dyDescent="0.25">
      <c r="B44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8" s="46"/>
      <c r="D4438" s="37"/>
      <c r="E4438" s="37"/>
      <c r="F4438" s="37"/>
      <c r="G4438" s="40" t="str">
        <f>IF(tblMovimientos[[#This Row],[Producto]]="","",TRIM(LEFT(tblMovimientos[[#This Row],[Producto]],FIND(" · ",tblMovimientos[[#This Row],[Producto]]&amp;" · ")-1)))</f>
        <v/>
      </c>
      <c r="H4438" s="40" t="str">
        <f>IF(tblMovimientos[[#This Row],[SKU]]="","",IFERROR(INDEX(tblProductos[Unidad],MATCH(tblMovimientos[[#This Row],[SKU]],tblProductos[SKU],0)),"?"))</f>
        <v/>
      </c>
      <c r="I4438" s="39"/>
      <c r="J4438" s="47" t="str">
        <f>IF(tblMovimientos[[#This Row],[Tipo]]="","",IFERROR(INDEX(tblTiposMov[FactorStock],MATCH(tblMovimientos[[#This Row],[Tipo]],tblTiposMov[Tipo],0)),0))</f>
        <v/>
      </c>
      <c r="K44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8" s="37"/>
      <c r="O4438" s="37"/>
      <c r="P4438" s="37"/>
    </row>
    <row r="4439" spans="2:16" x14ac:dyDescent="0.25">
      <c r="B44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39" s="46"/>
      <c r="D4439" s="37"/>
      <c r="E4439" s="37"/>
      <c r="F4439" s="37"/>
      <c r="G4439" s="40" t="str">
        <f>IF(tblMovimientos[[#This Row],[Producto]]="","",TRIM(LEFT(tblMovimientos[[#This Row],[Producto]],FIND(" · ",tblMovimientos[[#This Row],[Producto]]&amp;" · ")-1)))</f>
        <v/>
      </c>
      <c r="H4439" s="40" t="str">
        <f>IF(tblMovimientos[[#This Row],[SKU]]="","",IFERROR(INDEX(tblProductos[Unidad],MATCH(tblMovimientos[[#This Row],[SKU]],tblProductos[SKU],0)),"?"))</f>
        <v/>
      </c>
      <c r="I4439" s="39"/>
      <c r="J4439" s="47" t="str">
        <f>IF(tblMovimientos[[#This Row],[Tipo]]="","",IFERROR(INDEX(tblTiposMov[FactorStock],MATCH(tblMovimientos[[#This Row],[Tipo]],tblTiposMov[Tipo],0)),0))</f>
        <v/>
      </c>
      <c r="K44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39" s="37"/>
      <c r="O4439" s="37"/>
      <c r="P4439" s="37"/>
    </row>
    <row r="4440" spans="2:16" x14ac:dyDescent="0.25">
      <c r="B44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0" s="46"/>
      <c r="D4440" s="37"/>
      <c r="E4440" s="37"/>
      <c r="F4440" s="37"/>
      <c r="G4440" s="40" t="str">
        <f>IF(tblMovimientos[[#This Row],[Producto]]="","",TRIM(LEFT(tblMovimientos[[#This Row],[Producto]],FIND(" · ",tblMovimientos[[#This Row],[Producto]]&amp;" · ")-1)))</f>
        <v/>
      </c>
      <c r="H4440" s="40" t="str">
        <f>IF(tblMovimientos[[#This Row],[SKU]]="","",IFERROR(INDEX(tblProductos[Unidad],MATCH(tblMovimientos[[#This Row],[SKU]],tblProductos[SKU],0)),"?"))</f>
        <v/>
      </c>
      <c r="I4440" s="39"/>
      <c r="J4440" s="47" t="str">
        <f>IF(tblMovimientos[[#This Row],[Tipo]]="","",IFERROR(INDEX(tblTiposMov[FactorStock],MATCH(tblMovimientos[[#This Row],[Tipo]],tblTiposMov[Tipo],0)),0))</f>
        <v/>
      </c>
      <c r="K44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0" s="37"/>
      <c r="O4440" s="37"/>
      <c r="P4440" s="37"/>
    </row>
    <row r="4441" spans="2:16" x14ac:dyDescent="0.25">
      <c r="B44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1" s="46"/>
      <c r="D4441" s="37"/>
      <c r="E4441" s="37"/>
      <c r="F4441" s="37"/>
      <c r="G4441" s="40" t="str">
        <f>IF(tblMovimientos[[#This Row],[Producto]]="","",TRIM(LEFT(tblMovimientos[[#This Row],[Producto]],FIND(" · ",tblMovimientos[[#This Row],[Producto]]&amp;" · ")-1)))</f>
        <v/>
      </c>
      <c r="H4441" s="40" t="str">
        <f>IF(tblMovimientos[[#This Row],[SKU]]="","",IFERROR(INDEX(tblProductos[Unidad],MATCH(tblMovimientos[[#This Row],[SKU]],tblProductos[SKU],0)),"?"))</f>
        <v/>
      </c>
      <c r="I4441" s="39"/>
      <c r="J4441" s="47" t="str">
        <f>IF(tblMovimientos[[#This Row],[Tipo]]="","",IFERROR(INDEX(tblTiposMov[FactorStock],MATCH(tblMovimientos[[#This Row],[Tipo]],tblTiposMov[Tipo],0)),0))</f>
        <v/>
      </c>
      <c r="K44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1" s="37"/>
      <c r="O4441" s="37"/>
      <c r="P4441" s="37"/>
    </row>
    <row r="4442" spans="2:16" x14ac:dyDescent="0.25">
      <c r="B44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2" s="46"/>
      <c r="D4442" s="37"/>
      <c r="E4442" s="37"/>
      <c r="F4442" s="37"/>
      <c r="G4442" s="40" t="str">
        <f>IF(tblMovimientos[[#This Row],[Producto]]="","",TRIM(LEFT(tblMovimientos[[#This Row],[Producto]],FIND(" · ",tblMovimientos[[#This Row],[Producto]]&amp;" · ")-1)))</f>
        <v/>
      </c>
      <c r="H4442" s="40" t="str">
        <f>IF(tblMovimientos[[#This Row],[SKU]]="","",IFERROR(INDEX(tblProductos[Unidad],MATCH(tblMovimientos[[#This Row],[SKU]],tblProductos[SKU],0)),"?"))</f>
        <v/>
      </c>
      <c r="I4442" s="39"/>
      <c r="J4442" s="47" t="str">
        <f>IF(tblMovimientos[[#This Row],[Tipo]]="","",IFERROR(INDEX(tblTiposMov[FactorStock],MATCH(tblMovimientos[[#This Row],[Tipo]],tblTiposMov[Tipo],0)),0))</f>
        <v/>
      </c>
      <c r="K44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2" s="37"/>
      <c r="O4442" s="37"/>
      <c r="P4442" s="37"/>
    </row>
    <row r="4443" spans="2:16" x14ac:dyDescent="0.25">
      <c r="B44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3" s="46"/>
      <c r="D4443" s="37"/>
      <c r="E4443" s="37"/>
      <c r="F4443" s="37"/>
      <c r="G4443" s="40" t="str">
        <f>IF(tblMovimientos[[#This Row],[Producto]]="","",TRIM(LEFT(tblMovimientos[[#This Row],[Producto]],FIND(" · ",tblMovimientos[[#This Row],[Producto]]&amp;" · ")-1)))</f>
        <v/>
      </c>
      <c r="H4443" s="40" t="str">
        <f>IF(tblMovimientos[[#This Row],[SKU]]="","",IFERROR(INDEX(tblProductos[Unidad],MATCH(tblMovimientos[[#This Row],[SKU]],tblProductos[SKU],0)),"?"))</f>
        <v/>
      </c>
      <c r="I4443" s="39"/>
      <c r="J4443" s="47" t="str">
        <f>IF(tblMovimientos[[#This Row],[Tipo]]="","",IFERROR(INDEX(tblTiposMov[FactorStock],MATCH(tblMovimientos[[#This Row],[Tipo]],tblTiposMov[Tipo],0)),0))</f>
        <v/>
      </c>
      <c r="K44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3" s="37"/>
      <c r="O4443" s="37"/>
      <c r="P4443" s="37"/>
    </row>
    <row r="4444" spans="2:16" x14ac:dyDescent="0.25">
      <c r="B44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4" s="46"/>
      <c r="D4444" s="37"/>
      <c r="E4444" s="37"/>
      <c r="F4444" s="37"/>
      <c r="G4444" s="40" t="str">
        <f>IF(tblMovimientos[[#This Row],[Producto]]="","",TRIM(LEFT(tblMovimientos[[#This Row],[Producto]],FIND(" · ",tblMovimientos[[#This Row],[Producto]]&amp;" · ")-1)))</f>
        <v/>
      </c>
      <c r="H4444" s="40" t="str">
        <f>IF(tblMovimientos[[#This Row],[SKU]]="","",IFERROR(INDEX(tblProductos[Unidad],MATCH(tblMovimientos[[#This Row],[SKU]],tblProductos[SKU],0)),"?"))</f>
        <v/>
      </c>
      <c r="I4444" s="39"/>
      <c r="J4444" s="47" t="str">
        <f>IF(tblMovimientos[[#This Row],[Tipo]]="","",IFERROR(INDEX(tblTiposMov[FactorStock],MATCH(tblMovimientos[[#This Row],[Tipo]],tblTiposMov[Tipo],0)),0))</f>
        <v/>
      </c>
      <c r="K44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4" s="37"/>
      <c r="O4444" s="37"/>
      <c r="P4444" s="37"/>
    </row>
    <row r="4445" spans="2:16" x14ac:dyDescent="0.25">
      <c r="B44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5" s="46"/>
      <c r="D4445" s="37"/>
      <c r="E4445" s="37"/>
      <c r="F4445" s="37"/>
      <c r="G4445" s="40" t="str">
        <f>IF(tblMovimientos[[#This Row],[Producto]]="","",TRIM(LEFT(tblMovimientos[[#This Row],[Producto]],FIND(" · ",tblMovimientos[[#This Row],[Producto]]&amp;" · ")-1)))</f>
        <v/>
      </c>
      <c r="H4445" s="40" t="str">
        <f>IF(tblMovimientos[[#This Row],[SKU]]="","",IFERROR(INDEX(tblProductos[Unidad],MATCH(tblMovimientos[[#This Row],[SKU]],tblProductos[SKU],0)),"?"))</f>
        <v/>
      </c>
      <c r="I4445" s="39"/>
      <c r="J4445" s="47" t="str">
        <f>IF(tblMovimientos[[#This Row],[Tipo]]="","",IFERROR(INDEX(tblTiposMov[FactorStock],MATCH(tblMovimientos[[#This Row],[Tipo]],tblTiposMov[Tipo],0)),0))</f>
        <v/>
      </c>
      <c r="K44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5" s="37"/>
      <c r="O4445" s="37"/>
      <c r="P4445" s="37"/>
    </row>
    <row r="4446" spans="2:16" x14ac:dyDescent="0.25">
      <c r="B44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6" s="46"/>
      <c r="D4446" s="37"/>
      <c r="E4446" s="37"/>
      <c r="F4446" s="37"/>
      <c r="G4446" s="40" t="str">
        <f>IF(tblMovimientos[[#This Row],[Producto]]="","",TRIM(LEFT(tblMovimientos[[#This Row],[Producto]],FIND(" · ",tblMovimientos[[#This Row],[Producto]]&amp;" · ")-1)))</f>
        <v/>
      </c>
      <c r="H4446" s="40" t="str">
        <f>IF(tblMovimientos[[#This Row],[SKU]]="","",IFERROR(INDEX(tblProductos[Unidad],MATCH(tblMovimientos[[#This Row],[SKU]],tblProductos[SKU],0)),"?"))</f>
        <v/>
      </c>
      <c r="I4446" s="39"/>
      <c r="J4446" s="47" t="str">
        <f>IF(tblMovimientos[[#This Row],[Tipo]]="","",IFERROR(INDEX(tblTiposMov[FactorStock],MATCH(tblMovimientos[[#This Row],[Tipo]],tblTiposMov[Tipo],0)),0))</f>
        <v/>
      </c>
      <c r="K44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6" s="37"/>
      <c r="O4446" s="37"/>
      <c r="P4446" s="37"/>
    </row>
    <row r="4447" spans="2:16" x14ac:dyDescent="0.25">
      <c r="B44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7" s="46"/>
      <c r="D4447" s="37"/>
      <c r="E4447" s="37"/>
      <c r="F4447" s="37"/>
      <c r="G4447" s="40" t="str">
        <f>IF(tblMovimientos[[#This Row],[Producto]]="","",TRIM(LEFT(tblMovimientos[[#This Row],[Producto]],FIND(" · ",tblMovimientos[[#This Row],[Producto]]&amp;" · ")-1)))</f>
        <v/>
      </c>
      <c r="H4447" s="40" t="str">
        <f>IF(tblMovimientos[[#This Row],[SKU]]="","",IFERROR(INDEX(tblProductos[Unidad],MATCH(tblMovimientos[[#This Row],[SKU]],tblProductos[SKU],0)),"?"))</f>
        <v/>
      </c>
      <c r="I4447" s="39"/>
      <c r="J4447" s="47" t="str">
        <f>IF(tblMovimientos[[#This Row],[Tipo]]="","",IFERROR(INDEX(tblTiposMov[FactorStock],MATCH(tblMovimientos[[#This Row],[Tipo]],tblTiposMov[Tipo],0)),0))</f>
        <v/>
      </c>
      <c r="K44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7" s="37"/>
      <c r="O4447" s="37"/>
      <c r="P4447" s="37"/>
    </row>
    <row r="4448" spans="2:16" x14ac:dyDescent="0.25">
      <c r="B44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8" s="46"/>
      <c r="D4448" s="37"/>
      <c r="E4448" s="37"/>
      <c r="F4448" s="37"/>
      <c r="G4448" s="40" t="str">
        <f>IF(tblMovimientos[[#This Row],[Producto]]="","",TRIM(LEFT(tblMovimientos[[#This Row],[Producto]],FIND(" · ",tblMovimientos[[#This Row],[Producto]]&amp;" · ")-1)))</f>
        <v/>
      </c>
      <c r="H4448" s="40" t="str">
        <f>IF(tblMovimientos[[#This Row],[SKU]]="","",IFERROR(INDEX(tblProductos[Unidad],MATCH(tblMovimientos[[#This Row],[SKU]],tblProductos[SKU],0)),"?"))</f>
        <v/>
      </c>
      <c r="I4448" s="39"/>
      <c r="J4448" s="47" t="str">
        <f>IF(tblMovimientos[[#This Row],[Tipo]]="","",IFERROR(INDEX(tblTiposMov[FactorStock],MATCH(tblMovimientos[[#This Row],[Tipo]],tblTiposMov[Tipo],0)),0))</f>
        <v/>
      </c>
      <c r="K44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8" s="37"/>
      <c r="O4448" s="37"/>
      <c r="P4448" s="37"/>
    </row>
    <row r="4449" spans="2:16" x14ac:dyDescent="0.25">
      <c r="B44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49" s="46"/>
      <c r="D4449" s="37"/>
      <c r="E4449" s="37"/>
      <c r="F4449" s="37"/>
      <c r="G4449" s="40" t="str">
        <f>IF(tblMovimientos[[#This Row],[Producto]]="","",TRIM(LEFT(tblMovimientos[[#This Row],[Producto]],FIND(" · ",tblMovimientos[[#This Row],[Producto]]&amp;" · ")-1)))</f>
        <v/>
      </c>
      <c r="H4449" s="40" t="str">
        <f>IF(tblMovimientos[[#This Row],[SKU]]="","",IFERROR(INDEX(tblProductos[Unidad],MATCH(tblMovimientos[[#This Row],[SKU]],tblProductos[SKU],0)),"?"))</f>
        <v/>
      </c>
      <c r="I4449" s="39"/>
      <c r="J4449" s="47" t="str">
        <f>IF(tblMovimientos[[#This Row],[Tipo]]="","",IFERROR(INDEX(tblTiposMov[FactorStock],MATCH(tblMovimientos[[#This Row],[Tipo]],tblTiposMov[Tipo],0)),0))</f>
        <v/>
      </c>
      <c r="K44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49" s="37"/>
      <c r="O4449" s="37"/>
      <c r="P4449" s="37"/>
    </row>
    <row r="4450" spans="2:16" x14ac:dyDescent="0.25">
      <c r="B44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0" s="46"/>
      <c r="D4450" s="37"/>
      <c r="E4450" s="37"/>
      <c r="F4450" s="37"/>
      <c r="G4450" s="40" t="str">
        <f>IF(tblMovimientos[[#This Row],[Producto]]="","",TRIM(LEFT(tblMovimientos[[#This Row],[Producto]],FIND(" · ",tblMovimientos[[#This Row],[Producto]]&amp;" · ")-1)))</f>
        <v/>
      </c>
      <c r="H4450" s="40" t="str">
        <f>IF(tblMovimientos[[#This Row],[SKU]]="","",IFERROR(INDEX(tblProductos[Unidad],MATCH(tblMovimientos[[#This Row],[SKU]],tblProductos[SKU],0)),"?"))</f>
        <v/>
      </c>
      <c r="I4450" s="39"/>
      <c r="J4450" s="47" t="str">
        <f>IF(tblMovimientos[[#This Row],[Tipo]]="","",IFERROR(INDEX(tblTiposMov[FactorStock],MATCH(tblMovimientos[[#This Row],[Tipo]],tblTiposMov[Tipo],0)),0))</f>
        <v/>
      </c>
      <c r="K44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0" s="37"/>
      <c r="O4450" s="37"/>
      <c r="P4450" s="37"/>
    </row>
    <row r="4451" spans="2:16" x14ac:dyDescent="0.25">
      <c r="B44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1" s="46"/>
      <c r="D4451" s="37"/>
      <c r="E4451" s="37"/>
      <c r="F4451" s="37"/>
      <c r="G4451" s="40" t="str">
        <f>IF(tblMovimientos[[#This Row],[Producto]]="","",TRIM(LEFT(tblMovimientos[[#This Row],[Producto]],FIND(" · ",tblMovimientos[[#This Row],[Producto]]&amp;" · ")-1)))</f>
        <v/>
      </c>
      <c r="H4451" s="40" t="str">
        <f>IF(tblMovimientos[[#This Row],[SKU]]="","",IFERROR(INDEX(tblProductos[Unidad],MATCH(tblMovimientos[[#This Row],[SKU]],tblProductos[SKU],0)),"?"))</f>
        <v/>
      </c>
      <c r="I4451" s="39"/>
      <c r="J4451" s="47" t="str">
        <f>IF(tblMovimientos[[#This Row],[Tipo]]="","",IFERROR(INDEX(tblTiposMov[FactorStock],MATCH(tblMovimientos[[#This Row],[Tipo]],tblTiposMov[Tipo],0)),0))</f>
        <v/>
      </c>
      <c r="K44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1" s="37"/>
      <c r="O4451" s="37"/>
      <c r="P4451" s="37"/>
    </row>
    <row r="4452" spans="2:16" x14ac:dyDescent="0.25">
      <c r="B44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2" s="46"/>
      <c r="D4452" s="37"/>
      <c r="E4452" s="37"/>
      <c r="F4452" s="37"/>
      <c r="G4452" s="40" t="str">
        <f>IF(tblMovimientos[[#This Row],[Producto]]="","",TRIM(LEFT(tblMovimientos[[#This Row],[Producto]],FIND(" · ",tblMovimientos[[#This Row],[Producto]]&amp;" · ")-1)))</f>
        <v/>
      </c>
      <c r="H4452" s="40" t="str">
        <f>IF(tblMovimientos[[#This Row],[SKU]]="","",IFERROR(INDEX(tblProductos[Unidad],MATCH(tblMovimientos[[#This Row],[SKU]],tblProductos[SKU],0)),"?"))</f>
        <v/>
      </c>
      <c r="I4452" s="39"/>
      <c r="J4452" s="47" t="str">
        <f>IF(tblMovimientos[[#This Row],[Tipo]]="","",IFERROR(INDEX(tblTiposMov[FactorStock],MATCH(tblMovimientos[[#This Row],[Tipo]],tblTiposMov[Tipo],0)),0))</f>
        <v/>
      </c>
      <c r="K44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2" s="37"/>
      <c r="O4452" s="37"/>
      <c r="P4452" s="37"/>
    </row>
    <row r="4453" spans="2:16" x14ac:dyDescent="0.25">
      <c r="B44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3" s="46"/>
      <c r="D4453" s="37"/>
      <c r="E4453" s="37"/>
      <c r="F4453" s="37"/>
      <c r="G4453" s="40" t="str">
        <f>IF(tblMovimientos[[#This Row],[Producto]]="","",TRIM(LEFT(tblMovimientos[[#This Row],[Producto]],FIND(" · ",tblMovimientos[[#This Row],[Producto]]&amp;" · ")-1)))</f>
        <v/>
      </c>
      <c r="H4453" s="40" t="str">
        <f>IF(tblMovimientos[[#This Row],[SKU]]="","",IFERROR(INDEX(tblProductos[Unidad],MATCH(tblMovimientos[[#This Row],[SKU]],tblProductos[SKU],0)),"?"))</f>
        <v/>
      </c>
      <c r="I4453" s="39"/>
      <c r="J4453" s="47" t="str">
        <f>IF(tblMovimientos[[#This Row],[Tipo]]="","",IFERROR(INDEX(tblTiposMov[FactorStock],MATCH(tblMovimientos[[#This Row],[Tipo]],tblTiposMov[Tipo],0)),0))</f>
        <v/>
      </c>
      <c r="K44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3" s="37"/>
      <c r="O4453" s="37"/>
      <c r="P4453" s="37"/>
    </row>
    <row r="4454" spans="2:16" x14ac:dyDescent="0.25">
      <c r="B44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4" s="46"/>
      <c r="D4454" s="37"/>
      <c r="E4454" s="37"/>
      <c r="F4454" s="37"/>
      <c r="G4454" s="40" t="str">
        <f>IF(tblMovimientos[[#This Row],[Producto]]="","",TRIM(LEFT(tblMovimientos[[#This Row],[Producto]],FIND(" · ",tblMovimientos[[#This Row],[Producto]]&amp;" · ")-1)))</f>
        <v/>
      </c>
      <c r="H4454" s="40" t="str">
        <f>IF(tblMovimientos[[#This Row],[SKU]]="","",IFERROR(INDEX(tblProductos[Unidad],MATCH(tblMovimientos[[#This Row],[SKU]],tblProductos[SKU],0)),"?"))</f>
        <v/>
      </c>
      <c r="I4454" s="39"/>
      <c r="J4454" s="47" t="str">
        <f>IF(tblMovimientos[[#This Row],[Tipo]]="","",IFERROR(INDEX(tblTiposMov[FactorStock],MATCH(tblMovimientos[[#This Row],[Tipo]],tblTiposMov[Tipo],0)),0))</f>
        <v/>
      </c>
      <c r="K44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4" s="37"/>
      <c r="O4454" s="37"/>
      <c r="P4454" s="37"/>
    </row>
    <row r="4455" spans="2:16" x14ac:dyDescent="0.25">
      <c r="B44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5" s="46"/>
      <c r="D4455" s="37"/>
      <c r="E4455" s="37"/>
      <c r="F4455" s="37"/>
      <c r="G4455" s="40" t="str">
        <f>IF(tblMovimientos[[#This Row],[Producto]]="","",TRIM(LEFT(tblMovimientos[[#This Row],[Producto]],FIND(" · ",tblMovimientos[[#This Row],[Producto]]&amp;" · ")-1)))</f>
        <v/>
      </c>
      <c r="H4455" s="40" t="str">
        <f>IF(tblMovimientos[[#This Row],[SKU]]="","",IFERROR(INDEX(tblProductos[Unidad],MATCH(tblMovimientos[[#This Row],[SKU]],tblProductos[SKU],0)),"?"))</f>
        <v/>
      </c>
      <c r="I4455" s="39"/>
      <c r="J4455" s="47" t="str">
        <f>IF(tblMovimientos[[#This Row],[Tipo]]="","",IFERROR(INDEX(tblTiposMov[FactorStock],MATCH(tblMovimientos[[#This Row],[Tipo]],tblTiposMov[Tipo],0)),0))</f>
        <v/>
      </c>
      <c r="K44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5" s="37"/>
      <c r="O4455" s="37"/>
      <c r="P4455" s="37"/>
    </row>
    <row r="4456" spans="2:16" x14ac:dyDescent="0.25">
      <c r="B44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6" s="46"/>
      <c r="D4456" s="37"/>
      <c r="E4456" s="37"/>
      <c r="F4456" s="37"/>
      <c r="G4456" s="40" t="str">
        <f>IF(tblMovimientos[[#This Row],[Producto]]="","",TRIM(LEFT(tblMovimientos[[#This Row],[Producto]],FIND(" · ",tblMovimientos[[#This Row],[Producto]]&amp;" · ")-1)))</f>
        <v/>
      </c>
      <c r="H4456" s="40" t="str">
        <f>IF(tblMovimientos[[#This Row],[SKU]]="","",IFERROR(INDEX(tblProductos[Unidad],MATCH(tblMovimientos[[#This Row],[SKU]],tblProductos[SKU],0)),"?"))</f>
        <v/>
      </c>
      <c r="I4456" s="39"/>
      <c r="J4456" s="47" t="str">
        <f>IF(tblMovimientos[[#This Row],[Tipo]]="","",IFERROR(INDEX(tblTiposMov[FactorStock],MATCH(tblMovimientos[[#This Row],[Tipo]],tblTiposMov[Tipo],0)),0))</f>
        <v/>
      </c>
      <c r="K44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6" s="37"/>
      <c r="O4456" s="37"/>
      <c r="P4456" s="37"/>
    </row>
    <row r="4457" spans="2:16" x14ac:dyDescent="0.25">
      <c r="B44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7" s="46"/>
      <c r="D4457" s="37"/>
      <c r="E4457" s="37"/>
      <c r="F4457" s="37"/>
      <c r="G4457" s="40" t="str">
        <f>IF(tblMovimientos[[#This Row],[Producto]]="","",TRIM(LEFT(tblMovimientos[[#This Row],[Producto]],FIND(" · ",tblMovimientos[[#This Row],[Producto]]&amp;" · ")-1)))</f>
        <v/>
      </c>
      <c r="H4457" s="40" t="str">
        <f>IF(tblMovimientos[[#This Row],[SKU]]="","",IFERROR(INDEX(tblProductos[Unidad],MATCH(tblMovimientos[[#This Row],[SKU]],tblProductos[SKU],0)),"?"))</f>
        <v/>
      </c>
      <c r="I4457" s="39"/>
      <c r="J4457" s="47" t="str">
        <f>IF(tblMovimientos[[#This Row],[Tipo]]="","",IFERROR(INDEX(tblTiposMov[FactorStock],MATCH(tblMovimientos[[#This Row],[Tipo]],tblTiposMov[Tipo],0)),0))</f>
        <v/>
      </c>
      <c r="K44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7" s="37"/>
      <c r="O4457" s="37"/>
      <c r="P4457" s="37"/>
    </row>
    <row r="4458" spans="2:16" x14ac:dyDescent="0.25">
      <c r="B44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8" s="46"/>
      <c r="D4458" s="37"/>
      <c r="E4458" s="37"/>
      <c r="F4458" s="37"/>
      <c r="G4458" s="40" t="str">
        <f>IF(tblMovimientos[[#This Row],[Producto]]="","",TRIM(LEFT(tblMovimientos[[#This Row],[Producto]],FIND(" · ",tblMovimientos[[#This Row],[Producto]]&amp;" · ")-1)))</f>
        <v/>
      </c>
      <c r="H4458" s="40" t="str">
        <f>IF(tblMovimientos[[#This Row],[SKU]]="","",IFERROR(INDEX(tblProductos[Unidad],MATCH(tblMovimientos[[#This Row],[SKU]],tblProductos[SKU],0)),"?"))</f>
        <v/>
      </c>
      <c r="I4458" s="39"/>
      <c r="J4458" s="47" t="str">
        <f>IF(tblMovimientos[[#This Row],[Tipo]]="","",IFERROR(INDEX(tblTiposMov[FactorStock],MATCH(tblMovimientos[[#This Row],[Tipo]],tblTiposMov[Tipo],0)),0))</f>
        <v/>
      </c>
      <c r="K44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8" s="37"/>
      <c r="O4458" s="37"/>
      <c r="P4458" s="37"/>
    </row>
    <row r="4459" spans="2:16" x14ac:dyDescent="0.25">
      <c r="B44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59" s="46"/>
      <c r="D4459" s="37"/>
      <c r="E4459" s="37"/>
      <c r="F4459" s="37"/>
      <c r="G4459" s="40" t="str">
        <f>IF(tblMovimientos[[#This Row],[Producto]]="","",TRIM(LEFT(tblMovimientos[[#This Row],[Producto]],FIND(" · ",tblMovimientos[[#This Row],[Producto]]&amp;" · ")-1)))</f>
        <v/>
      </c>
      <c r="H4459" s="40" t="str">
        <f>IF(tblMovimientos[[#This Row],[SKU]]="","",IFERROR(INDEX(tblProductos[Unidad],MATCH(tblMovimientos[[#This Row],[SKU]],tblProductos[SKU],0)),"?"))</f>
        <v/>
      </c>
      <c r="I4459" s="39"/>
      <c r="J4459" s="47" t="str">
        <f>IF(tblMovimientos[[#This Row],[Tipo]]="","",IFERROR(INDEX(tblTiposMov[FactorStock],MATCH(tblMovimientos[[#This Row],[Tipo]],tblTiposMov[Tipo],0)),0))</f>
        <v/>
      </c>
      <c r="K44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59" s="37"/>
      <c r="O4459" s="37"/>
      <c r="P4459" s="37"/>
    </row>
    <row r="4460" spans="2:16" x14ac:dyDescent="0.25">
      <c r="B44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0" s="46"/>
      <c r="D4460" s="37"/>
      <c r="E4460" s="37"/>
      <c r="F4460" s="37"/>
      <c r="G4460" s="40" t="str">
        <f>IF(tblMovimientos[[#This Row],[Producto]]="","",TRIM(LEFT(tblMovimientos[[#This Row],[Producto]],FIND(" · ",tblMovimientos[[#This Row],[Producto]]&amp;" · ")-1)))</f>
        <v/>
      </c>
      <c r="H4460" s="40" t="str">
        <f>IF(tblMovimientos[[#This Row],[SKU]]="","",IFERROR(INDEX(tblProductos[Unidad],MATCH(tblMovimientos[[#This Row],[SKU]],tblProductos[SKU],0)),"?"))</f>
        <v/>
      </c>
      <c r="I4460" s="39"/>
      <c r="J4460" s="47" t="str">
        <f>IF(tblMovimientos[[#This Row],[Tipo]]="","",IFERROR(INDEX(tblTiposMov[FactorStock],MATCH(tblMovimientos[[#This Row],[Tipo]],tblTiposMov[Tipo],0)),0))</f>
        <v/>
      </c>
      <c r="K44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0" s="37"/>
      <c r="O4460" s="37"/>
      <c r="P4460" s="37"/>
    </row>
    <row r="4461" spans="2:16" x14ac:dyDescent="0.25">
      <c r="B44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1" s="46"/>
      <c r="D4461" s="37"/>
      <c r="E4461" s="37"/>
      <c r="F4461" s="37"/>
      <c r="G4461" s="40" t="str">
        <f>IF(tblMovimientos[[#This Row],[Producto]]="","",TRIM(LEFT(tblMovimientos[[#This Row],[Producto]],FIND(" · ",tblMovimientos[[#This Row],[Producto]]&amp;" · ")-1)))</f>
        <v/>
      </c>
      <c r="H4461" s="40" t="str">
        <f>IF(tblMovimientos[[#This Row],[SKU]]="","",IFERROR(INDEX(tblProductos[Unidad],MATCH(tblMovimientos[[#This Row],[SKU]],tblProductos[SKU],0)),"?"))</f>
        <v/>
      </c>
      <c r="I4461" s="39"/>
      <c r="J4461" s="47" t="str">
        <f>IF(tblMovimientos[[#This Row],[Tipo]]="","",IFERROR(INDEX(tblTiposMov[FactorStock],MATCH(tblMovimientos[[#This Row],[Tipo]],tblTiposMov[Tipo],0)),0))</f>
        <v/>
      </c>
      <c r="K44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1" s="37"/>
      <c r="O4461" s="37"/>
      <c r="P4461" s="37"/>
    </row>
    <row r="4462" spans="2:16" x14ac:dyDescent="0.25">
      <c r="B44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2" s="46"/>
      <c r="D4462" s="37"/>
      <c r="E4462" s="37"/>
      <c r="F4462" s="37"/>
      <c r="G4462" s="40" t="str">
        <f>IF(tblMovimientos[[#This Row],[Producto]]="","",TRIM(LEFT(tblMovimientos[[#This Row],[Producto]],FIND(" · ",tblMovimientos[[#This Row],[Producto]]&amp;" · ")-1)))</f>
        <v/>
      </c>
      <c r="H4462" s="40" t="str">
        <f>IF(tblMovimientos[[#This Row],[SKU]]="","",IFERROR(INDEX(tblProductos[Unidad],MATCH(tblMovimientos[[#This Row],[SKU]],tblProductos[SKU],0)),"?"))</f>
        <v/>
      </c>
      <c r="I4462" s="39"/>
      <c r="J4462" s="47" t="str">
        <f>IF(tblMovimientos[[#This Row],[Tipo]]="","",IFERROR(INDEX(tblTiposMov[FactorStock],MATCH(tblMovimientos[[#This Row],[Tipo]],tblTiposMov[Tipo],0)),0))</f>
        <v/>
      </c>
      <c r="K44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2" s="37"/>
      <c r="O4462" s="37"/>
      <c r="P4462" s="37"/>
    </row>
    <row r="4463" spans="2:16" x14ac:dyDescent="0.25">
      <c r="B44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3" s="46"/>
      <c r="D4463" s="37"/>
      <c r="E4463" s="37"/>
      <c r="F4463" s="37"/>
      <c r="G4463" s="40" t="str">
        <f>IF(tblMovimientos[[#This Row],[Producto]]="","",TRIM(LEFT(tblMovimientos[[#This Row],[Producto]],FIND(" · ",tblMovimientos[[#This Row],[Producto]]&amp;" · ")-1)))</f>
        <v/>
      </c>
      <c r="H4463" s="40" t="str">
        <f>IF(tblMovimientos[[#This Row],[SKU]]="","",IFERROR(INDEX(tblProductos[Unidad],MATCH(tblMovimientos[[#This Row],[SKU]],tblProductos[SKU],0)),"?"))</f>
        <v/>
      </c>
      <c r="I4463" s="39"/>
      <c r="J4463" s="47" t="str">
        <f>IF(tblMovimientos[[#This Row],[Tipo]]="","",IFERROR(INDEX(tblTiposMov[FactorStock],MATCH(tblMovimientos[[#This Row],[Tipo]],tblTiposMov[Tipo],0)),0))</f>
        <v/>
      </c>
      <c r="K44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3" s="37"/>
      <c r="O4463" s="37"/>
      <c r="P4463" s="37"/>
    </row>
    <row r="4464" spans="2:16" x14ac:dyDescent="0.25">
      <c r="B44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4" s="46"/>
      <c r="D4464" s="37"/>
      <c r="E4464" s="37"/>
      <c r="F4464" s="37"/>
      <c r="G4464" s="40" t="str">
        <f>IF(tblMovimientos[[#This Row],[Producto]]="","",TRIM(LEFT(tblMovimientos[[#This Row],[Producto]],FIND(" · ",tblMovimientos[[#This Row],[Producto]]&amp;" · ")-1)))</f>
        <v/>
      </c>
      <c r="H4464" s="40" t="str">
        <f>IF(tblMovimientos[[#This Row],[SKU]]="","",IFERROR(INDEX(tblProductos[Unidad],MATCH(tblMovimientos[[#This Row],[SKU]],tblProductos[SKU],0)),"?"))</f>
        <v/>
      </c>
      <c r="I4464" s="39"/>
      <c r="J4464" s="47" t="str">
        <f>IF(tblMovimientos[[#This Row],[Tipo]]="","",IFERROR(INDEX(tblTiposMov[FactorStock],MATCH(tblMovimientos[[#This Row],[Tipo]],tblTiposMov[Tipo],0)),0))</f>
        <v/>
      </c>
      <c r="K44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4" s="37"/>
      <c r="O4464" s="37"/>
      <c r="P4464" s="37"/>
    </row>
    <row r="4465" spans="2:16" x14ac:dyDescent="0.25">
      <c r="B44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5" s="46"/>
      <c r="D4465" s="37"/>
      <c r="E4465" s="37"/>
      <c r="F4465" s="37"/>
      <c r="G4465" s="40" t="str">
        <f>IF(tblMovimientos[[#This Row],[Producto]]="","",TRIM(LEFT(tblMovimientos[[#This Row],[Producto]],FIND(" · ",tblMovimientos[[#This Row],[Producto]]&amp;" · ")-1)))</f>
        <v/>
      </c>
      <c r="H4465" s="40" t="str">
        <f>IF(tblMovimientos[[#This Row],[SKU]]="","",IFERROR(INDEX(tblProductos[Unidad],MATCH(tblMovimientos[[#This Row],[SKU]],tblProductos[SKU],0)),"?"))</f>
        <v/>
      </c>
      <c r="I4465" s="39"/>
      <c r="J4465" s="47" t="str">
        <f>IF(tblMovimientos[[#This Row],[Tipo]]="","",IFERROR(INDEX(tblTiposMov[FactorStock],MATCH(tblMovimientos[[#This Row],[Tipo]],tblTiposMov[Tipo],0)),0))</f>
        <v/>
      </c>
      <c r="K44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5" s="37"/>
      <c r="O4465" s="37"/>
      <c r="P4465" s="37"/>
    </row>
    <row r="4466" spans="2:16" x14ac:dyDescent="0.25">
      <c r="B44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6" s="46"/>
      <c r="D4466" s="37"/>
      <c r="E4466" s="37"/>
      <c r="F4466" s="37"/>
      <c r="G4466" s="40" t="str">
        <f>IF(tblMovimientos[[#This Row],[Producto]]="","",TRIM(LEFT(tblMovimientos[[#This Row],[Producto]],FIND(" · ",tblMovimientos[[#This Row],[Producto]]&amp;" · ")-1)))</f>
        <v/>
      </c>
      <c r="H4466" s="40" t="str">
        <f>IF(tblMovimientos[[#This Row],[SKU]]="","",IFERROR(INDEX(tblProductos[Unidad],MATCH(tblMovimientos[[#This Row],[SKU]],tblProductos[SKU],0)),"?"))</f>
        <v/>
      </c>
      <c r="I4466" s="39"/>
      <c r="J4466" s="47" t="str">
        <f>IF(tblMovimientos[[#This Row],[Tipo]]="","",IFERROR(INDEX(tblTiposMov[FactorStock],MATCH(tblMovimientos[[#This Row],[Tipo]],tblTiposMov[Tipo],0)),0))</f>
        <v/>
      </c>
      <c r="K44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6" s="37"/>
      <c r="O4466" s="37"/>
      <c r="P4466" s="37"/>
    </row>
    <row r="4467" spans="2:16" x14ac:dyDescent="0.25">
      <c r="B44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7" s="46"/>
      <c r="D4467" s="37"/>
      <c r="E4467" s="37"/>
      <c r="F4467" s="37"/>
      <c r="G4467" s="40" t="str">
        <f>IF(tblMovimientos[[#This Row],[Producto]]="","",TRIM(LEFT(tblMovimientos[[#This Row],[Producto]],FIND(" · ",tblMovimientos[[#This Row],[Producto]]&amp;" · ")-1)))</f>
        <v/>
      </c>
      <c r="H4467" s="40" t="str">
        <f>IF(tblMovimientos[[#This Row],[SKU]]="","",IFERROR(INDEX(tblProductos[Unidad],MATCH(tblMovimientos[[#This Row],[SKU]],tblProductos[SKU],0)),"?"))</f>
        <v/>
      </c>
      <c r="I4467" s="39"/>
      <c r="J4467" s="47" t="str">
        <f>IF(tblMovimientos[[#This Row],[Tipo]]="","",IFERROR(INDEX(tblTiposMov[FactorStock],MATCH(tblMovimientos[[#This Row],[Tipo]],tblTiposMov[Tipo],0)),0))</f>
        <v/>
      </c>
      <c r="K44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7" s="37"/>
      <c r="O4467" s="37"/>
      <c r="P4467" s="37"/>
    </row>
    <row r="4468" spans="2:16" x14ac:dyDescent="0.25">
      <c r="B44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8" s="46"/>
      <c r="D4468" s="37"/>
      <c r="E4468" s="37"/>
      <c r="F4468" s="37"/>
      <c r="G4468" s="40" t="str">
        <f>IF(tblMovimientos[[#This Row],[Producto]]="","",TRIM(LEFT(tblMovimientos[[#This Row],[Producto]],FIND(" · ",tblMovimientos[[#This Row],[Producto]]&amp;" · ")-1)))</f>
        <v/>
      </c>
      <c r="H4468" s="40" t="str">
        <f>IF(tblMovimientos[[#This Row],[SKU]]="","",IFERROR(INDEX(tblProductos[Unidad],MATCH(tblMovimientos[[#This Row],[SKU]],tblProductos[SKU],0)),"?"))</f>
        <v/>
      </c>
      <c r="I4468" s="39"/>
      <c r="J4468" s="47" t="str">
        <f>IF(tblMovimientos[[#This Row],[Tipo]]="","",IFERROR(INDEX(tblTiposMov[FactorStock],MATCH(tblMovimientos[[#This Row],[Tipo]],tblTiposMov[Tipo],0)),0))</f>
        <v/>
      </c>
      <c r="K44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8" s="37"/>
      <c r="O4468" s="37"/>
      <c r="P4468" s="37"/>
    </row>
    <row r="4469" spans="2:16" x14ac:dyDescent="0.25">
      <c r="B44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69" s="46"/>
      <c r="D4469" s="37"/>
      <c r="E4469" s="37"/>
      <c r="F4469" s="37"/>
      <c r="G4469" s="40" t="str">
        <f>IF(tblMovimientos[[#This Row],[Producto]]="","",TRIM(LEFT(tblMovimientos[[#This Row],[Producto]],FIND(" · ",tblMovimientos[[#This Row],[Producto]]&amp;" · ")-1)))</f>
        <v/>
      </c>
      <c r="H4469" s="40" t="str">
        <f>IF(tblMovimientos[[#This Row],[SKU]]="","",IFERROR(INDEX(tblProductos[Unidad],MATCH(tblMovimientos[[#This Row],[SKU]],tblProductos[SKU],0)),"?"))</f>
        <v/>
      </c>
      <c r="I4469" s="39"/>
      <c r="J4469" s="47" t="str">
        <f>IF(tblMovimientos[[#This Row],[Tipo]]="","",IFERROR(INDEX(tblTiposMov[FactorStock],MATCH(tblMovimientos[[#This Row],[Tipo]],tblTiposMov[Tipo],0)),0))</f>
        <v/>
      </c>
      <c r="K44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69" s="37"/>
      <c r="O4469" s="37"/>
      <c r="P4469" s="37"/>
    </row>
    <row r="4470" spans="2:16" x14ac:dyDescent="0.25">
      <c r="B44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0" s="46"/>
      <c r="D4470" s="37"/>
      <c r="E4470" s="37"/>
      <c r="F4470" s="37"/>
      <c r="G4470" s="40" t="str">
        <f>IF(tblMovimientos[[#This Row],[Producto]]="","",TRIM(LEFT(tblMovimientos[[#This Row],[Producto]],FIND(" · ",tblMovimientos[[#This Row],[Producto]]&amp;" · ")-1)))</f>
        <v/>
      </c>
      <c r="H4470" s="40" t="str">
        <f>IF(tblMovimientos[[#This Row],[SKU]]="","",IFERROR(INDEX(tblProductos[Unidad],MATCH(tblMovimientos[[#This Row],[SKU]],tblProductos[SKU],0)),"?"))</f>
        <v/>
      </c>
      <c r="I4470" s="39"/>
      <c r="J4470" s="47" t="str">
        <f>IF(tblMovimientos[[#This Row],[Tipo]]="","",IFERROR(INDEX(tblTiposMov[FactorStock],MATCH(tblMovimientos[[#This Row],[Tipo]],tblTiposMov[Tipo],0)),0))</f>
        <v/>
      </c>
      <c r="K44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0" s="37"/>
      <c r="O4470" s="37"/>
      <c r="P4470" s="37"/>
    </row>
    <row r="4471" spans="2:16" x14ac:dyDescent="0.25">
      <c r="B44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1" s="46"/>
      <c r="D4471" s="37"/>
      <c r="E4471" s="37"/>
      <c r="F4471" s="37"/>
      <c r="G4471" s="40" t="str">
        <f>IF(tblMovimientos[[#This Row],[Producto]]="","",TRIM(LEFT(tblMovimientos[[#This Row],[Producto]],FIND(" · ",tblMovimientos[[#This Row],[Producto]]&amp;" · ")-1)))</f>
        <v/>
      </c>
      <c r="H4471" s="40" t="str">
        <f>IF(tblMovimientos[[#This Row],[SKU]]="","",IFERROR(INDEX(tblProductos[Unidad],MATCH(tblMovimientos[[#This Row],[SKU]],tblProductos[SKU],0)),"?"))</f>
        <v/>
      </c>
      <c r="I4471" s="39"/>
      <c r="J4471" s="47" t="str">
        <f>IF(tblMovimientos[[#This Row],[Tipo]]="","",IFERROR(INDEX(tblTiposMov[FactorStock],MATCH(tblMovimientos[[#This Row],[Tipo]],tblTiposMov[Tipo],0)),0))</f>
        <v/>
      </c>
      <c r="K44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1" s="37"/>
      <c r="O4471" s="37"/>
      <c r="P4471" s="37"/>
    </row>
    <row r="4472" spans="2:16" x14ac:dyDescent="0.25">
      <c r="B44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2" s="46"/>
      <c r="D4472" s="37"/>
      <c r="E4472" s="37"/>
      <c r="F4472" s="37"/>
      <c r="G4472" s="40" t="str">
        <f>IF(tblMovimientos[[#This Row],[Producto]]="","",TRIM(LEFT(tblMovimientos[[#This Row],[Producto]],FIND(" · ",tblMovimientos[[#This Row],[Producto]]&amp;" · ")-1)))</f>
        <v/>
      </c>
      <c r="H4472" s="40" t="str">
        <f>IF(tblMovimientos[[#This Row],[SKU]]="","",IFERROR(INDEX(tblProductos[Unidad],MATCH(tblMovimientos[[#This Row],[SKU]],tblProductos[SKU],0)),"?"))</f>
        <v/>
      </c>
      <c r="I4472" s="39"/>
      <c r="J4472" s="47" t="str">
        <f>IF(tblMovimientos[[#This Row],[Tipo]]="","",IFERROR(INDEX(tblTiposMov[FactorStock],MATCH(tblMovimientos[[#This Row],[Tipo]],tblTiposMov[Tipo],0)),0))</f>
        <v/>
      </c>
      <c r="K44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2" s="37"/>
      <c r="O4472" s="37"/>
      <c r="P4472" s="37"/>
    </row>
    <row r="4473" spans="2:16" x14ac:dyDescent="0.25">
      <c r="B44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3" s="46"/>
      <c r="D4473" s="37"/>
      <c r="E4473" s="37"/>
      <c r="F4473" s="37"/>
      <c r="G4473" s="40" t="str">
        <f>IF(tblMovimientos[[#This Row],[Producto]]="","",TRIM(LEFT(tblMovimientos[[#This Row],[Producto]],FIND(" · ",tblMovimientos[[#This Row],[Producto]]&amp;" · ")-1)))</f>
        <v/>
      </c>
      <c r="H4473" s="40" t="str">
        <f>IF(tblMovimientos[[#This Row],[SKU]]="","",IFERROR(INDEX(tblProductos[Unidad],MATCH(tblMovimientos[[#This Row],[SKU]],tblProductos[SKU],0)),"?"))</f>
        <v/>
      </c>
      <c r="I4473" s="39"/>
      <c r="J4473" s="47" t="str">
        <f>IF(tblMovimientos[[#This Row],[Tipo]]="","",IFERROR(INDEX(tblTiposMov[FactorStock],MATCH(tblMovimientos[[#This Row],[Tipo]],tblTiposMov[Tipo],0)),0))</f>
        <v/>
      </c>
      <c r="K44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3" s="37"/>
      <c r="O4473" s="37"/>
      <c r="P4473" s="37"/>
    </row>
    <row r="4474" spans="2:16" x14ac:dyDescent="0.25">
      <c r="B44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4" s="46"/>
      <c r="D4474" s="37"/>
      <c r="E4474" s="37"/>
      <c r="F4474" s="37"/>
      <c r="G4474" s="40" t="str">
        <f>IF(tblMovimientos[[#This Row],[Producto]]="","",TRIM(LEFT(tblMovimientos[[#This Row],[Producto]],FIND(" · ",tblMovimientos[[#This Row],[Producto]]&amp;" · ")-1)))</f>
        <v/>
      </c>
      <c r="H4474" s="40" t="str">
        <f>IF(tblMovimientos[[#This Row],[SKU]]="","",IFERROR(INDEX(tblProductos[Unidad],MATCH(tblMovimientos[[#This Row],[SKU]],tblProductos[SKU],0)),"?"))</f>
        <v/>
      </c>
      <c r="I4474" s="39"/>
      <c r="J4474" s="47" t="str">
        <f>IF(tblMovimientos[[#This Row],[Tipo]]="","",IFERROR(INDEX(tblTiposMov[FactorStock],MATCH(tblMovimientos[[#This Row],[Tipo]],tblTiposMov[Tipo],0)),0))</f>
        <v/>
      </c>
      <c r="K44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4" s="37"/>
      <c r="O4474" s="37"/>
      <c r="P4474" s="37"/>
    </row>
    <row r="4475" spans="2:16" x14ac:dyDescent="0.25">
      <c r="B44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5" s="46"/>
      <c r="D4475" s="37"/>
      <c r="E4475" s="37"/>
      <c r="F4475" s="37"/>
      <c r="G4475" s="40" t="str">
        <f>IF(tblMovimientos[[#This Row],[Producto]]="","",TRIM(LEFT(tblMovimientos[[#This Row],[Producto]],FIND(" · ",tblMovimientos[[#This Row],[Producto]]&amp;" · ")-1)))</f>
        <v/>
      </c>
      <c r="H4475" s="40" t="str">
        <f>IF(tblMovimientos[[#This Row],[SKU]]="","",IFERROR(INDEX(tblProductos[Unidad],MATCH(tblMovimientos[[#This Row],[SKU]],tblProductos[SKU],0)),"?"))</f>
        <v/>
      </c>
      <c r="I4475" s="39"/>
      <c r="J4475" s="47" t="str">
        <f>IF(tblMovimientos[[#This Row],[Tipo]]="","",IFERROR(INDEX(tblTiposMov[FactorStock],MATCH(tblMovimientos[[#This Row],[Tipo]],tblTiposMov[Tipo],0)),0))</f>
        <v/>
      </c>
      <c r="K44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5" s="37"/>
      <c r="O4475" s="37"/>
      <c r="P4475" s="37"/>
    </row>
    <row r="4476" spans="2:16" x14ac:dyDescent="0.25">
      <c r="B44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6" s="46"/>
      <c r="D4476" s="37"/>
      <c r="E4476" s="37"/>
      <c r="F4476" s="37"/>
      <c r="G4476" s="40" t="str">
        <f>IF(tblMovimientos[[#This Row],[Producto]]="","",TRIM(LEFT(tblMovimientos[[#This Row],[Producto]],FIND(" · ",tblMovimientos[[#This Row],[Producto]]&amp;" · ")-1)))</f>
        <v/>
      </c>
      <c r="H4476" s="40" t="str">
        <f>IF(tblMovimientos[[#This Row],[SKU]]="","",IFERROR(INDEX(tblProductos[Unidad],MATCH(tblMovimientos[[#This Row],[SKU]],tblProductos[SKU],0)),"?"))</f>
        <v/>
      </c>
      <c r="I4476" s="39"/>
      <c r="J4476" s="47" t="str">
        <f>IF(tblMovimientos[[#This Row],[Tipo]]="","",IFERROR(INDEX(tblTiposMov[FactorStock],MATCH(tblMovimientos[[#This Row],[Tipo]],tblTiposMov[Tipo],0)),0))</f>
        <v/>
      </c>
      <c r="K44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6" s="37"/>
      <c r="O4476" s="37"/>
      <c r="P4476" s="37"/>
    </row>
    <row r="4477" spans="2:16" x14ac:dyDescent="0.25">
      <c r="B44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7" s="46"/>
      <c r="D4477" s="37"/>
      <c r="E4477" s="37"/>
      <c r="F4477" s="37"/>
      <c r="G4477" s="40" t="str">
        <f>IF(tblMovimientos[[#This Row],[Producto]]="","",TRIM(LEFT(tblMovimientos[[#This Row],[Producto]],FIND(" · ",tblMovimientos[[#This Row],[Producto]]&amp;" · ")-1)))</f>
        <v/>
      </c>
      <c r="H4477" s="40" t="str">
        <f>IF(tblMovimientos[[#This Row],[SKU]]="","",IFERROR(INDEX(tblProductos[Unidad],MATCH(tblMovimientos[[#This Row],[SKU]],tblProductos[SKU],0)),"?"))</f>
        <v/>
      </c>
      <c r="I4477" s="39"/>
      <c r="J4477" s="47" t="str">
        <f>IF(tblMovimientos[[#This Row],[Tipo]]="","",IFERROR(INDEX(tblTiposMov[FactorStock],MATCH(tblMovimientos[[#This Row],[Tipo]],tblTiposMov[Tipo],0)),0))</f>
        <v/>
      </c>
      <c r="K44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7" s="37"/>
      <c r="O4477" s="37"/>
      <c r="P4477" s="37"/>
    </row>
    <row r="4478" spans="2:16" x14ac:dyDescent="0.25">
      <c r="B44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8" s="46"/>
      <c r="D4478" s="37"/>
      <c r="E4478" s="37"/>
      <c r="F4478" s="37"/>
      <c r="G4478" s="40" t="str">
        <f>IF(tblMovimientos[[#This Row],[Producto]]="","",TRIM(LEFT(tblMovimientos[[#This Row],[Producto]],FIND(" · ",tblMovimientos[[#This Row],[Producto]]&amp;" · ")-1)))</f>
        <v/>
      </c>
      <c r="H4478" s="40" t="str">
        <f>IF(tblMovimientos[[#This Row],[SKU]]="","",IFERROR(INDEX(tblProductos[Unidad],MATCH(tblMovimientos[[#This Row],[SKU]],tblProductos[SKU],0)),"?"))</f>
        <v/>
      </c>
      <c r="I4478" s="39"/>
      <c r="J4478" s="47" t="str">
        <f>IF(tblMovimientos[[#This Row],[Tipo]]="","",IFERROR(INDEX(tblTiposMov[FactorStock],MATCH(tblMovimientos[[#This Row],[Tipo]],tblTiposMov[Tipo],0)),0))</f>
        <v/>
      </c>
      <c r="K44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8" s="37"/>
      <c r="O4478" s="37"/>
      <c r="P4478" s="37"/>
    </row>
    <row r="4479" spans="2:16" x14ac:dyDescent="0.25">
      <c r="B44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79" s="46"/>
      <c r="D4479" s="37"/>
      <c r="E4479" s="37"/>
      <c r="F4479" s="37"/>
      <c r="G4479" s="40" t="str">
        <f>IF(tblMovimientos[[#This Row],[Producto]]="","",TRIM(LEFT(tblMovimientos[[#This Row],[Producto]],FIND(" · ",tblMovimientos[[#This Row],[Producto]]&amp;" · ")-1)))</f>
        <v/>
      </c>
      <c r="H4479" s="40" t="str">
        <f>IF(tblMovimientos[[#This Row],[SKU]]="","",IFERROR(INDEX(tblProductos[Unidad],MATCH(tblMovimientos[[#This Row],[SKU]],tblProductos[SKU],0)),"?"))</f>
        <v/>
      </c>
      <c r="I4479" s="39"/>
      <c r="J4479" s="47" t="str">
        <f>IF(tblMovimientos[[#This Row],[Tipo]]="","",IFERROR(INDEX(tblTiposMov[FactorStock],MATCH(tblMovimientos[[#This Row],[Tipo]],tblTiposMov[Tipo],0)),0))</f>
        <v/>
      </c>
      <c r="K44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79" s="37"/>
      <c r="O4479" s="37"/>
      <c r="P4479" s="37"/>
    </row>
    <row r="4480" spans="2:16" x14ac:dyDescent="0.25">
      <c r="B44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0" s="46"/>
      <c r="D4480" s="37"/>
      <c r="E4480" s="37"/>
      <c r="F4480" s="37"/>
      <c r="G4480" s="40" t="str">
        <f>IF(tblMovimientos[[#This Row],[Producto]]="","",TRIM(LEFT(tblMovimientos[[#This Row],[Producto]],FIND(" · ",tblMovimientos[[#This Row],[Producto]]&amp;" · ")-1)))</f>
        <v/>
      </c>
      <c r="H4480" s="40" t="str">
        <f>IF(tblMovimientos[[#This Row],[SKU]]="","",IFERROR(INDEX(tblProductos[Unidad],MATCH(tblMovimientos[[#This Row],[SKU]],tblProductos[SKU],0)),"?"))</f>
        <v/>
      </c>
      <c r="I4480" s="39"/>
      <c r="J4480" s="47" t="str">
        <f>IF(tblMovimientos[[#This Row],[Tipo]]="","",IFERROR(INDEX(tblTiposMov[FactorStock],MATCH(tblMovimientos[[#This Row],[Tipo]],tblTiposMov[Tipo],0)),0))</f>
        <v/>
      </c>
      <c r="K44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0" s="37"/>
      <c r="O4480" s="37"/>
      <c r="P4480" s="37"/>
    </row>
    <row r="4481" spans="2:16" x14ac:dyDescent="0.25">
      <c r="B44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1" s="46"/>
      <c r="D4481" s="37"/>
      <c r="E4481" s="37"/>
      <c r="F4481" s="37"/>
      <c r="G4481" s="40" t="str">
        <f>IF(tblMovimientos[[#This Row],[Producto]]="","",TRIM(LEFT(tblMovimientos[[#This Row],[Producto]],FIND(" · ",tblMovimientos[[#This Row],[Producto]]&amp;" · ")-1)))</f>
        <v/>
      </c>
      <c r="H4481" s="40" t="str">
        <f>IF(tblMovimientos[[#This Row],[SKU]]="","",IFERROR(INDEX(tblProductos[Unidad],MATCH(tblMovimientos[[#This Row],[SKU]],tblProductos[SKU],0)),"?"))</f>
        <v/>
      </c>
      <c r="I4481" s="39"/>
      <c r="J4481" s="47" t="str">
        <f>IF(tblMovimientos[[#This Row],[Tipo]]="","",IFERROR(INDEX(tblTiposMov[FactorStock],MATCH(tblMovimientos[[#This Row],[Tipo]],tblTiposMov[Tipo],0)),0))</f>
        <v/>
      </c>
      <c r="K44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1" s="37"/>
      <c r="O4481" s="37"/>
      <c r="P4481" s="37"/>
    </row>
    <row r="4482" spans="2:16" x14ac:dyDescent="0.25">
      <c r="B44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2" s="46"/>
      <c r="D4482" s="37"/>
      <c r="E4482" s="37"/>
      <c r="F4482" s="37"/>
      <c r="G4482" s="40" t="str">
        <f>IF(tblMovimientos[[#This Row],[Producto]]="","",TRIM(LEFT(tblMovimientos[[#This Row],[Producto]],FIND(" · ",tblMovimientos[[#This Row],[Producto]]&amp;" · ")-1)))</f>
        <v/>
      </c>
      <c r="H4482" s="40" t="str">
        <f>IF(tblMovimientos[[#This Row],[SKU]]="","",IFERROR(INDEX(tblProductos[Unidad],MATCH(tblMovimientos[[#This Row],[SKU]],tblProductos[SKU],0)),"?"))</f>
        <v/>
      </c>
      <c r="I4482" s="39"/>
      <c r="J4482" s="47" t="str">
        <f>IF(tblMovimientos[[#This Row],[Tipo]]="","",IFERROR(INDEX(tblTiposMov[FactorStock],MATCH(tblMovimientos[[#This Row],[Tipo]],tblTiposMov[Tipo],0)),0))</f>
        <v/>
      </c>
      <c r="K44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2" s="37"/>
      <c r="O4482" s="37"/>
      <c r="P4482" s="37"/>
    </row>
    <row r="4483" spans="2:16" x14ac:dyDescent="0.25">
      <c r="B44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3" s="46"/>
      <c r="D4483" s="37"/>
      <c r="E4483" s="37"/>
      <c r="F4483" s="37"/>
      <c r="G4483" s="40" t="str">
        <f>IF(tblMovimientos[[#This Row],[Producto]]="","",TRIM(LEFT(tblMovimientos[[#This Row],[Producto]],FIND(" · ",tblMovimientos[[#This Row],[Producto]]&amp;" · ")-1)))</f>
        <v/>
      </c>
      <c r="H4483" s="40" t="str">
        <f>IF(tblMovimientos[[#This Row],[SKU]]="","",IFERROR(INDEX(tblProductos[Unidad],MATCH(tblMovimientos[[#This Row],[SKU]],tblProductos[SKU],0)),"?"))</f>
        <v/>
      </c>
      <c r="I4483" s="39"/>
      <c r="J4483" s="47" t="str">
        <f>IF(tblMovimientos[[#This Row],[Tipo]]="","",IFERROR(INDEX(tblTiposMov[FactorStock],MATCH(tblMovimientos[[#This Row],[Tipo]],tblTiposMov[Tipo],0)),0))</f>
        <v/>
      </c>
      <c r="K44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3" s="37"/>
      <c r="O4483" s="37"/>
      <c r="P4483" s="37"/>
    </row>
    <row r="4484" spans="2:16" x14ac:dyDescent="0.25">
      <c r="B44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4" s="46"/>
      <c r="D4484" s="37"/>
      <c r="E4484" s="37"/>
      <c r="F4484" s="37"/>
      <c r="G4484" s="40" t="str">
        <f>IF(tblMovimientos[[#This Row],[Producto]]="","",TRIM(LEFT(tblMovimientos[[#This Row],[Producto]],FIND(" · ",tblMovimientos[[#This Row],[Producto]]&amp;" · ")-1)))</f>
        <v/>
      </c>
      <c r="H4484" s="40" t="str">
        <f>IF(tblMovimientos[[#This Row],[SKU]]="","",IFERROR(INDEX(tblProductos[Unidad],MATCH(tblMovimientos[[#This Row],[SKU]],tblProductos[SKU],0)),"?"))</f>
        <v/>
      </c>
      <c r="I4484" s="39"/>
      <c r="J4484" s="47" t="str">
        <f>IF(tblMovimientos[[#This Row],[Tipo]]="","",IFERROR(INDEX(tblTiposMov[FactorStock],MATCH(tblMovimientos[[#This Row],[Tipo]],tblTiposMov[Tipo],0)),0))</f>
        <v/>
      </c>
      <c r="K44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4" s="37"/>
      <c r="O4484" s="37"/>
      <c r="P4484" s="37"/>
    </row>
    <row r="4485" spans="2:16" x14ac:dyDescent="0.25">
      <c r="B44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5" s="46"/>
      <c r="D4485" s="37"/>
      <c r="E4485" s="37"/>
      <c r="F4485" s="37"/>
      <c r="G4485" s="40" t="str">
        <f>IF(tblMovimientos[[#This Row],[Producto]]="","",TRIM(LEFT(tblMovimientos[[#This Row],[Producto]],FIND(" · ",tblMovimientos[[#This Row],[Producto]]&amp;" · ")-1)))</f>
        <v/>
      </c>
      <c r="H4485" s="40" t="str">
        <f>IF(tblMovimientos[[#This Row],[SKU]]="","",IFERROR(INDEX(tblProductos[Unidad],MATCH(tblMovimientos[[#This Row],[SKU]],tblProductos[SKU],0)),"?"))</f>
        <v/>
      </c>
      <c r="I4485" s="39"/>
      <c r="J4485" s="47" t="str">
        <f>IF(tblMovimientos[[#This Row],[Tipo]]="","",IFERROR(INDEX(tblTiposMov[FactorStock],MATCH(tblMovimientos[[#This Row],[Tipo]],tblTiposMov[Tipo],0)),0))</f>
        <v/>
      </c>
      <c r="K44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5" s="37"/>
      <c r="O4485" s="37"/>
      <c r="P4485" s="37"/>
    </row>
    <row r="4486" spans="2:16" x14ac:dyDescent="0.25">
      <c r="B44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6" s="46"/>
      <c r="D4486" s="37"/>
      <c r="E4486" s="37"/>
      <c r="F4486" s="37"/>
      <c r="G4486" s="40" t="str">
        <f>IF(tblMovimientos[[#This Row],[Producto]]="","",TRIM(LEFT(tblMovimientos[[#This Row],[Producto]],FIND(" · ",tblMovimientos[[#This Row],[Producto]]&amp;" · ")-1)))</f>
        <v/>
      </c>
      <c r="H4486" s="40" t="str">
        <f>IF(tblMovimientos[[#This Row],[SKU]]="","",IFERROR(INDEX(tblProductos[Unidad],MATCH(tblMovimientos[[#This Row],[SKU]],tblProductos[SKU],0)),"?"))</f>
        <v/>
      </c>
      <c r="I4486" s="39"/>
      <c r="J4486" s="47" t="str">
        <f>IF(tblMovimientos[[#This Row],[Tipo]]="","",IFERROR(INDEX(tblTiposMov[FactorStock],MATCH(tblMovimientos[[#This Row],[Tipo]],tblTiposMov[Tipo],0)),0))</f>
        <v/>
      </c>
      <c r="K44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6" s="37"/>
      <c r="O4486" s="37"/>
      <c r="P4486" s="37"/>
    </row>
    <row r="4487" spans="2:16" x14ac:dyDescent="0.25">
      <c r="B44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7" s="46"/>
      <c r="D4487" s="37"/>
      <c r="E4487" s="37"/>
      <c r="F4487" s="37"/>
      <c r="G4487" s="40" t="str">
        <f>IF(tblMovimientos[[#This Row],[Producto]]="","",TRIM(LEFT(tblMovimientos[[#This Row],[Producto]],FIND(" · ",tblMovimientos[[#This Row],[Producto]]&amp;" · ")-1)))</f>
        <v/>
      </c>
      <c r="H4487" s="40" t="str">
        <f>IF(tblMovimientos[[#This Row],[SKU]]="","",IFERROR(INDEX(tblProductos[Unidad],MATCH(tblMovimientos[[#This Row],[SKU]],tblProductos[SKU],0)),"?"))</f>
        <v/>
      </c>
      <c r="I4487" s="39"/>
      <c r="J4487" s="47" t="str">
        <f>IF(tblMovimientos[[#This Row],[Tipo]]="","",IFERROR(INDEX(tblTiposMov[FactorStock],MATCH(tblMovimientos[[#This Row],[Tipo]],tblTiposMov[Tipo],0)),0))</f>
        <v/>
      </c>
      <c r="K44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7" s="37"/>
      <c r="O4487" s="37"/>
      <c r="P4487" s="37"/>
    </row>
    <row r="4488" spans="2:16" x14ac:dyDescent="0.25">
      <c r="B44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8" s="46"/>
      <c r="D4488" s="37"/>
      <c r="E4488" s="37"/>
      <c r="F4488" s="37"/>
      <c r="G4488" s="40" t="str">
        <f>IF(tblMovimientos[[#This Row],[Producto]]="","",TRIM(LEFT(tblMovimientos[[#This Row],[Producto]],FIND(" · ",tblMovimientos[[#This Row],[Producto]]&amp;" · ")-1)))</f>
        <v/>
      </c>
      <c r="H4488" s="40" t="str">
        <f>IF(tblMovimientos[[#This Row],[SKU]]="","",IFERROR(INDEX(tblProductos[Unidad],MATCH(tblMovimientos[[#This Row],[SKU]],tblProductos[SKU],0)),"?"))</f>
        <v/>
      </c>
      <c r="I4488" s="39"/>
      <c r="J4488" s="47" t="str">
        <f>IF(tblMovimientos[[#This Row],[Tipo]]="","",IFERROR(INDEX(tblTiposMov[FactorStock],MATCH(tblMovimientos[[#This Row],[Tipo]],tblTiposMov[Tipo],0)),0))</f>
        <v/>
      </c>
      <c r="K44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8" s="37"/>
      <c r="O4488" s="37"/>
      <c r="P4488" s="37"/>
    </row>
    <row r="4489" spans="2:16" x14ac:dyDescent="0.25">
      <c r="B44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89" s="46"/>
      <c r="D4489" s="37"/>
      <c r="E4489" s="37"/>
      <c r="F4489" s="37"/>
      <c r="G4489" s="40" t="str">
        <f>IF(tblMovimientos[[#This Row],[Producto]]="","",TRIM(LEFT(tblMovimientos[[#This Row],[Producto]],FIND(" · ",tblMovimientos[[#This Row],[Producto]]&amp;" · ")-1)))</f>
        <v/>
      </c>
      <c r="H4489" s="40" t="str">
        <f>IF(tblMovimientos[[#This Row],[SKU]]="","",IFERROR(INDEX(tblProductos[Unidad],MATCH(tblMovimientos[[#This Row],[SKU]],tblProductos[SKU],0)),"?"))</f>
        <v/>
      </c>
      <c r="I4489" s="39"/>
      <c r="J4489" s="47" t="str">
        <f>IF(tblMovimientos[[#This Row],[Tipo]]="","",IFERROR(INDEX(tblTiposMov[FactorStock],MATCH(tblMovimientos[[#This Row],[Tipo]],tblTiposMov[Tipo],0)),0))</f>
        <v/>
      </c>
      <c r="K44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89" s="37"/>
      <c r="O4489" s="37"/>
      <c r="P4489" s="37"/>
    </row>
    <row r="4490" spans="2:16" x14ac:dyDescent="0.25">
      <c r="B44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0" s="46"/>
      <c r="D4490" s="37"/>
      <c r="E4490" s="37"/>
      <c r="F4490" s="37"/>
      <c r="G4490" s="40" t="str">
        <f>IF(tblMovimientos[[#This Row],[Producto]]="","",TRIM(LEFT(tblMovimientos[[#This Row],[Producto]],FIND(" · ",tblMovimientos[[#This Row],[Producto]]&amp;" · ")-1)))</f>
        <v/>
      </c>
      <c r="H4490" s="40" t="str">
        <f>IF(tblMovimientos[[#This Row],[SKU]]="","",IFERROR(INDEX(tblProductos[Unidad],MATCH(tblMovimientos[[#This Row],[SKU]],tblProductos[SKU],0)),"?"))</f>
        <v/>
      </c>
      <c r="I4490" s="39"/>
      <c r="J4490" s="47" t="str">
        <f>IF(tblMovimientos[[#This Row],[Tipo]]="","",IFERROR(INDEX(tblTiposMov[FactorStock],MATCH(tblMovimientos[[#This Row],[Tipo]],tblTiposMov[Tipo],0)),0))</f>
        <v/>
      </c>
      <c r="K44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0" s="37"/>
      <c r="O4490" s="37"/>
      <c r="P4490" s="37"/>
    </row>
    <row r="4491" spans="2:16" x14ac:dyDescent="0.25">
      <c r="B44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1" s="46"/>
      <c r="D4491" s="37"/>
      <c r="E4491" s="37"/>
      <c r="F4491" s="37"/>
      <c r="G4491" s="40" t="str">
        <f>IF(tblMovimientos[[#This Row],[Producto]]="","",TRIM(LEFT(tblMovimientos[[#This Row],[Producto]],FIND(" · ",tblMovimientos[[#This Row],[Producto]]&amp;" · ")-1)))</f>
        <v/>
      </c>
      <c r="H4491" s="40" t="str">
        <f>IF(tblMovimientos[[#This Row],[SKU]]="","",IFERROR(INDEX(tblProductos[Unidad],MATCH(tblMovimientos[[#This Row],[SKU]],tblProductos[SKU],0)),"?"))</f>
        <v/>
      </c>
      <c r="I4491" s="39"/>
      <c r="J4491" s="47" t="str">
        <f>IF(tblMovimientos[[#This Row],[Tipo]]="","",IFERROR(INDEX(tblTiposMov[FactorStock],MATCH(tblMovimientos[[#This Row],[Tipo]],tblTiposMov[Tipo],0)),0))</f>
        <v/>
      </c>
      <c r="K44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1" s="37"/>
      <c r="O4491" s="37"/>
      <c r="P4491" s="37"/>
    </row>
    <row r="4492" spans="2:16" x14ac:dyDescent="0.25">
      <c r="B44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2" s="46"/>
      <c r="D4492" s="37"/>
      <c r="E4492" s="37"/>
      <c r="F4492" s="37"/>
      <c r="G4492" s="40" t="str">
        <f>IF(tblMovimientos[[#This Row],[Producto]]="","",TRIM(LEFT(tblMovimientos[[#This Row],[Producto]],FIND(" · ",tblMovimientos[[#This Row],[Producto]]&amp;" · ")-1)))</f>
        <v/>
      </c>
      <c r="H4492" s="40" t="str">
        <f>IF(tblMovimientos[[#This Row],[SKU]]="","",IFERROR(INDEX(tblProductos[Unidad],MATCH(tblMovimientos[[#This Row],[SKU]],tblProductos[SKU],0)),"?"))</f>
        <v/>
      </c>
      <c r="I4492" s="39"/>
      <c r="J4492" s="47" t="str">
        <f>IF(tblMovimientos[[#This Row],[Tipo]]="","",IFERROR(INDEX(tblTiposMov[FactorStock],MATCH(tblMovimientos[[#This Row],[Tipo]],tblTiposMov[Tipo],0)),0))</f>
        <v/>
      </c>
      <c r="K44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2" s="37"/>
      <c r="O4492" s="37"/>
      <c r="P4492" s="37"/>
    </row>
    <row r="4493" spans="2:16" x14ac:dyDescent="0.25">
      <c r="B44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3" s="46"/>
      <c r="D4493" s="37"/>
      <c r="E4493" s="37"/>
      <c r="F4493" s="37"/>
      <c r="G4493" s="40" t="str">
        <f>IF(tblMovimientos[[#This Row],[Producto]]="","",TRIM(LEFT(tblMovimientos[[#This Row],[Producto]],FIND(" · ",tblMovimientos[[#This Row],[Producto]]&amp;" · ")-1)))</f>
        <v/>
      </c>
      <c r="H4493" s="40" t="str">
        <f>IF(tblMovimientos[[#This Row],[SKU]]="","",IFERROR(INDEX(tblProductos[Unidad],MATCH(tblMovimientos[[#This Row],[SKU]],tblProductos[SKU],0)),"?"))</f>
        <v/>
      </c>
      <c r="I4493" s="39"/>
      <c r="J4493" s="47" t="str">
        <f>IF(tblMovimientos[[#This Row],[Tipo]]="","",IFERROR(INDEX(tblTiposMov[FactorStock],MATCH(tblMovimientos[[#This Row],[Tipo]],tblTiposMov[Tipo],0)),0))</f>
        <v/>
      </c>
      <c r="K44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3" s="37"/>
      <c r="O4493" s="37"/>
      <c r="P4493" s="37"/>
    </row>
    <row r="4494" spans="2:16" x14ac:dyDescent="0.25">
      <c r="B44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4" s="46"/>
      <c r="D4494" s="37"/>
      <c r="E4494" s="37"/>
      <c r="F4494" s="37"/>
      <c r="G4494" s="40" t="str">
        <f>IF(tblMovimientos[[#This Row],[Producto]]="","",TRIM(LEFT(tblMovimientos[[#This Row],[Producto]],FIND(" · ",tblMovimientos[[#This Row],[Producto]]&amp;" · ")-1)))</f>
        <v/>
      </c>
      <c r="H4494" s="40" t="str">
        <f>IF(tblMovimientos[[#This Row],[SKU]]="","",IFERROR(INDEX(tblProductos[Unidad],MATCH(tblMovimientos[[#This Row],[SKU]],tblProductos[SKU],0)),"?"))</f>
        <v/>
      </c>
      <c r="I4494" s="39"/>
      <c r="J4494" s="47" t="str">
        <f>IF(tblMovimientos[[#This Row],[Tipo]]="","",IFERROR(INDEX(tblTiposMov[FactorStock],MATCH(tblMovimientos[[#This Row],[Tipo]],tblTiposMov[Tipo],0)),0))</f>
        <v/>
      </c>
      <c r="K44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4" s="37"/>
      <c r="O4494" s="37"/>
      <c r="P4494" s="37"/>
    </row>
    <row r="4495" spans="2:16" x14ac:dyDescent="0.25">
      <c r="B44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5" s="46"/>
      <c r="D4495" s="37"/>
      <c r="E4495" s="37"/>
      <c r="F4495" s="37"/>
      <c r="G4495" s="40" t="str">
        <f>IF(tblMovimientos[[#This Row],[Producto]]="","",TRIM(LEFT(tblMovimientos[[#This Row],[Producto]],FIND(" · ",tblMovimientos[[#This Row],[Producto]]&amp;" · ")-1)))</f>
        <v/>
      </c>
      <c r="H4495" s="40" t="str">
        <f>IF(tblMovimientos[[#This Row],[SKU]]="","",IFERROR(INDEX(tblProductos[Unidad],MATCH(tblMovimientos[[#This Row],[SKU]],tblProductos[SKU],0)),"?"))</f>
        <v/>
      </c>
      <c r="I4495" s="39"/>
      <c r="J4495" s="47" t="str">
        <f>IF(tblMovimientos[[#This Row],[Tipo]]="","",IFERROR(INDEX(tblTiposMov[FactorStock],MATCH(tblMovimientos[[#This Row],[Tipo]],tblTiposMov[Tipo],0)),0))</f>
        <v/>
      </c>
      <c r="K44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5" s="37"/>
      <c r="O4495" s="37"/>
      <c r="P4495" s="37"/>
    </row>
    <row r="4496" spans="2:16" x14ac:dyDescent="0.25">
      <c r="B44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6" s="46"/>
      <c r="D4496" s="37"/>
      <c r="E4496" s="37"/>
      <c r="F4496" s="37"/>
      <c r="G4496" s="40" t="str">
        <f>IF(tblMovimientos[[#This Row],[Producto]]="","",TRIM(LEFT(tblMovimientos[[#This Row],[Producto]],FIND(" · ",tblMovimientos[[#This Row],[Producto]]&amp;" · ")-1)))</f>
        <v/>
      </c>
      <c r="H4496" s="40" t="str">
        <f>IF(tblMovimientos[[#This Row],[SKU]]="","",IFERROR(INDEX(tblProductos[Unidad],MATCH(tblMovimientos[[#This Row],[SKU]],tblProductos[SKU],0)),"?"))</f>
        <v/>
      </c>
      <c r="I4496" s="39"/>
      <c r="J4496" s="47" t="str">
        <f>IF(tblMovimientos[[#This Row],[Tipo]]="","",IFERROR(INDEX(tblTiposMov[FactorStock],MATCH(tblMovimientos[[#This Row],[Tipo]],tblTiposMov[Tipo],0)),0))</f>
        <v/>
      </c>
      <c r="K44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6" s="37"/>
      <c r="O4496" s="37"/>
      <c r="P4496" s="37"/>
    </row>
    <row r="4497" spans="2:16" x14ac:dyDescent="0.25">
      <c r="B44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7" s="46"/>
      <c r="D4497" s="37"/>
      <c r="E4497" s="37"/>
      <c r="F4497" s="37"/>
      <c r="G4497" s="40" t="str">
        <f>IF(tblMovimientos[[#This Row],[Producto]]="","",TRIM(LEFT(tblMovimientos[[#This Row],[Producto]],FIND(" · ",tblMovimientos[[#This Row],[Producto]]&amp;" · ")-1)))</f>
        <v/>
      </c>
      <c r="H4497" s="40" t="str">
        <f>IF(tblMovimientos[[#This Row],[SKU]]="","",IFERROR(INDEX(tblProductos[Unidad],MATCH(tblMovimientos[[#This Row],[SKU]],tblProductos[SKU],0)),"?"))</f>
        <v/>
      </c>
      <c r="I4497" s="39"/>
      <c r="J4497" s="47" t="str">
        <f>IF(tblMovimientos[[#This Row],[Tipo]]="","",IFERROR(INDEX(tblTiposMov[FactorStock],MATCH(tblMovimientos[[#This Row],[Tipo]],tblTiposMov[Tipo],0)),0))</f>
        <v/>
      </c>
      <c r="K44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7" s="37"/>
      <c r="O4497" s="37"/>
      <c r="P4497" s="37"/>
    </row>
    <row r="4498" spans="2:16" x14ac:dyDescent="0.25">
      <c r="B44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8" s="46"/>
      <c r="D4498" s="37"/>
      <c r="E4498" s="37"/>
      <c r="F4498" s="37"/>
      <c r="G4498" s="40" t="str">
        <f>IF(tblMovimientos[[#This Row],[Producto]]="","",TRIM(LEFT(tblMovimientos[[#This Row],[Producto]],FIND(" · ",tblMovimientos[[#This Row],[Producto]]&amp;" · ")-1)))</f>
        <v/>
      </c>
      <c r="H4498" s="40" t="str">
        <f>IF(tblMovimientos[[#This Row],[SKU]]="","",IFERROR(INDEX(tblProductos[Unidad],MATCH(tblMovimientos[[#This Row],[SKU]],tblProductos[SKU],0)),"?"))</f>
        <v/>
      </c>
      <c r="I4498" s="39"/>
      <c r="J4498" s="47" t="str">
        <f>IF(tblMovimientos[[#This Row],[Tipo]]="","",IFERROR(INDEX(tblTiposMov[FactorStock],MATCH(tblMovimientos[[#This Row],[Tipo]],tblTiposMov[Tipo],0)),0))</f>
        <v/>
      </c>
      <c r="K44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8" s="37"/>
      <c r="O4498" s="37"/>
      <c r="P4498" s="37"/>
    </row>
    <row r="4499" spans="2:16" x14ac:dyDescent="0.25">
      <c r="B44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499" s="46"/>
      <c r="D4499" s="37"/>
      <c r="E4499" s="37"/>
      <c r="F4499" s="37"/>
      <c r="G4499" s="40" t="str">
        <f>IF(tblMovimientos[[#This Row],[Producto]]="","",TRIM(LEFT(tblMovimientos[[#This Row],[Producto]],FIND(" · ",tblMovimientos[[#This Row],[Producto]]&amp;" · ")-1)))</f>
        <v/>
      </c>
      <c r="H4499" s="40" t="str">
        <f>IF(tblMovimientos[[#This Row],[SKU]]="","",IFERROR(INDEX(tblProductos[Unidad],MATCH(tblMovimientos[[#This Row],[SKU]],tblProductos[SKU],0)),"?"))</f>
        <v/>
      </c>
      <c r="I4499" s="39"/>
      <c r="J4499" s="47" t="str">
        <f>IF(tblMovimientos[[#This Row],[Tipo]]="","",IFERROR(INDEX(tblTiposMov[FactorStock],MATCH(tblMovimientos[[#This Row],[Tipo]],tblTiposMov[Tipo],0)),0))</f>
        <v/>
      </c>
      <c r="K44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4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4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499" s="37"/>
      <c r="O4499" s="37"/>
      <c r="P4499" s="37"/>
    </row>
    <row r="4500" spans="2:16" x14ac:dyDescent="0.25">
      <c r="B45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0" s="46"/>
      <c r="D4500" s="37"/>
      <c r="E4500" s="37"/>
      <c r="F4500" s="37"/>
      <c r="G4500" s="40" t="str">
        <f>IF(tblMovimientos[[#This Row],[Producto]]="","",TRIM(LEFT(tblMovimientos[[#This Row],[Producto]],FIND(" · ",tblMovimientos[[#This Row],[Producto]]&amp;" · ")-1)))</f>
        <v/>
      </c>
      <c r="H4500" s="40" t="str">
        <f>IF(tblMovimientos[[#This Row],[SKU]]="","",IFERROR(INDEX(tblProductos[Unidad],MATCH(tblMovimientos[[#This Row],[SKU]],tblProductos[SKU],0)),"?"))</f>
        <v/>
      </c>
      <c r="I4500" s="39"/>
      <c r="J4500" s="47" t="str">
        <f>IF(tblMovimientos[[#This Row],[Tipo]]="","",IFERROR(INDEX(tblTiposMov[FactorStock],MATCH(tblMovimientos[[#This Row],[Tipo]],tblTiposMov[Tipo],0)),0))</f>
        <v/>
      </c>
      <c r="K45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0" s="37"/>
      <c r="O4500" s="37"/>
      <c r="P4500" s="37"/>
    </row>
    <row r="4501" spans="2:16" x14ac:dyDescent="0.25">
      <c r="B45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1" s="46"/>
      <c r="D4501" s="37"/>
      <c r="E4501" s="37"/>
      <c r="F4501" s="37"/>
      <c r="G4501" s="40" t="str">
        <f>IF(tblMovimientos[[#This Row],[Producto]]="","",TRIM(LEFT(tblMovimientos[[#This Row],[Producto]],FIND(" · ",tblMovimientos[[#This Row],[Producto]]&amp;" · ")-1)))</f>
        <v/>
      </c>
      <c r="H4501" s="40" t="str">
        <f>IF(tblMovimientos[[#This Row],[SKU]]="","",IFERROR(INDEX(tblProductos[Unidad],MATCH(tblMovimientos[[#This Row],[SKU]],tblProductos[SKU],0)),"?"))</f>
        <v/>
      </c>
      <c r="I4501" s="39"/>
      <c r="J4501" s="47" t="str">
        <f>IF(tblMovimientos[[#This Row],[Tipo]]="","",IFERROR(INDEX(tblTiposMov[FactorStock],MATCH(tblMovimientos[[#This Row],[Tipo]],tblTiposMov[Tipo],0)),0))</f>
        <v/>
      </c>
      <c r="K45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1" s="37"/>
      <c r="O4501" s="37"/>
      <c r="P4501" s="37"/>
    </row>
    <row r="4502" spans="2:16" x14ac:dyDescent="0.25">
      <c r="B45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2" s="46"/>
      <c r="D4502" s="37"/>
      <c r="E4502" s="37"/>
      <c r="F4502" s="37"/>
      <c r="G4502" s="40" t="str">
        <f>IF(tblMovimientos[[#This Row],[Producto]]="","",TRIM(LEFT(tblMovimientos[[#This Row],[Producto]],FIND(" · ",tblMovimientos[[#This Row],[Producto]]&amp;" · ")-1)))</f>
        <v/>
      </c>
      <c r="H4502" s="40" t="str">
        <f>IF(tblMovimientos[[#This Row],[SKU]]="","",IFERROR(INDEX(tblProductos[Unidad],MATCH(tblMovimientos[[#This Row],[SKU]],tblProductos[SKU],0)),"?"))</f>
        <v/>
      </c>
      <c r="I4502" s="39"/>
      <c r="J4502" s="47" t="str">
        <f>IF(tblMovimientos[[#This Row],[Tipo]]="","",IFERROR(INDEX(tblTiposMov[FactorStock],MATCH(tblMovimientos[[#This Row],[Tipo]],tblTiposMov[Tipo],0)),0))</f>
        <v/>
      </c>
      <c r="K45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2" s="37"/>
      <c r="O4502" s="37"/>
      <c r="P4502" s="37"/>
    </row>
    <row r="4503" spans="2:16" x14ac:dyDescent="0.25">
      <c r="B45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3" s="46"/>
      <c r="D4503" s="37"/>
      <c r="E4503" s="37"/>
      <c r="F4503" s="37"/>
      <c r="G4503" s="40" t="str">
        <f>IF(tblMovimientos[[#This Row],[Producto]]="","",TRIM(LEFT(tblMovimientos[[#This Row],[Producto]],FIND(" · ",tblMovimientos[[#This Row],[Producto]]&amp;" · ")-1)))</f>
        <v/>
      </c>
      <c r="H4503" s="40" t="str">
        <f>IF(tblMovimientos[[#This Row],[SKU]]="","",IFERROR(INDEX(tblProductos[Unidad],MATCH(tblMovimientos[[#This Row],[SKU]],tblProductos[SKU],0)),"?"))</f>
        <v/>
      </c>
      <c r="I4503" s="39"/>
      <c r="J4503" s="47" t="str">
        <f>IF(tblMovimientos[[#This Row],[Tipo]]="","",IFERROR(INDEX(tblTiposMov[FactorStock],MATCH(tblMovimientos[[#This Row],[Tipo]],tblTiposMov[Tipo],0)),0))</f>
        <v/>
      </c>
      <c r="K45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3" s="37"/>
      <c r="O4503" s="37"/>
      <c r="P4503" s="37"/>
    </row>
    <row r="4504" spans="2:16" x14ac:dyDescent="0.25">
      <c r="B45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4" s="46"/>
      <c r="D4504" s="37"/>
      <c r="E4504" s="37"/>
      <c r="F4504" s="37"/>
      <c r="G4504" s="40" t="str">
        <f>IF(tblMovimientos[[#This Row],[Producto]]="","",TRIM(LEFT(tblMovimientos[[#This Row],[Producto]],FIND(" · ",tblMovimientos[[#This Row],[Producto]]&amp;" · ")-1)))</f>
        <v/>
      </c>
      <c r="H4504" s="40" t="str">
        <f>IF(tblMovimientos[[#This Row],[SKU]]="","",IFERROR(INDEX(tblProductos[Unidad],MATCH(tblMovimientos[[#This Row],[SKU]],tblProductos[SKU],0)),"?"))</f>
        <v/>
      </c>
      <c r="I4504" s="39"/>
      <c r="J4504" s="47" t="str">
        <f>IF(tblMovimientos[[#This Row],[Tipo]]="","",IFERROR(INDEX(tblTiposMov[FactorStock],MATCH(tblMovimientos[[#This Row],[Tipo]],tblTiposMov[Tipo],0)),0))</f>
        <v/>
      </c>
      <c r="K45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4" s="37"/>
      <c r="O4504" s="37"/>
      <c r="P4504" s="37"/>
    </row>
    <row r="4505" spans="2:16" x14ac:dyDescent="0.25">
      <c r="B45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5" s="46"/>
      <c r="D4505" s="37"/>
      <c r="E4505" s="37"/>
      <c r="F4505" s="37"/>
      <c r="G4505" s="40" t="str">
        <f>IF(tblMovimientos[[#This Row],[Producto]]="","",TRIM(LEFT(tblMovimientos[[#This Row],[Producto]],FIND(" · ",tblMovimientos[[#This Row],[Producto]]&amp;" · ")-1)))</f>
        <v/>
      </c>
      <c r="H4505" s="40" t="str">
        <f>IF(tblMovimientos[[#This Row],[SKU]]="","",IFERROR(INDEX(tblProductos[Unidad],MATCH(tblMovimientos[[#This Row],[SKU]],tblProductos[SKU],0)),"?"))</f>
        <v/>
      </c>
      <c r="I4505" s="39"/>
      <c r="J4505" s="47" t="str">
        <f>IF(tblMovimientos[[#This Row],[Tipo]]="","",IFERROR(INDEX(tblTiposMov[FactorStock],MATCH(tblMovimientos[[#This Row],[Tipo]],tblTiposMov[Tipo],0)),0))</f>
        <v/>
      </c>
      <c r="K45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5" s="37"/>
      <c r="O4505" s="37"/>
      <c r="P4505" s="37"/>
    </row>
    <row r="4506" spans="2:16" x14ac:dyDescent="0.25">
      <c r="B45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6" s="46"/>
      <c r="D4506" s="37"/>
      <c r="E4506" s="37"/>
      <c r="F4506" s="37"/>
      <c r="G4506" s="40" t="str">
        <f>IF(tblMovimientos[[#This Row],[Producto]]="","",TRIM(LEFT(tblMovimientos[[#This Row],[Producto]],FIND(" · ",tblMovimientos[[#This Row],[Producto]]&amp;" · ")-1)))</f>
        <v/>
      </c>
      <c r="H4506" s="40" t="str">
        <f>IF(tblMovimientos[[#This Row],[SKU]]="","",IFERROR(INDEX(tblProductos[Unidad],MATCH(tblMovimientos[[#This Row],[SKU]],tblProductos[SKU],0)),"?"))</f>
        <v/>
      </c>
      <c r="I4506" s="39"/>
      <c r="J4506" s="47" t="str">
        <f>IF(tblMovimientos[[#This Row],[Tipo]]="","",IFERROR(INDEX(tblTiposMov[FactorStock],MATCH(tblMovimientos[[#This Row],[Tipo]],tblTiposMov[Tipo],0)),0))</f>
        <v/>
      </c>
      <c r="K45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6" s="37"/>
      <c r="O4506" s="37"/>
      <c r="P4506" s="37"/>
    </row>
    <row r="4507" spans="2:16" x14ac:dyDescent="0.25">
      <c r="B45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7" s="46"/>
      <c r="D4507" s="37"/>
      <c r="E4507" s="37"/>
      <c r="F4507" s="37"/>
      <c r="G4507" s="40" t="str">
        <f>IF(tblMovimientos[[#This Row],[Producto]]="","",TRIM(LEFT(tblMovimientos[[#This Row],[Producto]],FIND(" · ",tblMovimientos[[#This Row],[Producto]]&amp;" · ")-1)))</f>
        <v/>
      </c>
      <c r="H4507" s="40" t="str">
        <f>IF(tblMovimientos[[#This Row],[SKU]]="","",IFERROR(INDEX(tblProductos[Unidad],MATCH(tblMovimientos[[#This Row],[SKU]],tblProductos[SKU],0)),"?"))</f>
        <v/>
      </c>
      <c r="I4507" s="39"/>
      <c r="J4507" s="47" t="str">
        <f>IF(tblMovimientos[[#This Row],[Tipo]]="","",IFERROR(INDEX(tblTiposMov[FactorStock],MATCH(tblMovimientos[[#This Row],[Tipo]],tblTiposMov[Tipo],0)),0))</f>
        <v/>
      </c>
      <c r="K45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7" s="37"/>
      <c r="O4507" s="37"/>
      <c r="P4507" s="37"/>
    </row>
    <row r="4508" spans="2:16" x14ac:dyDescent="0.25">
      <c r="B45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8" s="46"/>
      <c r="D4508" s="37"/>
      <c r="E4508" s="37"/>
      <c r="F4508" s="37"/>
      <c r="G4508" s="40" t="str">
        <f>IF(tblMovimientos[[#This Row],[Producto]]="","",TRIM(LEFT(tblMovimientos[[#This Row],[Producto]],FIND(" · ",tblMovimientos[[#This Row],[Producto]]&amp;" · ")-1)))</f>
        <v/>
      </c>
      <c r="H4508" s="40" t="str">
        <f>IF(tblMovimientos[[#This Row],[SKU]]="","",IFERROR(INDEX(tblProductos[Unidad],MATCH(tblMovimientos[[#This Row],[SKU]],tblProductos[SKU],0)),"?"))</f>
        <v/>
      </c>
      <c r="I4508" s="39"/>
      <c r="J4508" s="47" t="str">
        <f>IF(tblMovimientos[[#This Row],[Tipo]]="","",IFERROR(INDEX(tblTiposMov[FactorStock],MATCH(tblMovimientos[[#This Row],[Tipo]],tblTiposMov[Tipo],0)),0))</f>
        <v/>
      </c>
      <c r="K45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8" s="37"/>
      <c r="O4508" s="37"/>
      <c r="P4508" s="37"/>
    </row>
    <row r="4509" spans="2:16" x14ac:dyDescent="0.25">
      <c r="B45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09" s="46"/>
      <c r="D4509" s="37"/>
      <c r="E4509" s="37"/>
      <c r="F4509" s="37"/>
      <c r="G4509" s="40" t="str">
        <f>IF(tblMovimientos[[#This Row],[Producto]]="","",TRIM(LEFT(tblMovimientos[[#This Row],[Producto]],FIND(" · ",tblMovimientos[[#This Row],[Producto]]&amp;" · ")-1)))</f>
        <v/>
      </c>
      <c r="H4509" s="40" t="str">
        <f>IF(tblMovimientos[[#This Row],[SKU]]="","",IFERROR(INDEX(tblProductos[Unidad],MATCH(tblMovimientos[[#This Row],[SKU]],tblProductos[SKU],0)),"?"))</f>
        <v/>
      </c>
      <c r="I4509" s="39"/>
      <c r="J4509" s="47" t="str">
        <f>IF(tblMovimientos[[#This Row],[Tipo]]="","",IFERROR(INDEX(tblTiposMov[FactorStock],MATCH(tblMovimientos[[#This Row],[Tipo]],tblTiposMov[Tipo],0)),0))</f>
        <v/>
      </c>
      <c r="K45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09" s="37"/>
      <c r="O4509" s="37"/>
      <c r="P4509" s="37"/>
    </row>
    <row r="4510" spans="2:16" x14ac:dyDescent="0.25">
      <c r="B45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0" s="46"/>
      <c r="D4510" s="37"/>
      <c r="E4510" s="37"/>
      <c r="F4510" s="37"/>
      <c r="G4510" s="40" t="str">
        <f>IF(tblMovimientos[[#This Row],[Producto]]="","",TRIM(LEFT(tblMovimientos[[#This Row],[Producto]],FIND(" · ",tblMovimientos[[#This Row],[Producto]]&amp;" · ")-1)))</f>
        <v/>
      </c>
      <c r="H4510" s="40" t="str">
        <f>IF(tblMovimientos[[#This Row],[SKU]]="","",IFERROR(INDEX(tblProductos[Unidad],MATCH(tblMovimientos[[#This Row],[SKU]],tblProductos[SKU],0)),"?"))</f>
        <v/>
      </c>
      <c r="I4510" s="39"/>
      <c r="J4510" s="47" t="str">
        <f>IF(tblMovimientos[[#This Row],[Tipo]]="","",IFERROR(INDEX(tblTiposMov[FactorStock],MATCH(tblMovimientos[[#This Row],[Tipo]],tblTiposMov[Tipo],0)),0))</f>
        <v/>
      </c>
      <c r="K45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0" s="37"/>
      <c r="O4510" s="37"/>
      <c r="P4510" s="37"/>
    </row>
    <row r="4511" spans="2:16" x14ac:dyDescent="0.25">
      <c r="B45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1" s="46"/>
      <c r="D4511" s="37"/>
      <c r="E4511" s="37"/>
      <c r="F4511" s="37"/>
      <c r="G4511" s="40" t="str">
        <f>IF(tblMovimientos[[#This Row],[Producto]]="","",TRIM(LEFT(tblMovimientos[[#This Row],[Producto]],FIND(" · ",tblMovimientos[[#This Row],[Producto]]&amp;" · ")-1)))</f>
        <v/>
      </c>
      <c r="H4511" s="40" t="str">
        <f>IF(tblMovimientos[[#This Row],[SKU]]="","",IFERROR(INDEX(tblProductos[Unidad],MATCH(tblMovimientos[[#This Row],[SKU]],tblProductos[SKU],0)),"?"))</f>
        <v/>
      </c>
      <c r="I4511" s="39"/>
      <c r="J4511" s="47" t="str">
        <f>IF(tblMovimientos[[#This Row],[Tipo]]="","",IFERROR(INDEX(tblTiposMov[FactorStock],MATCH(tblMovimientos[[#This Row],[Tipo]],tblTiposMov[Tipo],0)),0))</f>
        <v/>
      </c>
      <c r="K45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1" s="37"/>
      <c r="O4511" s="37"/>
      <c r="P4511" s="37"/>
    </row>
    <row r="4512" spans="2:16" x14ac:dyDescent="0.25">
      <c r="B45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2" s="46"/>
      <c r="D4512" s="37"/>
      <c r="E4512" s="37"/>
      <c r="F4512" s="37"/>
      <c r="G4512" s="40" t="str">
        <f>IF(tblMovimientos[[#This Row],[Producto]]="","",TRIM(LEFT(tblMovimientos[[#This Row],[Producto]],FIND(" · ",tblMovimientos[[#This Row],[Producto]]&amp;" · ")-1)))</f>
        <v/>
      </c>
      <c r="H4512" s="40" t="str">
        <f>IF(tblMovimientos[[#This Row],[SKU]]="","",IFERROR(INDEX(tblProductos[Unidad],MATCH(tblMovimientos[[#This Row],[SKU]],tblProductos[SKU],0)),"?"))</f>
        <v/>
      </c>
      <c r="I4512" s="39"/>
      <c r="J4512" s="47" t="str">
        <f>IF(tblMovimientos[[#This Row],[Tipo]]="","",IFERROR(INDEX(tblTiposMov[FactorStock],MATCH(tblMovimientos[[#This Row],[Tipo]],tblTiposMov[Tipo],0)),0))</f>
        <v/>
      </c>
      <c r="K45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2" s="37"/>
      <c r="O4512" s="37"/>
      <c r="P4512" s="37"/>
    </row>
    <row r="4513" spans="2:16" x14ac:dyDescent="0.25">
      <c r="B45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3" s="46"/>
      <c r="D4513" s="37"/>
      <c r="E4513" s="37"/>
      <c r="F4513" s="37"/>
      <c r="G4513" s="40" t="str">
        <f>IF(tblMovimientos[[#This Row],[Producto]]="","",TRIM(LEFT(tblMovimientos[[#This Row],[Producto]],FIND(" · ",tblMovimientos[[#This Row],[Producto]]&amp;" · ")-1)))</f>
        <v/>
      </c>
      <c r="H4513" s="40" t="str">
        <f>IF(tblMovimientos[[#This Row],[SKU]]="","",IFERROR(INDEX(tblProductos[Unidad],MATCH(tblMovimientos[[#This Row],[SKU]],tblProductos[SKU],0)),"?"))</f>
        <v/>
      </c>
      <c r="I4513" s="39"/>
      <c r="J4513" s="47" t="str">
        <f>IF(tblMovimientos[[#This Row],[Tipo]]="","",IFERROR(INDEX(tblTiposMov[FactorStock],MATCH(tblMovimientos[[#This Row],[Tipo]],tblTiposMov[Tipo],0)),0))</f>
        <v/>
      </c>
      <c r="K45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3" s="37"/>
      <c r="O4513" s="37"/>
      <c r="P4513" s="37"/>
    </row>
    <row r="4514" spans="2:16" x14ac:dyDescent="0.25">
      <c r="B45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4" s="46"/>
      <c r="D4514" s="37"/>
      <c r="E4514" s="37"/>
      <c r="F4514" s="37"/>
      <c r="G4514" s="40" t="str">
        <f>IF(tblMovimientos[[#This Row],[Producto]]="","",TRIM(LEFT(tblMovimientos[[#This Row],[Producto]],FIND(" · ",tblMovimientos[[#This Row],[Producto]]&amp;" · ")-1)))</f>
        <v/>
      </c>
      <c r="H4514" s="40" t="str">
        <f>IF(tblMovimientos[[#This Row],[SKU]]="","",IFERROR(INDEX(tblProductos[Unidad],MATCH(tblMovimientos[[#This Row],[SKU]],tblProductos[SKU],0)),"?"))</f>
        <v/>
      </c>
      <c r="I4514" s="39"/>
      <c r="J4514" s="47" t="str">
        <f>IF(tblMovimientos[[#This Row],[Tipo]]="","",IFERROR(INDEX(tblTiposMov[FactorStock],MATCH(tblMovimientos[[#This Row],[Tipo]],tblTiposMov[Tipo],0)),0))</f>
        <v/>
      </c>
      <c r="K45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4" s="37"/>
      <c r="O4514" s="37"/>
      <c r="P4514" s="37"/>
    </row>
    <row r="4515" spans="2:16" x14ac:dyDescent="0.25">
      <c r="B45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5" s="46"/>
      <c r="D4515" s="37"/>
      <c r="E4515" s="37"/>
      <c r="F4515" s="37"/>
      <c r="G4515" s="40" t="str">
        <f>IF(tblMovimientos[[#This Row],[Producto]]="","",TRIM(LEFT(tblMovimientos[[#This Row],[Producto]],FIND(" · ",tblMovimientos[[#This Row],[Producto]]&amp;" · ")-1)))</f>
        <v/>
      </c>
      <c r="H4515" s="40" t="str">
        <f>IF(tblMovimientos[[#This Row],[SKU]]="","",IFERROR(INDEX(tblProductos[Unidad],MATCH(tblMovimientos[[#This Row],[SKU]],tblProductos[SKU],0)),"?"))</f>
        <v/>
      </c>
      <c r="I4515" s="39"/>
      <c r="J4515" s="47" t="str">
        <f>IF(tblMovimientos[[#This Row],[Tipo]]="","",IFERROR(INDEX(tblTiposMov[FactorStock],MATCH(tblMovimientos[[#This Row],[Tipo]],tblTiposMov[Tipo],0)),0))</f>
        <v/>
      </c>
      <c r="K45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5" s="37"/>
      <c r="O4515" s="37"/>
      <c r="P4515" s="37"/>
    </row>
    <row r="4516" spans="2:16" x14ac:dyDescent="0.25">
      <c r="B45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6" s="46"/>
      <c r="D4516" s="37"/>
      <c r="E4516" s="37"/>
      <c r="F4516" s="37"/>
      <c r="G4516" s="40" t="str">
        <f>IF(tblMovimientos[[#This Row],[Producto]]="","",TRIM(LEFT(tblMovimientos[[#This Row],[Producto]],FIND(" · ",tblMovimientos[[#This Row],[Producto]]&amp;" · ")-1)))</f>
        <v/>
      </c>
      <c r="H4516" s="40" t="str">
        <f>IF(tblMovimientos[[#This Row],[SKU]]="","",IFERROR(INDEX(tblProductos[Unidad],MATCH(tblMovimientos[[#This Row],[SKU]],tblProductos[SKU],0)),"?"))</f>
        <v/>
      </c>
      <c r="I4516" s="39"/>
      <c r="J4516" s="47" t="str">
        <f>IF(tblMovimientos[[#This Row],[Tipo]]="","",IFERROR(INDEX(tblTiposMov[FactorStock],MATCH(tblMovimientos[[#This Row],[Tipo]],tblTiposMov[Tipo],0)),0))</f>
        <v/>
      </c>
      <c r="K45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6" s="37"/>
      <c r="O4516" s="37"/>
      <c r="P4516" s="37"/>
    </row>
    <row r="4517" spans="2:16" x14ac:dyDescent="0.25">
      <c r="B45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7" s="46"/>
      <c r="D4517" s="37"/>
      <c r="E4517" s="37"/>
      <c r="F4517" s="37"/>
      <c r="G4517" s="40" t="str">
        <f>IF(tblMovimientos[[#This Row],[Producto]]="","",TRIM(LEFT(tblMovimientos[[#This Row],[Producto]],FIND(" · ",tblMovimientos[[#This Row],[Producto]]&amp;" · ")-1)))</f>
        <v/>
      </c>
      <c r="H4517" s="40" t="str">
        <f>IF(tblMovimientos[[#This Row],[SKU]]="","",IFERROR(INDEX(tblProductos[Unidad],MATCH(tblMovimientos[[#This Row],[SKU]],tblProductos[SKU],0)),"?"))</f>
        <v/>
      </c>
      <c r="I4517" s="39"/>
      <c r="J4517" s="47" t="str">
        <f>IF(tblMovimientos[[#This Row],[Tipo]]="","",IFERROR(INDEX(tblTiposMov[FactorStock],MATCH(tblMovimientos[[#This Row],[Tipo]],tblTiposMov[Tipo],0)),0))</f>
        <v/>
      </c>
      <c r="K45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7" s="37"/>
      <c r="O4517" s="37"/>
      <c r="P4517" s="37"/>
    </row>
    <row r="4518" spans="2:16" x14ac:dyDescent="0.25">
      <c r="B45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8" s="46"/>
      <c r="D4518" s="37"/>
      <c r="E4518" s="37"/>
      <c r="F4518" s="37"/>
      <c r="G4518" s="40" t="str">
        <f>IF(tblMovimientos[[#This Row],[Producto]]="","",TRIM(LEFT(tblMovimientos[[#This Row],[Producto]],FIND(" · ",tblMovimientos[[#This Row],[Producto]]&amp;" · ")-1)))</f>
        <v/>
      </c>
      <c r="H4518" s="40" t="str">
        <f>IF(tblMovimientos[[#This Row],[SKU]]="","",IFERROR(INDEX(tblProductos[Unidad],MATCH(tblMovimientos[[#This Row],[SKU]],tblProductos[SKU],0)),"?"))</f>
        <v/>
      </c>
      <c r="I4518" s="39"/>
      <c r="J4518" s="47" t="str">
        <f>IF(tblMovimientos[[#This Row],[Tipo]]="","",IFERROR(INDEX(tblTiposMov[FactorStock],MATCH(tblMovimientos[[#This Row],[Tipo]],tblTiposMov[Tipo],0)),0))</f>
        <v/>
      </c>
      <c r="K45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8" s="37"/>
      <c r="O4518" s="37"/>
      <c r="P4518" s="37"/>
    </row>
    <row r="4519" spans="2:16" x14ac:dyDescent="0.25">
      <c r="B45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19" s="46"/>
      <c r="D4519" s="37"/>
      <c r="E4519" s="37"/>
      <c r="F4519" s="37"/>
      <c r="G4519" s="40" t="str">
        <f>IF(tblMovimientos[[#This Row],[Producto]]="","",TRIM(LEFT(tblMovimientos[[#This Row],[Producto]],FIND(" · ",tblMovimientos[[#This Row],[Producto]]&amp;" · ")-1)))</f>
        <v/>
      </c>
      <c r="H4519" s="40" t="str">
        <f>IF(tblMovimientos[[#This Row],[SKU]]="","",IFERROR(INDEX(tblProductos[Unidad],MATCH(tblMovimientos[[#This Row],[SKU]],tblProductos[SKU],0)),"?"))</f>
        <v/>
      </c>
      <c r="I4519" s="39"/>
      <c r="J4519" s="47" t="str">
        <f>IF(tblMovimientos[[#This Row],[Tipo]]="","",IFERROR(INDEX(tblTiposMov[FactorStock],MATCH(tblMovimientos[[#This Row],[Tipo]],tblTiposMov[Tipo],0)),0))</f>
        <v/>
      </c>
      <c r="K45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19" s="37"/>
      <c r="O4519" s="37"/>
      <c r="P4519" s="37"/>
    </row>
    <row r="4520" spans="2:16" x14ac:dyDescent="0.25">
      <c r="B45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0" s="46"/>
      <c r="D4520" s="37"/>
      <c r="E4520" s="37"/>
      <c r="F4520" s="37"/>
      <c r="G4520" s="40" t="str">
        <f>IF(tblMovimientos[[#This Row],[Producto]]="","",TRIM(LEFT(tblMovimientos[[#This Row],[Producto]],FIND(" · ",tblMovimientos[[#This Row],[Producto]]&amp;" · ")-1)))</f>
        <v/>
      </c>
      <c r="H4520" s="40" t="str">
        <f>IF(tblMovimientos[[#This Row],[SKU]]="","",IFERROR(INDEX(tblProductos[Unidad],MATCH(tblMovimientos[[#This Row],[SKU]],tblProductos[SKU],0)),"?"))</f>
        <v/>
      </c>
      <c r="I4520" s="39"/>
      <c r="J4520" s="47" t="str">
        <f>IF(tblMovimientos[[#This Row],[Tipo]]="","",IFERROR(INDEX(tblTiposMov[FactorStock],MATCH(tblMovimientos[[#This Row],[Tipo]],tblTiposMov[Tipo],0)),0))</f>
        <v/>
      </c>
      <c r="K45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0" s="37"/>
      <c r="O4520" s="37"/>
      <c r="P4520" s="37"/>
    </row>
    <row r="4521" spans="2:16" x14ac:dyDescent="0.25">
      <c r="B45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1" s="46"/>
      <c r="D4521" s="37"/>
      <c r="E4521" s="37"/>
      <c r="F4521" s="37"/>
      <c r="G4521" s="40" t="str">
        <f>IF(tblMovimientos[[#This Row],[Producto]]="","",TRIM(LEFT(tblMovimientos[[#This Row],[Producto]],FIND(" · ",tblMovimientos[[#This Row],[Producto]]&amp;" · ")-1)))</f>
        <v/>
      </c>
      <c r="H4521" s="40" t="str">
        <f>IF(tblMovimientos[[#This Row],[SKU]]="","",IFERROR(INDEX(tblProductos[Unidad],MATCH(tblMovimientos[[#This Row],[SKU]],tblProductos[SKU],0)),"?"))</f>
        <v/>
      </c>
      <c r="I4521" s="39"/>
      <c r="J4521" s="47" t="str">
        <f>IF(tblMovimientos[[#This Row],[Tipo]]="","",IFERROR(INDEX(tblTiposMov[FactorStock],MATCH(tblMovimientos[[#This Row],[Tipo]],tblTiposMov[Tipo],0)),0))</f>
        <v/>
      </c>
      <c r="K45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1" s="37"/>
      <c r="O4521" s="37"/>
      <c r="P4521" s="37"/>
    </row>
    <row r="4522" spans="2:16" x14ac:dyDescent="0.25">
      <c r="B45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2" s="46"/>
      <c r="D4522" s="37"/>
      <c r="E4522" s="37"/>
      <c r="F4522" s="37"/>
      <c r="G4522" s="40" t="str">
        <f>IF(tblMovimientos[[#This Row],[Producto]]="","",TRIM(LEFT(tblMovimientos[[#This Row],[Producto]],FIND(" · ",tblMovimientos[[#This Row],[Producto]]&amp;" · ")-1)))</f>
        <v/>
      </c>
      <c r="H4522" s="40" t="str">
        <f>IF(tblMovimientos[[#This Row],[SKU]]="","",IFERROR(INDEX(tblProductos[Unidad],MATCH(tblMovimientos[[#This Row],[SKU]],tblProductos[SKU],0)),"?"))</f>
        <v/>
      </c>
      <c r="I4522" s="39"/>
      <c r="J4522" s="47" t="str">
        <f>IF(tblMovimientos[[#This Row],[Tipo]]="","",IFERROR(INDEX(tblTiposMov[FactorStock],MATCH(tblMovimientos[[#This Row],[Tipo]],tblTiposMov[Tipo],0)),0))</f>
        <v/>
      </c>
      <c r="K45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2" s="37"/>
      <c r="O4522" s="37"/>
      <c r="P4522" s="37"/>
    </row>
    <row r="4523" spans="2:16" x14ac:dyDescent="0.25">
      <c r="B45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3" s="46"/>
      <c r="D4523" s="37"/>
      <c r="E4523" s="37"/>
      <c r="F4523" s="37"/>
      <c r="G4523" s="40" t="str">
        <f>IF(tblMovimientos[[#This Row],[Producto]]="","",TRIM(LEFT(tblMovimientos[[#This Row],[Producto]],FIND(" · ",tblMovimientos[[#This Row],[Producto]]&amp;" · ")-1)))</f>
        <v/>
      </c>
      <c r="H4523" s="40" t="str">
        <f>IF(tblMovimientos[[#This Row],[SKU]]="","",IFERROR(INDEX(tblProductos[Unidad],MATCH(tblMovimientos[[#This Row],[SKU]],tblProductos[SKU],0)),"?"))</f>
        <v/>
      </c>
      <c r="I4523" s="39"/>
      <c r="J4523" s="47" t="str">
        <f>IF(tblMovimientos[[#This Row],[Tipo]]="","",IFERROR(INDEX(tblTiposMov[FactorStock],MATCH(tblMovimientos[[#This Row],[Tipo]],tblTiposMov[Tipo],0)),0))</f>
        <v/>
      </c>
      <c r="K45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3" s="37"/>
      <c r="O4523" s="37"/>
      <c r="P4523" s="37"/>
    </row>
    <row r="4524" spans="2:16" x14ac:dyDescent="0.25">
      <c r="B45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4" s="46"/>
      <c r="D4524" s="37"/>
      <c r="E4524" s="37"/>
      <c r="F4524" s="37"/>
      <c r="G4524" s="40" t="str">
        <f>IF(tblMovimientos[[#This Row],[Producto]]="","",TRIM(LEFT(tblMovimientos[[#This Row],[Producto]],FIND(" · ",tblMovimientos[[#This Row],[Producto]]&amp;" · ")-1)))</f>
        <v/>
      </c>
      <c r="H4524" s="40" t="str">
        <f>IF(tblMovimientos[[#This Row],[SKU]]="","",IFERROR(INDEX(tblProductos[Unidad],MATCH(tblMovimientos[[#This Row],[SKU]],tblProductos[SKU],0)),"?"))</f>
        <v/>
      </c>
      <c r="I4524" s="39"/>
      <c r="J4524" s="47" t="str">
        <f>IF(tblMovimientos[[#This Row],[Tipo]]="","",IFERROR(INDEX(tblTiposMov[FactorStock],MATCH(tblMovimientos[[#This Row],[Tipo]],tblTiposMov[Tipo],0)),0))</f>
        <v/>
      </c>
      <c r="K45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4" s="37"/>
      <c r="O4524" s="37"/>
      <c r="P4524" s="37"/>
    </row>
    <row r="4525" spans="2:16" x14ac:dyDescent="0.25">
      <c r="B45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5" s="46"/>
      <c r="D4525" s="37"/>
      <c r="E4525" s="37"/>
      <c r="F4525" s="37"/>
      <c r="G4525" s="40" t="str">
        <f>IF(tblMovimientos[[#This Row],[Producto]]="","",TRIM(LEFT(tblMovimientos[[#This Row],[Producto]],FIND(" · ",tblMovimientos[[#This Row],[Producto]]&amp;" · ")-1)))</f>
        <v/>
      </c>
      <c r="H4525" s="40" t="str">
        <f>IF(tblMovimientos[[#This Row],[SKU]]="","",IFERROR(INDEX(tblProductos[Unidad],MATCH(tblMovimientos[[#This Row],[SKU]],tblProductos[SKU],0)),"?"))</f>
        <v/>
      </c>
      <c r="I4525" s="39"/>
      <c r="J4525" s="47" t="str">
        <f>IF(tblMovimientos[[#This Row],[Tipo]]="","",IFERROR(INDEX(tblTiposMov[FactorStock],MATCH(tblMovimientos[[#This Row],[Tipo]],tblTiposMov[Tipo],0)),0))</f>
        <v/>
      </c>
      <c r="K45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5" s="37"/>
      <c r="O4525" s="37"/>
      <c r="P4525" s="37"/>
    </row>
    <row r="4526" spans="2:16" x14ac:dyDescent="0.25">
      <c r="B45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6" s="46"/>
      <c r="D4526" s="37"/>
      <c r="E4526" s="37"/>
      <c r="F4526" s="37"/>
      <c r="G4526" s="40" t="str">
        <f>IF(tblMovimientos[[#This Row],[Producto]]="","",TRIM(LEFT(tblMovimientos[[#This Row],[Producto]],FIND(" · ",tblMovimientos[[#This Row],[Producto]]&amp;" · ")-1)))</f>
        <v/>
      </c>
      <c r="H4526" s="40" t="str">
        <f>IF(tblMovimientos[[#This Row],[SKU]]="","",IFERROR(INDEX(tblProductos[Unidad],MATCH(tblMovimientos[[#This Row],[SKU]],tblProductos[SKU],0)),"?"))</f>
        <v/>
      </c>
      <c r="I4526" s="39"/>
      <c r="J4526" s="47" t="str">
        <f>IF(tblMovimientos[[#This Row],[Tipo]]="","",IFERROR(INDEX(tblTiposMov[FactorStock],MATCH(tblMovimientos[[#This Row],[Tipo]],tblTiposMov[Tipo],0)),0))</f>
        <v/>
      </c>
      <c r="K45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6" s="37"/>
      <c r="O4526" s="37"/>
      <c r="P4526" s="37"/>
    </row>
    <row r="4527" spans="2:16" x14ac:dyDescent="0.25">
      <c r="B45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7" s="46"/>
      <c r="D4527" s="37"/>
      <c r="E4527" s="37"/>
      <c r="F4527" s="37"/>
      <c r="G4527" s="40" t="str">
        <f>IF(tblMovimientos[[#This Row],[Producto]]="","",TRIM(LEFT(tblMovimientos[[#This Row],[Producto]],FIND(" · ",tblMovimientos[[#This Row],[Producto]]&amp;" · ")-1)))</f>
        <v/>
      </c>
      <c r="H4527" s="40" t="str">
        <f>IF(tblMovimientos[[#This Row],[SKU]]="","",IFERROR(INDEX(tblProductos[Unidad],MATCH(tblMovimientos[[#This Row],[SKU]],tblProductos[SKU],0)),"?"))</f>
        <v/>
      </c>
      <c r="I4527" s="39"/>
      <c r="J4527" s="47" t="str">
        <f>IF(tblMovimientos[[#This Row],[Tipo]]="","",IFERROR(INDEX(tblTiposMov[FactorStock],MATCH(tblMovimientos[[#This Row],[Tipo]],tblTiposMov[Tipo],0)),0))</f>
        <v/>
      </c>
      <c r="K45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7" s="37"/>
      <c r="O4527" s="37"/>
      <c r="P4527" s="37"/>
    </row>
    <row r="4528" spans="2:16" x14ac:dyDescent="0.25">
      <c r="B45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8" s="46"/>
      <c r="D4528" s="37"/>
      <c r="E4528" s="37"/>
      <c r="F4528" s="37"/>
      <c r="G4528" s="40" t="str">
        <f>IF(tblMovimientos[[#This Row],[Producto]]="","",TRIM(LEFT(tblMovimientos[[#This Row],[Producto]],FIND(" · ",tblMovimientos[[#This Row],[Producto]]&amp;" · ")-1)))</f>
        <v/>
      </c>
      <c r="H4528" s="40" t="str">
        <f>IF(tblMovimientos[[#This Row],[SKU]]="","",IFERROR(INDEX(tblProductos[Unidad],MATCH(tblMovimientos[[#This Row],[SKU]],tblProductos[SKU],0)),"?"))</f>
        <v/>
      </c>
      <c r="I4528" s="39"/>
      <c r="J4528" s="47" t="str">
        <f>IF(tblMovimientos[[#This Row],[Tipo]]="","",IFERROR(INDEX(tblTiposMov[FactorStock],MATCH(tblMovimientos[[#This Row],[Tipo]],tblTiposMov[Tipo],0)),0))</f>
        <v/>
      </c>
      <c r="K45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8" s="37"/>
      <c r="O4528" s="37"/>
      <c r="P4528" s="37"/>
    </row>
    <row r="4529" spans="2:16" x14ac:dyDescent="0.25">
      <c r="B45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29" s="46"/>
      <c r="D4529" s="37"/>
      <c r="E4529" s="37"/>
      <c r="F4529" s="37"/>
      <c r="G4529" s="40" t="str">
        <f>IF(tblMovimientos[[#This Row],[Producto]]="","",TRIM(LEFT(tblMovimientos[[#This Row],[Producto]],FIND(" · ",tblMovimientos[[#This Row],[Producto]]&amp;" · ")-1)))</f>
        <v/>
      </c>
      <c r="H4529" s="40" t="str">
        <f>IF(tblMovimientos[[#This Row],[SKU]]="","",IFERROR(INDEX(tblProductos[Unidad],MATCH(tblMovimientos[[#This Row],[SKU]],tblProductos[SKU],0)),"?"))</f>
        <v/>
      </c>
      <c r="I4529" s="39"/>
      <c r="J4529" s="47" t="str">
        <f>IF(tblMovimientos[[#This Row],[Tipo]]="","",IFERROR(INDEX(tblTiposMov[FactorStock],MATCH(tblMovimientos[[#This Row],[Tipo]],tblTiposMov[Tipo],0)),0))</f>
        <v/>
      </c>
      <c r="K45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29" s="37"/>
      <c r="O4529" s="37"/>
      <c r="P4529" s="37"/>
    </row>
    <row r="4530" spans="2:16" x14ac:dyDescent="0.25">
      <c r="B45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0" s="46"/>
      <c r="D4530" s="37"/>
      <c r="E4530" s="37"/>
      <c r="F4530" s="37"/>
      <c r="G4530" s="40" t="str">
        <f>IF(tblMovimientos[[#This Row],[Producto]]="","",TRIM(LEFT(tblMovimientos[[#This Row],[Producto]],FIND(" · ",tblMovimientos[[#This Row],[Producto]]&amp;" · ")-1)))</f>
        <v/>
      </c>
      <c r="H4530" s="40" t="str">
        <f>IF(tblMovimientos[[#This Row],[SKU]]="","",IFERROR(INDEX(tblProductos[Unidad],MATCH(tblMovimientos[[#This Row],[SKU]],tblProductos[SKU],0)),"?"))</f>
        <v/>
      </c>
      <c r="I4530" s="39"/>
      <c r="J4530" s="47" t="str">
        <f>IF(tblMovimientos[[#This Row],[Tipo]]="","",IFERROR(INDEX(tblTiposMov[FactorStock],MATCH(tblMovimientos[[#This Row],[Tipo]],tblTiposMov[Tipo],0)),0))</f>
        <v/>
      </c>
      <c r="K45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0" s="37"/>
      <c r="O4530" s="37"/>
      <c r="P4530" s="37"/>
    </row>
    <row r="4531" spans="2:16" x14ac:dyDescent="0.25">
      <c r="B45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1" s="46"/>
      <c r="D4531" s="37"/>
      <c r="E4531" s="37"/>
      <c r="F4531" s="37"/>
      <c r="G4531" s="40" t="str">
        <f>IF(tblMovimientos[[#This Row],[Producto]]="","",TRIM(LEFT(tblMovimientos[[#This Row],[Producto]],FIND(" · ",tblMovimientos[[#This Row],[Producto]]&amp;" · ")-1)))</f>
        <v/>
      </c>
      <c r="H4531" s="40" t="str">
        <f>IF(tblMovimientos[[#This Row],[SKU]]="","",IFERROR(INDEX(tblProductos[Unidad],MATCH(tblMovimientos[[#This Row],[SKU]],tblProductos[SKU],0)),"?"))</f>
        <v/>
      </c>
      <c r="I4531" s="39"/>
      <c r="J4531" s="47" t="str">
        <f>IF(tblMovimientos[[#This Row],[Tipo]]="","",IFERROR(INDEX(tblTiposMov[FactorStock],MATCH(tblMovimientos[[#This Row],[Tipo]],tblTiposMov[Tipo],0)),0))</f>
        <v/>
      </c>
      <c r="K45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1" s="37"/>
      <c r="O4531" s="37"/>
      <c r="P4531" s="37"/>
    </row>
    <row r="4532" spans="2:16" x14ac:dyDescent="0.25">
      <c r="B45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2" s="46"/>
      <c r="D4532" s="37"/>
      <c r="E4532" s="37"/>
      <c r="F4532" s="37"/>
      <c r="G4532" s="40" t="str">
        <f>IF(tblMovimientos[[#This Row],[Producto]]="","",TRIM(LEFT(tblMovimientos[[#This Row],[Producto]],FIND(" · ",tblMovimientos[[#This Row],[Producto]]&amp;" · ")-1)))</f>
        <v/>
      </c>
      <c r="H4532" s="40" t="str">
        <f>IF(tblMovimientos[[#This Row],[SKU]]="","",IFERROR(INDEX(tblProductos[Unidad],MATCH(tblMovimientos[[#This Row],[SKU]],tblProductos[SKU],0)),"?"))</f>
        <v/>
      </c>
      <c r="I4532" s="39"/>
      <c r="J4532" s="47" t="str">
        <f>IF(tblMovimientos[[#This Row],[Tipo]]="","",IFERROR(INDEX(tblTiposMov[FactorStock],MATCH(tblMovimientos[[#This Row],[Tipo]],tblTiposMov[Tipo],0)),0))</f>
        <v/>
      </c>
      <c r="K45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2" s="37"/>
      <c r="O4532" s="37"/>
      <c r="P4532" s="37"/>
    </row>
    <row r="4533" spans="2:16" x14ac:dyDescent="0.25">
      <c r="B45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3" s="46"/>
      <c r="D4533" s="37"/>
      <c r="E4533" s="37"/>
      <c r="F4533" s="37"/>
      <c r="G4533" s="40" t="str">
        <f>IF(tblMovimientos[[#This Row],[Producto]]="","",TRIM(LEFT(tblMovimientos[[#This Row],[Producto]],FIND(" · ",tblMovimientos[[#This Row],[Producto]]&amp;" · ")-1)))</f>
        <v/>
      </c>
      <c r="H4533" s="40" t="str">
        <f>IF(tblMovimientos[[#This Row],[SKU]]="","",IFERROR(INDEX(tblProductos[Unidad],MATCH(tblMovimientos[[#This Row],[SKU]],tblProductos[SKU],0)),"?"))</f>
        <v/>
      </c>
      <c r="I4533" s="39"/>
      <c r="J4533" s="47" t="str">
        <f>IF(tblMovimientos[[#This Row],[Tipo]]="","",IFERROR(INDEX(tblTiposMov[FactorStock],MATCH(tblMovimientos[[#This Row],[Tipo]],tblTiposMov[Tipo],0)),0))</f>
        <v/>
      </c>
      <c r="K45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3" s="37"/>
      <c r="O4533" s="37"/>
      <c r="P4533" s="37"/>
    </row>
    <row r="4534" spans="2:16" x14ac:dyDescent="0.25">
      <c r="B45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4" s="46"/>
      <c r="D4534" s="37"/>
      <c r="E4534" s="37"/>
      <c r="F4534" s="37"/>
      <c r="G4534" s="40" t="str">
        <f>IF(tblMovimientos[[#This Row],[Producto]]="","",TRIM(LEFT(tblMovimientos[[#This Row],[Producto]],FIND(" · ",tblMovimientos[[#This Row],[Producto]]&amp;" · ")-1)))</f>
        <v/>
      </c>
      <c r="H4534" s="40" t="str">
        <f>IF(tblMovimientos[[#This Row],[SKU]]="","",IFERROR(INDEX(tblProductos[Unidad],MATCH(tblMovimientos[[#This Row],[SKU]],tblProductos[SKU],0)),"?"))</f>
        <v/>
      </c>
      <c r="I4534" s="39"/>
      <c r="J4534" s="47" t="str">
        <f>IF(tblMovimientos[[#This Row],[Tipo]]="","",IFERROR(INDEX(tblTiposMov[FactorStock],MATCH(tblMovimientos[[#This Row],[Tipo]],tblTiposMov[Tipo],0)),0))</f>
        <v/>
      </c>
      <c r="K45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4" s="37"/>
      <c r="O4534" s="37"/>
      <c r="P4534" s="37"/>
    </row>
    <row r="4535" spans="2:16" x14ac:dyDescent="0.25">
      <c r="B45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5" s="46"/>
      <c r="D4535" s="37"/>
      <c r="E4535" s="37"/>
      <c r="F4535" s="37"/>
      <c r="G4535" s="40" t="str">
        <f>IF(tblMovimientos[[#This Row],[Producto]]="","",TRIM(LEFT(tblMovimientos[[#This Row],[Producto]],FIND(" · ",tblMovimientos[[#This Row],[Producto]]&amp;" · ")-1)))</f>
        <v/>
      </c>
      <c r="H4535" s="40" t="str">
        <f>IF(tblMovimientos[[#This Row],[SKU]]="","",IFERROR(INDEX(tblProductos[Unidad],MATCH(tblMovimientos[[#This Row],[SKU]],tblProductos[SKU],0)),"?"))</f>
        <v/>
      </c>
      <c r="I4535" s="39"/>
      <c r="J4535" s="47" t="str">
        <f>IF(tblMovimientos[[#This Row],[Tipo]]="","",IFERROR(INDEX(tblTiposMov[FactorStock],MATCH(tblMovimientos[[#This Row],[Tipo]],tblTiposMov[Tipo],0)),0))</f>
        <v/>
      </c>
      <c r="K45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5" s="37"/>
      <c r="O4535" s="37"/>
      <c r="P4535" s="37"/>
    </row>
    <row r="4536" spans="2:16" x14ac:dyDescent="0.25">
      <c r="B45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6" s="46"/>
      <c r="D4536" s="37"/>
      <c r="E4536" s="37"/>
      <c r="F4536" s="37"/>
      <c r="G4536" s="40" t="str">
        <f>IF(tblMovimientos[[#This Row],[Producto]]="","",TRIM(LEFT(tblMovimientos[[#This Row],[Producto]],FIND(" · ",tblMovimientos[[#This Row],[Producto]]&amp;" · ")-1)))</f>
        <v/>
      </c>
      <c r="H4536" s="40" t="str">
        <f>IF(tblMovimientos[[#This Row],[SKU]]="","",IFERROR(INDEX(tblProductos[Unidad],MATCH(tblMovimientos[[#This Row],[SKU]],tblProductos[SKU],0)),"?"))</f>
        <v/>
      </c>
      <c r="I4536" s="39"/>
      <c r="J4536" s="47" t="str">
        <f>IF(tblMovimientos[[#This Row],[Tipo]]="","",IFERROR(INDEX(tblTiposMov[FactorStock],MATCH(tblMovimientos[[#This Row],[Tipo]],tblTiposMov[Tipo],0)),0))</f>
        <v/>
      </c>
      <c r="K45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6" s="37"/>
      <c r="O4536" s="37"/>
      <c r="P4536" s="37"/>
    </row>
    <row r="4537" spans="2:16" x14ac:dyDescent="0.25">
      <c r="B45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7" s="46"/>
      <c r="D4537" s="37"/>
      <c r="E4537" s="37"/>
      <c r="F4537" s="37"/>
      <c r="G4537" s="40" t="str">
        <f>IF(tblMovimientos[[#This Row],[Producto]]="","",TRIM(LEFT(tblMovimientos[[#This Row],[Producto]],FIND(" · ",tblMovimientos[[#This Row],[Producto]]&amp;" · ")-1)))</f>
        <v/>
      </c>
      <c r="H4537" s="40" t="str">
        <f>IF(tblMovimientos[[#This Row],[SKU]]="","",IFERROR(INDEX(tblProductos[Unidad],MATCH(tblMovimientos[[#This Row],[SKU]],tblProductos[SKU],0)),"?"))</f>
        <v/>
      </c>
      <c r="I4537" s="39"/>
      <c r="J4537" s="47" t="str">
        <f>IF(tblMovimientos[[#This Row],[Tipo]]="","",IFERROR(INDEX(tblTiposMov[FactorStock],MATCH(tblMovimientos[[#This Row],[Tipo]],tblTiposMov[Tipo],0)),0))</f>
        <v/>
      </c>
      <c r="K45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7" s="37"/>
      <c r="O4537" s="37"/>
      <c r="P4537" s="37"/>
    </row>
    <row r="4538" spans="2:16" x14ac:dyDescent="0.25">
      <c r="B45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8" s="46"/>
      <c r="D4538" s="37"/>
      <c r="E4538" s="37"/>
      <c r="F4538" s="37"/>
      <c r="G4538" s="40" t="str">
        <f>IF(tblMovimientos[[#This Row],[Producto]]="","",TRIM(LEFT(tblMovimientos[[#This Row],[Producto]],FIND(" · ",tblMovimientos[[#This Row],[Producto]]&amp;" · ")-1)))</f>
        <v/>
      </c>
      <c r="H4538" s="40" t="str">
        <f>IF(tblMovimientos[[#This Row],[SKU]]="","",IFERROR(INDEX(tblProductos[Unidad],MATCH(tblMovimientos[[#This Row],[SKU]],tblProductos[SKU],0)),"?"))</f>
        <v/>
      </c>
      <c r="I4538" s="39"/>
      <c r="J4538" s="47" t="str">
        <f>IF(tblMovimientos[[#This Row],[Tipo]]="","",IFERROR(INDEX(tblTiposMov[FactorStock],MATCH(tblMovimientos[[#This Row],[Tipo]],tblTiposMov[Tipo],0)),0))</f>
        <v/>
      </c>
      <c r="K45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8" s="37"/>
      <c r="O4538" s="37"/>
      <c r="P4538" s="37"/>
    </row>
    <row r="4539" spans="2:16" x14ac:dyDescent="0.25">
      <c r="B45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39" s="46"/>
      <c r="D4539" s="37"/>
      <c r="E4539" s="37"/>
      <c r="F4539" s="37"/>
      <c r="G4539" s="40" t="str">
        <f>IF(tblMovimientos[[#This Row],[Producto]]="","",TRIM(LEFT(tblMovimientos[[#This Row],[Producto]],FIND(" · ",tblMovimientos[[#This Row],[Producto]]&amp;" · ")-1)))</f>
        <v/>
      </c>
      <c r="H4539" s="40" t="str">
        <f>IF(tblMovimientos[[#This Row],[SKU]]="","",IFERROR(INDEX(tblProductos[Unidad],MATCH(tblMovimientos[[#This Row],[SKU]],tblProductos[SKU],0)),"?"))</f>
        <v/>
      </c>
      <c r="I4539" s="39"/>
      <c r="J4539" s="47" t="str">
        <f>IF(tblMovimientos[[#This Row],[Tipo]]="","",IFERROR(INDEX(tblTiposMov[FactorStock],MATCH(tblMovimientos[[#This Row],[Tipo]],tblTiposMov[Tipo],0)),0))</f>
        <v/>
      </c>
      <c r="K45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39" s="37"/>
      <c r="O4539" s="37"/>
      <c r="P4539" s="37"/>
    </row>
    <row r="4540" spans="2:16" x14ac:dyDescent="0.25">
      <c r="B45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0" s="46"/>
      <c r="D4540" s="37"/>
      <c r="E4540" s="37"/>
      <c r="F4540" s="37"/>
      <c r="G4540" s="40" t="str">
        <f>IF(tblMovimientos[[#This Row],[Producto]]="","",TRIM(LEFT(tblMovimientos[[#This Row],[Producto]],FIND(" · ",tblMovimientos[[#This Row],[Producto]]&amp;" · ")-1)))</f>
        <v/>
      </c>
      <c r="H4540" s="40" t="str">
        <f>IF(tblMovimientos[[#This Row],[SKU]]="","",IFERROR(INDEX(tblProductos[Unidad],MATCH(tblMovimientos[[#This Row],[SKU]],tblProductos[SKU],0)),"?"))</f>
        <v/>
      </c>
      <c r="I4540" s="39"/>
      <c r="J4540" s="47" t="str">
        <f>IF(tblMovimientos[[#This Row],[Tipo]]="","",IFERROR(INDEX(tblTiposMov[FactorStock],MATCH(tblMovimientos[[#This Row],[Tipo]],tblTiposMov[Tipo],0)),0))</f>
        <v/>
      </c>
      <c r="K45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0" s="37"/>
      <c r="O4540" s="37"/>
      <c r="P4540" s="37"/>
    </row>
    <row r="4541" spans="2:16" x14ac:dyDescent="0.25">
      <c r="B45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1" s="46"/>
      <c r="D4541" s="37"/>
      <c r="E4541" s="37"/>
      <c r="F4541" s="37"/>
      <c r="G4541" s="40" t="str">
        <f>IF(tblMovimientos[[#This Row],[Producto]]="","",TRIM(LEFT(tblMovimientos[[#This Row],[Producto]],FIND(" · ",tblMovimientos[[#This Row],[Producto]]&amp;" · ")-1)))</f>
        <v/>
      </c>
      <c r="H4541" s="40" t="str">
        <f>IF(tblMovimientos[[#This Row],[SKU]]="","",IFERROR(INDEX(tblProductos[Unidad],MATCH(tblMovimientos[[#This Row],[SKU]],tblProductos[SKU],0)),"?"))</f>
        <v/>
      </c>
      <c r="I4541" s="39"/>
      <c r="J4541" s="47" t="str">
        <f>IF(tblMovimientos[[#This Row],[Tipo]]="","",IFERROR(INDEX(tblTiposMov[FactorStock],MATCH(tblMovimientos[[#This Row],[Tipo]],tblTiposMov[Tipo],0)),0))</f>
        <v/>
      </c>
      <c r="K45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1" s="37"/>
      <c r="O4541" s="37"/>
      <c r="P4541" s="37"/>
    </row>
    <row r="4542" spans="2:16" x14ac:dyDescent="0.25">
      <c r="B45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2" s="46"/>
      <c r="D4542" s="37"/>
      <c r="E4542" s="37"/>
      <c r="F4542" s="37"/>
      <c r="G4542" s="40" t="str">
        <f>IF(tblMovimientos[[#This Row],[Producto]]="","",TRIM(LEFT(tblMovimientos[[#This Row],[Producto]],FIND(" · ",tblMovimientos[[#This Row],[Producto]]&amp;" · ")-1)))</f>
        <v/>
      </c>
      <c r="H4542" s="40" t="str">
        <f>IF(tblMovimientos[[#This Row],[SKU]]="","",IFERROR(INDEX(tblProductos[Unidad],MATCH(tblMovimientos[[#This Row],[SKU]],tblProductos[SKU],0)),"?"))</f>
        <v/>
      </c>
      <c r="I4542" s="39"/>
      <c r="J4542" s="47" t="str">
        <f>IF(tblMovimientos[[#This Row],[Tipo]]="","",IFERROR(INDEX(tblTiposMov[FactorStock],MATCH(tblMovimientos[[#This Row],[Tipo]],tblTiposMov[Tipo],0)),0))</f>
        <v/>
      </c>
      <c r="K45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2" s="37"/>
      <c r="O4542" s="37"/>
      <c r="P4542" s="37"/>
    </row>
    <row r="4543" spans="2:16" x14ac:dyDescent="0.25">
      <c r="B45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3" s="46"/>
      <c r="D4543" s="37"/>
      <c r="E4543" s="37"/>
      <c r="F4543" s="37"/>
      <c r="G4543" s="40" t="str">
        <f>IF(tblMovimientos[[#This Row],[Producto]]="","",TRIM(LEFT(tblMovimientos[[#This Row],[Producto]],FIND(" · ",tblMovimientos[[#This Row],[Producto]]&amp;" · ")-1)))</f>
        <v/>
      </c>
      <c r="H4543" s="40" t="str">
        <f>IF(tblMovimientos[[#This Row],[SKU]]="","",IFERROR(INDEX(tblProductos[Unidad],MATCH(tblMovimientos[[#This Row],[SKU]],tblProductos[SKU],0)),"?"))</f>
        <v/>
      </c>
      <c r="I4543" s="39"/>
      <c r="J4543" s="47" t="str">
        <f>IF(tblMovimientos[[#This Row],[Tipo]]="","",IFERROR(INDEX(tblTiposMov[FactorStock],MATCH(tblMovimientos[[#This Row],[Tipo]],tblTiposMov[Tipo],0)),0))</f>
        <v/>
      </c>
      <c r="K45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3" s="37"/>
      <c r="O4543" s="37"/>
      <c r="P4543" s="37"/>
    </row>
    <row r="4544" spans="2:16" x14ac:dyDescent="0.25">
      <c r="B45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4" s="46"/>
      <c r="D4544" s="37"/>
      <c r="E4544" s="37"/>
      <c r="F4544" s="37"/>
      <c r="G4544" s="40" t="str">
        <f>IF(tblMovimientos[[#This Row],[Producto]]="","",TRIM(LEFT(tblMovimientos[[#This Row],[Producto]],FIND(" · ",tblMovimientos[[#This Row],[Producto]]&amp;" · ")-1)))</f>
        <v/>
      </c>
      <c r="H4544" s="40" t="str">
        <f>IF(tblMovimientos[[#This Row],[SKU]]="","",IFERROR(INDEX(tblProductos[Unidad],MATCH(tblMovimientos[[#This Row],[SKU]],tblProductos[SKU],0)),"?"))</f>
        <v/>
      </c>
      <c r="I4544" s="39"/>
      <c r="J4544" s="47" t="str">
        <f>IF(tblMovimientos[[#This Row],[Tipo]]="","",IFERROR(INDEX(tblTiposMov[FactorStock],MATCH(tblMovimientos[[#This Row],[Tipo]],tblTiposMov[Tipo],0)),0))</f>
        <v/>
      </c>
      <c r="K45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4" s="37"/>
      <c r="O4544" s="37"/>
      <c r="P4544" s="37"/>
    </row>
    <row r="4545" spans="2:16" x14ac:dyDescent="0.25">
      <c r="B45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5" s="46"/>
      <c r="D4545" s="37"/>
      <c r="E4545" s="37"/>
      <c r="F4545" s="37"/>
      <c r="G4545" s="40" t="str">
        <f>IF(tblMovimientos[[#This Row],[Producto]]="","",TRIM(LEFT(tblMovimientos[[#This Row],[Producto]],FIND(" · ",tblMovimientos[[#This Row],[Producto]]&amp;" · ")-1)))</f>
        <v/>
      </c>
      <c r="H4545" s="40" t="str">
        <f>IF(tblMovimientos[[#This Row],[SKU]]="","",IFERROR(INDEX(tblProductos[Unidad],MATCH(tblMovimientos[[#This Row],[SKU]],tblProductos[SKU],0)),"?"))</f>
        <v/>
      </c>
      <c r="I4545" s="39"/>
      <c r="J4545" s="47" t="str">
        <f>IF(tblMovimientos[[#This Row],[Tipo]]="","",IFERROR(INDEX(tblTiposMov[FactorStock],MATCH(tblMovimientos[[#This Row],[Tipo]],tblTiposMov[Tipo],0)),0))</f>
        <v/>
      </c>
      <c r="K45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5" s="37"/>
      <c r="O4545" s="37"/>
      <c r="P4545" s="37"/>
    </row>
    <row r="4546" spans="2:16" x14ac:dyDescent="0.25">
      <c r="B45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6" s="46"/>
      <c r="D4546" s="37"/>
      <c r="E4546" s="37"/>
      <c r="F4546" s="37"/>
      <c r="G4546" s="40" t="str">
        <f>IF(tblMovimientos[[#This Row],[Producto]]="","",TRIM(LEFT(tblMovimientos[[#This Row],[Producto]],FIND(" · ",tblMovimientos[[#This Row],[Producto]]&amp;" · ")-1)))</f>
        <v/>
      </c>
      <c r="H4546" s="40" t="str">
        <f>IF(tblMovimientos[[#This Row],[SKU]]="","",IFERROR(INDEX(tblProductos[Unidad],MATCH(tblMovimientos[[#This Row],[SKU]],tblProductos[SKU],0)),"?"))</f>
        <v/>
      </c>
      <c r="I4546" s="39"/>
      <c r="J4546" s="47" t="str">
        <f>IF(tblMovimientos[[#This Row],[Tipo]]="","",IFERROR(INDEX(tblTiposMov[FactorStock],MATCH(tblMovimientos[[#This Row],[Tipo]],tblTiposMov[Tipo],0)),0))</f>
        <v/>
      </c>
      <c r="K45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6" s="37"/>
      <c r="O4546" s="37"/>
      <c r="P4546" s="37"/>
    </row>
    <row r="4547" spans="2:16" x14ac:dyDescent="0.25">
      <c r="B45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7" s="46"/>
      <c r="D4547" s="37"/>
      <c r="E4547" s="37"/>
      <c r="F4547" s="37"/>
      <c r="G4547" s="40" t="str">
        <f>IF(tblMovimientos[[#This Row],[Producto]]="","",TRIM(LEFT(tblMovimientos[[#This Row],[Producto]],FIND(" · ",tblMovimientos[[#This Row],[Producto]]&amp;" · ")-1)))</f>
        <v/>
      </c>
      <c r="H4547" s="40" t="str">
        <f>IF(tblMovimientos[[#This Row],[SKU]]="","",IFERROR(INDEX(tblProductos[Unidad],MATCH(tblMovimientos[[#This Row],[SKU]],tblProductos[SKU],0)),"?"))</f>
        <v/>
      </c>
      <c r="I4547" s="39"/>
      <c r="J4547" s="47" t="str">
        <f>IF(tblMovimientos[[#This Row],[Tipo]]="","",IFERROR(INDEX(tblTiposMov[FactorStock],MATCH(tblMovimientos[[#This Row],[Tipo]],tblTiposMov[Tipo],0)),0))</f>
        <v/>
      </c>
      <c r="K45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7" s="37"/>
      <c r="O4547" s="37"/>
      <c r="P4547" s="37"/>
    </row>
    <row r="4548" spans="2:16" x14ac:dyDescent="0.25">
      <c r="B45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8" s="46"/>
      <c r="D4548" s="37"/>
      <c r="E4548" s="37"/>
      <c r="F4548" s="37"/>
      <c r="G4548" s="40" t="str">
        <f>IF(tblMovimientos[[#This Row],[Producto]]="","",TRIM(LEFT(tblMovimientos[[#This Row],[Producto]],FIND(" · ",tblMovimientos[[#This Row],[Producto]]&amp;" · ")-1)))</f>
        <v/>
      </c>
      <c r="H4548" s="40" t="str">
        <f>IF(tblMovimientos[[#This Row],[SKU]]="","",IFERROR(INDEX(tblProductos[Unidad],MATCH(tblMovimientos[[#This Row],[SKU]],tblProductos[SKU],0)),"?"))</f>
        <v/>
      </c>
      <c r="I4548" s="39"/>
      <c r="J4548" s="47" t="str">
        <f>IF(tblMovimientos[[#This Row],[Tipo]]="","",IFERROR(INDEX(tblTiposMov[FactorStock],MATCH(tblMovimientos[[#This Row],[Tipo]],tblTiposMov[Tipo],0)),0))</f>
        <v/>
      </c>
      <c r="K45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8" s="37"/>
      <c r="O4548" s="37"/>
      <c r="P4548" s="37"/>
    </row>
    <row r="4549" spans="2:16" x14ac:dyDescent="0.25">
      <c r="B45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49" s="46"/>
      <c r="D4549" s="37"/>
      <c r="E4549" s="37"/>
      <c r="F4549" s="37"/>
      <c r="G4549" s="40" t="str">
        <f>IF(tblMovimientos[[#This Row],[Producto]]="","",TRIM(LEFT(tblMovimientos[[#This Row],[Producto]],FIND(" · ",tblMovimientos[[#This Row],[Producto]]&amp;" · ")-1)))</f>
        <v/>
      </c>
      <c r="H4549" s="40" t="str">
        <f>IF(tblMovimientos[[#This Row],[SKU]]="","",IFERROR(INDEX(tblProductos[Unidad],MATCH(tblMovimientos[[#This Row],[SKU]],tblProductos[SKU],0)),"?"))</f>
        <v/>
      </c>
      <c r="I4549" s="39"/>
      <c r="J4549" s="47" t="str">
        <f>IF(tblMovimientos[[#This Row],[Tipo]]="","",IFERROR(INDEX(tblTiposMov[FactorStock],MATCH(tblMovimientos[[#This Row],[Tipo]],tblTiposMov[Tipo],0)),0))</f>
        <v/>
      </c>
      <c r="K45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49" s="37"/>
      <c r="O4549" s="37"/>
      <c r="P4549" s="37"/>
    </row>
    <row r="4550" spans="2:16" x14ac:dyDescent="0.25">
      <c r="B45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0" s="46"/>
      <c r="D4550" s="37"/>
      <c r="E4550" s="37"/>
      <c r="F4550" s="37"/>
      <c r="G4550" s="40" t="str">
        <f>IF(tblMovimientos[[#This Row],[Producto]]="","",TRIM(LEFT(tblMovimientos[[#This Row],[Producto]],FIND(" · ",tblMovimientos[[#This Row],[Producto]]&amp;" · ")-1)))</f>
        <v/>
      </c>
      <c r="H4550" s="40" t="str">
        <f>IF(tblMovimientos[[#This Row],[SKU]]="","",IFERROR(INDEX(tblProductos[Unidad],MATCH(tblMovimientos[[#This Row],[SKU]],tblProductos[SKU],0)),"?"))</f>
        <v/>
      </c>
      <c r="I4550" s="39"/>
      <c r="J4550" s="47" t="str">
        <f>IF(tblMovimientos[[#This Row],[Tipo]]="","",IFERROR(INDEX(tblTiposMov[FactorStock],MATCH(tblMovimientos[[#This Row],[Tipo]],tblTiposMov[Tipo],0)),0))</f>
        <v/>
      </c>
      <c r="K45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0" s="37"/>
      <c r="O4550" s="37"/>
      <c r="P4550" s="37"/>
    </row>
    <row r="4551" spans="2:16" x14ac:dyDescent="0.25">
      <c r="B45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1" s="46"/>
      <c r="D4551" s="37"/>
      <c r="E4551" s="37"/>
      <c r="F4551" s="37"/>
      <c r="G4551" s="40" t="str">
        <f>IF(tblMovimientos[[#This Row],[Producto]]="","",TRIM(LEFT(tblMovimientos[[#This Row],[Producto]],FIND(" · ",tblMovimientos[[#This Row],[Producto]]&amp;" · ")-1)))</f>
        <v/>
      </c>
      <c r="H4551" s="40" t="str">
        <f>IF(tblMovimientos[[#This Row],[SKU]]="","",IFERROR(INDEX(tblProductos[Unidad],MATCH(tblMovimientos[[#This Row],[SKU]],tblProductos[SKU],0)),"?"))</f>
        <v/>
      </c>
      <c r="I4551" s="39"/>
      <c r="J4551" s="47" t="str">
        <f>IF(tblMovimientos[[#This Row],[Tipo]]="","",IFERROR(INDEX(tblTiposMov[FactorStock],MATCH(tblMovimientos[[#This Row],[Tipo]],tblTiposMov[Tipo],0)),0))</f>
        <v/>
      </c>
      <c r="K45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1" s="37"/>
      <c r="O4551" s="37"/>
      <c r="P4551" s="37"/>
    </row>
    <row r="4552" spans="2:16" x14ac:dyDescent="0.25">
      <c r="B45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2" s="46"/>
      <c r="D4552" s="37"/>
      <c r="E4552" s="37"/>
      <c r="F4552" s="37"/>
      <c r="G4552" s="40" t="str">
        <f>IF(tblMovimientos[[#This Row],[Producto]]="","",TRIM(LEFT(tblMovimientos[[#This Row],[Producto]],FIND(" · ",tblMovimientos[[#This Row],[Producto]]&amp;" · ")-1)))</f>
        <v/>
      </c>
      <c r="H4552" s="40" t="str">
        <f>IF(tblMovimientos[[#This Row],[SKU]]="","",IFERROR(INDEX(tblProductos[Unidad],MATCH(tblMovimientos[[#This Row],[SKU]],tblProductos[SKU],0)),"?"))</f>
        <v/>
      </c>
      <c r="I4552" s="39"/>
      <c r="J4552" s="47" t="str">
        <f>IF(tblMovimientos[[#This Row],[Tipo]]="","",IFERROR(INDEX(tblTiposMov[FactorStock],MATCH(tblMovimientos[[#This Row],[Tipo]],tblTiposMov[Tipo],0)),0))</f>
        <v/>
      </c>
      <c r="K45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2" s="37"/>
      <c r="O4552" s="37"/>
      <c r="P4552" s="37"/>
    </row>
    <row r="4553" spans="2:16" x14ac:dyDescent="0.25">
      <c r="B45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3" s="46"/>
      <c r="D4553" s="37"/>
      <c r="E4553" s="37"/>
      <c r="F4553" s="37"/>
      <c r="G4553" s="40" t="str">
        <f>IF(tblMovimientos[[#This Row],[Producto]]="","",TRIM(LEFT(tblMovimientos[[#This Row],[Producto]],FIND(" · ",tblMovimientos[[#This Row],[Producto]]&amp;" · ")-1)))</f>
        <v/>
      </c>
      <c r="H4553" s="40" t="str">
        <f>IF(tblMovimientos[[#This Row],[SKU]]="","",IFERROR(INDEX(tblProductos[Unidad],MATCH(tblMovimientos[[#This Row],[SKU]],tblProductos[SKU],0)),"?"))</f>
        <v/>
      </c>
      <c r="I4553" s="39"/>
      <c r="J4553" s="47" t="str">
        <f>IF(tblMovimientos[[#This Row],[Tipo]]="","",IFERROR(INDEX(tblTiposMov[FactorStock],MATCH(tblMovimientos[[#This Row],[Tipo]],tblTiposMov[Tipo],0)),0))</f>
        <v/>
      </c>
      <c r="K45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3" s="37"/>
      <c r="O4553" s="37"/>
      <c r="P4553" s="37"/>
    </row>
    <row r="4554" spans="2:16" x14ac:dyDescent="0.25">
      <c r="B45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4" s="46"/>
      <c r="D4554" s="37"/>
      <c r="E4554" s="37"/>
      <c r="F4554" s="37"/>
      <c r="G4554" s="40" t="str">
        <f>IF(tblMovimientos[[#This Row],[Producto]]="","",TRIM(LEFT(tblMovimientos[[#This Row],[Producto]],FIND(" · ",tblMovimientos[[#This Row],[Producto]]&amp;" · ")-1)))</f>
        <v/>
      </c>
      <c r="H4554" s="40" t="str">
        <f>IF(tblMovimientos[[#This Row],[SKU]]="","",IFERROR(INDEX(tblProductos[Unidad],MATCH(tblMovimientos[[#This Row],[SKU]],tblProductos[SKU],0)),"?"))</f>
        <v/>
      </c>
      <c r="I4554" s="39"/>
      <c r="J4554" s="47" t="str">
        <f>IF(tblMovimientos[[#This Row],[Tipo]]="","",IFERROR(INDEX(tblTiposMov[FactorStock],MATCH(tblMovimientos[[#This Row],[Tipo]],tblTiposMov[Tipo],0)),0))</f>
        <v/>
      </c>
      <c r="K45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4" s="37"/>
      <c r="O4554" s="37"/>
      <c r="P4554" s="37"/>
    </row>
    <row r="4555" spans="2:16" x14ac:dyDescent="0.25">
      <c r="B45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5" s="46"/>
      <c r="D4555" s="37"/>
      <c r="E4555" s="37"/>
      <c r="F4555" s="37"/>
      <c r="G4555" s="40" t="str">
        <f>IF(tblMovimientos[[#This Row],[Producto]]="","",TRIM(LEFT(tblMovimientos[[#This Row],[Producto]],FIND(" · ",tblMovimientos[[#This Row],[Producto]]&amp;" · ")-1)))</f>
        <v/>
      </c>
      <c r="H4555" s="40" t="str">
        <f>IF(tblMovimientos[[#This Row],[SKU]]="","",IFERROR(INDEX(tblProductos[Unidad],MATCH(tblMovimientos[[#This Row],[SKU]],tblProductos[SKU],0)),"?"))</f>
        <v/>
      </c>
      <c r="I4555" s="39"/>
      <c r="J4555" s="47" t="str">
        <f>IF(tblMovimientos[[#This Row],[Tipo]]="","",IFERROR(INDEX(tblTiposMov[FactorStock],MATCH(tblMovimientos[[#This Row],[Tipo]],tblTiposMov[Tipo],0)),0))</f>
        <v/>
      </c>
      <c r="K45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5" s="37"/>
      <c r="O4555" s="37"/>
      <c r="P4555" s="37"/>
    </row>
    <row r="4556" spans="2:16" x14ac:dyDescent="0.25">
      <c r="B45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6" s="46"/>
      <c r="D4556" s="37"/>
      <c r="E4556" s="37"/>
      <c r="F4556" s="37"/>
      <c r="G4556" s="40" t="str">
        <f>IF(tblMovimientos[[#This Row],[Producto]]="","",TRIM(LEFT(tblMovimientos[[#This Row],[Producto]],FIND(" · ",tblMovimientos[[#This Row],[Producto]]&amp;" · ")-1)))</f>
        <v/>
      </c>
      <c r="H4556" s="40" t="str">
        <f>IF(tblMovimientos[[#This Row],[SKU]]="","",IFERROR(INDEX(tblProductos[Unidad],MATCH(tblMovimientos[[#This Row],[SKU]],tblProductos[SKU],0)),"?"))</f>
        <v/>
      </c>
      <c r="I4556" s="39"/>
      <c r="J4556" s="47" t="str">
        <f>IF(tblMovimientos[[#This Row],[Tipo]]="","",IFERROR(INDEX(tblTiposMov[FactorStock],MATCH(tblMovimientos[[#This Row],[Tipo]],tblTiposMov[Tipo],0)),0))</f>
        <v/>
      </c>
      <c r="K45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6" s="37"/>
      <c r="O4556" s="37"/>
      <c r="P4556" s="37"/>
    </row>
    <row r="4557" spans="2:16" x14ac:dyDescent="0.25">
      <c r="B45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7" s="46"/>
      <c r="D4557" s="37"/>
      <c r="E4557" s="37"/>
      <c r="F4557" s="37"/>
      <c r="G4557" s="40" t="str">
        <f>IF(tblMovimientos[[#This Row],[Producto]]="","",TRIM(LEFT(tblMovimientos[[#This Row],[Producto]],FIND(" · ",tblMovimientos[[#This Row],[Producto]]&amp;" · ")-1)))</f>
        <v/>
      </c>
      <c r="H4557" s="40" t="str">
        <f>IF(tblMovimientos[[#This Row],[SKU]]="","",IFERROR(INDEX(tblProductos[Unidad],MATCH(tblMovimientos[[#This Row],[SKU]],tblProductos[SKU],0)),"?"))</f>
        <v/>
      </c>
      <c r="I4557" s="39"/>
      <c r="J4557" s="47" t="str">
        <f>IF(tblMovimientos[[#This Row],[Tipo]]="","",IFERROR(INDEX(tblTiposMov[FactorStock],MATCH(tblMovimientos[[#This Row],[Tipo]],tblTiposMov[Tipo],0)),0))</f>
        <v/>
      </c>
      <c r="K45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7" s="37"/>
      <c r="O4557" s="37"/>
      <c r="P4557" s="37"/>
    </row>
    <row r="4558" spans="2:16" x14ac:dyDescent="0.25">
      <c r="B45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8" s="46"/>
      <c r="D4558" s="37"/>
      <c r="E4558" s="37"/>
      <c r="F4558" s="37"/>
      <c r="G4558" s="40" t="str">
        <f>IF(tblMovimientos[[#This Row],[Producto]]="","",TRIM(LEFT(tblMovimientos[[#This Row],[Producto]],FIND(" · ",tblMovimientos[[#This Row],[Producto]]&amp;" · ")-1)))</f>
        <v/>
      </c>
      <c r="H4558" s="40" t="str">
        <f>IF(tblMovimientos[[#This Row],[SKU]]="","",IFERROR(INDEX(tblProductos[Unidad],MATCH(tblMovimientos[[#This Row],[SKU]],tblProductos[SKU],0)),"?"))</f>
        <v/>
      </c>
      <c r="I4558" s="39"/>
      <c r="J4558" s="47" t="str">
        <f>IF(tblMovimientos[[#This Row],[Tipo]]="","",IFERROR(INDEX(tblTiposMov[FactorStock],MATCH(tblMovimientos[[#This Row],[Tipo]],tblTiposMov[Tipo],0)),0))</f>
        <v/>
      </c>
      <c r="K45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8" s="37"/>
      <c r="O4558" s="37"/>
      <c r="P4558" s="37"/>
    </row>
    <row r="4559" spans="2:16" x14ac:dyDescent="0.25">
      <c r="B45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59" s="46"/>
      <c r="D4559" s="37"/>
      <c r="E4559" s="37"/>
      <c r="F4559" s="37"/>
      <c r="G4559" s="40" t="str">
        <f>IF(tblMovimientos[[#This Row],[Producto]]="","",TRIM(LEFT(tblMovimientos[[#This Row],[Producto]],FIND(" · ",tblMovimientos[[#This Row],[Producto]]&amp;" · ")-1)))</f>
        <v/>
      </c>
      <c r="H4559" s="40" t="str">
        <f>IF(tblMovimientos[[#This Row],[SKU]]="","",IFERROR(INDEX(tblProductos[Unidad],MATCH(tblMovimientos[[#This Row],[SKU]],tblProductos[SKU],0)),"?"))</f>
        <v/>
      </c>
      <c r="I4559" s="39"/>
      <c r="J4559" s="47" t="str">
        <f>IF(tblMovimientos[[#This Row],[Tipo]]="","",IFERROR(INDEX(tblTiposMov[FactorStock],MATCH(tblMovimientos[[#This Row],[Tipo]],tblTiposMov[Tipo],0)),0))</f>
        <v/>
      </c>
      <c r="K45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59" s="37"/>
      <c r="O4559" s="37"/>
      <c r="P4559" s="37"/>
    </row>
    <row r="4560" spans="2:16" x14ac:dyDescent="0.25">
      <c r="B45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0" s="46"/>
      <c r="D4560" s="37"/>
      <c r="E4560" s="37"/>
      <c r="F4560" s="37"/>
      <c r="G4560" s="40" t="str">
        <f>IF(tblMovimientos[[#This Row],[Producto]]="","",TRIM(LEFT(tblMovimientos[[#This Row],[Producto]],FIND(" · ",tblMovimientos[[#This Row],[Producto]]&amp;" · ")-1)))</f>
        <v/>
      </c>
      <c r="H4560" s="40" t="str">
        <f>IF(tblMovimientos[[#This Row],[SKU]]="","",IFERROR(INDEX(tblProductos[Unidad],MATCH(tblMovimientos[[#This Row],[SKU]],tblProductos[SKU],0)),"?"))</f>
        <v/>
      </c>
      <c r="I4560" s="39"/>
      <c r="J4560" s="47" t="str">
        <f>IF(tblMovimientos[[#This Row],[Tipo]]="","",IFERROR(INDEX(tblTiposMov[FactorStock],MATCH(tblMovimientos[[#This Row],[Tipo]],tblTiposMov[Tipo],0)),0))</f>
        <v/>
      </c>
      <c r="K45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0" s="37"/>
      <c r="O4560" s="37"/>
      <c r="P4560" s="37"/>
    </row>
    <row r="4561" spans="2:16" x14ac:dyDescent="0.25">
      <c r="B45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1" s="46"/>
      <c r="D4561" s="37"/>
      <c r="E4561" s="37"/>
      <c r="F4561" s="37"/>
      <c r="G4561" s="40" t="str">
        <f>IF(tblMovimientos[[#This Row],[Producto]]="","",TRIM(LEFT(tblMovimientos[[#This Row],[Producto]],FIND(" · ",tblMovimientos[[#This Row],[Producto]]&amp;" · ")-1)))</f>
        <v/>
      </c>
      <c r="H4561" s="40" t="str">
        <f>IF(tblMovimientos[[#This Row],[SKU]]="","",IFERROR(INDEX(tblProductos[Unidad],MATCH(tblMovimientos[[#This Row],[SKU]],tblProductos[SKU],0)),"?"))</f>
        <v/>
      </c>
      <c r="I4561" s="39"/>
      <c r="J4561" s="47" t="str">
        <f>IF(tblMovimientos[[#This Row],[Tipo]]="","",IFERROR(INDEX(tblTiposMov[FactorStock],MATCH(tblMovimientos[[#This Row],[Tipo]],tblTiposMov[Tipo],0)),0))</f>
        <v/>
      </c>
      <c r="K45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1" s="37"/>
      <c r="O4561" s="37"/>
      <c r="P4561" s="37"/>
    </row>
    <row r="4562" spans="2:16" x14ac:dyDescent="0.25">
      <c r="B45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2" s="46"/>
      <c r="D4562" s="37"/>
      <c r="E4562" s="37"/>
      <c r="F4562" s="37"/>
      <c r="G4562" s="40" t="str">
        <f>IF(tblMovimientos[[#This Row],[Producto]]="","",TRIM(LEFT(tblMovimientos[[#This Row],[Producto]],FIND(" · ",tblMovimientos[[#This Row],[Producto]]&amp;" · ")-1)))</f>
        <v/>
      </c>
      <c r="H4562" s="40" t="str">
        <f>IF(tblMovimientos[[#This Row],[SKU]]="","",IFERROR(INDEX(tblProductos[Unidad],MATCH(tblMovimientos[[#This Row],[SKU]],tblProductos[SKU],0)),"?"))</f>
        <v/>
      </c>
      <c r="I4562" s="39"/>
      <c r="J4562" s="47" t="str">
        <f>IF(tblMovimientos[[#This Row],[Tipo]]="","",IFERROR(INDEX(tblTiposMov[FactorStock],MATCH(tblMovimientos[[#This Row],[Tipo]],tblTiposMov[Tipo],0)),0))</f>
        <v/>
      </c>
      <c r="K45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2" s="37"/>
      <c r="O4562" s="37"/>
      <c r="P4562" s="37"/>
    </row>
    <row r="4563" spans="2:16" x14ac:dyDescent="0.25">
      <c r="B45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3" s="46"/>
      <c r="D4563" s="37"/>
      <c r="E4563" s="37"/>
      <c r="F4563" s="37"/>
      <c r="G4563" s="40" t="str">
        <f>IF(tblMovimientos[[#This Row],[Producto]]="","",TRIM(LEFT(tblMovimientos[[#This Row],[Producto]],FIND(" · ",tblMovimientos[[#This Row],[Producto]]&amp;" · ")-1)))</f>
        <v/>
      </c>
      <c r="H4563" s="40" t="str">
        <f>IF(tblMovimientos[[#This Row],[SKU]]="","",IFERROR(INDEX(tblProductos[Unidad],MATCH(tblMovimientos[[#This Row],[SKU]],tblProductos[SKU],0)),"?"))</f>
        <v/>
      </c>
      <c r="I4563" s="39"/>
      <c r="J4563" s="47" t="str">
        <f>IF(tblMovimientos[[#This Row],[Tipo]]="","",IFERROR(INDEX(tblTiposMov[FactorStock],MATCH(tblMovimientos[[#This Row],[Tipo]],tblTiposMov[Tipo],0)),0))</f>
        <v/>
      </c>
      <c r="K45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3" s="37"/>
      <c r="O4563" s="37"/>
      <c r="P4563" s="37"/>
    </row>
    <row r="4564" spans="2:16" x14ac:dyDescent="0.25">
      <c r="B45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4" s="46"/>
      <c r="D4564" s="37"/>
      <c r="E4564" s="37"/>
      <c r="F4564" s="37"/>
      <c r="G4564" s="40" t="str">
        <f>IF(tblMovimientos[[#This Row],[Producto]]="","",TRIM(LEFT(tblMovimientos[[#This Row],[Producto]],FIND(" · ",tblMovimientos[[#This Row],[Producto]]&amp;" · ")-1)))</f>
        <v/>
      </c>
      <c r="H4564" s="40" t="str">
        <f>IF(tblMovimientos[[#This Row],[SKU]]="","",IFERROR(INDEX(tblProductos[Unidad],MATCH(tblMovimientos[[#This Row],[SKU]],tblProductos[SKU],0)),"?"))</f>
        <v/>
      </c>
      <c r="I4564" s="39"/>
      <c r="J4564" s="47" t="str">
        <f>IF(tblMovimientos[[#This Row],[Tipo]]="","",IFERROR(INDEX(tblTiposMov[FactorStock],MATCH(tblMovimientos[[#This Row],[Tipo]],tblTiposMov[Tipo],0)),0))</f>
        <v/>
      </c>
      <c r="K45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4" s="37"/>
      <c r="O4564" s="37"/>
      <c r="P4564" s="37"/>
    </row>
    <row r="4565" spans="2:16" x14ac:dyDescent="0.25">
      <c r="B45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5" s="46"/>
      <c r="D4565" s="37"/>
      <c r="E4565" s="37"/>
      <c r="F4565" s="37"/>
      <c r="G4565" s="40" t="str">
        <f>IF(tblMovimientos[[#This Row],[Producto]]="","",TRIM(LEFT(tblMovimientos[[#This Row],[Producto]],FIND(" · ",tblMovimientos[[#This Row],[Producto]]&amp;" · ")-1)))</f>
        <v/>
      </c>
      <c r="H4565" s="40" t="str">
        <f>IF(tblMovimientos[[#This Row],[SKU]]="","",IFERROR(INDEX(tblProductos[Unidad],MATCH(tblMovimientos[[#This Row],[SKU]],tblProductos[SKU],0)),"?"))</f>
        <v/>
      </c>
      <c r="I4565" s="39"/>
      <c r="J4565" s="47" t="str">
        <f>IF(tblMovimientos[[#This Row],[Tipo]]="","",IFERROR(INDEX(tblTiposMov[FactorStock],MATCH(tblMovimientos[[#This Row],[Tipo]],tblTiposMov[Tipo],0)),0))</f>
        <v/>
      </c>
      <c r="K45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5" s="37"/>
      <c r="O4565" s="37"/>
      <c r="P4565" s="37"/>
    </row>
    <row r="4566" spans="2:16" x14ac:dyDescent="0.25">
      <c r="B45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6" s="46"/>
      <c r="D4566" s="37"/>
      <c r="E4566" s="37"/>
      <c r="F4566" s="37"/>
      <c r="G4566" s="40" t="str">
        <f>IF(tblMovimientos[[#This Row],[Producto]]="","",TRIM(LEFT(tblMovimientos[[#This Row],[Producto]],FIND(" · ",tblMovimientos[[#This Row],[Producto]]&amp;" · ")-1)))</f>
        <v/>
      </c>
      <c r="H4566" s="40" t="str">
        <f>IF(tblMovimientos[[#This Row],[SKU]]="","",IFERROR(INDEX(tblProductos[Unidad],MATCH(tblMovimientos[[#This Row],[SKU]],tblProductos[SKU],0)),"?"))</f>
        <v/>
      </c>
      <c r="I4566" s="39"/>
      <c r="J4566" s="47" t="str">
        <f>IF(tblMovimientos[[#This Row],[Tipo]]="","",IFERROR(INDEX(tblTiposMov[FactorStock],MATCH(tblMovimientos[[#This Row],[Tipo]],tblTiposMov[Tipo],0)),0))</f>
        <v/>
      </c>
      <c r="K45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6" s="37"/>
      <c r="O4566" s="37"/>
      <c r="P4566" s="37"/>
    </row>
    <row r="4567" spans="2:16" x14ac:dyDescent="0.25">
      <c r="B45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7" s="46"/>
      <c r="D4567" s="37"/>
      <c r="E4567" s="37"/>
      <c r="F4567" s="37"/>
      <c r="G4567" s="40" t="str">
        <f>IF(tblMovimientos[[#This Row],[Producto]]="","",TRIM(LEFT(tblMovimientos[[#This Row],[Producto]],FIND(" · ",tblMovimientos[[#This Row],[Producto]]&amp;" · ")-1)))</f>
        <v/>
      </c>
      <c r="H4567" s="40" t="str">
        <f>IF(tblMovimientos[[#This Row],[SKU]]="","",IFERROR(INDEX(tblProductos[Unidad],MATCH(tblMovimientos[[#This Row],[SKU]],tblProductos[SKU],0)),"?"))</f>
        <v/>
      </c>
      <c r="I4567" s="39"/>
      <c r="J4567" s="47" t="str">
        <f>IF(tblMovimientos[[#This Row],[Tipo]]="","",IFERROR(INDEX(tblTiposMov[FactorStock],MATCH(tblMovimientos[[#This Row],[Tipo]],tblTiposMov[Tipo],0)),0))</f>
        <v/>
      </c>
      <c r="K45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7" s="37"/>
      <c r="O4567" s="37"/>
      <c r="P4567" s="37"/>
    </row>
    <row r="4568" spans="2:16" x14ac:dyDescent="0.25">
      <c r="B45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8" s="46"/>
      <c r="D4568" s="37"/>
      <c r="E4568" s="37"/>
      <c r="F4568" s="37"/>
      <c r="G4568" s="40" t="str">
        <f>IF(tblMovimientos[[#This Row],[Producto]]="","",TRIM(LEFT(tblMovimientos[[#This Row],[Producto]],FIND(" · ",tblMovimientos[[#This Row],[Producto]]&amp;" · ")-1)))</f>
        <v/>
      </c>
      <c r="H4568" s="40" t="str">
        <f>IF(tblMovimientos[[#This Row],[SKU]]="","",IFERROR(INDEX(tblProductos[Unidad],MATCH(tblMovimientos[[#This Row],[SKU]],tblProductos[SKU],0)),"?"))</f>
        <v/>
      </c>
      <c r="I4568" s="39"/>
      <c r="J4568" s="47" t="str">
        <f>IF(tblMovimientos[[#This Row],[Tipo]]="","",IFERROR(INDEX(tblTiposMov[FactorStock],MATCH(tblMovimientos[[#This Row],[Tipo]],tblTiposMov[Tipo],0)),0))</f>
        <v/>
      </c>
      <c r="K45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8" s="37"/>
      <c r="O4568" s="37"/>
      <c r="P4568" s="37"/>
    </row>
    <row r="4569" spans="2:16" x14ac:dyDescent="0.25">
      <c r="B45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69" s="46"/>
      <c r="D4569" s="37"/>
      <c r="E4569" s="37"/>
      <c r="F4569" s="37"/>
      <c r="G4569" s="40" t="str">
        <f>IF(tblMovimientos[[#This Row],[Producto]]="","",TRIM(LEFT(tblMovimientos[[#This Row],[Producto]],FIND(" · ",tblMovimientos[[#This Row],[Producto]]&amp;" · ")-1)))</f>
        <v/>
      </c>
      <c r="H4569" s="40" t="str">
        <f>IF(tblMovimientos[[#This Row],[SKU]]="","",IFERROR(INDEX(tblProductos[Unidad],MATCH(tblMovimientos[[#This Row],[SKU]],tblProductos[SKU],0)),"?"))</f>
        <v/>
      </c>
      <c r="I4569" s="39"/>
      <c r="J4569" s="47" t="str">
        <f>IF(tblMovimientos[[#This Row],[Tipo]]="","",IFERROR(INDEX(tblTiposMov[FactorStock],MATCH(tblMovimientos[[#This Row],[Tipo]],tblTiposMov[Tipo],0)),0))</f>
        <v/>
      </c>
      <c r="K45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69" s="37"/>
      <c r="O4569" s="37"/>
      <c r="P4569" s="37"/>
    </row>
    <row r="4570" spans="2:16" x14ac:dyDescent="0.25">
      <c r="B45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0" s="46"/>
      <c r="D4570" s="37"/>
      <c r="E4570" s="37"/>
      <c r="F4570" s="37"/>
      <c r="G4570" s="40" t="str">
        <f>IF(tblMovimientos[[#This Row],[Producto]]="","",TRIM(LEFT(tblMovimientos[[#This Row],[Producto]],FIND(" · ",tblMovimientos[[#This Row],[Producto]]&amp;" · ")-1)))</f>
        <v/>
      </c>
      <c r="H4570" s="40" t="str">
        <f>IF(tblMovimientos[[#This Row],[SKU]]="","",IFERROR(INDEX(tblProductos[Unidad],MATCH(tblMovimientos[[#This Row],[SKU]],tblProductos[SKU],0)),"?"))</f>
        <v/>
      </c>
      <c r="I4570" s="39"/>
      <c r="J4570" s="47" t="str">
        <f>IF(tblMovimientos[[#This Row],[Tipo]]="","",IFERROR(INDEX(tblTiposMov[FactorStock],MATCH(tblMovimientos[[#This Row],[Tipo]],tblTiposMov[Tipo],0)),0))</f>
        <v/>
      </c>
      <c r="K45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0" s="37"/>
      <c r="O4570" s="37"/>
      <c r="P4570" s="37"/>
    </row>
    <row r="4571" spans="2:16" x14ac:dyDescent="0.25">
      <c r="B45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1" s="46"/>
      <c r="D4571" s="37"/>
      <c r="E4571" s="37"/>
      <c r="F4571" s="37"/>
      <c r="G4571" s="40" t="str">
        <f>IF(tblMovimientos[[#This Row],[Producto]]="","",TRIM(LEFT(tblMovimientos[[#This Row],[Producto]],FIND(" · ",tblMovimientos[[#This Row],[Producto]]&amp;" · ")-1)))</f>
        <v/>
      </c>
      <c r="H4571" s="40" t="str">
        <f>IF(tblMovimientos[[#This Row],[SKU]]="","",IFERROR(INDEX(tblProductos[Unidad],MATCH(tblMovimientos[[#This Row],[SKU]],tblProductos[SKU],0)),"?"))</f>
        <v/>
      </c>
      <c r="I4571" s="39"/>
      <c r="J4571" s="47" t="str">
        <f>IF(tblMovimientos[[#This Row],[Tipo]]="","",IFERROR(INDEX(tblTiposMov[FactorStock],MATCH(tblMovimientos[[#This Row],[Tipo]],tblTiposMov[Tipo],0)),0))</f>
        <v/>
      </c>
      <c r="K45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1" s="37"/>
      <c r="O4571" s="37"/>
      <c r="P4571" s="37"/>
    </row>
    <row r="4572" spans="2:16" x14ac:dyDescent="0.25">
      <c r="B45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2" s="46"/>
      <c r="D4572" s="37"/>
      <c r="E4572" s="37"/>
      <c r="F4572" s="37"/>
      <c r="G4572" s="40" t="str">
        <f>IF(tblMovimientos[[#This Row],[Producto]]="","",TRIM(LEFT(tblMovimientos[[#This Row],[Producto]],FIND(" · ",tblMovimientos[[#This Row],[Producto]]&amp;" · ")-1)))</f>
        <v/>
      </c>
      <c r="H4572" s="40" t="str">
        <f>IF(tblMovimientos[[#This Row],[SKU]]="","",IFERROR(INDEX(tblProductos[Unidad],MATCH(tblMovimientos[[#This Row],[SKU]],tblProductos[SKU],0)),"?"))</f>
        <v/>
      </c>
      <c r="I4572" s="39"/>
      <c r="J4572" s="47" t="str">
        <f>IF(tblMovimientos[[#This Row],[Tipo]]="","",IFERROR(INDEX(tblTiposMov[FactorStock],MATCH(tblMovimientos[[#This Row],[Tipo]],tblTiposMov[Tipo],0)),0))</f>
        <v/>
      </c>
      <c r="K45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2" s="37"/>
      <c r="O4572" s="37"/>
      <c r="P4572" s="37"/>
    </row>
    <row r="4573" spans="2:16" x14ac:dyDescent="0.25">
      <c r="B45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3" s="46"/>
      <c r="D4573" s="37"/>
      <c r="E4573" s="37"/>
      <c r="F4573" s="37"/>
      <c r="G4573" s="40" t="str">
        <f>IF(tblMovimientos[[#This Row],[Producto]]="","",TRIM(LEFT(tblMovimientos[[#This Row],[Producto]],FIND(" · ",tblMovimientos[[#This Row],[Producto]]&amp;" · ")-1)))</f>
        <v/>
      </c>
      <c r="H4573" s="40" t="str">
        <f>IF(tblMovimientos[[#This Row],[SKU]]="","",IFERROR(INDEX(tblProductos[Unidad],MATCH(tblMovimientos[[#This Row],[SKU]],tblProductos[SKU],0)),"?"))</f>
        <v/>
      </c>
      <c r="I4573" s="39"/>
      <c r="J4573" s="47" t="str">
        <f>IF(tblMovimientos[[#This Row],[Tipo]]="","",IFERROR(INDEX(tblTiposMov[FactorStock],MATCH(tblMovimientos[[#This Row],[Tipo]],tblTiposMov[Tipo],0)),0))</f>
        <v/>
      </c>
      <c r="K45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3" s="37"/>
      <c r="O4573" s="37"/>
      <c r="P4573" s="37"/>
    </row>
    <row r="4574" spans="2:16" x14ac:dyDescent="0.25">
      <c r="B45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4" s="46"/>
      <c r="D4574" s="37"/>
      <c r="E4574" s="37"/>
      <c r="F4574" s="37"/>
      <c r="G4574" s="40" t="str">
        <f>IF(tblMovimientos[[#This Row],[Producto]]="","",TRIM(LEFT(tblMovimientos[[#This Row],[Producto]],FIND(" · ",tblMovimientos[[#This Row],[Producto]]&amp;" · ")-1)))</f>
        <v/>
      </c>
      <c r="H4574" s="40" t="str">
        <f>IF(tblMovimientos[[#This Row],[SKU]]="","",IFERROR(INDEX(tblProductos[Unidad],MATCH(tblMovimientos[[#This Row],[SKU]],tblProductos[SKU],0)),"?"))</f>
        <v/>
      </c>
      <c r="I4574" s="39"/>
      <c r="J4574" s="47" t="str">
        <f>IF(tblMovimientos[[#This Row],[Tipo]]="","",IFERROR(INDEX(tblTiposMov[FactorStock],MATCH(tblMovimientos[[#This Row],[Tipo]],tblTiposMov[Tipo],0)),0))</f>
        <v/>
      </c>
      <c r="K45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4" s="37"/>
      <c r="O4574" s="37"/>
      <c r="P4574" s="37"/>
    </row>
    <row r="4575" spans="2:16" x14ac:dyDescent="0.25">
      <c r="B45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5" s="46"/>
      <c r="D4575" s="37"/>
      <c r="E4575" s="37"/>
      <c r="F4575" s="37"/>
      <c r="G4575" s="40" t="str">
        <f>IF(tblMovimientos[[#This Row],[Producto]]="","",TRIM(LEFT(tblMovimientos[[#This Row],[Producto]],FIND(" · ",tblMovimientos[[#This Row],[Producto]]&amp;" · ")-1)))</f>
        <v/>
      </c>
      <c r="H4575" s="40" t="str">
        <f>IF(tblMovimientos[[#This Row],[SKU]]="","",IFERROR(INDEX(tblProductos[Unidad],MATCH(tblMovimientos[[#This Row],[SKU]],tblProductos[SKU],0)),"?"))</f>
        <v/>
      </c>
      <c r="I4575" s="39"/>
      <c r="J4575" s="47" t="str">
        <f>IF(tblMovimientos[[#This Row],[Tipo]]="","",IFERROR(INDEX(tblTiposMov[FactorStock],MATCH(tblMovimientos[[#This Row],[Tipo]],tblTiposMov[Tipo],0)),0))</f>
        <v/>
      </c>
      <c r="K45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5" s="37"/>
      <c r="O4575" s="37"/>
      <c r="P4575" s="37"/>
    </row>
    <row r="4576" spans="2:16" x14ac:dyDescent="0.25">
      <c r="B45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6" s="46"/>
      <c r="D4576" s="37"/>
      <c r="E4576" s="37"/>
      <c r="F4576" s="37"/>
      <c r="G4576" s="40" t="str">
        <f>IF(tblMovimientos[[#This Row],[Producto]]="","",TRIM(LEFT(tblMovimientos[[#This Row],[Producto]],FIND(" · ",tblMovimientos[[#This Row],[Producto]]&amp;" · ")-1)))</f>
        <v/>
      </c>
      <c r="H4576" s="40" t="str">
        <f>IF(tblMovimientos[[#This Row],[SKU]]="","",IFERROR(INDEX(tblProductos[Unidad],MATCH(tblMovimientos[[#This Row],[SKU]],tblProductos[SKU],0)),"?"))</f>
        <v/>
      </c>
      <c r="I4576" s="39"/>
      <c r="J4576" s="47" t="str">
        <f>IF(tblMovimientos[[#This Row],[Tipo]]="","",IFERROR(INDEX(tblTiposMov[FactorStock],MATCH(tblMovimientos[[#This Row],[Tipo]],tblTiposMov[Tipo],0)),0))</f>
        <v/>
      </c>
      <c r="K45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6" s="37"/>
      <c r="O4576" s="37"/>
      <c r="P4576" s="37"/>
    </row>
    <row r="4577" spans="2:16" x14ac:dyDescent="0.25">
      <c r="B45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7" s="46"/>
      <c r="D4577" s="37"/>
      <c r="E4577" s="37"/>
      <c r="F4577" s="37"/>
      <c r="G4577" s="40" t="str">
        <f>IF(tblMovimientos[[#This Row],[Producto]]="","",TRIM(LEFT(tblMovimientos[[#This Row],[Producto]],FIND(" · ",tblMovimientos[[#This Row],[Producto]]&amp;" · ")-1)))</f>
        <v/>
      </c>
      <c r="H4577" s="40" t="str">
        <f>IF(tblMovimientos[[#This Row],[SKU]]="","",IFERROR(INDEX(tblProductos[Unidad],MATCH(tblMovimientos[[#This Row],[SKU]],tblProductos[SKU],0)),"?"))</f>
        <v/>
      </c>
      <c r="I4577" s="39"/>
      <c r="J4577" s="47" t="str">
        <f>IF(tblMovimientos[[#This Row],[Tipo]]="","",IFERROR(INDEX(tblTiposMov[FactorStock],MATCH(tblMovimientos[[#This Row],[Tipo]],tblTiposMov[Tipo],0)),0))</f>
        <v/>
      </c>
      <c r="K45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7" s="37"/>
      <c r="O4577" s="37"/>
      <c r="P4577" s="37"/>
    </row>
    <row r="4578" spans="2:16" x14ac:dyDescent="0.25">
      <c r="B45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8" s="46"/>
      <c r="D4578" s="37"/>
      <c r="E4578" s="37"/>
      <c r="F4578" s="37"/>
      <c r="G4578" s="40" t="str">
        <f>IF(tblMovimientos[[#This Row],[Producto]]="","",TRIM(LEFT(tblMovimientos[[#This Row],[Producto]],FIND(" · ",tblMovimientos[[#This Row],[Producto]]&amp;" · ")-1)))</f>
        <v/>
      </c>
      <c r="H4578" s="40" t="str">
        <f>IF(tblMovimientos[[#This Row],[SKU]]="","",IFERROR(INDEX(tblProductos[Unidad],MATCH(tblMovimientos[[#This Row],[SKU]],tblProductos[SKU],0)),"?"))</f>
        <v/>
      </c>
      <c r="I4578" s="39"/>
      <c r="J4578" s="47" t="str">
        <f>IF(tblMovimientos[[#This Row],[Tipo]]="","",IFERROR(INDEX(tblTiposMov[FactorStock],MATCH(tblMovimientos[[#This Row],[Tipo]],tblTiposMov[Tipo],0)),0))</f>
        <v/>
      </c>
      <c r="K45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8" s="37"/>
      <c r="O4578" s="37"/>
      <c r="P4578" s="37"/>
    </row>
    <row r="4579" spans="2:16" x14ac:dyDescent="0.25">
      <c r="B45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79" s="46"/>
      <c r="D4579" s="37"/>
      <c r="E4579" s="37"/>
      <c r="F4579" s="37"/>
      <c r="G4579" s="40" t="str">
        <f>IF(tblMovimientos[[#This Row],[Producto]]="","",TRIM(LEFT(tblMovimientos[[#This Row],[Producto]],FIND(" · ",tblMovimientos[[#This Row],[Producto]]&amp;" · ")-1)))</f>
        <v/>
      </c>
      <c r="H4579" s="40" t="str">
        <f>IF(tblMovimientos[[#This Row],[SKU]]="","",IFERROR(INDEX(tblProductos[Unidad],MATCH(tblMovimientos[[#This Row],[SKU]],tblProductos[SKU],0)),"?"))</f>
        <v/>
      </c>
      <c r="I4579" s="39"/>
      <c r="J4579" s="47" t="str">
        <f>IF(tblMovimientos[[#This Row],[Tipo]]="","",IFERROR(INDEX(tblTiposMov[FactorStock],MATCH(tblMovimientos[[#This Row],[Tipo]],tblTiposMov[Tipo],0)),0))</f>
        <v/>
      </c>
      <c r="K45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79" s="37"/>
      <c r="O4579" s="37"/>
      <c r="P4579" s="37"/>
    </row>
    <row r="4580" spans="2:16" x14ac:dyDescent="0.25">
      <c r="B45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0" s="46"/>
      <c r="D4580" s="37"/>
      <c r="E4580" s="37"/>
      <c r="F4580" s="37"/>
      <c r="G4580" s="40" t="str">
        <f>IF(tblMovimientos[[#This Row],[Producto]]="","",TRIM(LEFT(tblMovimientos[[#This Row],[Producto]],FIND(" · ",tblMovimientos[[#This Row],[Producto]]&amp;" · ")-1)))</f>
        <v/>
      </c>
      <c r="H4580" s="40" t="str">
        <f>IF(tblMovimientos[[#This Row],[SKU]]="","",IFERROR(INDEX(tblProductos[Unidad],MATCH(tblMovimientos[[#This Row],[SKU]],tblProductos[SKU],0)),"?"))</f>
        <v/>
      </c>
      <c r="I4580" s="39"/>
      <c r="J4580" s="47" t="str">
        <f>IF(tblMovimientos[[#This Row],[Tipo]]="","",IFERROR(INDEX(tblTiposMov[FactorStock],MATCH(tblMovimientos[[#This Row],[Tipo]],tblTiposMov[Tipo],0)),0))</f>
        <v/>
      </c>
      <c r="K45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0" s="37"/>
      <c r="O4580" s="37"/>
      <c r="P4580" s="37"/>
    </row>
    <row r="4581" spans="2:16" x14ac:dyDescent="0.25">
      <c r="B45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1" s="46"/>
      <c r="D4581" s="37"/>
      <c r="E4581" s="37"/>
      <c r="F4581" s="37"/>
      <c r="G4581" s="40" t="str">
        <f>IF(tblMovimientos[[#This Row],[Producto]]="","",TRIM(LEFT(tblMovimientos[[#This Row],[Producto]],FIND(" · ",tblMovimientos[[#This Row],[Producto]]&amp;" · ")-1)))</f>
        <v/>
      </c>
      <c r="H4581" s="40" t="str">
        <f>IF(tblMovimientos[[#This Row],[SKU]]="","",IFERROR(INDEX(tblProductos[Unidad],MATCH(tblMovimientos[[#This Row],[SKU]],tblProductos[SKU],0)),"?"))</f>
        <v/>
      </c>
      <c r="I4581" s="39"/>
      <c r="J4581" s="47" t="str">
        <f>IF(tblMovimientos[[#This Row],[Tipo]]="","",IFERROR(INDEX(tblTiposMov[FactorStock],MATCH(tblMovimientos[[#This Row],[Tipo]],tblTiposMov[Tipo],0)),0))</f>
        <v/>
      </c>
      <c r="K45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1" s="37"/>
      <c r="O4581" s="37"/>
      <c r="P4581" s="37"/>
    </row>
    <row r="4582" spans="2:16" x14ac:dyDescent="0.25">
      <c r="B45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2" s="46"/>
      <c r="D4582" s="37"/>
      <c r="E4582" s="37"/>
      <c r="F4582" s="37"/>
      <c r="G4582" s="40" t="str">
        <f>IF(tblMovimientos[[#This Row],[Producto]]="","",TRIM(LEFT(tblMovimientos[[#This Row],[Producto]],FIND(" · ",tblMovimientos[[#This Row],[Producto]]&amp;" · ")-1)))</f>
        <v/>
      </c>
      <c r="H4582" s="40" t="str">
        <f>IF(tblMovimientos[[#This Row],[SKU]]="","",IFERROR(INDEX(tblProductos[Unidad],MATCH(tblMovimientos[[#This Row],[SKU]],tblProductos[SKU],0)),"?"))</f>
        <v/>
      </c>
      <c r="I4582" s="39"/>
      <c r="J4582" s="47" t="str">
        <f>IF(tblMovimientos[[#This Row],[Tipo]]="","",IFERROR(INDEX(tblTiposMov[FactorStock],MATCH(tblMovimientos[[#This Row],[Tipo]],tblTiposMov[Tipo],0)),0))</f>
        <v/>
      </c>
      <c r="K45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2" s="37"/>
      <c r="O4582" s="37"/>
      <c r="P4582" s="37"/>
    </row>
    <row r="4583" spans="2:16" x14ac:dyDescent="0.25">
      <c r="B45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3" s="46"/>
      <c r="D4583" s="37"/>
      <c r="E4583" s="37"/>
      <c r="F4583" s="37"/>
      <c r="G4583" s="40" t="str">
        <f>IF(tblMovimientos[[#This Row],[Producto]]="","",TRIM(LEFT(tblMovimientos[[#This Row],[Producto]],FIND(" · ",tblMovimientos[[#This Row],[Producto]]&amp;" · ")-1)))</f>
        <v/>
      </c>
      <c r="H4583" s="40" t="str">
        <f>IF(tblMovimientos[[#This Row],[SKU]]="","",IFERROR(INDEX(tblProductos[Unidad],MATCH(tblMovimientos[[#This Row],[SKU]],tblProductos[SKU],0)),"?"))</f>
        <v/>
      </c>
      <c r="I4583" s="39"/>
      <c r="J4583" s="47" t="str">
        <f>IF(tblMovimientos[[#This Row],[Tipo]]="","",IFERROR(INDEX(tblTiposMov[FactorStock],MATCH(tblMovimientos[[#This Row],[Tipo]],tblTiposMov[Tipo],0)),0))</f>
        <v/>
      </c>
      <c r="K45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3" s="37"/>
      <c r="O4583" s="37"/>
      <c r="P4583" s="37"/>
    </row>
    <row r="4584" spans="2:16" x14ac:dyDescent="0.25">
      <c r="B45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4" s="46"/>
      <c r="D4584" s="37"/>
      <c r="E4584" s="37"/>
      <c r="F4584" s="37"/>
      <c r="G4584" s="40" t="str">
        <f>IF(tblMovimientos[[#This Row],[Producto]]="","",TRIM(LEFT(tblMovimientos[[#This Row],[Producto]],FIND(" · ",tblMovimientos[[#This Row],[Producto]]&amp;" · ")-1)))</f>
        <v/>
      </c>
      <c r="H4584" s="40" t="str">
        <f>IF(tblMovimientos[[#This Row],[SKU]]="","",IFERROR(INDEX(tblProductos[Unidad],MATCH(tblMovimientos[[#This Row],[SKU]],tblProductos[SKU],0)),"?"))</f>
        <v/>
      </c>
      <c r="I4584" s="39"/>
      <c r="J4584" s="47" t="str">
        <f>IF(tblMovimientos[[#This Row],[Tipo]]="","",IFERROR(INDEX(tblTiposMov[FactorStock],MATCH(tblMovimientos[[#This Row],[Tipo]],tblTiposMov[Tipo],0)),0))</f>
        <v/>
      </c>
      <c r="K45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4" s="37"/>
      <c r="O4584" s="37"/>
      <c r="P4584" s="37"/>
    </row>
    <row r="4585" spans="2:16" x14ac:dyDescent="0.25">
      <c r="B45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5" s="46"/>
      <c r="D4585" s="37"/>
      <c r="E4585" s="37"/>
      <c r="F4585" s="37"/>
      <c r="G4585" s="40" t="str">
        <f>IF(tblMovimientos[[#This Row],[Producto]]="","",TRIM(LEFT(tblMovimientos[[#This Row],[Producto]],FIND(" · ",tblMovimientos[[#This Row],[Producto]]&amp;" · ")-1)))</f>
        <v/>
      </c>
      <c r="H4585" s="40" t="str">
        <f>IF(tblMovimientos[[#This Row],[SKU]]="","",IFERROR(INDEX(tblProductos[Unidad],MATCH(tblMovimientos[[#This Row],[SKU]],tblProductos[SKU],0)),"?"))</f>
        <v/>
      </c>
      <c r="I4585" s="39"/>
      <c r="J4585" s="47" t="str">
        <f>IF(tblMovimientos[[#This Row],[Tipo]]="","",IFERROR(INDEX(tblTiposMov[FactorStock],MATCH(tblMovimientos[[#This Row],[Tipo]],tblTiposMov[Tipo],0)),0))</f>
        <v/>
      </c>
      <c r="K45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5" s="37"/>
      <c r="O4585" s="37"/>
      <c r="P4585" s="37"/>
    </row>
    <row r="4586" spans="2:16" x14ac:dyDescent="0.25">
      <c r="B45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6" s="46"/>
      <c r="D4586" s="37"/>
      <c r="E4586" s="37"/>
      <c r="F4586" s="37"/>
      <c r="G4586" s="40" t="str">
        <f>IF(tblMovimientos[[#This Row],[Producto]]="","",TRIM(LEFT(tblMovimientos[[#This Row],[Producto]],FIND(" · ",tblMovimientos[[#This Row],[Producto]]&amp;" · ")-1)))</f>
        <v/>
      </c>
      <c r="H4586" s="40" t="str">
        <f>IF(tblMovimientos[[#This Row],[SKU]]="","",IFERROR(INDEX(tblProductos[Unidad],MATCH(tblMovimientos[[#This Row],[SKU]],tblProductos[SKU],0)),"?"))</f>
        <v/>
      </c>
      <c r="I4586" s="39"/>
      <c r="J4586" s="47" t="str">
        <f>IF(tblMovimientos[[#This Row],[Tipo]]="","",IFERROR(INDEX(tblTiposMov[FactorStock],MATCH(tblMovimientos[[#This Row],[Tipo]],tblTiposMov[Tipo],0)),0))</f>
        <v/>
      </c>
      <c r="K45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6" s="37"/>
      <c r="O4586" s="37"/>
      <c r="P4586" s="37"/>
    </row>
    <row r="4587" spans="2:16" x14ac:dyDescent="0.25">
      <c r="B45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7" s="46"/>
      <c r="D4587" s="37"/>
      <c r="E4587" s="37"/>
      <c r="F4587" s="37"/>
      <c r="G4587" s="40" t="str">
        <f>IF(tblMovimientos[[#This Row],[Producto]]="","",TRIM(LEFT(tblMovimientos[[#This Row],[Producto]],FIND(" · ",tblMovimientos[[#This Row],[Producto]]&amp;" · ")-1)))</f>
        <v/>
      </c>
      <c r="H4587" s="40" t="str">
        <f>IF(tblMovimientos[[#This Row],[SKU]]="","",IFERROR(INDEX(tblProductos[Unidad],MATCH(tblMovimientos[[#This Row],[SKU]],tblProductos[SKU],0)),"?"))</f>
        <v/>
      </c>
      <c r="I4587" s="39"/>
      <c r="J4587" s="47" t="str">
        <f>IF(tblMovimientos[[#This Row],[Tipo]]="","",IFERROR(INDEX(tblTiposMov[FactorStock],MATCH(tblMovimientos[[#This Row],[Tipo]],tblTiposMov[Tipo],0)),0))</f>
        <v/>
      </c>
      <c r="K45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7" s="37"/>
      <c r="O4587" s="37"/>
      <c r="P4587" s="37"/>
    </row>
    <row r="4588" spans="2:16" x14ac:dyDescent="0.25">
      <c r="B45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8" s="46"/>
      <c r="D4588" s="37"/>
      <c r="E4588" s="37"/>
      <c r="F4588" s="37"/>
      <c r="G4588" s="40" t="str">
        <f>IF(tblMovimientos[[#This Row],[Producto]]="","",TRIM(LEFT(tblMovimientos[[#This Row],[Producto]],FIND(" · ",tblMovimientos[[#This Row],[Producto]]&amp;" · ")-1)))</f>
        <v/>
      </c>
      <c r="H4588" s="40" t="str">
        <f>IF(tblMovimientos[[#This Row],[SKU]]="","",IFERROR(INDEX(tblProductos[Unidad],MATCH(tblMovimientos[[#This Row],[SKU]],tblProductos[SKU],0)),"?"))</f>
        <v/>
      </c>
      <c r="I4588" s="39"/>
      <c r="J4588" s="47" t="str">
        <f>IF(tblMovimientos[[#This Row],[Tipo]]="","",IFERROR(INDEX(tblTiposMov[FactorStock],MATCH(tblMovimientos[[#This Row],[Tipo]],tblTiposMov[Tipo],0)),0))</f>
        <v/>
      </c>
      <c r="K45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8" s="37"/>
      <c r="O4588" s="37"/>
      <c r="P4588" s="37"/>
    </row>
    <row r="4589" spans="2:16" x14ac:dyDescent="0.25">
      <c r="B45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89" s="46"/>
      <c r="D4589" s="37"/>
      <c r="E4589" s="37"/>
      <c r="F4589" s="37"/>
      <c r="G4589" s="40" t="str">
        <f>IF(tblMovimientos[[#This Row],[Producto]]="","",TRIM(LEFT(tblMovimientos[[#This Row],[Producto]],FIND(" · ",tblMovimientos[[#This Row],[Producto]]&amp;" · ")-1)))</f>
        <v/>
      </c>
      <c r="H4589" s="40" t="str">
        <f>IF(tblMovimientos[[#This Row],[SKU]]="","",IFERROR(INDEX(tblProductos[Unidad],MATCH(tblMovimientos[[#This Row],[SKU]],tblProductos[SKU],0)),"?"))</f>
        <v/>
      </c>
      <c r="I4589" s="39"/>
      <c r="J4589" s="47" t="str">
        <f>IF(tblMovimientos[[#This Row],[Tipo]]="","",IFERROR(INDEX(tblTiposMov[FactorStock],MATCH(tblMovimientos[[#This Row],[Tipo]],tblTiposMov[Tipo],0)),0))</f>
        <v/>
      </c>
      <c r="K45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89" s="37"/>
      <c r="O4589" s="37"/>
      <c r="P4589" s="37"/>
    </row>
    <row r="4590" spans="2:16" x14ac:dyDescent="0.25">
      <c r="B45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0" s="46"/>
      <c r="D4590" s="37"/>
      <c r="E4590" s="37"/>
      <c r="F4590" s="37"/>
      <c r="G4590" s="40" t="str">
        <f>IF(tblMovimientos[[#This Row],[Producto]]="","",TRIM(LEFT(tblMovimientos[[#This Row],[Producto]],FIND(" · ",tblMovimientos[[#This Row],[Producto]]&amp;" · ")-1)))</f>
        <v/>
      </c>
      <c r="H4590" s="40" t="str">
        <f>IF(tblMovimientos[[#This Row],[SKU]]="","",IFERROR(INDEX(tblProductos[Unidad],MATCH(tblMovimientos[[#This Row],[SKU]],tblProductos[SKU],0)),"?"))</f>
        <v/>
      </c>
      <c r="I4590" s="39"/>
      <c r="J4590" s="47" t="str">
        <f>IF(tblMovimientos[[#This Row],[Tipo]]="","",IFERROR(INDEX(tblTiposMov[FactorStock],MATCH(tblMovimientos[[#This Row],[Tipo]],tblTiposMov[Tipo],0)),0))</f>
        <v/>
      </c>
      <c r="K45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0" s="37"/>
      <c r="O4590" s="37"/>
      <c r="P4590" s="37"/>
    </row>
    <row r="4591" spans="2:16" x14ac:dyDescent="0.25">
      <c r="B45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1" s="46"/>
      <c r="D4591" s="37"/>
      <c r="E4591" s="37"/>
      <c r="F4591" s="37"/>
      <c r="G4591" s="40" t="str">
        <f>IF(tblMovimientos[[#This Row],[Producto]]="","",TRIM(LEFT(tblMovimientos[[#This Row],[Producto]],FIND(" · ",tblMovimientos[[#This Row],[Producto]]&amp;" · ")-1)))</f>
        <v/>
      </c>
      <c r="H4591" s="40" t="str">
        <f>IF(tblMovimientos[[#This Row],[SKU]]="","",IFERROR(INDEX(tblProductos[Unidad],MATCH(tblMovimientos[[#This Row],[SKU]],tblProductos[SKU],0)),"?"))</f>
        <v/>
      </c>
      <c r="I4591" s="39"/>
      <c r="J4591" s="47" t="str">
        <f>IF(tblMovimientos[[#This Row],[Tipo]]="","",IFERROR(INDEX(tblTiposMov[FactorStock],MATCH(tblMovimientos[[#This Row],[Tipo]],tblTiposMov[Tipo],0)),0))</f>
        <v/>
      </c>
      <c r="K45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1" s="37"/>
      <c r="O4591" s="37"/>
      <c r="P4591" s="37"/>
    </row>
    <row r="4592" spans="2:16" x14ac:dyDescent="0.25">
      <c r="B45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2" s="46"/>
      <c r="D4592" s="37"/>
      <c r="E4592" s="37"/>
      <c r="F4592" s="37"/>
      <c r="G4592" s="40" t="str">
        <f>IF(tblMovimientos[[#This Row],[Producto]]="","",TRIM(LEFT(tblMovimientos[[#This Row],[Producto]],FIND(" · ",tblMovimientos[[#This Row],[Producto]]&amp;" · ")-1)))</f>
        <v/>
      </c>
      <c r="H4592" s="40" t="str">
        <f>IF(tblMovimientos[[#This Row],[SKU]]="","",IFERROR(INDEX(tblProductos[Unidad],MATCH(tblMovimientos[[#This Row],[SKU]],tblProductos[SKU],0)),"?"))</f>
        <v/>
      </c>
      <c r="I4592" s="39"/>
      <c r="J4592" s="47" t="str">
        <f>IF(tblMovimientos[[#This Row],[Tipo]]="","",IFERROR(INDEX(tblTiposMov[FactorStock],MATCH(tblMovimientos[[#This Row],[Tipo]],tblTiposMov[Tipo],0)),0))</f>
        <v/>
      </c>
      <c r="K45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2" s="37"/>
      <c r="O4592" s="37"/>
      <c r="P4592" s="37"/>
    </row>
    <row r="4593" spans="2:16" x14ac:dyDescent="0.25">
      <c r="B45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3" s="46"/>
      <c r="D4593" s="37"/>
      <c r="E4593" s="37"/>
      <c r="F4593" s="37"/>
      <c r="G4593" s="40" t="str">
        <f>IF(tblMovimientos[[#This Row],[Producto]]="","",TRIM(LEFT(tblMovimientos[[#This Row],[Producto]],FIND(" · ",tblMovimientos[[#This Row],[Producto]]&amp;" · ")-1)))</f>
        <v/>
      </c>
      <c r="H4593" s="40" t="str">
        <f>IF(tblMovimientos[[#This Row],[SKU]]="","",IFERROR(INDEX(tblProductos[Unidad],MATCH(tblMovimientos[[#This Row],[SKU]],tblProductos[SKU],0)),"?"))</f>
        <v/>
      </c>
      <c r="I4593" s="39"/>
      <c r="J4593" s="47" t="str">
        <f>IF(tblMovimientos[[#This Row],[Tipo]]="","",IFERROR(INDEX(tblTiposMov[FactorStock],MATCH(tblMovimientos[[#This Row],[Tipo]],tblTiposMov[Tipo],0)),0))</f>
        <v/>
      </c>
      <c r="K45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3" s="37"/>
      <c r="O4593" s="37"/>
      <c r="P4593" s="37"/>
    </row>
    <row r="4594" spans="2:16" x14ac:dyDescent="0.25">
      <c r="B45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4" s="46"/>
      <c r="D4594" s="37"/>
      <c r="E4594" s="37"/>
      <c r="F4594" s="37"/>
      <c r="G4594" s="40" t="str">
        <f>IF(tblMovimientos[[#This Row],[Producto]]="","",TRIM(LEFT(tblMovimientos[[#This Row],[Producto]],FIND(" · ",tblMovimientos[[#This Row],[Producto]]&amp;" · ")-1)))</f>
        <v/>
      </c>
      <c r="H4594" s="40" t="str">
        <f>IF(tblMovimientos[[#This Row],[SKU]]="","",IFERROR(INDEX(tblProductos[Unidad],MATCH(tblMovimientos[[#This Row],[SKU]],tblProductos[SKU],0)),"?"))</f>
        <v/>
      </c>
      <c r="I4594" s="39"/>
      <c r="J4594" s="47" t="str">
        <f>IF(tblMovimientos[[#This Row],[Tipo]]="","",IFERROR(INDEX(tblTiposMov[FactorStock],MATCH(tblMovimientos[[#This Row],[Tipo]],tblTiposMov[Tipo],0)),0))</f>
        <v/>
      </c>
      <c r="K45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4" s="37"/>
      <c r="O4594" s="37"/>
      <c r="P4594" s="37"/>
    </row>
    <row r="4595" spans="2:16" x14ac:dyDescent="0.25">
      <c r="B45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5" s="46"/>
      <c r="D4595" s="37"/>
      <c r="E4595" s="37"/>
      <c r="F4595" s="37"/>
      <c r="G4595" s="40" t="str">
        <f>IF(tblMovimientos[[#This Row],[Producto]]="","",TRIM(LEFT(tblMovimientos[[#This Row],[Producto]],FIND(" · ",tblMovimientos[[#This Row],[Producto]]&amp;" · ")-1)))</f>
        <v/>
      </c>
      <c r="H4595" s="40" t="str">
        <f>IF(tblMovimientos[[#This Row],[SKU]]="","",IFERROR(INDEX(tblProductos[Unidad],MATCH(tblMovimientos[[#This Row],[SKU]],tblProductos[SKU],0)),"?"))</f>
        <v/>
      </c>
      <c r="I4595" s="39"/>
      <c r="J4595" s="47" t="str">
        <f>IF(tblMovimientos[[#This Row],[Tipo]]="","",IFERROR(INDEX(tblTiposMov[FactorStock],MATCH(tblMovimientos[[#This Row],[Tipo]],tblTiposMov[Tipo],0)),0))</f>
        <v/>
      </c>
      <c r="K45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5" s="37"/>
      <c r="O4595" s="37"/>
      <c r="P4595" s="37"/>
    </row>
    <row r="4596" spans="2:16" x14ac:dyDescent="0.25">
      <c r="B45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6" s="46"/>
      <c r="D4596" s="37"/>
      <c r="E4596" s="37"/>
      <c r="F4596" s="37"/>
      <c r="G4596" s="40" t="str">
        <f>IF(tblMovimientos[[#This Row],[Producto]]="","",TRIM(LEFT(tblMovimientos[[#This Row],[Producto]],FIND(" · ",tblMovimientos[[#This Row],[Producto]]&amp;" · ")-1)))</f>
        <v/>
      </c>
      <c r="H4596" s="40" t="str">
        <f>IF(tblMovimientos[[#This Row],[SKU]]="","",IFERROR(INDEX(tblProductos[Unidad],MATCH(tblMovimientos[[#This Row],[SKU]],tblProductos[SKU],0)),"?"))</f>
        <v/>
      </c>
      <c r="I4596" s="39"/>
      <c r="J4596" s="47" t="str">
        <f>IF(tblMovimientos[[#This Row],[Tipo]]="","",IFERROR(INDEX(tblTiposMov[FactorStock],MATCH(tblMovimientos[[#This Row],[Tipo]],tblTiposMov[Tipo],0)),0))</f>
        <v/>
      </c>
      <c r="K45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6" s="37"/>
      <c r="O4596" s="37"/>
      <c r="P4596" s="37"/>
    </row>
    <row r="4597" spans="2:16" x14ac:dyDescent="0.25">
      <c r="B45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7" s="46"/>
      <c r="D4597" s="37"/>
      <c r="E4597" s="37"/>
      <c r="F4597" s="37"/>
      <c r="G4597" s="40" t="str">
        <f>IF(tblMovimientos[[#This Row],[Producto]]="","",TRIM(LEFT(tblMovimientos[[#This Row],[Producto]],FIND(" · ",tblMovimientos[[#This Row],[Producto]]&amp;" · ")-1)))</f>
        <v/>
      </c>
      <c r="H4597" s="40" t="str">
        <f>IF(tblMovimientos[[#This Row],[SKU]]="","",IFERROR(INDEX(tblProductos[Unidad],MATCH(tblMovimientos[[#This Row],[SKU]],tblProductos[SKU],0)),"?"))</f>
        <v/>
      </c>
      <c r="I4597" s="39"/>
      <c r="J4597" s="47" t="str">
        <f>IF(tblMovimientos[[#This Row],[Tipo]]="","",IFERROR(INDEX(tblTiposMov[FactorStock],MATCH(tblMovimientos[[#This Row],[Tipo]],tblTiposMov[Tipo],0)),0))</f>
        <v/>
      </c>
      <c r="K45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7" s="37"/>
      <c r="O4597" s="37"/>
      <c r="P4597" s="37"/>
    </row>
    <row r="4598" spans="2:16" x14ac:dyDescent="0.25">
      <c r="B45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8" s="46"/>
      <c r="D4598" s="37"/>
      <c r="E4598" s="37"/>
      <c r="F4598" s="37"/>
      <c r="G4598" s="40" t="str">
        <f>IF(tblMovimientos[[#This Row],[Producto]]="","",TRIM(LEFT(tblMovimientos[[#This Row],[Producto]],FIND(" · ",tblMovimientos[[#This Row],[Producto]]&amp;" · ")-1)))</f>
        <v/>
      </c>
      <c r="H4598" s="40" t="str">
        <f>IF(tblMovimientos[[#This Row],[SKU]]="","",IFERROR(INDEX(tblProductos[Unidad],MATCH(tblMovimientos[[#This Row],[SKU]],tblProductos[SKU],0)),"?"))</f>
        <v/>
      </c>
      <c r="I4598" s="39"/>
      <c r="J4598" s="47" t="str">
        <f>IF(tblMovimientos[[#This Row],[Tipo]]="","",IFERROR(INDEX(tblTiposMov[FactorStock],MATCH(tblMovimientos[[#This Row],[Tipo]],tblTiposMov[Tipo],0)),0))</f>
        <v/>
      </c>
      <c r="K45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8" s="37"/>
      <c r="O4598" s="37"/>
      <c r="P4598" s="37"/>
    </row>
    <row r="4599" spans="2:16" x14ac:dyDescent="0.25">
      <c r="B45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599" s="46"/>
      <c r="D4599" s="37"/>
      <c r="E4599" s="37"/>
      <c r="F4599" s="37"/>
      <c r="G4599" s="40" t="str">
        <f>IF(tblMovimientos[[#This Row],[Producto]]="","",TRIM(LEFT(tblMovimientos[[#This Row],[Producto]],FIND(" · ",tblMovimientos[[#This Row],[Producto]]&amp;" · ")-1)))</f>
        <v/>
      </c>
      <c r="H4599" s="40" t="str">
        <f>IF(tblMovimientos[[#This Row],[SKU]]="","",IFERROR(INDEX(tblProductos[Unidad],MATCH(tblMovimientos[[#This Row],[SKU]],tblProductos[SKU],0)),"?"))</f>
        <v/>
      </c>
      <c r="I4599" s="39"/>
      <c r="J4599" s="47" t="str">
        <f>IF(tblMovimientos[[#This Row],[Tipo]]="","",IFERROR(INDEX(tblTiposMov[FactorStock],MATCH(tblMovimientos[[#This Row],[Tipo]],tblTiposMov[Tipo],0)),0))</f>
        <v/>
      </c>
      <c r="K45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5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5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599" s="37"/>
      <c r="O4599" s="37"/>
      <c r="P4599" s="37"/>
    </row>
    <row r="4600" spans="2:16" x14ac:dyDescent="0.25">
      <c r="B46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0" s="46"/>
      <c r="D4600" s="37"/>
      <c r="E4600" s="37"/>
      <c r="F4600" s="37"/>
      <c r="G4600" s="40" t="str">
        <f>IF(tblMovimientos[[#This Row],[Producto]]="","",TRIM(LEFT(tblMovimientos[[#This Row],[Producto]],FIND(" · ",tblMovimientos[[#This Row],[Producto]]&amp;" · ")-1)))</f>
        <v/>
      </c>
      <c r="H4600" s="40" t="str">
        <f>IF(tblMovimientos[[#This Row],[SKU]]="","",IFERROR(INDEX(tblProductos[Unidad],MATCH(tblMovimientos[[#This Row],[SKU]],tblProductos[SKU],0)),"?"))</f>
        <v/>
      </c>
      <c r="I4600" s="39"/>
      <c r="J4600" s="47" t="str">
        <f>IF(tblMovimientos[[#This Row],[Tipo]]="","",IFERROR(INDEX(tblTiposMov[FactorStock],MATCH(tblMovimientos[[#This Row],[Tipo]],tblTiposMov[Tipo],0)),0))</f>
        <v/>
      </c>
      <c r="K46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0" s="37"/>
      <c r="O4600" s="37"/>
      <c r="P4600" s="37"/>
    </row>
    <row r="4601" spans="2:16" x14ac:dyDescent="0.25">
      <c r="B46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1" s="46"/>
      <c r="D4601" s="37"/>
      <c r="E4601" s="37"/>
      <c r="F4601" s="37"/>
      <c r="G4601" s="40" t="str">
        <f>IF(tblMovimientos[[#This Row],[Producto]]="","",TRIM(LEFT(tblMovimientos[[#This Row],[Producto]],FIND(" · ",tblMovimientos[[#This Row],[Producto]]&amp;" · ")-1)))</f>
        <v/>
      </c>
      <c r="H4601" s="40" t="str">
        <f>IF(tblMovimientos[[#This Row],[SKU]]="","",IFERROR(INDEX(tblProductos[Unidad],MATCH(tblMovimientos[[#This Row],[SKU]],tblProductos[SKU],0)),"?"))</f>
        <v/>
      </c>
      <c r="I4601" s="39"/>
      <c r="J4601" s="47" t="str">
        <f>IF(tblMovimientos[[#This Row],[Tipo]]="","",IFERROR(INDEX(tblTiposMov[FactorStock],MATCH(tblMovimientos[[#This Row],[Tipo]],tblTiposMov[Tipo],0)),0))</f>
        <v/>
      </c>
      <c r="K46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1" s="37"/>
      <c r="O4601" s="37"/>
      <c r="P4601" s="37"/>
    </row>
    <row r="4602" spans="2:16" x14ac:dyDescent="0.25">
      <c r="B46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2" s="46"/>
      <c r="D4602" s="37"/>
      <c r="E4602" s="37"/>
      <c r="F4602" s="37"/>
      <c r="G4602" s="40" t="str">
        <f>IF(tblMovimientos[[#This Row],[Producto]]="","",TRIM(LEFT(tblMovimientos[[#This Row],[Producto]],FIND(" · ",tblMovimientos[[#This Row],[Producto]]&amp;" · ")-1)))</f>
        <v/>
      </c>
      <c r="H4602" s="40" t="str">
        <f>IF(tblMovimientos[[#This Row],[SKU]]="","",IFERROR(INDEX(tblProductos[Unidad],MATCH(tblMovimientos[[#This Row],[SKU]],tblProductos[SKU],0)),"?"))</f>
        <v/>
      </c>
      <c r="I4602" s="39"/>
      <c r="J4602" s="47" t="str">
        <f>IF(tblMovimientos[[#This Row],[Tipo]]="","",IFERROR(INDEX(tblTiposMov[FactorStock],MATCH(tblMovimientos[[#This Row],[Tipo]],tblTiposMov[Tipo],0)),0))</f>
        <v/>
      </c>
      <c r="K46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2" s="37"/>
      <c r="O4602" s="37"/>
      <c r="P4602" s="37"/>
    </row>
    <row r="4603" spans="2:16" x14ac:dyDescent="0.25">
      <c r="B46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3" s="46"/>
      <c r="D4603" s="37"/>
      <c r="E4603" s="37"/>
      <c r="F4603" s="37"/>
      <c r="G4603" s="40" t="str">
        <f>IF(tblMovimientos[[#This Row],[Producto]]="","",TRIM(LEFT(tblMovimientos[[#This Row],[Producto]],FIND(" · ",tblMovimientos[[#This Row],[Producto]]&amp;" · ")-1)))</f>
        <v/>
      </c>
      <c r="H4603" s="40" t="str">
        <f>IF(tblMovimientos[[#This Row],[SKU]]="","",IFERROR(INDEX(tblProductos[Unidad],MATCH(tblMovimientos[[#This Row],[SKU]],tblProductos[SKU],0)),"?"))</f>
        <v/>
      </c>
      <c r="I4603" s="39"/>
      <c r="J4603" s="47" t="str">
        <f>IF(tblMovimientos[[#This Row],[Tipo]]="","",IFERROR(INDEX(tblTiposMov[FactorStock],MATCH(tblMovimientos[[#This Row],[Tipo]],tblTiposMov[Tipo],0)),0))</f>
        <v/>
      </c>
      <c r="K46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3" s="37"/>
      <c r="O4603" s="37"/>
      <c r="P4603" s="37"/>
    </row>
    <row r="4604" spans="2:16" x14ac:dyDescent="0.25">
      <c r="B46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4" s="46"/>
      <c r="D4604" s="37"/>
      <c r="E4604" s="37"/>
      <c r="F4604" s="37"/>
      <c r="G4604" s="40" t="str">
        <f>IF(tblMovimientos[[#This Row],[Producto]]="","",TRIM(LEFT(tblMovimientos[[#This Row],[Producto]],FIND(" · ",tblMovimientos[[#This Row],[Producto]]&amp;" · ")-1)))</f>
        <v/>
      </c>
      <c r="H4604" s="40" t="str">
        <f>IF(tblMovimientos[[#This Row],[SKU]]="","",IFERROR(INDEX(tblProductos[Unidad],MATCH(tblMovimientos[[#This Row],[SKU]],tblProductos[SKU],0)),"?"))</f>
        <v/>
      </c>
      <c r="I4604" s="39"/>
      <c r="J4604" s="47" t="str">
        <f>IF(tblMovimientos[[#This Row],[Tipo]]="","",IFERROR(INDEX(tblTiposMov[FactorStock],MATCH(tblMovimientos[[#This Row],[Tipo]],tblTiposMov[Tipo],0)),0))</f>
        <v/>
      </c>
      <c r="K46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4" s="37"/>
      <c r="O4604" s="37"/>
      <c r="P4604" s="37"/>
    </row>
    <row r="4605" spans="2:16" x14ac:dyDescent="0.25">
      <c r="B46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5" s="46"/>
      <c r="D4605" s="37"/>
      <c r="E4605" s="37"/>
      <c r="F4605" s="37"/>
      <c r="G4605" s="40" t="str">
        <f>IF(tblMovimientos[[#This Row],[Producto]]="","",TRIM(LEFT(tblMovimientos[[#This Row],[Producto]],FIND(" · ",tblMovimientos[[#This Row],[Producto]]&amp;" · ")-1)))</f>
        <v/>
      </c>
      <c r="H4605" s="40" t="str">
        <f>IF(tblMovimientos[[#This Row],[SKU]]="","",IFERROR(INDEX(tblProductos[Unidad],MATCH(tblMovimientos[[#This Row],[SKU]],tblProductos[SKU],0)),"?"))</f>
        <v/>
      </c>
      <c r="I4605" s="39"/>
      <c r="J4605" s="47" t="str">
        <f>IF(tblMovimientos[[#This Row],[Tipo]]="","",IFERROR(INDEX(tblTiposMov[FactorStock],MATCH(tblMovimientos[[#This Row],[Tipo]],tblTiposMov[Tipo],0)),0))</f>
        <v/>
      </c>
      <c r="K46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5" s="37"/>
      <c r="O4605" s="37"/>
      <c r="P4605" s="37"/>
    </row>
    <row r="4606" spans="2:16" x14ac:dyDescent="0.25">
      <c r="B46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6" s="46"/>
      <c r="D4606" s="37"/>
      <c r="E4606" s="37"/>
      <c r="F4606" s="37"/>
      <c r="G4606" s="40" t="str">
        <f>IF(tblMovimientos[[#This Row],[Producto]]="","",TRIM(LEFT(tblMovimientos[[#This Row],[Producto]],FIND(" · ",tblMovimientos[[#This Row],[Producto]]&amp;" · ")-1)))</f>
        <v/>
      </c>
      <c r="H4606" s="40" t="str">
        <f>IF(tblMovimientos[[#This Row],[SKU]]="","",IFERROR(INDEX(tblProductos[Unidad],MATCH(tblMovimientos[[#This Row],[SKU]],tblProductos[SKU],0)),"?"))</f>
        <v/>
      </c>
      <c r="I4606" s="39"/>
      <c r="J4606" s="47" t="str">
        <f>IF(tblMovimientos[[#This Row],[Tipo]]="","",IFERROR(INDEX(tblTiposMov[FactorStock],MATCH(tblMovimientos[[#This Row],[Tipo]],tblTiposMov[Tipo],0)),0))</f>
        <v/>
      </c>
      <c r="K46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6" s="37"/>
      <c r="O4606" s="37"/>
      <c r="P4606" s="37"/>
    </row>
    <row r="4607" spans="2:16" x14ac:dyDescent="0.25">
      <c r="B46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7" s="46"/>
      <c r="D4607" s="37"/>
      <c r="E4607" s="37"/>
      <c r="F4607" s="37"/>
      <c r="G4607" s="40" t="str">
        <f>IF(tblMovimientos[[#This Row],[Producto]]="","",TRIM(LEFT(tblMovimientos[[#This Row],[Producto]],FIND(" · ",tblMovimientos[[#This Row],[Producto]]&amp;" · ")-1)))</f>
        <v/>
      </c>
      <c r="H4607" s="40" t="str">
        <f>IF(tblMovimientos[[#This Row],[SKU]]="","",IFERROR(INDEX(tblProductos[Unidad],MATCH(tblMovimientos[[#This Row],[SKU]],tblProductos[SKU],0)),"?"))</f>
        <v/>
      </c>
      <c r="I4607" s="39"/>
      <c r="J4607" s="47" t="str">
        <f>IF(tblMovimientos[[#This Row],[Tipo]]="","",IFERROR(INDEX(tblTiposMov[FactorStock],MATCH(tblMovimientos[[#This Row],[Tipo]],tblTiposMov[Tipo],0)),0))</f>
        <v/>
      </c>
      <c r="K46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7" s="37"/>
      <c r="O4607" s="37"/>
      <c r="P4607" s="37"/>
    </row>
    <row r="4608" spans="2:16" x14ac:dyDescent="0.25">
      <c r="B46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8" s="46"/>
      <c r="D4608" s="37"/>
      <c r="E4608" s="37"/>
      <c r="F4608" s="37"/>
      <c r="G4608" s="40" t="str">
        <f>IF(tblMovimientos[[#This Row],[Producto]]="","",TRIM(LEFT(tblMovimientos[[#This Row],[Producto]],FIND(" · ",tblMovimientos[[#This Row],[Producto]]&amp;" · ")-1)))</f>
        <v/>
      </c>
      <c r="H4608" s="40" t="str">
        <f>IF(tblMovimientos[[#This Row],[SKU]]="","",IFERROR(INDEX(tblProductos[Unidad],MATCH(tblMovimientos[[#This Row],[SKU]],tblProductos[SKU],0)),"?"))</f>
        <v/>
      </c>
      <c r="I4608" s="39"/>
      <c r="J4608" s="47" t="str">
        <f>IF(tblMovimientos[[#This Row],[Tipo]]="","",IFERROR(INDEX(tblTiposMov[FactorStock],MATCH(tblMovimientos[[#This Row],[Tipo]],tblTiposMov[Tipo],0)),0))</f>
        <v/>
      </c>
      <c r="K46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8" s="37"/>
      <c r="O4608" s="37"/>
      <c r="P4608" s="37"/>
    </row>
    <row r="4609" spans="2:16" x14ac:dyDescent="0.25">
      <c r="B46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09" s="46"/>
      <c r="D4609" s="37"/>
      <c r="E4609" s="37"/>
      <c r="F4609" s="37"/>
      <c r="G4609" s="40" t="str">
        <f>IF(tblMovimientos[[#This Row],[Producto]]="","",TRIM(LEFT(tblMovimientos[[#This Row],[Producto]],FIND(" · ",tblMovimientos[[#This Row],[Producto]]&amp;" · ")-1)))</f>
        <v/>
      </c>
      <c r="H4609" s="40" t="str">
        <f>IF(tblMovimientos[[#This Row],[SKU]]="","",IFERROR(INDEX(tblProductos[Unidad],MATCH(tblMovimientos[[#This Row],[SKU]],tblProductos[SKU],0)),"?"))</f>
        <v/>
      </c>
      <c r="I4609" s="39"/>
      <c r="J4609" s="47" t="str">
        <f>IF(tblMovimientos[[#This Row],[Tipo]]="","",IFERROR(INDEX(tblTiposMov[FactorStock],MATCH(tblMovimientos[[#This Row],[Tipo]],tblTiposMov[Tipo],0)),0))</f>
        <v/>
      </c>
      <c r="K46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09" s="37"/>
      <c r="O4609" s="37"/>
      <c r="P4609" s="37"/>
    </row>
    <row r="4610" spans="2:16" x14ac:dyDescent="0.25">
      <c r="B46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0" s="46"/>
      <c r="D4610" s="37"/>
      <c r="E4610" s="37"/>
      <c r="F4610" s="37"/>
      <c r="G4610" s="40" t="str">
        <f>IF(tblMovimientos[[#This Row],[Producto]]="","",TRIM(LEFT(tblMovimientos[[#This Row],[Producto]],FIND(" · ",tblMovimientos[[#This Row],[Producto]]&amp;" · ")-1)))</f>
        <v/>
      </c>
      <c r="H4610" s="40" t="str">
        <f>IF(tblMovimientos[[#This Row],[SKU]]="","",IFERROR(INDEX(tblProductos[Unidad],MATCH(tblMovimientos[[#This Row],[SKU]],tblProductos[SKU],0)),"?"))</f>
        <v/>
      </c>
      <c r="I4610" s="39"/>
      <c r="J4610" s="47" t="str">
        <f>IF(tblMovimientos[[#This Row],[Tipo]]="","",IFERROR(INDEX(tblTiposMov[FactorStock],MATCH(tblMovimientos[[#This Row],[Tipo]],tblTiposMov[Tipo],0)),0))</f>
        <v/>
      </c>
      <c r="K46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0" s="37"/>
      <c r="O4610" s="37"/>
      <c r="P4610" s="37"/>
    </row>
    <row r="4611" spans="2:16" x14ac:dyDescent="0.25">
      <c r="B46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1" s="46"/>
      <c r="D4611" s="37"/>
      <c r="E4611" s="37"/>
      <c r="F4611" s="37"/>
      <c r="G4611" s="40" t="str">
        <f>IF(tblMovimientos[[#This Row],[Producto]]="","",TRIM(LEFT(tblMovimientos[[#This Row],[Producto]],FIND(" · ",tblMovimientos[[#This Row],[Producto]]&amp;" · ")-1)))</f>
        <v/>
      </c>
      <c r="H4611" s="40" t="str">
        <f>IF(tblMovimientos[[#This Row],[SKU]]="","",IFERROR(INDEX(tblProductos[Unidad],MATCH(tblMovimientos[[#This Row],[SKU]],tblProductos[SKU],0)),"?"))</f>
        <v/>
      </c>
      <c r="I4611" s="39"/>
      <c r="J4611" s="47" t="str">
        <f>IF(tblMovimientos[[#This Row],[Tipo]]="","",IFERROR(INDEX(tblTiposMov[FactorStock],MATCH(tblMovimientos[[#This Row],[Tipo]],tblTiposMov[Tipo],0)),0))</f>
        <v/>
      </c>
      <c r="K46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1" s="37"/>
      <c r="O4611" s="37"/>
      <c r="P4611" s="37"/>
    </row>
    <row r="4612" spans="2:16" x14ac:dyDescent="0.25">
      <c r="B46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2" s="46"/>
      <c r="D4612" s="37"/>
      <c r="E4612" s="37"/>
      <c r="F4612" s="37"/>
      <c r="G4612" s="40" t="str">
        <f>IF(tblMovimientos[[#This Row],[Producto]]="","",TRIM(LEFT(tblMovimientos[[#This Row],[Producto]],FIND(" · ",tblMovimientos[[#This Row],[Producto]]&amp;" · ")-1)))</f>
        <v/>
      </c>
      <c r="H4612" s="40" t="str">
        <f>IF(tblMovimientos[[#This Row],[SKU]]="","",IFERROR(INDEX(tblProductos[Unidad],MATCH(tblMovimientos[[#This Row],[SKU]],tblProductos[SKU],0)),"?"))</f>
        <v/>
      </c>
      <c r="I4612" s="39"/>
      <c r="J4612" s="47" t="str">
        <f>IF(tblMovimientos[[#This Row],[Tipo]]="","",IFERROR(INDEX(tblTiposMov[FactorStock],MATCH(tblMovimientos[[#This Row],[Tipo]],tblTiposMov[Tipo],0)),0))</f>
        <v/>
      </c>
      <c r="K46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2" s="37"/>
      <c r="O4612" s="37"/>
      <c r="P4612" s="37"/>
    </row>
    <row r="4613" spans="2:16" x14ac:dyDescent="0.25">
      <c r="B46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3" s="46"/>
      <c r="D4613" s="37"/>
      <c r="E4613" s="37"/>
      <c r="F4613" s="37"/>
      <c r="G4613" s="40" t="str">
        <f>IF(tblMovimientos[[#This Row],[Producto]]="","",TRIM(LEFT(tblMovimientos[[#This Row],[Producto]],FIND(" · ",tblMovimientos[[#This Row],[Producto]]&amp;" · ")-1)))</f>
        <v/>
      </c>
      <c r="H4613" s="40" t="str">
        <f>IF(tblMovimientos[[#This Row],[SKU]]="","",IFERROR(INDEX(tblProductos[Unidad],MATCH(tblMovimientos[[#This Row],[SKU]],tblProductos[SKU],0)),"?"))</f>
        <v/>
      </c>
      <c r="I4613" s="39"/>
      <c r="J4613" s="47" t="str">
        <f>IF(tblMovimientos[[#This Row],[Tipo]]="","",IFERROR(INDEX(tblTiposMov[FactorStock],MATCH(tblMovimientos[[#This Row],[Tipo]],tblTiposMov[Tipo],0)),0))</f>
        <v/>
      </c>
      <c r="K46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3" s="37"/>
      <c r="O4613" s="37"/>
      <c r="P4613" s="37"/>
    </row>
    <row r="4614" spans="2:16" x14ac:dyDescent="0.25">
      <c r="B46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4" s="46"/>
      <c r="D4614" s="37"/>
      <c r="E4614" s="37"/>
      <c r="F4614" s="37"/>
      <c r="G4614" s="40" t="str">
        <f>IF(tblMovimientos[[#This Row],[Producto]]="","",TRIM(LEFT(tblMovimientos[[#This Row],[Producto]],FIND(" · ",tblMovimientos[[#This Row],[Producto]]&amp;" · ")-1)))</f>
        <v/>
      </c>
      <c r="H4614" s="40" t="str">
        <f>IF(tblMovimientos[[#This Row],[SKU]]="","",IFERROR(INDEX(tblProductos[Unidad],MATCH(tblMovimientos[[#This Row],[SKU]],tblProductos[SKU],0)),"?"))</f>
        <v/>
      </c>
      <c r="I4614" s="39"/>
      <c r="J4614" s="47" t="str">
        <f>IF(tblMovimientos[[#This Row],[Tipo]]="","",IFERROR(INDEX(tblTiposMov[FactorStock],MATCH(tblMovimientos[[#This Row],[Tipo]],tblTiposMov[Tipo],0)),0))</f>
        <v/>
      </c>
      <c r="K46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4" s="37"/>
      <c r="O4614" s="37"/>
      <c r="P4614" s="37"/>
    </row>
    <row r="4615" spans="2:16" x14ac:dyDescent="0.25">
      <c r="B46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5" s="46"/>
      <c r="D4615" s="37"/>
      <c r="E4615" s="37"/>
      <c r="F4615" s="37"/>
      <c r="G4615" s="40" t="str">
        <f>IF(tblMovimientos[[#This Row],[Producto]]="","",TRIM(LEFT(tblMovimientos[[#This Row],[Producto]],FIND(" · ",tblMovimientos[[#This Row],[Producto]]&amp;" · ")-1)))</f>
        <v/>
      </c>
      <c r="H4615" s="40" t="str">
        <f>IF(tblMovimientos[[#This Row],[SKU]]="","",IFERROR(INDEX(tblProductos[Unidad],MATCH(tblMovimientos[[#This Row],[SKU]],tblProductos[SKU],0)),"?"))</f>
        <v/>
      </c>
      <c r="I4615" s="39"/>
      <c r="J4615" s="47" t="str">
        <f>IF(tblMovimientos[[#This Row],[Tipo]]="","",IFERROR(INDEX(tblTiposMov[FactorStock],MATCH(tblMovimientos[[#This Row],[Tipo]],tblTiposMov[Tipo],0)),0))</f>
        <v/>
      </c>
      <c r="K46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5" s="37"/>
      <c r="O4615" s="37"/>
      <c r="P4615" s="37"/>
    </row>
    <row r="4616" spans="2:16" x14ac:dyDescent="0.25">
      <c r="B46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6" s="46"/>
      <c r="D4616" s="37"/>
      <c r="E4616" s="37"/>
      <c r="F4616" s="37"/>
      <c r="G4616" s="40" t="str">
        <f>IF(tblMovimientos[[#This Row],[Producto]]="","",TRIM(LEFT(tblMovimientos[[#This Row],[Producto]],FIND(" · ",tblMovimientos[[#This Row],[Producto]]&amp;" · ")-1)))</f>
        <v/>
      </c>
      <c r="H4616" s="40" t="str">
        <f>IF(tblMovimientos[[#This Row],[SKU]]="","",IFERROR(INDEX(tblProductos[Unidad],MATCH(tblMovimientos[[#This Row],[SKU]],tblProductos[SKU],0)),"?"))</f>
        <v/>
      </c>
      <c r="I4616" s="39"/>
      <c r="J4616" s="47" t="str">
        <f>IF(tblMovimientos[[#This Row],[Tipo]]="","",IFERROR(INDEX(tblTiposMov[FactorStock],MATCH(tblMovimientos[[#This Row],[Tipo]],tblTiposMov[Tipo],0)),0))</f>
        <v/>
      </c>
      <c r="K46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6" s="37"/>
      <c r="O4616" s="37"/>
      <c r="P4616" s="37"/>
    </row>
    <row r="4617" spans="2:16" x14ac:dyDescent="0.25">
      <c r="B46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7" s="46"/>
      <c r="D4617" s="37"/>
      <c r="E4617" s="37"/>
      <c r="F4617" s="37"/>
      <c r="G4617" s="40" t="str">
        <f>IF(tblMovimientos[[#This Row],[Producto]]="","",TRIM(LEFT(tblMovimientos[[#This Row],[Producto]],FIND(" · ",tblMovimientos[[#This Row],[Producto]]&amp;" · ")-1)))</f>
        <v/>
      </c>
      <c r="H4617" s="40" t="str">
        <f>IF(tblMovimientos[[#This Row],[SKU]]="","",IFERROR(INDEX(tblProductos[Unidad],MATCH(tblMovimientos[[#This Row],[SKU]],tblProductos[SKU],0)),"?"))</f>
        <v/>
      </c>
      <c r="I4617" s="39"/>
      <c r="J4617" s="47" t="str">
        <f>IF(tblMovimientos[[#This Row],[Tipo]]="","",IFERROR(INDEX(tblTiposMov[FactorStock],MATCH(tblMovimientos[[#This Row],[Tipo]],tblTiposMov[Tipo],0)),0))</f>
        <v/>
      </c>
      <c r="K46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7" s="37"/>
      <c r="O4617" s="37"/>
      <c r="P4617" s="37"/>
    </row>
    <row r="4618" spans="2:16" x14ac:dyDescent="0.25">
      <c r="B46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8" s="46"/>
      <c r="D4618" s="37"/>
      <c r="E4618" s="37"/>
      <c r="F4618" s="37"/>
      <c r="G4618" s="40" t="str">
        <f>IF(tblMovimientos[[#This Row],[Producto]]="","",TRIM(LEFT(tblMovimientos[[#This Row],[Producto]],FIND(" · ",tblMovimientos[[#This Row],[Producto]]&amp;" · ")-1)))</f>
        <v/>
      </c>
      <c r="H4618" s="40" t="str">
        <f>IF(tblMovimientos[[#This Row],[SKU]]="","",IFERROR(INDEX(tblProductos[Unidad],MATCH(tblMovimientos[[#This Row],[SKU]],tblProductos[SKU],0)),"?"))</f>
        <v/>
      </c>
      <c r="I4618" s="39"/>
      <c r="J4618" s="47" t="str">
        <f>IF(tblMovimientos[[#This Row],[Tipo]]="","",IFERROR(INDEX(tblTiposMov[FactorStock],MATCH(tblMovimientos[[#This Row],[Tipo]],tblTiposMov[Tipo],0)),0))</f>
        <v/>
      </c>
      <c r="K46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8" s="37"/>
      <c r="O4618" s="37"/>
      <c r="P4618" s="37"/>
    </row>
    <row r="4619" spans="2:16" x14ac:dyDescent="0.25">
      <c r="B46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19" s="46"/>
      <c r="D4619" s="37"/>
      <c r="E4619" s="37"/>
      <c r="F4619" s="37"/>
      <c r="G4619" s="40" t="str">
        <f>IF(tblMovimientos[[#This Row],[Producto]]="","",TRIM(LEFT(tblMovimientos[[#This Row],[Producto]],FIND(" · ",tblMovimientos[[#This Row],[Producto]]&amp;" · ")-1)))</f>
        <v/>
      </c>
      <c r="H4619" s="40" t="str">
        <f>IF(tblMovimientos[[#This Row],[SKU]]="","",IFERROR(INDEX(tblProductos[Unidad],MATCH(tblMovimientos[[#This Row],[SKU]],tblProductos[SKU],0)),"?"))</f>
        <v/>
      </c>
      <c r="I4619" s="39"/>
      <c r="J4619" s="47" t="str">
        <f>IF(tblMovimientos[[#This Row],[Tipo]]="","",IFERROR(INDEX(tblTiposMov[FactorStock],MATCH(tblMovimientos[[#This Row],[Tipo]],tblTiposMov[Tipo],0)),0))</f>
        <v/>
      </c>
      <c r="K46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19" s="37"/>
      <c r="O4619" s="37"/>
      <c r="P4619" s="37"/>
    </row>
    <row r="4620" spans="2:16" x14ac:dyDescent="0.25">
      <c r="B46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0" s="46"/>
      <c r="D4620" s="37"/>
      <c r="E4620" s="37"/>
      <c r="F4620" s="37"/>
      <c r="G4620" s="40" t="str">
        <f>IF(tblMovimientos[[#This Row],[Producto]]="","",TRIM(LEFT(tblMovimientos[[#This Row],[Producto]],FIND(" · ",tblMovimientos[[#This Row],[Producto]]&amp;" · ")-1)))</f>
        <v/>
      </c>
      <c r="H4620" s="40" t="str">
        <f>IF(tblMovimientos[[#This Row],[SKU]]="","",IFERROR(INDEX(tblProductos[Unidad],MATCH(tblMovimientos[[#This Row],[SKU]],tblProductos[SKU],0)),"?"))</f>
        <v/>
      </c>
      <c r="I4620" s="39"/>
      <c r="J4620" s="47" t="str">
        <f>IF(tblMovimientos[[#This Row],[Tipo]]="","",IFERROR(INDEX(tblTiposMov[FactorStock],MATCH(tblMovimientos[[#This Row],[Tipo]],tblTiposMov[Tipo],0)),0))</f>
        <v/>
      </c>
      <c r="K46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0" s="37"/>
      <c r="O4620" s="37"/>
      <c r="P4620" s="37"/>
    </row>
    <row r="4621" spans="2:16" x14ac:dyDescent="0.25">
      <c r="B46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1" s="46"/>
      <c r="D4621" s="37"/>
      <c r="E4621" s="37"/>
      <c r="F4621" s="37"/>
      <c r="G4621" s="40" t="str">
        <f>IF(tblMovimientos[[#This Row],[Producto]]="","",TRIM(LEFT(tblMovimientos[[#This Row],[Producto]],FIND(" · ",tblMovimientos[[#This Row],[Producto]]&amp;" · ")-1)))</f>
        <v/>
      </c>
      <c r="H4621" s="40" t="str">
        <f>IF(tblMovimientos[[#This Row],[SKU]]="","",IFERROR(INDEX(tblProductos[Unidad],MATCH(tblMovimientos[[#This Row],[SKU]],tblProductos[SKU],0)),"?"))</f>
        <v/>
      </c>
      <c r="I4621" s="39"/>
      <c r="J4621" s="47" t="str">
        <f>IF(tblMovimientos[[#This Row],[Tipo]]="","",IFERROR(INDEX(tblTiposMov[FactorStock],MATCH(tblMovimientos[[#This Row],[Tipo]],tblTiposMov[Tipo],0)),0))</f>
        <v/>
      </c>
      <c r="K46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1" s="37"/>
      <c r="O4621" s="37"/>
      <c r="P4621" s="37"/>
    </row>
    <row r="4622" spans="2:16" x14ac:dyDescent="0.25">
      <c r="B46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2" s="46"/>
      <c r="D4622" s="37"/>
      <c r="E4622" s="37"/>
      <c r="F4622" s="37"/>
      <c r="G4622" s="40" t="str">
        <f>IF(tblMovimientos[[#This Row],[Producto]]="","",TRIM(LEFT(tblMovimientos[[#This Row],[Producto]],FIND(" · ",tblMovimientos[[#This Row],[Producto]]&amp;" · ")-1)))</f>
        <v/>
      </c>
      <c r="H4622" s="40" t="str">
        <f>IF(tblMovimientos[[#This Row],[SKU]]="","",IFERROR(INDEX(tblProductos[Unidad],MATCH(tblMovimientos[[#This Row],[SKU]],tblProductos[SKU],0)),"?"))</f>
        <v/>
      </c>
      <c r="I4622" s="39"/>
      <c r="J4622" s="47" t="str">
        <f>IF(tblMovimientos[[#This Row],[Tipo]]="","",IFERROR(INDEX(tblTiposMov[FactorStock],MATCH(tblMovimientos[[#This Row],[Tipo]],tblTiposMov[Tipo],0)),0))</f>
        <v/>
      </c>
      <c r="K46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2" s="37"/>
      <c r="O4622" s="37"/>
      <c r="P4622" s="37"/>
    </row>
    <row r="4623" spans="2:16" x14ac:dyDescent="0.25">
      <c r="B46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3" s="46"/>
      <c r="D4623" s="37"/>
      <c r="E4623" s="37"/>
      <c r="F4623" s="37"/>
      <c r="G4623" s="40" t="str">
        <f>IF(tblMovimientos[[#This Row],[Producto]]="","",TRIM(LEFT(tblMovimientos[[#This Row],[Producto]],FIND(" · ",tblMovimientos[[#This Row],[Producto]]&amp;" · ")-1)))</f>
        <v/>
      </c>
      <c r="H4623" s="40" t="str">
        <f>IF(tblMovimientos[[#This Row],[SKU]]="","",IFERROR(INDEX(tblProductos[Unidad],MATCH(tblMovimientos[[#This Row],[SKU]],tblProductos[SKU],0)),"?"))</f>
        <v/>
      </c>
      <c r="I4623" s="39"/>
      <c r="J4623" s="47" t="str">
        <f>IF(tblMovimientos[[#This Row],[Tipo]]="","",IFERROR(INDEX(tblTiposMov[FactorStock],MATCH(tblMovimientos[[#This Row],[Tipo]],tblTiposMov[Tipo],0)),0))</f>
        <v/>
      </c>
      <c r="K46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3" s="37"/>
      <c r="O4623" s="37"/>
      <c r="P4623" s="37"/>
    </row>
    <row r="4624" spans="2:16" x14ac:dyDescent="0.25">
      <c r="B46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4" s="46"/>
      <c r="D4624" s="37"/>
      <c r="E4624" s="37"/>
      <c r="F4624" s="37"/>
      <c r="G4624" s="40" t="str">
        <f>IF(tblMovimientos[[#This Row],[Producto]]="","",TRIM(LEFT(tblMovimientos[[#This Row],[Producto]],FIND(" · ",tblMovimientos[[#This Row],[Producto]]&amp;" · ")-1)))</f>
        <v/>
      </c>
      <c r="H4624" s="40" t="str">
        <f>IF(tblMovimientos[[#This Row],[SKU]]="","",IFERROR(INDEX(tblProductos[Unidad],MATCH(tblMovimientos[[#This Row],[SKU]],tblProductos[SKU],0)),"?"))</f>
        <v/>
      </c>
      <c r="I4624" s="39"/>
      <c r="J4624" s="47" t="str">
        <f>IF(tblMovimientos[[#This Row],[Tipo]]="","",IFERROR(INDEX(tblTiposMov[FactorStock],MATCH(tblMovimientos[[#This Row],[Tipo]],tblTiposMov[Tipo],0)),0))</f>
        <v/>
      </c>
      <c r="K46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4" s="37"/>
      <c r="O4624" s="37"/>
      <c r="P4624" s="37"/>
    </row>
    <row r="4625" spans="2:16" x14ac:dyDescent="0.25">
      <c r="B46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5" s="46"/>
      <c r="D4625" s="37"/>
      <c r="E4625" s="37"/>
      <c r="F4625" s="37"/>
      <c r="G4625" s="40" t="str">
        <f>IF(tblMovimientos[[#This Row],[Producto]]="","",TRIM(LEFT(tblMovimientos[[#This Row],[Producto]],FIND(" · ",tblMovimientos[[#This Row],[Producto]]&amp;" · ")-1)))</f>
        <v/>
      </c>
      <c r="H4625" s="40" t="str">
        <f>IF(tblMovimientos[[#This Row],[SKU]]="","",IFERROR(INDEX(tblProductos[Unidad],MATCH(tblMovimientos[[#This Row],[SKU]],tblProductos[SKU],0)),"?"))</f>
        <v/>
      </c>
      <c r="I4625" s="39"/>
      <c r="J4625" s="47" t="str">
        <f>IF(tblMovimientos[[#This Row],[Tipo]]="","",IFERROR(INDEX(tblTiposMov[FactorStock],MATCH(tblMovimientos[[#This Row],[Tipo]],tblTiposMov[Tipo],0)),0))</f>
        <v/>
      </c>
      <c r="K46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5" s="37"/>
      <c r="O4625" s="37"/>
      <c r="P4625" s="37"/>
    </row>
    <row r="4626" spans="2:16" x14ac:dyDescent="0.25">
      <c r="B46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6" s="46"/>
      <c r="D4626" s="37"/>
      <c r="E4626" s="37"/>
      <c r="F4626" s="37"/>
      <c r="G4626" s="40" t="str">
        <f>IF(tblMovimientos[[#This Row],[Producto]]="","",TRIM(LEFT(tblMovimientos[[#This Row],[Producto]],FIND(" · ",tblMovimientos[[#This Row],[Producto]]&amp;" · ")-1)))</f>
        <v/>
      </c>
      <c r="H4626" s="40" t="str">
        <f>IF(tblMovimientos[[#This Row],[SKU]]="","",IFERROR(INDEX(tblProductos[Unidad],MATCH(tblMovimientos[[#This Row],[SKU]],tblProductos[SKU],0)),"?"))</f>
        <v/>
      </c>
      <c r="I4626" s="39"/>
      <c r="J4626" s="47" t="str">
        <f>IF(tblMovimientos[[#This Row],[Tipo]]="","",IFERROR(INDEX(tblTiposMov[FactorStock],MATCH(tblMovimientos[[#This Row],[Tipo]],tblTiposMov[Tipo],0)),0))</f>
        <v/>
      </c>
      <c r="K46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6" s="37"/>
      <c r="O4626" s="37"/>
      <c r="P4626" s="37"/>
    </row>
    <row r="4627" spans="2:16" x14ac:dyDescent="0.25">
      <c r="B46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7" s="46"/>
      <c r="D4627" s="37"/>
      <c r="E4627" s="37"/>
      <c r="F4627" s="37"/>
      <c r="G4627" s="40" t="str">
        <f>IF(tblMovimientos[[#This Row],[Producto]]="","",TRIM(LEFT(tblMovimientos[[#This Row],[Producto]],FIND(" · ",tblMovimientos[[#This Row],[Producto]]&amp;" · ")-1)))</f>
        <v/>
      </c>
      <c r="H4627" s="40" t="str">
        <f>IF(tblMovimientos[[#This Row],[SKU]]="","",IFERROR(INDEX(tblProductos[Unidad],MATCH(tblMovimientos[[#This Row],[SKU]],tblProductos[SKU],0)),"?"))</f>
        <v/>
      </c>
      <c r="I4627" s="39"/>
      <c r="J4627" s="47" t="str">
        <f>IF(tblMovimientos[[#This Row],[Tipo]]="","",IFERROR(INDEX(tblTiposMov[FactorStock],MATCH(tblMovimientos[[#This Row],[Tipo]],tblTiposMov[Tipo],0)),0))</f>
        <v/>
      </c>
      <c r="K46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7" s="37"/>
      <c r="O4627" s="37"/>
      <c r="P4627" s="37"/>
    </row>
    <row r="4628" spans="2:16" x14ac:dyDescent="0.25">
      <c r="B46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8" s="46"/>
      <c r="D4628" s="37"/>
      <c r="E4628" s="37"/>
      <c r="F4628" s="37"/>
      <c r="G4628" s="40" t="str">
        <f>IF(tblMovimientos[[#This Row],[Producto]]="","",TRIM(LEFT(tblMovimientos[[#This Row],[Producto]],FIND(" · ",tblMovimientos[[#This Row],[Producto]]&amp;" · ")-1)))</f>
        <v/>
      </c>
      <c r="H4628" s="40" t="str">
        <f>IF(tblMovimientos[[#This Row],[SKU]]="","",IFERROR(INDEX(tblProductos[Unidad],MATCH(tblMovimientos[[#This Row],[SKU]],tblProductos[SKU],0)),"?"))</f>
        <v/>
      </c>
      <c r="I4628" s="39"/>
      <c r="J4628" s="47" t="str">
        <f>IF(tblMovimientos[[#This Row],[Tipo]]="","",IFERROR(INDEX(tblTiposMov[FactorStock],MATCH(tblMovimientos[[#This Row],[Tipo]],tblTiposMov[Tipo],0)),0))</f>
        <v/>
      </c>
      <c r="K46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8" s="37"/>
      <c r="O4628" s="37"/>
      <c r="P4628" s="37"/>
    </row>
    <row r="4629" spans="2:16" x14ac:dyDescent="0.25">
      <c r="B46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29" s="46"/>
      <c r="D4629" s="37"/>
      <c r="E4629" s="37"/>
      <c r="F4629" s="37"/>
      <c r="G4629" s="40" t="str">
        <f>IF(tblMovimientos[[#This Row],[Producto]]="","",TRIM(LEFT(tblMovimientos[[#This Row],[Producto]],FIND(" · ",tblMovimientos[[#This Row],[Producto]]&amp;" · ")-1)))</f>
        <v/>
      </c>
      <c r="H4629" s="40" t="str">
        <f>IF(tblMovimientos[[#This Row],[SKU]]="","",IFERROR(INDEX(tblProductos[Unidad],MATCH(tblMovimientos[[#This Row],[SKU]],tblProductos[SKU],0)),"?"))</f>
        <v/>
      </c>
      <c r="I4629" s="39"/>
      <c r="J4629" s="47" t="str">
        <f>IF(tblMovimientos[[#This Row],[Tipo]]="","",IFERROR(INDEX(tblTiposMov[FactorStock],MATCH(tblMovimientos[[#This Row],[Tipo]],tblTiposMov[Tipo],0)),0))</f>
        <v/>
      </c>
      <c r="K46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29" s="37"/>
      <c r="O4629" s="37"/>
      <c r="P4629" s="37"/>
    </row>
    <row r="4630" spans="2:16" x14ac:dyDescent="0.25">
      <c r="B46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0" s="46"/>
      <c r="D4630" s="37"/>
      <c r="E4630" s="37"/>
      <c r="F4630" s="37"/>
      <c r="G4630" s="40" t="str">
        <f>IF(tblMovimientos[[#This Row],[Producto]]="","",TRIM(LEFT(tblMovimientos[[#This Row],[Producto]],FIND(" · ",tblMovimientos[[#This Row],[Producto]]&amp;" · ")-1)))</f>
        <v/>
      </c>
      <c r="H4630" s="40" t="str">
        <f>IF(tblMovimientos[[#This Row],[SKU]]="","",IFERROR(INDEX(tblProductos[Unidad],MATCH(tblMovimientos[[#This Row],[SKU]],tblProductos[SKU],0)),"?"))</f>
        <v/>
      </c>
      <c r="I4630" s="39"/>
      <c r="J4630" s="47" t="str">
        <f>IF(tblMovimientos[[#This Row],[Tipo]]="","",IFERROR(INDEX(tblTiposMov[FactorStock],MATCH(tblMovimientos[[#This Row],[Tipo]],tblTiposMov[Tipo],0)),0))</f>
        <v/>
      </c>
      <c r="K46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0" s="37"/>
      <c r="O4630" s="37"/>
      <c r="P4630" s="37"/>
    </row>
    <row r="4631" spans="2:16" x14ac:dyDescent="0.25">
      <c r="B46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1" s="46"/>
      <c r="D4631" s="37"/>
      <c r="E4631" s="37"/>
      <c r="F4631" s="37"/>
      <c r="G4631" s="40" t="str">
        <f>IF(tblMovimientos[[#This Row],[Producto]]="","",TRIM(LEFT(tblMovimientos[[#This Row],[Producto]],FIND(" · ",tblMovimientos[[#This Row],[Producto]]&amp;" · ")-1)))</f>
        <v/>
      </c>
      <c r="H4631" s="40" t="str">
        <f>IF(tblMovimientos[[#This Row],[SKU]]="","",IFERROR(INDEX(tblProductos[Unidad],MATCH(tblMovimientos[[#This Row],[SKU]],tblProductos[SKU],0)),"?"))</f>
        <v/>
      </c>
      <c r="I4631" s="39"/>
      <c r="J4631" s="47" t="str">
        <f>IF(tblMovimientos[[#This Row],[Tipo]]="","",IFERROR(INDEX(tblTiposMov[FactorStock],MATCH(tblMovimientos[[#This Row],[Tipo]],tblTiposMov[Tipo],0)),0))</f>
        <v/>
      </c>
      <c r="K46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1" s="37"/>
      <c r="O4631" s="37"/>
      <c r="P4631" s="37"/>
    </row>
    <row r="4632" spans="2:16" x14ac:dyDescent="0.25">
      <c r="B46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2" s="46"/>
      <c r="D4632" s="37"/>
      <c r="E4632" s="37"/>
      <c r="F4632" s="37"/>
      <c r="G4632" s="40" t="str">
        <f>IF(tblMovimientos[[#This Row],[Producto]]="","",TRIM(LEFT(tblMovimientos[[#This Row],[Producto]],FIND(" · ",tblMovimientos[[#This Row],[Producto]]&amp;" · ")-1)))</f>
        <v/>
      </c>
      <c r="H4632" s="40" t="str">
        <f>IF(tblMovimientos[[#This Row],[SKU]]="","",IFERROR(INDEX(tblProductos[Unidad],MATCH(tblMovimientos[[#This Row],[SKU]],tblProductos[SKU],0)),"?"))</f>
        <v/>
      </c>
      <c r="I4632" s="39"/>
      <c r="J4632" s="47" t="str">
        <f>IF(tblMovimientos[[#This Row],[Tipo]]="","",IFERROR(INDEX(tblTiposMov[FactorStock],MATCH(tblMovimientos[[#This Row],[Tipo]],tblTiposMov[Tipo],0)),0))</f>
        <v/>
      </c>
      <c r="K46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2" s="37"/>
      <c r="O4632" s="37"/>
      <c r="P4632" s="37"/>
    </row>
    <row r="4633" spans="2:16" x14ac:dyDescent="0.25">
      <c r="B46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3" s="46"/>
      <c r="D4633" s="37"/>
      <c r="E4633" s="37"/>
      <c r="F4633" s="37"/>
      <c r="G4633" s="40" t="str">
        <f>IF(tblMovimientos[[#This Row],[Producto]]="","",TRIM(LEFT(tblMovimientos[[#This Row],[Producto]],FIND(" · ",tblMovimientos[[#This Row],[Producto]]&amp;" · ")-1)))</f>
        <v/>
      </c>
      <c r="H4633" s="40" t="str">
        <f>IF(tblMovimientos[[#This Row],[SKU]]="","",IFERROR(INDEX(tblProductos[Unidad],MATCH(tblMovimientos[[#This Row],[SKU]],tblProductos[SKU],0)),"?"))</f>
        <v/>
      </c>
      <c r="I4633" s="39"/>
      <c r="J4633" s="47" t="str">
        <f>IF(tblMovimientos[[#This Row],[Tipo]]="","",IFERROR(INDEX(tblTiposMov[FactorStock],MATCH(tblMovimientos[[#This Row],[Tipo]],tblTiposMov[Tipo],0)),0))</f>
        <v/>
      </c>
      <c r="K46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3" s="37"/>
      <c r="O4633" s="37"/>
      <c r="P4633" s="37"/>
    </row>
    <row r="4634" spans="2:16" x14ac:dyDescent="0.25">
      <c r="B46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4" s="46"/>
      <c r="D4634" s="37"/>
      <c r="E4634" s="37"/>
      <c r="F4634" s="37"/>
      <c r="G4634" s="40" t="str">
        <f>IF(tblMovimientos[[#This Row],[Producto]]="","",TRIM(LEFT(tblMovimientos[[#This Row],[Producto]],FIND(" · ",tblMovimientos[[#This Row],[Producto]]&amp;" · ")-1)))</f>
        <v/>
      </c>
      <c r="H4634" s="40" t="str">
        <f>IF(tblMovimientos[[#This Row],[SKU]]="","",IFERROR(INDEX(tblProductos[Unidad],MATCH(tblMovimientos[[#This Row],[SKU]],tblProductos[SKU],0)),"?"))</f>
        <v/>
      </c>
      <c r="I4634" s="39"/>
      <c r="J4634" s="47" t="str">
        <f>IF(tblMovimientos[[#This Row],[Tipo]]="","",IFERROR(INDEX(tblTiposMov[FactorStock],MATCH(tblMovimientos[[#This Row],[Tipo]],tblTiposMov[Tipo],0)),0))</f>
        <v/>
      </c>
      <c r="K46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4" s="37"/>
      <c r="O4634" s="37"/>
      <c r="P4634" s="37"/>
    </row>
    <row r="4635" spans="2:16" x14ac:dyDescent="0.25">
      <c r="B46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5" s="46"/>
      <c r="D4635" s="37"/>
      <c r="E4635" s="37"/>
      <c r="F4635" s="37"/>
      <c r="G4635" s="40" t="str">
        <f>IF(tblMovimientos[[#This Row],[Producto]]="","",TRIM(LEFT(tblMovimientos[[#This Row],[Producto]],FIND(" · ",tblMovimientos[[#This Row],[Producto]]&amp;" · ")-1)))</f>
        <v/>
      </c>
      <c r="H4635" s="40" t="str">
        <f>IF(tblMovimientos[[#This Row],[SKU]]="","",IFERROR(INDEX(tblProductos[Unidad],MATCH(tblMovimientos[[#This Row],[SKU]],tblProductos[SKU],0)),"?"))</f>
        <v/>
      </c>
      <c r="I4635" s="39"/>
      <c r="J4635" s="47" t="str">
        <f>IF(tblMovimientos[[#This Row],[Tipo]]="","",IFERROR(INDEX(tblTiposMov[FactorStock],MATCH(tblMovimientos[[#This Row],[Tipo]],tblTiposMov[Tipo],0)),0))</f>
        <v/>
      </c>
      <c r="K46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5" s="37"/>
      <c r="O4635" s="37"/>
      <c r="P4635" s="37"/>
    </row>
    <row r="4636" spans="2:16" x14ac:dyDescent="0.25">
      <c r="B46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6" s="46"/>
      <c r="D4636" s="37"/>
      <c r="E4636" s="37"/>
      <c r="F4636" s="37"/>
      <c r="G4636" s="40" t="str">
        <f>IF(tblMovimientos[[#This Row],[Producto]]="","",TRIM(LEFT(tblMovimientos[[#This Row],[Producto]],FIND(" · ",tblMovimientos[[#This Row],[Producto]]&amp;" · ")-1)))</f>
        <v/>
      </c>
      <c r="H4636" s="40" t="str">
        <f>IF(tblMovimientos[[#This Row],[SKU]]="","",IFERROR(INDEX(tblProductos[Unidad],MATCH(tblMovimientos[[#This Row],[SKU]],tblProductos[SKU],0)),"?"))</f>
        <v/>
      </c>
      <c r="I4636" s="39"/>
      <c r="J4636" s="47" t="str">
        <f>IF(tblMovimientos[[#This Row],[Tipo]]="","",IFERROR(INDEX(tblTiposMov[FactorStock],MATCH(tblMovimientos[[#This Row],[Tipo]],tblTiposMov[Tipo],0)),0))</f>
        <v/>
      </c>
      <c r="K46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6" s="37"/>
      <c r="O4636" s="37"/>
      <c r="P4636" s="37"/>
    </row>
    <row r="4637" spans="2:16" x14ac:dyDescent="0.25">
      <c r="B46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7" s="46"/>
      <c r="D4637" s="37"/>
      <c r="E4637" s="37"/>
      <c r="F4637" s="37"/>
      <c r="G4637" s="40" t="str">
        <f>IF(tblMovimientos[[#This Row],[Producto]]="","",TRIM(LEFT(tblMovimientos[[#This Row],[Producto]],FIND(" · ",tblMovimientos[[#This Row],[Producto]]&amp;" · ")-1)))</f>
        <v/>
      </c>
      <c r="H4637" s="40" t="str">
        <f>IF(tblMovimientos[[#This Row],[SKU]]="","",IFERROR(INDEX(tblProductos[Unidad],MATCH(tblMovimientos[[#This Row],[SKU]],tblProductos[SKU],0)),"?"))</f>
        <v/>
      </c>
      <c r="I4637" s="39"/>
      <c r="J4637" s="47" t="str">
        <f>IF(tblMovimientos[[#This Row],[Tipo]]="","",IFERROR(INDEX(tblTiposMov[FactorStock],MATCH(tblMovimientos[[#This Row],[Tipo]],tblTiposMov[Tipo],0)),0))</f>
        <v/>
      </c>
      <c r="K46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7" s="37"/>
      <c r="O4637" s="37"/>
      <c r="P4637" s="37"/>
    </row>
    <row r="4638" spans="2:16" x14ac:dyDescent="0.25">
      <c r="B46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8" s="46"/>
      <c r="D4638" s="37"/>
      <c r="E4638" s="37"/>
      <c r="F4638" s="37"/>
      <c r="G4638" s="40" t="str">
        <f>IF(tblMovimientos[[#This Row],[Producto]]="","",TRIM(LEFT(tblMovimientos[[#This Row],[Producto]],FIND(" · ",tblMovimientos[[#This Row],[Producto]]&amp;" · ")-1)))</f>
        <v/>
      </c>
      <c r="H4638" s="40" t="str">
        <f>IF(tblMovimientos[[#This Row],[SKU]]="","",IFERROR(INDEX(tblProductos[Unidad],MATCH(tblMovimientos[[#This Row],[SKU]],tblProductos[SKU],0)),"?"))</f>
        <v/>
      </c>
      <c r="I4638" s="39"/>
      <c r="J4638" s="47" t="str">
        <f>IF(tblMovimientos[[#This Row],[Tipo]]="","",IFERROR(INDEX(tblTiposMov[FactorStock],MATCH(tblMovimientos[[#This Row],[Tipo]],tblTiposMov[Tipo],0)),0))</f>
        <v/>
      </c>
      <c r="K46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8" s="37"/>
      <c r="O4638" s="37"/>
      <c r="P4638" s="37"/>
    </row>
    <row r="4639" spans="2:16" x14ac:dyDescent="0.25">
      <c r="B46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39" s="46"/>
      <c r="D4639" s="37"/>
      <c r="E4639" s="37"/>
      <c r="F4639" s="37"/>
      <c r="G4639" s="40" t="str">
        <f>IF(tblMovimientos[[#This Row],[Producto]]="","",TRIM(LEFT(tblMovimientos[[#This Row],[Producto]],FIND(" · ",tblMovimientos[[#This Row],[Producto]]&amp;" · ")-1)))</f>
        <v/>
      </c>
      <c r="H4639" s="40" t="str">
        <f>IF(tblMovimientos[[#This Row],[SKU]]="","",IFERROR(INDEX(tblProductos[Unidad],MATCH(tblMovimientos[[#This Row],[SKU]],tblProductos[SKU],0)),"?"))</f>
        <v/>
      </c>
      <c r="I4639" s="39"/>
      <c r="J4639" s="47" t="str">
        <f>IF(tblMovimientos[[#This Row],[Tipo]]="","",IFERROR(INDEX(tblTiposMov[FactorStock],MATCH(tblMovimientos[[#This Row],[Tipo]],tblTiposMov[Tipo],0)),0))</f>
        <v/>
      </c>
      <c r="K46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39" s="37"/>
      <c r="O4639" s="37"/>
      <c r="P4639" s="37"/>
    </row>
    <row r="4640" spans="2:16" x14ac:dyDescent="0.25">
      <c r="B46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0" s="46"/>
      <c r="D4640" s="37"/>
      <c r="E4640" s="37"/>
      <c r="F4640" s="37"/>
      <c r="G4640" s="40" t="str">
        <f>IF(tblMovimientos[[#This Row],[Producto]]="","",TRIM(LEFT(tblMovimientos[[#This Row],[Producto]],FIND(" · ",tblMovimientos[[#This Row],[Producto]]&amp;" · ")-1)))</f>
        <v/>
      </c>
      <c r="H4640" s="40" t="str">
        <f>IF(tblMovimientos[[#This Row],[SKU]]="","",IFERROR(INDEX(tblProductos[Unidad],MATCH(tblMovimientos[[#This Row],[SKU]],tblProductos[SKU],0)),"?"))</f>
        <v/>
      </c>
      <c r="I4640" s="39"/>
      <c r="J4640" s="47" t="str">
        <f>IF(tblMovimientos[[#This Row],[Tipo]]="","",IFERROR(INDEX(tblTiposMov[FactorStock],MATCH(tblMovimientos[[#This Row],[Tipo]],tblTiposMov[Tipo],0)),0))</f>
        <v/>
      </c>
      <c r="K46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0" s="37"/>
      <c r="O4640" s="37"/>
      <c r="P4640" s="37"/>
    </row>
    <row r="4641" spans="2:16" x14ac:dyDescent="0.25">
      <c r="B46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1" s="46"/>
      <c r="D4641" s="37"/>
      <c r="E4641" s="37"/>
      <c r="F4641" s="37"/>
      <c r="G4641" s="40" t="str">
        <f>IF(tblMovimientos[[#This Row],[Producto]]="","",TRIM(LEFT(tblMovimientos[[#This Row],[Producto]],FIND(" · ",tblMovimientos[[#This Row],[Producto]]&amp;" · ")-1)))</f>
        <v/>
      </c>
      <c r="H4641" s="40" t="str">
        <f>IF(tblMovimientos[[#This Row],[SKU]]="","",IFERROR(INDEX(tblProductos[Unidad],MATCH(tblMovimientos[[#This Row],[SKU]],tblProductos[SKU],0)),"?"))</f>
        <v/>
      </c>
      <c r="I4641" s="39"/>
      <c r="J4641" s="47" t="str">
        <f>IF(tblMovimientos[[#This Row],[Tipo]]="","",IFERROR(INDEX(tblTiposMov[FactorStock],MATCH(tblMovimientos[[#This Row],[Tipo]],tblTiposMov[Tipo],0)),0))</f>
        <v/>
      </c>
      <c r="K46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1" s="37"/>
      <c r="O4641" s="37"/>
      <c r="P4641" s="37"/>
    </row>
    <row r="4642" spans="2:16" x14ac:dyDescent="0.25">
      <c r="B46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2" s="46"/>
      <c r="D4642" s="37"/>
      <c r="E4642" s="37"/>
      <c r="F4642" s="37"/>
      <c r="G4642" s="40" t="str">
        <f>IF(tblMovimientos[[#This Row],[Producto]]="","",TRIM(LEFT(tblMovimientos[[#This Row],[Producto]],FIND(" · ",tblMovimientos[[#This Row],[Producto]]&amp;" · ")-1)))</f>
        <v/>
      </c>
      <c r="H4642" s="40" t="str">
        <f>IF(tblMovimientos[[#This Row],[SKU]]="","",IFERROR(INDEX(tblProductos[Unidad],MATCH(tblMovimientos[[#This Row],[SKU]],tblProductos[SKU],0)),"?"))</f>
        <v/>
      </c>
      <c r="I4642" s="39"/>
      <c r="J4642" s="47" t="str">
        <f>IF(tblMovimientos[[#This Row],[Tipo]]="","",IFERROR(INDEX(tblTiposMov[FactorStock],MATCH(tblMovimientos[[#This Row],[Tipo]],tblTiposMov[Tipo],0)),0))</f>
        <v/>
      </c>
      <c r="K46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2" s="37"/>
      <c r="O4642" s="37"/>
      <c r="P4642" s="37"/>
    </row>
    <row r="4643" spans="2:16" x14ac:dyDescent="0.25">
      <c r="B46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3" s="46"/>
      <c r="D4643" s="37"/>
      <c r="E4643" s="37"/>
      <c r="F4643" s="37"/>
      <c r="G4643" s="40" t="str">
        <f>IF(tblMovimientos[[#This Row],[Producto]]="","",TRIM(LEFT(tblMovimientos[[#This Row],[Producto]],FIND(" · ",tblMovimientos[[#This Row],[Producto]]&amp;" · ")-1)))</f>
        <v/>
      </c>
      <c r="H4643" s="40" t="str">
        <f>IF(tblMovimientos[[#This Row],[SKU]]="","",IFERROR(INDEX(tblProductos[Unidad],MATCH(tblMovimientos[[#This Row],[SKU]],tblProductos[SKU],0)),"?"))</f>
        <v/>
      </c>
      <c r="I4643" s="39"/>
      <c r="J4643" s="47" t="str">
        <f>IF(tblMovimientos[[#This Row],[Tipo]]="","",IFERROR(INDEX(tblTiposMov[FactorStock],MATCH(tblMovimientos[[#This Row],[Tipo]],tblTiposMov[Tipo],0)),0))</f>
        <v/>
      </c>
      <c r="K46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3" s="37"/>
      <c r="O4643" s="37"/>
      <c r="P4643" s="37"/>
    </row>
    <row r="4644" spans="2:16" x14ac:dyDescent="0.25">
      <c r="B46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4" s="46"/>
      <c r="D4644" s="37"/>
      <c r="E4644" s="37"/>
      <c r="F4644" s="37"/>
      <c r="G4644" s="40" t="str">
        <f>IF(tblMovimientos[[#This Row],[Producto]]="","",TRIM(LEFT(tblMovimientos[[#This Row],[Producto]],FIND(" · ",tblMovimientos[[#This Row],[Producto]]&amp;" · ")-1)))</f>
        <v/>
      </c>
      <c r="H4644" s="40" t="str">
        <f>IF(tblMovimientos[[#This Row],[SKU]]="","",IFERROR(INDEX(tblProductos[Unidad],MATCH(tblMovimientos[[#This Row],[SKU]],tblProductos[SKU],0)),"?"))</f>
        <v/>
      </c>
      <c r="I4644" s="39"/>
      <c r="J4644" s="47" t="str">
        <f>IF(tblMovimientos[[#This Row],[Tipo]]="","",IFERROR(INDEX(tblTiposMov[FactorStock],MATCH(tblMovimientos[[#This Row],[Tipo]],tblTiposMov[Tipo],0)),0))</f>
        <v/>
      </c>
      <c r="K46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4" s="37"/>
      <c r="O4644" s="37"/>
      <c r="P4644" s="37"/>
    </row>
    <row r="4645" spans="2:16" x14ac:dyDescent="0.25">
      <c r="B46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5" s="46"/>
      <c r="D4645" s="37"/>
      <c r="E4645" s="37"/>
      <c r="F4645" s="37"/>
      <c r="G4645" s="40" t="str">
        <f>IF(tblMovimientos[[#This Row],[Producto]]="","",TRIM(LEFT(tblMovimientos[[#This Row],[Producto]],FIND(" · ",tblMovimientos[[#This Row],[Producto]]&amp;" · ")-1)))</f>
        <v/>
      </c>
      <c r="H4645" s="40" t="str">
        <f>IF(tblMovimientos[[#This Row],[SKU]]="","",IFERROR(INDEX(tblProductos[Unidad],MATCH(tblMovimientos[[#This Row],[SKU]],tblProductos[SKU],0)),"?"))</f>
        <v/>
      </c>
      <c r="I4645" s="39"/>
      <c r="J4645" s="47" t="str">
        <f>IF(tblMovimientos[[#This Row],[Tipo]]="","",IFERROR(INDEX(tblTiposMov[FactorStock],MATCH(tblMovimientos[[#This Row],[Tipo]],tblTiposMov[Tipo],0)),0))</f>
        <v/>
      </c>
      <c r="K46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5" s="37"/>
      <c r="O4645" s="37"/>
      <c r="P4645" s="37"/>
    </row>
    <row r="4646" spans="2:16" x14ac:dyDescent="0.25">
      <c r="B46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6" s="46"/>
      <c r="D4646" s="37"/>
      <c r="E4646" s="37"/>
      <c r="F4646" s="37"/>
      <c r="G4646" s="40" t="str">
        <f>IF(tblMovimientos[[#This Row],[Producto]]="","",TRIM(LEFT(tblMovimientos[[#This Row],[Producto]],FIND(" · ",tblMovimientos[[#This Row],[Producto]]&amp;" · ")-1)))</f>
        <v/>
      </c>
      <c r="H4646" s="40" t="str">
        <f>IF(tblMovimientos[[#This Row],[SKU]]="","",IFERROR(INDEX(tblProductos[Unidad],MATCH(tblMovimientos[[#This Row],[SKU]],tblProductos[SKU],0)),"?"))</f>
        <v/>
      </c>
      <c r="I4646" s="39"/>
      <c r="J4646" s="47" t="str">
        <f>IF(tblMovimientos[[#This Row],[Tipo]]="","",IFERROR(INDEX(tblTiposMov[FactorStock],MATCH(tblMovimientos[[#This Row],[Tipo]],tblTiposMov[Tipo],0)),0))</f>
        <v/>
      </c>
      <c r="K46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6" s="37"/>
      <c r="O4646" s="37"/>
      <c r="P4646" s="37"/>
    </row>
    <row r="4647" spans="2:16" x14ac:dyDescent="0.25">
      <c r="B46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7" s="46"/>
      <c r="D4647" s="37"/>
      <c r="E4647" s="37"/>
      <c r="F4647" s="37"/>
      <c r="G4647" s="40" t="str">
        <f>IF(tblMovimientos[[#This Row],[Producto]]="","",TRIM(LEFT(tblMovimientos[[#This Row],[Producto]],FIND(" · ",tblMovimientos[[#This Row],[Producto]]&amp;" · ")-1)))</f>
        <v/>
      </c>
      <c r="H4647" s="40" t="str">
        <f>IF(tblMovimientos[[#This Row],[SKU]]="","",IFERROR(INDEX(tblProductos[Unidad],MATCH(tblMovimientos[[#This Row],[SKU]],tblProductos[SKU],0)),"?"))</f>
        <v/>
      </c>
      <c r="I4647" s="39"/>
      <c r="J4647" s="47" t="str">
        <f>IF(tblMovimientos[[#This Row],[Tipo]]="","",IFERROR(INDEX(tblTiposMov[FactorStock],MATCH(tblMovimientos[[#This Row],[Tipo]],tblTiposMov[Tipo],0)),0))</f>
        <v/>
      </c>
      <c r="K46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7" s="37"/>
      <c r="O4647" s="37"/>
      <c r="P4647" s="37"/>
    </row>
    <row r="4648" spans="2:16" x14ac:dyDescent="0.25">
      <c r="B46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8" s="46"/>
      <c r="D4648" s="37"/>
      <c r="E4648" s="37"/>
      <c r="F4648" s="37"/>
      <c r="G4648" s="40" t="str">
        <f>IF(tblMovimientos[[#This Row],[Producto]]="","",TRIM(LEFT(tblMovimientos[[#This Row],[Producto]],FIND(" · ",tblMovimientos[[#This Row],[Producto]]&amp;" · ")-1)))</f>
        <v/>
      </c>
      <c r="H4648" s="40" t="str">
        <f>IF(tblMovimientos[[#This Row],[SKU]]="","",IFERROR(INDEX(tblProductos[Unidad],MATCH(tblMovimientos[[#This Row],[SKU]],tblProductos[SKU],0)),"?"))</f>
        <v/>
      </c>
      <c r="I4648" s="39"/>
      <c r="J4648" s="47" t="str">
        <f>IF(tblMovimientos[[#This Row],[Tipo]]="","",IFERROR(INDEX(tblTiposMov[FactorStock],MATCH(tblMovimientos[[#This Row],[Tipo]],tblTiposMov[Tipo],0)),0))</f>
        <v/>
      </c>
      <c r="K46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8" s="37"/>
      <c r="O4648" s="37"/>
      <c r="P4648" s="37"/>
    </row>
    <row r="4649" spans="2:16" x14ac:dyDescent="0.25">
      <c r="B46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49" s="46"/>
      <c r="D4649" s="37"/>
      <c r="E4649" s="37"/>
      <c r="F4649" s="37"/>
      <c r="G4649" s="40" t="str">
        <f>IF(tblMovimientos[[#This Row],[Producto]]="","",TRIM(LEFT(tblMovimientos[[#This Row],[Producto]],FIND(" · ",tblMovimientos[[#This Row],[Producto]]&amp;" · ")-1)))</f>
        <v/>
      </c>
      <c r="H4649" s="40" t="str">
        <f>IF(tblMovimientos[[#This Row],[SKU]]="","",IFERROR(INDEX(tblProductos[Unidad],MATCH(tblMovimientos[[#This Row],[SKU]],tblProductos[SKU],0)),"?"))</f>
        <v/>
      </c>
      <c r="I4649" s="39"/>
      <c r="J4649" s="47" t="str">
        <f>IF(tblMovimientos[[#This Row],[Tipo]]="","",IFERROR(INDEX(tblTiposMov[FactorStock],MATCH(tblMovimientos[[#This Row],[Tipo]],tblTiposMov[Tipo],0)),0))</f>
        <v/>
      </c>
      <c r="K46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49" s="37"/>
      <c r="O4649" s="37"/>
      <c r="P4649" s="37"/>
    </row>
    <row r="4650" spans="2:16" x14ac:dyDescent="0.25">
      <c r="B46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0" s="46"/>
      <c r="D4650" s="37"/>
      <c r="E4650" s="37"/>
      <c r="F4650" s="37"/>
      <c r="G4650" s="40" t="str">
        <f>IF(tblMovimientos[[#This Row],[Producto]]="","",TRIM(LEFT(tblMovimientos[[#This Row],[Producto]],FIND(" · ",tblMovimientos[[#This Row],[Producto]]&amp;" · ")-1)))</f>
        <v/>
      </c>
      <c r="H4650" s="40" t="str">
        <f>IF(tblMovimientos[[#This Row],[SKU]]="","",IFERROR(INDEX(tblProductos[Unidad],MATCH(tblMovimientos[[#This Row],[SKU]],tblProductos[SKU],0)),"?"))</f>
        <v/>
      </c>
      <c r="I4650" s="39"/>
      <c r="J4650" s="47" t="str">
        <f>IF(tblMovimientos[[#This Row],[Tipo]]="","",IFERROR(INDEX(tblTiposMov[FactorStock],MATCH(tblMovimientos[[#This Row],[Tipo]],tblTiposMov[Tipo],0)),0))</f>
        <v/>
      </c>
      <c r="K46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0" s="37"/>
      <c r="O4650" s="37"/>
      <c r="P4650" s="37"/>
    </row>
    <row r="4651" spans="2:16" x14ac:dyDescent="0.25">
      <c r="B46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1" s="46"/>
      <c r="D4651" s="37"/>
      <c r="E4651" s="37"/>
      <c r="F4651" s="37"/>
      <c r="G4651" s="40" t="str">
        <f>IF(tblMovimientos[[#This Row],[Producto]]="","",TRIM(LEFT(tblMovimientos[[#This Row],[Producto]],FIND(" · ",tblMovimientos[[#This Row],[Producto]]&amp;" · ")-1)))</f>
        <v/>
      </c>
      <c r="H4651" s="40" t="str">
        <f>IF(tblMovimientos[[#This Row],[SKU]]="","",IFERROR(INDEX(tblProductos[Unidad],MATCH(tblMovimientos[[#This Row],[SKU]],tblProductos[SKU],0)),"?"))</f>
        <v/>
      </c>
      <c r="I4651" s="39"/>
      <c r="J4651" s="47" t="str">
        <f>IF(tblMovimientos[[#This Row],[Tipo]]="","",IFERROR(INDEX(tblTiposMov[FactorStock],MATCH(tblMovimientos[[#This Row],[Tipo]],tblTiposMov[Tipo],0)),0))</f>
        <v/>
      </c>
      <c r="K46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1" s="37"/>
      <c r="O4651" s="37"/>
      <c r="P4651" s="37"/>
    </row>
    <row r="4652" spans="2:16" x14ac:dyDescent="0.25">
      <c r="B46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2" s="46"/>
      <c r="D4652" s="37"/>
      <c r="E4652" s="37"/>
      <c r="F4652" s="37"/>
      <c r="G4652" s="40" t="str">
        <f>IF(tblMovimientos[[#This Row],[Producto]]="","",TRIM(LEFT(tblMovimientos[[#This Row],[Producto]],FIND(" · ",tblMovimientos[[#This Row],[Producto]]&amp;" · ")-1)))</f>
        <v/>
      </c>
      <c r="H4652" s="40" t="str">
        <f>IF(tblMovimientos[[#This Row],[SKU]]="","",IFERROR(INDEX(tblProductos[Unidad],MATCH(tblMovimientos[[#This Row],[SKU]],tblProductos[SKU],0)),"?"))</f>
        <v/>
      </c>
      <c r="I4652" s="39"/>
      <c r="J4652" s="47" t="str">
        <f>IF(tblMovimientos[[#This Row],[Tipo]]="","",IFERROR(INDEX(tblTiposMov[FactorStock],MATCH(tblMovimientos[[#This Row],[Tipo]],tblTiposMov[Tipo],0)),0))</f>
        <v/>
      </c>
      <c r="K46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2" s="37"/>
      <c r="O4652" s="37"/>
      <c r="P4652" s="37"/>
    </row>
    <row r="4653" spans="2:16" x14ac:dyDescent="0.25">
      <c r="B46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3" s="46"/>
      <c r="D4653" s="37"/>
      <c r="E4653" s="37"/>
      <c r="F4653" s="37"/>
      <c r="G4653" s="40" t="str">
        <f>IF(tblMovimientos[[#This Row],[Producto]]="","",TRIM(LEFT(tblMovimientos[[#This Row],[Producto]],FIND(" · ",tblMovimientos[[#This Row],[Producto]]&amp;" · ")-1)))</f>
        <v/>
      </c>
      <c r="H4653" s="40" t="str">
        <f>IF(tblMovimientos[[#This Row],[SKU]]="","",IFERROR(INDEX(tblProductos[Unidad],MATCH(tblMovimientos[[#This Row],[SKU]],tblProductos[SKU],0)),"?"))</f>
        <v/>
      </c>
      <c r="I4653" s="39"/>
      <c r="J4653" s="47" t="str">
        <f>IF(tblMovimientos[[#This Row],[Tipo]]="","",IFERROR(INDEX(tblTiposMov[FactorStock],MATCH(tblMovimientos[[#This Row],[Tipo]],tblTiposMov[Tipo],0)),0))</f>
        <v/>
      </c>
      <c r="K46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3" s="37"/>
      <c r="O4653" s="37"/>
      <c r="P4653" s="37"/>
    </row>
    <row r="4654" spans="2:16" x14ac:dyDescent="0.25">
      <c r="B46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4" s="46"/>
      <c r="D4654" s="37"/>
      <c r="E4654" s="37"/>
      <c r="F4654" s="37"/>
      <c r="G4654" s="40" t="str">
        <f>IF(tblMovimientos[[#This Row],[Producto]]="","",TRIM(LEFT(tblMovimientos[[#This Row],[Producto]],FIND(" · ",tblMovimientos[[#This Row],[Producto]]&amp;" · ")-1)))</f>
        <v/>
      </c>
      <c r="H4654" s="40" t="str">
        <f>IF(tblMovimientos[[#This Row],[SKU]]="","",IFERROR(INDEX(tblProductos[Unidad],MATCH(tblMovimientos[[#This Row],[SKU]],tblProductos[SKU],0)),"?"))</f>
        <v/>
      </c>
      <c r="I4654" s="39"/>
      <c r="J4654" s="47" t="str">
        <f>IF(tblMovimientos[[#This Row],[Tipo]]="","",IFERROR(INDEX(tblTiposMov[FactorStock],MATCH(tblMovimientos[[#This Row],[Tipo]],tblTiposMov[Tipo],0)),0))</f>
        <v/>
      </c>
      <c r="K46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4" s="37"/>
      <c r="O4654" s="37"/>
      <c r="P4654" s="37"/>
    </row>
    <row r="4655" spans="2:16" x14ac:dyDescent="0.25">
      <c r="B46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5" s="46"/>
      <c r="D4655" s="37"/>
      <c r="E4655" s="37"/>
      <c r="F4655" s="37"/>
      <c r="G4655" s="40" t="str">
        <f>IF(tblMovimientos[[#This Row],[Producto]]="","",TRIM(LEFT(tblMovimientos[[#This Row],[Producto]],FIND(" · ",tblMovimientos[[#This Row],[Producto]]&amp;" · ")-1)))</f>
        <v/>
      </c>
      <c r="H4655" s="40" t="str">
        <f>IF(tblMovimientos[[#This Row],[SKU]]="","",IFERROR(INDEX(tblProductos[Unidad],MATCH(tblMovimientos[[#This Row],[SKU]],tblProductos[SKU],0)),"?"))</f>
        <v/>
      </c>
      <c r="I4655" s="39"/>
      <c r="J4655" s="47" t="str">
        <f>IF(tblMovimientos[[#This Row],[Tipo]]="","",IFERROR(INDEX(tblTiposMov[FactorStock],MATCH(tblMovimientos[[#This Row],[Tipo]],tblTiposMov[Tipo],0)),0))</f>
        <v/>
      </c>
      <c r="K46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5" s="37"/>
      <c r="O4655" s="37"/>
      <c r="P4655" s="37"/>
    </row>
    <row r="4656" spans="2:16" x14ac:dyDescent="0.25">
      <c r="B46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6" s="46"/>
      <c r="D4656" s="37"/>
      <c r="E4656" s="37"/>
      <c r="F4656" s="37"/>
      <c r="G4656" s="40" t="str">
        <f>IF(tblMovimientos[[#This Row],[Producto]]="","",TRIM(LEFT(tblMovimientos[[#This Row],[Producto]],FIND(" · ",tblMovimientos[[#This Row],[Producto]]&amp;" · ")-1)))</f>
        <v/>
      </c>
      <c r="H4656" s="40" t="str">
        <f>IF(tblMovimientos[[#This Row],[SKU]]="","",IFERROR(INDEX(tblProductos[Unidad],MATCH(tblMovimientos[[#This Row],[SKU]],tblProductos[SKU],0)),"?"))</f>
        <v/>
      </c>
      <c r="I4656" s="39"/>
      <c r="J4656" s="47" t="str">
        <f>IF(tblMovimientos[[#This Row],[Tipo]]="","",IFERROR(INDEX(tblTiposMov[FactorStock],MATCH(tblMovimientos[[#This Row],[Tipo]],tblTiposMov[Tipo],0)),0))</f>
        <v/>
      </c>
      <c r="K46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6" s="37"/>
      <c r="O4656" s="37"/>
      <c r="P4656" s="37"/>
    </row>
    <row r="4657" spans="2:16" x14ac:dyDescent="0.25">
      <c r="B46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7" s="46"/>
      <c r="D4657" s="37"/>
      <c r="E4657" s="37"/>
      <c r="F4657" s="37"/>
      <c r="G4657" s="40" t="str">
        <f>IF(tblMovimientos[[#This Row],[Producto]]="","",TRIM(LEFT(tblMovimientos[[#This Row],[Producto]],FIND(" · ",tblMovimientos[[#This Row],[Producto]]&amp;" · ")-1)))</f>
        <v/>
      </c>
      <c r="H4657" s="40" t="str">
        <f>IF(tblMovimientos[[#This Row],[SKU]]="","",IFERROR(INDEX(tblProductos[Unidad],MATCH(tblMovimientos[[#This Row],[SKU]],tblProductos[SKU],0)),"?"))</f>
        <v/>
      </c>
      <c r="I4657" s="39"/>
      <c r="J4657" s="47" t="str">
        <f>IF(tblMovimientos[[#This Row],[Tipo]]="","",IFERROR(INDEX(tblTiposMov[FactorStock],MATCH(tblMovimientos[[#This Row],[Tipo]],tblTiposMov[Tipo],0)),0))</f>
        <v/>
      </c>
      <c r="K46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7" s="37"/>
      <c r="O4657" s="37"/>
      <c r="P4657" s="37"/>
    </row>
    <row r="4658" spans="2:16" x14ac:dyDescent="0.25">
      <c r="B46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8" s="46"/>
      <c r="D4658" s="37"/>
      <c r="E4658" s="37"/>
      <c r="F4658" s="37"/>
      <c r="G4658" s="40" t="str">
        <f>IF(tblMovimientos[[#This Row],[Producto]]="","",TRIM(LEFT(tblMovimientos[[#This Row],[Producto]],FIND(" · ",tblMovimientos[[#This Row],[Producto]]&amp;" · ")-1)))</f>
        <v/>
      </c>
      <c r="H4658" s="40" t="str">
        <f>IF(tblMovimientos[[#This Row],[SKU]]="","",IFERROR(INDEX(tblProductos[Unidad],MATCH(tblMovimientos[[#This Row],[SKU]],tblProductos[SKU],0)),"?"))</f>
        <v/>
      </c>
      <c r="I4658" s="39"/>
      <c r="J4658" s="47" t="str">
        <f>IF(tblMovimientos[[#This Row],[Tipo]]="","",IFERROR(INDEX(tblTiposMov[FactorStock],MATCH(tblMovimientos[[#This Row],[Tipo]],tblTiposMov[Tipo],0)),0))</f>
        <v/>
      </c>
      <c r="K46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8" s="37"/>
      <c r="O4658" s="37"/>
      <c r="P4658" s="37"/>
    </row>
    <row r="4659" spans="2:16" x14ac:dyDescent="0.25">
      <c r="B46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59" s="46"/>
      <c r="D4659" s="37"/>
      <c r="E4659" s="37"/>
      <c r="F4659" s="37"/>
      <c r="G4659" s="40" t="str">
        <f>IF(tblMovimientos[[#This Row],[Producto]]="","",TRIM(LEFT(tblMovimientos[[#This Row],[Producto]],FIND(" · ",tblMovimientos[[#This Row],[Producto]]&amp;" · ")-1)))</f>
        <v/>
      </c>
      <c r="H4659" s="40" t="str">
        <f>IF(tblMovimientos[[#This Row],[SKU]]="","",IFERROR(INDEX(tblProductos[Unidad],MATCH(tblMovimientos[[#This Row],[SKU]],tblProductos[SKU],0)),"?"))</f>
        <v/>
      </c>
      <c r="I4659" s="39"/>
      <c r="J4659" s="47" t="str">
        <f>IF(tblMovimientos[[#This Row],[Tipo]]="","",IFERROR(INDEX(tblTiposMov[FactorStock],MATCH(tblMovimientos[[#This Row],[Tipo]],tblTiposMov[Tipo],0)),0))</f>
        <v/>
      </c>
      <c r="K46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59" s="37"/>
      <c r="O4659" s="37"/>
      <c r="P4659" s="37"/>
    </row>
    <row r="4660" spans="2:16" x14ac:dyDescent="0.25">
      <c r="B46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0" s="46"/>
      <c r="D4660" s="37"/>
      <c r="E4660" s="37"/>
      <c r="F4660" s="37"/>
      <c r="G4660" s="40" t="str">
        <f>IF(tblMovimientos[[#This Row],[Producto]]="","",TRIM(LEFT(tblMovimientos[[#This Row],[Producto]],FIND(" · ",tblMovimientos[[#This Row],[Producto]]&amp;" · ")-1)))</f>
        <v/>
      </c>
      <c r="H4660" s="40" t="str">
        <f>IF(tblMovimientos[[#This Row],[SKU]]="","",IFERROR(INDEX(tblProductos[Unidad],MATCH(tblMovimientos[[#This Row],[SKU]],tblProductos[SKU],0)),"?"))</f>
        <v/>
      </c>
      <c r="I4660" s="39"/>
      <c r="J4660" s="47" t="str">
        <f>IF(tblMovimientos[[#This Row],[Tipo]]="","",IFERROR(INDEX(tblTiposMov[FactorStock],MATCH(tblMovimientos[[#This Row],[Tipo]],tblTiposMov[Tipo],0)),0))</f>
        <v/>
      </c>
      <c r="K46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0" s="37"/>
      <c r="O4660" s="37"/>
      <c r="P4660" s="37"/>
    </row>
    <row r="4661" spans="2:16" x14ac:dyDescent="0.25">
      <c r="B46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1" s="46"/>
      <c r="D4661" s="37"/>
      <c r="E4661" s="37"/>
      <c r="F4661" s="37"/>
      <c r="G4661" s="40" t="str">
        <f>IF(tblMovimientos[[#This Row],[Producto]]="","",TRIM(LEFT(tblMovimientos[[#This Row],[Producto]],FIND(" · ",tblMovimientos[[#This Row],[Producto]]&amp;" · ")-1)))</f>
        <v/>
      </c>
      <c r="H4661" s="40" t="str">
        <f>IF(tblMovimientos[[#This Row],[SKU]]="","",IFERROR(INDEX(tblProductos[Unidad],MATCH(tblMovimientos[[#This Row],[SKU]],tblProductos[SKU],0)),"?"))</f>
        <v/>
      </c>
      <c r="I4661" s="39"/>
      <c r="J4661" s="47" t="str">
        <f>IF(tblMovimientos[[#This Row],[Tipo]]="","",IFERROR(INDEX(tblTiposMov[FactorStock],MATCH(tblMovimientos[[#This Row],[Tipo]],tblTiposMov[Tipo],0)),0))</f>
        <v/>
      </c>
      <c r="K46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1" s="37"/>
      <c r="O4661" s="37"/>
      <c r="P4661" s="37"/>
    </row>
    <row r="4662" spans="2:16" x14ac:dyDescent="0.25">
      <c r="B46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2" s="46"/>
      <c r="D4662" s="37"/>
      <c r="E4662" s="37"/>
      <c r="F4662" s="37"/>
      <c r="G4662" s="40" t="str">
        <f>IF(tblMovimientos[[#This Row],[Producto]]="","",TRIM(LEFT(tblMovimientos[[#This Row],[Producto]],FIND(" · ",tblMovimientos[[#This Row],[Producto]]&amp;" · ")-1)))</f>
        <v/>
      </c>
      <c r="H4662" s="40" t="str">
        <f>IF(tblMovimientos[[#This Row],[SKU]]="","",IFERROR(INDEX(tblProductos[Unidad],MATCH(tblMovimientos[[#This Row],[SKU]],tblProductos[SKU],0)),"?"))</f>
        <v/>
      </c>
      <c r="I4662" s="39"/>
      <c r="J4662" s="47" t="str">
        <f>IF(tblMovimientos[[#This Row],[Tipo]]="","",IFERROR(INDEX(tblTiposMov[FactorStock],MATCH(tblMovimientos[[#This Row],[Tipo]],tblTiposMov[Tipo],0)),0))</f>
        <v/>
      </c>
      <c r="K46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2" s="37"/>
      <c r="O4662" s="37"/>
      <c r="P4662" s="37"/>
    </row>
    <row r="4663" spans="2:16" x14ac:dyDescent="0.25">
      <c r="B46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3" s="46"/>
      <c r="D4663" s="37"/>
      <c r="E4663" s="37"/>
      <c r="F4663" s="37"/>
      <c r="G4663" s="40" t="str">
        <f>IF(tblMovimientos[[#This Row],[Producto]]="","",TRIM(LEFT(tblMovimientos[[#This Row],[Producto]],FIND(" · ",tblMovimientos[[#This Row],[Producto]]&amp;" · ")-1)))</f>
        <v/>
      </c>
      <c r="H4663" s="40" t="str">
        <f>IF(tblMovimientos[[#This Row],[SKU]]="","",IFERROR(INDEX(tblProductos[Unidad],MATCH(tblMovimientos[[#This Row],[SKU]],tblProductos[SKU],0)),"?"))</f>
        <v/>
      </c>
      <c r="I4663" s="39"/>
      <c r="J4663" s="47" t="str">
        <f>IF(tblMovimientos[[#This Row],[Tipo]]="","",IFERROR(INDEX(tblTiposMov[FactorStock],MATCH(tblMovimientos[[#This Row],[Tipo]],tblTiposMov[Tipo],0)),0))</f>
        <v/>
      </c>
      <c r="K46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3" s="37"/>
      <c r="O4663" s="37"/>
      <c r="P4663" s="37"/>
    </row>
    <row r="4664" spans="2:16" x14ac:dyDescent="0.25">
      <c r="B46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4" s="46"/>
      <c r="D4664" s="37"/>
      <c r="E4664" s="37"/>
      <c r="F4664" s="37"/>
      <c r="G4664" s="40" t="str">
        <f>IF(tblMovimientos[[#This Row],[Producto]]="","",TRIM(LEFT(tblMovimientos[[#This Row],[Producto]],FIND(" · ",tblMovimientos[[#This Row],[Producto]]&amp;" · ")-1)))</f>
        <v/>
      </c>
      <c r="H4664" s="40" t="str">
        <f>IF(tblMovimientos[[#This Row],[SKU]]="","",IFERROR(INDEX(tblProductos[Unidad],MATCH(tblMovimientos[[#This Row],[SKU]],tblProductos[SKU],0)),"?"))</f>
        <v/>
      </c>
      <c r="I4664" s="39"/>
      <c r="J4664" s="47" t="str">
        <f>IF(tblMovimientos[[#This Row],[Tipo]]="","",IFERROR(INDEX(tblTiposMov[FactorStock],MATCH(tblMovimientos[[#This Row],[Tipo]],tblTiposMov[Tipo],0)),0))</f>
        <v/>
      </c>
      <c r="K46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4" s="37"/>
      <c r="O4664" s="37"/>
      <c r="P4664" s="37"/>
    </row>
    <row r="4665" spans="2:16" x14ac:dyDescent="0.25">
      <c r="B46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5" s="46"/>
      <c r="D4665" s="37"/>
      <c r="E4665" s="37"/>
      <c r="F4665" s="37"/>
      <c r="G4665" s="40" t="str">
        <f>IF(tblMovimientos[[#This Row],[Producto]]="","",TRIM(LEFT(tblMovimientos[[#This Row],[Producto]],FIND(" · ",tblMovimientos[[#This Row],[Producto]]&amp;" · ")-1)))</f>
        <v/>
      </c>
      <c r="H4665" s="40" t="str">
        <f>IF(tblMovimientos[[#This Row],[SKU]]="","",IFERROR(INDEX(tblProductos[Unidad],MATCH(tblMovimientos[[#This Row],[SKU]],tblProductos[SKU],0)),"?"))</f>
        <v/>
      </c>
      <c r="I4665" s="39"/>
      <c r="J4665" s="47" t="str">
        <f>IF(tblMovimientos[[#This Row],[Tipo]]="","",IFERROR(INDEX(tblTiposMov[FactorStock],MATCH(tblMovimientos[[#This Row],[Tipo]],tblTiposMov[Tipo],0)),0))</f>
        <v/>
      </c>
      <c r="K46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5" s="37"/>
      <c r="O4665" s="37"/>
      <c r="P4665" s="37"/>
    </row>
    <row r="4666" spans="2:16" x14ac:dyDescent="0.25">
      <c r="B46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6" s="46"/>
      <c r="D4666" s="37"/>
      <c r="E4666" s="37"/>
      <c r="F4666" s="37"/>
      <c r="G4666" s="40" t="str">
        <f>IF(tblMovimientos[[#This Row],[Producto]]="","",TRIM(LEFT(tblMovimientos[[#This Row],[Producto]],FIND(" · ",tblMovimientos[[#This Row],[Producto]]&amp;" · ")-1)))</f>
        <v/>
      </c>
      <c r="H4666" s="40" t="str">
        <f>IF(tblMovimientos[[#This Row],[SKU]]="","",IFERROR(INDEX(tblProductos[Unidad],MATCH(tblMovimientos[[#This Row],[SKU]],tblProductos[SKU],0)),"?"))</f>
        <v/>
      </c>
      <c r="I4666" s="39"/>
      <c r="J4666" s="47" t="str">
        <f>IF(tblMovimientos[[#This Row],[Tipo]]="","",IFERROR(INDEX(tblTiposMov[FactorStock],MATCH(tblMovimientos[[#This Row],[Tipo]],tblTiposMov[Tipo],0)),0))</f>
        <v/>
      </c>
      <c r="K46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6" s="37"/>
      <c r="O4666" s="37"/>
      <c r="P4666" s="37"/>
    </row>
    <row r="4667" spans="2:16" x14ac:dyDescent="0.25">
      <c r="B46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7" s="46"/>
      <c r="D4667" s="37"/>
      <c r="E4667" s="37"/>
      <c r="F4667" s="37"/>
      <c r="G4667" s="40" t="str">
        <f>IF(tblMovimientos[[#This Row],[Producto]]="","",TRIM(LEFT(tblMovimientos[[#This Row],[Producto]],FIND(" · ",tblMovimientos[[#This Row],[Producto]]&amp;" · ")-1)))</f>
        <v/>
      </c>
      <c r="H4667" s="40" t="str">
        <f>IF(tblMovimientos[[#This Row],[SKU]]="","",IFERROR(INDEX(tblProductos[Unidad],MATCH(tblMovimientos[[#This Row],[SKU]],tblProductos[SKU],0)),"?"))</f>
        <v/>
      </c>
      <c r="I4667" s="39"/>
      <c r="J4667" s="47" t="str">
        <f>IF(tblMovimientos[[#This Row],[Tipo]]="","",IFERROR(INDEX(tblTiposMov[FactorStock],MATCH(tblMovimientos[[#This Row],[Tipo]],tblTiposMov[Tipo],0)),0))</f>
        <v/>
      </c>
      <c r="K46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7" s="37"/>
      <c r="O4667" s="37"/>
      <c r="P4667" s="37"/>
    </row>
    <row r="4668" spans="2:16" x14ac:dyDescent="0.25">
      <c r="B46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8" s="46"/>
      <c r="D4668" s="37"/>
      <c r="E4668" s="37"/>
      <c r="F4668" s="37"/>
      <c r="G4668" s="40" t="str">
        <f>IF(tblMovimientos[[#This Row],[Producto]]="","",TRIM(LEFT(tblMovimientos[[#This Row],[Producto]],FIND(" · ",tblMovimientos[[#This Row],[Producto]]&amp;" · ")-1)))</f>
        <v/>
      </c>
      <c r="H4668" s="40" t="str">
        <f>IF(tblMovimientos[[#This Row],[SKU]]="","",IFERROR(INDEX(tblProductos[Unidad],MATCH(tblMovimientos[[#This Row],[SKU]],tblProductos[SKU],0)),"?"))</f>
        <v/>
      </c>
      <c r="I4668" s="39"/>
      <c r="J4668" s="47" t="str">
        <f>IF(tblMovimientos[[#This Row],[Tipo]]="","",IFERROR(INDEX(tblTiposMov[FactorStock],MATCH(tblMovimientos[[#This Row],[Tipo]],tblTiposMov[Tipo],0)),0))</f>
        <v/>
      </c>
      <c r="K46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8" s="37"/>
      <c r="O4668" s="37"/>
      <c r="P4668" s="37"/>
    </row>
    <row r="4669" spans="2:16" x14ac:dyDescent="0.25">
      <c r="B46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69" s="46"/>
      <c r="D4669" s="37"/>
      <c r="E4669" s="37"/>
      <c r="F4669" s="37"/>
      <c r="G4669" s="40" t="str">
        <f>IF(tblMovimientos[[#This Row],[Producto]]="","",TRIM(LEFT(tblMovimientos[[#This Row],[Producto]],FIND(" · ",tblMovimientos[[#This Row],[Producto]]&amp;" · ")-1)))</f>
        <v/>
      </c>
      <c r="H4669" s="40" t="str">
        <f>IF(tblMovimientos[[#This Row],[SKU]]="","",IFERROR(INDEX(tblProductos[Unidad],MATCH(tblMovimientos[[#This Row],[SKU]],tblProductos[SKU],0)),"?"))</f>
        <v/>
      </c>
      <c r="I4669" s="39"/>
      <c r="J4669" s="47" t="str">
        <f>IF(tblMovimientos[[#This Row],[Tipo]]="","",IFERROR(INDEX(tblTiposMov[FactorStock],MATCH(tblMovimientos[[#This Row],[Tipo]],tblTiposMov[Tipo],0)),0))</f>
        <v/>
      </c>
      <c r="K46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69" s="37"/>
      <c r="O4669" s="37"/>
      <c r="P4669" s="37"/>
    </row>
    <row r="4670" spans="2:16" x14ac:dyDescent="0.25">
      <c r="B46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0" s="46"/>
      <c r="D4670" s="37"/>
      <c r="E4670" s="37"/>
      <c r="F4670" s="37"/>
      <c r="G4670" s="40" t="str">
        <f>IF(tblMovimientos[[#This Row],[Producto]]="","",TRIM(LEFT(tblMovimientos[[#This Row],[Producto]],FIND(" · ",tblMovimientos[[#This Row],[Producto]]&amp;" · ")-1)))</f>
        <v/>
      </c>
      <c r="H4670" s="40" t="str">
        <f>IF(tblMovimientos[[#This Row],[SKU]]="","",IFERROR(INDEX(tblProductos[Unidad],MATCH(tblMovimientos[[#This Row],[SKU]],tblProductos[SKU],0)),"?"))</f>
        <v/>
      </c>
      <c r="I4670" s="39"/>
      <c r="J4670" s="47" t="str">
        <f>IF(tblMovimientos[[#This Row],[Tipo]]="","",IFERROR(INDEX(tblTiposMov[FactorStock],MATCH(tblMovimientos[[#This Row],[Tipo]],tblTiposMov[Tipo],0)),0))</f>
        <v/>
      </c>
      <c r="K46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0" s="37"/>
      <c r="O4670" s="37"/>
      <c r="P4670" s="37"/>
    </row>
    <row r="4671" spans="2:16" x14ac:dyDescent="0.25">
      <c r="B46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1" s="46"/>
      <c r="D4671" s="37"/>
      <c r="E4671" s="37"/>
      <c r="F4671" s="37"/>
      <c r="G4671" s="40" t="str">
        <f>IF(tblMovimientos[[#This Row],[Producto]]="","",TRIM(LEFT(tblMovimientos[[#This Row],[Producto]],FIND(" · ",tblMovimientos[[#This Row],[Producto]]&amp;" · ")-1)))</f>
        <v/>
      </c>
      <c r="H4671" s="40" t="str">
        <f>IF(tblMovimientos[[#This Row],[SKU]]="","",IFERROR(INDEX(tblProductos[Unidad],MATCH(tblMovimientos[[#This Row],[SKU]],tblProductos[SKU],0)),"?"))</f>
        <v/>
      </c>
      <c r="I4671" s="39"/>
      <c r="J4671" s="47" t="str">
        <f>IF(tblMovimientos[[#This Row],[Tipo]]="","",IFERROR(INDEX(tblTiposMov[FactorStock],MATCH(tblMovimientos[[#This Row],[Tipo]],tblTiposMov[Tipo],0)),0))</f>
        <v/>
      </c>
      <c r="K46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1" s="37"/>
      <c r="O4671" s="37"/>
      <c r="P4671" s="37"/>
    </row>
    <row r="4672" spans="2:16" x14ac:dyDescent="0.25">
      <c r="B46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2" s="46"/>
      <c r="D4672" s="37"/>
      <c r="E4672" s="37"/>
      <c r="F4672" s="37"/>
      <c r="G4672" s="40" t="str">
        <f>IF(tblMovimientos[[#This Row],[Producto]]="","",TRIM(LEFT(tblMovimientos[[#This Row],[Producto]],FIND(" · ",tblMovimientos[[#This Row],[Producto]]&amp;" · ")-1)))</f>
        <v/>
      </c>
      <c r="H4672" s="40" t="str">
        <f>IF(tblMovimientos[[#This Row],[SKU]]="","",IFERROR(INDEX(tblProductos[Unidad],MATCH(tblMovimientos[[#This Row],[SKU]],tblProductos[SKU],0)),"?"))</f>
        <v/>
      </c>
      <c r="I4672" s="39"/>
      <c r="J4672" s="47" t="str">
        <f>IF(tblMovimientos[[#This Row],[Tipo]]="","",IFERROR(INDEX(tblTiposMov[FactorStock],MATCH(tblMovimientos[[#This Row],[Tipo]],tblTiposMov[Tipo],0)),0))</f>
        <v/>
      </c>
      <c r="K46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2" s="37"/>
      <c r="O4672" s="37"/>
      <c r="P4672" s="37"/>
    </row>
    <row r="4673" spans="2:16" x14ac:dyDescent="0.25">
      <c r="B46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3" s="46"/>
      <c r="D4673" s="37"/>
      <c r="E4673" s="37"/>
      <c r="F4673" s="37"/>
      <c r="G4673" s="40" t="str">
        <f>IF(tblMovimientos[[#This Row],[Producto]]="","",TRIM(LEFT(tblMovimientos[[#This Row],[Producto]],FIND(" · ",tblMovimientos[[#This Row],[Producto]]&amp;" · ")-1)))</f>
        <v/>
      </c>
      <c r="H4673" s="40" t="str">
        <f>IF(tblMovimientos[[#This Row],[SKU]]="","",IFERROR(INDEX(tblProductos[Unidad],MATCH(tblMovimientos[[#This Row],[SKU]],tblProductos[SKU],0)),"?"))</f>
        <v/>
      </c>
      <c r="I4673" s="39"/>
      <c r="J4673" s="47" t="str">
        <f>IF(tblMovimientos[[#This Row],[Tipo]]="","",IFERROR(INDEX(tblTiposMov[FactorStock],MATCH(tblMovimientos[[#This Row],[Tipo]],tblTiposMov[Tipo],0)),0))</f>
        <v/>
      </c>
      <c r="K46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3" s="37"/>
      <c r="O4673" s="37"/>
      <c r="P4673" s="37"/>
    </row>
    <row r="4674" spans="2:16" x14ac:dyDescent="0.25">
      <c r="B46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4" s="46"/>
      <c r="D4674" s="37"/>
      <c r="E4674" s="37"/>
      <c r="F4674" s="37"/>
      <c r="G4674" s="40" t="str">
        <f>IF(tblMovimientos[[#This Row],[Producto]]="","",TRIM(LEFT(tblMovimientos[[#This Row],[Producto]],FIND(" · ",tblMovimientos[[#This Row],[Producto]]&amp;" · ")-1)))</f>
        <v/>
      </c>
      <c r="H4674" s="40" t="str">
        <f>IF(tblMovimientos[[#This Row],[SKU]]="","",IFERROR(INDEX(tblProductos[Unidad],MATCH(tblMovimientos[[#This Row],[SKU]],tblProductos[SKU],0)),"?"))</f>
        <v/>
      </c>
      <c r="I4674" s="39"/>
      <c r="J4674" s="47" t="str">
        <f>IF(tblMovimientos[[#This Row],[Tipo]]="","",IFERROR(INDEX(tblTiposMov[FactorStock],MATCH(tblMovimientos[[#This Row],[Tipo]],tblTiposMov[Tipo],0)),0))</f>
        <v/>
      </c>
      <c r="K46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4" s="37"/>
      <c r="O4674" s="37"/>
      <c r="P4674" s="37"/>
    </row>
    <row r="4675" spans="2:16" x14ac:dyDescent="0.25">
      <c r="B46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5" s="46"/>
      <c r="D4675" s="37"/>
      <c r="E4675" s="37"/>
      <c r="F4675" s="37"/>
      <c r="G4675" s="40" t="str">
        <f>IF(tblMovimientos[[#This Row],[Producto]]="","",TRIM(LEFT(tblMovimientos[[#This Row],[Producto]],FIND(" · ",tblMovimientos[[#This Row],[Producto]]&amp;" · ")-1)))</f>
        <v/>
      </c>
      <c r="H4675" s="40" t="str">
        <f>IF(tblMovimientos[[#This Row],[SKU]]="","",IFERROR(INDEX(tblProductos[Unidad],MATCH(tblMovimientos[[#This Row],[SKU]],tblProductos[SKU],0)),"?"))</f>
        <v/>
      </c>
      <c r="I4675" s="39"/>
      <c r="J4675" s="47" t="str">
        <f>IF(tblMovimientos[[#This Row],[Tipo]]="","",IFERROR(INDEX(tblTiposMov[FactorStock],MATCH(tblMovimientos[[#This Row],[Tipo]],tblTiposMov[Tipo],0)),0))</f>
        <v/>
      </c>
      <c r="K46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5" s="37"/>
      <c r="O4675" s="37"/>
      <c r="P4675" s="37"/>
    </row>
    <row r="4676" spans="2:16" x14ac:dyDescent="0.25">
      <c r="B46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6" s="46"/>
      <c r="D4676" s="37"/>
      <c r="E4676" s="37"/>
      <c r="F4676" s="37"/>
      <c r="G4676" s="40" t="str">
        <f>IF(tblMovimientos[[#This Row],[Producto]]="","",TRIM(LEFT(tblMovimientos[[#This Row],[Producto]],FIND(" · ",tblMovimientos[[#This Row],[Producto]]&amp;" · ")-1)))</f>
        <v/>
      </c>
      <c r="H4676" s="40" t="str">
        <f>IF(tblMovimientos[[#This Row],[SKU]]="","",IFERROR(INDEX(tblProductos[Unidad],MATCH(tblMovimientos[[#This Row],[SKU]],tblProductos[SKU],0)),"?"))</f>
        <v/>
      </c>
      <c r="I4676" s="39"/>
      <c r="J4676" s="47" t="str">
        <f>IF(tblMovimientos[[#This Row],[Tipo]]="","",IFERROR(INDEX(tblTiposMov[FactorStock],MATCH(tblMovimientos[[#This Row],[Tipo]],tblTiposMov[Tipo],0)),0))</f>
        <v/>
      </c>
      <c r="K46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6" s="37"/>
      <c r="O4676" s="37"/>
      <c r="P4676" s="37"/>
    </row>
    <row r="4677" spans="2:16" x14ac:dyDescent="0.25">
      <c r="B46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7" s="46"/>
      <c r="D4677" s="37"/>
      <c r="E4677" s="37"/>
      <c r="F4677" s="37"/>
      <c r="G4677" s="40" t="str">
        <f>IF(tblMovimientos[[#This Row],[Producto]]="","",TRIM(LEFT(tblMovimientos[[#This Row],[Producto]],FIND(" · ",tblMovimientos[[#This Row],[Producto]]&amp;" · ")-1)))</f>
        <v/>
      </c>
      <c r="H4677" s="40" t="str">
        <f>IF(tblMovimientos[[#This Row],[SKU]]="","",IFERROR(INDEX(tblProductos[Unidad],MATCH(tblMovimientos[[#This Row],[SKU]],tblProductos[SKU],0)),"?"))</f>
        <v/>
      </c>
      <c r="I4677" s="39"/>
      <c r="J4677" s="47" t="str">
        <f>IF(tblMovimientos[[#This Row],[Tipo]]="","",IFERROR(INDEX(tblTiposMov[FactorStock],MATCH(tblMovimientos[[#This Row],[Tipo]],tblTiposMov[Tipo],0)),0))</f>
        <v/>
      </c>
      <c r="K46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7" s="37"/>
      <c r="O4677" s="37"/>
      <c r="P4677" s="37"/>
    </row>
    <row r="4678" spans="2:16" x14ac:dyDescent="0.25">
      <c r="B46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8" s="46"/>
      <c r="D4678" s="37"/>
      <c r="E4678" s="37"/>
      <c r="F4678" s="37"/>
      <c r="G4678" s="40" t="str">
        <f>IF(tblMovimientos[[#This Row],[Producto]]="","",TRIM(LEFT(tblMovimientos[[#This Row],[Producto]],FIND(" · ",tblMovimientos[[#This Row],[Producto]]&amp;" · ")-1)))</f>
        <v/>
      </c>
      <c r="H4678" s="40" t="str">
        <f>IF(tblMovimientos[[#This Row],[SKU]]="","",IFERROR(INDEX(tblProductos[Unidad],MATCH(tblMovimientos[[#This Row],[SKU]],tblProductos[SKU],0)),"?"))</f>
        <v/>
      </c>
      <c r="I4678" s="39"/>
      <c r="J4678" s="47" t="str">
        <f>IF(tblMovimientos[[#This Row],[Tipo]]="","",IFERROR(INDEX(tblTiposMov[FactorStock],MATCH(tblMovimientos[[#This Row],[Tipo]],tblTiposMov[Tipo],0)),0))</f>
        <v/>
      </c>
      <c r="K46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8" s="37"/>
      <c r="O4678" s="37"/>
      <c r="P4678" s="37"/>
    </row>
    <row r="4679" spans="2:16" x14ac:dyDescent="0.25">
      <c r="B46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79" s="46"/>
      <c r="D4679" s="37"/>
      <c r="E4679" s="37"/>
      <c r="F4679" s="37"/>
      <c r="G4679" s="40" t="str">
        <f>IF(tblMovimientos[[#This Row],[Producto]]="","",TRIM(LEFT(tblMovimientos[[#This Row],[Producto]],FIND(" · ",tblMovimientos[[#This Row],[Producto]]&amp;" · ")-1)))</f>
        <v/>
      </c>
      <c r="H4679" s="40" t="str">
        <f>IF(tblMovimientos[[#This Row],[SKU]]="","",IFERROR(INDEX(tblProductos[Unidad],MATCH(tblMovimientos[[#This Row],[SKU]],tblProductos[SKU],0)),"?"))</f>
        <v/>
      </c>
      <c r="I4679" s="39"/>
      <c r="J4679" s="47" t="str">
        <f>IF(tblMovimientos[[#This Row],[Tipo]]="","",IFERROR(INDEX(tblTiposMov[FactorStock],MATCH(tblMovimientos[[#This Row],[Tipo]],tblTiposMov[Tipo],0)),0))</f>
        <v/>
      </c>
      <c r="K46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79" s="37"/>
      <c r="O4679" s="37"/>
      <c r="P4679" s="37"/>
    </row>
    <row r="4680" spans="2:16" x14ac:dyDescent="0.25">
      <c r="B46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0" s="46"/>
      <c r="D4680" s="37"/>
      <c r="E4680" s="37"/>
      <c r="F4680" s="37"/>
      <c r="G4680" s="40" t="str">
        <f>IF(tblMovimientos[[#This Row],[Producto]]="","",TRIM(LEFT(tblMovimientos[[#This Row],[Producto]],FIND(" · ",tblMovimientos[[#This Row],[Producto]]&amp;" · ")-1)))</f>
        <v/>
      </c>
      <c r="H4680" s="40" t="str">
        <f>IF(tblMovimientos[[#This Row],[SKU]]="","",IFERROR(INDEX(tblProductos[Unidad],MATCH(tblMovimientos[[#This Row],[SKU]],tblProductos[SKU],0)),"?"))</f>
        <v/>
      </c>
      <c r="I4680" s="39"/>
      <c r="J4680" s="47" t="str">
        <f>IF(tblMovimientos[[#This Row],[Tipo]]="","",IFERROR(INDEX(tblTiposMov[FactorStock],MATCH(tblMovimientos[[#This Row],[Tipo]],tblTiposMov[Tipo],0)),0))</f>
        <v/>
      </c>
      <c r="K46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0" s="37"/>
      <c r="O4680" s="37"/>
      <c r="P4680" s="37"/>
    </row>
    <row r="4681" spans="2:16" x14ac:dyDescent="0.25">
      <c r="B46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1" s="46"/>
      <c r="D4681" s="37"/>
      <c r="E4681" s="37"/>
      <c r="F4681" s="37"/>
      <c r="G4681" s="40" t="str">
        <f>IF(tblMovimientos[[#This Row],[Producto]]="","",TRIM(LEFT(tblMovimientos[[#This Row],[Producto]],FIND(" · ",tblMovimientos[[#This Row],[Producto]]&amp;" · ")-1)))</f>
        <v/>
      </c>
      <c r="H4681" s="40" t="str">
        <f>IF(tblMovimientos[[#This Row],[SKU]]="","",IFERROR(INDEX(tblProductos[Unidad],MATCH(tblMovimientos[[#This Row],[SKU]],tblProductos[SKU],0)),"?"))</f>
        <v/>
      </c>
      <c r="I4681" s="39"/>
      <c r="J4681" s="47" t="str">
        <f>IF(tblMovimientos[[#This Row],[Tipo]]="","",IFERROR(INDEX(tblTiposMov[FactorStock],MATCH(tblMovimientos[[#This Row],[Tipo]],tblTiposMov[Tipo],0)),0))</f>
        <v/>
      </c>
      <c r="K46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1" s="37"/>
      <c r="O4681" s="37"/>
      <c r="P4681" s="37"/>
    </row>
    <row r="4682" spans="2:16" x14ac:dyDescent="0.25">
      <c r="B46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2" s="46"/>
      <c r="D4682" s="37"/>
      <c r="E4682" s="37"/>
      <c r="F4682" s="37"/>
      <c r="G4682" s="40" t="str">
        <f>IF(tblMovimientos[[#This Row],[Producto]]="","",TRIM(LEFT(tblMovimientos[[#This Row],[Producto]],FIND(" · ",tblMovimientos[[#This Row],[Producto]]&amp;" · ")-1)))</f>
        <v/>
      </c>
      <c r="H4682" s="40" t="str">
        <f>IF(tblMovimientos[[#This Row],[SKU]]="","",IFERROR(INDEX(tblProductos[Unidad],MATCH(tblMovimientos[[#This Row],[SKU]],tblProductos[SKU],0)),"?"))</f>
        <v/>
      </c>
      <c r="I4682" s="39"/>
      <c r="J4682" s="47" t="str">
        <f>IF(tblMovimientos[[#This Row],[Tipo]]="","",IFERROR(INDEX(tblTiposMov[FactorStock],MATCH(tblMovimientos[[#This Row],[Tipo]],tblTiposMov[Tipo],0)),0))</f>
        <v/>
      </c>
      <c r="K46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2" s="37"/>
      <c r="O4682" s="37"/>
      <c r="P4682" s="37"/>
    </row>
    <row r="4683" spans="2:16" x14ac:dyDescent="0.25">
      <c r="B46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3" s="46"/>
      <c r="D4683" s="37"/>
      <c r="E4683" s="37"/>
      <c r="F4683" s="37"/>
      <c r="G4683" s="40" t="str">
        <f>IF(tblMovimientos[[#This Row],[Producto]]="","",TRIM(LEFT(tblMovimientos[[#This Row],[Producto]],FIND(" · ",tblMovimientos[[#This Row],[Producto]]&amp;" · ")-1)))</f>
        <v/>
      </c>
      <c r="H4683" s="40" t="str">
        <f>IF(tblMovimientos[[#This Row],[SKU]]="","",IFERROR(INDEX(tblProductos[Unidad],MATCH(tblMovimientos[[#This Row],[SKU]],tblProductos[SKU],0)),"?"))</f>
        <v/>
      </c>
      <c r="I4683" s="39"/>
      <c r="J4683" s="47" t="str">
        <f>IF(tblMovimientos[[#This Row],[Tipo]]="","",IFERROR(INDEX(tblTiposMov[FactorStock],MATCH(tblMovimientos[[#This Row],[Tipo]],tblTiposMov[Tipo],0)),0))</f>
        <v/>
      </c>
      <c r="K46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3" s="37"/>
      <c r="O4683" s="37"/>
      <c r="P4683" s="37"/>
    </row>
    <row r="4684" spans="2:16" x14ac:dyDescent="0.25">
      <c r="B46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4" s="46"/>
      <c r="D4684" s="37"/>
      <c r="E4684" s="37"/>
      <c r="F4684" s="37"/>
      <c r="G4684" s="40" t="str">
        <f>IF(tblMovimientos[[#This Row],[Producto]]="","",TRIM(LEFT(tblMovimientos[[#This Row],[Producto]],FIND(" · ",tblMovimientos[[#This Row],[Producto]]&amp;" · ")-1)))</f>
        <v/>
      </c>
      <c r="H4684" s="40" t="str">
        <f>IF(tblMovimientos[[#This Row],[SKU]]="","",IFERROR(INDEX(tblProductos[Unidad],MATCH(tblMovimientos[[#This Row],[SKU]],tblProductos[SKU],0)),"?"))</f>
        <v/>
      </c>
      <c r="I4684" s="39"/>
      <c r="J4684" s="47" t="str">
        <f>IF(tblMovimientos[[#This Row],[Tipo]]="","",IFERROR(INDEX(tblTiposMov[FactorStock],MATCH(tblMovimientos[[#This Row],[Tipo]],tblTiposMov[Tipo],0)),0))</f>
        <v/>
      </c>
      <c r="K46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4" s="37"/>
      <c r="O4684" s="37"/>
      <c r="P4684" s="37"/>
    </row>
    <row r="4685" spans="2:16" x14ac:dyDescent="0.25">
      <c r="B46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5" s="46"/>
      <c r="D4685" s="37"/>
      <c r="E4685" s="37"/>
      <c r="F4685" s="37"/>
      <c r="G4685" s="40" t="str">
        <f>IF(tblMovimientos[[#This Row],[Producto]]="","",TRIM(LEFT(tblMovimientos[[#This Row],[Producto]],FIND(" · ",tblMovimientos[[#This Row],[Producto]]&amp;" · ")-1)))</f>
        <v/>
      </c>
      <c r="H4685" s="40" t="str">
        <f>IF(tblMovimientos[[#This Row],[SKU]]="","",IFERROR(INDEX(tblProductos[Unidad],MATCH(tblMovimientos[[#This Row],[SKU]],tblProductos[SKU],0)),"?"))</f>
        <v/>
      </c>
      <c r="I4685" s="39"/>
      <c r="J4685" s="47" t="str">
        <f>IF(tblMovimientos[[#This Row],[Tipo]]="","",IFERROR(INDEX(tblTiposMov[FactorStock],MATCH(tblMovimientos[[#This Row],[Tipo]],tblTiposMov[Tipo],0)),0))</f>
        <v/>
      </c>
      <c r="K46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5" s="37"/>
      <c r="O4685" s="37"/>
      <c r="P4685" s="37"/>
    </row>
    <row r="4686" spans="2:16" x14ac:dyDescent="0.25">
      <c r="B46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6" s="46"/>
      <c r="D4686" s="37"/>
      <c r="E4686" s="37"/>
      <c r="F4686" s="37"/>
      <c r="G4686" s="40" t="str">
        <f>IF(tblMovimientos[[#This Row],[Producto]]="","",TRIM(LEFT(tblMovimientos[[#This Row],[Producto]],FIND(" · ",tblMovimientos[[#This Row],[Producto]]&amp;" · ")-1)))</f>
        <v/>
      </c>
      <c r="H4686" s="40" t="str">
        <f>IF(tblMovimientos[[#This Row],[SKU]]="","",IFERROR(INDEX(tblProductos[Unidad],MATCH(tblMovimientos[[#This Row],[SKU]],tblProductos[SKU],0)),"?"))</f>
        <v/>
      </c>
      <c r="I4686" s="39"/>
      <c r="J4686" s="47" t="str">
        <f>IF(tblMovimientos[[#This Row],[Tipo]]="","",IFERROR(INDEX(tblTiposMov[FactorStock],MATCH(tblMovimientos[[#This Row],[Tipo]],tblTiposMov[Tipo],0)),0))</f>
        <v/>
      </c>
      <c r="K46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6" s="37"/>
      <c r="O4686" s="37"/>
      <c r="P4686" s="37"/>
    </row>
    <row r="4687" spans="2:16" x14ac:dyDescent="0.25">
      <c r="B46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7" s="46"/>
      <c r="D4687" s="37"/>
      <c r="E4687" s="37"/>
      <c r="F4687" s="37"/>
      <c r="G4687" s="40" t="str">
        <f>IF(tblMovimientos[[#This Row],[Producto]]="","",TRIM(LEFT(tblMovimientos[[#This Row],[Producto]],FIND(" · ",tblMovimientos[[#This Row],[Producto]]&amp;" · ")-1)))</f>
        <v/>
      </c>
      <c r="H4687" s="40" t="str">
        <f>IF(tblMovimientos[[#This Row],[SKU]]="","",IFERROR(INDEX(tblProductos[Unidad],MATCH(tblMovimientos[[#This Row],[SKU]],tblProductos[SKU],0)),"?"))</f>
        <v/>
      </c>
      <c r="I4687" s="39"/>
      <c r="J4687" s="47" t="str">
        <f>IF(tblMovimientos[[#This Row],[Tipo]]="","",IFERROR(INDEX(tblTiposMov[FactorStock],MATCH(tblMovimientos[[#This Row],[Tipo]],tblTiposMov[Tipo],0)),0))</f>
        <v/>
      </c>
      <c r="K46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7" s="37"/>
      <c r="O4687" s="37"/>
      <c r="P4687" s="37"/>
    </row>
    <row r="4688" spans="2:16" x14ac:dyDescent="0.25">
      <c r="B46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8" s="46"/>
      <c r="D4688" s="37"/>
      <c r="E4688" s="37"/>
      <c r="F4688" s="37"/>
      <c r="G4688" s="40" t="str">
        <f>IF(tblMovimientos[[#This Row],[Producto]]="","",TRIM(LEFT(tblMovimientos[[#This Row],[Producto]],FIND(" · ",tblMovimientos[[#This Row],[Producto]]&amp;" · ")-1)))</f>
        <v/>
      </c>
      <c r="H4688" s="40" t="str">
        <f>IF(tblMovimientos[[#This Row],[SKU]]="","",IFERROR(INDEX(tblProductos[Unidad],MATCH(tblMovimientos[[#This Row],[SKU]],tblProductos[SKU],0)),"?"))</f>
        <v/>
      </c>
      <c r="I4688" s="39"/>
      <c r="J4688" s="47" t="str">
        <f>IF(tblMovimientos[[#This Row],[Tipo]]="","",IFERROR(INDEX(tblTiposMov[FactorStock],MATCH(tblMovimientos[[#This Row],[Tipo]],tblTiposMov[Tipo],0)),0))</f>
        <v/>
      </c>
      <c r="K46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8" s="37"/>
      <c r="O4688" s="37"/>
      <c r="P4688" s="37"/>
    </row>
    <row r="4689" spans="2:16" x14ac:dyDescent="0.25">
      <c r="B46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89" s="46"/>
      <c r="D4689" s="37"/>
      <c r="E4689" s="37"/>
      <c r="F4689" s="37"/>
      <c r="G4689" s="40" t="str">
        <f>IF(tblMovimientos[[#This Row],[Producto]]="","",TRIM(LEFT(tblMovimientos[[#This Row],[Producto]],FIND(" · ",tblMovimientos[[#This Row],[Producto]]&amp;" · ")-1)))</f>
        <v/>
      </c>
      <c r="H4689" s="40" t="str">
        <f>IF(tblMovimientos[[#This Row],[SKU]]="","",IFERROR(INDEX(tblProductos[Unidad],MATCH(tblMovimientos[[#This Row],[SKU]],tblProductos[SKU],0)),"?"))</f>
        <v/>
      </c>
      <c r="I4689" s="39"/>
      <c r="J4689" s="47" t="str">
        <f>IF(tblMovimientos[[#This Row],[Tipo]]="","",IFERROR(INDEX(tblTiposMov[FactorStock],MATCH(tblMovimientos[[#This Row],[Tipo]],tblTiposMov[Tipo],0)),0))</f>
        <v/>
      </c>
      <c r="K46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89" s="37"/>
      <c r="O4689" s="37"/>
      <c r="P4689" s="37"/>
    </row>
    <row r="4690" spans="2:16" x14ac:dyDescent="0.25">
      <c r="B46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0" s="46"/>
      <c r="D4690" s="37"/>
      <c r="E4690" s="37"/>
      <c r="F4690" s="37"/>
      <c r="G4690" s="40" t="str">
        <f>IF(tblMovimientos[[#This Row],[Producto]]="","",TRIM(LEFT(tblMovimientos[[#This Row],[Producto]],FIND(" · ",tblMovimientos[[#This Row],[Producto]]&amp;" · ")-1)))</f>
        <v/>
      </c>
      <c r="H4690" s="40" t="str">
        <f>IF(tblMovimientos[[#This Row],[SKU]]="","",IFERROR(INDEX(tblProductos[Unidad],MATCH(tblMovimientos[[#This Row],[SKU]],tblProductos[SKU],0)),"?"))</f>
        <v/>
      </c>
      <c r="I4690" s="39"/>
      <c r="J4690" s="47" t="str">
        <f>IF(tblMovimientos[[#This Row],[Tipo]]="","",IFERROR(INDEX(tblTiposMov[FactorStock],MATCH(tblMovimientos[[#This Row],[Tipo]],tblTiposMov[Tipo],0)),0))</f>
        <v/>
      </c>
      <c r="K46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0" s="37"/>
      <c r="O4690" s="37"/>
      <c r="P4690" s="37"/>
    </row>
    <row r="4691" spans="2:16" x14ac:dyDescent="0.25">
      <c r="B46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1" s="46"/>
      <c r="D4691" s="37"/>
      <c r="E4691" s="37"/>
      <c r="F4691" s="37"/>
      <c r="G4691" s="40" t="str">
        <f>IF(tblMovimientos[[#This Row],[Producto]]="","",TRIM(LEFT(tblMovimientos[[#This Row],[Producto]],FIND(" · ",tblMovimientos[[#This Row],[Producto]]&amp;" · ")-1)))</f>
        <v/>
      </c>
      <c r="H4691" s="40" t="str">
        <f>IF(tblMovimientos[[#This Row],[SKU]]="","",IFERROR(INDEX(tblProductos[Unidad],MATCH(tblMovimientos[[#This Row],[SKU]],tblProductos[SKU],0)),"?"))</f>
        <v/>
      </c>
      <c r="I4691" s="39"/>
      <c r="J4691" s="47" t="str">
        <f>IF(tblMovimientos[[#This Row],[Tipo]]="","",IFERROR(INDEX(tblTiposMov[FactorStock],MATCH(tblMovimientos[[#This Row],[Tipo]],tblTiposMov[Tipo],0)),0))</f>
        <v/>
      </c>
      <c r="K46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1" s="37"/>
      <c r="O4691" s="37"/>
      <c r="P4691" s="37"/>
    </row>
    <row r="4692" spans="2:16" x14ac:dyDescent="0.25">
      <c r="B46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2" s="46"/>
      <c r="D4692" s="37"/>
      <c r="E4692" s="37"/>
      <c r="F4692" s="37"/>
      <c r="G4692" s="40" t="str">
        <f>IF(tblMovimientos[[#This Row],[Producto]]="","",TRIM(LEFT(tblMovimientos[[#This Row],[Producto]],FIND(" · ",tblMovimientos[[#This Row],[Producto]]&amp;" · ")-1)))</f>
        <v/>
      </c>
      <c r="H4692" s="40" t="str">
        <f>IF(tblMovimientos[[#This Row],[SKU]]="","",IFERROR(INDEX(tblProductos[Unidad],MATCH(tblMovimientos[[#This Row],[SKU]],tblProductos[SKU],0)),"?"))</f>
        <v/>
      </c>
      <c r="I4692" s="39"/>
      <c r="J4692" s="47" t="str">
        <f>IF(tblMovimientos[[#This Row],[Tipo]]="","",IFERROR(INDEX(tblTiposMov[FactorStock],MATCH(tblMovimientos[[#This Row],[Tipo]],tblTiposMov[Tipo],0)),0))</f>
        <v/>
      </c>
      <c r="K46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2" s="37"/>
      <c r="O4692" s="37"/>
      <c r="P4692" s="37"/>
    </row>
    <row r="4693" spans="2:16" x14ac:dyDescent="0.25">
      <c r="B46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3" s="46"/>
      <c r="D4693" s="37"/>
      <c r="E4693" s="37"/>
      <c r="F4693" s="37"/>
      <c r="G4693" s="40" t="str">
        <f>IF(tblMovimientos[[#This Row],[Producto]]="","",TRIM(LEFT(tblMovimientos[[#This Row],[Producto]],FIND(" · ",tblMovimientos[[#This Row],[Producto]]&amp;" · ")-1)))</f>
        <v/>
      </c>
      <c r="H4693" s="40" t="str">
        <f>IF(tblMovimientos[[#This Row],[SKU]]="","",IFERROR(INDEX(tblProductos[Unidad],MATCH(tblMovimientos[[#This Row],[SKU]],tblProductos[SKU],0)),"?"))</f>
        <v/>
      </c>
      <c r="I4693" s="39"/>
      <c r="J4693" s="47" t="str">
        <f>IF(tblMovimientos[[#This Row],[Tipo]]="","",IFERROR(INDEX(tblTiposMov[FactorStock],MATCH(tblMovimientos[[#This Row],[Tipo]],tblTiposMov[Tipo],0)),0))</f>
        <v/>
      </c>
      <c r="K46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3" s="37"/>
      <c r="O4693" s="37"/>
      <c r="P4693" s="37"/>
    </row>
    <row r="4694" spans="2:16" x14ac:dyDescent="0.25">
      <c r="B46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4" s="46"/>
      <c r="D4694" s="37"/>
      <c r="E4694" s="37"/>
      <c r="F4694" s="37"/>
      <c r="G4694" s="40" t="str">
        <f>IF(tblMovimientos[[#This Row],[Producto]]="","",TRIM(LEFT(tblMovimientos[[#This Row],[Producto]],FIND(" · ",tblMovimientos[[#This Row],[Producto]]&amp;" · ")-1)))</f>
        <v/>
      </c>
      <c r="H4694" s="40" t="str">
        <f>IF(tblMovimientos[[#This Row],[SKU]]="","",IFERROR(INDEX(tblProductos[Unidad],MATCH(tblMovimientos[[#This Row],[SKU]],tblProductos[SKU],0)),"?"))</f>
        <v/>
      </c>
      <c r="I4694" s="39"/>
      <c r="J4694" s="47" t="str">
        <f>IF(tblMovimientos[[#This Row],[Tipo]]="","",IFERROR(INDEX(tblTiposMov[FactorStock],MATCH(tblMovimientos[[#This Row],[Tipo]],tblTiposMov[Tipo],0)),0))</f>
        <v/>
      </c>
      <c r="K46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4" s="37"/>
      <c r="O4694" s="37"/>
      <c r="P4694" s="37"/>
    </row>
    <row r="4695" spans="2:16" x14ac:dyDescent="0.25">
      <c r="B46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5" s="46"/>
      <c r="D4695" s="37"/>
      <c r="E4695" s="37"/>
      <c r="F4695" s="37"/>
      <c r="G4695" s="40" t="str">
        <f>IF(tblMovimientos[[#This Row],[Producto]]="","",TRIM(LEFT(tblMovimientos[[#This Row],[Producto]],FIND(" · ",tblMovimientos[[#This Row],[Producto]]&amp;" · ")-1)))</f>
        <v/>
      </c>
      <c r="H4695" s="40" t="str">
        <f>IF(tblMovimientos[[#This Row],[SKU]]="","",IFERROR(INDEX(tblProductos[Unidad],MATCH(tblMovimientos[[#This Row],[SKU]],tblProductos[SKU],0)),"?"))</f>
        <v/>
      </c>
      <c r="I4695" s="39"/>
      <c r="J4695" s="47" t="str">
        <f>IF(tblMovimientos[[#This Row],[Tipo]]="","",IFERROR(INDEX(tblTiposMov[FactorStock],MATCH(tblMovimientos[[#This Row],[Tipo]],tblTiposMov[Tipo],0)),0))</f>
        <v/>
      </c>
      <c r="K46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5" s="37"/>
      <c r="O4695" s="37"/>
      <c r="P4695" s="37"/>
    </row>
    <row r="4696" spans="2:16" x14ac:dyDescent="0.25">
      <c r="B46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6" s="46"/>
      <c r="D4696" s="37"/>
      <c r="E4696" s="37"/>
      <c r="F4696" s="37"/>
      <c r="G4696" s="40" t="str">
        <f>IF(tblMovimientos[[#This Row],[Producto]]="","",TRIM(LEFT(tblMovimientos[[#This Row],[Producto]],FIND(" · ",tblMovimientos[[#This Row],[Producto]]&amp;" · ")-1)))</f>
        <v/>
      </c>
      <c r="H4696" s="40" t="str">
        <f>IF(tblMovimientos[[#This Row],[SKU]]="","",IFERROR(INDEX(tblProductos[Unidad],MATCH(tblMovimientos[[#This Row],[SKU]],tblProductos[SKU],0)),"?"))</f>
        <v/>
      </c>
      <c r="I4696" s="39"/>
      <c r="J4696" s="47" t="str">
        <f>IF(tblMovimientos[[#This Row],[Tipo]]="","",IFERROR(INDEX(tblTiposMov[FactorStock],MATCH(tblMovimientos[[#This Row],[Tipo]],tblTiposMov[Tipo],0)),0))</f>
        <v/>
      </c>
      <c r="K46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6" s="37"/>
      <c r="O4696" s="37"/>
      <c r="P4696" s="37"/>
    </row>
    <row r="4697" spans="2:16" x14ac:dyDescent="0.25">
      <c r="B46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7" s="46"/>
      <c r="D4697" s="37"/>
      <c r="E4697" s="37"/>
      <c r="F4697" s="37"/>
      <c r="G4697" s="40" t="str">
        <f>IF(tblMovimientos[[#This Row],[Producto]]="","",TRIM(LEFT(tblMovimientos[[#This Row],[Producto]],FIND(" · ",tblMovimientos[[#This Row],[Producto]]&amp;" · ")-1)))</f>
        <v/>
      </c>
      <c r="H4697" s="40" t="str">
        <f>IF(tblMovimientos[[#This Row],[SKU]]="","",IFERROR(INDEX(tblProductos[Unidad],MATCH(tblMovimientos[[#This Row],[SKU]],tblProductos[SKU],0)),"?"))</f>
        <v/>
      </c>
      <c r="I4697" s="39"/>
      <c r="J4697" s="47" t="str">
        <f>IF(tblMovimientos[[#This Row],[Tipo]]="","",IFERROR(INDEX(tblTiposMov[FactorStock],MATCH(tblMovimientos[[#This Row],[Tipo]],tblTiposMov[Tipo],0)),0))</f>
        <v/>
      </c>
      <c r="K46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7" s="37"/>
      <c r="O4697" s="37"/>
      <c r="P4697" s="37"/>
    </row>
    <row r="4698" spans="2:16" x14ac:dyDescent="0.25">
      <c r="B46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8" s="46"/>
      <c r="D4698" s="37"/>
      <c r="E4698" s="37"/>
      <c r="F4698" s="37"/>
      <c r="G4698" s="40" t="str">
        <f>IF(tblMovimientos[[#This Row],[Producto]]="","",TRIM(LEFT(tblMovimientos[[#This Row],[Producto]],FIND(" · ",tblMovimientos[[#This Row],[Producto]]&amp;" · ")-1)))</f>
        <v/>
      </c>
      <c r="H4698" s="40" t="str">
        <f>IF(tblMovimientos[[#This Row],[SKU]]="","",IFERROR(INDEX(tblProductos[Unidad],MATCH(tblMovimientos[[#This Row],[SKU]],tblProductos[SKU],0)),"?"))</f>
        <v/>
      </c>
      <c r="I4698" s="39"/>
      <c r="J4698" s="47" t="str">
        <f>IF(tblMovimientos[[#This Row],[Tipo]]="","",IFERROR(INDEX(tblTiposMov[FactorStock],MATCH(tblMovimientos[[#This Row],[Tipo]],tblTiposMov[Tipo],0)),0))</f>
        <v/>
      </c>
      <c r="K46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8" s="37"/>
      <c r="O4698" s="37"/>
      <c r="P4698" s="37"/>
    </row>
    <row r="4699" spans="2:16" x14ac:dyDescent="0.25">
      <c r="B46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699" s="46"/>
      <c r="D4699" s="37"/>
      <c r="E4699" s="37"/>
      <c r="F4699" s="37"/>
      <c r="G4699" s="40" t="str">
        <f>IF(tblMovimientos[[#This Row],[Producto]]="","",TRIM(LEFT(tblMovimientos[[#This Row],[Producto]],FIND(" · ",tblMovimientos[[#This Row],[Producto]]&amp;" · ")-1)))</f>
        <v/>
      </c>
      <c r="H4699" s="40" t="str">
        <f>IF(tblMovimientos[[#This Row],[SKU]]="","",IFERROR(INDEX(tblProductos[Unidad],MATCH(tblMovimientos[[#This Row],[SKU]],tblProductos[SKU],0)),"?"))</f>
        <v/>
      </c>
      <c r="I4699" s="39"/>
      <c r="J4699" s="47" t="str">
        <f>IF(tblMovimientos[[#This Row],[Tipo]]="","",IFERROR(INDEX(tblTiposMov[FactorStock],MATCH(tblMovimientos[[#This Row],[Tipo]],tblTiposMov[Tipo],0)),0))</f>
        <v/>
      </c>
      <c r="K46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6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6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699" s="37"/>
      <c r="O4699" s="37"/>
      <c r="P4699" s="37"/>
    </row>
    <row r="4700" spans="2:16" x14ac:dyDescent="0.25">
      <c r="B47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0" s="46"/>
      <c r="D4700" s="37"/>
      <c r="E4700" s="37"/>
      <c r="F4700" s="37"/>
      <c r="G4700" s="40" t="str">
        <f>IF(tblMovimientos[[#This Row],[Producto]]="","",TRIM(LEFT(tblMovimientos[[#This Row],[Producto]],FIND(" · ",tblMovimientos[[#This Row],[Producto]]&amp;" · ")-1)))</f>
        <v/>
      </c>
      <c r="H4700" s="40" t="str">
        <f>IF(tblMovimientos[[#This Row],[SKU]]="","",IFERROR(INDEX(tblProductos[Unidad],MATCH(tblMovimientos[[#This Row],[SKU]],tblProductos[SKU],0)),"?"))</f>
        <v/>
      </c>
      <c r="I4700" s="39"/>
      <c r="J4700" s="47" t="str">
        <f>IF(tblMovimientos[[#This Row],[Tipo]]="","",IFERROR(INDEX(tblTiposMov[FactorStock],MATCH(tblMovimientos[[#This Row],[Tipo]],tblTiposMov[Tipo],0)),0))</f>
        <v/>
      </c>
      <c r="K47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0" s="37"/>
      <c r="O4700" s="37"/>
      <c r="P4700" s="37"/>
    </row>
    <row r="4701" spans="2:16" x14ac:dyDescent="0.25">
      <c r="B47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1" s="46"/>
      <c r="D4701" s="37"/>
      <c r="E4701" s="37"/>
      <c r="F4701" s="37"/>
      <c r="G4701" s="40" t="str">
        <f>IF(tblMovimientos[[#This Row],[Producto]]="","",TRIM(LEFT(tblMovimientos[[#This Row],[Producto]],FIND(" · ",tblMovimientos[[#This Row],[Producto]]&amp;" · ")-1)))</f>
        <v/>
      </c>
      <c r="H4701" s="40" t="str">
        <f>IF(tblMovimientos[[#This Row],[SKU]]="","",IFERROR(INDEX(tblProductos[Unidad],MATCH(tblMovimientos[[#This Row],[SKU]],tblProductos[SKU],0)),"?"))</f>
        <v/>
      </c>
      <c r="I4701" s="39"/>
      <c r="J4701" s="47" t="str">
        <f>IF(tblMovimientos[[#This Row],[Tipo]]="","",IFERROR(INDEX(tblTiposMov[FactorStock],MATCH(tblMovimientos[[#This Row],[Tipo]],tblTiposMov[Tipo],0)),0))</f>
        <v/>
      </c>
      <c r="K47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1" s="37"/>
      <c r="O4701" s="37"/>
      <c r="P4701" s="37"/>
    </row>
    <row r="4702" spans="2:16" x14ac:dyDescent="0.25">
      <c r="B47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2" s="46"/>
      <c r="D4702" s="37"/>
      <c r="E4702" s="37"/>
      <c r="F4702" s="37"/>
      <c r="G4702" s="40" t="str">
        <f>IF(tblMovimientos[[#This Row],[Producto]]="","",TRIM(LEFT(tblMovimientos[[#This Row],[Producto]],FIND(" · ",tblMovimientos[[#This Row],[Producto]]&amp;" · ")-1)))</f>
        <v/>
      </c>
      <c r="H4702" s="40" t="str">
        <f>IF(tblMovimientos[[#This Row],[SKU]]="","",IFERROR(INDEX(tblProductos[Unidad],MATCH(tblMovimientos[[#This Row],[SKU]],tblProductos[SKU],0)),"?"))</f>
        <v/>
      </c>
      <c r="I4702" s="39"/>
      <c r="J4702" s="47" t="str">
        <f>IF(tblMovimientos[[#This Row],[Tipo]]="","",IFERROR(INDEX(tblTiposMov[FactorStock],MATCH(tblMovimientos[[#This Row],[Tipo]],tblTiposMov[Tipo],0)),0))</f>
        <v/>
      </c>
      <c r="K47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2" s="37"/>
      <c r="O4702" s="37"/>
      <c r="P4702" s="37"/>
    </row>
    <row r="4703" spans="2:16" x14ac:dyDescent="0.25">
      <c r="B47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3" s="46"/>
      <c r="D4703" s="37"/>
      <c r="E4703" s="37"/>
      <c r="F4703" s="37"/>
      <c r="G4703" s="40" t="str">
        <f>IF(tblMovimientos[[#This Row],[Producto]]="","",TRIM(LEFT(tblMovimientos[[#This Row],[Producto]],FIND(" · ",tblMovimientos[[#This Row],[Producto]]&amp;" · ")-1)))</f>
        <v/>
      </c>
      <c r="H4703" s="40" t="str">
        <f>IF(tblMovimientos[[#This Row],[SKU]]="","",IFERROR(INDEX(tblProductos[Unidad],MATCH(tblMovimientos[[#This Row],[SKU]],tblProductos[SKU],0)),"?"))</f>
        <v/>
      </c>
      <c r="I4703" s="39"/>
      <c r="J4703" s="47" t="str">
        <f>IF(tblMovimientos[[#This Row],[Tipo]]="","",IFERROR(INDEX(tblTiposMov[FactorStock],MATCH(tblMovimientos[[#This Row],[Tipo]],tblTiposMov[Tipo],0)),0))</f>
        <v/>
      </c>
      <c r="K47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3" s="37"/>
      <c r="O4703" s="37"/>
      <c r="P4703" s="37"/>
    </row>
    <row r="4704" spans="2:16" x14ac:dyDescent="0.25">
      <c r="B47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4" s="46"/>
      <c r="D4704" s="37"/>
      <c r="E4704" s="37"/>
      <c r="F4704" s="37"/>
      <c r="G4704" s="40" t="str">
        <f>IF(tblMovimientos[[#This Row],[Producto]]="","",TRIM(LEFT(tblMovimientos[[#This Row],[Producto]],FIND(" · ",tblMovimientos[[#This Row],[Producto]]&amp;" · ")-1)))</f>
        <v/>
      </c>
      <c r="H4704" s="40" t="str">
        <f>IF(tblMovimientos[[#This Row],[SKU]]="","",IFERROR(INDEX(tblProductos[Unidad],MATCH(tblMovimientos[[#This Row],[SKU]],tblProductos[SKU],0)),"?"))</f>
        <v/>
      </c>
      <c r="I4704" s="39"/>
      <c r="J4704" s="47" t="str">
        <f>IF(tblMovimientos[[#This Row],[Tipo]]="","",IFERROR(INDEX(tblTiposMov[FactorStock],MATCH(tblMovimientos[[#This Row],[Tipo]],tblTiposMov[Tipo],0)),0))</f>
        <v/>
      </c>
      <c r="K47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4" s="37"/>
      <c r="O4704" s="37"/>
      <c r="P4704" s="37"/>
    </row>
    <row r="4705" spans="2:16" x14ac:dyDescent="0.25">
      <c r="B47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5" s="46"/>
      <c r="D4705" s="37"/>
      <c r="E4705" s="37"/>
      <c r="F4705" s="37"/>
      <c r="G4705" s="40" t="str">
        <f>IF(tblMovimientos[[#This Row],[Producto]]="","",TRIM(LEFT(tblMovimientos[[#This Row],[Producto]],FIND(" · ",tblMovimientos[[#This Row],[Producto]]&amp;" · ")-1)))</f>
        <v/>
      </c>
      <c r="H4705" s="40" t="str">
        <f>IF(tblMovimientos[[#This Row],[SKU]]="","",IFERROR(INDEX(tblProductos[Unidad],MATCH(tblMovimientos[[#This Row],[SKU]],tblProductos[SKU],0)),"?"))</f>
        <v/>
      </c>
      <c r="I4705" s="39"/>
      <c r="J4705" s="47" t="str">
        <f>IF(tblMovimientos[[#This Row],[Tipo]]="","",IFERROR(INDEX(tblTiposMov[FactorStock],MATCH(tblMovimientos[[#This Row],[Tipo]],tblTiposMov[Tipo],0)),0))</f>
        <v/>
      </c>
      <c r="K47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5" s="37"/>
      <c r="O4705" s="37"/>
      <c r="P4705" s="37"/>
    </row>
    <row r="4706" spans="2:16" x14ac:dyDescent="0.25">
      <c r="B47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6" s="46"/>
      <c r="D4706" s="37"/>
      <c r="E4706" s="37"/>
      <c r="F4706" s="37"/>
      <c r="G4706" s="40" t="str">
        <f>IF(tblMovimientos[[#This Row],[Producto]]="","",TRIM(LEFT(tblMovimientos[[#This Row],[Producto]],FIND(" · ",tblMovimientos[[#This Row],[Producto]]&amp;" · ")-1)))</f>
        <v/>
      </c>
      <c r="H4706" s="40" t="str">
        <f>IF(tblMovimientos[[#This Row],[SKU]]="","",IFERROR(INDEX(tblProductos[Unidad],MATCH(tblMovimientos[[#This Row],[SKU]],tblProductos[SKU],0)),"?"))</f>
        <v/>
      </c>
      <c r="I4706" s="39"/>
      <c r="J4706" s="47" t="str">
        <f>IF(tblMovimientos[[#This Row],[Tipo]]="","",IFERROR(INDEX(tblTiposMov[FactorStock],MATCH(tblMovimientos[[#This Row],[Tipo]],tblTiposMov[Tipo],0)),0))</f>
        <v/>
      </c>
      <c r="K47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6" s="37"/>
      <c r="O4706" s="37"/>
      <c r="P4706" s="37"/>
    </row>
    <row r="4707" spans="2:16" x14ac:dyDescent="0.25">
      <c r="B47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7" s="46"/>
      <c r="D4707" s="37"/>
      <c r="E4707" s="37"/>
      <c r="F4707" s="37"/>
      <c r="G4707" s="40" t="str">
        <f>IF(tblMovimientos[[#This Row],[Producto]]="","",TRIM(LEFT(tblMovimientos[[#This Row],[Producto]],FIND(" · ",tblMovimientos[[#This Row],[Producto]]&amp;" · ")-1)))</f>
        <v/>
      </c>
      <c r="H4707" s="40" t="str">
        <f>IF(tblMovimientos[[#This Row],[SKU]]="","",IFERROR(INDEX(tblProductos[Unidad],MATCH(tblMovimientos[[#This Row],[SKU]],tblProductos[SKU],0)),"?"))</f>
        <v/>
      </c>
      <c r="I4707" s="39"/>
      <c r="J4707" s="47" t="str">
        <f>IF(tblMovimientos[[#This Row],[Tipo]]="","",IFERROR(INDEX(tblTiposMov[FactorStock],MATCH(tblMovimientos[[#This Row],[Tipo]],tblTiposMov[Tipo],0)),0))</f>
        <v/>
      </c>
      <c r="K47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7" s="37"/>
      <c r="O4707" s="37"/>
      <c r="P4707" s="37"/>
    </row>
    <row r="4708" spans="2:16" x14ac:dyDescent="0.25">
      <c r="B47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8" s="46"/>
      <c r="D4708" s="37"/>
      <c r="E4708" s="37"/>
      <c r="F4708" s="37"/>
      <c r="G4708" s="40" t="str">
        <f>IF(tblMovimientos[[#This Row],[Producto]]="","",TRIM(LEFT(tblMovimientos[[#This Row],[Producto]],FIND(" · ",tblMovimientos[[#This Row],[Producto]]&amp;" · ")-1)))</f>
        <v/>
      </c>
      <c r="H4708" s="40" t="str">
        <f>IF(tblMovimientos[[#This Row],[SKU]]="","",IFERROR(INDEX(tblProductos[Unidad],MATCH(tblMovimientos[[#This Row],[SKU]],tblProductos[SKU],0)),"?"))</f>
        <v/>
      </c>
      <c r="I4708" s="39"/>
      <c r="J4708" s="47" t="str">
        <f>IF(tblMovimientos[[#This Row],[Tipo]]="","",IFERROR(INDEX(tblTiposMov[FactorStock],MATCH(tblMovimientos[[#This Row],[Tipo]],tblTiposMov[Tipo],0)),0))</f>
        <v/>
      </c>
      <c r="K47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8" s="37"/>
      <c r="O4708" s="37"/>
      <c r="P4708" s="37"/>
    </row>
    <row r="4709" spans="2:16" x14ac:dyDescent="0.25">
      <c r="B47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09" s="46"/>
      <c r="D4709" s="37"/>
      <c r="E4709" s="37"/>
      <c r="F4709" s="37"/>
      <c r="G4709" s="40" t="str">
        <f>IF(tblMovimientos[[#This Row],[Producto]]="","",TRIM(LEFT(tblMovimientos[[#This Row],[Producto]],FIND(" · ",tblMovimientos[[#This Row],[Producto]]&amp;" · ")-1)))</f>
        <v/>
      </c>
      <c r="H4709" s="40" t="str">
        <f>IF(tblMovimientos[[#This Row],[SKU]]="","",IFERROR(INDEX(tblProductos[Unidad],MATCH(tblMovimientos[[#This Row],[SKU]],tblProductos[SKU],0)),"?"))</f>
        <v/>
      </c>
      <c r="I4709" s="39"/>
      <c r="J4709" s="47" t="str">
        <f>IF(tblMovimientos[[#This Row],[Tipo]]="","",IFERROR(INDEX(tblTiposMov[FactorStock],MATCH(tblMovimientos[[#This Row],[Tipo]],tblTiposMov[Tipo],0)),0))</f>
        <v/>
      </c>
      <c r="K47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09" s="37"/>
      <c r="O4709" s="37"/>
      <c r="P4709" s="37"/>
    </row>
    <row r="4710" spans="2:16" x14ac:dyDescent="0.25">
      <c r="B47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0" s="46"/>
      <c r="D4710" s="37"/>
      <c r="E4710" s="37"/>
      <c r="F4710" s="37"/>
      <c r="G4710" s="40" t="str">
        <f>IF(tblMovimientos[[#This Row],[Producto]]="","",TRIM(LEFT(tblMovimientos[[#This Row],[Producto]],FIND(" · ",tblMovimientos[[#This Row],[Producto]]&amp;" · ")-1)))</f>
        <v/>
      </c>
      <c r="H4710" s="40" t="str">
        <f>IF(tblMovimientos[[#This Row],[SKU]]="","",IFERROR(INDEX(tblProductos[Unidad],MATCH(tblMovimientos[[#This Row],[SKU]],tblProductos[SKU],0)),"?"))</f>
        <v/>
      </c>
      <c r="I4710" s="39"/>
      <c r="J4710" s="47" t="str">
        <f>IF(tblMovimientos[[#This Row],[Tipo]]="","",IFERROR(INDEX(tblTiposMov[FactorStock],MATCH(tblMovimientos[[#This Row],[Tipo]],tblTiposMov[Tipo],0)),0))</f>
        <v/>
      </c>
      <c r="K47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0" s="37"/>
      <c r="O4710" s="37"/>
      <c r="P4710" s="37"/>
    </row>
    <row r="4711" spans="2:16" x14ac:dyDescent="0.25">
      <c r="B47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1" s="46"/>
      <c r="D4711" s="37"/>
      <c r="E4711" s="37"/>
      <c r="F4711" s="37"/>
      <c r="G4711" s="40" t="str">
        <f>IF(tblMovimientos[[#This Row],[Producto]]="","",TRIM(LEFT(tblMovimientos[[#This Row],[Producto]],FIND(" · ",tblMovimientos[[#This Row],[Producto]]&amp;" · ")-1)))</f>
        <v/>
      </c>
      <c r="H4711" s="40" t="str">
        <f>IF(tblMovimientos[[#This Row],[SKU]]="","",IFERROR(INDEX(tblProductos[Unidad],MATCH(tblMovimientos[[#This Row],[SKU]],tblProductos[SKU],0)),"?"))</f>
        <v/>
      </c>
      <c r="I4711" s="39"/>
      <c r="J4711" s="47" t="str">
        <f>IF(tblMovimientos[[#This Row],[Tipo]]="","",IFERROR(INDEX(tblTiposMov[FactorStock],MATCH(tblMovimientos[[#This Row],[Tipo]],tblTiposMov[Tipo],0)),0))</f>
        <v/>
      </c>
      <c r="K47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1" s="37"/>
      <c r="O4711" s="37"/>
      <c r="P4711" s="37"/>
    </row>
    <row r="4712" spans="2:16" x14ac:dyDescent="0.25">
      <c r="B47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2" s="46"/>
      <c r="D4712" s="37"/>
      <c r="E4712" s="37"/>
      <c r="F4712" s="37"/>
      <c r="G4712" s="40" t="str">
        <f>IF(tblMovimientos[[#This Row],[Producto]]="","",TRIM(LEFT(tblMovimientos[[#This Row],[Producto]],FIND(" · ",tblMovimientos[[#This Row],[Producto]]&amp;" · ")-1)))</f>
        <v/>
      </c>
      <c r="H4712" s="40" t="str">
        <f>IF(tblMovimientos[[#This Row],[SKU]]="","",IFERROR(INDEX(tblProductos[Unidad],MATCH(tblMovimientos[[#This Row],[SKU]],tblProductos[SKU],0)),"?"))</f>
        <v/>
      </c>
      <c r="I4712" s="39"/>
      <c r="J4712" s="47" t="str">
        <f>IF(tblMovimientos[[#This Row],[Tipo]]="","",IFERROR(INDEX(tblTiposMov[FactorStock],MATCH(tblMovimientos[[#This Row],[Tipo]],tblTiposMov[Tipo],0)),0))</f>
        <v/>
      </c>
      <c r="K47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2" s="37"/>
      <c r="O4712" s="37"/>
      <c r="P4712" s="37"/>
    </row>
    <row r="4713" spans="2:16" x14ac:dyDescent="0.25">
      <c r="B47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3" s="46"/>
      <c r="D4713" s="37"/>
      <c r="E4713" s="37"/>
      <c r="F4713" s="37"/>
      <c r="G4713" s="40" t="str">
        <f>IF(tblMovimientos[[#This Row],[Producto]]="","",TRIM(LEFT(tblMovimientos[[#This Row],[Producto]],FIND(" · ",tblMovimientos[[#This Row],[Producto]]&amp;" · ")-1)))</f>
        <v/>
      </c>
      <c r="H4713" s="40" t="str">
        <f>IF(tblMovimientos[[#This Row],[SKU]]="","",IFERROR(INDEX(tblProductos[Unidad],MATCH(tblMovimientos[[#This Row],[SKU]],tblProductos[SKU],0)),"?"))</f>
        <v/>
      </c>
      <c r="I4713" s="39"/>
      <c r="J4713" s="47" t="str">
        <f>IF(tblMovimientos[[#This Row],[Tipo]]="","",IFERROR(INDEX(tblTiposMov[FactorStock],MATCH(tblMovimientos[[#This Row],[Tipo]],tblTiposMov[Tipo],0)),0))</f>
        <v/>
      </c>
      <c r="K47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3" s="37"/>
      <c r="O4713" s="37"/>
      <c r="P4713" s="37"/>
    </row>
    <row r="4714" spans="2:16" x14ac:dyDescent="0.25">
      <c r="B47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4" s="46"/>
      <c r="D4714" s="37"/>
      <c r="E4714" s="37"/>
      <c r="F4714" s="37"/>
      <c r="G4714" s="40" t="str">
        <f>IF(tblMovimientos[[#This Row],[Producto]]="","",TRIM(LEFT(tblMovimientos[[#This Row],[Producto]],FIND(" · ",tblMovimientos[[#This Row],[Producto]]&amp;" · ")-1)))</f>
        <v/>
      </c>
      <c r="H4714" s="40" t="str">
        <f>IF(tblMovimientos[[#This Row],[SKU]]="","",IFERROR(INDEX(tblProductos[Unidad],MATCH(tblMovimientos[[#This Row],[SKU]],tblProductos[SKU],0)),"?"))</f>
        <v/>
      </c>
      <c r="I4714" s="39"/>
      <c r="J4714" s="47" t="str">
        <f>IF(tblMovimientos[[#This Row],[Tipo]]="","",IFERROR(INDEX(tblTiposMov[FactorStock],MATCH(tblMovimientos[[#This Row],[Tipo]],tblTiposMov[Tipo],0)),0))</f>
        <v/>
      </c>
      <c r="K47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4" s="37"/>
      <c r="O4714" s="37"/>
      <c r="P4714" s="37"/>
    </row>
    <row r="4715" spans="2:16" x14ac:dyDescent="0.25">
      <c r="B47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5" s="46"/>
      <c r="D4715" s="37"/>
      <c r="E4715" s="37"/>
      <c r="F4715" s="37"/>
      <c r="G4715" s="40" t="str">
        <f>IF(tblMovimientos[[#This Row],[Producto]]="","",TRIM(LEFT(tblMovimientos[[#This Row],[Producto]],FIND(" · ",tblMovimientos[[#This Row],[Producto]]&amp;" · ")-1)))</f>
        <v/>
      </c>
      <c r="H4715" s="40" t="str">
        <f>IF(tblMovimientos[[#This Row],[SKU]]="","",IFERROR(INDEX(tblProductos[Unidad],MATCH(tblMovimientos[[#This Row],[SKU]],tblProductos[SKU],0)),"?"))</f>
        <v/>
      </c>
      <c r="I4715" s="39"/>
      <c r="J4715" s="47" t="str">
        <f>IF(tblMovimientos[[#This Row],[Tipo]]="","",IFERROR(INDEX(tblTiposMov[FactorStock],MATCH(tblMovimientos[[#This Row],[Tipo]],tblTiposMov[Tipo],0)),0))</f>
        <v/>
      </c>
      <c r="K47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5" s="37"/>
      <c r="O4715" s="37"/>
      <c r="P4715" s="37"/>
    </row>
    <row r="4716" spans="2:16" x14ac:dyDescent="0.25">
      <c r="B47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6" s="46"/>
      <c r="D4716" s="37"/>
      <c r="E4716" s="37"/>
      <c r="F4716" s="37"/>
      <c r="G4716" s="40" t="str">
        <f>IF(tblMovimientos[[#This Row],[Producto]]="","",TRIM(LEFT(tblMovimientos[[#This Row],[Producto]],FIND(" · ",tblMovimientos[[#This Row],[Producto]]&amp;" · ")-1)))</f>
        <v/>
      </c>
      <c r="H4716" s="40" t="str">
        <f>IF(tblMovimientos[[#This Row],[SKU]]="","",IFERROR(INDEX(tblProductos[Unidad],MATCH(tblMovimientos[[#This Row],[SKU]],tblProductos[SKU],0)),"?"))</f>
        <v/>
      </c>
      <c r="I4716" s="39"/>
      <c r="J4716" s="47" t="str">
        <f>IF(tblMovimientos[[#This Row],[Tipo]]="","",IFERROR(INDEX(tblTiposMov[FactorStock],MATCH(tblMovimientos[[#This Row],[Tipo]],tblTiposMov[Tipo],0)),0))</f>
        <v/>
      </c>
      <c r="K47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6" s="37"/>
      <c r="O4716" s="37"/>
      <c r="P4716" s="37"/>
    </row>
    <row r="4717" spans="2:16" x14ac:dyDescent="0.25">
      <c r="B47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7" s="46"/>
      <c r="D4717" s="37"/>
      <c r="E4717" s="37"/>
      <c r="F4717" s="37"/>
      <c r="G4717" s="40" t="str">
        <f>IF(tblMovimientos[[#This Row],[Producto]]="","",TRIM(LEFT(tblMovimientos[[#This Row],[Producto]],FIND(" · ",tblMovimientos[[#This Row],[Producto]]&amp;" · ")-1)))</f>
        <v/>
      </c>
      <c r="H4717" s="40" t="str">
        <f>IF(tblMovimientos[[#This Row],[SKU]]="","",IFERROR(INDEX(tblProductos[Unidad],MATCH(tblMovimientos[[#This Row],[SKU]],tblProductos[SKU],0)),"?"))</f>
        <v/>
      </c>
      <c r="I4717" s="39"/>
      <c r="J4717" s="47" t="str">
        <f>IF(tblMovimientos[[#This Row],[Tipo]]="","",IFERROR(INDEX(tblTiposMov[FactorStock],MATCH(tblMovimientos[[#This Row],[Tipo]],tblTiposMov[Tipo],0)),0))</f>
        <v/>
      </c>
      <c r="K47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7" s="37"/>
      <c r="O4717" s="37"/>
      <c r="P4717" s="37"/>
    </row>
    <row r="4718" spans="2:16" x14ac:dyDescent="0.25">
      <c r="B47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8" s="46"/>
      <c r="D4718" s="37"/>
      <c r="E4718" s="37"/>
      <c r="F4718" s="37"/>
      <c r="G4718" s="40" t="str">
        <f>IF(tblMovimientos[[#This Row],[Producto]]="","",TRIM(LEFT(tblMovimientos[[#This Row],[Producto]],FIND(" · ",tblMovimientos[[#This Row],[Producto]]&amp;" · ")-1)))</f>
        <v/>
      </c>
      <c r="H4718" s="40" t="str">
        <f>IF(tblMovimientos[[#This Row],[SKU]]="","",IFERROR(INDEX(tblProductos[Unidad],MATCH(tblMovimientos[[#This Row],[SKU]],tblProductos[SKU],0)),"?"))</f>
        <v/>
      </c>
      <c r="I4718" s="39"/>
      <c r="J4718" s="47" t="str">
        <f>IF(tblMovimientos[[#This Row],[Tipo]]="","",IFERROR(INDEX(tblTiposMov[FactorStock],MATCH(tblMovimientos[[#This Row],[Tipo]],tblTiposMov[Tipo],0)),0))</f>
        <v/>
      </c>
      <c r="K47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8" s="37"/>
      <c r="O4718" s="37"/>
      <c r="P4718" s="37"/>
    </row>
    <row r="4719" spans="2:16" x14ac:dyDescent="0.25">
      <c r="B47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19" s="46"/>
      <c r="D4719" s="37"/>
      <c r="E4719" s="37"/>
      <c r="F4719" s="37"/>
      <c r="G4719" s="40" t="str">
        <f>IF(tblMovimientos[[#This Row],[Producto]]="","",TRIM(LEFT(tblMovimientos[[#This Row],[Producto]],FIND(" · ",tblMovimientos[[#This Row],[Producto]]&amp;" · ")-1)))</f>
        <v/>
      </c>
      <c r="H4719" s="40" t="str">
        <f>IF(tblMovimientos[[#This Row],[SKU]]="","",IFERROR(INDEX(tblProductos[Unidad],MATCH(tblMovimientos[[#This Row],[SKU]],tblProductos[SKU],0)),"?"))</f>
        <v/>
      </c>
      <c r="I4719" s="39"/>
      <c r="J4719" s="47" t="str">
        <f>IF(tblMovimientos[[#This Row],[Tipo]]="","",IFERROR(INDEX(tblTiposMov[FactorStock],MATCH(tblMovimientos[[#This Row],[Tipo]],tblTiposMov[Tipo],0)),0))</f>
        <v/>
      </c>
      <c r="K47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19" s="37"/>
      <c r="O4719" s="37"/>
      <c r="P4719" s="37"/>
    </row>
    <row r="4720" spans="2:16" x14ac:dyDescent="0.25">
      <c r="B47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0" s="46"/>
      <c r="D4720" s="37"/>
      <c r="E4720" s="37"/>
      <c r="F4720" s="37"/>
      <c r="G4720" s="40" t="str">
        <f>IF(tblMovimientos[[#This Row],[Producto]]="","",TRIM(LEFT(tblMovimientos[[#This Row],[Producto]],FIND(" · ",tblMovimientos[[#This Row],[Producto]]&amp;" · ")-1)))</f>
        <v/>
      </c>
      <c r="H4720" s="40" t="str">
        <f>IF(tblMovimientos[[#This Row],[SKU]]="","",IFERROR(INDEX(tblProductos[Unidad],MATCH(tblMovimientos[[#This Row],[SKU]],tblProductos[SKU],0)),"?"))</f>
        <v/>
      </c>
      <c r="I4720" s="39"/>
      <c r="J4720" s="47" t="str">
        <f>IF(tblMovimientos[[#This Row],[Tipo]]="","",IFERROR(INDEX(tblTiposMov[FactorStock],MATCH(tblMovimientos[[#This Row],[Tipo]],tblTiposMov[Tipo],0)),0))</f>
        <v/>
      </c>
      <c r="K47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0" s="37"/>
      <c r="O4720" s="37"/>
      <c r="P4720" s="37"/>
    </row>
    <row r="4721" spans="2:16" x14ac:dyDescent="0.25">
      <c r="B47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1" s="46"/>
      <c r="D4721" s="37"/>
      <c r="E4721" s="37"/>
      <c r="F4721" s="37"/>
      <c r="G4721" s="40" t="str">
        <f>IF(tblMovimientos[[#This Row],[Producto]]="","",TRIM(LEFT(tblMovimientos[[#This Row],[Producto]],FIND(" · ",tblMovimientos[[#This Row],[Producto]]&amp;" · ")-1)))</f>
        <v/>
      </c>
      <c r="H4721" s="40" t="str">
        <f>IF(tblMovimientos[[#This Row],[SKU]]="","",IFERROR(INDEX(tblProductos[Unidad],MATCH(tblMovimientos[[#This Row],[SKU]],tblProductos[SKU],0)),"?"))</f>
        <v/>
      </c>
      <c r="I4721" s="39"/>
      <c r="J4721" s="47" t="str">
        <f>IF(tblMovimientos[[#This Row],[Tipo]]="","",IFERROR(INDEX(tblTiposMov[FactorStock],MATCH(tblMovimientos[[#This Row],[Tipo]],tblTiposMov[Tipo],0)),0))</f>
        <v/>
      </c>
      <c r="K47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1" s="37"/>
      <c r="O4721" s="37"/>
      <c r="P4721" s="37"/>
    </row>
    <row r="4722" spans="2:16" x14ac:dyDescent="0.25">
      <c r="B47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2" s="46"/>
      <c r="D4722" s="37"/>
      <c r="E4722" s="37"/>
      <c r="F4722" s="37"/>
      <c r="G4722" s="40" t="str">
        <f>IF(tblMovimientos[[#This Row],[Producto]]="","",TRIM(LEFT(tblMovimientos[[#This Row],[Producto]],FIND(" · ",tblMovimientos[[#This Row],[Producto]]&amp;" · ")-1)))</f>
        <v/>
      </c>
      <c r="H4722" s="40" t="str">
        <f>IF(tblMovimientos[[#This Row],[SKU]]="","",IFERROR(INDEX(tblProductos[Unidad],MATCH(tblMovimientos[[#This Row],[SKU]],tblProductos[SKU],0)),"?"))</f>
        <v/>
      </c>
      <c r="I4722" s="39"/>
      <c r="J4722" s="47" t="str">
        <f>IF(tblMovimientos[[#This Row],[Tipo]]="","",IFERROR(INDEX(tblTiposMov[FactorStock],MATCH(tblMovimientos[[#This Row],[Tipo]],tblTiposMov[Tipo],0)),0))</f>
        <v/>
      </c>
      <c r="K47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2" s="37"/>
      <c r="O4722" s="37"/>
      <c r="P4722" s="37"/>
    </row>
    <row r="4723" spans="2:16" x14ac:dyDescent="0.25">
      <c r="B47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3" s="46"/>
      <c r="D4723" s="37"/>
      <c r="E4723" s="37"/>
      <c r="F4723" s="37"/>
      <c r="G4723" s="40" t="str">
        <f>IF(tblMovimientos[[#This Row],[Producto]]="","",TRIM(LEFT(tblMovimientos[[#This Row],[Producto]],FIND(" · ",tblMovimientos[[#This Row],[Producto]]&amp;" · ")-1)))</f>
        <v/>
      </c>
      <c r="H4723" s="40" t="str">
        <f>IF(tblMovimientos[[#This Row],[SKU]]="","",IFERROR(INDEX(tblProductos[Unidad],MATCH(tblMovimientos[[#This Row],[SKU]],tblProductos[SKU],0)),"?"))</f>
        <v/>
      </c>
      <c r="I4723" s="39"/>
      <c r="J4723" s="47" t="str">
        <f>IF(tblMovimientos[[#This Row],[Tipo]]="","",IFERROR(INDEX(tblTiposMov[FactorStock],MATCH(tblMovimientos[[#This Row],[Tipo]],tblTiposMov[Tipo],0)),0))</f>
        <v/>
      </c>
      <c r="K47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3" s="37"/>
      <c r="O4723" s="37"/>
      <c r="P4723" s="37"/>
    </row>
    <row r="4724" spans="2:16" x14ac:dyDescent="0.25">
      <c r="B47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4" s="46"/>
      <c r="D4724" s="37"/>
      <c r="E4724" s="37"/>
      <c r="F4724" s="37"/>
      <c r="G4724" s="40" t="str">
        <f>IF(tblMovimientos[[#This Row],[Producto]]="","",TRIM(LEFT(tblMovimientos[[#This Row],[Producto]],FIND(" · ",tblMovimientos[[#This Row],[Producto]]&amp;" · ")-1)))</f>
        <v/>
      </c>
      <c r="H4724" s="40" t="str">
        <f>IF(tblMovimientos[[#This Row],[SKU]]="","",IFERROR(INDEX(tblProductos[Unidad],MATCH(tblMovimientos[[#This Row],[SKU]],tblProductos[SKU],0)),"?"))</f>
        <v/>
      </c>
      <c r="I4724" s="39"/>
      <c r="J4724" s="47" t="str">
        <f>IF(tblMovimientos[[#This Row],[Tipo]]="","",IFERROR(INDEX(tblTiposMov[FactorStock],MATCH(tblMovimientos[[#This Row],[Tipo]],tblTiposMov[Tipo],0)),0))</f>
        <v/>
      </c>
      <c r="K47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4" s="37"/>
      <c r="O4724" s="37"/>
      <c r="P4724" s="37"/>
    </row>
    <row r="4725" spans="2:16" x14ac:dyDescent="0.25">
      <c r="B47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5" s="46"/>
      <c r="D4725" s="37"/>
      <c r="E4725" s="37"/>
      <c r="F4725" s="37"/>
      <c r="G4725" s="40" t="str">
        <f>IF(tblMovimientos[[#This Row],[Producto]]="","",TRIM(LEFT(tblMovimientos[[#This Row],[Producto]],FIND(" · ",tblMovimientos[[#This Row],[Producto]]&amp;" · ")-1)))</f>
        <v/>
      </c>
      <c r="H4725" s="40" t="str">
        <f>IF(tblMovimientos[[#This Row],[SKU]]="","",IFERROR(INDEX(tblProductos[Unidad],MATCH(tblMovimientos[[#This Row],[SKU]],tblProductos[SKU],0)),"?"))</f>
        <v/>
      </c>
      <c r="I4725" s="39"/>
      <c r="J4725" s="47" t="str">
        <f>IF(tblMovimientos[[#This Row],[Tipo]]="","",IFERROR(INDEX(tblTiposMov[FactorStock],MATCH(tblMovimientos[[#This Row],[Tipo]],tblTiposMov[Tipo],0)),0))</f>
        <v/>
      </c>
      <c r="K47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5" s="37"/>
      <c r="O4725" s="37"/>
      <c r="P4725" s="37"/>
    </row>
    <row r="4726" spans="2:16" x14ac:dyDescent="0.25">
      <c r="B47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6" s="46"/>
      <c r="D4726" s="37"/>
      <c r="E4726" s="37"/>
      <c r="F4726" s="37"/>
      <c r="G4726" s="40" t="str">
        <f>IF(tblMovimientos[[#This Row],[Producto]]="","",TRIM(LEFT(tblMovimientos[[#This Row],[Producto]],FIND(" · ",tblMovimientos[[#This Row],[Producto]]&amp;" · ")-1)))</f>
        <v/>
      </c>
      <c r="H4726" s="40" t="str">
        <f>IF(tblMovimientos[[#This Row],[SKU]]="","",IFERROR(INDEX(tblProductos[Unidad],MATCH(tblMovimientos[[#This Row],[SKU]],tblProductos[SKU],0)),"?"))</f>
        <v/>
      </c>
      <c r="I4726" s="39"/>
      <c r="J4726" s="47" t="str">
        <f>IF(tblMovimientos[[#This Row],[Tipo]]="","",IFERROR(INDEX(tblTiposMov[FactorStock],MATCH(tblMovimientos[[#This Row],[Tipo]],tblTiposMov[Tipo],0)),0))</f>
        <v/>
      </c>
      <c r="K47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6" s="37"/>
      <c r="O4726" s="37"/>
      <c r="P4726" s="37"/>
    </row>
    <row r="4727" spans="2:16" x14ac:dyDescent="0.25">
      <c r="B47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7" s="46"/>
      <c r="D4727" s="37"/>
      <c r="E4727" s="37"/>
      <c r="F4727" s="37"/>
      <c r="G4727" s="40" t="str">
        <f>IF(tblMovimientos[[#This Row],[Producto]]="","",TRIM(LEFT(tblMovimientos[[#This Row],[Producto]],FIND(" · ",tblMovimientos[[#This Row],[Producto]]&amp;" · ")-1)))</f>
        <v/>
      </c>
      <c r="H4727" s="40" t="str">
        <f>IF(tblMovimientos[[#This Row],[SKU]]="","",IFERROR(INDEX(tblProductos[Unidad],MATCH(tblMovimientos[[#This Row],[SKU]],tblProductos[SKU],0)),"?"))</f>
        <v/>
      </c>
      <c r="I4727" s="39"/>
      <c r="J4727" s="47" t="str">
        <f>IF(tblMovimientos[[#This Row],[Tipo]]="","",IFERROR(INDEX(tblTiposMov[FactorStock],MATCH(tblMovimientos[[#This Row],[Tipo]],tblTiposMov[Tipo],0)),0))</f>
        <v/>
      </c>
      <c r="K47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7" s="37"/>
      <c r="O4727" s="37"/>
      <c r="P4727" s="37"/>
    </row>
    <row r="4728" spans="2:16" x14ac:dyDescent="0.25">
      <c r="B47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8" s="46"/>
      <c r="D4728" s="37"/>
      <c r="E4728" s="37"/>
      <c r="F4728" s="37"/>
      <c r="G4728" s="40" t="str">
        <f>IF(tblMovimientos[[#This Row],[Producto]]="","",TRIM(LEFT(tblMovimientos[[#This Row],[Producto]],FIND(" · ",tblMovimientos[[#This Row],[Producto]]&amp;" · ")-1)))</f>
        <v/>
      </c>
      <c r="H4728" s="40" t="str">
        <f>IF(tblMovimientos[[#This Row],[SKU]]="","",IFERROR(INDEX(tblProductos[Unidad],MATCH(tblMovimientos[[#This Row],[SKU]],tblProductos[SKU],0)),"?"))</f>
        <v/>
      </c>
      <c r="I4728" s="39"/>
      <c r="J4728" s="47" t="str">
        <f>IF(tblMovimientos[[#This Row],[Tipo]]="","",IFERROR(INDEX(tblTiposMov[FactorStock],MATCH(tblMovimientos[[#This Row],[Tipo]],tblTiposMov[Tipo],0)),0))</f>
        <v/>
      </c>
      <c r="K47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8" s="37"/>
      <c r="O4728" s="37"/>
      <c r="P4728" s="37"/>
    </row>
    <row r="4729" spans="2:16" x14ac:dyDescent="0.25">
      <c r="B47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29" s="46"/>
      <c r="D4729" s="37"/>
      <c r="E4729" s="37"/>
      <c r="F4729" s="37"/>
      <c r="G4729" s="40" t="str">
        <f>IF(tblMovimientos[[#This Row],[Producto]]="","",TRIM(LEFT(tblMovimientos[[#This Row],[Producto]],FIND(" · ",tblMovimientos[[#This Row],[Producto]]&amp;" · ")-1)))</f>
        <v/>
      </c>
      <c r="H4729" s="40" t="str">
        <f>IF(tblMovimientos[[#This Row],[SKU]]="","",IFERROR(INDEX(tblProductos[Unidad],MATCH(tblMovimientos[[#This Row],[SKU]],tblProductos[SKU],0)),"?"))</f>
        <v/>
      </c>
      <c r="I4729" s="39"/>
      <c r="J4729" s="47" t="str">
        <f>IF(tblMovimientos[[#This Row],[Tipo]]="","",IFERROR(INDEX(tblTiposMov[FactorStock],MATCH(tblMovimientos[[#This Row],[Tipo]],tblTiposMov[Tipo],0)),0))</f>
        <v/>
      </c>
      <c r="K47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29" s="37"/>
      <c r="O4729" s="37"/>
      <c r="P4729" s="37"/>
    </row>
    <row r="4730" spans="2:16" x14ac:dyDescent="0.25">
      <c r="B47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0" s="46"/>
      <c r="D4730" s="37"/>
      <c r="E4730" s="37"/>
      <c r="F4730" s="37"/>
      <c r="G4730" s="40" t="str">
        <f>IF(tblMovimientos[[#This Row],[Producto]]="","",TRIM(LEFT(tblMovimientos[[#This Row],[Producto]],FIND(" · ",tblMovimientos[[#This Row],[Producto]]&amp;" · ")-1)))</f>
        <v/>
      </c>
      <c r="H4730" s="40" t="str">
        <f>IF(tblMovimientos[[#This Row],[SKU]]="","",IFERROR(INDEX(tblProductos[Unidad],MATCH(tblMovimientos[[#This Row],[SKU]],tblProductos[SKU],0)),"?"))</f>
        <v/>
      </c>
      <c r="I4730" s="39"/>
      <c r="J4730" s="47" t="str">
        <f>IF(tblMovimientos[[#This Row],[Tipo]]="","",IFERROR(INDEX(tblTiposMov[FactorStock],MATCH(tblMovimientos[[#This Row],[Tipo]],tblTiposMov[Tipo],0)),0))</f>
        <v/>
      </c>
      <c r="K47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0" s="37"/>
      <c r="O4730" s="37"/>
      <c r="P4730" s="37"/>
    </row>
    <row r="4731" spans="2:16" x14ac:dyDescent="0.25">
      <c r="B47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1" s="46"/>
      <c r="D4731" s="37"/>
      <c r="E4731" s="37"/>
      <c r="F4731" s="37"/>
      <c r="G4731" s="40" t="str">
        <f>IF(tblMovimientos[[#This Row],[Producto]]="","",TRIM(LEFT(tblMovimientos[[#This Row],[Producto]],FIND(" · ",tblMovimientos[[#This Row],[Producto]]&amp;" · ")-1)))</f>
        <v/>
      </c>
      <c r="H4731" s="40" t="str">
        <f>IF(tblMovimientos[[#This Row],[SKU]]="","",IFERROR(INDEX(tblProductos[Unidad],MATCH(tblMovimientos[[#This Row],[SKU]],tblProductos[SKU],0)),"?"))</f>
        <v/>
      </c>
      <c r="I4731" s="39"/>
      <c r="J4731" s="47" t="str">
        <f>IF(tblMovimientos[[#This Row],[Tipo]]="","",IFERROR(INDEX(tblTiposMov[FactorStock],MATCH(tblMovimientos[[#This Row],[Tipo]],tblTiposMov[Tipo],0)),0))</f>
        <v/>
      </c>
      <c r="K47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1" s="37"/>
      <c r="O4731" s="37"/>
      <c r="P4731" s="37"/>
    </row>
    <row r="4732" spans="2:16" x14ac:dyDescent="0.25">
      <c r="B47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2" s="46"/>
      <c r="D4732" s="37"/>
      <c r="E4732" s="37"/>
      <c r="F4732" s="37"/>
      <c r="G4732" s="40" t="str">
        <f>IF(tblMovimientos[[#This Row],[Producto]]="","",TRIM(LEFT(tblMovimientos[[#This Row],[Producto]],FIND(" · ",tblMovimientos[[#This Row],[Producto]]&amp;" · ")-1)))</f>
        <v/>
      </c>
      <c r="H4732" s="40" t="str">
        <f>IF(tblMovimientos[[#This Row],[SKU]]="","",IFERROR(INDEX(tblProductos[Unidad],MATCH(tblMovimientos[[#This Row],[SKU]],tblProductos[SKU],0)),"?"))</f>
        <v/>
      </c>
      <c r="I4732" s="39"/>
      <c r="J4732" s="47" t="str">
        <f>IF(tblMovimientos[[#This Row],[Tipo]]="","",IFERROR(INDEX(tblTiposMov[FactorStock],MATCH(tblMovimientos[[#This Row],[Tipo]],tblTiposMov[Tipo],0)),0))</f>
        <v/>
      </c>
      <c r="K47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2" s="37"/>
      <c r="O4732" s="37"/>
      <c r="P4732" s="37"/>
    </row>
    <row r="4733" spans="2:16" x14ac:dyDescent="0.25">
      <c r="B47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3" s="46"/>
      <c r="D4733" s="37"/>
      <c r="E4733" s="37"/>
      <c r="F4733" s="37"/>
      <c r="G4733" s="40" t="str">
        <f>IF(tblMovimientos[[#This Row],[Producto]]="","",TRIM(LEFT(tblMovimientos[[#This Row],[Producto]],FIND(" · ",tblMovimientos[[#This Row],[Producto]]&amp;" · ")-1)))</f>
        <v/>
      </c>
      <c r="H4733" s="40" t="str">
        <f>IF(tblMovimientos[[#This Row],[SKU]]="","",IFERROR(INDEX(tblProductos[Unidad],MATCH(tblMovimientos[[#This Row],[SKU]],tblProductos[SKU],0)),"?"))</f>
        <v/>
      </c>
      <c r="I4733" s="39"/>
      <c r="J4733" s="47" t="str">
        <f>IF(tblMovimientos[[#This Row],[Tipo]]="","",IFERROR(INDEX(tblTiposMov[FactorStock],MATCH(tblMovimientos[[#This Row],[Tipo]],tblTiposMov[Tipo],0)),0))</f>
        <v/>
      </c>
      <c r="K47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3" s="37"/>
      <c r="O4733" s="37"/>
      <c r="P4733" s="37"/>
    </row>
    <row r="4734" spans="2:16" x14ac:dyDescent="0.25">
      <c r="B47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4" s="46"/>
      <c r="D4734" s="37"/>
      <c r="E4734" s="37"/>
      <c r="F4734" s="37"/>
      <c r="G4734" s="40" t="str">
        <f>IF(tblMovimientos[[#This Row],[Producto]]="","",TRIM(LEFT(tblMovimientos[[#This Row],[Producto]],FIND(" · ",tblMovimientos[[#This Row],[Producto]]&amp;" · ")-1)))</f>
        <v/>
      </c>
      <c r="H4734" s="40" t="str">
        <f>IF(tblMovimientos[[#This Row],[SKU]]="","",IFERROR(INDEX(tblProductos[Unidad],MATCH(tblMovimientos[[#This Row],[SKU]],tblProductos[SKU],0)),"?"))</f>
        <v/>
      </c>
      <c r="I4734" s="39"/>
      <c r="J4734" s="47" t="str">
        <f>IF(tblMovimientos[[#This Row],[Tipo]]="","",IFERROR(INDEX(tblTiposMov[FactorStock],MATCH(tblMovimientos[[#This Row],[Tipo]],tblTiposMov[Tipo],0)),0))</f>
        <v/>
      </c>
      <c r="K47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4" s="37"/>
      <c r="O4734" s="37"/>
      <c r="P4734" s="37"/>
    </row>
    <row r="4735" spans="2:16" x14ac:dyDescent="0.25">
      <c r="B47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5" s="46"/>
      <c r="D4735" s="37"/>
      <c r="E4735" s="37"/>
      <c r="F4735" s="37"/>
      <c r="G4735" s="40" t="str">
        <f>IF(tblMovimientos[[#This Row],[Producto]]="","",TRIM(LEFT(tblMovimientos[[#This Row],[Producto]],FIND(" · ",tblMovimientos[[#This Row],[Producto]]&amp;" · ")-1)))</f>
        <v/>
      </c>
      <c r="H4735" s="40" t="str">
        <f>IF(tblMovimientos[[#This Row],[SKU]]="","",IFERROR(INDEX(tblProductos[Unidad],MATCH(tblMovimientos[[#This Row],[SKU]],tblProductos[SKU],0)),"?"))</f>
        <v/>
      </c>
      <c r="I4735" s="39"/>
      <c r="J4735" s="47" t="str">
        <f>IF(tblMovimientos[[#This Row],[Tipo]]="","",IFERROR(INDEX(tblTiposMov[FactorStock],MATCH(tblMovimientos[[#This Row],[Tipo]],tblTiposMov[Tipo],0)),0))</f>
        <v/>
      </c>
      <c r="K47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5" s="37"/>
      <c r="O4735" s="37"/>
      <c r="P4735" s="37"/>
    </row>
    <row r="4736" spans="2:16" x14ac:dyDescent="0.25">
      <c r="B47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6" s="46"/>
      <c r="D4736" s="37"/>
      <c r="E4736" s="37"/>
      <c r="F4736" s="37"/>
      <c r="G4736" s="40" t="str">
        <f>IF(tblMovimientos[[#This Row],[Producto]]="","",TRIM(LEFT(tblMovimientos[[#This Row],[Producto]],FIND(" · ",tblMovimientos[[#This Row],[Producto]]&amp;" · ")-1)))</f>
        <v/>
      </c>
      <c r="H4736" s="40" t="str">
        <f>IF(tblMovimientos[[#This Row],[SKU]]="","",IFERROR(INDEX(tblProductos[Unidad],MATCH(tblMovimientos[[#This Row],[SKU]],tblProductos[SKU],0)),"?"))</f>
        <v/>
      </c>
      <c r="I4736" s="39"/>
      <c r="J4736" s="47" t="str">
        <f>IF(tblMovimientos[[#This Row],[Tipo]]="","",IFERROR(INDEX(tblTiposMov[FactorStock],MATCH(tblMovimientos[[#This Row],[Tipo]],tblTiposMov[Tipo],0)),0))</f>
        <v/>
      </c>
      <c r="K47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6" s="37"/>
      <c r="O4736" s="37"/>
      <c r="P4736" s="37"/>
    </row>
    <row r="4737" spans="2:16" x14ac:dyDescent="0.25">
      <c r="B47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7" s="46"/>
      <c r="D4737" s="37"/>
      <c r="E4737" s="37"/>
      <c r="F4737" s="37"/>
      <c r="G4737" s="40" t="str">
        <f>IF(tblMovimientos[[#This Row],[Producto]]="","",TRIM(LEFT(tblMovimientos[[#This Row],[Producto]],FIND(" · ",tblMovimientos[[#This Row],[Producto]]&amp;" · ")-1)))</f>
        <v/>
      </c>
      <c r="H4737" s="40" t="str">
        <f>IF(tblMovimientos[[#This Row],[SKU]]="","",IFERROR(INDEX(tblProductos[Unidad],MATCH(tblMovimientos[[#This Row],[SKU]],tblProductos[SKU],0)),"?"))</f>
        <v/>
      </c>
      <c r="I4737" s="39"/>
      <c r="J4737" s="47" t="str">
        <f>IF(tblMovimientos[[#This Row],[Tipo]]="","",IFERROR(INDEX(tblTiposMov[FactorStock],MATCH(tblMovimientos[[#This Row],[Tipo]],tblTiposMov[Tipo],0)),0))</f>
        <v/>
      </c>
      <c r="K47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7" s="37"/>
      <c r="O4737" s="37"/>
      <c r="P4737" s="37"/>
    </row>
    <row r="4738" spans="2:16" x14ac:dyDescent="0.25">
      <c r="B47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8" s="46"/>
      <c r="D4738" s="37"/>
      <c r="E4738" s="37"/>
      <c r="F4738" s="37"/>
      <c r="G4738" s="40" t="str">
        <f>IF(tblMovimientos[[#This Row],[Producto]]="","",TRIM(LEFT(tblMovimientos[[#This Row],[Producto]],FIND(" · ",tblMovimientos[[#This Row],[Producto]]&amp;" · ")-1)))</f>
        <v/>
      </c>
      <c r="H4738" s="40" t="str">
        <f>IF(tblMovimientos[[#This Row],[SKU]]="","",IFERROR(INDEX(tblProductos[Unidad],MATCH(tblMovimientos[[#This Row],[SKU]],tblProductos[SKU],0)),"?"))</f>
        <v/>
      </c>
      <c r="I4738" s="39"/>
      <c r="J4738" s="47" t="str">
        <f>IF(tblMovimientos[[#This Row],[Tipo]]="","",IFERROR(INDEX(tblTiposMov[FactorStock],MATCH(tblMovimientos[[#This Row],[Tipo]],tblTiposMov[Tipo],0)),0))</f>
        <v/>
      </c>
      <c r="K47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8" s="37"/>
      <c r="O4738" s="37"/>
      <c r="P4738" s="37"/>
    </row>
    <row r="4739" spans="2:16" x14ac:dyDescent="0.25">
      <c r="B47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39" s="46"/>
      <c r="D4739" s="37"/>
      <c r="E4739" s="37"/>
      <c r="F4739" s="37"/>
      <c r="G4739" s="40" t="str">
        <f>IF(tblMovimientos[[#This Row],[Producto]]="","",TRIM(LEFT(tblMovimientos[[#This Row],[Producto]],FIND(" · ",tblMovimientos[[#This Row],[Producto]]&amp;" · ")-1)))</f>
        <v/>
      </c>
      <c r="H4739" s="40" t="str">
        <f>IF(tblMovimientos[[#This Row],[SKU]]="","",IFERROR(INDEX(tblProductos[Unidad],MATCH(tblMovimientos[[#This Row],[SKU]],tblProductos[SKU],0)),"?"))</f>
        <v/>
      </c>
      <c r="I4739" s="39"/>
      <c r="J4739" s="47" t="str">
        <f>IF(tblMovimientos[[#This Row],[Tipo]]="","",IFERROR(INDEX(tblTiposMov[FactorStock],MATCH(tblMovimientos[[#This Row],[Tipo]],tblTiposMov[Tipo],0)),0))</f>
        <v/>
      </c>
      <c r="K47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39" s="37"/>
      <c r="O4739" s="37"/>
      <c r="P4739" s="37"/>
    </row>
    <row r="4740" spans="2:16" x14ac:dyDescent="0.25">
      <c r="B47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0" s="46"/>
      <c r="D4740" s="37"/>
      <c r="E4740" s="37"/>
      <c r="F4740" s="37"/>
      <c r="G4740" s="40" t="str">
        <f>IF(tblMovimientos[[#This Row],[Producto]]="","",TRIM(LEFT(tblMovimientos[[#This Row],[Producto]],FIND(" · ",tblMovimientos[[#This Row],[Producto]]&amp;" · ")-1)))</f>
        <v/>
      </c>
      <c r="H4740" s="40" t="str">
        <f>IF(tblMovimientos[[#This Row],[SKU]]="","",IFERROR(INDEX(tblProductos[Unidad],MATCH(tblMovimientos[[#This Row],[SKU]],tblProductos[SKU],0)),"?"))</f>
        <v/>
      </c>
      <c r="I4740" s="39"/>
      <c r="J4740" s="47" t="str">
        <f>IF(tblMovimientos[[#This Row],[Tipo]]="","",IFERROR(INDEX(tblTiposMov[FactorStock],MATCH(tblMovimientos[[#This Row],[Tipo]],tblTiposMov[Tipo],0)),0))</f>
        <v/>
      </c>
      <c r="K47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0" s="37"/>
      <c r="O4740" s="37"/>
      <c r="P4740" s="37"/>
    </row>
    <row r="4741" spans="2:16" x14ac:dyDescent="0.25">
      <c r="B47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1" s="46"/>
      <c r="D4741" s="37"/>
      <c r="E4741" s="37"/>
      <c r="F4741" s="37"/>
      <c r="G4741" s="40" t="str">
        <f>IF(tblMovimientos[[#This Row],[Producto]]="","",TRIM(LEFT(tblMovimientos[[#This Row],[Producto]],FIND(" · ",tblMovimientos[[#This Row],[Producto]]&amp;" · ")-1)))</f>
        <v/>
      </c>
      <c r="H4741" s="40" t="str">
        <f>IF(tblMovimientos[[#This Row],[SKU]]="","",IFERROR(INDEX(tblProductos[Unidad],MATCH(tblMovimientos[[#This Row],[SKU]],tblProductos[SKU],0)),"?"))</f>
        <v/>
      </c>
      <c r="I4741" s="39"/>
      <c r="J4741" s="47" t="str">
        <f>IF(tblMovimientos[[#This Row],[Tipo]]="","",IFERROR(INDEX(tblTiposMov[FactorStock],MATCH(tblMovimientos[[#This Row],[Tipo]],tblTiposMov[Tipo],0)),0))</f>
        <v/>
      </c>
      <c r="K47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1" s="37"/>
      <c r="O4741" s="37"/>
      <c r="P4741" s="37"/>
    </row>
    <row r="4742" spans="2:16" x14ac:dyDescent="0.25">
      <c r="B47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2" s="46"/>
      <c r="D4742" s="37"/>
      <c r="E4742" s="37"/>
      <c r="F4742" s="37"/>
      <c r="G4742" s="40" t="str">
        <f>IF(tblMovimientos[[#This Row],[Producto]]="","",TRIM(LEFT(tblMovimientos[[#This Row],[Producto]],FIND(" · ",tblMovimientos[[#This Row],[Producto]]&amp;" · ")-1)))</f>
        <v/>
      </c>
      <c r="H4742" s="40" t="str">
        <f>IF(tblMovimientos[[#This Row],[SKU]]="","",IFERROR(INDEX(tblProductos[Unidad],MATCH(tblMovimientos[[#This Row],[SKU]],tblProductos[SKU],0)),"?"))</f>
        <v/>
      </c>
      <c r="I4742" s="39"/>
      <c r="J4742" s="47" t="str">
        <f>IF(tblMovimientos[[#This Row],[Tipo]]="","",IFERROR(INDEX(tblTiposMov[FactorStock],MATCH(tblMovimientos[[#This Row],[Tipo]],tblTiposMov[Tipo],0)),0))</f>
        <v/>
      </c>
      <c r="K47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2" s="37"/>
      <c r="O4742" s="37"/>
      <c r="P4742" s="37"/>
    </row>
    <row r="4743" spans="2:16" x14ac:dyDescent="0.25">
      <c r="B47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3" s="46"/>
      <c r="D4743" s="37"/>
      <c r="E4743" s="37"/>
      <c r="F4743" s="37"/>
      <c r="G4743" s="40" t="str">
        <f>IF(tblMovimientos[[#This Row],[Producto]]="","",TRIM(LEFT(tblMovimientos[[#This Row],[Producto]],FIND(" · ",tblMovimientos[[#This Row],[Producto]]&amp;" · ")-1)))</f>
        <v/>
      </c>
      <c r="H4743" s="40" t="str">
        <f>IF(tblMovimientos[[#This Row],[SKU]]="","",IFERROR(INDEX(tblProductos[Unidad],MATCH(tblMovimientos[[#This Row],[SKU]],tblProductos[SKU],0)),"?"))</f>
        <v/>
      </c>
      <c r="I4743" s="39"/>
      <c r="J4743" s="47" t="str">
        <f>IF(tblMovimientos[[#This Row],[Tipo]]="","",IFERROR(INDEX(tblTiposMov[FactorStock],MATCH(tblMovimientos[[#This Row],[Tipo]],tblTiposMov[Tipo],0)),0))</f>
        <v/>
      </c>
      <c r="K47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3" s="37"/>
      <c r="O4743" s="37"/>
      <c r="P4743" s="37"/>
    </row>
    <row r="4744" spans="2:16" x14ac:dyDescent="0.25">
      <c r="B47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4" s="46"/>
      <c r="D4744" s="37"/>
      <c r="E4744" s="37"/>
      <c r="F4744" s="37"/>
      <c r="G4744" s="40" t="str">
        <f>IF(tblMovimientos[[#This Row],[Producto]]="","",TRIM(LEFT(tblMovimientos[[#This Row],[Producto]],FIND(" · ",tblMovimientos[[#This Row],[Producto]]&amp;" · ")-1)))</f>
        <v/>
      </c>
      <c r="H4744" s="40" t="str">
        <f>IF(tblMovimientos[[#This Row],[SKU]]="","",IFERROR(INDEX(tblProductos[Unidad],MATCH(tblMovimientos[[#This Row],[SKU]],tblProductos[SKU],0)),"?"))</f>
        <v/>
      </c>
      <c r="I4744" s="39"/>
      <c r="J4744" s="47" t="str">
        <f>IF(tblMovimientos[[#This Row],[Tipo]]="","",IFERROR(INDEX(tblTiposMov[FactorStock],MATCH(tblMovimientos[[#This Row],[Tipo]],tblTiposMov[Tipo],0)),0))</f>
        <v/>
      </c>
      <c r="K47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4" s="37"/>
      <c r="O4744" s="37"/>
      <c r="P4744" s="37"/>
    </row>
    <row r="4745" spans="2:16" x14ac:dyDescent="0.25">
      <c r="B47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5" s="46"/>
      <c r="D4745" s="37"/>
      <c r="E4745" s="37"/>
      <c r="F4745" s="37"/>
      <c r="G4745" s="40" t="str">
        <f>IF(tblMovimientos[[#This Row],[Producto]]="","",TRIM(LEFT(tblMovimientos[[#This Row],[Producto]],FIND(" · ",tblMovimientos[[#This Row],[Producto]]&amp;" · ")-1)))</f>
        <v/>
      </c>
      <c r="H4745" s="40" t="str">
        <f>IF(tblMovimientos[[#This Row],[SKU]]="","",IFERROR(INDEX(tblProductos[Unidad],MATCH(tblMovimientos[[#This Row],[SKU]],tblProductos[SKU],0)),"?"))</f>
        <v/>
      </c>
      <c r="I4745" s="39"/>
      <c r="J4745" s="47" t="str">
        <f>IF(tblMovimientos[[#This Row],[Tipo]]="","",IFERROR(INDEX(tblTiposMov[FactorStock],MATCH(tblMovimientos[[#This Row],[Tipo]],tblTiposMov[Tipo],0)),0))</f>
        <v/>
      </c>
      <c r="K47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5" s="37"/>
      <c r="O4745" s="37"/>
      <c r="P4745" s="37"/>
    </row>
    <row r="4746" spans="2:16" x14ac:dyDescent="0.25">
      <c r="B47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6" s="46"/>
      <c r="D4746" s="37"/>
      <c r="E4746" s="37"/>
      <c r="F4746" s="37"/>
      <c r="G4746" s="40" t="str">
        <f>IF(tblMovimientos[[#This Row],[Producto]]="","",TRIM(LEFT(tblMovimientos[[#This Row],[Producto]],FIND(" · ",tblMovimientos[[#This Row],[Producto]]&amp;" · ")-1)))</f>
        <v/>
      </c>
      <c r="H4746" s="40" t="str">
        <f>IF(tblMovimientos[[#This Row],[SKU]]="","",IFERROR(INDEX(tblProductos[Unidad],MATCH(tblMovimientos[[#This Row],[SKU]],tblProductos[SKU],0)),"?"))</f>
        <v/>
      </c>
      <c r="I4746" s="39"/>
      <c r="J4746" s="47" t="str">
        <f>IF(tblMovimientos[[#This Row],[Tipo]]="","",IFERROR(INDEX(tblTiposMov[FactorStock],MATCH(tblMovimientos[[#This Row],[Tipo]],tblTiposMov[Tipo],0)),0))</f>
        <v/>
      </c>
      <c r="K47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6" s="37"/>
      <c r="O4746" s="37"/>
      <c r="P4746" s="37"/>
    </row>
    <row r="4747" spans="2:16" x14ac:dyDescent="0.25">
      <c r="B47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7" s="46"/>
      <c r="D4747" s="37"/>
      <c r="E4747" s="37"/>
      <c r="F4747" s="37"/>
      <c r="G4747" s="40" t="str">
        <f>IF(tblMovimientos[[#This Row],[Producto]]="","",TRIM(LEFT(tblMovimientos[[#This Row],[Producto]],FIND(" · ",tblMovimientos[[#This Row],[Producto]]&amp;" · ")-1)))</f>
        <v/>
      </c>
      <c r="H4747" s="40" t="str">
        <f>IF(tblMovimientos[[#This Row],[SKU]]="","",IFERROR(INDEX(tblProductos[Unidad],MATCH(tblMovimientos[[#This Row],[SKU]],tblProductos[SKU],0)),"?"))</f>
        <v/>
      </c>
      <c r="I4747" s="39"/>
      <c r="J4747" s="47" t="str">
        <f>IF(tblMovimientos[[#This Row],[Tipo]]="","",IFERROR(INDEX(tblTiposMov[FactorStock],MATCH(tblMovimientos[[#This Row],[Tipo]],tblTiposMov[Tipo],0)),0))</f>
        <v/>
      </c>
      <c r="K47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7" s="37"/>
      <c r="O4747" s="37"/>
      <c r="P4747" s="37"/>
    </row>
    <row r="4748" spans="2:16" x14ac:dyDescent="0.25">
      <c r="B47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8" s="46"/>
      <c r="D4748" s="37"/>
      <c r="E4748" s="37"/>
      <c r="F4748" s="37"/>
      <c r="G4748" s="40" t="str">
        <f>IF(tblMovimientos[[#This Row],[Producto]]="","",TRIM(LEFT(tblMovimientos[[#This Row],[Producto]],FIND(" · ",tblMovimientos[[#This Row],[Producto]]&amp;" · ")-1)))</f>
        <v/>
      </c>
      <c r="H4748" s="40" t="str">
        <f>IF(tblMovimientos[[#This Row],[SKU]]="","",IFERROR(INDEX(tblProductos[Unidad],MATCH(tblMovimientos[[#This Row],[SKU]],tblProductos[SKU],0)),"?"))</f>
        <v/>
      </c>
      <c r="I4748" s="39"/>
      <c r="J4748" s="47" t="str">
        <f>IF(tblMovimientos[[#This Row],[Tipo]]="","",IFERROR(INDEX(tblTiposMov[FactorStock],MATCH(tblMovimientos[[#This Row],[Tipo]],tblTiposMov[Tipo],0)),0))</f>
        <v/>
      </c>
      <c r="K47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8" s="37"/>
      <c r="O4748" s="37"/>
      <c r="P4748" s="37"/>
    </row>
    <row r="4749" spans="2:16" x14ac:dyDescent="0.25">
      <c r="B47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49" s="46"/>
      <c r="D4749" s="37"/>
      <c r="E4749" s="37"/>
      <c r="F4749" s="37"/>
      <c r="G4749" s="40" t="str">
        <f>IF(tblMovimientos[[#This Row],[Producto]]="","",TRIM(LEFT(tblMovimientos[[#This Row],[Producto]],FIND(" · ",tblMovimientos[[#This Row],[Producto]]&amp;" · ")-1)))</f>
        <v/>
      </c>
      <c r="H4749" s="40" t="str">
        <f>IF(tblMovimientos[[#This Row],[SKU]]="","",IFERROR(INDEX(tblProductos[Unidad],MATCH(tblMovimientos[[#This Row],[SKU]],tblProductos[SKU],0)),"?"))</f>
        <v/>
      </c>
      <c r="I4749" s="39"/>
      <c r="J4749" s="47" t="str">
        <f>IF(tblMovimientos[[#This Row],[Tipo]]="","",IFERROR(INDEX(tblTiposMov[FactorStock],MATCH(tblMovimientos[[#This Row],[Tipo]],tblTiposMov[Tipo],0)),0))</f>
        <v/>
      </c>
      <c r="K47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49" s="37"/>
      <c r="O4749" s="37"/>
      <c r="P4749" s="37"/>
    </row>
    <row r="4750" spans="2:16" x14ac:dyDescent="0.25">
      <c r="B47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0" s="46"/>
      <c r="D4750" s="37"/>
      <c r="E4750" s="37"/>
      <c r="F4750" s="37"/>
      <c r="G4750" s="40" t="str">
        <f>IF(tblMovimientos[[#This Row],[Producto]]="","",TRIM(LEFT(tblMovimientos[[#This Row],[Producto]],FIND(" · ",tblMovimientos[[#This Row],[Producto]]&amp;" · ")-1)))</f>
        <v/>
      </c>
      <c r="H4750" s="40" t="str">
        <f>IF(tblMovimientos[[#This Row],[SKU]]="","",IFERROR(INDEX(tblProductos[Unidad],MATCH(tblMovimientos[[#This Row],[SKU]],tblProductos[SKU],0)),"?"))</f>
        <v/>
      </c>
      <c r="I4750" s="39"/>
      <c r="J4750" s="47" t="str">
        <f>IF(tblMovimientos[[#This Row],[Tipo]]="","",IFERROR(INDEX(tblTiposMov[FactorStock],MATCH(tblMovimientos[[#This Row],[Tipo]],tblTiposMov[Tipo],0)),0))</f>
        <v/>
      </c>
      <c r="K47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0" s="37"/>
      <c r="O4750" s="37"/>
      <c r="P4750" s="37"/>
    </row>
    <row r="4751" spans="2:16" x14ac:dyDescent="0.25">
      <c r="B47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1" s="46"/>
      <c r="D4751" s="37"/>
      <c r="E4751" s="37"/>
      <c r="F4751" s="37"/>
      <c r="G4751" s="40" t="str">
        <f>IF(tblMovimientos[[#This Row],[Producto]]="","",TRIM(LEFT(tblMovimientos[[#This Row],[Producto]],FIND(" · ",tblMovimientos[[#This Row],[Producto]]&amp;" · ")-1)))</f>
        <v/>
      </c>
      <c r="H4751" s="40" t="str">
        <f>IF(tblMovimientos[[#This Row],[SKU]]="","",IFERROR(INDEX(tblProductos[Unidad],MATCH(tblMovimientos[[#This Row],[SKU]],tblProductos[SKU],0)),"?"))</f>
        <v/>
      </c>
      <c r="I4751" s="39"/>
      <c r="J4751" s="47" t="str">
        <f>IF(tblMovimientos[[#This Row],[Tipo]]="","",IFERROR(INDEX(tblTiposMov[FactorStock],MATCH(tblMovimientos[[#This Row],[Tipo]],tblTiposMov[Tipo],0)),0))</f>
        <v/>
      </c>
      <c r="K47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1" s="37"/>
      <c r="O4751" s="37"/>
      <c r="P4751" s="37"/>
    </row>
    <row r="4752" spans="2:16" x14ac:dyDescent="0.25">
      <c r="B47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2" s="46"/>
      <c r="D4752" s="37"/>
      <c r="E4752" s="37"/>
      <c r="F4752" s="37"/>
      <c r="G4752" s="40" t="str">
        <f>IF(tblMovimientos[[#This Row],[Producto]]="","",TRIM(LEFT(tblMovimientos[[#This Row],[Producto]],FIND(" · ",tblMovimientos[[#This Row],[Producto]]&amp;" · ")-1)))</f>
        <v/>
      </c>
      <c r="H4752" s="40" t="str">
        <f>IF(tblMovimientos[[#This Row],[SKU]]="","",IFERROR(INDEX(tblProductos[Unidad],MATCH(tblMovimientos[[#This Row],[SKU]],tblProductos[SKU],0)),"?"))</f>
        <v/>
      </c>
      <c r="I4752" s="39"/>
      <c r="J4752" s="47" t="str">
        <f>IF(tblMovimientos[[#This Row],[Tipo]]="","",IFERROR(INDEX(tblTiposMov[FactorStock],MATCH(tblMovimientos[[#This Row],[Tipo]],tblTiposMov[Tipo],0)),0))</f>
        <v/>
      </c>
      <c r="K47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2" s="37"/>
      <c r="O4752" s="37"/>
      <c r="P4752" s="37"/>
    </row>
    <row r="4753" spans="2:16" x14ac:dyDescent="0.25">
      <c r="B47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3" s="46"/>
      <c r="D4753" s="37"/>
      <c r="E4753" s="37"/>
      <c r="F4753" s="37"/>
      <c r="G4753" s="40" t="str">
        <f>IF(tblMovimientos[[#This Row],[Producto]]="","",TRIM(LEFT(tblMovimientos[[#This Row],[Producto]],FIND(" · ",tblMovimientos[[#This Row],[Producto]]&amp;" · ")-1)))</f>
        <v/>
      </c>
      <c r="H4753" s="40" t="str">
        <f>IF(tblMovimientos[[#This Row],[SKU]]="","",IFERROR(INDEX(tblProductos[Unidad],MATCH(tblMovimientos[[#This Row],[SKU]],tblProductos[SKU],0)),"?"))</f>
        <v/>
      </c>
      <c r="I4753" s="39"/>
      <c r="J4753" s="47" t="str">
        <f>IF(tblMovimientos[[#This Row],[Tipo]]="","",IFERROR(INDEX(tblTiposMov[FactorStock],MATCH(tblMovimientos[[#This Row],[Tipo]],tblTiposMov[Tipo],0)),0))</f>
        <v/>
      </c>
      <c r="K47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3" s="37"/>
      <c r="O4753" s="37"/>
      <c r="P4753" s="37"/>
    </row>
    <row r="4754" spans="2:16" x14ac:dyDescent="0.25">
      <c r="B47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4" s="46"/>
      <c r="D4754" s="37"/>
      <c r="E4754" s="37"/>
      <c r="F4754" s="37"/>
      <c r="G4754" s="40" t="str">
        <f>IF(tblMovimientos[[#This Row],[Producto]]="","",TRIM(LEFT(tblMovimientos[[#This Row],[Producto]],FIND(" · ",tblMovimientos[[#This Row],[Producto]]&amp;" · ")-1)))</f>
        <v/>
      </c>
      <c r="H4754" s="40" t="str">
        <f>IF(tblMovimientos[[#This Row],[SKU]]="","",IFERROR(INDEX(tblProductos[Unidad],MATCH(tblMovimientos[[#This Row],[SKU]],tblProductos[SKU],0)),"?"))</f>
        <v/>
      </c>
      <c r="I4754" s="39"/>
      <c r="J4754" s="47" t="str">
        <f>IF(tblMovimientos[[#This Row],[Tipo]]="","",IFERROR(INDEX(tblTiposMov[FactorStock],MATCH(tblMovimientos[[#This Row],[Tipo]],tblTiposMov[Tipo],0)),0))</f>
        <v/>
      </c>
      <c r="K47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4" s="37"/>
      <c r="O4754" s="37"/>
      <c r="P4754" s="37"/>
    </row>
    <row r="4755" spans="2:16" x14ac:dyDescent="0.25">
      <c r="B47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5" s="46"/>
      <c r="D4755" s="37"/>
      <c r="E4755" s="37"/>
      <c r="F4755" s="37"/>
      <c r="G4755" s="40" t="str">
        <f>IF(tblMovimientos[[#This Row],[Producto]]="","",TRIM(LEFT(tblMovimientos[[#This Row],[Producto]],FIND(" · ",tblMovimientos[[#This Row],[Producto]]&amp;" · ")-1)))</f>
        <v/>
      </c>
      <c r="H4755" s="40" t="str">
        <f>IF(tblMovimientos[[#This Row],[SKU]]="","",IFERROR(INDEX(tblProductos[Unidad],MATCH(tblMovimientos[[#This Row],[SKU]],tblProductos[SKU],0)),"?"))</f>
        <v/>
      </c>
      <c r="I4755" s="39"/>
      <c r="J4755" s="47" t="str">
        <f>IF(tblMovimientos[[#This Row],[Tipo]]="","",IFERROR(INDEX(tblTiposMov[FactorStock],MATCH(tblMovimientos[[#This Row],[Tipo]],tblTiposMov[Tipo],0)),0))</f>
        <v/>
      </c>
      <c r="K47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5" s="37"/>
      <c r="O4755" s="37"/>
      <c r="P4755" s="37"/>
    </row>
    <row r="4756" spans="2:16" x14ac:dyDescent="0.25">
      <c r="B47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6" s="46"/>
      <c r="D4756" s="37"/>
      <c r="E4756" s="37"/>
      <c r="F4756" s="37"/>
      <c r="G4756" s="40" t="str">
        <f>IF(tblMovimientos[[#This Row],[Producto]]="","",TRIM(LEFT(tblMovimientos[[#This Row],[Producto]],FIND(" · ",tblMovimientos[[#This Row],[Producto]]&amp;" · ")-1)))</f>
        <v/>
      </c>
      <c r="H4756" s="40" t="str">
        <f>IF(tblMovimientos[[#This Row],[SKU]]="","",IFERROR(INDEX(tblProductos[Unidad],MATCH(tblMovimientos[[#This Row],[SKU]],tblProductos[SKU],0)),"?"))</f>
        <v/>
      </c>
      <c r="I4756" s="39"/>
      <c r="J4756" s="47" t="str">
        <f>IF(tblMovimientos[[#This Row],[Tipo]]="","",IFERROR(INDEX(tblTiposMov[FactorStock],MATCH(tblMovimientos[[#This Row],[Tipo]],tblTiposMov[Tipo],0)),0))</f>
        <v/>
      </c>
      <c r="K47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6" s="37"/>
      <c r="O4756" s="37"/>
      <c r="P4756" s="37"/>
    </row>
    <row r="4757" spans="2:16" x14ac:dyDescent="0.25">
      <c r="B47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7" s="46"/>
      <c r="D4757" s="37"/>
      <c r="E4757" s="37"/>
      <c r="F4757" s="37"/>
      <c r="G4757" s="40" t="str">
        <f>IF(tblMovimientos[[#This Row],[Producto]]="","",TRIM(LEFT(tblMovimientos[[#This Row],[Producto]],FIND(" · ",tblMovimientos[[#This Row],[Producto]]&amp;" · ")-1)))</f>
        <v/>
      </c>
      <c r="H4757" s="40" t="str">
        <f>IF(tblMovimientos[[#This Row],[SKU]]="","",IFERROR(INDEX(tblProductos[Unidad],MATCH(tblMovimientos[[#This Row],[SKU]],tblProductos[SKU],0)),"?"))</f>
        <v/>
      </c>
      <c r="I4757" s="39"/>
      <c r="J4757" s="47" t="str">
        <f>IF(tblMovimientos[[#This Row],[Tipo]]="","",IFERROR(INDEX(tblTiposMov[FactorStock],MATCH(tblMovimientos[[#This Row],[Tipo]],tblTiposMov[Tipo],0)),0))</f>
        <v/>
      </c>
      <c r="K47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7" s="37"/>
      <c r="O4757" s="37"/>
      <c r="P4757" s="37"/>
    </row>
    <row r="4758" spans="2:16" x14ac:dyDescent="0.25">
      <c r="B47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8" s="46"/>
      <c r="D4758" s="37"/>
      <c r="E4758" s="37"/>
      <c r="F4758" s="37"/>
      <c r="G4758" s="40" t="str">
        <f>IF(tblMovimientos[[#This Row],[Producto]]="","",TRIM(LEFT(tblMovimientos[[#This Row],[Producto]],FIND(" · ",tblMovimientos[[#This Row],[Producto]]&amp;" · ")-1)))</f>
        <v/>
      </c>
      <c r="H4758" s="40" t="str">
        <f>IF(tblMovimientos[[#This Row],[SKU]]="","",IFERROR(INDEX(tblProductos[Unidad],MATCH(tblMovimientos[[#This Row],[SKU]],tblProductos[SKU],0)),"?"))</f>
        <v/>
      </c>
      <c r="I4758" s="39"/>
      <c r="J4758" s="47" t="str">
        <f>IF(tblMovimientos[[#This Row],[Tipo]]="","",IFERROR(INDEX(tblTiposMov[FactorStock],MATCH(tblMovimientos[[#This Row],[Tipo]],tblTiposMov[Tipo],0)),0))</f>
        <v/>
      </c>
      <c r="K47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8" s="37"/>
      <c r="O4758" s="37"/>
      <c r="P4758" s="37"/>
    </row>
    <row r="4759" spans="2:16" x14ac:dyDescent="0.25">
      <c r="B47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59" s="46"/>
      <c r="D4759" s="37"/>
      <c r="E4759" s="37"/>
      <c r="F4759" s="37"/>
      <c r="G4759" s="40" t="str">
        <f>IF(tblMovimientos[[#This Row],[Producto]]="","",TRIM(LEFT(tblMovimientos[[#This Row],[Producto]],FIND(" · ",tblMovimientos[[#This Row],[Producto]]&amp;" · ")-1)))</f>
        <v/>
      </c>
      <c r="H4759" s="40" t="str">
        <f>IF(tblMovimientos[[#This Row],[SKU]]="","",IFERROR(INDEX(tblProductos[Unidad],MATCH(tblMovimientos[[#This Row],[SKU]],tblProductos[SKU],0)),"?"))</f>
        <v/>
      </c>
      <c r="I4759" s="39"/>
      <c r="J4759" s="47" t="str">
        <f>IF(tblMovimientos[[#This Row],[Tipo]]="","",IFERROR(INDEX(tblTiposMov[FactorStock],MATCH(tblMovimientos[[#This Row],[Tipo]],tblTiposMov[Tipo],0)),0))</f>
        <v/>
      </c>
      <c r="K47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59" s="37"/>
      <c r="O4759" s="37"/>
      <c r="P4759" s="37"/>
    </row>
    <row r="4760" spans="2:16" x14ac:dyDescent="0.25">
      <c r="B47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0" s="46"/>
      <c r="D4760" s="37"/>
      <c r="E4760" s="37"/>
      <c r="F4760" s="37"/>
      <c r="G4760" s="40" t="str">
        <f>IF(tblMovimientos[[#This Row],[Producto]]="","",TRIM(LEFT(tblMovimientos[[#This Row],[Producto]],FIND(" · ",tblMovimientos[[#This Row],[Producto]]&amp;" · ")-1)))</f>
        <v/>
      </c>
      <c r="H4760" s="40" t="str">
        <f>IF(tblMovimientos[[#This Row],[SKU]]="","",IFERROR(INDEX(tblProductos[Unidad],MATCH(tblMovimientos[[#This Row],[SKU]],tblProductos[SKU],0)),"?"))</f>
        <v/>
      </c>
      <c r="I4760" s="39"/>
      <c r="J4760" s="47" t="str">
        <f>IF(tblMovimientos[[#This Row],[Tipo]]="","",IFERROR(INDEX(tblTiposMov[FactorStock],MATCH(tblMovimientos[[#This Row],[Tipo]],tblTiposMov[Tipo],0)),0))</f>
        <v/>
      </c>
      <c r="K47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0" s="37"/>
      <c r="O4760" s="37"/>
      <c r="P4760" s="37"/>
    </row>
    <row r="4761" spans="2:16" x14ac:dyDescent="0.25">
      <c r="B47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1" s="46"/>
      <c r="D4761" s="37"/>
      <c r="E4761" s="37"/>
      <c r="F4761" s="37"/>
      <c r="G4761" s="40" t="str">
        <f>IF(tblMovimientos[[#This Row],[Producto]]="","",TRIM(LEFT(tblMovimientos[[#This Row],[Producto]],FIND(" · ",tblMovimientos[[#This Row],[Producto]]&amp;" · ")-1)))</f>
        <v/>
      </c>
      <c r="H4761" s="40" t="str">
        <f>IF(tblMovimientos[[#This Row],[SKU]]="","",IFERROR(INDEX(tblProductos[Unidad],MATCH(tblMovimientos[[#This Row],[SKU]],tblProductos[SKU],0)),"?"))</f>
        <v/>
      </c>
      <c r="I4761" s="39"/>
      <c r="J4761" s="47" t="str">
        <f>IF(tblMovimientos[[#This Row],[Tipo]]="","",IFERROR(INDEX(tblTiposMov[FactorStock],MATCH(tblMovimientos[[#This Row],[Tipo]],tblTiposMov[Tipo],0)),0))</f>
        <v/>
      </c>
      <c r="K47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1" s="37"/>
      <c r="O4761" s="37"/>
      <c r="P4761" s="37"/>
    </row>
    <row r="4762" spans="2:16" x14ac:dyDescent="0.25">
      <c r="B47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2" s="46"/>
      <c r="D4762" s="37"/>
      <c r="E4762" s="37"/>
      <c r="F4762" s="37"/>
      <c r="G4762" s="40" t="str">
        <f>IF(tblMovimientos[[#This Row],[Producto]]="","",TRIM(LEFT(tblMovimientos[[#This Row],[Producto]],FIND(" · ",tblMovimientos[[#This Row],[Producto]]&amp;" · ")-1)))</f>
        <v/>
      </c>
      <c r="H4762" s="40" t="str">
        <f>IF(tblMovimientos[[#This Row],[SKU]]="","",IFERROR(INDEX(tblProductos[Unidad],MATCH(tblMovimientos[[#This Row],[SKU]],tblProductos[SKU],0)),"?"))</f>
        <v/>
      </c>
      <c r="I4762" s="39"/>
      <c r="J4762" s="47" t="str">
        <f>IF(tblMovimientos[[#This Row],[Tipo]]="","",IFERROR(INDEX(tblTiposMov[FactorStock],MATCH(tblMovimientos[[#This Row],[Tipo]],tblTiposMov[Tipo],0)),0))</f>
        <v/>
      </c>
      <c r="K47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2" s="37"/>
      <c r="O4762" s="37"/>
      <c r="P4762" s="37"/>
    </row>
    <row r="4763" spans="2:16" x14ac:dyDescent="0.25">
      <c r="B47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3" s="46"/>
      <c r="D4763" s="37"/>
      <c r="E4763" s="37"/>
      <c r="F4763" s="37"/>
      <c r="G4763" s="40" t="str">
        <f>IF(tblMovimientos[[#This Row],[Producto]]="","",TRIM(LEFT(tblMovimientos[[#This Row],[Producto]],FIND(" · ",tblMovimientos[[#This Row],[Producto]]&amp;" · ")-1)))</f>
        <v/>
      </c>
      <c r="H4763" s="40" t="str">
        <f>IF(tblMovimientos[[#This Row],[SKU]]="","",IFERROR(INDEX(tblProductos[Unidad],MATCH(tblMovimientos[[#This Row],[SKU]],tblProductos[SKU],0)),"?"))</f>
        <v/>
      </c>
      <c r="I4763" s="39"/>
      <c r="J4763" s="47" t="str">
        <f>IF(tblMovimientos[[#This Row],[Tipo]]="","",IFERROR(INDEX(tblTiposMov[FactorStock],MATCH(tblMovimientos[[#This Row],[Tipo]],tblTiposMov[Tipo],0)),0))</f>
        <v/>
      </c>
      <c r="K47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3" s="37"/>
      <c r="O4763" s="37"/>
      <c r="P4763" s="37"/>
    </row>
    <row r="4764" spans="2:16" x14ac:dyDescent="0.25">
      <c r="B47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4" s="46"/>
      <c r="D4764" s="37"/>
      <c r="E4764" s="37"/>
      <c r="F4764" s="37"/>
      <c r="G4764" s="40" t="str">
        <f>IF(tblMovimientos[[#This Row],[Producto]]="","",TRIM(LEFT(tblMovimientos[[#This Row],[Producto]],FIND(" · ",tblMovimientos[[#This Row],[Producto]]&amp;" · ")-1)))</f>
        <v/>
      </c>
      <c r="H4764" s="40" t="str">
        <f>IF(tblMovimientos[[#This Row],[SKU]]="","",IFERROR(INDEX(tblProductos[Unidad],MATCH(tblMovimientos[[#This Row],[SKU]],tblProductos[SKU],0)),"?"))</f>
        <v/>
      </c>
      <c r="I4764" s="39"/>
      <c r="J4764" s="47" t="str">
        <f>IF(tblMovimientos[[#This Row],[Tipo]]="","",IFERROR(INDEX(tblTiposMov[FactorStock],MATCH(tblMovimientos[[#This Row],[Tipo]],tblTiposMov[Tipo],0)),0))</f>
        <v/>
      </c>
      <c r="K47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4" s="37"/>
      <c r="O4764" s="37"/>
      <c r="P4764" s="37"/>
    </row>
    <row r="4765" spans="2:16" x14ac:dyDescent="0.25">
      <c r="B47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5" s="46"/>
      <c r="D4765" s="37"/>
      <c r="E4765" s="37"/>
      <c r="F4765" s="37"/>
      <c r="G4765" s="40" t="str">
        <f>IF(tblMovimientos[[#This Row],[Producto]]="","",TRIM(LEFT(tblMovimientos[[#This Row],[Producto]],FIND(" · ",tblMovimientos[[#This Row],[Producto]]&amp;" · ")-1)))</f>
        <v/>
      </c>
      <c r="H4765" s="40" t="str">
        <f>IF(tblMovimientos[[#This Row],[SKU]]="","",IFERROR(INDEX(tblProductos[Unidad],MATCH(tblMovimientos[[#This Row],[SKU]],tblProductos[SKU],0)),"?"))</f>
        <v/>
      </c>
      <c r="I4765" s="39"/>
      <c r="J4765" s="47" t="str">
        <f>IF(tblMovimientos[[#This Row],[Tipo]]="","",IFERROR(INDEX(tblTiposMov[FactorStock],MATCH(tblMovimientos[[#This Row],[Tipo]],tblTiposMov[Tipo],0)),0))</f>
        <v/>
      </c>
      <c r="K47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5" s="37"/>
      <c r="O4765" s="37"/>
      <c r="P4765" s="37"/>
    </row>
    <row r="4766" spans="2:16" x14ac:dyDescent="0.25">
      <c r="B47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6" s="46"/>
      <c r="D4766" s="37"/>
      <c r="E4766" s="37"/>
      <c r="F4766" s="37"/>
      <c r="G4766" s="40" t="str">
        <f>IF(tblMovimientos[[#This Row],[Producto]]="","",TRIM(LEFT(tblMovimientos[[#This Row],[Producto]],FIND(" · ",tblMovimientos[[#This Row],[Producto]]&amp;" · ")-1)))</f>
        <v/>
      </c>
      <c r="H4766" s="40" t="str">
        <f>IF(tblMovimientos[[#This Row],[SKU]]="","",IFERROR(INDEX(tblProductos[Unidad],MATCH(tblMovimientos[[#This Row],[SKU]],tblProductos[SKU],0)),"?"))</f>
        <v/>
      </c>
      <c r="I4766" s="39"/>
      <c r="J4766" s="47" t="str">
        <f>IF(tblMovimientos[[#This Row],[Tipo]]="","",IFERROR(INDEX(tblTiposMov[FactorStock],MATCH(tblMovimientos[[#This Row],[Tipo]],tblTiposMov[Tipo],0)),0))</f>
        <v/>
      </c>
      <c r="K47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6" s="37"/>
      <c r="O4766" s="37"/>
      <c r="P4766" s="37"/>
    </row>
    <row r="4767" spans="2:16" x14ac:dyDescent="0.25">
      <c r="B47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7" s="46"/>
      <c r="D4767" s="37"/>
      <c r="E4767" s="37"/>
      <c r="F4767" s="37"/>
      <c r="G4767" s="40" t="str">
        <f>IF(tblMovimientos[[#This Row],[Producto]]="","",TRIM(LEFT(tblMovimientos[[#This Row],[Producto]],FIND(" · ",tblMovimientos[[#This Row],[Producto]]&amp;" · ")-1)))</f>
        <v/>
      </c>
      <c r="H4767" s="40" t="str">
        <f>IF(tblMovimientos[[#This Row],[SKU]]="","",IFERROR(INDEX(tblProductos[Unidad],MATCH(tblMovimientos[[#This Row],[SKU]],tblProductos[SKU],0)),"?"))</f>
        <v/>
      </c>
      <c r="I4767" s="39"/>
      <c r="J4767" s="47" t="str">
        <f>IF(tblMovimientos[[#This Row],[Tipo]]="","",IFERROR(INDEX(tblTiposMov[FactorStock],MATCH(tblMovimientos[[#This Row],[Tipo]],tblTiposMov[Tipo],0)),0))</f>
        <v/>
      </c>
      <c r="K47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7" s="37"/>
      <c r="O4767" s="37"/>
      <c r="P4767" s="37"/>
    </row>
    <row r="4768" spans="2:16" x14ac:dyDescent="0.25">
      <c r="B47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8" s="46"/>
      <c r="D4768" s="37"/>
      <c r="E4768" s="37"/>
      <c r="F4768" s="37"/>
      <c r="G4768" s="40" t="str">
        <f>IF(tblMovimientos[[#This Row],[Producto]]="","",TRIM(LEFT(tblMovimientos[[#This Row],[Producto]],FIND(" · ",tblMovimientos[[#This Row],[Producto]]&amp;" · ")-1)))</f>
        <v/>
      </c>
      <c r="H4768" s="40" t="str">
        <f>IF(tblMovimientos[[#This Row],[SKU]]="","",IFERROR(INDEX(tblProductos[Unidad],MATCH(tblMovimientos[[#This Row],[SKU]],tblProductos[SKU],0)),"?"))</f>
        <v/>
      </c>
      <c r="I4768" s="39"/>
      <c r="J4768" s="47" t="str">
        <f>IF(tblMovimientos[[#This Row],[Tipo]]="","",IFERROR(INDEX(tblTiposMov[FactorStock],MATCH(tblMovimientos[[#This Row],[Tipo]],tblTiposMov[Tipo],0)),0))</f>
        <v/>
      </c>
      <c r="K47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8" s="37"/>
      <c r="O4768" s="37"/>
      <c r="P4768" s="37"/>
    </row>
    <row r="4769" spans="2:16" x14ac:dyDescent="0.25">
      <c r="B47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69" s="46"/>
      <c r="D4769" s="37"/>
      <c r="E4769" s="37"/>
      <c r="F4769" s="37"/>
      <c r="G4769" s="40" t="str">
        <f>IF(tblMovimientos[[#This Row],[Producto]]="","",TRIM(LEFT(tblMovimientos[[#This Row],[Producto]],FIND(" · ",tblMovimientos[[#This Row],[Producto]]&amp;" · ")-1)))</f>
        <v/>
      </c>
      <c r="H4769" s="40" t="str">
        <f>IF(tblMovimientos[[#This Row],[SKU]]="","",IFERROR(INDEX(tblProductos[Unidad],MATCH(tblMovimientos[[#This Row],[SKU]],tblProductos[SKU],0)),"?"))</f>
        <v/>
      </c>
      <c r="I4769" s="39"/>
      <c r="J4769" s="47" t="str">
        <f>IF(tblMovimientos[[#This Row],[Tipo]]="","",IFERROR(INDEX(tblTiposMov[FactorStock],MATCH(tblMovimientos[[#This Row],[Tipo]],tblTiposMov[Tipo],0)),0))</f>
        <v/>
      </c>
      <c r="K47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69" s="37"/>
      <c r="O4769" s="37"/>
      <c r="P4769" s="37"/>
    </row>
    <row r="4770" spans="2:16" x14ac:dyDescent="0.25">
      <c r="B47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0" s="46"/>
      <c r="D4770" s="37"/>
      <c r="E4770" s="37"/>
      <c r="F4770" s="37"/>
      <c r="G4770" s="40" t="str">
        <f>IF(tblMovimientos[[#This Row],[Producto]]="","",TRIM(LEFT(tblMovimientos[[#This Row],[Producto]],FIND(" · ",tblMovimientos[[#This Row],[Producto]]&amp;" · ")-1)))</f>
        <v/>
      </c>
      <c r="H4770" s="40" t="str">
        <f>IF(tblMovimientos[[#This Row],[SKU]]="","",IFERROR(INDEX(tblProductos[Unidad],MATCH(tblMovimientos[[#This Row],[SKU]],tblProductos[SKU],0)),"?"))</f>
        <v/>
      </c>
      <c r="I4770" s="39"/>
      <c r="J4770" s="47" t="str">
        <f>IF(tblMovimientos[[#This Row],[Tipo]]="","",IFERROR(INDEX(tblTiposMov[FactorStock],MATCH(tblMovimientos[[#This Row],[Tipo]],tblTiposMov[Tipo],0)),0))</f>
        <v/>
      </c>
      <c r="K47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0" s="37"/>
      <c r="O4770" s="37"/>
      <c r="P4770" s="37"/>
    </row>
    <row r="4771" spans="2:16" x14ac:dyDescent="0.25">
      <c r="B47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1" s="46"/>
      <c r="D4771" s="37"/>
      <c r="E4771" s="37"/>
      <c r="F4771" s="37"/>
      <c r="G4771" s="40" t="str">
        <f>IF(tblMovimientos[[#This Row],[Producto]]="","",TRIM(LEFT(tblMovimientos[[#This Row],[Producto]],FIND(" · ",tblMovimientos[[#This Row],[Producto]]&amp;" · ")-1)))</f>
        <v/>
      </c>
      <c r="H4771" s="40" t="str">
        <f>IF(tblMovimientos[[#This Row],[SKU]]="","",IFERROR(INDEX(tblProductos[Unidad],MATCH(tblMovimientos[[#This Row],[SKU]],tblProductos[SKU],0)),"?"))</f>
        <v/>
      </c>
      <c r="I4771" s="39"/>
      <c r="J4771" s="47" t="str">
        <f>IF(tblMovimientos[[#This Row],[Tipo]]="","",IFERROR(INDEX(tblTiposMov[FactorStock],MATCH(tblMovimientos[[#This Row],[Tipo]],tblTiposMov[Tipo],0)),0))</f>
        <v/>
      </c>
      <c r="K47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1" s="37"/>
      <c r="O4771" s="37"/>
      <c r="P4771" s="37"/>
    </row>
    <row r="4772" spans="2:16" x14ac:dyDescent="0.25">
      <c r="B47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2" s="46"/>
      <c r="D4772" s="37"/>
      <c r="E4772" s="37"/>
      <c r="F4772" s="37"/>
      <c r="G4772" s="40" t="str">
        <f>IF(tblMovimientos[[#This Row],[Producto]]="","",TRIM(LEFT(tblMovimientos[[#This Row],[Producto]],FIND(" · ",tblMovimientos[[#This Row],[Producto]]&amp;" · ")-1)))</f>
        <v/>
      </c>
      <c r="H4772" s="40" t="str">
        <f>IF(tblMovimientos[[#This Row],[SKU]]="","",IFERROR(INDEX(tblProductos[Unidad],MATCH(tblMovimientos[[#This Row],[SKU]],tblProductos[SKU],0)),"?"))</f>
        <v/>
      </c>
      <c r="I4772" s="39"/>
      <c r="J4772" s="47" t="str">
        <f>IF(tblMovimientos[[#This Row],[Tipo]]="","",IFERROR(INDEX(tblTiposMov[FactorStock],MATCH(tblMovimientos[[#This Row],[Tipo]],tblTiposMov[Tipo],0)),0))</f>
        <v/>
      </c>
      <c r="K47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2" s="37"/>
      <c r="O4772" s="37"/>
      <c r="P4772" s="37"/>
    </row>
    <row r="4773" spans="2:16" x14ac:dyDescent="0.25">
      <c r="B47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3" s="46"/>
      <c r="D4773" s="37"/>
      <c r="E4773" s="37"/>
      <c r="F4773" s="37"/>
      <c r="G4773" s="40" t="str">
        <f>IF(tblMovimientos[[#This Row],[Producto]]="","",TRIM(LEFT(tblMovimientos[[#This Row],[Producto]],FIND(" · ",tblMovimientos[[#This Row],[Producto]]&amp;" · ")-1)))</f>
        <v/>
      </c>
      <c r="H4773" s="40" t="str">
        <f>IF(tblMovimientos[[#This Row],[SKU]]="","",IFERROR(INDEX(tblProductos[Unidad],MATCH(tblMovimientos[[#This Row],[SKU]],tblProductos[SKU],0)),"?"))</f>
        <v/>
      </c>
      <c r="I4773" s="39"/>
      <c r="J4773" s="47" t="str">
        <f>IF(tblMovimientos[[#This Row],[Tipo]]="","",IFERROR(INDEX(tblTiposMov[FactorStock],MATCH(tblMovimientos[[#This Row],[Tipo]],tblTiposMov[Tipo],0)),0))</f>
        <v/>
      </c>
      <c r="K47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3" s="37"/>
      <c r="O4773" s="37"/>
      <c r="P4773" s="37"/>
    </row>
    <row r="4774" spans="2:16" x14ac:dyDescent="0.25">
      <c r="B47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4" s="46"/>
      <c r="D4774" s="37"/>
      <c r="E4774" s="37"/>
      <c r="F4774" s="37"/>
      <c r="G4774" s="40" t="str">
        <f>IF(tblMovimientos[[#This Row],[Producto]]="","",TRIM(LEFT(tblMovimientos[[#This Row],[Producto]],FIND(" · ",tblMovimientos[[#This Row],[Producto]]&amp;" · ")-1)))</f>
        <v/>
      </c>
      <c r="H4774" s="40" t="str">
        <f>IF(tblMovimientos[[#This Row],[SKU]]="","",IFERROR(INDEX(tblProductos[Unidad],MATCH(tblMovimientos[[#This Row],[SKU]],tblProductos[SKU],0)),"?"))</f>
        <v/>
      </c>
      <c r="I4774" s="39"/>
      <c r="J4774" s="47" t="str">
        <f>IF(tblMovimientos[[#This Row],[Tipo]]="","",IFERROR(INDEX(tblTiposMov[FactorStock],MATCH(tblMovimientos[[#This Row],[Tipo]],tblTiposMov[Tipo],0)),0))</f>
        <v/>
      </c>
      <c r="K47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4" s="37"/>
      <c r="O4774" s="37"/>
      <c r="P4774" s="37"/>
    </row>
    <row r="4775" spans="2:16" x14ac:dyDescent="0.25">
      <c r="B47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5" s="46"/>
      <c r="D4775" s="37"/>
      <c r="E4775" s="37"/>
      <c r="F4775" s="37"/>
      <c r="G4775" s="40" t="str">
        <f>IF(tblMovimientos[[#This Row],[Producto]]="","",TRIM(LEFT(tblMovimientos[[#This Row],[Producto]],FIND(" · ",tblMovimientos[[#This Row],[Producto]]&amp;" · ")-1)))</f>
        <v/>
      </c>
      <c r="H4775" s="40" t="str">
        <f>IF(tblMovimientos[[#This Row],[SKU]]="","",IFERROR(INDEX(tblProductos[Unidad],MATCH(tblMovimientos[[#This Row],[SKU]],tblProductos[SKU],0)),"?"))</f>
        <v/>
      </c>
      <c r="I4775" s="39"/>
      <c r="J4775" s="47" t="str">
        <f>IF(tblMovimientos[[#This Row],[Tipo]]="","",IFERROR(INDEX(tblTiposMov[FactorStock],MATCH(tblMovimientos[[#This Row],[Tipo]],tblTiposMov[Tipo],0)),0))</f>
        <v/>
      </c>
      <c r="K47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5" s="37"/>
      <c r="O4775" s="37"/>
      <c r="P4775" s="37"/>
    </row>
    <row r="4776" spans="2:16" x14ac:dyDescent="0.25">
      <c r="B47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6" s="46"/>
      <c r="D4776" s="37"/>
      <c r="E4776" s="37"/>
      <c r="F4776" s="37"/>
      <c r="G4776" s="40" t="str">
        <f>IF(tblMovimientos[[#This Row],[Producto]]="","",TRIM(LEFT(tblMovimientos[[#This Row],[Producto]],FIND(" · ",tblMovimientos[[#This Row],[Producto]]&amp;" · ")-1)))</f>
        <v/>
      </c>
      <c r="H4776" s="40" t="str">
        <f>IF(tblMovimientos[[#This Row],[SKU]]="","",IFERROR(INDEX(tblProductos[Unidad],MATCH(tblMovimientos[[#This Row],[SKU]],tblProductos[SKU],0)),"?"))</f>
        <v/>
      </c>
      <c r="I4776" s="39"/>
      <c r="J4776" s="47" t="str">
        <f>IF(tblMovimientos[[#This Row],[Tipo]]="","",IFERROR(INDEX(tblTiposMov[FactorStock],MATCH(tblMovimientos[[#This Row],[Tipo]],tblTiposMov[Tipo],0)),0))</f>
        <v/>
      </c>
      <c r="K47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6" s="37"/>
      <c r="O4776" s="37"/>
      <c r="P4776" s="37"/>
    </row>
    <row r="4777" spans="2:16" x14ac:dyDescent="0.25">
      <c r="B47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7" s="46"/>
      <c r="D4777" s="37"/>
      <c r="E4777" s="37"/>
      <c r="F4777" s="37"/>
      <c r="G4777" s="40" t="str">
        <f>IF(tblMovimientos[[#This Row],[Producto]]="","",TRIM(LEFT(tblMovimientos[[#This Row],[Producto]],FIND(" · ",tblMovimientos[[#This Row],[Producto]]&amp;" · ")-1)))</f>
        <v/>
      </c>
      <c r="H4777" s="40" t="str">
        <f>IF(tblMovimientos[[#This Row],[SKU]]="","",IFERROR(INDEX(tblProductos[Unidad],MATCH(tblMovimientos[[#This Row],[SKU]],tblProductos[SKU],0)),"?"))</f>
        <v/>
      </c>
      <c r="I4777" s="39"/>
      <c r="J4777" s="47" t="str">
        <f>IF(tblMovimientos[[#This Row],[Tipo]]="","",IFERROR(INDEX(tblTiposMov[FactorStock],MATCH(tblMovimientos[[#This Row],[Tipo]],tblTiposMov[Tipo],0)),0))</f>
        <v/>
      </c>
      <c r="K47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7" s="37"/>
      <c r="O4777" s="37"/>
      <c r="P4777" s="37"/>
    </row>
    <row r="4778" spans="2:16" x14ac:dyDescent="0.25">
      <c r="B47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8" s="46"/>
      <c r="D4778" s="37"/>
      <c r="E4778" s="37"/>
      <c r="F4778" s="37"/>
      <c r="G4778" s="40" t="str">
        <f>IF(tblMovimientos[[#This Row],[Producto]]="","",TRIM(LEFT(tblMovimientos[[#This Row],[Producto]],FIND(" · ",tblMovimientos[[#This Row],[Producto]]&amp;" · ")-1)))</f>
        <v/>
      </c>
      <c r="H4778" s="40" t="str">
        <f>IF(tblMovimientos[[#This Row],[SKU]]="","",IFERROR(INDEX(tblProductos[Unidad],MATCH(tblMovimientos[[#This Row],[SKU]],tblProductos[SKU],0)),"?"))</f>
        <v/>
      </c>
      <c r="I4778" s="39"/>
      <c r="J4778" s="47" t="str">
        <f>IF(tblMovimientos[[#This Row],[Tipo]]="","",IFERROR(INDEX(tblTiposMov[FactorStock],MATCH(tblMovimientos[[#This Row],[Tipo]],tblTiposMov[Tipo],0)),0))</f>
        <v/>
      </c>
      <c r="K47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8" s="37"/>
      <c r="O4778" s="37"/>
      <c r="P4778" s="37"/>
    </row>
    <row r="4779" spans="2:16" x14ac:dyDescent="0.25">
      <c r="B47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79" s="46"/>
      <c r="D4779" s="37"/>
      <c r="E4779" s="37"/>
      <c r="F4779" s="37"/>
      <c r="G4779" s="40" t="str">
        <f>IF(tblMovimientos[[#This Row],[Producto]]="","",TRIM(LEFT(tblMovimientos[[#This Row],[Producto]],FIND(" · ",tblMovimientos[[#This Row],[Producto]]&amp;" · ")-1)))</f>
        <v/>
      </c>
      <c r="H4779" s="40" t="str">
        <f>IF(tblMovimientos[[#This Row],[SKU]]="","",IFERROR(INDEX(tblProductos[Unidad],MATCH(tblMovimientos[[#This Row],[SKU]],tblProductos[SKU],0)),"?"))</f>
        <v/>
      </c>
      <c r="I4779" s="39"/>
      <c r="J4779" s="47" t="str">
        <f>IF(tblMovimientos[[#This Row],[Tipo]]="","",IFERROR(INDEX(tblTiposMov[FactorStock],MATCH(tblMovimientos[[#This Row],[Tipo]],tblTiposMov[Tipo],0)),0))</f>
        <v/>
      </c>
      <c r="K47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79" s="37"/>
      <c r="O4779" s="37"/>
      <c r="P4779" s="37"/>
    </row>
    <row r="4780" spans="2:16" x14ac:dyDescent="0.25">
      <c r="B47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0" s="46"/>
      <c r="D4780" s="37"/>
      <c r="E4780" s="37"/>
      <c r="F4780" s="37"/>
      <c r="G4780" s="40" t="str">
        <f>IF(tblMovimientos[[#This Row],[Producto]]="","",TRIM(LEFT(tblMovimientos[[#This Row],[Producto]],FIND(" · ",tblMovimientos[[#This Row],[Producto]]&amp;" · ")-1)))</f>
        <v/>
      </c>
      <c r="H4780" s="40" t="str">
        <f>IF(tblMovimientos[[#This Row],[SKU]]="","",IFERROR(INDEX(tblProductos[Unidad],MATCH(tblMovimientos[[#This Row],[SKU]],tblProductos[SKU],0)),"?"))</f>
        <v/>
      </c>
      <c r="I4780" s="39"/>
      <c r="J4780" s="47" t="str">
        <f>IF(tblMovimientos[[#This Row],[Tipo]]="","",IFERROR(INDEX(tblTiposMov[FactorStock],MATCH(tblMovimientos[[#This Row],[Tipo]],tblTiposMov[Tipo],0)),0))</f>
        <v/>
      </c>
      <c r="K47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0" s="37"/>
      <c r="O4780" s="37"/>
      <c r="P4780" s="37"/>
    </row>
    <row r="4781" spans="2:16" x14ac:dyDescent="0.25">
      <c r="B47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1" s="46"/>
      <c r="D4781" s="37"/>
      <c r="E4781" s="37"/>
      <c r="F4781" s="37"/>
      <c r="G4781" s="40" t="str">
        <f>IF(tblMovimientos[[#This Row],[Producto]]="","",TRIM(LEFT(tblMovimientos[[#This Row],[Producto]],FIND(" · ",tblMovimientos[[#This Row],[Producto]]&amp;" · ")-1)))</f>
        <v/>
      </c>
      <c r="H4781" s="40" t="str">
        <f>IF(tblMovimientos[[#This Row],[SKU]]="","",IFERROR(INDEX(tblProductos[Unidad],MATCH(tblMovimientos[[#This Row],[SKU]],tblProductos[SKU],0)),"?"))</f>
        <v/>
      </c>
      <c r="I4781" s="39"/>
      <c r="J4781" s="47" t="str">
        <f>IF(tblMovimientos[[#This Row],[Tipo]]="","",IFERROR(INDEX(tblTiposMov[FactorStock],MATCH(tblMovimientos[[#This Row],[Tipo]],tblTiposMov[Tipo],0)),0))</f>
        <v/>
      </c>
      <c r="K47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1" s="37"/>
      <c r="O4781" s="37"/>
      <c r="P4781" s="37"/>
    </row>
    <row r="4782" spans="2:16" x14ac:dyDescent="0.25">
      <c r="B47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2" s="46"/>
      <c r="D4782" s="37"/>
      <c r="E4782" s="37"/>
      <c r="F4782" s="37"/>
      <c r="G4782" s="40" t="str">
        <f>IF(tblMovimientos[[#This Row],[Producto]]="","",TRIM(LEFT(tblMovimientos[[#This Row],[Producto]],FIND(" · ",tblMovimientos[[#This Row],[Producto]]&amp;" · ")-1)))</f>
        <v/>
      </c>
      <c r="H4782" s="40" t="str">
        <f>IF(tblMovimientos[[#This Row],[SKU]]="","",IFERROR(INDEX(tblProductos[Unidad],MATCH(tblMovimientos[[#This Row],[SKU]],tblProductos[SKU],0)),"?"))</f>
        <v/>
      </c>
      <c r="I4782" s="39"/>
      <c r="J4782" s="47" t="str">
        <f>IF(tblMovimientos[[#This Row],[Tipo]]="","",IFERROR(INDEX(tblTiposMov[FactorStock],MATCH(tblMovimientos[[#This Row],[Tipo]],tblTiposMov[Tipo],0)),0))</f>
        <v/>
      </c>
      <c r="K47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2" s="37"/>
      <c r="O4782" s="37"/>
      <c r="P4782" s="37"/>
    </row>
    <row r="4783" spans="2:16" x14ac:dyDescent="0.25">
      <c r="B47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3" s="46"/>
      <c r="D4783" s="37"/>
      <c r="E4783" s="37"/>
      <c r="F4783" s="37"/>
      <c r="G4783" s="40" t="str">
        <f>IF(tblMovimientos[[#This Row],[Producto]]="","",TRIM(LEFT(tblMovimientos[[#This Row],[Producto]],FIND(" · ",tblMovimientos[[#This Row],[Producto]]&amp;" · ")-1)))</f>
        <v/>
      </c>
      <c r="H4783" s="40" t="str">
        <f>IF(tblMovimientos[[#This Row],[SKU]]="","",IFERROR(INDEX(tblProductos[Unidad],MATCH(tblMovimientos[[#This Row],[SKU]],tblProductos[SKU],0)),"?"))</f>
        <v/>
      </c>
      <c r="I4783" s="39"/>
      <c r="J4783" s="47" t="str">
        <f>IF(tblMovimientos[[#This Row],[Tipo]]="","",IFERROR(INDEX(tblTiposMov[FactorStock],MATCH(tblMovimientos[[#This Row],[Tipo]],tblTiposMov[Tipo],0)),0))</f>
        <v/>
      </c>
      <c r="K47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3" s="37"/>
      <c r="O4783" s="37"/>
      <c r="P4783" s="37"/>
    </row>
    <row r="4784" spans="2:16" x14ac:dyDescent="0.25">
      <c r="B47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4" s="46"/>
      <c r="D4784" s="37"/>
      <c r="E4784" s="37"/>
      <c r="F4784" s="37"/>
      <c r="G4784" s="40" t="str">
        <f>IF(tblMovimientos[[#This Row],[Producto]]="","",TRIM(LEFT(tblMovimientos[[#This Row],[Producto]],FIND(" · ",tblMovimientos[[#This Row],[Producto]]&amp;" · ")-1)))</f>
        <v/>
      </c>
      <c r="H4784" s="40" t="str">
        <f>IF(tblMovimientos[[#This Row],[SKU]]="","",IFERROR(INDEX(tblProductos[Unidad],MATCH(tblMovimientos[[#This Row],[SKU]],tblProductos[SKU],0)),"?"))</f>
        <v/>
      </c>
      <c r="I4784" s="39"/>
      <c r="J4784" s="47" t="str">
        <f>IF(tblMovimientos[[#This Row],[Tipo]]="","",IFERROR(INDEX(tblTiposMov[FactorStock],MATCH(tblMovimientos[[#This Row],[Tipo]],tblTiposMov[Tipo],0)),0))</f>
        <v/>
      </c>
      <c r="K47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4" s="37"/>
      <c r="O4784" s="37"/>
      <c r="P4784" s="37"/>
    </row>
    <row r="4785" spans="2:16" x14ac:dyDescent="0.25">
      <c r="B47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5" s="46"/>
      <c r="D4785" s="37"/>
      <c r="E4785" s="37"/>
      <c r="F4785" s="37"/>
      <c r="G4785" s="40" t="str">
        <f>IF(tblMovimientos[[#This Row],[Producto]]="","",TRIM(LEFT(tblMovimientos[[#This Row],[Producto]],FIND(" · ",tblMovimientos[[#This Row],[Producto]]&amp;" · ")-1)))</f>
        <v/>
      </c>
      <c r="H4785" s="40" t="str">
        <f>IF(tblMovimientos[[#This Row],[SKU]]="","",IFERROR(INDEX(tblProductos[Unidad],MATCH(tblMovimientos[[#This Row],[SKU]],tblProductos[SKU],0)),"?"))</f>
        <v/>
      </c>
      <c r="I4785" s="39"/>
      <c r="J4785" s="47" t="str">
        <f>IF(tblMovimientos[[#This Row],[Tipo]]="","",IFERROR(INDEX(tblTiposMov[FactorStock],MATCH(tblMovimientos[[#This Row],[Tipo]],tblTiposMov[Tipo],0)),0))</f>
        <v/>
      </c>
      <c r="K47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5" s="37"/>
      <c r="O4785" s="37"/>
      <c r="P4785" s="37"/>
    </row>
    <row r="4786" spans="2:16" x14ac:dyDescent="0.25">
      <c r="B47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6" s="46"/>
      <c r="D4786" s="37"/>
      <c r="E4786" s="37"/>
      <c r="F4786" s="37"/>
      <c r="G4786" s="40" t="str">
        <f>IF(tblMovimientos[[#This Row],[Producto]]="","",TRIM(LEFT(tblMovimientos[[#This Row],[Producto]],FIND(" · ",tblMovimientos[[#This Row],[Producto]]&amp;" · ")-1)))</f>
        <v/>
      </c>
      <c r="H4786" s="40" t="str">
        <f>IF(tblMovimientos[[#This Row],[SKU]]="","",IFERROR(INDEX(tblProductos[Unidad],MATCH(tblMovimientos[[#This Row],[SKU]],tblProductos[SKU],0)),"?"))</f>
        <v/>
      </c>
      <c r="I4786" s="39"/>
      <c r="J4786" s="47" t="str">
        <f>IF(tblMovimientos[[#This Row],[Tipo]]="","",IFERROR(INDEX(tblTiposMov[FactorStock],MATCH(tblMovimientos[[#This Row],[Tipo]],tblTiposMov[Tipo],0)),0))</f>
        <v/>
      </c>
      <c r="K47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6" s="37"/>
      <c r="O4786" s="37"/>
      <c r="P4786" s="37"/>
    </row>
    <row r="4787" spans="2:16" x14ac:dyDescent="0.25">
      <c r="B47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7" s="46"/>
      <c r="D4787" s="37"/>
      <c r="E4787" s="37"/>
      <c r="F4787" s="37"/>
      <c r="G4787" s="40" t="str">
        <f>IF(tblMovimientos[[#This Row],[Producto]]="","",TRIM(LEFT(tblMovimientos[[#This Row],[Producto]],FIND(" · ",tblMovimientos[[#This Row],[Producto]]&amp;" · ")-1)))</f>
        <v/>
      </c>
      <c r="H4787" s="40" t="str">
        <f>IF(tblMovimientos[[#This Row],[SKU]]="","",IFERROR(INDEX(tblProductos[Unidad],MATCH(tblMovimientos[[#This Row],[SKU]],tblProductos[SKU],0)),"?"))</f>
        <v/>
      </c>
      <c r="I4787" s="39"/>
      <c r="J4787" s="47" t="str">
        <f>IF(tblMovimientos[[#This Row],[Tipo]]="","",IFERROR(INDEX(tblTiposMov[FactorStock],MATCH(tblMovimientos[[#This Row],[Tipo]],tblTiposMov[Tipo],0)),0))</f>
        <v/>
      </c>
      <c r="K47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7" s="37"/>
      <c r="O4787" s="37"/>
      <c r="P4787" s="37"/>
    </row>
    <row r="4788" spans="2:16" x14ac:dyDescent="0.25">
      <c r="B47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8" s="46"/>
      <c r="D4788" s="37"/>
      <c r="E4788" s="37"/>
      <c r="F4788" s="37"/>
      <c r="G4788" s="40" t="str">
        <f>IF(tblMovimientos[[#This Row],[Producto]]="","",TRIM(LEFT(tblMovimientos[[#This Row],[Producto]],FIND(" · ",tblMovimientos[[#This Row],[Producto]]&amp;" · ")-1)))</f>
        <v/>
      </c>
      <c r="H4788" s="40" t="str">
        <f>IF(tblMovimientos[[#This Row],[SKU]]="","",IFERROR(INDEX(tblProductos[Unidad],MATCH(tblMovimientos[[#This Row],[SKU]],tblProductos[SKU],0)),"?"))</f>
        <v/>
      </c>
      <c r="I4788" s="39"/>
      <c r="J4788" s="47" t="str">
        <f>IF(tblMovimientos[[#This Row],[Tipo]]="","",IFERROR(INDEX(tblTiposMov[FactorStock],MATCH(tblMovimientos[[#This Row],[Tipo]],tblTiposMov[Tipo],0)),0))</f>
        <v/>
      </c>
      <c r="K47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8" s="37"/>
      <c r="O4788" s="37"/>
      <c r="P4788" s="37"/>
    </row>
    <row r="4789" spans="2:16" x14ac:dyDescent="0.25">
      <c r="B47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89" s="46"/>
      <c r="D4789" s="37"/>
      <c r="E4789" s="37"/>
      <c r="F4789" s="37"/>
      <c r="G4789" s="40" t="str">
        <f>IF(tblMovimientos[[#This Row],[Producto]]="","",TRIM(LEFT(tblMovimientos[[#This Row],[Producto]],FIND(" · ",tblMovimientos[[#This Row],[Producto]]&amp;" · ")-1)))</f>
        <v/>
      </c>
      <c r="H4789" s="40" t="str">
        <f>IF(tblMovimientos[[#This Row],[SKU]]="","",IFERROR(INDEX(tblProductos[Unidad],MATCH(tblMovimientos[[#This Row],[SKU]],tblProductos[SKU],0)),"?"))</f>
        <v/>
      </c>
      <c r="I4789" s="39"/>
      <c r="J4789" s="47" t="str">
        <f>IF(tblMovimientos[[#This Row],[Tipo]]="","",IFERROR(INDEX(tblTiposMov[FactorStock],MATCH(tblMovimientos[[#This Row],[Tipo]],tblTiposMov[Tipo],0)),0))</f>
        <v/>
      </c>
      <c r="K47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89" s="37"/>
      <c r="O4789" s="37"/>
      <c r="P4789" s="37"/>
    </row>
    <row r="4790" spans="2:16" x14ac:dyDescent="0.25">
      <c r="B47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0" s="46"/>
      <c r="D4790" s="37"/>
      <c r="E4790" s="37"/>
      <c r="F4790" s="37"/>
      <c r="G4790" s="40" t="str">
        <f>IF(tblMovimientos[[#This Row],[Producto]]="","",TRIM(LEFT(tblMovimientos[[#This Row],[Producto]],FIND(" · ",tblMovimientos[[#This Row],[Producto]]&amp;" · ")-1)))</f>
        <v/>
      </c>
      <c r="H4790" s="40" t="str">
        <f>IF(tblMovimientos[[#This Row],[SKU]]="","",IFERROR(INDEX(tblProductos[Unidad],MATCH(tblMovimientos[[#This Row],[SKU]],tblProductos[SKU],0)),"?"))</f>
        <v/>
      </c>
      <c r="I4790" s="39"/>
      <c r="J4790" s="47" t="str">
        <f>IF(tblMovimientos[[#This Row],[Tipo]]="","",IFERROR(INDEX(tblTiposMov[FactorStock],MATCH(tblMovimientos[[#This Row],[Tipo]],tblTiposMov[Tipo],0)),0))</f>
        <v/>
      </c>
      <c r="K47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0" s="37"/>
      <c r="O4790" s="37"/>
      <c r="P4790" s="37"/>
    </row>
    <row r="4791" spans="2:16" x14ac:dyDescent="0.25">
      <c r="B47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1" s="46"/>
      <c r="D4791" s="37"/>
      <c r="E4791" s="37"/>
      <c r="F4791" s="37"/>
      <c r="G4791" s="40" t="str">
        <f>IF(tblMovimientos[[#This Row],[Producto]]="","",TRIM(LEFT(tblMovimientos[[#This Row],[Producto]],FIND(" · ",tblMovimientos[[#This Row],[Producto]]&amp;" · ")-1)))</f>
        <v/>
      </c>
      <c r="H4791" s="40" t="str">
        <f>IF(tblMovimientos[[#This Row],[SKU]]="","",IFERROR(INDEX(tblProductos[Unidad],MATCH(tblMovimientos[[#This Row],[SKU]],tblProductos[SKU],0)),"?"))</f>
        <v/>
      </c>
      <c r="I4791" s="39"/>
      <c r="J4791" s="47" t="str">
        <f>IF(tblMovimientos[[#This Row],[Tipo]]="","",IFERROR(INDEX(tblTiposMov[FactorStock],MATCH(tblMovimientos[[#This Row],[Tipo]],tblTiposMov[Tipo],0)),0))</f>
        <v/>
      </c>
      <c r="K47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1" s="37"/>
      <c r="O4791" s="37"/>
      <c r="P4791" s="37"/>
    </row>
    <row r="4792" spans="2:16" x14ac:dyDescent="0.25">
      <c r="B47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2" s="46"/>
      <c r="D4792" s="37"/>
      <c r="E4792" s="37"/>
      <c r="F4792" s="37"/>
      <c r="G4792" s="40" t="str">
        <f>IF(tblMovimientos[[#This Row],[Producto]]="","",TRIM(LEFT(tblMovimientos[[#This Row],[Producto]],FIND(" · ",tblMovimientos[[#This Row],[Producto]]&amp;" · ")-1)))</f>
        <v/>
      </c>
      <c r="H4792" s="40" t="str">
        <f>IF(tblMovimientos[[#This Row],[SKU]]="","",IFERROR(INDEX(tblProductos[Unidad],MATCH(tblMovimientos[[#This Row],[SKU]],tblProductos[SKU],0)),"?"))</f>
        <v/>
      </c>
      <c r="I4792" s="39"/>
      <c r="J4792" s="47" t="str">
        <f>IF(tblMovimientos[[#This Row],[Tipo]]="","",IFERROR(INDEX(tblTiposMov[FactorStock],MATCH(tblMovimientos[[#This Row],[Tipo]],tblTiposMov[Tipo],0)),0))</f>
        <v/>
      </c>
      <c r="K47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2" s="37"/>
      <c r="O4792" s="37"/>
      <c r="P4792" s="37"/>
    </row>
    <row r="4793" spans="2:16" x14ac:dyDescent="0.25">
      <c r="B47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3" s="46"/>
      <c r="D4793" s="37"/>
      <c r="E4793" s="37"/>
      <c r="F4793" s="37"/>
      <c r="G4793" s="40" t="str">
        <f>IF(tblMovimientos[[#This Row],[Producto]]="","",TRIM(LEFT(tblMovimientos[[#This Row],[Producto]],FIND(" · ",tblMovimientos[[#This Row],[Producto]]&amp;" · ")-1)))</f>
        <v/>
      </c>
      <c r="H4793" s="40" t="str">
        <f>IF(tblMovimientos[[#This Row],[SKU]]="","",IFERROR(INDEX(tblProductos[Unidad],MATCH(tblMovimientos[[#This Row],[SKU]],tblProductos[SKU],0)),"?"))</f>
        <v/>
      </c>
      <c r="I4793" s="39"/>
      <c r="J4793" s="47" t="str">
        <f>IF(tblMovimientos[[#This Row],[Tipo]]="","",IFERROR(INDEX(tblTiposMov[FactorStock],MATCH(tblMovimientos[[#This Row],[Tipo]],tblTiposMov[Tipo],0)),0))</f>
        <v/>
      </c>
      <c r="K47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3" s="37"/>
      <c r="O4793" s="37"/>
      <c r="P4793" s="37"/>
    </row>
    <row r="4794" spans="2:16" x14ac:dyDescent="0.25">
      <c r="B47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4" s="46"/>
      <c r="D4794" s="37"/>
      <c r="E4794" s="37"/>
      <c r="F4794" s="37"/>
      <c r="G4794" s="40" t="str">
        <f>IF(tblMovimientos[[#This Row],[Producto]]="","",TRIM(LEFT(tblMovimientos[[#This Row],[Producto]],FIND(" · ",tblMovimientos[[#This Row],[Producto]]&amp;" · ")-1)))</f>
        <v/>
      </c>
      <c r="H4794" s="40" t="str">
        <f>IF(tblMovimientos[[#This Row],[SKU]]="","",IFERROR(INDEX(tblProductos[Unidad],MATCH(tblMovimientos[[#This Row],[SKU]],tblProductos[SKU],0)),"?"))</f>
        <v/>
      </c>
      <c r="I4794" s="39"/>
      <c r="J4794" s="47" t="str">
        <f>IF(tblMovimientos[[#This Row],[Tipo]]="","",IFERROR(INDEX(tblTiposMov[FactorStock],MATCH(tblMovimientos[[#This Row],[Tipo]],tblTiposMov[Tipo],0)),0))</f>
        <v/>
      </c>
      <c r="K47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4" s="37"/>
      <c r="O4794" s="37"/>
      <c r="P4794" s="37"/>
    </row>
    <row r="4795" spans="2:16" x14ac:dyDescent="0.25">
      <c r="B47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5" s="46"/>
      <c r="D4795" s="37"/>
      <c r="E4795" s="37"/>
      <c r="F4795" s="37"/>
      <c r="G4795" s="40" t="str">
        <f>IF(tblMovimientos[[#This Row],[Producto]]="","",TRIM(LEFT(tblMovimientos[[#This Row],[Producto]],FIND(" · ",tblMovimientos[[#This Row],[Producto]]&amp;" · ")-1)))</f>
        <v/>
      </c>
      <c r="H4795" s="40" t="str">
        <f>IF(tblMovimientos[[#This Row],[SKU]]="","",IFERROR(INDEX(tblProductos[Unidad],MATCH(tblMovimientos[[#This Row],[SKU]],tblProductos[SKU],0)),"?"))</f>
        <v/>
      </c>
      <c r="I4795" s="39"/>
      <c r="J4795" s="47" t="str">
        <f>IF(tblMovimientos[[#This Row],[Tipo]]="","",IFERROR(INDEX(tblTiposMov[FactorStock],MATCH(tblMovimientos[[#This Row],[Tipo]],tblTiposMov[Tipo],0)),0))</f>
        <v/>
      </c>
      <c r="K47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5" s="37"/>
      <c r="O4795" s="37"/>
      <c r="P4795" s="37"/>
    </row>
    <row r="4796" spans="2:16" x14ac:dyDescent="0.25">
      <c r="B47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6" s="46"/>
      <c r="D4796" s="37"/>
      <c r="E4796" s="37"/>
      <c r="F4796" s="37"/>
      <c r="G4796" s="40" t="str">
        <f>IF(tblMovimientos[[#This Row],[Producto]]="","",TRIM(LEFT(tblMovimientos[[#This Row],[Producto]],FIND(" · ",tblMovimientos[[#This Row],[Producto]]&amp;" · ")-1)))</f>
        <v/>
      </c>
      <c r="H4796" s="40" t="str">
        <f>IF(tblMovimientos[[#This Row],[SKU]]="","",IFERROR(INDEX(tblProductos[Unidad],MATCH(tblMovimientos[[#This Row],[SKU]],tblProductos[SKU],0)),"?"))</f>
        <v/>
      </c>
      <c r="I4796" s="39"/>
      <c r="J4796" s="47" t="str">
        <f>IF(tblMovimientos[[#This Row],[Tipo]]="","",IFERROR(INDEX(tblTiposMov[FactorStock],MATCH(tblMovimientos[[#This Row],[Tipo]],tblTiposMov[Tipo],0)),0))</f>
        <v/>
      </c>
      <c r="K47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6" s="37"/>
      <c r="O4796" s="37"/>
      <c r="P4796" s="37"/>
    </row>
    <row r="4797" spans="2:16" x14ac:dyDescent="0.25">
      <c r="B47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7" s="46"/>
      <c r="D4797" s="37"/>
      <c r="E4797" s="37"/>
      <c r="F4797" s="37"/>
      <c r="G4797" s="40" t="str">
        <f>IF(tblMovimientos[[#This Row],[Producto]]="","",TRIM(LEFT(tblMovimientos[[#This Row],[Producto]],FIND(" · ",tblMovimientos[[#This Row],[Producto]]&amp;" · ")-1)))</f>
        <v/>
      </c>
      <c r="H4797" s="40" t="str">
        <f>IF(tblMovimientos[[#This Row],[SKU]]="","",IFERROR(INDEX(tblProductos[Unidad],MATCH(tblMovimientos[[#This Row],[SKU]],tblProductos[SKU],0)),"?"))</f>
        <v/>
      </c>
      <c r="I4797" s="39"/>
      <c r="J4797" s="47" t="str">
        <f>IF(tblMovimientos[[#This Row],[Tipo]]="","",IFERROR(INDEX(tblTiposMov[FactorStock],MATCH(tblMovimientos[[#This Row],[Tipo]],tblTiposMov[Tipo],0)),0))</f>
        <v/>
      </c>
      <c r="K47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7" s="37"/>
      <c r="O4797" s="37"/>
      <c r="P4797" s="37"/>
    </row>
    <row r="4798" spans="2:16" x14ac:dyDescent="0.25">
      <c r="B47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8" s="46"/>
      <c r="D4798" s="37"/>
      <c r="E4798" s="37"/>
      <c r="F4798" s="37"/>
      <c r="G4798" s="40" t="str">
        <f>IF(tblMovimientos[[#This Row],[Producto]]="","",TRIM(LEFT(tblMovimientos[[#This Row],[Producto]],FIND(" · ",tblMovimientos[[#This Row],[Producto]]&amp;" · ")-1)))</f>
        <v/>
      </c>
      <c r="H4798" s="40" t="str">
        <f>IF(tblMovimientos[[#This Row],[SKU]]="","",IFERROR(INDEX(tblProductos[Unidad],MATCH(tblMovimientos[[#This Row],[SKU]],tblProductos[SKU],0)),"?"))</f>
        <v/>
      </c>
      <c r="I4798" s="39"/>
      <c r="J4798" s="47" t="str">
        <f>IF(tblMovimientos[[#This Row],[Tipo]]="","",IFERROR(INDEX(tblTiposMov[FactorStock],MATCH(tblMovimientos[[#This Row],[Tipo]],tblTiposMov[Tipo],0)),0))</f>
        <v/>
      </c>
      <c r="K47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8" s="37"/>
      <c r="O4798" s="37"/>
      <c r="P4798" s="37"/>
    </row>
    <row r="4799" spans="2:16" x14ac:dyDescent="0.25">
      <c r="B47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799" s="46"/>
      <c r="D4799" s="37"/>
      <c r="E4799" s="37"/>
      <c r="F4799" s="37"/>
      <c r="G4799" s="40" t="str">
        <f>IF(tblMovimientos[[#This Row],[Producto]]="","",TRIM(LEFT(tblMovimientos[[#This Row],[Producto]],FIND(" · ",tblMovimientos[[#This Row],[Producto]]&amp;" · ")-1)))</f>
        <v/>
      </c>
      <c r="H4799" s="40" t="str">
        <f>IF(tblMovimientos[[#This Row],[SKU]]="","",IFERROR(INDEX(tblProductos[Unidad],MATCH(tblMovimientos[[#This Row],[SKU]],tblProductos[SKU],0)),"?"))</f>
        <v/>
      </c>
      <c r="I4799" s="39"/>
      <c r="J4799" s="47" t="str">
        <f>IF(tblMovimientos[[#This Row],[Tipo]]="","",IFERROR(INDEX(tblTiposMov[FactorStock],MATCH(tblMovimientos[[#This Row],[Tipo]],tblTiposMov[Tipo],0)),0))</f>
        <v/>
      </c>
      <c r="K47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7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7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799" s="37"/>
      <c r="O4799" s="37"/>
      <c r="P4799" s="37"/>
    </row>
    <row r="4800" spans="2:16" x14ac:dyDescent="0.25">
      <c r="B48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0" s="46"/>
      <c r="D4800" s="37"/>
      <c r="E4800" s="37"/>
      <c r="F4800" s="37"/>
      <c r="G4800" s="40" t="str">
        <f>IF(tblMovimientos[[#This Row],[Producto]]="","",TRIM(LEFT(tblMovimientos[[#This Row],[Producto]],FIND(" · ",tblMovimientos[[#This Row],[Producto]]&amp;" · ")-1)))</f>
        <v/>
      </c>
      <c r="H4800" s="40" t="str">
        <f>IF(tblMovimientos[[#This Row],[SKU]]="","",IFERROR(INDEX(tblProductos[Unidad],MATCH(tblMovimientos[[#This Row],[SKU]],tblProductos[SKU],0)),"?"))</f>
        <v/>
      </c>
      <c r="I4800" s="39"/>
      <c r="J4800" s="47" t="str">
        <f>IF(tblMovimientos[[#This Row],[Tipo]]="","",IFERROR(INDEX(tblTiposMov[FactorStock],MATCH(tblMovimientos[[#This Row],[Tipo]],tblTiposMov[Tipo],0)),0))</f>
        <v/>
      </c>
      <c r="K48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0" s="37"/>
      <c r="O4800" s="37"/>
      <c r="P4800" s="37"/>
    </row>
    <row r="4801" spans="2:16" x14ac:dyDescent="0.25">
      <c r="B48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1" s="46"/>
      <c r="D4801" s="37"/>
      <c r="E4801" s="37"/>
      <c r="F4801" s="37"/>
      <c r="G4801" s="40" t="str">
        <f>IF(tblMovimientos[[#This Row],[Producto]]="","",TRIM(LEFT(tblMovimientos[[#This Row],[Producto]],FIND(" · ",tblMovimientos[[#This Row],[Producto]]&amp;" · ")-1)))</f>
        <v/>
      </c>
      <c r="H4801" s="40" t="str">
        <f>IF(tblMovimientos[[#This Row],[SKU]]="","",IFERROR(INDEX(tblProductos[Unidad],MATCH(tblMovimientos[[#This Row],[SKU]],tblProductos[SKU],0)),"?"))</f>
        <v/>
      </c>
      <c r="I4801" s="39"/>
      <c r="J4801" s="47" t="str">
        <f>IF(tblMovimientos[[#This Row],[Tipo]]="","",IFERROR(INDEX(tblTiposMov[FactorStock],MATCH(tblMovimientos[[#This Row],[Tipo]],tblTiposMov[Tipo],0)),0))</f>
        <v/>
      </c>
      <c r="K48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1" s="37"/>
      <c r="O4801" s="37"/>
      <c r="P4801" s="37"/>
    </row>
    <row r="4802" spans="2:16" x14ac:dyDescent="0.25">
      <c r="B48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2" s="46"/>
      <c r="D4802" s="37"/>
      <c r="E4802" s="37"/>
      <c r="F4802" s="37"/>
      <c r="G4802" s="40" t="str">
        <f>IF(tblMovimientos[[#This Row],[Producto]]="","",TRIM(LEFT(tblMovimientos[[#This Row],[Producto]],FIND(" · ",tblMovimientos[[#This Row],[Producto]]&amp;" · ")-1)))</f>
        <v/>
      </c>
      <c r="H4802" s="40" t="str">
        <f>IF(tblMovimientos[[#This Row],[SKU]]="","",IFERROR(INDEX(tblProductos[Unidad],MATCH(tblMovimientos[[#This Row],[SKU]],tblProductos[SKU],0)),"?"))</f>
        <v/>
      </c>
      <c r="I4802" s="39"/>
      <c r="J4802" s="47" t="str">
        <f>IF(tblMovimientos[[#This Row],[Tipo]]="","",IFERROR(INDEX(tblTiposMov[FactorStock],MATCH(tblMovimientos[[#This Row],[Tipo]],tblTiposMov[Tipo],0)),0))</f>
        <v/>
      </c>
      <c r="K48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2" s="37"/>
      <c r="O4802" s="37"/>
      <c r="P4802" s="37"/>
    </row>
    <row r="4803" spans="2:16" x14ac:dyDescent="0.25">
      <c r="B48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3" s="46"/>
      <c r="D4803" s="37"/>
      <c r="E4803" s="37"/>
      <c r="F4803" s="37"/>
      <c r="G4803" s="40" t="str">
        <f>IF(tblMovimientos[[#This Row],[Producto]]="","",TRIM(LEFT(tblMovimientos[[#This Row],[Producto]],FIND(" · ",tblMovimientos[[#This Row],[Producto]]&amp;" · ")-1)))</f>
        <v/>
      </c>
      <c r="H4803" s="40" t="str">
        <f>IF(tblMovimientos[[#This Row],[SKU]]="","",IFERROR(INDEX(tblProductos[Unidad],MATCH(tblMovimientos[[#This Row],[SKU]],tblProductos[SKU],0)),"?"))</f>
        <v/>
      </c>
      <c r="I4803" s="39"/>
      <c r="J4803" s="47" t="str">
        <f>IF(tblMovimientos[[#This Row],[Tipo]]="","",IFERROR(INDEX(tblTiposMov[FactorStock],MATCH(tblMovimientos[[#This Row],[Tipo]],tblTiposMov[Tipo],0)),0))</f>
        <v/>
      </c>
      <c r="K48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3" s="37"/>
      <c r="O4803" s="37"/>
      <c r="P4803" s="37"/>
    </row>
    <row r="4804" spans="2:16" x14ac:dyDescent="0.25">
      <c r="B48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4" s="46"/>
      <c r="D4804" s="37"/>
      <c r="E4804" s="37"/>
      <c r="F4804" s="37"/>
      <c r="G4804" s="40" t="str">
        <f>IF(tblMovimientos[[#This Row],[Producto]]="","",TRIM(LEFT(tblMovimientos[[#This Row],[Producto]],FIND(" · ",tblMovimientos[[#This Row],[Producto]]&amp;" · ")-1)))</f>
        <v/>
      </c>
      <c r="H4804" s="40" t="str">
        <f>IF(tblMovimientos[[#This Row],[SKU]]="","",IFERROR(INDEX(tblProductos[Unidad],MATCH(tblMovimientos[[#This Row],[SKU]],tblProductos[SKU],0)),"?"))</f>
        <v/>
      </c>
      <c r="I4804" s="39"/>
      <c r="J4804" s="47" t="str">
        <f>IF(tblMovimientos[[#This Row],[Tipo]]="","",IFERROR(INDEX(tblTiposMov[FactorStock],MATCH(tblMovimientos[[#This Row],[Tipo]],tblTiposMov[Tipo],0)),0))</f>
        <v/>
      </c>
      <c r="K48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4" s="37"/>
      <c r="O4804" s="37"/>
      <c r="P4804" s="37"/>
    </row>
    <row r="4805" spans="2:16" x14ac:dyDescent="0.25">
      <c r="B48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5" s="46"/>
      <c r="D4805" s="37"/>
      <c r="E4805" s="37"/>
      <c r="F4805" s="37"/>
      <c r="G4805" s="40" t="str">
        <f>IF(tblMovimientos[[#This Row],[Producto]]="","",TRIM(LEFT(tblMovimientos[[#This Row],[Producto]],FIND(" · ",tblMovimientos[[#This Row],[Producto]]&amp;" · ")-1)))</f>
        <v/>
      </c>
      <c r="H4805" s="40" t="str">
        <f>IF(tblMovimientos[[#This Row],[SKU]]="","",IFERROR(INDEX(tblProductos[Unidad],MATCH(tblMovimientos[[#This Row],[SKU]],tblProductos[SKU],0)),"?"))</f>
        <v/>
      </c>
      <c r="I4805" s="39"/>
      <c r="J4805" s="47" t="str">
        <f>IF(tblMovimientos[[#This Row],[Tipo]]="","",IFERROR(INDEX(tblTiposMov[FactorStock],MATCH(tblMovimientos[[#This Row],[Tipo]],tblTiposMov[Tipo],0)),0))</f>
        <v/>
      </c>
      <c r="K48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5" s="37"/>
      <c r="O4805" s="37"/>
      <c r="P4805" s="37"/>
    </row>
    <row r="4806" spans="2:16" x14ac:dyDescent="0.25">
      <c r="B48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6" s="46"/>
      <c r="D4806" s="37"/>
      <c r="E4806" s="37"/>
      <c r="F4806" s="37"/>
      <c r="G4806" s="40" t="str">
        <f>IF(tblMovimientos[[#This Row],[Producto]]="","",TRIM(LEFT(tblMovimientos[[#This Row],[Producto]],FIND(" · ",tblMovimientos[[#This Row],[Producto]]&amp;" · ")-1)))</f>
        <v/>
      </c>
      <c r="H4806" s="40" t="str">
        <f>IF(tblMovimientos[[#This Row],[SKU]]="","",IFERROR(INDEX(tblProductos[Unidad],MATCH(tblMovimientos[[#This Row],[SKU]],tblProductos[SKU],0)),"?"))</f>
        <v/>
      </c>
      <c r="I4806" s="39"/>
      <c r="J4806" s="47" t="str">
        <f>IF(tblMovimientos[[#This Row],[Tipo]]="","",IFERROR(INDEX(tblTiposMov[FactorStock],MATCH(tblMovimientos[[#This Row],[Tipo]],tblTiposMov[Tipo],0)),0))</f>
        <v/>
      </c>
      <c r="K48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6" s="37"/>
      <c r="O4806" s="37"/>
      <c r="P4806" s="37"/>
    </row>
    <row r="4807" spans="2:16" x14ac:dyDescent="0.25">
      <c r="B48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7" s="46"/>
      <c r="D4807" s="37"/>
      <c r="E4807" s="37"/>
      <c r="F4807" s="37"/>
      <c r="G4807" s="40" t="str">
        <f>IF(tblMovimientos[[#This Row],[Producto]]="","",TRIM(LEFT(tblMovimientos[[#This Row],[Producto]],FIND(" · ",tblMovimientos[[#This Row],[Producto]]&amp;" · ")-1)))</f>
        <v/>
      </c>
      <c r="H4807" s="40" t="str">
        <f>IF(tblMovimientos[[#This Row],[SKU]]="","",IFERROR(INDEX(tblProductos[Unidad],MATCH(tblMovimientos[[#This Row],[SKU]],tblProductos[SKU],0)),"?"))</f>
        <v/>
      </c>
      <c r="I4807" s="39"/>
      <c r="J4807" s="47" t="str">
        <f>IF(tblMovimientos[[#This Row],[Tipo]]="","",IFERROR(INDEX(tblTiposMov[FactorStock],MATCH(tblMovimientos[[#This Row],[Tipo]],tblTiposMov[Tipo],0)),0))</f>
        <v/>
      </c>
      <c r="K48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7" s="37"/>
      <c r="O4807" s="37"/>
      <c r="P4807" s="37"/>
    </row>
    <row r="4808" spans="2:16" x14ac:dyDescent="0.25">
      <c r="B48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8" s="46"/>
      <c r="D4808" s="37"/>
      <c r="E4808" s="37"/>
      <c r="F4808" s="37"/>
      <c r="G4808" s="40" t="str">
        <f>IF(tblMovimientos[[#This Row],[Producto]]="","",TRIM(LEFT(tblMovimientos[[#This Row],[Producto]],FIND(" · ",tblMovimientos[[#This Row],[Producto]]&amp;" · ")-1)))</f>
        <v/>
      </c>
      <c r="H4808" s="40" t="str">
        <f>IF(tblMovimientos[[#This Row],[SKU]]="","",IFERROR(INDEX(tblProductos[Unidad],MATCH(tblMovimientos[[#This Row],[SKU]],tblProductos[SKU],0)),"?"))</f>
        <v/>
      </c>
      <c r="I4808" s="39"/>
      <c r="J4808" s="47" t="str">
        <f>IF(tblMovimientos[[#This Row],[Tipo]]="","",IFERROR(INDEX(tblTiposMov[FactorStock],MATCH(tblMovimientos[[#This Row],[Tipo]],tblTiposMov[Tipo],0)),0))</f>
        <v/>
      </c>
      <c r="K48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8" s="37"/>
      <c r="O4808" s="37"/>
      <c r="P4808" s="37"/>
    </row>
    <row r="4809" spans="2:16" x14ac:dyDescent="0.25">
      <c r="B48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09" s="46"/>
      <c r="D4809" s="37"/>
      <c r="E4809" s="37"/>
      <c r="F4809" s="37"/>
      <c r="G4809" s="40" t="str">
        <f>IF(tblMovimientos[[#This Row],[Producto]]="","",TRIM(LEFT(tblMovimientos[[#This Row],[Producto]],FIND(" · ",tblMovimientos[[#This Row],[Producto]]&amp;" · ")-1)))</f>
        <v/>
      </c>
      <c r="H4809" s="40" t="str">
        <f>IF(tblMovimientos[[#This Row],[SKU]]="","",IFERROR(INDEX(tblProductos[Unidad],MATCH(tblMovimientos[[#This Row],[SKU]],tblProductos[SKU],0)),"?"))</f>
        <v/>
      </c>
      <c r="I4809" s="39"/>
      <c r="J4809" s="47" t="str">
        <f>IF(tblMovimientos[[#This Row],[Tipo]]="","",IFERROR(INDEX(tblTiposMov[FactorStock],MATCH(tblMovimientos[[#This Row],[Tipo]],tblTiposMov[Tipo],0)),0))</f>
        <v/>
      </c>
      <c r="K48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09" s="37"/>
      <c r="O4809" s="37"/>
      <c r="P4809" s="37"/>
    </row>
    <row r="4810" spans="2:16" x14ac:dyDescent="0.25">
      <c r="B48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0" s="46"/>
      <c r="D4810" s="37"/>
      <c r="E4810" s="37"/>
      <c r="F4810" s="37"/>
      <c r="G4810" s="40" t="str">
        <f>IF(tblMovimientos[[#This Row],[Producto]]="","",TRIM(LEFT(tblMovimientos[[#This Row],[Producto]],FIND(" · ",tblMovimientos[[#This Row],[Producto]]&amp;" · ")-1)))</f>
        <v/>
      </c>
      <c r="H4810" s="40" t="str">
        <f>IF(tblMovimientos[[#This Row],[SKU]]="","",IFERROR(INDEX(tblProductos[Unidad],MATCH(tblMovimientos[[#This Row],[SKU]],tblProductos[SKU],0)),"?"))</f>
        <v/>
      </c>
      <c r="I4810" s="39"/>
      <c r="J4810" s="47" t="str">
        <f>IF(tblMovimientos[[#This Row],[Tipo]]="","",IFERROR(INDEX(tblTiposMov[FactorStock],MATCH(tblMovimientos[[#This Row],[Tipo]],tblTiposMov[Tipo],0)),0))</f>
        <v/>
      </c>
      <c r="K48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0" s="37"/>
      <c r="O4810" s="37"/>
      <c r="P4810" s="37"/>
    </row>
    <row r="4811" spans="2:16" x14ac:dyDescent="0.25">
      <c r="B48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1" s="46"/>
      <c r="D4811" s="37"/>
      <c r="E4811" s="37"/>
      <c r="F4811" s="37"/>
      <c r="G4811" s="40" t="str">
        <f>IF(tblMovimientos[[#This Row],[Producto]]="","",TRIM(LEFT(tblMovimientos[[#This Row],[Producto]],FIND(" · ",tblMovimientos[[#This Row],[Producto]]&amp;" · ")-1)))</f>
        <v/>
      </c>
      <c r="H4811" s="40" t="str">
        <f>IF(tblMovimientos[[#This Row],[SKU]]="","",IFERROR(INDEX(tblProductos[Unidad],MATCH(tblMovimientos[[#This Row],[SKU]],tblProductos[SKU],0)),"?"))</f>
        <v/>
      </c>
      <c r="I4811" s="39"/>
      <c r="J4811" s="47" t="str">
        <f>IF(tblMovimientos[[#This Row],[Tipo]]="","",IFERROR(INDEX(tblTiposMov[FactorStock],MATCH(tblMovimientos[[#This Row],[Tipo]],tblTiposMov[Tipo],0)),0))</f>
        <v/>
      </c>
      <c r="K48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1" s="37"/>
      <c r="O4811" s="37"/>
      <c r="P4811" s="37"/>
    </row>
    <row r="4812" spans="2:16" x14ac:dyDescent="0.25">
      <c r="B48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2" s="46"/>
      <c r="D4812" s="37"/>
      <c r="E4812" s="37"/>
      <c r="F4812" s="37"/>
      <c r="G4812" s="40" t="str">
        <f>IF(tblMovimientos[[#This Row],[Producto]]="","",TRIM(LEFT(tblMovimientos[[#This Row],[Producto]],FIND(" · ",tblMovimientos[[#This Row],[Producto]]&amp;" · ")-1)))</f>
        <v/>
      </c>
      <c r="H4812" s="40" t="str">
        <f>IF(tblMovimientos[[#This Row],[SKU]]="","",IFERROR(INDEX(tblProductos[Unidad],MATCH(tblMovimientos[[#This Row],[SKU]],tblProductos[SKU],0)),"?"))</f>
        <v/>
      </c>
      <c r="I4812" s="39"/>
      <c r="J4812" s="47" t="str">
        <f>IF(tblMovimientos[[#This Row],[Tipo]]="","",IFERROR(INDEX(tblTiposMov[FactorStock],MATCH(tblMovimientos[[#This Row],[Tipo]],tblTiposMov[Tipo],0)),0))</f>
        <v/>
      </c>
      <c r="K48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2" s="37"/>
      <c r="O4812" s="37"/>
      <c r="P4812" s="37"/>
    </row>
    <row r="4813" spans="2:16" x14ac:dyDescent="0.25">
      <c r="B48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3" s="46"/>
      <c r="D4813" s="37"/>
      <c r="E4813" s="37"/>
      <c r="F4813" s="37"/>
      <c r="G4813" s="40" t="str">
        <f>IF(tblMovimientos[[#This Row],[Producto]]="","",TRIM(LEFT(tblMovimientos[[#This Row],[Producto]],FIND(" · ",tblMovimientos[[#This Row],[Producto]]&amp;" · ")-1)))</f>
        <v/>
      </c>
      <c r="H4813" s="40" t="str">
        <f>IF(tblMovimientos[[#This Row],[SKU]]="","",IFERROR(INDEX(tblProductos[Unidad],MATCH(tblMovimientos[[#This Row],[SKU]],tblProductos[SKU],0)),"?"))</f>
        <v/>
      </c>
      <c r="I4813" s="39"/>
      <c r="J4813" s="47" t="str">
        <f>IF(tblMovimientos[[#This Row],[Tipo]]="","",IFERROR(INDEX(tblTiposMov[FactorStock],MATCH(tblMovimientos[[#This Row],[Tipo]],tblTiposMov[Tipo],0)),0))</f>
        <v/>
      </c>
      <c r="K48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3" s="37"/>
      <c r="O4813" s="37"/>
      <c r="P4813" s="37"/>
    </row>
    <row r="4814" spans="2:16" x14ac:dyDescent="0.25">
      <c r="B48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4" s="46"/>
      <c r="D4814" s="37"/>
      <c r="E4814" s="37"/>
      <c r="F4814" s="37"/>
      <c r="G4814" s="40" t="str">
        <f>IF(tblMovimientos[[#This Row],[Producto]]="","",TRIM(LEFT(tblMovimientos[[#This Row],[Producto]],FIND(" · ",tblMovimientos[[#This Row],[Producto]]&amp;" · ")-1)))</f>
        <v/>
      </c>
      <c r="H4814" s="40" t="str">
        <f>IF(tblMovimientos[[#This Row],[SKU]]="","",IFERROR(INDEX(tblProductos[Unidad],MATCH(tblMovimientos[[#This Row],[SKU]],tblProductos[SKU],0)),"?"))</f>
        <v/>
      </c>
      <c r="I4814" s="39"/>
      <c r="J4814" s="47" t="str">
        <f>IF(tblMovimientos[[#This Row],[Tipo]]="","",IFERROR(INDEX(tblTiposMov[FactorStock],MATCH(tblMovimientos[[#This Row],[Tipo]],tblTiposMov[Tipo],0)),0))</f>
        <v/>
      </c>
      <c r="K48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4" s="37"/>
      <c r="O4814" s="37"/>
      <c r="P4814" s="37"/>
    </row>
    <row r="4815" spans="2:16" x14ac:dyDescent="0.25">
      <c r="B48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5" s="46"/>
      <c r="D4815" s="37"/>
      <c r="E4815" s="37"/>
      <c r="F4815" s="37"/>
      <c r="G4815" s="40" t="str">
        <f>IF(tblMovimientos[[#This Row],[Producto]]="","",TRIM(LEFT(tblMovimientos[[#This Row],[Producto]],FIND(" · ",tblMovimientos[[#This Row],[Producto]]&amp;" · ")-1)))</f>
        <v/>
      </c>
      <c r="H4815" s="40" t="str">
        <f>IF(tblMovimientos[[#This Row],[SKU]]="","",IFERROR(INDEX(tblProductos[Unidad],MATCH(tblMovimientos[[#This Row],[SKU]],tblProductos[SKU],0)),"?"))</f>
        <v/>
      </c>
      <c r="I4815" s="39"/>
      <c r="J4815" s="47" t="str">
        <f>IF(tblMovimientos[[#This Row],[Tipo]]="","",IFERROR(INDEX(tblTiposMov[FactorStock],MATCH(tblMovimientos[[#This Row],[Tipo]],tblTiposMov[Tipo],0)),0))</f>
        <v/>
      </c>
      <c r="K48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5" s="37"/>
      <c r="O4815" s="37"/>
      <c r="P4815" s="37"/>
    </row>
    <row r="4816" spans="2:16" x14ac:dyDescent="0.25">
      <c r="B48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6" s="46"/>
      <c r="D4816" s="37"/>
      <c r="E4816" s="37"/>
      <c r="F4816" s="37"/>
      <c r="G4816" s="40" t="str">
        <f>IF(tblMovimientos[[#This Row],[Producto]]="","",TRIM(LEFT(tblMovimientos[[#This Row],[Producto]],FIND(" · ",tblMovimientos[[#This Row],[Producto]]&amp;" · ")-1)))</f>
        <v/>
      </c>
      <c r="H4816" s="40" t="str">
        <f>IF(tblMovimientos[[#This Row],[SKU]]="","",IFERROR(INDEX(tblProductos[Unidad],MATCH(tblMovimientos[[#This Row],[SKU]],tblProductos[SKU],0)),"?"))</f>
        <v/>
      </c>
      <c r="I4816" s="39"/>
      <c r="J4816" s="47" t="str">
        <f>IF(tblMovimientos[[#This Row],[Tipo]]="","",IFERROR(INDEX(tblTiposMov[FactorStock],MATCH(tblMovimientos[[#This Row],[Tipo]],tblTiposMov[Tipo],0)),0))</f>
        <v/>
      </c>
      <c r="K48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6" s="37"/>
      <c r="O4816" s="37"/>
      <c r="P4816" s="37"/>
    </row>
    <row r="4817" spans="2:16" x14ac:dyDescent="0.25">
      <c r="B48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7" s="46"/>
      <c r="D4817" s="37"/>
      <c r="E4817" s="37"/>
      <c r="F4817" s="37"/>
      <c r="G4817" s="40" t="str">
        <f>IF(tblMovimientos[[#This Row],[Producto]]="","",TRIM(LEFT(tblMovimientos[[#This Row],[Producto]],FIND(" · ",tblMovimientos[[#This Row],[Producto]]&amp;" · ")-1)))</f>
        <v/>
      </c>
      <c r="H4817" s="40" t="str">
        <f>IF(tblMovimientos[[#This Row],[SKU]]="","",IFERROR(INDEX(tblProductos[Unidad],MATCH(tblMovimientos[[#This Row],[SKU]],tblProductos[SKU],0)),"?"))</f>
        <v/>
      </c>
      <c r="I4817" s="39"/>
      <c r="J4817" s="47" t="str">
        <f>IF(tblMovimientos[[#This Row],[Tipo]]="","",IFERROR(INDEX(tblTiposMov[FactorStock],MATCH(tblMovimientos[[#This Row],[Tipo]],tblTiposMov[Tipo],0)),0))</f>
        <v/>
      </c>
      <c r="K48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7" s="37"/>
      <c r="O4817" s="37"/>
      <c r="P4817" s="37"/>
    </row>
    <row r="4818" spans="2:16" x14ac:dyDescent="0.25">
      <c r="B48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8" s="46"/>
      <c r="D4818" s="37"/>
      <c r="E4818" s="37"/>
      <c r="F4818" s="37"/>
      <c r="G4818" s="40" t="str">
        <f>IF(tblMovimientos[[#This Row],[Producto]]="","",TRIM(LEFT(tblMovimientos[[#This Row],[Producto]],FIND(" · ",tblMovimientos[[#This Row],[Producto]]&amp;" · ")-1)))</f>
        <v/>
      </c>
      <c r="H4818" s="40" t="str">
        <f>IF(tblMovimientos[[#This Row],[SKU]]="","",IFERROR(INDEX(tblProductos[Unidad],MATCH(tblMovimientos[[#This Row],[SKU]],tblProductos[SKU],0)),"?"))</f>
        <v/>
      </c>
      <c r="I4818" s="39"/>
      <c r="J4818" s="47" t="str">
        <f>IF(tblMovimientos[[#This Row],[Tipo]]="","",IFERROR(INDEX(tblTiposMov[FactorStock],MATCH(tblMovimientos[[#This Row],[Tipo]],tblTiposMov[Tipo],0)),0))</f>
        <v/>
      </c>
      <c r="K48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8" s="37"/>
      <c r="O4818" s="37"/>
      <c r="P4818" s="37"/>
    </row>
    <row r="4819" spans="2:16" x14ac:dyDescent="0.25">
      <c r="B48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19" s="46"/>
      <c r="D4819" s="37"/>
      <c r="E4819" s="37"/>
      <c r="F4819" s="37"/>
      <c r="G4819" s="40" t="str">
        <f>IF(tblMovimientos[[#This Row],[Producto]]="","",TRIM(LEFT(tblMovimientos[[#This Row],[Producto]],FIND(" · ",tblMovimientos[[#This Row],[Producto]]&amp;" · ")-1)))</f>
        <v/>
      </c>
      <c r="H4819" s="40" t="str">
        <f>IF(tblMovimientos[[#This Row],[SKU]]="","",IFERROR(INDEX(tblProductos[Unidad],MATCH(tblMovimientos[[#This Row],[SKU]],tblProductos[SKU],0)),"?"))</f>
        <v/>
      </c>
      <c r="I4819" s="39"/>
      <c r="J4819" s="47" t="str">
        <f>IF(tblMovimientos[[#This Row],[Tipo]]="","",IFERROR(INDEX(tblTiposMov[FactorStock],MATCH(tblMovimientos[[#This Row],[Tipo]],tblTiposMov[Tipo],0)),0))</f>
        <v/>
      </c>
      <c r="K48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19" s="37"/>
      <c r="O4819" s="37"/>
      <c r="P4819" s="37"/>
    </row>
    <row r="4820" spans="2:16" x14ac:dyDescent="0.25">
      <c r="B48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0" s="46"/>
      <c r="D4820" s="37"/>
      <c r="E4820" s="37"/>
      <c r="F4820" s="37"/>
      <c r="G4820" s="40" t="str">
        <f>IF(tblMovimientos[[#This Row],[Producto]]="","",TRIM(LEFT(tblMovimientos[[#This Row],[Producto]],FIND(" · ",tblMovimientos[[#This Row],[Producto]]&amp;" · ")-1)))</f>
        <v/>
      </c>
      <c r="H4820" s="40" t="str">
        <f>IF(tblMovimientos[[#This Row],[SKU]]="","",IFERROR(INDEX(tblProductos[Unidad],MATCH(tblMovimientos[[#This Row],[SKU]],tblProductos[SKU],0)),"?"))</f>
        <v/>
      </c>
      <c r="I4820" s="39"/>
      <c r="J4820" s="47" t="str">
        <f>IF(tblMovimientos[[#This Row],[Tipo]]="","",IFERROR(INDEX(tblTiposMov[FactorStock],MATCH(tblMovimientos[[#This Row],[Tipo]],tblTiposMov[Tipo],0)),0))</f>
        <v/>
      </c>
      <c r="K48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0" s="37"/>
      <c r="O4820" s="37"/>
      <c r="P4820" s="37"/>
    </row>
    <row r="4821" spans="2:16" x14ac:dyDescent="0.25">
      <c r="B48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1" s="46"/>
      <c r="D4821" s="37"/>
      <c r="E4821" s="37"/>
      <c r="F4821" s="37"/>
      <c r="G4821" s="40" t="str">
        <f>IF(tblMovimientos[[#This Row],[Producto]]="","",TRIM(LEFT(tblMovimientos[[#This Row],[Producto]],FIND(" · ",tblMovimientos[[#This Row],[Producto]]&amp;" · ")-1)))</f>
        <v/>
      </c>
      <c r="H4821" s="40" t="str">
        <f>IF(tblMovimientos[[#This Row],[SKU]]="","",IFERROR(INDEX(tblProductos[Unidad],MATCH(tblMovimientos[[#This Row],[SKU]],tblProductos[SKU],0)),"?"))</f>
        <v/>
      </c>
      <c r="I4821" s="39"/>
      <c r="J4821" s="47" t="str">
        <f>IF(tblMovimientos[[#This Row],[Tipo]]="","",IFERROR(INDEX(tblTiposMov[FactorStock],MATCH(tblMovimientos[[#This Row],[Tipo]],tblTiposMov[Tipo],0)),0))</f>
        <v/>
      </c>
      <c r="K48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1" s="37"/>
      <c r="O4821" s="37"/>
      <c r="P4821" s="37"/>
    </row>
    <row r="4822" spans="2:16" x14ac:dyDescent="0.25">
      <c r="B48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2" s="46"/>
      <c r="D4822" s="37"/>
      <c r="E4822" s="37"/>
      <c r="F4822" s="37"/>
      <c r="G4822" s="40" t="str">
        <f>IF(tblMovimientos[[#This Row],[Producto]]="","",TRIM(LEFT(tblMovimientos[[#This Row],[Producto]],FIND(" · ",tblMovimientos[[#This Row],[Producto]]&amp;" · ")-1)))</f>
        <v/>
      </c>
      <c r="H4822" s="40" t="str">
        <f>IF(tblMovimientos[[#This Row],[SKU]]="","",IFERROR(INDEX(tblProductos[Unidad],MATCH(tblMovimientos[[#This Row],[SKU]],tblProductos[SKU],0)),"?"))</f>
        <v/>
      </c>
      <c r="I4822" s="39"/>
      <c r="J4822" s="47" t="str">
        <f>IF(tblMovimientos[[#This Row],[Tipo]]="","",IFERROR(INDEX(tblTiposMov[FactorStock],MATCH(tblMovimientos[[#This Row],[Tipo]],tblTiposMov[Tipo],0)),0))</f>
        <v/>
      </c>
      <c r="K48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2" s="37"/>
      <c r="O4822" s="37"/>
      <c r="P4822" s="37"/>
    </row>
    <row r="4823" spans="2:16" x14ac:dyDescent="0.25">
      <c r="B48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3" s="46"/>
      <c r="D4823" s="37"/>
      <c r="E4823" s="37"/>
      <c r="F4823" s="37"/>
      <c r="G4823" s="40" t="str">
        <f>IF(tblMovimientos[[#This Row],[Producto]]="","",TRIM(LEFT(tblMovimientos[[#This Row],[Producto]],FIND(" · ",tblMovimientos[[#This Row],[Producto]]&amp;" · ")-1)))</f>
        <v/>
      </c>
      <c r="H4823" s="40" t="str">
        <f>IF(tblMovimientos[[#This Row],[SKU]]="","",IFERROR(INDEX(tblProductos[Unidad],MATCH(tblMovimientos[[#This Row],[SKU]],tblProductos[SKU],0)),"?"))</f>
        <v/>
      </c>
      <c r="I4823" s="39"/>
      <c r="J4823" s="47" t="str">
        <f>IF(tblMovimientos[[#This Row],[Tipo]]="","",IFERROR(INDEX(tblTiposMov[FactorStock],MATCH(tblMovimientos[[#This Row],[Tipo]],tblTiposMov[Tipo],0)),0))</f>
        <v/>
      </c>
      <c r="K48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3" s="37"/>
      <c r="O4823" s="37"/>
      <c r="P4823" s="37"/>
    </row>
    <row r="4824" spans="2:16" x14ac:dyDescent="0.25">
      <c r="B48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4" s="46"/>
      <c r="D4824" s="37"/>
      <c r="E4824" s="37"/>
      <c r="F4824" s="37"/>
      <c r="G4824" s="40" t="str">
        <f>IF(tblMovimientos[[#This Row],[Producto]]="","",TRIM(LEFT(tblMovimientos[[#This Row],[Producto]],FIND(" · ",tblMovimientos[[#This Row],[Producto]]&amp;" · ")-1)))</f>
        <v/>
      </c>
      <c r="H4824" s="40" t="str">
        <f>IF(tblMovimientos[[#This Row],[SKU]]="","",IFERROR(INDEX(tblProductos[Unidad],MATCH(tblMovimientos[[#This Row],[SKU]],tblProductos[SKU],0)),"?"))</f>
        <v/>
      </c>
      <c r="I4824" s="39"/>
      <c r="J4824" s="47" t="str">
        <f>IF(tblMovimientos[[#This Row],[Tipo]]="","",IFERROR(INDEX(tblTiposMov[FactorStock],MATCH(tblMovimientos[[#This Row],[Tipo]],tblTiposMov[Tipo],0)),0))</f>
        <v/>
      </c>
      <c r="K48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4" s="37"/>
      <c r="O4824" s="37"/>
      <c r="P4824" s="37"/>
    </row>
    <row r="4825" spans="2:16" x14ac:dyDescent="0.25">
      <c r="B48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5" s="46"/>
      <c r="D4825" s="37"/>
      <c r="E4825" s="37"/>
      <c r="F4825" s="37"/>
      <c r="G4825" s="40" t="str">
        <f>IF(tblMovimientos[[#This Row],[Producto]]="","",TRIM(LEFT(tblMovimientos[[#This Row],[Producto]],FIND(" · ",tblMovimientos[[#This Row],[Producto]]&amp;" · ")-1)))</f>
        <v/>
      </c>
      <c r="H4825" s="40" t="str">
        <f>IF(tblMovimientos[[#This Row],[SKU]]="","",IFERROR(INDEX(tblProductos[Unidad],MATCH(tblMovimientos[[#This Row],[SKU]],tblProductos[SKU],0)),"?"))</f>
        <v/>
      </c>
      <c r="I4825" s="39"/>
      <c r="J4825" s="47" t="str">
        <f>IF(tblMovimientos[[#This Row],[Tipo]]="","",IFERROR(INDEX(tblTiposMov[FactorStock],MATCH(tblMovimientos[[#This Row],[Tipo]],tblTiposMov[Tipo],0)),0))</f>
        <v/>
      </c>
      <c r="K48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5" s="37"/>
      <c r="O4825" s="37"/>
      <c r="P4825" s="37"/>
    </row>
    <row r="4826" spans="2:16" x14ac:dyDescent="0.25">
      <c r="B48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6" s="46"/>
      <c r="D4826" s="37"/>
      <c r="E4826" s="37"/>
      <c r="F4826" s="37"/>
      <c r="G4826" s="40" t="str">
        <f>IF(tblMovimientos[[#This Row],[Producto]]="","",TRIM(LEFT(tblMovimientos[[#This Row],[Producto]],FIND(" · ",tblMovimientos[[#This Row],[Producto]]&amp;" · ")-1)))</f>
        <v/>
      </c>
      <c r="H4826" s="40" t="str">
        <f>IF(tblMovimientos[[#This Row],[SKU]]="","",IFERROR(INDEX(tblProductos[Unidad],MATCH(tblMovimientos[[#This Row],[SKU]],tblProductos[SKU],0)),"?"))</f>
        <v/>
      </c>
      <c r="I4826" s="39"/>
      <c r="J4826" s="47" t="str">
        <f>IF(tblMovimientos[[#This Row],[Tipo]]="","",IFERROR(INDEX(tblTiposMov[FactorStock],MATCH(tblMovimientos[[#This Row],[Tipo]],tblTiposMov[Tipo],0)),0))</f>
        <v/>
      </c>
      <c r="K48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6" s="37"/>
      <c r="O4826" s="37"/>
      <c r="P4826" s="37"/>
    </row>
    <row r="4827" spans="2:16" x14ac:dyDescent="0.25">
      <c r="B48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7" s="46"/>
      <c r="D4827" s="37"/>
      <c r="E4827" s="37"/>
      <c r="F4827" s="37"/>
      <c r="G4827" s="40" t="str">
        <f>IF(tblMovimientos[[#This Row],[Producto]]="","",TRIM(LEFT(tblMovimientos[[#This Row],[Producto]],FIND(" · ",tblMovimientos[[#This Row],[Producto]]&amp;" · ")-1)))</f>
        <v/>
      </c>
      <c r="H4827" s="40" t="str">
        <f>IF(tblMovimientos[[#This Row],[SKU]]="","",IFERROR(INDEX(tblProductos[Unidad],MATCH(tblMovimientos[[#This Row],[SKU]],tblProductos[SKU],0)),"?"))</f>
        <v/>
      </c>
      <c r="I4827" s="39"/>
      <c r="J4827" s="47" t="str">
        <f>IF(tblMovimientos[[#This Row],[Tipo]]="","",IFERROR(INDEX(tblTiposMov[FactorStock],MATCH(tblMovimientos[[#This Row],[Tipo]],tblTiposMov[Tipo],0)),0))</f>
        <v/>
      </c>
      <c r="K48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7" s="37"/>
      <c r="O4827" s="37"/>
      <c r="P4827" s="37"/>
    </row>
    <row r="4828" spans="2:16" x14ac:dyDescent="0.25">
      <c r="B48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8" s="46"/>
      <c r="D4828" s="37"/>
      <c r="E4828" s="37"/>
      <c r="F4828" s="37"/>
      <c r="G4828" s="40" t="str">
        <f>IF(tblMovimientos[[#This Row],[Producto]]="","",TRIM(LEFT(tblMovimientos[[#This Row],[Producto]],FIND(" · ",tblMovimientos[[#This Row],[Producto]]&amp;" · ")-1)))</f>
        <v/>
      </c>
      <c r="H4828" s="40" t="str">
        <f>IF(tblMovimientos[[#This Row],[SKU]]="","",IFERROR(INDEX(tblProductos[Unidad],MATCH(tblMovimientos[[#This Row],[SKU]],tblProductos[SKU],0)),"?"))</f>
        <v/>
      </c>
      <c r="I4828" s="39"/>
      <c r="J4828" s="47" t="str">
        <f>IF(tblMovimientos[[#This Row],[Tipo]]="","",IFERROR(INDEX(tblTiposMov[FactorStock],MATCH(tblMovimientos[[#This Row],[Tipo]],tblTiposMov[Tipo],0)),0))</f>
        <v/>
      </c>
      <c r="K48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8" s="37"/>
      <c r="O4828" s="37"/>
      <c r="P4828" s="37"/>
    </row>
    <row r="4829" spans="2:16" x14ac:dyDescent="0.25">
      <c r="B48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29" s="46"/>
      <c r="D4829" s="37"/>
      <c r="E4829" s="37"/>
      <c r="F4829" s="37"/>
      <c r="G4829" s="40" t="str">
        <f>IF(tblMovimientos[[#This Row],[Producto]]="","",TRIM(LEFT(tblMovimientos[[#This Row],[Producto]],FIND(" · ",tblMovimientos[[#This Row],[Producto]]&amp;" · ")-1)))</f>
        <v/>
      </c>
      <c r="H4829" s="40" t="str">
        <f>IF(tblMovimientos[[#This Row],[SKU]]="","",IFERROR(INDEX(tblProductos[Unidad],MATCH(tblMovimientos[[#This Row],[SKU]],tblProductos[SKU],0)),"?"))</f>
        <v/>
      </c>
      <c r="I4829" s="39"/>
      <c r="J4829" s="47" t="str">
        <f>IF(tblMovimientos[[#This Row],[Tipo]]="","",IFERROR(INDEX(tblTiposMov[FactorStock],MATCH(tblMovimientos[[#This Row],[Tipo]],tblTiposMov[Tipo],0)),0))</f>
        <v/>
      </c>
      <c r="K48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29" s="37"/>
      <c r="O4829" s="37"/>
      <c r="P4829" s="37"/>
    </row>
    <row r="4830" spans="2:16" x14ac:dyDescent="0.25">
      <c r="B48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0" s="46"/>
      <c r="D4830" s="37"/>
      <c r="E4830" s="37"/>
      <c r="F4830" s="37"/>
      <c r="G4830" s="40" t="str">
        <f>IF(tblMovimientos[[#This Row],[Producto]]="","",TRIM(LEFT(tblMovimientos[[#This Row],[Producto]],FIND(" · ",tblMovimientos[[#This Row],[Producto]]&amp;" · ")-1)))</f>
        <v/>
      </c>
      <c r="H4830" s="40" t="str">
        <f>IF(tblMovimientos[[#This Row],[SKU]]="","",IFERROR(INDEX(tblProductos[Unidad],MATCH(tblMovimientos[[#This Row],[SKU]],tblProductos[SKU],0)),"?"))</f>
        <v/>
      </c>
      <c r="I4830" s="39"/>
      <c r="J4830" s="47" t="str">
        <f>IF(tblMovimientos[[#This Row],[Tipo]]="","",IFERROR(INDEX(tblTiposMov[FactorStock],MATCH(tblMovimientos[[#This Row],[Tipo]],tblTiposMov[Tipo],0)),0))</f>
        <v/>
      </c>
      <c r="K48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0" s="37"/>
      <c r="O4830" s="37"/>
      <c r="P4830" s="37"/>
    </row>
    <row r="4831" spans="2:16" x14ac:dyDescent="0.25">
      <c r="B48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1" s="46"/>
      <c r="D4831" s="37"/>
      <c r="E4831" s="37"/>
      <c r="F4831" s="37"/>
      <c r="G4831" s="40" t="str">
        <f>IF(tblMovimientos[[#This Row],[Producto]]="","",TRIM(LEFT(tblMovimientos[[#This Row],[Producto]],FIND(" · ",tblMovimientos[[#This Row],[Producto]]&amp;" · ")-1)))</f>
        <v/>
      </c>
      <c r="H4831" s="40" t="str">
        <f>IF(tblMovimientos[[#This Row],[SKU]]="","",IFERROR(INDEX(tblProductos[Unidad],MATCH(tblMovimientos[[#This Row],[SKU]],tblProductos[SKU],0)),"?"))</f>
        <v/>
      </c>
      <c r="I4831" s="39"/>
      <c r="J4831" s="47" t="str">
        <f>IF(tblMovimientos[[#This Row],[Tipo]]="","",IFERROR(INDEX(tblTiposMov[FactorStock],MATCH(tblMovimientos[[#This Row],[Tipo]],tblTiposMov[Tipo],0)),0))</f>
        <v/>
      </c>
      <c r="K48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1" s="37"/>
      <c r="O4831" s="37"/>
      <c r="P4831" s="37"/>
    </row>
    <row r="4832" spans="2:16" x14ac:dyDescent="0.25">
      <c r="B48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2" s="46"/>
      <c r="D4832" s="37"/>
      <c r="E4832" s="37"/>
      <c r="F4832" s="37"/>
      <c r="G4832" s="40" t="str">
        <f>IF(tblMovimientos[[#This Row],[Producto]]="","",TRIM(LEFT(tblMovimientos[[#This Row],[Producto]],FIND(" · ",tblMovimientos[[#This Row],[Producto]]&amp;" · ")-1)))</f>
        <v/>
      </c>
      <c r="H4832" s="40" t="str">
        <f>IF(tblMovimientos[[#This Row],[SKU]]="","",IFERROR(INDEX(tblProductos[Unidad],MATCH(tblMovimientos[[#This Row],[SKU]],tblProductos[SKU],0)),"?"))</f>
        <v/>
      </c>
      <c r="I4832" s="39"/>
      <c r="J4832" s="47" t="str">
        <f>IF(tblMovimientos[[#This Row],[Tipo]]="","",IFERROR(INDEX(tblTiposMov[FactorStock],MATCH(tblMovimientos[[#This Row],[Tipo]],tblTiposMov[Tipo],0)),0))</f>
        <v/>
      </c>
      <c r="K48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2" s="37"/>
      <c r="O4832" s="37"/>
      <c r="P4832" s="37"/>
    </row>
    <row r="4833" spans="2:16" x14ac:dyDescent="0.25">
      <c r="B48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3" s="46"/>
      <c r="D4833" s="37"/>
      <c r="E4833" s="37"/>
      <c r="F4833" s="37"/>
      <c r="G4833" s="40" t="str">
        <f>IF(tblMovimientos[[#This Row],[Producto]]="","",TRIM(LEFT(tblMovimientos[[#This Row],[Producto]],FIND(" · ",tblMovimientos[[#This Row],[Producto]]&amp;" · ")-1)))</f>
        <v/>
      </c>
      <c r="H4833" s="40" t="str">
        <f>IF(tblMovimientos[[#This Row],[SKU]]="","",IFERROR(INDEX(tblProductos[Unidad],MATCH(tblMovimientos[[#This Row],[SKU]],tblProductos[SKU],0)),"?"))</f>
        <v/>
      </c>
      <c r="I4833" s="39"/>
      <c r="J4833" s="47" t="str">
        <f>IF(tblMovimientos[[#This Row],[Tipo]]="","",IFERROR(INDEX(tblTiposMov[FactorStock],MATCH(tblMovimientos[[#This Row],[Tipo]],tblTiposMov[Tipo],0)),0))</f>
        <v/>
      </c>
      <c r="K48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3" s="37"/>
      <c r="O4833" s="37"/>
      <c r="P4833" s="37"/>
    </row>
    <row r="4834" spans="2:16" x14ac:dyDescent="0.25">
      <c r="B48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4" s="46"/>
      <c r="D4834" s="37"/>
      <c r="E4834" s="37"/>
      <c r="F4834" s="37"/>
      <c r="G4834" s="40" t="str">
        <f>IF(tblMovimientos[[#This Row],[Producto]]="","",TRIM(LEFT(tblMovimientos[[#This Row],[Producto]],FIND(" · ",tblMovimientos[[#This Row],[Producto]]&amp;" · ")-1)))</f>
        <v/>
      </c>
      <c r="H4834" s="40" t="str">
        <f>IF(tblMovimientos[[#This Row],[SKU]]="","",IFERROR(INDEX(tblProductos[Unidad],MATCH(tblMovimientos[[#This Row],[SKU]],tblProductos[SKU],0)),"?"))</f>
        <v/>
      </c>
      <c r="I4834" s="39"/>
      <c r="J4834" s="47" t="str">
        <f>IF(tblMovimientos[[#This Row],[Tipo]]="","",IFERROR(INDEX(tblTiposMov[FactorStock],MATCH(tblMovimientos[[#This Row],[Tipo]],tblTiposMov[Tipo],0)),0))</f>
        <v/>
      </c>
      <c r="K48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4" s="37"/>
      <c r="O4834" s="37"/>
      <c r="P4834" s="37"/>
    </row>
    <row r="4835" spans="2:16" x14ac:dyDescent="0.25">
      <c r="B48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5" s="46"/>
      <c r="D4835" s="37"/>
      <c r="E4835" s="37"/>
      <c r="F4835" s="37"/>
      <c r="G4835" s="40" t="str">
        <f>IF(tblMovimientos[[#This Row],[Producto]]="","",TRIM(LEFT(tblMovimientos[[#This Row],[Producto]],FIND(" · ",tblMovimientos[[#This Row],[Producto]]&amp;" · ")-1)))</f>
        <v/>
      </c>
      <c r="H4835" s="40" t="str">
        <f>IF(tblMovimientos[[#This Row],[SKU]]="","",IFERROR(INDEX(tblProductos[Unidad],MATCH(tblMovimientos[[#This Row],[SKU]],tblProductos[SKU],0)),"?"))</f>
        <v/>
      </c>
      <c r="I4835" s="39"/>
      <c r="J4835" s="47" t="str">
        <f>IF(tblMovimientos[[#This Row],[Tipo]]="","",IFERROR(INDEX(tblTiposMov[FactorStock],MATCH(tblMovimientos[[#This Row],[Tipo]],tblTiposMov[Tipo],0)),0))</f>
        <v/>
      </c>
      <c r="K48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5" s="37"/>
      <c r="O4835" s="37"/>
      <c r="P4835" s="37"/>
    </row>
    <row r="4836" spans="2:16" x14ac:dyDescent="0.25">
      <c r="B48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6" s="46"/>
      <c r="D4836" s="37"/>
      <c r="E4836" s="37"/>
      <c r="F4836" s="37"/>
      <c r="G4836" s="40" t="str">
        <f>IF(tblMovimientos[[#This Row],[Producto]]="","",TRIM(LEFT(tblMovimientos[[#This Row],[Producto]],FIND(" · ",tblMovimientos[[#This Row],[Producto]]&amp;" · ")-1)))</f>
        <v/>
      </c>
      <c r="H4836" s="40" t="str">
        <f>IF(tblMovimientos[[#This Row],[SKU]]="","",IFERROR(INDEX(tblProductos[Unidad],MATCH(tblMovimientos[[#This Row],[SKU]],tblProductos[SKU],0)),"?"))</f>
        <v/>
      </c>
      <c r="I4836" s="39"/>
      <c r="J4836" s="47" t="str">
        <f>IF(tblMovimientos[[#This Row],[Tipo]]="","",IFERROR(INDEX(tblTiposMov[FactorStock],MATCH(tblMovimientos[[#This Row],[Tipo]],tblTiposMov[Tipo],0)),0))</f>
        <v/>
      </c>
      <c r="K48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6" s="37"/>
      <c r="O4836" s="37"/>
      <c r="P4836" s="37"/>
    </row>
    <row r="4837" spans="2:16" x14ac:dyDescent="0.25">
      <c r="B48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7" s="46"/>
      <c r="D4837" s="37"/>
      <c r="E4837" s="37"/>
      <c r="F4837" s="37"/>
      <c r="G4837" s="40" t="str">
        <f>IF(tblMovimientos[[#This Row],[Producto]]="","",TRIM(LEFT(tblMovimientos[[#This Row],[Producto]],FIND(" · ",tblMovimientos[[#This Row],[Producto]]&amp;" · ")-1)))</f>
        <v/>
      </c>
      <c r="H4837" s="40" t="str">
        <f>IF(tblMovimientos[[#This Row],[SKU]]="","",IFERROR(INDEX(tblProductos[Unidad],MATCH(tblMovimientos[[#This Row],[SKU]],tblProductos[SKU],0)),"?"))</f>
        <v/>
      </c>
      <c r="I4837" s="39"/>
      <c r="J4837" s="47" t="str">
        <f>IF(tblMovimientos[[#This Row],[Tipo]]="","",IFERROR(INDEX(tblTiposMov[FactorStock],MATCH(tblMovimientos[[#This Row],[Tipo]],tblTiposMov[Tipo],0)),0))</f>
        <v/>
      </c>
      <c r="K48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7" s="37"/>
      <c r="O4837" s="37"/>
      <c r="P4837" s="37"/>
    </row>
    <row r="4838" spans="2:16" x14ac:dyDescent="0.25">
      <c r="B48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8" s="46"/>
      <c r="D4838" s="37"/>
      <c r="E4838" s="37"/>
      <c r="F4838" s="37"/>
      <c r="G4838" s="40" t="str">
        <f>IF(tblMovimientos[[#This Row],[Producto]]="","",TRIM(LEFT(tblMovimientos[[#This Row],[Producto]],FIND(" · ",tblMovimientos[[#This Row],[Producto]]&amp;" · ")-1)))</f>
        <v/>
      </c>
      <c r="H4838" s="40" t="str">
        <f>IF(tblMovimientos[[#This Row],[SKU]]="","",IFERROR(INDEX(tblProductos[Unidad],MATCH(tblMovimientos[[#This Row],[SKU]],tblProductos[SKU],0)),"?"))</f>
        <v/>
      </c>
      <c r="I4838" s="39"/>
      <c r="J4838" s="47" t="str">
        <f>IF(tblMovimientos[[#This Row],[Tipo]]="","",IFERROR(INDEX(tblTiposMov[FactorStock],MATCH(tblMovimientos[[#This Row],[Tipo]],tblTiposMov[Tipo],0)),0))</f>
        <v/>
      </c>
      <c r="K48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8" s="37"/>
      <c r="O4838" s="37"/>
      <c r="P4838" s="37"/>
    </row>
    <row r="4839" spans="2:16" x14ac:dyDescent="0.25">
      <c r="B48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39" s="46"/>
      <c r="D4839" s="37"/>
      <c r="E4839" s="37"/>
      <c r="F4839" s="37"/>
      <c r="G4839" s="40" t="str">
        <f>IF(tblMovimientos[[#This Row],[Producto]]="","",TRIM(LEFT(tblMovimientos[[#This Row],[Producto]],FIND(" · ",tblMovimientos[[#This Row],[Producto]]&amp;" · ")-1)))</f>
        <v/>
      </c>
      <c r="H4839" s="40" t="str">
        <f>IF(tblMovimientos[[#This Row],[SKU]]="","",IFERROR(INDEX(tblProductos[Unidad],MATCH(tblMovimientos[[#This Row],[SKU]],tblProductos[SKU],0)),"?"))</f>
        <v/>
      </c>
      <c r="I4839" s="39"/>
      <c r="J4839" s="47" t="str">
        <f>IF(tblMovimientos[[#This Row],[Tipo]]="","",IFERROR(INDEX(tblTiposMov[FactorStock],MATCH(tblMovimientos[[#This Row],[Tipo]],tblTiposMov[Tipo],0)),0))</f>
        <v/>
      </c>
      <c r="K48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39" s="37"/>
      <c r="O4839" s="37"/>
      <c r="P4839" s="37"/>
    </row>
    <row r="4840" spans="2:16" x14ac:dyDescent="0.25">
      <c r="B48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0" s="46"/>
      <c r="D4840" s="37"/>
      <c r="E4840" s="37"/>
      <c r="F4840" s="37"/>
      <c r="G4840" s="40" t="str">
        <f>IF(tblMovimientos[[#This Row],[Producto]]="","",TRIM(LEFT(tblMovimientos[[#This Row],[Producto]],FIND(" · ",tblMovimientos[[#This Row],[Producto]]&amp;" · ")-1)))</f>
        <v/>
      </c>
      <c r="H4840" s="40" t="str">
        <f>IF(tblMovimientos[[#This Row],[SKU]]="","",IFERROR(INDEX(tblProductos[Unidad],MATCH(tblMovimientos[[#This Row],[SKU]],tblProductos[SKU],0)),"?"))</f>
        <v/>
      </c>
      <c r="I4840" s="39"/>
      <c r="J4840" s="47" t="str">
        <f>IF(tblMovimientos[[#This Row],[Tipo]]="","",IFERROR(INDEX(tblTiposMov[FactorStock],MATCH(tblMovimientos[[#This Row],[Tipo]],tblTiposMov[Tipo],0)),0))</f>
        <v/>
      </c>
      <c r="K48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0" s="37"/>
      <c r="O4840" s="37"/>
      <c r="P4840" s="37"/>
    </row>
    <row r="4841" spans="2:16" x14ac:dyDescent="0.25">
      <c r="B48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1" s="46"/>
      <c r="D4841" s="37"/>
      <c r="E4841" s="37"/>
      <c r="F4841" s="37"/>
      <c r="G4841" s="40" t="str">
        <f>IF(tblMovimientos[[#This Row],[Producto]]="","",TRIM(LEFT(tblMovimientos[[#This Row],[Producto]],FIND(" · ",tblMovimientos[[#This Row],[Producto]]&amp;" · ")-1)))</f>
        <v/>
      </c>
      <c r="H4841" s="40" t="str">
        <f>IF(tblMovimientos[[#This Row],[SKU]]="","",IFERROR(INDEX(tblProductos[Unidad],MATCH(tblMovimientos[[#This Row],[SKU]],tblProductos[SKU],0)),"?"))</f>
        <v/>
      </c>
      <c r="I4841" s="39"/>
      <c r="J4841" s="47" t="str">
        <f>IF(tblMovimientos[[#This Row],[Tipo]]="","",IFERROR(INDEX(tblTiposMov[FactorStock],MATCH(tblMovimientos[[#This Row],[Tipo]],tblTiposMov[Tipo],0)),0))</f>
        <v/>
      </c>
      <c r="K48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1" s="37"/>
      <c r="O4841" s="37"/>
      <c r="P4841" s="37"/>
    </row>
    <row r="4842" spans="2:16" x14ac:dyDescent="0.25">
      <c r="B48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2" s="46"/>
      <c r="D4842" s="37"/>
      <c r="E4842" s="37"/>
      <c r="F4842" s="37"/>
      <c r="G4842" s="40" t="str">
        <f>IF(tblMovimientos[[#This Row],[Producto]]="","",TRIM(LEFT(tblMovimientos[[#This Row],[Producto]],FIND(" · ",tblMovimientos[[#This Row],[Producto]]&amp;" · ")-1)))</f>
        <v/>
      </c>
      <c r="H4842" s="40" t="str">
        <f>IF(tblMovimientos[[#This Row],[SKU]]="","",IFERROR(INDEX(tblProductos[Unidad],MATCH(tblMovimientos[[#This Row],[SKU]],tblProductos[SKU],0)),"?"))</f>
        <v/>
      </c>
      <c r="I4842" s="39"/>
      <c r="J4842" s="47" t="str">
        <f>IF(tblMovimientos[[#This Row],[Tipo]]="","",IFERROR(INDEX(tblTiposMov[FactorStock],MATCH(tblMovimientos[[#This Row],[Tipo]],tblTiposMov[Tipo],0)),0))</f>
        <v/>
      </c>
      <c r="K48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2" s="37"/>
      <c r="O4842" s="37"/>
      <c r="P4842" s="37"/>
    </row>
    <row r="4843" spans="2:16" x14ac:dyDescent="0.25">
      <c r="B48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3" s="46"/>
      <c r="D4843" s="37"/>
      <c r="E4843" s="37"/>
      <c r="F4843" s="37"/>
      <c r="G4843" s="40" t="str">
        <f>IF(tblMovimientos[[#This Row],[Producto]]="","",TRIM(LEFT(tblMovimientos[[#This Row],[Producto]],FIND(" · ",tblMovimientos[[#This Row],[Producto]]&amp;" · ")-1)))</f>
        <v/>
      </c>
      <c r="H4843" s="40" t="str">
        <f>IF(tblMovimientos[[#This Row],[SKU]]="","",IFERROR(INDEX(tblProductos[Unidad],MATCH(tblMovimientos[[#This Row],[SKU]],tblProductos[SKU],0)),"?"))</f>
        <v/>
      </c>
      <c r="I4843" s="39"/>
      <c r="J4843" s="47" t="str">
        <f>IF(tblMovimientos[[#This Row],[Tipo]]="","",IFERROR(INDEX(tblTiposMov[FactorStock],MATCH(tblMovimientos[[#This Row],[Tipo]],tblTiposMov[Tipo],0)),0))</f>
        <v/>
      </c>
      <c r="K48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3" s="37"/>
      <c r="O4843" s="37"/>
      <c r="P4843" s="37"/>
    </row>
    <row r="4844" spans="2:16" x14ac:dyDescent="0.25">
      <c r="B48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4" s="46"/>
      <c r="D4844" s="37"/>
      <c r="E4844" s="37"/>
      <c r="F4844" s="37"/>
      <c r="G4844" s="40" t="str">
        <f>IF(tblMovimientos[[#This Row],[Producto]]="","",TRIM(LEFT(tblMovimientos[[#This Row],[Producto]],FIND(" · ",tblMovimientos[[#This Row],[Producto]]&amp;" · ")-1)))</f>
        <v/>
      </c>
      <c r="H4844" s="40" t="str">
        <f>IF(tblMovimientos[[#This Row],[SKU]]="","",IFERROR(INDEX(tblProductos[Unidad],MATCH(tblMovimientos[[#This Row],[SKU]],tblProductos[SKU],0)),"?"))</f>
        <v/>
      </c>
      <c r="I4844" s="39"/>
      <c r="J4844" s="47" t="str">
        <f>IF(tblMovimientos[[#This Row],[Tipo]]="","",IFERROR(INDEX(tblTiposMov[FactorStock],MATCH(tblMovimientos[[#This Row],[Tipo]],tblTiposMov[Tipo],0)),0))</f>
        <v/>
      </c>
      <c r="K48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4" s="37"/>
      <c r="O4844" s="37"/>
      <c r="P4844" s="37"/>
    </row>
    <row r="4845" spans="2:16" x14ac:dyDescent="0.25">
      <c r="B48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5" s="46"/>
      <c r="D4845" s="37"/>
      <c r="E4845" s="37"/>
      <c r="F4845" s="37"/>
      <c r="G4845" s="40" t="str">
        <f>IF(tblMovimientos[[#This Row],[Producto]]="","",TRIM(LEFT(tblMovimientos[[#This Row],[Producto]],FIND(" · ",tblMovimientos[[#This Row],[Producto]]&amp;" · ")-1)))</f>
        <v/>
      </c>
      <c r="H4845" s="40" t="str">
        <f>IF(tblMovimientos[[#This Row],[SKU]]="","",IFERROR(INDEX(tblProductos[Unidad],MATCH(tblMovimientos[[#This Row],[SKU]],tblProductos[SKU],0)),"?"))</f>
        <v/>
      </c>
      <c r="I4845" s="39"/>
      <c r="J4845" s="47" t="str">
        <f>IF(tblMovimientos[[#This Row],[Tipo]]="","",IFERROR(INDEX(tblTiposMov[FactorStock],MATCH(tblMovimientos[[#This Row],[Tipo]],tblTiposMov[Tipo],0)),0))</f>
        <v/>
      </c>
      <c r="K48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5" s="37"/>
      <c r="O4845" s="37"/>
      <c r="P4845" s="37"/>
    </row>
    <row r="4846" spans="2:16" x14ac:dyDescent="0.25">
      <c r="B48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6" s="46"/>
      <c r="D4846" s="37"/>
      <c r="E4846" s="37"/>
      <c r="F4846" s="37"/>
      <c r="G4846" s="40" t="str">
        <f>IF(tblMovimientos[[#This Row],[Producto]]="","",TRIM(LEFT(tblMovimientos[[#This Row],[Producto]],FIND(" · ",tblMovimientos[[#This Row],[Producto]]&amp;" · ")-1)))</f>
        <v/>
      </c>
      <c r="H4846" s="40" t="str">
        <f>IF(tblMovimientos[[#This Row],[SKU]]="","",IFERROR(INDEX(tblProductos[Unidad],MATCH(tblMovimientos[[#This Row],[SKU]],tblProductos[SKU],0)),"?"))</f>
        <v/>
      </c>
      <c r="I4846" s="39"/>
      <c r="J4846" s="47" t="str">
        <f>IF(tblMovimientos[[#This Row],[Tipo]]="","",IFERROR(INDEX(tblTiposMov[FactorStock],MATCH(tblMovimientos[[#This Row],[Tipo]],tblTiposMov[Tipo],0)),0))</f>
        <v/>
      </c>
      <c r="K48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6" s="37"/>
      <c r="O4846" s="37"/>
      <c r="P4846" s="37"/>
    </row>
    <row r="4847" spans="2:16" x14ac:dyDescent="0.25">
      <c r="B48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7" s="46"/>
      <c r="D4847" s="37"/>
      <c r="E4847" s="37"/>
      <c r="F4847" s="37"/>
      <c r="G4847" s="40" t="str">
        <f>IF(tblMovimientos[[#This Row],[Producto]]="","",TRIM(LEFT(tblMovimientos[[#This Row],[Producto]],FIND(" · ",tblMovimientos[[#This Row],[Producto]]&amp;" · ")-1)))</f>
        <v/>
      </c>
      <c r="H4847" s="40" t="str">
        <f>IF(tblMovimientos[[#This Row],[SKU]]="","",IFERROR(INDEX(tblProductos[Unidad],MATCH(tblMovimientos[[#This Row],[SKU]],tblProductos[SKU],0)),"?"))</f>
        <v/>
      </c>
      <c r="I4847" s="39"/>
      <c r="J4847" s="47" t="str">
        <f>IF(tblMovimientos[[#This Row],[Tipo]]="","",IFERROR(INDEX(tblTiposMov[FactorStock],MATCH(tblMovimientos[[#This Row],[Tipo]],tblTiposMov[Tipo],0)),0))</f>
        <v/>
      </c>
      <c r="K48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7" s="37"/>
      <c r="O4847" s="37"/>
      <c r="P4847" s="37"/>
    </row>
    <row r="4848" spans="2:16" x14ac:dyDescent="0.25">
      <c r="B48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8" s="46"/>
      <c r="D4848" s="37"/>
      <c r="E4848" s="37"/>
      <c r="F4848" s="37"/>
      <c r="G4848" s="40" t="str">
        <f>IF(tblMovimientos[[#This Row],[Producto]]="","",TRIM(LEFT(tblMovimientos[[#This Row],[Producto]],FIND(" · ",tblMovimientos[[#This Row],[Producto]]&amp;" · ")-1)))</f>
        <v/>
      </c>
      <c r="H4848" s="40" t="str">
        <f>IF(tblMovimientos[[#This Row],[SKU]]="","",IFERROR(INDEX(tblProductos[Unidad],MATCH(tblMovimientos[[#This Row],[SKU]],tblProductos[SKU],0)),"?"))</f>
        <v/>
      </c>
      <c r="I4848" s="39"/>
      <c r="J4848" s="47" t="str">
        <f>IF(tblMovimientos[[#This Row],[Tipo]]="","",IFERROR(INDEX(tblTiposMov[FactorStock],MATCH(tblMovimientos[[#This Row],[Tipo]],tblTiposMov[Tipo],0)),0))</f>
        <v/>
      </c>
      <c r="K48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8" s="37"/>
      <c r="O4848" s="37"/>
      <c r="P4848" s="37"/>
    </row>
    <row r="4849" spans="2:16" x14ac:dyDescent="0.25">
      <c r="B48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49" s="46"/>
      <c r="D4849" s="37"/>
      <c r="E4849" s="37"/>
      <c r="F4849" s="37"/>
      <c r="G4849" s="40" t="str">
        <f>IF(tblMovimientos[[#This Row],[Producto]]="","",TRIM(LEFT(tblMovimientos[[#This Row],[Producto]],FIND(" · ",tblMovimientos[[#This Row],[Producto]]&amp;" · ")-1)))</f>
        <v/>
      </c>
      <c r="H4849" s="40" t="str">
        <f>IF(tblMovimientos[[#This Row],[SKU]]="","",IFERROR(INDEX(tblProductos[Unidad],MATCH(tblMovimientos[[#This Row],[SKU]],tblProductos[SKU],0)),"?"))</f>
        <v/>
      </c>
      <c r="I4849" s="39"/>
      <c r="J4849" s="47" t="str">
        <f>IF(tblMovimientos[[#This Row],[Tipo]]="","",IFERROR(INDEX(tblTiposMov[FactorStock],MATCH(tblMovimientos[[#This Row],[Tipo]],tblTiposMov[Tipo],0)),0))</f>
        <v/>
      </c>
      <c r="K48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49" s="37"/>
      <c r="O4849" s="37"/>
      <c r="P4849" s="37"/>
    </row>
    <row r="4850" spans="2:16" x14ac:dyDescent="0.25">
      <c r="B48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0" s="46"/>
      <c r="D4850" s="37"/>
      <c r="E4850" s="37"/>
      <c r="F4850" s="37"/>
      <c r="G4850" s="40" t="str">
        <f>IF(tblMovimientos[[#This Row],[Producto]]="","",TRIM(LEFT(tblMovimientos[[#This Row],[Producto]],FIND(" · ",tblMovimientos[[#This Row],[Producto]]&amp;" · ")-1)))</f>
        <v/>
      </c>
      <c r="H4850" s="40" t="str">
        <f>IF(tblMovimientos[[#This Row],[SKU]]="","",IFERROR(INDEX(tblProductos[Unidad],MATCH(tblMovimientos[[#This Row],[SKU]],tblProductos[SKU],0)),"?"))</f>
        <v/>
      </c>
      <c r="I4850" s="39"/>
      <c r="J4850" s="47" t="str">
        <f>IF(tblMovimientos[[#This Row],[Tipo]]="","",IFERROR(INDEX(tblTiposMov[FactorStock],MATCH(tblMovimientos[[#This Row],[Tipo]],tblTiposMov[Tipo],0)),0))</f>
        <v/>
      </c>
      <c r="K48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0" s="37"/>
      <c r="O4850" s="37"/>
      <c r="P4850" s="37"/>
    </row>
    <row r="4851" spans="2:16" x14ac:dyDescent="0.25">
      <c r="B48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1" s="46"/>
      <c r="D4851" s="37"/>
      <c r="E4851" s="37"/>
      <c r="F4851" s="37"/>
      <c r="G4851" s="40" t="str">
        <f>IF(tblMovimientos[[#This Row],[Producto]]="","",TRIM(LEFT(tblMovimientos[[#This Row],[Producto]],FIND(" · ",tblMovimientos[[#This Row],[Producto]]&amp;" · ")-1)))</f>
        <v/>
      </c>
      <c r="H4851" s="40" t="str">
        <f>IF(tblMovimientos[[#This Row],[SKU]]="","",IFERROR(INDEX(tblProductos[Unidad],MATCH(tblMovimientos[[#This Row],[SKU]],tblProductos[SKU],0)),"?"))</f>
        <v/>
      </c>
      <c r="I4851" s="39"/>
      <c r="J4851" s="47" t="str">
        <f>IF(tblMovimientos[[#This Row],[Tipo]]="","",IFERROR(INDEX(tblTiposMov[FactorStock],MATCH(tblMovimientos[[#This Row],[Tipo]],tblTiposMov[Tipo],0)),0))</f>
        <v/>
      </c>
      <c r="K48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1" s="37"/>
      <c r="O4851" s="37"/>
      <c r="P4851" s="37"/>
    </row>
    <row r="4852" spans="2:16" x14ac:dyDescent="0.25">
      <c r="B48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2" s="46"/>
      <c r="D4852" s="37"/>
      <c r="E4852" s="37"/>
      <c r="F4852" s="37"/>
      <c r="G4852" s="40" t="str">
        <f>IF(tblMovimientos[[#This Row],[Producto]]="","",TRIM(LEFT(tblMovimientos[[#This Row],[Producto]],FIND(" · ",tblMovimientos[[#This Row],[Producto]]&amp;" · ")-1)))</f>
        <v/>
      </c>
      <c r="H4852" s="40" t="str">
        <f>IF(tblMovimientos[[#This Row],[SKU]]="","",IFERROR(INDEX(tblProductos[Unidad],MATCH(tblMovimientos[[#This Row],[SKU]],tblProductos[SKU],0)),"?"))</f>
        <v/>
      </c>
      <c r="I4852" s="39"/>
      <c r="J4852" s="47" t="str">
        <f>IF(tblMovimientos[[#This Row],[Tipo]]="","",IFERROR(INDEX(tblTiposMov[FactorStock],MATCH(tblMovimientos[[#This Row],[Tipo]],tblTiposMov[Tipo],0)),0))</f>
        <v/>
      </c>
      <c r="K48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2" s="37"/>
      <c r="O4852" s="37"/>
      <c r="P4852" s="37"/>
    </row>
    <row r="4853" spans="2:16" x14ac:dyDescent="0.25">
      <c r="B48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3" s="46"/>
      <c r="D4853" s="37"/>
      <c r="E4853" s="37"/>
      <c r="F4853" s="37"/>
      <c r="G4853" s="40" t="str">
        <f>IF(tblMovimientos[[#This Row],[Producto]]="","",TRIM(LEFT(tblMovimientos[[#This Row],[Producto]],FIND(" · ",tblMovimientos[[#This Row],[Producto]]&amp;" · ")-1)))</f>
        <v/>
      </c>
      <c r="H4853" s="40" t="str">
        <f>IF(tblMovimientos[[#This Row],[SKU]]="","",IFERROR(INDEX(tblProductos[Unidad],MATCH(tblMovimientos[[#This Row],[SKU]],tblProductos[SKU],0)),"?"))</f>
        <v/>
      </c>
      <c r="I4853" s="39"/>
      <c r="J4853" s="47" t="str">
        <f>IF(tblMovimientos[[#This Row],[Tipo]]="","",IFERROR(INDEX(tblTiposMov[FactorStock],MATCH(tblMovimientos[[#This Row],[Tipo]],tblTiposMov[Tipo],0)),0))</f>
        <v/>
      </c>
      <c r="K48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3" s="37"/>
      <c r="O4853" s="37"/>
      <c r="P4853" s="37"/>
    </row>
    <row r="4854" spans="2:16" x14ac:dyDescent="0.25">
      <c r="B48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4" s="46"/>
      <c r="D4854" s="37"/>
      <c r="E4854" s="37"/>
      <c r="F4854" s="37"/>
      <c r="G4854" s="40" t="str">
        <f>IF(tblMovimientos[[#This Row],[Producto]]="","",TRIM(LEFT(tblMovimientos[[#This Row],[Producto]],FIND(" · ",tblMovimientos[[#This Row],[Producto]]&amp;" · ")-1)))</f>
        <v/>
      </c>
      <c r="H4854" s="40" t="str">
        <f>IF(tblMovimientos[[#This Row],[SKU]]="","",IFERROR(INDEX(tblProductos[Unidad],MATCH(tblMovimientos[[#This Row],[SKU]],tblProductos[SKU],0)),"?"))</f>
        <v/>
      </c>
      <c r="I4854" s="39"/>
      <c r="J4854" s="47" t="str">
        <f>IF(tblMovimientos[[#This Row],[Tipo]]="","",IFERROR(INDEX(tblTiposMov[FactorStock],MATCH(tblMovimientos[[#This Row],[Tipo]],tblTiposMov[Tipo],0)),0))</f>
        <v/>
      </c>
      <c r="K48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4" s="37"/>
      <c r="O4854" s="37"/>
      <c r="P4854" s="37"/>
    </row>
    <row r="4855" spans="2:16" x14ac:dyDescent="0.25">
      <c r="B48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5" s="46"/>
      <c r="D4855" s="37"/>
      <c r="E4855" s="37"/>
      <c r="F4855" s="37"/>
      <c r="G4855" s="40" t="str">
        <f>IF(tblMovimientos[[#This Row],[Producto]]="","",TRIM(LEFT(tblMovimientos[[#This Row],[Producto]],FIND(" · ",tblMovimientos[[#This Row],[Producto]]&amp;" · ")-1)))</f>
        <v/>
      </c>
      <c r="H4855" s="40" t="str">
        <f>IF(tblMovimientos[[#This Row],[SKU]]="","",IFERROR(INDEX(tblProductos[Unidad],MATCH(tblMovimientos[[#This Row],[SKU]],tblProductos[SKU],0)),"?"))</f>
        <v/>
      </c>
      <c r="I4855" s="39"/>
      <c r="J4855" s="47" t="str">
        <f>IF(tblMovimientos[[#This Row],[Tipo]]="","",IFERROR(INDEX(tblTiposMov[FactorStock],MATCH(tblMovimientos[[#This Row],[Tipo]],tblTiposMov[Tipo],0)),0))</f>
        <v/>
      </c>
      <c r="K48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5" s="37"/>
      <c r="O4855" s="37"/>
      <c r="P4855" s="37"/>
    </row>
    <row r="4856" spans="2:16" x14ac:dyDescent="0.25">
      <c r="B48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6" s="46"/>
      <c r="D4856" s="37"/>
      <c r="E4856" s="37"/>
      <c r="F4856" s="37"/>
      <c r="G4856" s="40" t="str">
        <f>IF(tblMovimientos[[#This Row],[Producto]]="","",TRIM(LEFT(tblMovimientos[[#This Row],[Producto]],FIND(" · ",tblMovimientos[[#This Row],[Producto]]&amp;" · ")-1)))</f>
        <v/>
      </c>
      <c r="H4856" s="40" t="str">
        <f>IF(tblMovimientos[[#This Row],[SKU]]="","",IFERROR(INDEX(tblProductos[Unidad],MATCH(tblMovimientos[[#This Row],[SKU]],tblProductos[SKU],0)),"?"))</f>
        <v/>
      </c>
      <c r="I4856" s="39"/>
      <c r="J4856" s="47" t="str">
        <f>IF(tblMovimientos[[#This Row],[Tipo]]="","",IFERROR(INDEX(tblTiposMov[FactorStock],MATCH(tblMovimientos[[#This Row],[Tipo]],tblTiposMov[Tipo],0)),0))</f>
        <v/>
      </c>
      <c r="K48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6" s="37"/>
      <c r="O4856" s="37"/>
      <c r="P4856" s="37"/>
    </row>
    <row r="4857" spans="2:16" x14ac:dyDescent="0.25">
      <c r="B48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7" s="46"/>
      <c r="D4857" s="37"/>
      <c r="E4857" s="37"/>
      <c r="F4857" s="37"/>
      <c r="G4857" s="40" t="str">
        <f>IF(tblMovimientos[[#This Row],[Producto]]="","",TRIM(LEFT(tblMovimientos[[#This Row],[Producto]],FIND(" · ",tblMovimientos[[#This Row],[Producto]]&amp;" · ")-1)))</f>
        <v/>
      </c>
      <c r="H4857" s="40" t="str">
        <f>IF(tblMovimientos[[#This Row],[SKU]]="","",IFERROR(INDEX(tblProductos[Unidad],MATCH(tblMovimientos[[#This Row],[SKU]],tblProductos[SKU],0)),"?"))</f>
        <v/>
      </c>
      <c r="I4857" s="39"/>
      <c r="J4857" s="47" t="str">
        <f>IF(tblMovimientos[[#This Row],[Tipo]]="","",IFERROR(INDEX(tblTiposMov[FactorStock],MATCH(tblMovimientos[[#This Row],[Tipo]],tblTiposMov[Tipo],0)),0))</f>
        <v/>
      </c>
      <c r="K48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7" s="37"/>
      <c r="O4857" s="37"/>
      <c r="P4857" s="37"/>
    </row>
    <row r="4858" spans="2:16" x14ac:dyDescent="0.25">
      <c r="B48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8" s="46"/>
      <c r="D4858" s="37"/>
      <c r="E4858" s="37"/>
      <c r="F4858" s="37"/>
      <c r="G4858" s="40" t="str">
        <f>IF(tblMovimientos[[#This Row],[Producto]]="","",TRIM(LEFT(tblMovimientos[[#This Row],[Producto]],FIND(" · ",tblMovimientos[[#This Row],[Producto]]&amp;" · ")-1)))</f>
        <v/>
      </c>
      <c r="H4858" s="40" t="str">
        <f>IF(tblMovimientos[[#This Row],[SKU]]="","",IFERROR(INDEX(tblProductos[Unidad],MATCH(tblMovimientos[[#This Row],[SKU]],tblProductos[SKU],0)),"?"))</f>
        <v/>
      </c>
      <c r="I4858" s="39"/>
      <c r="J4858" s="47" t="str">
        <f>IF(tblMovimientos[[#This Row],[Tipo]]="","",IFERROR(INDEX(tblTiposMov[FactorStock],MATCH(tblMovimientos[[#This Row],[Tipo]],tblTiposMov[Tipo],0)),0))</f>
        <v/>
      </c>
      <c r="K48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8" s="37"/>
      <c r="O4858" s="37"/>
      <c r="P4858" s="37"/>
    </row>
    <row r="4859" spans="2:16" x14ac:dyDescent="0.25">
      <c r="B48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59" s="46"/>
      <c r="D4859" s="37"/>
      <c r="E4859" s="37"/>
      <c r="F4859" s="37"/>
      <c r="G4859" s="40" t="str">
        <f>IF(tblMovimientos[[#This Row],[Producto]]="","",TRIM(LEFT(tblMovimientos[[#This Row],[Producto]],FIND(" · ",tblMovimientos[[#This Row],[Producto]]&amp;" · ")-1)))</f>
        <v/>
      </c>
      <c r="H4859" s="40" t="str">
        <f>IF(tblMovimientos[[#This Row],[SKU]]="","",IFERROR(INDEX(tblProductos[Unidad],MATCH(tblMovimientos[[#This Row],[SKU]],tblProductos[SKU],0)),"?"))</f>
        <v/>
      </c>
      <c r="I4859" s="39"/>
      <c r="J4859" s="47" t="str">
        <f>IF(tblMovimientos[[#This Row],[Tipo]]="","",IFERROR(INDEX(tblTiposMov[FactorStock],MATCH(tblMovimientos[[#This Row],[Tipo]],tblTiposMov[Tipo],0)),0))</f>
        <v/>
      </c>
      <c r="K48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59" s="37"/>
      <c r="O4859" s="37"/>
      <c r="P4859" s="37"/>
    </row>
    <row r="4860" spans="2:16" x14ac:dyDescent="0.25">
      <c r="B48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0" s="46"/>
      <c r="D4860" s="37"/>
      <c r="E4860" s="37"/>
      <c r="F4860" s="37"/>
      <c r="G4860" s="40" t="str">
        <f>IF(tblMovimientos[[#This Row],[Producto]]="","",TRIM(LEFT(tblMovimientos[[#This Row],[Producto]],FIND(" · ",tblMovimientos[[#This Row],[Producto]]&amp;" · ")-1)))</f>
        <v/>
      </c>
      <c r="H4860" s="40" t="str">
        <f>IF(tblMovimientos[[#This Row],[SKU]]="","",IFERROR(INDEX(tblProductos[Unidad],MATCH(tblMovimientos[[#This Row],[SKU]],tblProductos[SKU],0)),"?"))</f>
        <v/>
      </c>
      <c r="I4860" s="39"/>
      <c r="J4860" s="47" t="str">
        <f>IF(tblMovimientos[[#This Row],[Tipo]]="","",IFERROR(INDEX(tblTiposMov[FactorStock],MATCH(tblMovimientos[[#This Row],[Tipo]],tblTiposMov[Tipo],0)),0))</f>
        <v/>
      </c>
      <c r="K48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0" s="37"/>
      <c r="O4860" s="37"/>
      <c r="P4860" s="37"/>
    </row>
    <row r="4861" spans="2:16" x14ac:dyDescent="0.25">
      <c r="B48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1" s="46"/>
      <c r="D4861" s="37"/>
      <c r="E4861" s="37"/>
      <c r="F4861" s="37"/>
      <c r="G4861" s="40" t="str">
        <f>IF(tblMovimientos[[#This Row],[Producto]]="","",TRIM(LEFT(tblMovimientos[[#This Row],[Producto]],FIND(" · ",tblMovimientos[[#This Row],[Producto]]&amp;" · ")-1)))</f>
        <v/>
      </c>
      <c r="H4861" s="40" t="str">
        <f>IF(tblMovimientos[[#This Row],[SKU]]="","",IFERROR(INDEX(tblProductos[Unidad],MATCH(tblMovimientos[[#This Row],[SKU]],tblProductos[SKU],0)),"?"))</f>
        <v/>
      </c>
      <c r="I4861" s="39"/>
      <c r="J4861" s="47" t="str">
        <f>IF(tblMovimientos[[#This Row],[Tipo]]="","",IFERROR(INDEX(tblTiposMov[FactorStock],MATCH(tblMovimientos[[#This Row],[Tipo]],tblTiposMov[Tipo],0)),0))</f>
        <v/>
      </c>
      <c r="K48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1" s="37"/>
      <c r="O4861" s="37"/>
      <c r="P4861" s="37"/>
    </row>
    <row r="4862" spans="2:16" x14ac:dyDescent="0.25">
      <c r="B48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2" s="46"/>
      <c r="D4862" s="37"/>
      <c r="E4862" s="37"/>
      <c r="F4862" s="37"/>
      <c r="G4862" s="40" t="str">
        <f>IF(tblMovimientos[[#This Row],[Producto]]="","",TRIM(LEFT(tblMovimientos[[#This Row],[Producto]],FIND(" · ",tblMovimientos[[#This Row],[Producto]]&amp;" · ")-1)))</f>
        <v/>
      </c>
      <c r="H4862" s="40" t="str">
        <f>IF(tblMovimientos[[#This Row],[SKU]]="","",IFERROR(INDEX(tblProductos[Unidad],MATCH(tblMovimientos[[#This Row],[SKU]],tblProductos[SKU],0)),"?"))</f>
        <v/>
      </c>
      <c r="I4862" s="39"/>
      <c r="J4862" s="47" t="str">
        <f>IF(tblMovimientos[[#This Row],[Tipo]]="","",IFERROR(INDEX(tblTiposMov[FactorStock],MATCH(tblMovimientos[[#This Row],[Tipo]],tblTiposMov[Tipo],0)),0))</f>
        <v/>
      </c>
      <c r="K48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2" s="37"/>
      <c r="O4862" s="37"/>
      <c r="P4862" s="37"/>
    </row>
    <row r="4863" spans="2:16" x14ac:dyDescent="0.25">
      <c r="B48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3" s="46"/>
      <c r="D4863" s="37"/>
      <c r="E4863" s="37"/>
      <c r="F4863" s="37"/>
      <c r="G4863" s="40" t="str">
        <f>IF(tblMovimientos[[#This Row],[Producto]]="","",TRIM(LEFT(tblMovimientos[[#This Row],[Producto]],FIND(" · ",tblMovimientos[[#This Row],[Producto]]&amp;" · ")-1)))</f>
        <v/>
      </c>
      <c r="H4863" s="40" t="str">
        <f>IF(tblMovimientos[[#This Row],[SKU]]="","",IFERROR(INDEX(tblProductos[Unidad],MATCH(tblMovimientos[[#This Row],[SKU]],tblProductos[SKU],0)),"?"))</f>
        <v/>
      </c>
      <c r="I4863" s="39"/>
      <c r="J4863" s="47" t="str">
        <f>IF(tblMovimientos[[#This Row],[Tipo]]="","",IFERROR(INDEX(tblTiposMov[FactorStock],MATCH(tblMovimientos[[#This Row],[Tipo]],tblTiposMov[Tipo],0)),0))</f>
        <v/>
      </c>
      <c r="K48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3" s="37"/>
      <c r="O4863" s="37"/>
      <c r="P4863" s="37"/>
    </row>
    <row r="4864" spans="2:16" x14ac:dyDescent="0.25">
      <c r="B48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4" s="46"/>
      <c r="D4864" s="37"/>
      <c r="E4864" s="37"/>
      <c r="F4864" s="37"/>
      <c r="G4864" s="40" t="str">
        <f>IF(tblMovimientos[[#This Row],[Producto]]="","",TRIM(LEFT(tblMovimientos[[#This Row],[Producto]],FIND(" · ",tblMovimientos[[#This Row],[Producto]]&amp;" · ")-1)))</f>
        <v/>
      </c>
      <c r="H4864" s="40" t="str">
        <f>IF(tblMovimientos[[#This Row],[SKU]]="","",IFERROR(INDEX(tblProductos[Unidad],MATCH(tblMovimientos[[#This Row],[SKU]],tblProductos[SKU],0)),"?"))</f>
        <v/>
      </c>
      <c r="I4864" s="39"/>
      <c r="J4864" s="47" t="str">
        <f>IF(tblMovimientos[[#This Row],[Tipo]]="","",IFERROR(INDEX(tblTiposMov[FactorStock],MATCH(tblMovimientos[[#This Row],[Tipo]],tblTiposMov[Tipo],0)),0))</f>
        <v/>
      </c>
      <c r="K48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4" s="37"/>
      <c r="O4864" s="37"/>
      <c r="P4864" s="37"/>
    </row>
    <row r="4865" spans="2:16" x14ac:dyDescent="0.25">
      <c r="B48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5" s="46"/>
      <c r="D4865" s="37"/>
      <c r="E4865" s="37"/>
      <c r="F4865" s="37"/>
      <c r="G4865" s="40" t="str">
        <f>IF(tblMovimientos[[#This Row],[Producto]]="","",TRIM(LEFT(tblMovimientos[[#This Row],[Producto]],FIND(" · ",tblMovimientos[[#This Row],[Producto]]&amp;" · ")-1)))</f>
        <v/>
      </c>
      <c r="H4865" s="40" t="str">
        <f>IF(tblMovimientos[[#This Row],[SKU]]="","",IFERROR(INDEX(tblProductos[Unidad],MATCH(tblMovimientos[[#This Row],[SKU]],tblProductos[SKU],0)),"?"))</f>
        <v/>
      </c>
      <c r="I4865" s="39"/>
      <c r="J4865" s="47" t="str">
        <f>IF(tblMovimientos[[#This Row],[Tipo]]="","",IFERROR(INDEX(tblTiposMov[FactorStock],MATCH(tblMovimientos[[#This Row],[Tipo]],tblTiposMov[Tipo],0)),0))</f>
        <v/>
      </c>
      <c r="K48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5" s="37"/>
      <c r="O4865" s="37"/>
      <c r="P4865" s="37"/>
    </row>
    <row r="4866" spans="2:16" x14ac:dyDescent="0.25">
      <c r="B48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6" s="46"/>
      <c r="D4866" s="37"/>
      <c r="E4866" s="37"/>
      <c r="F4866" s="37"/>
      <c r="G4866" s="40" t="str">
        <f>IF(tblMovimientos[[#This Row],[Producto]]="","",TRIM(LEFT(tblMovimientos[[#This Row],[Producto]],FIND(" · ",tblMovimientos[[#This Row],[Producto]]&amp;" · ")-1)))</f>
        <v/>
      </c>
      <c r="H4866" s="40" t="str">
        <f>IF(tblMovimientos[[#This Row],[SKU]]="","",IFERROR(INDEX(tblProductos[Unidad],MATCH(tblMovimientos[[#This Row],[SKU]],tblProductos[SKU],0)),"?"))</f>
        <v/>
      </c>
      <c r="I4866" s="39"/>
      <c r="J4866" s="47" t="str">
        <f>IF(tblMovimientos[[#This Row],[Tipo]]="","",IFERROR(INDEX(tblTiposMov[FactorStock],MATCH(tblMovimientos[[#This Row],[Tipo]],tblTiposMov[Tipo],0)),0))</f>
        <v/>
      </c>
      <c r="K48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6" s="37"/>
      <c r="O4866" s="37"/>
      <c r="P4866" s="37"/>
    </row>
    <row r="4867" spans="2:16" x14ac:dyDescent="0.25">
      <c r="B48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7" s="46"/>
      <c r="D4867" s="37"/>
      <c r="E4867" s="37"/>
      <c r="F4867" s="37"/>
      <c r="G4867" s="40" t="str">
        <f>IF(tblMovimientos[[#This Row],[Producto]]="","",TRIM(LEFT(tblMovimientos[[#This Row],[Producto]],FIND(" · ",tblMovimientos[[#This Row],[Producto]]&amp;" · ")-1)))</f>
        <v/>
      </c>
      <c r="H4867" s="40" t="str">
        <f>IF(tblMovimientos[[#This Row],[SKU]]="","",IFERROR(INDEX(tblProductos[Unidad],MATCH(tblMovimientos[[#This Row],[SKU]],tblProductos[SKU],0)),"?"))</f>
        <v/>
      </c>
      <c r="I4867" s="39"/>
      <c r="J4867" s="47" t="str">
        <f>IF(tblMovimientos[[#This Row],[Tipo]]="","",IFERROR(INDEX(tblTiposMov[FactorStock],MATCH(tblMovimientos[[#This Row],[Tipo]],tblTiposMov[Tipo],0)),0))</f>
        <v/>
      </c>
      <c r="K48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7" s="37"/>
      <c r="O4867" s="37"/>
      <c r="P4867" s="37"/>
    </row>
    <row r="4868" spans="2:16" x14ac:dyDescent="0.25">
      <c r="B48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8" s="46"/>
      <c r="D4868" s="37"/>
      <c r="E4868" s="37"/>
      <c r="F4868" s="37"/>
      <c r="G4868" s="40" t="str">
        <f>IF(tblMovimientos[[#This Row],[Producto]]="","",TRIM(LEFT(tblMovimientos[[#This Row],[Producto]],FIND(" · ",tblMovimientos[[#This Row],[Producto]]&amp;" · ")-1)))</f>
        <v/>
      </c>
      <c r="H4868" s="40" t="str">
        <f>IF(tblMovimientos[[#This Row],[SKU]]="","",IFERROR(INDEX(tblProductos[Unidad],MATCH(tblMovimientos[[#This Row],[SKU]],tblProductos[SKU],0)),"?"))</f>
        <v/>
      </c>
      <c r="I4868" s="39"/>
      <c r="J4868" s="47" t="str">
        <f>IF(tblMovimientos[[#This Row],[Tipo]]="","",IFERROR(INDEX(tblTiposMov[FactorStock],MATCH(tblMovimientos[[#This Row],[Tipo]],tblTiposMov[Tipo],0)),0))</f>
        <v/>
      </c>
      <c r="K48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8" s="37"/>
      <c r="O4868" s="37"/>
      <c r="P4868" s="37"/>
    </row>
    <row r="4869" spans="2:16" x14ac:dyDescent="0.25">
      <c r="B48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69" s="46"/>
      <c r="D4869" s="37"/>
      <c r="E4869" s="37"/>
      <c r="F4869" s="37"/>
      <c r="G4869" s="40" t="str">
        <f>IF(tblMovimientos[[#This Row],[Producto]]="","",TRIM(LEFT(tblMovimientos[[#This Row],[Producto]],FIND(" · ",tblMovimientos[[#This Row],[Producto]]&amp;" · ")-1)))</f>
        <v/>
      </c>
      <c r="H4869" s="40" t="str">
        <f>IF(tblMovimientos[[#This Row],[SKU]]="","",IFERROR(INDEX(tblProductos[Unidad],MATCH(tblMovimientos[[#This Row],[SKU]],tblProductos[SKU],0)),"?"))</f>
        <v/>
      </c>
      <c r="I4869" s="39"/>
      <c r="J4869" s="47" t="str">
        <f>IF(tblMovimientos[[#This Row],[Tipo]]="","",IFERROR(INDEX(tblTiposMov[FactorStock],MATCH(tblMovimientos[[#This Row],[Tipo]],tblTiposMov[Tipo],0)),0))</f>
        <v/>
      </c>
      <c r="K48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69" s="37"/>
      <c r="O4869" s="37"/>
      <c r="P4869" s="37"/>
    </row>
    <row r="4870" spans="2:16" x14ac:dyDescent="0.25">
      <c r="B48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0" s="46"/>
      <c r="D4870" s="37"/>
      <c r="E4870" s="37"/>
      <c r="F4870" s="37"/>
      <c r="G4870" s="40" t="str">
        <f>IF(tblMovimientos[[#This Row],[Producto]]="","",TRIM(LEFT(tblMovimientos[[#This Row],[Producto]],FIND(" · ",tblMovimientos[[#This Row],[Producto]]&amp;" · ")-1)))</f>
        <v/>
      </c>
      <c r="H4870" s="40" t="str">
        <f>IF(tblMovimientos[[#This Row],[SKU]]="","",IFERROR(INDEX(tblProductos[Unidad],MATCH(tblMovimientos[[#This Row],[SKU]],tblProductos[SKU],0)),"?"))</f>
        <v/>
      </c>
      <c r="I4870" s="39"/>
      <c r="J4870" s="47" t="str">
        <f>IF(tblMovimientos[[#This Row],[Tipo]]="","",IFERROR(INDEX(tblTiposMov[FactorStock],MATCH(tblMovimientos[[#This Row],[Tipo]],tblTiposMov[Tipo],0)),0))</f>
        <v/>
      </c>
      <c r="K48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0" s="37"/>
      <c r="O4870" s="37"/>
      <c r="P4870" s="37"/>
    </row>
    <row r="4871" spans="2:16" x14ac:dyDescent="0.25">
      <c r="B48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1" s="46"/>
      <c r="D4871" s="37"/>
      <c r="E4871" s="37"/>
      <c r="F4871" s="37"/>
      <c r="G4871" s="40" t="str">
        <f>IF(tblMovimientos[[#This Row],[Producto]]="","",TRIM(LEFT(tblMovimientos[[#This Row],[Producto]],FIND(" · ",tblMovimientos[[#This Row],[Producto]]&amp;" · ")-1)))</f>
        <v/>
      </c>
      <c r="H4871" s="40" t="str">
        <f>IF(tblMovimientos[[#This Row],[SKU]]="","",IFERROR(INDEX(tblProductos[Unidad],MATCH(tblMovimientos[[#This Row],[SKU]],tblProductos[SKU],0)),"?"))</f>
        <v/>
      </c>
      <c r="I4871" s="39"/>
      <c r="J4871" s="47" t="str">
        <f>IF(tblMovimientos[[#This Row],[Tipo]]="","",IFERROR(INDEX(tblTiposMov[FactorStock],MATCH(tblMovimientos[[#This Row],[Tipo]],tblTiposMov[Tipo],0)),0))</f>
        <v/>
      </c>
      <c r="K48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1" s="37"/>
      <c r="O4871" s="37"/>
      <c r="P4871" s="37"/>
    </row>
    <row r="4872" spans="2:16" x14ac:dyDescent="0.25">
      <c r="B48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2" s="46"/>
      <c r="D4872" s="37"/>
      <c r="E4872" s="37"/>
      <c r="F4872" s="37"/>
      <c r="G4872" s="40" t="str">
        <f>IF(tblMovimientos[[#This Row],[Producto]]="","",TRIM(LEFT(tblMovimientos[[#This Row],[Producto]],FIND(" · ",tblMovimientos[[#This Row],[Producto]]&amp;" · ")-1)))</f>
        <v/>
      </c>
      <c r="H4872" s="40" t="str">
        <f>IF(tblMovimientos[[#This Row],[SKU]]="","",IFERROR(INDEX(tblProductos[Unidad],MATCH(tblMovimientos[[#This Row],[SKU]],tblProductos[SKU],0)),"?"))</f>
        <v/>
      </c>
      <c r="I4872" s="39"/>
      <c r="J4872" s="47" t="str">
        <f>IF(tblMovimientos[[#This Row],[Tipo]]="","",IFERROR(INDEX(tblTiposMov[FactorStock],MATCH(tblMovimientos[[#This Row],[Tipo]],tblTiposMov[Tipo],0)),0))</f>
        <v/>
      </c>
      <c r="K48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2" s="37"/>
      <c r="O4872" s="37"/>
      <c r="P4872" s="37"/>
    </row>
    <row r="4873" spans="2:16" x14ac:dyDescent="0.25">
      <c r="B48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3" s="46"/>
      <c r="D4873" s="37"/>
      <c r="E4873" s="37"/>
      <c r="F4873" s="37"/>
      <c r="G4873" s="40" t="str">
        <f>IF(tblMovimientos[[#This Row],[Producto]]="","",TRIM(LEFT(tblMovimientos[[#This Row],[Producto]],FIND(" · ",tblMovimientos[[#This Row],[Producto]]&amp;" · ")-1)))</f>
        <v/>
      </c>
      <c r="H4873" s="40" t="str">
        <f>IF(tblMovimientos[[#This Row],[SKU]]="","",IFERROR(INDEX(tblProductos[Unidad],MATCH(tblMovimientos[[#This Row],[SKU]],tblProductos[SKU],0)),"?"))</f>
        <v/>
      </c>
      <c r="I4873" s="39"/>
      <c r="J4873" s="47" t="str">
        <f>IF(tblMovimientos[[#This Row],[Tipo]]="","",IFERROR(INDEX(tblTiposMov[FactorStock],MATCH(tblMovimientos[[#This Row],[Tipo]],tblTiposMov[Tipo],0)),0))</f>
        <v/>
      </c>
      <c r="K48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3" s="37"/>
      <c r="O4873" s="37"/>
      <c r="P4873" s="37"/>
    </row>
    <row r="4874" spans="2:16" x14ac:dyDescent="0.25">
      <c r="B48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4" s="46"/>
      <c r="D4874" s="37"/>
      <c r="E4874" s="37"/>
      <c r="F4874" s="37"/>
      <c r="G4874" s="40" t="str">
        <f>IF(tblMovimientos[[#This Row],[Producto]]="","",TRIM(LEFT(tblMovimientos[[#This Row],[Producto]],FIND(" · ",tblMovimientos[[#This Row],[Producto]]&amp;" · ")-1)))</f>
        <v/>
      </c>
      <c r="H4874" s="40" t="str">
        <f>IF(tblMovimientos[[#This Row],[SKU]]="","",IFERROR(INDEX(tblProductos[Unidad],MATCH(tblMovimientos[[#This Row],[SKU]],tblProductos[SKU],0)),"?"))</f>
        <v/>
      </c>
      <c r="I4874" s="39"/>
      <c r="J4874" s="47" t="str">
        <f>IF(tblMovimientos[[#This Row],[Tipo]]="","",IFERROR(INDEX(tblTiposMov[FactorStock],MATCH(tblMovimientos[[#This Row],[Tipo]],tblTiposMov[Tipo],0)),0))</f>
        <v/>
      </c>
      <c r="K48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4" s="37"/>
      <c r="O4874" s="37"/>
      <c r="P4874" s="37"/>
    </row>
    <row r="4875" spans="2:16" x14ac:dyDescent="0.25">
      <c r="B48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5" s="46"/>
      <c r="D4875" s="37"/>
      <c r="E4875" s="37"/>
      <c r="F4875" s="37"/>
      <c r="G4875" s="40" t="str">
        <f>IF(tblMovimientos[[#This Row],[Producto]]="","",TRIM(LEFT(tblMovimientos[[#This Row],[Producto]],FIND(" · ",tblMovimientos[[#This Row],[Producto]]&amp;" · ")-1)))</f>
        <v/>
      </c>
      <c r="H4875" s="40" t="str">
        <f>IF(tblMovimientos[[#This Row],[SKU]]="","",IFERROR(INDEX(tblProductos[Unidad],MATCH(tblMovimientos[[#This Row],[SKU]],tblProductos[SKU],0)),"?"))</f>
        <v/>
      </c>
      <c r="I4875" s="39"/>
      <c r="J4875" s="47" t="str">
        <f>IF(tblMovimientos[[#This Row],[Tipo]]="","",IFERROR(INDEX(tblTiposMov[FactorStock],MATCH(tblMovimientos[[#This Row],[Tipo]],tblTiposMov[Tipo],0)),0))</f>
        <v/>
      </c>
      <c r="K48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5" s="37"/>
      <c r="O4875" s="37"/>
      <c r="P4875" s="37"/>
    </row>
    <row r="4876" spans="2:16" x14ac:dyDescent="0.25">
      <c r="B48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6" s="46"/>
      <c r="D4876" s="37"/>
      <c r="E4876" s="37"/>
      <c r="F4876" s="37"/>
      <c r="G4876" s="40" t="str">
        <f>IF(tblMovimientos[[#This Row],[Producto]]="","",TRIM(LEFT(tblMovimientos[[#This Row],[Producto]],FIND(" · ",tblMovimientos[[#This Row],[Producto]]&amp;" · ")-1)))</f>
        <v/>
      </c>
      <c r="H4876" s="40" t="str">
        <f>IF(tblMovimientos[[#This Row],[SKU]]="","",IFERROR(INDEX(tblProductos[Unidad],MATCH(tblMovimientos[[#This Row],[SKU]],tblProductos[SKU],0)),"?"))</f>
        <v/>
      </c>
      <c r="I4876" s="39"/>
      <c r="J4876" s="47" t="str">
        <f>IF(tblMovimientos[[#This Row],[Tipo]]="","",IFERROR(INDEX(tblTiposMov[FactorStock],MATCH(tblMovimientos[[#This Row],[Tipo]],tblTiposMov[Tipo],0)),0))</f>
        <v/>
      </c>
      <c r="K48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6" s="37"/>
      <c r="O4876" s="37"/>
      <c r="P4876" s="37"/>
    </row>
    <row r="4877" spans="2:16" x14ac:dyDescent="0.25">
      <c r="B48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7" s="46"/>
      <c r="D4877" s="37"/>
      <c r="E4877" s="37"/>
      <c r="F4877" s="37"/>
      <c r="G4877" s="40" t="str">
        <f>IF(tblMovimientos[[#This Row],[Producto]]="","",TRIM(LEFT(tblMovimientos[[#This Row],[Producto]],FIND(" · ",tblMovimientos[[#This Row],[Producto]]&amp;" · ")-1)))</f>
        <v/>
      </c>
      <c r="H4877" s="40" t="str">
        <f>IF(tblMovimientos[[#This Row],[SKU]]="","",IFERROR(INDEX(tblProductos[Unidad],MATCH(tblMovimientos[[#This Row],[SKU]],tblProductos[SKU],0)),"?"))</f>
        <v/>
      </c>
      <c r="I4877" s="39"/>
      <c r="J4877" s="47" t="str">
        <f>IF(tblMovimientos[[#This Row],[Tipo]]="","",IFERROR(INDEX(tblTiposMov[FactorStock],MATCH(tblMovimientos[[#This Row],[Tipo]],tblTiposMov[Tipo],0)),0))</f>
        <v/>
      </c>
      <c r="K48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7" s="37"/>
      <c r="O4877" s="37"/>
      <c r="P4877" s="37"/>
    </row>
    <row r="4878" spans="2:16" x14ac:dyDescent="0.25">
      <c r="B48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8" s="46"/>
      <c r="D4878" s="37"/>
      <c r="E4878" s="37"/>
      <c r="F4878" s="37"/>
      <c r="G4878" s="40" t="str">
        <f>IF(tblMovimientos[[#This Row],[Producto]]="","",TRIM(LEFT(tblMovimientos[[#This Row],[Producto]],FIND(" · ",tblMovimientos[[#This Row],[Producto]]&amp;" · ")-1)))</f>
        <v/>
      </c>
      <c r="H4878" s="40" t="str">
        <f>IF(tblMovimientos[[#This Row],[SKU]]="","",IFERROR(INDEX(tblProductos[Unidad],MATCH(tblMovimientos[[#This Row],[SKU]],tblProductos[SKU],0)),"?"))</f>
        <v/>
      </c>
      <c r="I4878" s="39"/>
      <c r="J4878" s="47" t="str">
        <f>IF(tblMovimientos[[#This Row],[Tipo]]="","",IFERROR(INDEX(tblTiposMov[FactorStock],MATCH(tblMovimientos[[#This Row],[Tipo]],tblTiposMov[Tipo],0)),0))</f>
        <v/>
      </c>
      <c r="K48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8" s="37"/>
      <c r="O4878" s="37"/>
      <c r="P4878" s="37"/>
    </row>
    <row r="4879" spans="2:16" x14ac:dyDescent="0.25">
      <c r="B48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79" s="46"/>
      <c r="D4879" s="37"/>
      <c r="E4879" s="37"/>
      <c r="F4879" s="37"/>
      <c r="G4879" s="40" t="str">
        <f>IF(tblMovimientos[[#This Row],[Producto]]="","",TRIM(LEFT(tblMovimientos[[#This Row],[Producto]],FIND(" · ",tblMovimientos[[#This Row],[Producto]]&amp;" · ")-1)))</f>
        <v/>
      </c>
      <c r="H4879" s="40" t="str">
        <f>IF(tblMovimientos[[#This Row],[SKU]]="","",IFERROR(INDEX(tblProductos[Unidad],MATCH(tblMovimientos[[#This Row],[SKU]],tblProductos[SKU],0)),"?"))</f>
        <v/>
      </c>
      <c r="I4879" s="39"/>
      <c r="J4879" s="47" t="str">
        <f>IF(tblMovimientos[[#This Row],[Tipo]]="","",IFERROR(INDEX(tblTiposMov[FactorStock],MATCH(tblMovimientos[[#This Row],[Tipo]],tblTiposMov[Tipo],0)),0))</f>
        <v/>
      </c>
      <c r="K48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79" s="37"/>
      <c r="O4879" s="37"/>
      <c r="P4879" s="37"/>
    </row>
    <row r="4880" spans="2:16" x14ac:dyDescent="0.25">
      <c r="B48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0" s="46"/>
      <c r="D4880" s="37"/>
      <c r="E4880" s="37"/>
      <c r="F4880" s="37"/>
      <c r="G4880" s="40" t="str">
        <f>IF(tblMovimientos[[#This Row],[Producto]]="","",TRIM(LEFT(tblMovimientos[[#This Row],[Producto]],FIND(" · ",tblMovimientos[[#This Row],[Producto]]&amp;" · ")-1)))</f>
        <v/>
      </c>
      <c r="H4880" s="40" t="str">
        <f>IF(tblMovimientos[[#This Row],[SKU]]="","",IFERROR(INDEX(tblProductos[Unidad],MATCH(tblMovimientos[[#This Row],[SKU]],tblProductos[SKU],0)),"?"))</f>
        <v/>
      </c>
      <c r="I4880" s="39"/>
      <c r="J4880" s="47" t="str">
        <f>IF(tblMovimientos[[#This Row],[Tipo]]="","",IFERROR(INDEX(tblTiposMov[FactorStock],MATCH(tblMovimientos[[#This Row],[Tipo]],tblTiposMov[Tipo],0)),0))</f>
        <v/>
      </c>
      <c r="K48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0" s="37"/>
      <c r="O4880" s="37"/>
      <c r="P4880" s="37"/>
    </row>
    <row r="4881" spans="2:16" x14ac:dyDescent="0.25">
      <c r="B48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1" s="46"/>
      <c r="D4881" s="37"/>
      <c r="E4881" s="37"/>
      <c r="F4881" s="37"/>
      <c r="G4881" s="40" t="str">
        <f>IF(tblMovimientos[[#This Row],[Producto]]="","",TRIM(LEFT(tblMovimientos[[#This Row],[Producto]],FIND(" · ",tblMovimientos[[#This Row],[Producto]]&amp;" · ")-1)))</f>
        <v/>
      </c>
      <c r="H4881" s="40" t="str">
        <f>IF(tblMovimientos[[#This Row],[SKU]]="","",IFERROR(INDEX(tblProductos[Unidad],MATCH(tblMovimientos[[#This Row],[SKU]],tblProductos[SKU],0)),"?"))</f>
        <v/>
      </c>
      <c r="I4881" s="39"/>
      <c r="J4881" s="47" t="str">
        <f>IF(tblMovimientos[[#This Row],[Tipo]]="","",IFERROR(INDEX(tblTiposMov[FactorStock],MATCH(tblMovimientos[[#This Row],[Tipo]],tblTiposMov[Tipo],0)),0))</f>
        <v/>
      </c>
      <c r="K48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1" s="37"/>
      <c r="O4881" s="37"/>
      <c r="P4881" s="37"/>
    </row>
    <row r="4882" spans="2:16" x14ac:dyDescent="0.25">
      <c r="B48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2" s="46"/>
      <c r="D4882" s="37"/>
      <c r="E4882" s="37"/>
      <c r="F4882" s="37"/>
      <c r="G4882" s="40" t="str">
        <f>IF(tblMovimientos[[#This Row],[Producto]]="","",TRIM(LEFT(tblMovimientos[[#This Row],[Producto]],FIND(" · ",tblMovimientos[[#This Row],[Producto]]&amp;" · ")-1)))</f>
        <v/>
      </c>
      <c r="H4882" s="40" t="str">
        <f>IF(tblMovimientos[[#This Row],[SKU]]="","",IFERROR(INDEX(tblProductos[Unidad],MATCH(tblMovimientos[[#This Row],[SKU]],tblProductos[SKU],0)),"?"))</f>
        <v/>
      </c>
      <c r="I4882" s="39"/>
      <c r="J4882" s="47" t="str">
        <f>IF(tblMovimientos[[#This Row],[Tipo]]="","",IFERROR(INDEX(tblTiposMov[FactorStock],MATCH(tblMovimientos[[#This Row],[Tipo]],tblTiposMov[Tipo],0)),0))</f>
        <v/>
      </c>
      <c r="K48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2" s="37"/>
      <c r="O4882" s="37"/>
      <c r="P4882" s="37"/>
    </row>
    <row r="4883" spans="2:16" x14ac:dyDescent="0.25">
      <c r="B48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3" s="46"/>
      <c r="D4883" s="37"/>
      <c r="E4883" s="37"/>
      <c r="F4883" s="37"/>
      <c r="G4883" s="40" t="str">
        <f>IF(tblMovimientos[[#This Row],[Producto]]="","",TRIM(LEFT(tblMovimientos[[#This Row],[Producto]],FIND(" · ",tblMovimientos[[#This Row],[Producto]]&amp;" · ")-1)))</f>
        <v/>
      </c>
      <c r="H4883" s="40" t="str">
        <f>IF(tblMovimientos[[#This Row],[SKU]]="","",IFERROR(INDEX(tblProductos[Unidad],MATCH(tblMovimientos[[#This Row],[SKU]],tblProductos[SKU],0)),"?"))</f>
        <v/>
      </c>
      <c r="I4883" s="39"/>
      <c r="J4883" s="47" t="str">
        <f>IF(tblMovimientos[[#This Row],[Tipo]]="","",IFERROR(INDEX(tblTiposMov[FactorStock],MATCH(tblMovimientos[[#This Row],[Tipo]],tblTiposMov[Tipo],0)),0))</f>
        <v/>
      </c>
      <c r="K48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3" s="37"/>
      <c r="O4883" s="37"/>
      <c r="P4883" s="37"/>
    </row>
    <row r="4884" spans="2:16" x14ac:dyDescent="0.25">
      <c r="B48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4" s="46"/>
      <c r="D4884" s="37"/>
      <c r="E4884" s="37"/>
      <c r="F4884" s="37"/>
      <c r="G4884" s="40" t="str">
        <f>IF(tblMovimientos[[#This Row],[Producto]]="","",TRIM(LEFT(tblMovimientos[[#This Row],[Producto]],FIND(" · ",tblMovimientos[[#This Row],[Producto]]&amp;" · ")-1)))</f>
        <v/>
      </c>
      <c r="H4884" s="40" t="str">
        <f>IF(tblMovimientos[[#This Row],[SKU]]="","",IFERROR(INDEX(tblProductos[Unidad],MATCH(tblMovimientos[[#This Row],[SKU]],tblProductos[SKU],0)),"?"))</f>
        <v/>
      </c>
      <c r="I4884" s="39"/>
      <c r="J4884" s="47" t="str">
        <f>IF(tblMovimientos[[#This Row],[Tipo]]="","",IFERROR(INDEX(tblTiposMov[FactorStock],MATCH(tblMovimientos[[#This Row],[Tipo]],tblTiposMov[Tipo],0)),0))</f>
        <v/>
      </c>
      <c r="K48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4" s="37"/>
      <c r="O4884" s="37"/>
      <c r="P4884" s="37"/>
    </row>
    <row r="4885" spans="2:16" x14ac:dyDescent="0.25">
      <c r="B48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5" s="46"/>
      <c r="D4885" s="37"/>
      <c r="E4885" s="37"/>
      <c r="F4885" s="37"/>
      <c r="G4885" s="40" t="str">
        <f>IF(tblMovimientos[[#This Row],[Producto]]="","",TRIM(LEFT(tblMovimientos[[#This Row],[Producto]],FIND(" · ",tblMovimientos[[#This Row],[Producto]]&amp;" · ")-1)))</f>
        <v/>
      </c>
      <c r="H4885" s="40" t="str">
        <f>IF(tblMovimientos[[#This Row],[SKU]]="","",IFERROR(INDEX(tblProductos[Unidad],MATCH(tblMovimientos[[#This Row],[SKU]],tblProductos[SKU],0)),"?"))</f>
        <v/>
      </c>
      <c r="I4885" s="39"/>
      <c r="J4885" s="47" t="str">
        <f>IF(tblMovimientos[[#This Row],[Tipo]]="","",IFERROR(INDEX(tblTiposMov[FactorStock],MATCH(tblMovimientos[[#This Row],[Tipo]],tblTiposMov[Tipo],0)),0))</f>
        <v/>
      </c>
      <c r="K48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5" s="37"/>
      <c r="O4885" s="37"/>
      <c r="P4885" s="37"/>
    </row>
    <row r="4886" spans="2:16" x14ac:dyDescent="0.25">
      <c r="B48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6" s="46"/>
      <c r="D4886" s="37"/>
      <c r="E4886" s="37"/>
      <c r="F4886" s="37"/>
      <c r="G4886" s="40" t="str">
        <f>IF(tblMovimientos[[#This Row],[Producto]]="","",TRIM(LEFT(tblMovimientos[[#This Row],[Producto]],FIND(" · ",tblMovimientos[[#This Row],[Producto]]&amp;" · ")-1)))</f>
        <v/>
      </c>
      <c r="H4886" s="40" t="str">
        <f>IF(tblMovimientos[[#This Row],[SKU]]="","",IFERROR(INDEX(tblProductos[Unidad],MATCH(tblMovimientos[[#This Row],[SKU]],tblProductos[SKU],0)),"?"))</f>
        <v/>
      </c>
      <c r="I4886" s="39"/>
      <c r="J4886" s="47" t="str">
        <f>IF(tblMovimientos[[#This Row],[Tipo]]="","",IFERROR(INDEX(tblTiposMov[FactorStock],MATCH(tblMovimientos[[#This Row],[Tipo]],tblTiposMov[Tipo],0)),0))</f>
        <v/>
      </c>
      <c r="K48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6" s="37"/>
      <c r="O4886" s="37"/>
      <c r="P4886" s="37"/>
    </row>
    <row r="4887" spans="2:16" x14ac:dyDescent="0.25">
      <c r="B48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7" s="46"/>
      <c r="D4887" s="37"/>
      <c r="E4887" s="37"/>
      <c r="F4887" s="37"/>
      <c r="G4887" s="40" t="str">
        <f>IF(tblMovimientos[[#This Row],[Producto]]="","",TRIM(LEFT(tblMovimientos[[#This Row],[Producto]],FIND(" · ",tblMovimientos[[#This Row],[Producto]]&amp;" · ")-1)))</f>
        <v/>
      </c>
      <c r="H4887" s="40" t="str">
        <f>IF(tblMovimientos[[#This Row],[SKU]]="","",IFERROR(INDEX(tblProductos[Unidad],MATCH(tblMovimientos[[#This Row],[SKU]],tblProductos[SKU],0)),"?"))</f>
        <v/>
      </c>
      <c r="I4887" s="39"/>
      <c r="J4887" s="47" t="str">
        <f>IF(tblMovimientos[[#This Row],[Tipo]]="","",IFERROR(INDEX(tblTiposMov[FactorStock],MATCH(tblMovimientos[[#This Row],[Tipo]],tblTiposMov[Tipo],0)),0))</f>
        <v/>
      </c>
      <c r="K48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7" s="37"/>
      <c r="O4887" s="37"/>
      <c r="P4887" s="37"/>
    </row>
    <row r="4888" spans="2:16" x14ac:dyDescent="0.25">
      <c r="B48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8" s="46"/>
      <c r="D4888" s="37"/>
      <c r="E4888" s="37"/>
      <c r="F4888" s="37"/>
      <c r="G4888" s="40" t="str">
        <f>IF(tblMovimientos[[#This Row],[Producto]]="","",TRIM(LEFT(tblMovimientos[[#This Row],[Producto]],FIND(" · ",tblMovimientos[[#This Row],[Producto]]&amp;" · ")-1)))</f>
        <v/>
      </c>
      <c r="H4888" s="40" t="str">
        <f>IF(tblMovimientos[[#This Row],[SKU]]="","",IFERROR(INDEX(tblProductos[Unidad],MATCH(tblMovimientos[[#This Row],[SKU]],tblProductos[SKU],0)),"?"))</f>
        <v/>
      </c>
      <c r="I4888" s="39"/>
      <c r="J4888" s="47" t="str">
        <f>IF(tblMovimientos[[#This Row],[Tipo]]="","",IFERROR(INDEX(tblTiposMov[FactorStock],MATCH(tblMovimientos[[#This Row],[Tipo]],tblTiposMov[Tipo],0)),0))</f>
        <v/>
      </c>
      <c r="K48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8" s="37"/>
      <c r="O4888" s="37"/>
      <c r="P4888" s="37"/>
    </row>
    <row r="4889" spans="2:16" x14ac:dyDescent="0.25">
      <c r="B48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89" s="46"/>
      <c r="D4889" s="37"/>
      <c r="E4889" s="37"/>
      <c r="F4889" s="37"/>
      <c r="G4889" s="40" t="str">
        <f>IF(tblMovimientos[[#This Row],[Producto]]="","",TRIM(LEFT(tblMovimientos[[#This Row],[Producto]],FIND(" · ",tblMovimientos[[#This Row],[Producto]]&amp;" · ")-1)))</f>
        <v/>
      </c>
      <c r="H4889" s="40" t="str">
        <f>IF(tblMovimientos[[#This Row],[SKU]]="","",IFERROR(INDEX(tblProductos[Unidad],MATCH(tblMovimientos[[#This Row],[SKU]],tblProductos[SKU],0)),"?"))</f>
        <v/>
      </c>
      <c r="I4889" s="39"/>
      <c r="J4889" s="47" t="str">
        <f>IF(tblMovimientos[[#This Row],[Tipo]]="","",IFERROR(INDEX(tblTiposMov[FactorStock],MATCH(tblMovimientos[[#This Row],[Tipo]],tblTiposMov[Tipo],0)),0))</f>
        <v/>
      </c>
      <c r="K48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89" s="37"/>
      <c r="O4889" s="37"/>
      <c r="P4889" s="37"/>
    </row>
    <row r="4890" spans="2:16" x14ac:dyDescent="0.25">
      <c r="B48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0" s="46"/>
      <c r="D4890" s="37"/>
      <c r="E4890" s="37"/>
      <c r="F4890" s="37"/>
      <c r="G4890" s="40" t="str">
        <f>IF(tblMovimientos[[#This Row],[Producto]]="","",TRIM(LEFT(tblMovimientos[[#This Row],[Producto]],FIND(" · ",tblMovimientos[[#This Row],[Producto]]&amp;" · ")-1)))</f>
        <v/>
      </c>
      <c r="H4890" s="40" t="str">
        <f>IF(tblMovimientos[[#This Row],[SKU]]="","",IFERROR(INDEX(tblProductos[Unidad],MATCH(tblMovimientos[[#This Row],[SKU]],tblProductos[SKU],0)),"?"))</f>
        <v/>
      </c>
      <c r="I4890" s="39"/>
      <c r="J4890" s="47" t="str">
        <f>IF(tblMovimientos[[#This Row],[Tipo]]="","",IFERROR(INDEX(tblTiposMov[FactorStock],MATCH(tblMovimientos[[#This Row],[Tipo]],tblTiposMov[Tipo],0)),0))</f>
        <v/>
      </c>
      <c r="K48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0" s="37"/>
      <c r="O4890" s="37"/>
      <c r="P4890" s="37"/>
    </row>
    <row r="4891" spans="2:16" x14ac:dyDescent="0.25">
      <c r="B48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1" s="46"/>
      <c r="D4891" s="37"/>
      <c r="E4891" s="37"/>
      <c r="F4891" s="37"/>
      <c r="G4891" s="40" t="str">
        <f>IF(tblMovimientos[[#This Row],[Producto]]="","",TRIM(LEFT(tblMovimientos[[#This Row],[Producto]],FIND(" · ",tblMovimientos[[#This Row],[Producto]]&amp;" · ")-1)))</f>
        <v/>
      </c>
      <c r="H4891" s="40" t="str">
        <f>IF(tblMovimientos[[#This Row],[SKU]]="","",IFERROR(INDEX(tblProductos[Unidad],MATCH(tblMovimientos[[#This Row],[SKU]],tblProductos[SKU],0)),"?"))</f>
        <v/>
      </c>
      <c r="I4891" s="39"/>
      <c r="J4891" s="47" t="str">
        <f>IF(tblMovimientos[[#This Row],[Tipo]]="","",IFERROR(INDEX(tblTiposMov[FactorStock],MATCH(tblMovimientos[[#This Row],[Tipo]],tblTiposMov[Tipo],0)),0))</f>
        <v/>
      </c>
      <c r="K48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1" s="37"/>
      <c r="O4891" s="37"/>
      <c r="P4891" s="37"/>
    </row>
    <row r="4892" spans="2:16" x14ac:dyDescent="0.25">
      <c r="B48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2" s="46"/>
      <c r="D4892" s="37"/>
      <c r="E4892" s="37"/>
      <c r="F4892" s="37"/>
      <c r="G4892" s="40" t="str">
        <f>IF(tblMovimientos[[#This Row],[Producto]]="","",TRIM(LEFT(tblMovimientos[[#This Row],[Producto]],FIND(" · ",tblMovimientos[[#This Row],[Producto]]&amp;" · ")-1)))</f>
        <v/>
      </c>
      <c r="H4892" s="40" t="str">
        <f>IF(tblMovimientos[[#This Row],[SKU]]="","",IFERROR(INDEX(tblProductos[Unidad],MATCH(tblMovimientos[[#This Row],[SKU]],tblProductos[SKU],0)),"?"))</f>
        <v/>
      </c>
      <c r="I4892" s="39"/>
      <c r="J4892" s="47" t="str">
        <f>IF(tblMovimientos[[#This Row],[Tipo]]="","",IFERROR(INDEX(tblTiposMov[FactorStock],MATCH(tblMovimientos[[#This Row],[Tipo]],tblTiposMov[Tipo],0)),0))</f>
        <v/>
      </c>
      <c r="K48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2" s="37"/>
      <c r="O4892" s="37"/>
      <c r="P4892" s="37"/>
    </row>
    <row r="4893" spans="2:16" x14ac:dyDescent="0.25">
      <c r="B48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3" s="46"/>
      <c r="D4893" s="37"/>
      <c r="E4893" s="37"/>
      <c r="F4893" s="37"/>
      <c r="G4893" s="40" t="str">
        <f>IF(tblMovimientos[[#This Row],[Producto]]="","",TRIM(LEFT(tblMovimientos[[#This Row],[Producto]],FIND(" · ",tblMovimientos[[#This Row],[Producto]]&amp;" · ")-1)))</f>
        <v/>
      </c>
      <c r="H4893" s="40" t="str">
        <f>IF(tblMovimientos[[#This Row],[SKU]]="","",IFERROR(INDEX(tblProductos[Unidad],MATCH(tblMovimientos[[#This Row],[SKU]],tblProductos[SKU],0)),"?"))</f>
        <v/>
      </c>
      <c r="I4893" s="39"/>
      <c r="J4893" s="47" t="str">
        <f>IF(tblMovimientos[[#This Row],[Tipo]]="","",IFERROR(INDEX(tblTiposMov[FactorStock],MATCH(tblMovimientos[[#This Row],[Tipo]],tblTiposMov[Tipo],0)),0))</f>
        <v/>
      </c>
      <c r="K48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3" s="37"/>
      <c r="O4893" s="37"/>
      <c r="P4893" s="37"/>
    </row>
    <row r="4894" spans="2:16" x14ac:dyDescent="0.25">
      <c r="B48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4" s="46"/>
      <c r="D4894" s="37"/>
      <c r="E4894" s="37"/>
      <c r="F4894" s="37"/>
      <c r="G4894" s="40" t="str">
        <f>IF(tblMovimientos[[#This Row],[Producto]]="","",TRIM(LEFT(tblMovimientos[[#This Row],[Producto]],FIND(" · ",tblMovimientos[[#This Row],[Producto]]&amp;" · ")-1)))</f>
        <v/>
      </c>
      <c r="H4894" s="40" t="str">
        <f>IF(tblMovimientos[[#This Row],[SKU]]="","",IFERROR(INDEX(tblProductos[Unidad],MATCH(tblMovimientos[[#This Row],[SKU]],tblProductos[SKU],0)),"?"))</f>
        <v/>
      </c>
      <c r="I4894" s="39"/>
      <c r="J4894" s="47" t="str">
        <f>IF(tblMovimientos[[#This Row],[Tipo]]="","",IFERROR(INDEX(tblTiposMov[FactorStock],MATCH(tblMovimientos[[#This Row],[Tipo]],tblTiposMov[Tipo],0)),0))</f>
        <v/>
      </c>
      <c r="K48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4" s="37"/>
      <c r="O4894" s="37"/>
      <c r="P4894" s="37"/>
    </row>
    <row r="4895" spans="2:16" x14ac:dyDescent="0.25">
      <c r="B48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5" s="46"/>
      <c r="D4895" s="37"/>
      <c r="E4895" s="37"/>
      <c r="F4895" s="37"/>
      <c r="G4895" s="40" t="str">
        <f>IF(tblMovimientos[[#This Row],[Producto]]="","",TRIM(LEFT(tblMovimientos[[#This Row],[Producto]],FIND(" · ",tblMovimientos[[#This Row],[Producto]]&amp;" · ")-1)))</f>
        <v/>
      </c>
      <c r="H4895" s="40" t="str">
        <f>IF(tblMovimientos[[#This Row],[SKU]]="","",IFERROR(INDEX(tblProductos[Unidad],MATCH(tblMovimientos[[#This Row],[SKU]],tblProductos[SKU],0)),"?"))</f>
        <v/>
      </c>
      <c r="I4895" s="39"/>
      <c r="J4895" s="47" t="str">
        <f>IF(tblMovimientos[[#This Row],[Tipo]]="","",IFERROR(INDEX(tblTiposMov[FactorStock],MATCH(tblMovimientos[[#This Row],[Tipo]],tblTiposMov[Tipo],0)),0))</f>
        <v/>
      </c>
      <c r="K48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5" s="37"/>
      <c r="O4895" s="37"/>
      <c r="P4895" s="37"/>
    </row>
    <row r="4896" spans="2:16" x14ac:dyDescent="0.25">
      <c r="B48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6" s="46"/>
      <c r="D4896" s="37"/>
      <c r="E4896" s="37"/>
      <c r="F4896" s="37"/>
      <c r="G4896" s="40" t="str">
        <f>IF(tblMovimientos[[#This Row],[Producto]]="","",TRIM(LEFT(tblMovimientos[[#This Row],[Producto]],FIND(" · ",tblMovimientos[[#This Row],[Producto]]&amp;" · ")-1)))</f>
        <v/>
      </c>
      <c r="H4896" s="40" t="str">
        <f>IF(tblMovimientos[[#This Row],[SKU]]="","",IFERROR(INDEX(tblProductos[Unidad],MATCH(tblMovimientos[[#This Row],[SKU]],tblProductos[SKU],0)),"?"))</f>
        <v/>
      </c>
      <c r="I4896" s="39"/>
      <c r="J4896" s="47" t="str">
        <f>IF(tblMovimientos[[#This Row],[Tipo]]="","",IFERROR(INDEX(tblTiposMov[FactorStock],MATCH(tblMovimientos[[#This Row],[Tipo]],tblTiposMov[Tipo],0)),0))</f>
        <v/>
      </c>
      <c r="K48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6" s="37"/>
      <c r="O4896" s="37"/>
      <c r="P4896" s="37"/>
    </row>
    <row r="4897" spans="2:16" x14ac:dyDescent="0.25">
      <c r="B48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7" s="46"/>
      <c r="D4897" s="37"/>
      <c r="E4897" s="37"/>
      <c r="F4897" s="37"/>
      <c r="G4897" s="40" t="str">
        <f>IF(tblMovimientos[[#This Row],[Producto]]="","",TRIM(LEFT(tblMovimientos[[#This Row],[Producto]],FIND(" · ",tblMovimientos[[#This Row],[Producto]]&amp;" · ")-1)))</f>
        <v/>
      </c>
      <c r="H4897" s="40" t="str">
        <f>IF(tblMovimientos[[#This Row],[SKU]]="","",IFERROR(INDEX(tblProductos[Unidad],MATCH(tblMovimientos[[#This Row],[SKU]],tblProductos[SKU],0)),"?"))</f>
        <v/>
      </c>
      <c r="I4897" s="39"/>
      <c r="J4897" s="47" t="str">
        <f>IF(tblMovimientos[[#This Row],[Tipo]]="","",IFERROR(INDEX(tblTiposMov[FactorStock],MATCH(tblMovimientos[[#This Row],[Tipo]],tblTiposMov[Tipo],0)),0))</f>
        <v/>
      </c>
      <c r="K48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7" s="37"/>
      <c r="O4897" s="37"/>
      <c r="P4897" s="37"/>
    </row>
    <row r="4898" spans="2:16" x14ac:dyDescent="0.25">
      <c r="B48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8" s="46"/>
      <c r="D4898" s="37"/>
      <c r="E4898" s="37"/>
      <c r="F4898" s="37"/>
      <c r="G4898" s="40" t="str">
        <f>IF(tblMovimientos[[#This Row],[Producto]]="","",TRIM(LEFT(tblMovimientos[[#This Row],[Producto]],FIND(" · ",tblMovimientos[[#This Row],[Producto]]&amp;" · ")-1)))</f>
        <v/>
      </c>
      <c r="H4898" s="40" t="str">
        <f>IF(tblMovimientos[[#This Row],[SKU]]="","",IFERROR(INDEX(tblProductos[Unidad],MATCH(tblMovimientos[[#This Row],[SKU]],tblProductos[SKU],0)),"?"))</f>
        <v/>
      </c>
      <c r="I4898" s="39"/>
      <c r="J4898" s="47" t="str">
        <f>IF(tblMovimientos[[#This Row],[Tipo]]="","",IFERROR(INDEX(tblTiposMov[FactorStock],MATCH(tblMovimientos[[#This Row],[Tipo]],tblTiposMov[Tipo],0)),0))</f>
        <v/>
      </c>
      <c r="K48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8" s="37"/>
      <c r="O4898" s="37"/>
      <c r="P4898" s="37"/>
    </row>
    <row r="4899" spans="2:16" x14ac:dyDescent="0.25">
      <c r="B48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899" s="46"/>
      <c r="D4899" s="37"/>
      <c r="E4899" s="37"/>
      <c r="F4899" s="37"/>
      <c r="G4899" s="40" t="str">
        <f>IF(tblMovimientos[[#This Row],[Producto]]="","",TRIM(LEFT(tblMovimientos[[#This Row],[Producto]],FIND(" · ",tblMovimientos[[#This Row],[Producto]]&amp;" · ")-1)))</f>
        <v/>
      </c>
      <c r="H4899" s="40" t="str">
        <f>IF(tblMovimientos[[#This Row],[SKU]]="","",IFERROR(INDEX(tblProductos[Unidad],MATCH(tblMovimientos[[#This Row],[SKU]],tblProductos[SKU],0)),"?"))</f>
        <v/>
      </c>
      <c r="I4899" s="39"/>
      <c r="J4899" s="47" t="str">
        <f>IF(tblMovimientos[[#This Row],[Tipo]]="","",IFERROR(INDEX(tblTiposMov[FactorStock],MATCH(tblMovimientos[[#This Row],[Tipo]],tblTiposMov[Tipo],0)),0))</f>
        <v/>
      </c>
      <c r="K48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8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8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899" s="37"/>
      <c r="O4899" s="37"/>
      <c r="P4899" s="37"/>
    </row>
    <row r="4900" spans="2:16" x14ac:dyDescent="0.25">
      <c r="B49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0" s="46"/>
      <c r="D4900" s="37"/>
      <c r="E4900" s="37"/>
      <c r="F4900" s="37"/>
      <c r="G4900" s="40" t="str">
        <f>IF(tblMovimientos[[#This Row],[Producto]]="","",TRIM(LEFT(tblMovimientos[[#This Row],[Producto]],FIND(" · ",tblMovimientos[[#This Row],[Producto]]&amp;" · ")-1)))</f>
        <v/>
      </c>
      <c r="H4900" s="40" t="str">
        <f>IF(tblMovimientos[[#This Row],[SKU]]="","",IFERROR(INDEX(tblProductos[Unidad],MATCH(tblMovimientos[[#This Row],[SKU]],tblProductos[SKU],0)),"?"))</f>
        <v/>
      </c>
      <c r="I4900" s="39"/>
      <c r="J4900" s="47" t="str">
        <f>IF(tblMovimientos[[#This Row],[Tipo]]="","",IFERROR(INDEX(tblTiposMov[FactorStock],MATCH(tblMovimientos[[#This Row],[Tipo]],tblTiposMov[Tipo],0)),0))</f>
        <v/>
      </c>
      <c r="K49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0" s="37"/>
      <c r="O4900" s="37"/>
      <c r="P4900" s="37"/>
    </row>
    <row r="4901" spans="2:16" x14ac:dyDescent="0.25">
      <c r="B49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1" s="46"/>
      <c r="D4901" s="37"/>
      <c r="E4901" s="37"/>
      <c r="F4901" s="37"/>
      <c r="G4901" s="40" t="str">
        <f>IF(tblMovimientos[[#This Row],[Producto]]="","",TRIM(LEFT(tblMovimientos[[#This Row],[Producto]],FIND(" · ",tblMovimientos[[#This Row],[Producto]]&amp;" · ")-1)))</f>
        <v/>
      </c>
      <c r="H4901" s="40" t="str">
        <f>IF(tblMovimientos[[#This Row],[SKU]]="","",IFERROR(INDEX(tblProductos[Unidad],MATCH(tblMovimientos[[#This Row],[SKU]],tblProductos[SKU],0)),"?"))</f>
        <v/>
      </c>
      <c r="I4901" s="39"/>
      <c r="J4901" s="47" t="str">
        <f>IF(tblMovimientos[[#This Row],[Tipo]]="","",IFERROR(INDEX(tblTiposMov[FactorStock],MATCH(tblMovimientos[[#This Row],[Tipo]],tblTiposMov[Tipo],0)),0))</f>
        <v/>
      </c>
      <c r="K49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1" s="37"/>
      <c r="O4901" s="37"/>
      <c r="P4901" s="37"/>
    </row>
    <row r="4902" spans="2:16" x14ac:dyDescent="0.25">
      <c r="B49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2" s="46"/>
      <c r="D4902" s="37"/>
      <c r="E4902" s="37"/>
      <c r="F4902" s="37"/>
      <c r="G4902" s="40" t="str">
        <f>IF(tblMovimientos[[#This Row],[Producto]]="","",TRIM(LEFT(tblMovimientos[[#This Row],[Producto]],FIND(" · ",tblMovimientos[[#This Row],[Producto]]&amp;" · ")-1)))</f>
        <v/>
      </c>
      <c r="H4902" s="40" t="str">
        <f>IF(tblMovimientos[[#This Row],[SKU]]="","",IFERROR(INDEX(tblProductos[Unidad],MATCH(tblMovimientos[[#This Row],[SKU]],tblProductos[SKU],0)),"?"))</f>
        <v/>
      </c>
      <c r="I4902" s="39"/>
      <c r="J4902" s="47" t="str">
        <f>IF(tblMovimientos[[#This Row],[Tipo]]="","",IFERROR(INDEX(tblTiposMov[FactorStock],MATCH(tblMovimientos[[#This Row],[Tipo]],tblTiposMov[Tipo],0)),0))</f>
        <v/>
      </c>
      <c r="K49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2" s="37"/>
      <c r="O4902" s="37"/>
      <c r="P4902" s="37"/>
    </row>
    <row r="4903" spans="2:16" x14ac:dyDescent="0.25">
      <c r="B49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3" s="46"/>
      <c r="D4903" s="37"/>
      <c r="E4903" s="37"/>
      <c r="F4903" s="37"/>
      <c r="G4903" s="40" t="str">
        <f>IF(tblMovimientos[[#This Row],[Producto]]="","",TRIM(LEFT(tblMovimientos[[#This Row],[Producto]],FIND(" · ",tblMovimientos[[#This Row],[Producto]]&amp;" · ")-1)))</f>
        <v/>
      </c>
      <c r="H4903" s="40" t="str">
        <f>IF(tblMovimientos[[#This Row],[SKU]]="","",IFERROR(INDEX(tblProductos[Unidad],MATCH(tblMovimientos[[#This Row],[SKU]],tblProductos[SKU],0)),"?"))</f>
        <v/>
      </c>
      <c r="I4903" s="39"/>
      <c r="J4903" s="47" t="str">
        <f>IF(tblMovimientos[[#This Row],[Tipo]]="","",IFERROR(INDEX(tblTiposMov[FactorStock],MATCH(tblMovimientos[[#This Row],[Tipo]],tblTiposMov[Tipo],0)),0))</f>
        <v/>
      </c>
      <c r="K49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3" s="37"/>
      <c r="O4903" s="37"/>
      <c r="P4903" s="37"/>
    </row>
    <row r="4904" spans="2:16" x14ac:dyDescent="0.25">
      <c r="B49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4" s="46"/>
      <c r="D4904" s="37"/>
      <c r="E4904" s="37"/>
      <c r="F4904" s="37"/>
      <c r="G4904" s="40" t="str">
        <f>IF(tblMovimientos[[#This Row],[Producto]]="","",TRIM(LEFT(tblMovimientos[[#This Row],[Producto]],FIND(" · ",tblMovimientos[[#This Row],[Producto]]&amp;" · ")-1)))</f>
        <v/>
      </c>
      <c r="H4904" s="40" t="str">
        <f>IF(tblMovimientos[[#This Row],[SKU]]="","",IFERROR(INDEX(tblProductos[Unidad],MATCH(tblMovimientos[[#This Row],[SKU]],tblProductos[SKU],0)),"?"))</f>
        <v/>
      </c>
      <c r="I4904" s="39"/>
      <c r="J4904" s="47" t="str">
        <f>IF(tblMovimientos[[#This Row],[Tipo]]="","",IFERROR(INDEX(tblTiposMov[FactorStock],MATCH(tblMovimientos[[#This Row],[Tipo]],tblTiposMov[Tipo],0)),0))</f>
        <v/>
      </c>
      <c r="K49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4" s="37"/>
      <c r="O4904" s="37"/>
      <c r="P4904" s="37"/>
    </row>
    <row r="4905" spans="2:16" x14ac:dyDescent="0.25">
      <c r="B49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5" s="46"/>
      <c r="D4905" s="37"/>
      <c r="E4905" s="37"/>
      <c r="F4905" s="37"/>
      <c r="G4905" s="40" t="str">
        <f>IF(tblMovimientos[[#This Row],[Producto]]="","",TRIM(LEFT(tblMovimientos[[#This Row],[Producto]],FIND(" · ",tblMovimientos[[#This Row],[Producto]]&amp;" · ")-1)))</f>
        <v/>
      </c>
      <c r="H4905" s="40" t="str">
        <f>IF(tblMovimientos[[#This Row],[SKU]]="","",IFERROR(INDEX(tblProductos[Unidad],MATCH(tblMovimientos[[#This Row],[SKU]],tblProductos[SKU],0)),"?"))</f>
        <v/>
      </c>
      <c r="I4905" s="39"/>
      <c r="J4905" s="47" t="str">
        <f>IF(tblMovimientos[[#This Row],[Tipo]]="","",IFERROR(INDEX(tblTiposMov[FactorStock],MATCH(tblMovimientos[[#This Row],[Tipo]],tblTiposMov[Tipo],0)),0))</f>
        <v/>
      </c>
      <c r="K49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5" s="37"/>
      <c r="O4905" s="37"/>
      <c r="P4905" s="37"/>
    </row>
    <row r="4906" spans="2:16" x14ac:dyDescent="0.25">
      <c r="B49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6" s="46"/>
      <c r="D4906" s="37"/>
      <c r="E4906" s="37"/>
      <c r="F4906" s="37"/>
      <c r="G4906" s="40" t="str">
        <f>IF(tblMovimientos[[#This Row],[Producto]]="","",TRIM(LEFT(tblMovimientos[[#This Row],[Producto]],FIND(" · ",tblMovimientos[[#This Row],[Producto]]&amp;" · ")-1)))</f>
        <v/>
      </c>
      <c r="H4906" s="40" t="str">
        <f>IF(tblMovimientos[[#This Row],[SKU]]="","",IFERROR(INDEX(tblProductos[Unidad],MATCH(tblMovimientos[[#This Row],[SKU]],tblProductos[SKU],0)),"?"))</f>
        <v/>
      </c>
      <c r="I4906" s="39"/>
      <c r="J4906" s="47" t="str">
        <f>IF(tblMovimientos[[#This Row],[Tipo]]="","",IFERROR(INDEX(tblTiposMov[FactorStock],MATCH(tblMovimientos[[#This Row],[Tipo]],tblTiposMov[Tipo],0)),0))</f>
        <v/>
      </c>
      <c r="K49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6" s="37"/>
      <c r="O4906" s="37"/>
      <c r="P4906" s="37"/>
    </row>
    <row r="4907" spans="2:16" x14ac:dyDescent="0.25">
      <c r="B49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7" s="46"/>
      <c r="D4907" s="37"/>
      <c r="E4907" s="37"/>
      <c r="F4907" s="37"/>
      <c r="G4907" s="40" t="str">
        <f>IF(tblMovimientos[[#This Row],[Producto]]="","",TRIM(LEFT(tblMovimientos[[#This Row],[Producto]],FIND(" · ",tblMovimientos[[#This Row],[Producto]]&amp;" · ")-1)))</f>
        <v/>
      </c>
      <c r="H4907" s="40" t="str">
        <f>IF(tblMovimientos[[#This Row],[SKU]]="","",IFERROR(INDEX(tblProductos[Unidad],MATCH(tblMovimientos[[#This Row],[SKU]],tblProductos[SKU],0)),"?"))</f>
        <v/>
      </c>
      <c r="I4907" s="39"/>
      <c r="J4907" s="47" t="str">
        <f>IF(tblMovimientos[[#This Row],[Tipo]]="","",IFERROR(INDEX(tblTiposMov[FactorStock],MATCH(tblMovimientos[[#This Row],[Tipo]],tblTiposMov[Tipo],0)),0))</f>
        <v/>
      </c>
      <c r="K49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7" s="37"/>
      <c r="O4907" s="37"/>
      <c r="P4907" s="37"/>
    </row>
    <row r="4908" spans="2:16" x14ac:dyDescent="0.25">
      <c r="B490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8" s="46"/>
      <c r="D4908" s="37"/>
      <c r="E4908" s="37"/>
      <c r="F4908" s="37"/>
      <c r="G4908" s="40" t="str">
        <f>IF(tblMovimientos[[#This Row],[Producto]]="","",TRIM(LEFT(tblMovimientos[[#This Row],[Producto]],FIND(" · ",tblMovimientos[[#This Row],[Producto]]&amp;" · ")-1)))</f>
        <v/>
      </c>
      <c r="H4908" s="40" t="str">
        <f>IF(tblMovimientos[[#This Row],[SKU]]="","",IFERROR(INDEX(tblProductos[Unidad],MATCH(tblMovimientos[[#This Row],[SKU]],tblProductos[SKU],0)),"?"))</f>
        <v/>
      </c>
      <c r="I4908" s="39"/>
      <c r="J4908" s="47" t="str">
        <f>IF(tblMovimientos[[#This Row],[Tipo]]="","",IFERROR(INDEX(tblTiposMov[FactorStock],MATCH(tblMovimientos[[#This Row],[Tipo]],tblTiposMov[Tipo],0)),0))</f>
        <v/>
      </c>
      <c r="K490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8" s="37"/>
      <c r="O4908" s="37"/>
      <c r="P4908" s="37"/>
    </row>
    <row r="4909" spans="2:16" x14ac:dyDescent="0.25">
      <c r="B490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09" s="46"/>
      <c r="D4909" s="37"/>
      <c r="E4909" s="37"/>
      <c r="F4909" s="37"/>
      <c r="G4909" s="40" t="str">
        <f>IF(tblMovimientos[[#This Row],[Producto]]="","",TRIM(LEFT(tblMovimientos[[#This Row],[Producto]],FIND(" · ",tblMovimientos[[#This Row],[Producto]]&amp;" · ")-1)))</f>
        <v/>
      </c>
      <c r="H4909" s="40" t="str">
        <f>IF(tblMovimientos[[#This Row],[SKU]]="","",IFERROR(INDEX(tblProductos[Unidad],MATCH(tblMovimientos[[#This Row],[SKU]],tblProductos[SKU],0)),"?"))</f>
        <v/>
      </c>
      <c r="I4909" s="39"/>
      <c r="J4909" s="47" t="str">
        <f>IF(tblMovimientos[[#This Row],[Tipo]]="","",IFERROR(INDEX(tblTiposMov[FactorStock],MATCH(tblMovimientos[[#This Row],[Tipo]],tblTiposMov[Tipo],0)),0))</f>
        <v/>
      </c>
      <c r="K490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0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0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09" s="37"/>
      <c r="O4909" s="37"/>
      <c r="P4909" s="37"/>
    </row>
    <row r="4910" spans="2:16" x14ac:dyDescent="0.25">
      <c r="B491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0" s="46"/>
      <c r="D4910" s="37"/>
      <c r="E4910" s="37"/>
      <c r="F4910" s="37"/>
      <c r="G4910" s="40" t="str">
        <f>IF(tblMovimientos[[#This Row],[Producto]]="","",TRIM(LEFT(tblMovimientos[[#This Row],[Producto]],FIND(" · ",tblMovimientos[[#This Row],[Producto]]&amp;" · ")-1)))</f>
        <v/>
      </c>
      <c r="H4910" s="40" t="str">
        <f>IF(tblMovimientos[[#This Row],[SKU]]="","",IFERROR(INDEX(tblProductos[Unidad],MATCH(tblMovimientos[[#This Row],[SKU]],tblProductos[SKU],0)),"?"))</f>
        <v/>
      </c>
      <c r="I4910" s="39"/>
      <c r="J4910" s="47" t="str">
        <f>IF(tblMovimientos[[#This Row],[Tipo]]="","",IFERROR(INDEX(tblTiposMov[FactorStock],MATCH(tblMovimientos[[#This Row],[Tipo]],tblTiposMov[Tipo],0)),0))</f>
        <v/>
      </c>
      <c r="K491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0" s="37"/>
      <c r="O4910" s="37"/>
      <c r="P4910" s="37"/>
    </row>
    <row r="4911" spans="2:16" x14ac:dyDescent="0.25">
      <c r="B491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1" s="46"/>
      <c r="D4911" s="37"/>
      <c r="E4911" s="37"/>
      <c r="F4911" s="37"/>
      <c r="G4911" s="40" t="str">
        <f>IF(tblMovimientos[[#This Row],[Producto]]="","",TRIM(LEFT(tblMovimientos[[#This Row],[Producto]],FIND(" · ",tblMovimientos[[#This Row],[Producto]]&amp;" · ")-1)))</f>
        <v/>
      </c>
      <c r="H4911" s="40" t="str">
        <f>IF(tblMovimientos[[#This Row],[SKU]]="","",IFERROR(INDEX(tblProductos[Unidad],MATCH(tblMovimientos[[#This Row],[SKU]],tblProductos[SKU],0)),"?"))</f>
        <v/>
      </c>
      <c r="I4911" s="39"/>
      <c r="J4911" s="47" t="str">
        <f>IF(tblMovimientos[[#This Row],[Tipo]]="","",IFERROR(INDEX(tblTiposMov[FactorStock],MATCH(tblMovimientos[[#This Row],[Tipo]],tblTiposMov[Tipo],0)),0))</f>
        <v/>
      </c>
      <c r="K491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1" s="37"/>
      <c r="O4911" s="37"/>
      <c r="P4911" s="37"/>
    </row>
    <row r="4912" spans="2:16" x14ac:dyDescent="0.25">
      <c r="B491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2" s="46"/>
      <c r="D4912" s="37"/>
      <c r="E4912" s="37"/>
      <c r="F4912" s="37"/>
      <c r="G4912" s="40" t="str">
        <f>IF(tblMovimientos[[#This Row],[Producto]]="","",TRIM(LEFT(tblMovimientos[[#This Row],[Producto]],FIND(" · ",tblMovimientos[[#This Row],[Producto]]&amp;" · ")-1)))</f>
        <v/>
      </c>
      <c r="H4912" s="40" t="str">
        <f>IF(tblMovimientos[[#This Row],[SKU]]="","",IFERROR(INDEX(tblProductos[Unidad],MATCH(tblMovimientos[[#This Row],[SKU]],tblProductos[SKU],0)),"?"))</f>
        <v/>
      </c>
      <c r="I4912" s="39"/>
      <c r="J4912" s="47" t="str">
        <f>IF(tblMovimientos[[#This Row],[Tipo]]="","",IFERROR(INDEX(tblTiposMov[FactorStock],MATCH(tblMovimientos[[#This Row],[Tipo]],tblTiposMov[Tipo],0)),0))</f>
        <v/>
      </c>
      <c r="K491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2" s="37"/>
      <c r="O4912" s="37"/>
      <c r="P4912" s="37"/>
    </row>
    <row r="4913" spans="2:16" x14ac:dyDescent="0.25">
      <c r="B491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3" s="46"/>
      <c r="D4913" s="37"/>
      <c r="E4913" s="37"/>
      <c r="F4913" s="37"/>
      <c r="G4913" s="40" t="str">
        <f>IF(tblMovimientos[[#This Row],[Producto]]="","",TRIM(LEFT(tblMovimientos[[#This Row],[Producto]],FIND(" · ",tblMovimientos[[#This Row],[Producto]]&amp;" · ")-1)))</f>
        <v/>
      </c>
      <c r="H4913" s="40" t="str">
        <f>IF(tblMovimientos[[#This Row],[SKU]]="","",IFERROR(INDEX(tblProductos[Unidad],MATCH(tblMovimientos[[#This Row],[SKU]],tblProductos[SKU],0)),"?"))</f>
        <v/>
      </c>
      <c r="I4913" s="39"/>
      <c r="J4913" s="47" t="str">
        <f>IF(tblMovimientos[[#This Row],[Tipo]]="","",IFERROR(INDEX(tblTiposMov[FactorStock],MATCH(tblMovimientos[[#This Row],[Tipo]],tblTiposMov[Tipo],0)),0))</f>
        <v/>
      </c>
      <c r="K491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3" s="37"/>
      <c r="O4913" s="37"/>
      <c r="P4913" s="37"/>
    </row>
    <row r="4914" spans="2:16" x14ac:dyDescent="0.25">
      <c r="B491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4" s="46"/>
      <c r="D4914" s="37"/>
      <c r="E4914" s="37"/>
      <c r="F4914" s="37"/>
      <c r="G4914" s="40" t="str">
        <f>IF(tblMovimientos[[#This Row],[Producto]]="","",TRIM(LEFT(tblMovimientos[[#This Row],[Producto]],FIND(" · ",tblMovimientos[[#This Row],[Producto]]&amp;" · ")-1)))</f>
        <v/>
      </c>
      <c r="H4914" s="40" t="str">
        <f>IF(tblMovimientos[[#This Row],[SKU]]="","",IFERROR(INDEX(tblProductos[Unidad],MATCH(tblMovimientos[[#This Row],[SKU]],tblProductos[SKU],0)),"?"))</f>
        <v/>
      </c>
      <c r="I4914" s="39"/>
      <c r="J4914" s="47" t="str">
        <f>IF(tblMovimientos[[#This Row],[Tipo]]="","",IFERROR(INDEX(tblTiposMov[FactorStock],MATCH(tblMovimientos[[#This Row],[Tipo]],tblTiposMov[Tipo],0)),0))</f>
        <v/>
      </c>
      <c r="K491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4" s="37"/>
      <c r="O4914" s="37"/>
      <c r="P4914" s="37"/>
    </row>
    <row r="4915" spans="2:16" x14ac:dyDescent="0.25">
      <c r="B491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5" s="46"/>
      <c r="D4915" s="37"/>
      <c r="E4915" s="37"/>
      <c r="F4915" s="37"/>
      <c r="G4915" s="40" t="str">
        <f>IF(tblMovimientos[[#This Row],[Producto]]="","",TRIM(LEFT(tblMovimientos[[#This Row],[Producto]],FIND(" · ",tblMovimientos[[#This Row],[Producto]]&amp;" · ")-1)))</f>
        <v/>
      </c>
      <c r="H4915" s="40" t="str">
        <f>IF(tblMovimientos[[#This Row],[SKU]]="","",IFERROR(INDEX(tblProductos[Unidad],MATCH(tblMovimientos[[#This Row],[SKU]],tblProductos[SKU],0)),"?"))</f>
        <v/>
      </c>
      <c r="I4915" s="39"/>
      <c r="J4915" s="47" t="str">
        <f>IF(tblMovimientos[[#This Row],[Tipo]]="","",IFERROR(INDEX(tblTiposMov[FactorStock],MATCH(tblMovimientos[[#This Row],[Tipo]],tblTiposMov[Tipo],0)),0))</f>
        <v/>
      </c>
      <c r="K491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5" s="37"/>
      <c r="O4915" s="37"/>
      <c r="P4915" s="37"/>
    </row>
    <row r="4916" spans="2:16" x14ac:dyDescent="0.25">
      <c r="B491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6" s="46"/>
      <c r="D4916" s="37"/>
      <c r="E4916" s="37"/>
      <c r="F4916" s="37"/>
      <c r="G4916" s="40" t="str">
        <f>IF(tblMovimientos[[#This Row],[Producto]]="","",TRIM(LEFT(tblMovimientos[[#This Row],[Producto]],FIND(" · ",tblMovimientos[[#This Row],[Producto]]&amp;" · ")-1)))</f>
        <v/>
      </c>
      <c r="H4916" s="40" t="str">
        <f>IF(tblMovimientos[[#This Row],[SKU]]="","",IFERROR(INDEX(tblProductos[Unidad],MATCH(tblMovimientos[[#This Row],[SKU]],tblProductos[SKU],0)),"?"))</f>
        <v/>
      </c>
      <c r="I4916" s="39"/>
      <c r="J4916" s="47" t="str">
        <f>IF(tblMovimientos[[#This Row],[Tipo]]="","",IFERROR(INDEX(tblTiposMov[FactorStock],MATCH(tblMovimientos[[#This Row],[Tipo]],tblTiposMov[Tipo],0)),0))</f>
        <v/>
      </c>
      <c r="K491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6" s="37"/>
      <c r="O4916" s="37"/>
      <c r="P4916" s="37"/>
    </row>
    <row r="4917" spans="2:16" x14ac:dyDescent="0.25">
      <c r="B491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7" s="46"/>
      <c r="D4917" s="37"/>
      <c r="E4917" s="37"/>
      <c r="F4917" s="37"/>
      <c r="G4917" s="40" t="str">
        <f>IF(tblMovimientos[[#This Row],[Producto]]="","",TRIM(LEFT(tblMovimientos[[#This Row],[Producto]],FIND(" · ",tblMovimientos[[#This Row],[Producto]]&amp;" · ")-1)))</f>
        <v/>
      </c>
      <c r="H4917" s="40" t="str">
        <f>IF(tblMovimientos[[#This Row],[SKU]]="","",IFERROR(INDEX(tblProductos[Unidad],MATCH(tblMovimientos[[#This Row],[SKU]],tblProductos[SKU],0)),"?"))</f>
        <v/>
      </c>
      <c r="I4917" s="39"/>
      <c r="J4917" s="47" t="str">
        <f>IF(tblMovimientos[[#This Row],[Tipo]]="","",IFERROR(INDEX(tblTiposMov[FactorStock],MATCH(tblMovimientos[[#This Row],[Tipo]],tblTiposMov[Tipo],0)),0))</f>
        <v/>
      </c>
      <c r="K491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7" s="37"/>
      <c r="O4917" s="37"/>
      <c r="P4917" s="37"/>
    </row>
    <row r="4918" spans="2:16" x14ac:dyDescent="0.25">
      <c r="B491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8" s="46"/>
      <c r="D4918" s="37"/>
      <c r="E4918" s="37"/>
      <c r="F4918" s="37"/>
      <c r="G4918" s="40" t="str">
        <f>IF(tblMovimientos[[#This Row],[Producto]]="","",TRIM(LEFT(tblMovimientos[[#This Row],[Producto]],FIND(" · ",tblMovimientos[[#This Row],[Producto]]&amp;" · ")-1)))</f>
        <v/>
      </c>
      <c r="H4918" s="40" t="str">
        <f>IF(tblMovimientos[[#This Row],[SKU]]="","",IFERROR(INDEX(tblProductos[Unidad],MATCH(tblMovimientos[[#This Row],[SKU]],tblProductos[SKU],0)),"?"))</f>
        <v/>
      </c>
      <c r="I4918" s="39"/>
      <c r="J4918" s="47" t="str">
        <f>IF(tblMovimientos[[#This Row],[Tipo]]="","",IFERROR(INDEX(tblTiposMov[FactorStock],MATCH(tblMovimientos[[#This Row],[Tipo]],tblTiposMov[Tipo],0)),0))</f>
        <v/>
      </c>
      <c r="K491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8" s="37"/>
      <c r="O4918" s="37"/>
      <c r="P4918" s="37"/>
    </row>
    <row r="4919" spans="2:16" x14ac:dyDescent="0.25">
      <c r="B491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19" s="46"/>
      <c r="D4919" s="37"/>
      <c r="E4919" s="37"/>
      <c r="F4919" s="37"/>
      <c r="G4919" s="40" t="str">
        <f>IF(tblMovimientos[[#This Row],[Producto]]="","",TRIM(LEFT(tblMovimientos[[#This Row],[Producto]],FIND(" · ",tblMovimientos[[#This Row],[Producto]]&amp;" · ")-1)))</f>
        <v/>
      </c>
      <c r="H4919" s="40" t="str">
        <f>IF(tblMovimientos[[#This Row],[SKU]]="","",IFERROR(INDEX(tblProductos[Unidad],MATCH(tblMovimientos[[#This Row],[SKU]],tblProductos[SKU],0)),"?"))</f>
        <v/>
      </c>
      <c r="I4919" s="39"/>
      <c r="J4919" s="47" t="str">
        <f>IF(tblMovimientos[[#This Row],[Tipo]]="","",IFERROR(INDEX(tblTiposMov[FactorStock],MATCH(tblMovimientos[[#This Row],[Tipo]],tblTiposMov[Tipo],0)),0))</f>
        <v/>
      </c>
      <c r="K491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1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1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19" s="37"/>
      <c r="O4919" s="37"/>
      <c r="P4919" s="37"/>
    </row>
    <row r="4920" spans="2:16" x14ac:dyDescent="0.25">
      <c r="B492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0" s="46"/>
      <c r="D4920" s="37"/>
      <c r="E4920" s="37"/>
      <c r="F4920" s="37"/>
      <c r="G4920" s="40" t="str">
        <f>IF(tblMovimientos[[#This Row],[Producto]]="","",TRIM(LEFT(tblMovimientos[[#This Row],[Producto]],FIND(" · ",tblMovimientos[[#This Row],[Producto]]&amp;" · ")-1)))</f>
        <v/>
      </c>
      <c r="H4920" s="40" t="str">
        <f>IF(tblMovimientos[[#This Row],[SKU]]="","",IFERROR(INDEX(tblProductos[Unidad],MATCH(tblMovimientos[[#This Row],[SKU]],tblProductos[SKU],0)),"?"))</f>
        <v/>
      </c>
      <c r="I4920" s="39"/>
      <c r="J4920" s="47" t="str">
        <f>IF(tblMovimientos[[#This Row],[Tipo]]="","",IFERROR(INDEX(tblTiposMov[FactorStock],MATCH(tblMovimientos[[#This Row],[Tipo]],tblTiposMov[Tipo],0)),0))</f>
        <v/>
      </c>
      <c r="K492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0" s="37"/>
      <c r="O4920" s="37"/>
      <c r="P4920" s="37"/>
    </row>
    <row r="4921" spans="2:16" x14ac:dyDescent="0.25">
      <c r="B492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1" s="46"/>
      <c r="D4921" s="37"/>
      <c r="E4921" s="37"/>
      <c r="F4921" s="37"/>
      <c r="G4921" s="40" t="str">
        <f>IF(tblMovimientos[[#This Row],[Producto]]="","",TRIM(LEFT(tblMovimientos[[#This Row],[Producto]],FIND(" · ",tblMovimientos[[#This Row],[Producto]]&amp;" · ")-1)))</f>
        <v/>
      </c>
      <c r="H4921" s="40" t="str">
        <f>IF(tblMovimientos[[#This Row],[SKU]]="","",IFERROR(INDEX(tblProductos[Unidad],MATCH(tblMovimientos[[#This Row],[SKU]],tblProductos[SKU],0)),"?"))</f>
        <v/>
      </c>
      <c r="I4921" s="39"/>
      <c r="J4921" s="47" t="str">
        <f>IF(tblMovimientos[[#This Row],[Tipo]]="","",IFERROR(INDEX(tblTiposMov[FactorStock],MATCH(tblMovimientos[[#This Row],[Tipo]],tblTiposMov[Tipo],0)),0))</f>
        <v/>
      </c>
      <c r="K492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1" s="37"/>
      <c r="O4921" s="37"/>
      <c r="P4921" s="37"/>
    </row>
    <row r="4922" spans="2:16" x14ac:dyDescent="0.25">
      <c r="B492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2" s="46"/>
      <c r="D4922" s="37"/>
      <c r="E4922" s="37"/>
      <c r="F4922" s="37"/>
      <c r="G4922" s="40" t="str">
        <f>IF(tblMovimientos[[#This Row],[Producto]]="","",TRIM(LEFT(tblMovimientos[[#This Row],[Producto]],FIND(" · ",tblMovimientos[[#This Row],[Producto]]&amp;" · ")-1)))</f>
        <v/>
      </c>
      <c r="H4922" s="40" t="str">
        <f>IF(tblMovimientos[[#This Row],[SKU]]="","",IFERROR(INDEX(tblProductos[Unidad],MATCH(tblMovimientos[[#This Row],[SKU]],tblProductos[SKU],0)),"?"))</f>
        <v/>
      </c>
      <c r="I4922" s="39"/>
      <c r="J4922" s="47" t="str">
        <f>IF(tblMovimientos[[#This Row],[Tipo]]="","",IFERROR(INDEX(tblTiposMov[FactorStock],MATCH(tblMovimientos[[#This Row],[Tipo]],tblTiposMov[Tipo],0)),0))</f>
        <v/>
      </c>
      <c r="K492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2" s="37"/>
      <c r="O4922" s="37"/>
      <c r="P4922" s="37"/>
    </row>
    <row r="4923" spans="2:16" x14ac:dyDescent="0.25">
      <c r="B492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3" s="46"/>
      <c r="D4923" s="37"/>
      <c r="E4923" s="37"/>
      <c r="F4923" s="37"/>
      <c r="G4923" s="40" t="str">
        <f>IF(tblMovimientos[[#This Row],[Producto]]="","",TRIM(LEFT(tblMovimientos[[#This Row],[Producto]],FIND(" · ",tblMovimientos[[#This Row],[Producto]]&amp;" · ")-1)))</f>
        <v/>
      </c>
      <c r="H4923" s="40" t="str">
        <f>IF(tblMovimientos[[#This Row],[SKU]]="","",IFERROR(INDEX(tblProductos[Unidad],MATCH(tblMovimientos[[#This Row],[SKU]],tblProductos[SKU],0)),"?"))</f>
        <v/>
      </c>
      <c r="I4923" s="39"/>
      <c r="J4923" s="47" t="str">
        <f>IF(tblMovimientos[[#This Row],[Tipo]]="","",IFERROR(INDEX(tblTiposMov[FactorStock],MATCH(tblMovimientos[[#This Row],[Tipo]],tblTiposMov[Tipo],0)),0))</f>
        <v/>
      </c>
      <c r="K492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3" s="37"/>
      <c r="O4923" s="37"/>
      <c r="P4923" s="37"/>
    </row>
    <row r="4924" spans="2:16" x14ac:dyDescent="0.25">
      <c r="B492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4" s="46"/>
      <c r="D4924" s="37"/>
      <c r="E4924" s="37"/>
      <c r="F4924" s="37"/>
      <c r="G4924" s="40" t="str">
        <f>IF(tblMovimientos[[#This Row],[Producto]]="","",TRIM(LEFT(tblMovimientos[[#This Row],[Producto]],FIND(" · ",tblMovimientos[[#This Row],[Producto]]&amp;" · ")-1)))</f>
        <v/>
      </c>
      <c r="H4924" s="40" t="str">
        <f>IF(tblMovimientos[[#This Row],[SKU]]="","",IFERROR(INDEX(tblProductos[Unidad],MATCH(tblMovimientos[[#This Row],[SKU]],tblProductos[SKU],0)),"?"))</f>
        <v/>
      </c>
      <c r="I4924" s="39"/>
      <c r="J4924" s="47" t="str">
        <f>IF(tblMovimientos[[#This Row],[Tipo]]="","",IFERROR(INDEX(tblTiposMov[FactorStock],MATCH(tblMovimientos[[#This Row],[Tipo]],tblTiposMov[Tipo],0)),0))</f>
        <v/>
      </c>
      <c r="K492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4" s="37"/>
      <c r="O4924" s="37"/>
      <c r="P4924" s="37"/>
    </row>
    <row r="4925" spans="2:16" x14ac:dyDescent="0.25">
      <c r="B492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5" s="46"/>
      <c r="D4925" s="37"/>
      <c r="E4925" s="37"/>
      <c r="F4925" s="37"/>
      <c r="G4925" s="40" t="str">
        <f>IF(tblMovimientos[[#This Row],[Producto]]="","",TRIM(LEFT(tblMovimientos[[#This Row],[Producto]],FIND(" · ",tblMovimientos[[#This Row],[Producto]]&amp;" · ")-1)))</f>
        <v/>
      </c>
      <c r="H4925" s="40" t="str">
        <f>IF(tblMovimientos[[#This Row],[SKU]]="","",IFERROR(INDEX(tblProductos[Unidad],MATCH(tblMovimientos[[#This Row],[SKU]],tblProductos[SKU],0)),"?"))</f>
        <v/>
      </c>
      <c r="I4925" s="39"/>
      <c r="J4925" s="47" t="str">
        <f>IF(tblMovimientos[[#This Row],[Tipo]]="","",IFERROR(INDEX(tblTiposMov[FactorStock],MATCH(tblMovimientos[[#This Row],[Tipo]],tblTiposMov[Tipo],0)),0))</f>
        <v/>
      </c>
      <c r="K492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5" s="37"/>
      <c r="O4925" s="37"/>
      <c r="P4925" s="37"/>
    </row>
    <row r="4926" spans="2:16" x14ac:dyDescent="0.25">
      <c r="B492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6" s="46"/>
      <c r="D4926" s="37"/>
      <c r="E4926" s="37"/>
      <c r="F4926" s="37"/>
      <c r="G4926" s="40" t="str">
        <f>IF(tblMovimientos[[#This Row],[Producto]]="","",TRIM(LEFT(tblMovimientos[[#This Row],[Producto]],FIND(" · ",tblMovimientos[[#This Row],[Producto]]&amp;" · ")-1)))</f>
        <v/>
      </c>
      <c r="H4926" s="40" t="str">
        <f>IF(tblMovimientos[[#This Row],[SKU]]="","",IFERROR(INDEX(tblProductos[Unidad],MATCH(tblMovimientos[[#This Row],[SKU]],tblProductos[SKU],0)),"?"))</f>
        <v/>
      </c>
      <c r="I4926" s="39"/>
      <c r="J4926" s="47" t="str">
        <f>IF(tblMovimientos[[#This Row],[Tipo]]="","",IFERROR(INDEX(tblTiposMov[FactorStock],MATCH(tblMovimientos[[#This Row],[Tipo]],tblTiposMov[Tipo],0)),0))</f>
        <v/>
      </c>
      <c r="K492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6" s="37"/>
      <c r="O4926" s="37"/>
      <c r="P4926" s="37"/>
    </row>
    <row r="4927" spans="2:16" x14ac:dyDescent="0.25">
      <c r="B492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7" s="46"/>
      <c r="D4927" s="37"/>
      <c r="E4927" s="37"/>
      <c r="F4927" s="37"/>
      <c r="G4927" s="40" t="str">
        <f>IF(tblMovimientos[[#This Row],[Producto]]="","",TRIM(LEFT(tblMovimientos[[#This Row],[Producto]],FIND(" · ",tblMovimientos[[#This Row],[Producto]]&amp;" · ")-1)))</f>
        <v/>
      </c>
      <c r="H4927" s="40" t="str">
        <f>IF(tblMovimientos[[#This Row],[SKU]]="","",IFERROR(INDEX(tblProductos[Unidad],MATCH(tblMovimientos[[#This Row],[SKU]],tblProductos[SKU],0)),"?"))</f>
        <v/>
      </c>
      <c r="I4927" s="39"/>
      <c r="J4927" s="47" t="str">
        <f>IF(tblMovimientos[[#This Row],[Tipo]]="","",IFERROR(INDEX(tblTiposMov[FactorStock],MATCH(tblMovimientos[[#This Row],[Tipo]],tblTiposMov[Tipo],0)),0))</f>
        <v/>
      </c>
      <c r="K492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7" s="37"/>
      <c r="O4927" s="37"/>
      <c r="P4927" s="37"/>
    </row>
    <row r="4928" spans="2:16" x14ac:dyDescent="0.25">
      <c r="B492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8" s="46"/>
      <c r="D4928" s="37"/>
      <c r="E4928" s="37"/>
      <c r="F4928" s="37"/>
      <c r="G4928" s="40" t="str">
        <f>IF(tblMovimientos[[#This Row],[Producto]]="","",TRIM(LEFT(tblMovimientos[[#This Row],[Producto]],FIND(" · ",tblMovimientos[[#This Row],[Producto]]&amp;" · ")-1)))</f>
        <v/>
      </c>
      <c r="H4928" s="40" t="str">
        <f>IF(tblMovimientos[[#This Row],[SKU]]="","",IFERROR(INDEX(tblProductos[Unidad],MATCH(tblMovimientos[[#This Row],[SKU]],tblProductos[SKU],0)),"?"))</f>
        <v/>
      </c>
      <c r="I4928" s="39"/>
      <c r="J4928" s="47" t="str">
        <f>IF(tblMovimientos[[#This Row],[Tipo]]="","",IFERROR(INDEX(tblTiposMov[FactorStock],MATCH(tblMovimientos[[#This Row],[Tipo]],tblTiposMov[Tipo],0)),0))</f>
        <v/>
      </c>
      <c r="K492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8" s="37"/>
      <c r="O4928" s="37"/>
      <c r="P4928" s="37"/>
    </row>
    <row r="4929" spans="2:16" x14ac:dyDescent="0.25">
      <c r="B492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29" s="46"/>
      <c r="D4929" s="37"/>
      <c r="E4929" s="37"/>
      <c r="F4929" s="37"/>
      <c r="G4929" s="40" t="str">
        <f>IF(tblMovimientos[[#This Row],[Producto]]="","",TRIM(LEFT(tblMovimientos[[#This Row],[Producto]],FIND(" · ",tblMovimientos[[#This Row],[Producto]]&amp;" · ")-1)))</f>
        <v/>
      </c>
      <c r="H4929" s="40" t="str">
        <f>IF(tblMovimientos[[#This Row],[SKU]]="","",IFERROR(INDEX(tblProductos[Unidad],MATCH(tblMovimientos[[#This Row],[SKU]],tblProductos[SKU],0)),"?"))</f>
        <v/>
      </c>
      <c r="I4929" s="39"/>
      <c r="J4929" s="47" t="str">
        <f>IF(tblMovimientos[[#This Row],[Tipo]]="","",IFERROR(INDEX(tblTiposMov[FactorStock],MATCH(tblMovimientos[[#This Row],[Tipo]],tblTiposMov[Tipo],0)),0))</f>
        <v/>
      </c>
      <c r="K492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2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2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29" s="37"/>
      <c r="O4929" s="37"/>
      <c r="P4929" s="37"/>
    </row>
    <row r="4930" spans="2:16" x14ac:dyDescent="0.25">
      <c r="B493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0" s="46"/>
      <c r="D4930" s="37"/>
      <c r="E4930" s="37"/>
      <c r="F4930" s="37"/>
      <c r="G4930" s="40" t="str">
        <f>IF(tblMovimientos[[#This Row],[Producto]]="","",TRIM(LEFT(tblMovimientos[[#This Row],[Producto]],FIND(" · ",tblMovimientos[[#This Row],[Producto]]&amp;" · ")-1)))</f>
        <v/>
      </c>
      <c r="H4930" s="40" t="str">
        <f>IF(tblMovimientos[[#This Row],[SKU]]="","",IFERROR(INDEX(tblProductos[Unidad],MATCH(tblMovimientos[[#This Row],[SKU]],tblProductos[SKU],0)),"?"))</f>
        <v/>
      </c>
      <c r="I4930" s="39"/>
      <c r="J4930" s="47" t="str">
        <f>IF(tblMovimientos[[#This Row],[Tipo]]="","",IFERROR(INDEX(tblTiposMov[FactorStock],MATCH(tblMovimientos[[#This Row],[Tipo]],tblTiposMov[Tipo],0)),0))</f>
        <v/>
      </c>
      <c r="K493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0" s="37"/>
      <c r="O4930" s="37"/>
      <c r="P4930" s="37"/>
    </row>
    <row r="4931" spans="2:16" x14ac:dyDescent="0.25">
      <c r="B493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1" s="46"/>
      <c r="D4931" s="37"/>
      <c r="E4931" s="37"/>
      <c r="F4931" s="37"/>
      <c r="G4931" s="40" t="str">
        <f>IF(tblMovimientos[[#This Row],[Producto]]="","",TRIM(LEFT(tblMovimientos[[#This Row],[Producto]],FIND(" · ",tblMovimientos[[#This Row],[Producto]]&amp;" · ")-1)))</f>
        <v/>
      </c>
      <c r="H4931" s="40" t="str">
        <f>IF(tblMovimientos[[#This Row],[SKU]]="","",IFERROR(INDEX(tblProductos[Unidad],MATCH(tblMovimientos[[#This Row],[SKU]],tblProductos[SKU],0)),"?"))</f>
        <v/>
      </c>
      <c r="I4931" s="39"/>
      <c r="J4931" s="47" t="str">
        <f>IF(tblMovimientos[[#This Row],[Tipo]]="","",IFERROR(INDEX(tblTiposMov[FactorStock],MATCH(tblMovimientos[[#This Row],[Tipo]],tblTiposMov[Tipo],0)),0))</f>
        <v/>
      </c>
      <c r="K493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1" s="37"/>
      <c r="O4931" s="37"/>
      <c r="P4931" s="37"/>
    </row>
    <row r="4932" spans="2:16" x14ac:dyDescent="0.25">
      <c r="B493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2" s="46"/>
      <c r="D4932" s="37"/>
      <c r="E4932" s="37"/>
      <c r="F4932" s="37"/>
      <c r="G4932" s="40" t="str">
        <f>IF(tblMovimientos[[#This Row],[Producto]]="","",TRIM(LEFT(tblMovimientos[[#This Row],[Producto]],FIND(" · ",tblMovimientos[[#This Row],[Producto]]&amp;" · ")-1)))</f>
        <v/>
      </c>
      <c r="H4932" s="40" t="str">
        <f>IF(tblMovimientos[[#This Row],[SKU]]="","",IFERROR(INDEX(tblProductos[Unidad],MATCH(tblMovimientos[[#This Row],[SKU]],tblProductos[SKU],0)),"?"))</f>
        <v/>
      </c>
      <c r="I4932" s="39"/>
      <c r="J4932" s="47" t="str">
        <f>IF(tblMovimientos[[#This Row],[Tipo]]="","",IFERROR(INDEX(tblTiposMov[FactorStock],MATCH(tblMovimientos[[#This Row],[Tipo]],tblTiposMov[Tipo],0)),0))</f>
        <v/>
      </c>
      <c r="K493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2" s="37"/>
      <c r="O4932" s="37"/>
      <c r="P4932" s="37"/>
    </row>
    <row r="4933" spans="2:16" x14ac:dyDescent="0.25">
      <c r="B493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3" s="46"/>
      <c r="D4933" s="37"/>
      <c r="E4933" s="37"/>
      <c r="F4933" s="37"/>
      <c r="G4933" s="40" t="str">
        <f>IF(tblMovimientos[[#This Row],[Producto]]="","",TRIM(LEFT(tblMovimientos[[#This Row],[Producto]],FIND(" · ",tblMovimientos[[#This Row],[Producto]]&amp;" · ")-1)))</f>
        <v/>
      </c>
      <c r="H4933" s="40" t="str">
        <f>IF(tblMovimientos[[#This Row],[SKU]]="","",IFERROR(INDEX(tblProductos[Unidad],MATCH(tblMovimientos[[#This Row],[SKU]],tblProductos[SKU],0)),"?"))</f>
        <v/>
      </c>
      <c r="I4933" s="39"/>
      <c r="J4933" s="47" t="str">
        <f>IF(tblMovimientos[[#This Row],[Tipo]]="","",IFERROR(INDEX(tblTiposMov[FactorStock],MATCH(tblMovimientos[[#This Row],[Tipo]],tblTiposMov[Tipo],0)),0))</f>
        <v/>
      </c>
      <c r="K493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3" s="37"/>
      <c r="O4933" s="37"/>
      <c r="P4933" s="37"/>
    </row>
    <row r="4934" spans="2:16" x14ac:dyDescent="0.25">
      <c r="B493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4" s="46"/>
      <c r="D4934" s="37"/>
      <c r="E4934" s="37"/>
      <c r="F4934" s="37"/>
      <c r="G4934" s="40" t="str">
        <f>IF(tblMovimientos[[#This Row],[Producto]]="","",TRIM(LEFT(tblMovimientos[[#This Row],[Producto]],FIND(" · ",tblMovimientos[[#This Row],[Producto]]&amp;" · ")-1)))</f>
        <v/>
      </c>
      <c r="H4934" s="40" t="str">
        <f>IF(tblMovimientos[[#This Row],[SKU]]="","",IFERROR(INDEX(tblProductos[Unidad],MATCH(tblMovimientos[[#This Row],[SKU]],tblProductos[SKU],0)),"?"))</f>
        <v/>
      </c>
      <c r="I4934" s="39"/>
      <c r="J4934" s="47" t="str">
        <f>IF(tblMovimientos[[#This Row],[Tipo]]="","",IFERROR(INDEX(tblTiposMov[FactorStock],MATCH(tblMovimientos[[#This Row],[Tipo]],tblTiposMov[Tipo],0)),0))</f>
        <v/>
      </c>
      <c r="K493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4" s="37"/>
      <c r="O4934" s="37"/>
      <c r="P4934" s="37"/>
    </row>
    <row r="4935" spans="2:16" x14ac:dyDescent="0.25">
      <c r="B493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5" s="46"/>
      <c r="D4935" s="37"/>
      <c r="E4935" s="37"/>
      <c r="F4935" s="37"/>
      <c r="G4935" s="40" t="str">
        <f>IF(tblMovimientos[[#This Row],[Producto]]="","",TRIM(LEFT(tblMovimientos[[#This Row],[Producto]],FIND(" · ",tblMovimientos[[#This Row],[Producto]]&amp;" · ")-1)))</f>
        <v/>
      </c>
      <c r="H4935" s="40" t="str">
        <f>IF(tblMovimientos[[#This Row],[SKU]]="","",IFERROR(INDEX(tblProductos[Unidad],MATCH(tblMovimientos[[#This Row],[SKU]],tblProductos[SKU],0)),"?"))</f>
        <v/>
      </c>
      <c r="I4935" s="39"/>
      <c r="J4935" s="47" t="str">
        <f>IF(tblMovimientos[[#This Row],[Tipo]]="","",IFERROR(INDEX(tblTiposMov[FactorStock],MATCH(tblMovimientos[[#This Row],[Tipo]],tblTiposMov[Tipo],0)),0))</f>
        <v/>
      </c>
      <c r="K493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5" s="37"/>
      <c r="O4935" s="37"/>
      <c r="P4935" s="37"/>
    </row>
    <row r="4936" spans="2:16" x14ac:dyDescent="0.25">
      <c r="B493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6" s="46"/>
      <c r="D4936" s="37"/>
      <c r="E4936" s="37"/>
      <c r="F4936" s="37"/>
      <c r="G4936" s="40" t="str">
        <f>IF(tblMovimientos[[#This Row],[Producto]]="","",TRIM(LEFT(tblMovimientos[[#This Row],[Producto]],FIND(" · ",tblMovimientos[[#This Row],[Producto]]&amp;" · ")-1)))</f>
        <v/>
      </c>
      <c r="H4936" s="40" t="str">
        <f>IF(tblMovimientos[[#This Row],[SKU]]="","",IFERROR(INDEX(tblProductos[Unidad],MATCH(tblMovimientos[[#This Row],[SKU]],tblProductos[SKU],0)),"?"))</f>
        <v/>
      </c>
      <c r="I4936" s="39"/>
      <c r="J4936" s="47" t="str">
        <f>IF(tblMovimientos[[#This Row],[Tipo]]="","",IFERROR(INDEX(tblTiposMov[FactorStock],MATCH(tblMovimientos[[#This Row],[Tipo]],tblTiposMov[Tipo],0)),0))</f>
        <v/>
      </c>
      <c r="K493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6" s="37"/>
      <c r="O4936" s="37"/>
      <c r="P4936" s="37"/>
    </row>
    <row r="4937" spans="2:16" x14ac:dyDescent="0.25">
      <c r="B493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7" s="46"/>
      <c r="D4937" s="37"/>
      <c r="E4937" s="37"/>
      <c r="F4937" s="37"/>
      <c r="G4937" s="40" t="str">
        <f>IF(tblMovimientos[[#This Row],[Producto]]="","",TRIM(LEFT(tblMovimientos[[#This Row],[Producto]],FIND(" · ",tblMovimientos[[#This Row],[Producto]]&amp;" · ")-1)))</f>
        <v/>
      </c>
      <c r="H4937" s="40" t="str">
        <f>IF(tblMovimientos[[#This Row],[SKU]]="","",IFERROR(INDEX(tblProductos[Unidad],MATCH(tblMovimientos[[#This Row],[SKU]],tblProductos[SKU],0)),"?"))</f>
        <v/>
      </c>
      <c r="I4937" s="39"/>
      <c r="J4937" s="47" t="str">
        <f>IF(tblMovimientos[[#This Row],[Tipo]]="","",IFERROR(INDEX(tblTiposMov[FactorStock],MATCH(tblMovimientos[[#This Row],[Tipo]],tblTiposMov[Tipo],0)),0))</f>
        <v/>
      </c>
      <c r="K493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7" s="37"/>
      <c r="O4937" s="37"/>
      <c r="P4937" s="37"/>
    </row>
    <row r="4938" spans="2:16" x14ac:dyDescent="0.25">
      <c r="B493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8" s="46"/>
      <c r="D4938" s="37"/>
      <c r="E4938" s="37"/>
      <c r="F4938" s="37"/>
      <c r="G4938" s="40" t="str">
        <f>IF(tblMovimientos[[#This Row],[Producto]]="","",TRIM(LEFT(tblMovimientos[[#This Row],[Producto]],FIND(" · ",tblMovimientos[[#This Row],[Producto]]&amp;" · ")-1)))</f>
        <v/>
      </c>
      <c r="H4938" s="40" t="str">
        <f>IF(tblMovimientos[[#This Row],[SKU]]="","",IFERROR(INDEX(tblProductos[Unidad],MATCH(tblMovimientos[[#This Row],[SKU]],tblProductos[SKU],0)),"?"))</f>
        <v/>
      </c>
      <c r="I4938" s="39"/>
      <c r="J4938" s="47" t="str">
        <f>IF(tblMovimientos[[#This Row],[Tipo]]="","",IFERROR(INDEX(tblTiposMov[FactorStock],MATCH(tblMovimientos[[#This Row],[Tipo]],tblTiposMov[Tipo],0)),0))</f>
        <v/>
      </c>
      <c r="K493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8" s="37"/>
      <c r="O4938" s="37"/>
      <c r="P4938" s="37"/>
    </row>
    <row r="4939" spans="2:16" x14ac:dyDescent="0.25">
      <c r="B493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39" s="46"/>
      <c r="D4939" s="37"/>
      <c r="E4939" s="37"/>
      <c r="F4939" s="37"/>
      <c r="G4939" s="40" t="str">
        <f>IF(tblMovimientos[[#This Row],[Producto]]="","",TRIM(LEFT(tblMovimientos[[#This Row],[Producto]],FIND(" · ",tblMovimientos[[#This Row],[Producto]]&amp;" · ")-1)))</f>
        <v/>
      </c>
      <c r="H4939" s="40" t="str">
        <f>IF(tblMovimientos[[#This Row],[SKU]]="","",IFERROR(INDEX(tblProductos[Unidad],MATCH(tblMovimientos[[#This Row],[SKU]],tblProductos[SKU],0)),"?"))</f>
        <v/>
      </c>
      <c r="I4939" s="39"/>
      <c r="J4939" s="47" t="str">
        <f>IF(tblMovimientos[[#This Row],[Tipo]]="","",IFERROR(INDEX(tblTiposMov[FactorStock],MATCH(tblMovimientos[[#This Row],[Tipo]],tblTiposMov[Tipo],0)),0))</f>
        <v/>
      </c>
      <c r="K493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3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3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39" s="37"/>
      <c r="O4939" s="37"/>
      <c r="P4939" s="37"/>
    </row>
    <row r="4940" spans="2:16" x14ac:dyDescent="0.25">
      <c r="B494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0" s="46"/>
      <c r="D4940" s="37"/>
      <c r="E4940" s="37"/>
      <c r="F4940" s="37"/>
      <c r="G4940" s="40" t="str">
        <f>IF(tblMovimientos[[#This Row],[Producto]]="","",TRIM(LEFT(tblMovimientos[[#This Row],[Producto]],FIND(" · ",tblMovimientos[[#This Row],[Producto]]&amp;" · ")-1)))</f>
        <v/>
      </c>
      <c r="H4940" s="40" t="str">
        <f>IF(tblMovimientos[[#This Row],[SKU]]="","",IFERROR(INDEX(tblProductos[Unidad],MATCH(tblMovimientos[[#This Row],[SKU]],tblProductos[SKU],0)),"?"))</f>
        <v/>
      </c>
      <c r="I4940" s="39"/>
      <c r="J4940" s="47" t="str">
        <f>IF(tblMovimientos[[#This Row],[Tipo]]="","",IFERROR(INDEX(tblTiposMov[FactorStock],MATCH(tblMovimientos[[#This Row],[Tipo]],tblTiposMov[Tipo],0)),0))</f>
        <v/>
      </c>
      <c r="K494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0" s="37"/>
      <c r="O4940" s="37"/>
      <c r="P4940" s="37"/>
    </row>
    <row r="4941" spans="2:16" x14ac:dyDescent="0.25">
      <c r="B494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1" s="46"/>
      <c r="D4941" s="37"/>
      <c r="E4941" s="37"/>
      <c r="F4941" s="37"/>
      <c r="G4941" s="40" t="str">
        <f>IF(tblMovimientos[[#This Row],[Producto]]="","",TRIM(LEFT(tblMovimientos[[#This Row],[Producto]],FIND(" · ",tblMovimientos[[#This Row],[Producto]]&amp;" · ")-1)))</f>
        <v/>
      </c>
      <c r="H4941" s="40" t="str">
        <f>IF(tblMovimientos[[#This Row],[SKU]]="","",IFERROR(INDEX(tblProductos[Unidad],MATCH(tblMovimientos[[#This Row],[SKU]],tblProductos[SKU],0)),"?"))</f>
        <v/>
      </c>
      <c r="I4941" s="39"/>
      <c r="J4941" s="47" t="str">
        <f>IF(tblMovimientos[[#This Row],[Tipo]]="","",IFERROR(INDEX(tblTiposMov[FactorStock],MATCH(tblMovimientos[[#This Row],[Tipo]],tblTiposMov[Tipo],0)),0))</f>
        <v/>
      </c>
      <c r="K494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1" s="37"/>
      <c r="O4941" s="37"/>
      <c r="P4941" s="37"/>
    </row>
    <row r="4942" spans="2:16" x14ac:dyDescent="0.25">
      <c r="B494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2" s="46"/>
      <c r="D4942" s="37"/>
      <c r="E4942" s="37"/>
      <c r="F4942" s="37"/>
      <c r="G4942" s="40" t="str">
        <f>IF(tblMovimientos[[#This Row],[Producto]]="","",TRIM(LEFT(tblMovimientos[[#This Row],[Producto]],FIND(" · ",tblMovimientos[[#This Row],[Producto]]&amp;" · ")-1)))</f>
        <v/>
      </c>
      <c r="H4942" s="40" t="str">
        <f>IF(tblMovimientos[[#This Row],[SKU]]="","",IFERROR(INDEX(tblProductos[Unidad],MATCH(tblMovimientos[[#This Row],[SKU]],tblProductos[SKU],0)),"?"))</f>
        <v/>
      </c>
      <c r="I4942" s="39"/>
      <c r="J4942" s="47" t="str">
        <f>IF(tblMovimientos[[#This Row],[Tipo]]="","",IFERROR(INDEX(tblTiposMov[FactorStock],MATCH(tblMovimientos[[#This Row],[Tipo]],tblTiposMov[Tipo],0)),0))</f>
        <v/>
      </c>
      <c r="K494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2" s="37"/>
      <c r="O4942" s="37"/>
      <c r="P4942" s="37"/>
    </row>
    <row r="4943" spans="2:16" x14ac:dyDescent="0.25">
      <c r="B494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3" s="46"/>
      <c r="D4943" s="37"/>
      <c r="E4943" s="37"/>
      <c r="F4943" s="37"/>
      <c r="G4943" s="40" t="str">
        <f>IF(tblMovimientos[[#This Row],[Producto]]="","",TRIM(LEFT(tblMovimientos[[#This Row],[Producto]],FIND(" · ",tblMovimientos[[#This Row],[Producto]]&amp;" · ")-1)))</f>
        <v/>
      </c>
      <c r="H4943" s="40" t="str">
        <f>IF(tblMovimientos[[#This Row],[SKU]]="","",IFERROR(INDEX(tblProductos[Unidad],MATCH(tblMovimientos[[#This Row],[SKU]],tblProductos[SKU],0)),"?"))</f>
        <v/>
      </c>
      <c r="I4943" s="39"/>
      <c r="J4943" s="47" t="str">
        <f>IF(tblMovimientos[[#This Row],[Tipo]]="","",IFERROR(INDEX(tblTiposMov[FactorStock],MATCH(tblMovimientos[[#This Row],[Tipo]],tblTiposMov[Tipo],0)),0))</f>
        <v/>
      </c>
      <c r="K494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3" s="37"/>
      <c r="O4943" s="37"/>
      <c r="P4943" s="37"/>
    </row>
    <row r="4944" spans="2:16" x14ac:dyDescent="0.25">
      <c r="B494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4" s="46"/>
      <c r="D4944" s="37"/>
      <c r="E4944" s="37"/>
      <c r="F4944" s="37"/>
      <c r="G4944" s="40" t="str">
        <f>IF(tblMovimientos[[#This Row],[Producto]]="","",TRIM(LEFT(tblMovimientos[[#This Row],[Producto]],FIND(" · ",tblMovimientos[[#This Row],[Producto]]&amp;" · ")-1)))</f>
        <v/>
      </c>
      <c r="H4944" s="40" t="str">
        <f>IF(tblMovimientos[[#This Row],[SKU]]="","",IFERROR(INDEX(tblProductos[Unidad],MATCH(tblMovimientos[[#This Row],[SKU]],tblProductos[SKU],0)),"?"))</f>
        <v/>
      </c>
      <c r="I4944" s="39"/>
      <c r="J4944" s="47" t="str">
        <f>IF(tblMovimientos[[#This Row],[Tipo]]="","",IFERROR(INDEX(tblTiposMov[FactorStock],MATCH(tblMovimientos[[#This Row],[Tipo]],tblTiposMov[Tipo],0)),0))</f>
        <v/>
      </c>
      <c r="K494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4" s="37"/>
      <c r="O4944" s="37"/>
      <c r="P4944" s="37"/>
    </row>
    <row r="4945" spans="2:16" x14ac:dyDescent="0.25">
      <c r="B494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5" s="46"/>
      <c r="D4945" s="37"/>
      <c r="E4945" s="37"/>
      <c r="F4945" s="37"/>
      <c r="G4945" s="40" t="str">
        <f>IF(tblMovimientos[[#This Row],[Producto]]="","",TRIM(LEFT(tblMovimientos[[#This Row],[Producto]],FIND(" · ",tblMovimientos[[#This Row],[Producto]]&amp;" · ")-1)))</f>
        <v/>
      </c>
      <c r="H4945" s="40" t="str">
        <f>IF(tblMovimientos[[#This Row],[SKU]]="","",IFERROR(INDEX(tblProductos[Unidad],MATCH(tblMovimientos[[#This Row],[SKU]],tblProductos[SKU],0)),"?"))</f>
        <v/>
      </c>
      <c r="I4945" s="39"/>
      <c r="J4945" s="47" t="str">
        <f>IF(tblMovimientos[[#This Row],[Tipo]]="","",IFERROR(INDEX(tblTiposMov[FactorStock],MATCH(tblMovimientos[[#This Row],[Tipo]],tblTiposMov[Tipo],0)),0))</f>
        <v/>
      </c>
      <c r="K494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5" s="37"/>
      <c r="O4945" s="37"/>
      <c r="P4945" s="37"/>
    </row>
    <row r="4946" spans="2:16" x14ac:dyDescent="0.25">
      <c r="B494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6" s="46"/>
      <c r="D4946" s="37"/>
      <c r="E4946" s="37"/>
      <c r="F4946" s="37"/>
      <c r="G4946" s="40" t="str">
        <f>IF(tblMovimientos[[#This Row],[Producto]]="","",TRIM(LEFT(tblMovimientos[[#This Row],[Producto]],FIND(" · ",tblMovimientos[[#This Row],[Producto]]&amp;" · ")-1)))</f>
        <v/>
      </c>
      <c r="H4946" s="40" t="str">
        <f>IF(tblMovimientos[[#This Row],[SKU]]="","",IFERROR(INDEX(tblProductos[Unidad],MATCH(tblMovimientos[[#This Row],[SKU]],tblProductos[SKU],0)),"?"))</f>
        <v/>
      </c>
      <c r="I4946" s="39"/>
      <c r="J4946" s="47" t="str">
        <f>IF(tblMovimientos[[#This Row],[Tipo]]="","",IFERROR(INDEX(tblTiposMov[FactorStock],MATCH(tblMovimientos[[#This Row],[Tipo]],tblTiposMov[Tipo],0)),0))</f>
        <v/>
      </c>
      <c r="K494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6" s="37"/>
      <c r="O4946" s="37"/>
      <c r="P4946" s="37"/>
    </row>
    <row r="4947" spans="2:16" x14ac:dyDescent="0.25">
      <c r="B494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7" s="46"/>
      <c r="D4947" s="37"/>
      <c r="E4947" s="37"/>
      <c r="F4947" s="37"/>
      <c r="G4947" s="40" t="str">
        <f>IF(tblMovimientos[[#This Row],[Producto]]="","",TRIM(LEFT(tblMovimientos[[#This Row],[Producto]],FIND(" · ",tblMovimientos[[#This Row],[Producto]]&amp;" · ")-1)))</f>
        <v/>
      </c>
      <c r="H4947" s="40" t="str">
        <f>IF(tblMovimientos[[#This Row],[SKU]]="","",IFERROR(INDEX(tblProductos[Unidad],MATCH(tblMovimientos[[#This Row],[SKU]],tblProductos[SKU],0)),"?"))</f>
        <v/>
      </c>
      <c r="I4947" s="39"/>
      <c r="J4947" s="47" t="str">
        <f>IF(tblMovimientos[[#This Row],[Tipo]]="","",IFERROR(INDEX(tblTiposMov[FactorStock],MATCH(tblMovimientos[[#This Row],[Tipo]],tblTiposMov[Tipo],0)),0))</f>
        <v/>
      </c>
      <c r="K494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7" s="37"/>
      <c r="O4947" s="37"/>
      <c r="P4947" s="37"/>
    </row>
    <row r="4948" spans="2:16" x14ac:dyDescent="0.25">
      <c r="B494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8" s="46"/>
      <c r="D4948" s="37"/>
      <c r="E4948" s="37"/>
      <c r="F4948" s="37"/>
      <c r="G4948" s="40" t="str">
        <f>IF(tblMovimientos[[#This Row],[Producto]]="","",TRIM(LEFT(tblMovimientos[[#This Row],[Producto]],FIND(" · ",tblMovimientos[[#This Row],[Producto]]&amp;" · ")-1)))</f>
        <v/>
      </c>
      <c r="H4948" s="40" t="str">
        <f>IF(tblMovimientos[[#This Row],[SKU]]="","",IFERROR(INDEX(tblProductos[Unidad],MATCH(tblMovimientos[[#This Row],[SKU]],tblProductos[SKU],0)),"?"))</f>
        <v/>
      </c>
      <c r="I4948" s="39"/>
      <c r="J4948" s="47" t="str">
        <f>IF(tblMovimientos[[#This Row],[Tipo]]="","",IFERROR(INDEX(tblTiposMov[FactorStock],MATCH(tblMovimientos[[#This Row],[Tipo]],tblTiposMov[Tipo],0)),0))</f>
        <v/>
      </c>
      <c r="K494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8" s="37"/>
      <c r="O4948" s="37"/>
      <c r="P4948" s="37"/>
    </row>
    <row r="4949" spans="2:16" x14ac:dyDescent="0.25">
      <c r="B494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49" s="46"/>
      <c r="D4949" s="37"/>
      <c r="E4949" s="37"/>
      <c r="F4949" s="37"/>
      <c r="G4949" s="40" t="str">
        <f>IF(tblMovimientos[[#This Row],[Producto]]="","",TRIM(LEFT(tblMovimientos[[#This Row],[Producto]],FIND(" · ",tblMovimientos[[#This Row],[Producto]]&amp;" · ")-1)))</f>
        <v/>
      </c>
      <c r="H4949" s="40" t="str">
        <f>IF(tblMovimientos[[#This Row],[SKU]]="","",IFERROR(INDEX(tblProductos[Unidad],MATCH(tblMovimientos[[#This Row],[SKU]],tblProductos[SKU],0)),"?"))</f>
        <v/>
      </c>
      <c r="I4949" s="39"/>
      <c r="J4949" s="47" t="str">
        <f>IF(tblMovimientos[[#This Row],[Tipo]]="","",IFERROR(INDEX(tblTiposMov[FactorStock],MATCH(tblMovimientos[[#This Row],[Tipo]],tblTiposMov[Tipo],0)),0))</f>
        <v/>
      </c>
      <c r="K494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4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4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49" s="37"/>
      <c r="O4949" s="37"/>
      <c r="P4949" s="37"/>
    </row>
    <row r="4950" spans="2:16" x14ac:dyDescent="0.25">
      <c r="B495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0" s="46"/>
      <c r="D4950" s="37"/>
      <c r="E4950" s="37"/>
      <c r="F4950" s="37"/>
      <c r="G4950" s="40" t="str">
        <f>IF(tblMovimientos[[#This Row],[Producto]]="","",TRIM(LEFT(tblMovimientos[[#This Row],[Producto]],FIND(" · ",tblMovimientos[[#This Row],[Producto]]&amp;" · ")-1)))</f>
        <v/>
      </c>
      <c r="H4950" s="40" t="str">
        <f>IF(tblMovimientos[[#This Row],[SKU]]="","",IFERROR(INDEX(tblProductos[Unidad],MATCH(tblMovimientos[[#This Row],[SKU]],tblProductos[SKU],0)),"?"))</f>
        <v/>
      </c>
      <c r="I4950" s="39"/>
      <c r="J4950" s="47" t="str">
        <f>IF(tblMovimientos[[#This Row],[Tipo]]="","",IFERROR(INDEX(tblTiposMov[FactorStock],MATCH(tblMovimientos[[#This Row],[Tipo]],tblTiposMov[Tipo],0)),0))</f>
        <v/>
      </c>
      <c r="K495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0" s="37"/>
      <c r="O4950" s="37"/>
      <c r="P4950" s="37"/>
    </row>
    <row r="4951" spans="2:16" x14ac:dyDescent="0.25">
      <c r="B495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1" s="46"/>
      <c r="D4951" s="37"/>
      <c r="E4951" s="37"/>
      <c r="F4951" s="37"/>
      <c r="G4951" s="40" t="str">
        <f>IF(tblMovimientos[[#This Row],[Producto]]="","",TRIM(LEFT(tblMovimientos[[#This Row],[Producto]],FIND(" · ",tblMovimientos[[#This Row],[Producto]]&amp;" · ")-1)))</f>
        <v/>
      </c>
      <c r="H4951" s="40" t="str">
        <f>IF(tblMovimientos[[#This Row],[SKU]]="","",IFERROR(INDEX(tblProductos[Unidad],MATCH(tblMovimientos[[#This Row],[SKU]],tblProductos[SKU],0)),"?"))</f>
        <v/>
      </c>
      <c r="I4951" s="39"/>
      <c r="J4951" s="47" t="str">
        <f>IF(tblMovimientos[[#This Row],[Tipo]]="","",IFERROR(INDEX(tblTiposMov[FactorStock],MATCH(tblMovimientos[[#This Row],[Tipo]],tblTiposMov[Tipo],0)),0))</f>
        <v/>
      </c>
      <c r="K495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1" s="37"/>
      <c r="O4951" s="37"/>
      <c r="P4951" s="37"/>
    </row>
    <row r="4952" spans="2:16" x14ac:dyDescent="0.25">
      <c r="B495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2" s="46"/>
      <c r="D4952" s="37"/>
      <c r="E4952" s="37"/>
      <c r="F4952" s="37"/>
      <c r="G4952" s="40" t="str">
        <f>IF(tblMovimientos[[#This Row],[Producto]]="","",TRIM(LEFT(tblMovimientos[[#This Row],[Producto]],FIND(" · ",tblMovimientos[[#This Row],[Producto]]&amp;" · ")-1)))</f>
        <v/>
      </c>
      <c r="H4952" s="40" t="str">
        <f>IF(tblMovimientos[[#This Row],[SKU]]="","",IFERROR(INDEX(tblProductos[Unidad],MATCH(tblMovimientos[[#This Row],[SKU]],tblProductos[SKU],0)),"?"))</f>
        <v/>
      </c>
      <c r="I4952" s="39"/>
      <c r="J4952" s="47" t="str">
        <f>IF(tblMovimientos[[#This Row],[Tipo]]="","",IFERROR(INDEX(tblTiposMov[FactorStock],MATCH(tblMovimientos[[#This Row],[Tipo]],tblTiposMov[Tipo],0)),0))</f>
        <v/>
      </c>
      <c r="K495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2" s="37"/>
      <c r="O4952" s="37"/>
      <c r="P4952" s="37"/>
    </row>
    <row r="4953" spans="2:16" x14ac:dyDescent="0.25">
      <c r="B495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3" s="46"/>
      <c r="D4953" s="37"/>
      <c r="E4953" s="37"/>
      <c r="F4953" s="37"/>
      <c r="G4953" s="40" t="str">
        <f>IF(tblMovimientos[[#This Row],[Producto]]="","",TRIM(LEFT(tblMovimientos[[#This Row],[Producto]],FIND(" · ",tblMovimientos[[#This Row],[Producto]]&amp;" · ")-1)))</f>
        <v/>
      </c>
      <c r="H4953" s="40" t="str">
        <f>IF(tblMovimientos[[#This Row],[SKU]]="","",IFERROR(INDEX(tblProductos[Unidad],MATCH(tblMovimientos[[#This Row],[SKU]],tblProductos[SKU],0)),"?"))</f>
        <v/>
      </c>
      <c r="I4953" s="39"/>
      <c r="J4953" s="47" t="str">
        <f>IF(tblMovimientos[[#This Row],[Tipo]]="","",IFERROR(INDEX(tblTiposMov[FactorStock],MATCH(tblMovimientos[[#This Row],[Tipo]],tblTiposMov[Tipo],0)),0))</f>
        <v/>
      </c>
      <c r="K495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3" s="37"/>
      <c r="O4953" s="37"/>
      <c r="P4953" s="37"/>
    </row>
    <row r="4954" spans="2:16" x14ac:dyDescent="0.25">
      <c r="B495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4" s="46"/>
      <c r="D4954" s="37"/>
      <c r="E4954" s="37"/>
      <c r="F4954" s="37"/>
      <c r="G4954" s="40" t="str">
        <f>IF(tblMovimientos[[#This Row],[Producto]]="","",TRIM(LEFT(tblMovimientos[[#This Row],[Producto]],FIND(" · ",tblMovimientos[[#This Row],[Producto]]&amp;" · ")-1)))</f>
        <v/>
      </c>
      <c r="H4954" s="40" t="str">
        <f>IF(tblMovimientos[[#This Row],[SKU]]="","",IFERROR(INDEX(tblProductos[Unidad],MATCH(tblMovimientos[[#This Row],[SKU]],tblProductos[SKU],0)),"?"))</f>
        <v/>
      </c>
      <c r="I4954" s="39"/>
      <c r="J4954" s="47" t="str">
        <f>IF(tblMovimientos[[#This Row],[Tipo]]="","",IFERROR(INDEX(tblTiposMov[FactorStock],MATCH(tblMovimientos[[#This Row],[Tipo]],tblTiposMov[Tipo],0)),0))</f>
        <v/>
      </c>
      <c r="K495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4" s="37"/>
      <c r="O4954" s="37"/>
      <c r="P4954" s="37"/>
    </row>
    <row r="4955" spans="2:16" x14ac:dyDescent="0.25">
      <c r="B495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5" s="46"/>
      <c r="D4955" s="37"/>
      <c r="E4955" s="37"/>
      <c r="F4955" s="37"/>
      <c r="G4955" s="40" t="str">
        <f>IF(tblMovimientos[[#This Row],[Producto]]="","",TRIM(LEFT(tblMovimientos[[#This Row],[Producto]],FIND(" · ",tblMovimientos[[#This Row],[Producto]]&amp;" · ")-1)))</f>
        <v/>
      </c>
      <c r="H4955" s="40" t="str">
        <f>IF(tblMovimientos[[#This Row],[SKU]]="","",IFERROR(INDEX(tblProductos[Unidad],MATCH(tblMovimientos[[#This Row],[SKU]],tblProductos[SKU],0)),"?"))</f>
        <v/>
      </c>
      <c r="I4955" s="39"/>
      <c r="J4955" s="47" t="str">
        <f>IF(tblMovimientos[[#This Row],[Tipo]]="","",IFERROR(INDEX(tblTiposMov[FactorStock],MATCH(tblMovimientos[[#This Row],[Tipo]],tblTiposMov[Tipo],0)),0))</f>
        <v/>
      </c>
      <c r="K495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5" s="37"/>
      <c r="O4955" s="37"/>
      <c r="P4955" s="37"/>
    </row>
    <row r="4956" spans="2:16" x14ac:dyDescent="0.25">
      <c r="B495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6" s="46"/>
      <c r="D4956" s="37"/>
      <c r="E4956" s="37"/>
      <c r="F4956" s="37"/>
      <c r="G4956" s="40" t="str">
        <f>IF(tblMovimientos[[#This Row],[Producto]]="","",TRIM(LEFT(tblMovimientos[[#This Row],[Producto]],FIND(" · ",tblMovimientos[[#This Row],[Producto]]&amp;" · ")-1)))</f>
        <v/>
      </c>
      <c r="H4956" s="40" t="str">
        <f>IF(tblMovimientos[[#This Row],[SKU]]="","",IFERROR(INDEX(tblProductos[Unidad],MATCH(tblMovimientos[[#This Row],[SKU]],tblProductos[SKU],0)),"?"))</f>
        <v/>
      </c>
      <c r="I4956" s="39"/>
      <c r="J4956" s="47" t="str">
        <f>IF(tblMovimientos[[#This Row],[Tipo]]="","",IFERROR(INDEX(tblTiposMov[FactorStock],MATCH(tblMovimientos[[#This Row],[Tipo]],tblTiposMov[Tipo],0)),0))</f>
        <v/>
      </c>
      <c r="K495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6" s="37"/>
      <c r="O4956" s="37"/>
      <c r="P4956" s="37"/>
    </row>
    <row r="4957" spans="2:16" x14ac:dyDescent="0.25">
      <c r="B495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7" s="46"/>
      <c r="D4957" s="37"/>
      <c r="E4957" s="37"/>
      <c r="F4957" s="37"/>
      <c r="G4957" s="40" t="str">
        <f>IF(tblMovimientos[[#This Row],[Producto]]="","",TRIM(LEFT(tblMovimientos[[#This Row],[Producto]],FIND(" · ",tblMovimientos[[#This Row],[Producto]]&amp;" · ")-1)))</f>
        <v/>
      </c>
      <c r="H4957" s="40" t="str">
        <f>IF(tblMovimientos[[#This Row],[SKU]]="","",IFERROR(INDEX(tblProductos[Unidad],MATCH(tblMovimientos[[#This Row],[SKU]],tblProductos[SKU],0)),"?"))</f>
        <v/>
      </c>
      <c r="I4957" s="39"/>
      <c r="J4957" s="47" t="str">
        <f>IF(tblMovimientos[[#This Row],[Tipo]]="","",IFERROR(INDEX(tblTiposMov[FactorStock],MATCH(tblMovimientos[[#This Row],[Tipo]],tblTiposMov[Tipo],0)),0))</f>
        <v/>
      </c>
      <c r="K495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7" s="37"/>
      <c r="O4957" s="37"/>
      <c r="P4957" s="37"/>
    </row>
    <row r="4958" spans="2:16" x14ac:dyDescent="0.25">
      <c r="B495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8" s="46"/>
      <c r="D4958" s="37"/>
      <c r="E4958" s="37"/>
      <c r="F4958" s="37"/>
      <c r="G4958" s="40" t="str">
        <f>IF(tblMovimientos[[#This Row],[Producto]]="","",TRIM(LEFT(tblMovimientos[[#This Row],[Producto]],FIND(" · ",tblMovimientos[[#This Row],[Producto]]&amp;" · ")-1)))</f>
        <v/>
      </c>
      <c r="H4958" s="40" t="str">
        <f>IF(tblMovimientos[[#This Row],[SKU]]="","",IFERROR(INDEX(tblProductos[Unidad],MATCH(tblMovimientos[[#This Row],[SKU]],tblProductos[SKU],0)),"?"))</f>
        <v/>
      </c>
      <c r="I4958" s="39"/>
      <c r="J4958" s="47" t="str">
        <f>IF(tblMovimientos[[#This Row],[Tipo]]="","",IFERROR(INDEX(tblTiposMov[FactorStock],MATCH(tblMovimientos[[#This Row],[Tipo]],tblTiposMov[Tipo],0)),0))</f>
        <v/>
      </c>
      <c r="K495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8" s="37"/>
      <c r="O4958" s="37"/>
      <c r="P4958" s="37"/>
    </row>
    <row r="4959" spans="2:16" x14ac:dyDescent="0.25">
      <c r="B495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59" s="46"/>
      <c r="D4959" s="37"/>
      <c r="E4959" s="37"/>
      <c r="F4959" s="37"/>
      <c r="G4959" s="40" t="str">
        <f>IF(tblMovimientos[[#This Row],[Producto]]="","",TRIM(LEFT(tblMovimientos[[#This Row],[Producto]],FIND(" · ",tblMovimientos[[#This Row],[Producto]]&amp;" · ")-1)))</f>
        <v/>
      </c>
      <c r="H4959" s="40" t="str">
        <f>IF(tblMovimientos[[#This Row],[SKU]]="","",IFERROR(INDEX(tblProductos[Unidad],MATCH(tblMovimientos[[#This Row],[SKU]],tblProductos[SKU],0)),"?"))</f>
        <v/>
      </c>
      <c r="I4959" s="39"/>
      <c r="J4959" s="47" t="str">
        <f>IF(tblMovimientos[[#This Row],[Tipo]]="","",IFERROR(INDEX(tblTiposMov[FactorStock],MATCH(tblMovimientos[[#This Row],[Tipo]],tblTiposMov[Tipo],0)),0))</f>
        <v/>
      </c>
      <c r="K495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5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5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59" s="37"/>
      <c r="O4959" s="37"/>
      <c r="P4959" s="37"/>
    </row>
    <row r="4960" spans="2:16" x14ac:dyDescent="0.25">
      <c r="B496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0" s="46"/>
      <c r="D4960" s="37"/>
      <c r="E4960" s="37"/>
      <c r="F4960" s="37"/>
      <c r="G4960" s="40" t="str">
        <f>IF(tblMovimientos[[#This Row],[Producto]]="","",TRIM(LEFT(tblMovimientos[[#This Row],[Producto]],FIND(" · ",tblMovimientos[[#This Row],[Producto]]&amp;" · ")-1)))</f>
        <v/>
      </c>
      <c r="H4960" s="40" t="str">
        <f>IF(tblMovimientos[[#This Row],[SKU]]="","",IFERROR(INDEX(tblProductos[Unidad],MATCH(tblMovimientos[[#This Row],[SKU]],tblProductos[SKU],0)),"?"))</f>
        <v/>
      </c>
      <c r="I4960" s="39"/>
      <c r="J4960" s="47" t="str">
        <f>IF(tblMovimientos[[#This Row],[Tipo]]="","",IFERROR(INDEX(tblTiposMov[FactorStock],MATCH(tblMovimientos[[#This Row],[Tipo]],tblTiposMov[Tipo],0)),0))</f>
        <v/>
      </c>
      <c r="K496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0" s="37"/>
      <c r="O4960" s="37"/>
      <c r="P4960" s="37"/>
    </row>
    <row r="4961" spans="2:16" x14ac:dyDescent="0.25">
      <c r="B496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1" s="46"/>
      <c r="D4961" s="37"/>
      <c r="E4961" s="37"/>
      <c r="F4961" s="37"/>
      <c r="G4961" s="40" t="str">
        <f>IF(tblMovimientos[[#This Row],[Producto]]="","",TRIM(LEFT(tblMovimientos[[#This Row],[Producto]],FIND(" · ",tblMovimientos[[#This Row],[Producto]]&amp;" · ")-1)))</f>
        <v/>
      </c>
      <c r="H4961" s="40" t="str">
        <f>IF(tblMovimientos[[#This Row],[SKU]]="","",IFERROR(INDEX(tblProductos[Unidad],MATCH(tblMovimientos[[#This Row],[SKU]],tblProductos[SKU],0)),"?"))</f>
        <v/>
      </c>
      <c r="I4961" s="39"/>
      <c r="J4961" s="47" t="str">
        <f>IF(tblMovimientos[[#This Row],[Tipo]]="","",IFERROR(INDEX(tblTiposMov[FactorStock],MATCH(tblMovimientos[[#This Row],[Tipo]],tblTiposMov[Tipo],0)),0))</f>
        <v/>
      </c>
      <c r="K496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1" s="37"/>
      <c r="O4961" s="37"/>
      <c r="P4961" s="37"/>
    </row>
    <row r="4962" spans="2:16" x14ac:dyDescent="0.25">
      <c r="B496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2" s="46"/>
      <c r="D4962" s="37"/>
      <c r="E4962" s="37"/>
      <c r="F4962" s="37"/>
      <c r="G4962" s="40" t="str">
        <f>IF(tblMovimientos[[#This Row],[Producto]]="","",TRIM(LEFT(tblMovimientos[[#This Row],[Producto]],FIND(" · ",tblMovimientos[[#This Row],[Producto]]&amp;" · ")-1)))</f>
        <v/>
      </c>
      <c r="H4962" s="40" t="str">
        <f>IF(tblMovimientos[[#This Row],[SKU]]="","",IFERROR(INDEX(tblProductos[Unidad],MATCH(tblMovimientos[[#This Row],[SKU]],tblProductos[SKU],0)),"?"))</f>
        <v/>
      </c>
      <c r="I4962" s="39"/>
      <c r="J4962" s="47" t="str">
        <f>IF(tblMovimientos[[#This Row],[Tipo]]="","",IFERROR(INDEX(tblTiposMov[FactorStock],MATCH(tblMovimientos[[#This Row],[Tipo]],tblTiposMov[Tipo],0)),0))</f>
        <v/>
      </c>
      <c r="K496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2" s="37"/>
      <c r="O4962" s="37"/>
      <c r="P4962" s="37"/>
    </row>
    <row r="4963" spans="2:16" x14ac:dyDescent="0.25">
      <c r="B496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3" s="46"/>
      <c r="D4963" s="37"/>
      <c r="E4963" s="37"/>
      <c r="F4963" s="37"/>
      <c r="G4963" s="40" t="str">
        <f>IF(tblMovimientos[[#This Row],[Producto]]="","",TRIM(LEFT(tblMovimientos[[#This Row],[Producto]],FIND(" · ",tblMovimientos[[#This Row],[Producto]]&amp;" · ")-1)))</f>
        <v/>
      </c>
      <c r="H4963" s="40" t="str">
        <f>IF(tblMovimientos[[#This Row],[SKU]]="","",IFERROR(INDEX(tblProductos[Unidad],MATCH(tblMovimientos[[#This Row],[SKU]],tblProductos[SKU],0)),"?"))</f>
        <v/>
      </c>
      <c r="I4963" s="39"/>
      <c r="J4963" s="47" t="str">
        <f>IF(tblMovimientos[[#This Row],[Tipo]]="","",IFERROR(INDEX(tblTiposMov[FactorStock],MATCH(tblMovimientos[[#This Row],[Tipo]],tblTiposMov[Tipo],0)),0))</f>
        <v/>
      </c>
      <c r="K496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3" s="37"/>
      <c r="O4963" s="37"/>
      <c r="P4963" s="37"/>
    </row>
    <row r="4964" spans="2:16" x14ac:dyDescent="0.25">
      <c r="B496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4" s="46"/>
      <c r="D4964" s="37"/>
      <c r="E4964" s="37"/>
      <c r="F4964" s="37"/>
      <c r="G4964" s="40" t="str">
        <f>IF(tblMovimientos[[#This Row],[Producto]]="","",TRIM(LEFT(tblMovimientos[[#This Row],[Producto]],FIND(" · ",tblMovimientos[[#This Row],[Producto]]&amp;" · ")-1)))</f>
        <v/>
      </c>
      <c r="H4964" s="40" t="str">
        <f>IF(tblMovimientos[[#This Row],[SKU]]="","",IFERROR(INDEX(tblProductos[Unidad],MATCH(tblMovimientos[[#This Row],[SKU]],tblProductos[SKU],0)),"?"))</f>
        <v/>
      </c>
      <c r="I4964" s="39"/>
      <c r="J4964" s="47" t="str">
        <f>IF(tblMovimientos[[#This Row],[Tipo]]="","",IFERROR(INDEX(tblTiposMov[FactorStock],MATCH(tblMovimientos[[#This Row],[Tipo]],tblTiposMov[Tipo],0)),0))</f>
        <v/>
      </c>
      <c r="K496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4" s="37"/>
      <c r="O4964" s="37"/>
      <c r="P4964" s="37"/>
    </row>
    <row r="4965" spans="2:16" x14ac:dyDescent="0.25">
      <c r="B496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5" s="46"/>
      <c r="D4965" s="37"/>
      <c r="E4965" s="37"/>
      <c r="F4965" s="37"/>
      <c r="G4965" s="40" t="str">
        <f>IF(tblMovimientos[[#This Row],[Producto]]="","",TRIM(LEFT(tblMovimientos[[#This Row],[Producto]],FIND(" · ",tblMovimientos[[#This Row],[Producto]]&amp;" · ")-1)))</f>
        <v/>
      </c>
      <c r="H4965" s="40" t="str">
        <f>IF(tblMovimientos[[#This Row],[SKU]]="","",IFERROR(INDEX(tblProductos[Unidad],MATCH(tblMovimientos[[#This Row],[SKU]],tblProductos[SKU],0)),"?"))</f>
        <v/>
      </c>
      <c r="I4965" s="39"/>
      <c r="J4965" s="47" t="str">
        <f>IF(tblMovimientos[[#This Row],[Tipo]]="","",IFERROR(INDEX(tblTiposMov[FactorStock],MATCH(tblMovimientos[[#This Row],[Tipo]],tblTiposMov[Tipo],0)),0))</f>
        <v/>
      </c>
      <c r="K496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5" s="37"/>
      <c r="O4965" s="37"/>
      <c r="P4965" s="37"/>
    </row>
    <row r="4966" spans="2:16" x14ac:dyDescent="0.25">
      <c r="B496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6" s="46"/>
      <c r="D4966" s="37"/>
      <c r="E4966" s="37"/>
      <c r="F4966" s="37"/>
      <c r="G4966" s="40" t="str">
        <f>IF(tblMovimientos[[#This Row],[Producto]]="","",TRIM(LEFT(tblMovimientos[[#This Row],[Producto]],FIND(" · ",tblMovimientos[[#This Row],[Producto]]&amp;" · ")-1)))</f>
        <v/>
      </c>
      <c r="H4966" s="40" t="str">
        <f>IF(tblMovimientos[[#This Row],[SKU]]="","",IFERROR(INDEX(tblProductos[Unidad],MATCH(tblMovimientos[[#This Row],[SKU]],tblProductos[SKU],0)),"?"))</f>
        <v/>
      </c>
      <c r="I4966" s="39"/>
      <c r="J4966" s="47" t="str">
        <f>IF(tblMovimientos[[#This Row],[Tipo]]="","",IFERROR(INDEX(tblTiposMov[FactorStock],MATCH(tblMovimientos[[#This Row],[Tipo]],tblTiposMov[Tipo],0)),0))</f>
        <v/>
      </c>
      <c r="K496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6" s="37"/>
      <c r="O4966" s="37"/>
      <c r="P4966" s="37"/>
    </row>
    <row r="4967" spans="2:16" x14ac:dyDescent="0.25">
      <c r="B496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7" s="46"/>
      <c r="D4967" s="37"/>
      <c r="E4967" s="37"/>
      <c r="F4967" s="37"/>
      <c r="G4967" s="40" t="str">
        <f>IF(tblMovimientos[[#This Row],[Producto]]="","",TRIM(LEFT(tblMovimientos[[#This Row],[Producto]],FIND(" · ",tblMovimientos[[#This Row],[Producto]]&amp;" · ")-1)))</f>
        <v/>
      </c>
      <c r="H4967" s="40" t="str">
        <f>IF(tblMovimientos[[#This Row],[SKU]]="","",IFERROR(INDEX(tblProductos[Unidad],MATCH(tblMovimientos[[#This Row],[SKU]],tblProductos[SKU],0)),"?"))</f>
        <v/>
      </c>
      <c r="I4967" s="39"/>
      <c r="J4967" s="47" t="str">
        <f>IF(tblMovimientos[[#This Row],[Tipo]]="","",IFERROR(INDEX(tblTiposMov[FactorStock],MATCH(tblMovimientos[[#This Row],[Tipo]],tblTiposMov[Tipo],0)),0))</f>
        <v/>
      </c>
      <c r="K496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7" s="37"/>
      <c r="O4967" s="37"/>
      <c r="P4967" s="37"/>
    </row>
    <row r="4968" spans="2:16" x14ac:dyDescent="0.25">
      <c r="B496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8" s="46"/>
      <c r="D4968" s="37"/>
      <c r="E4968" s="37"/>
      <c r="F4968" s="37"/>
      <c r="G4968" s="40" t="str">
        <f>IF(tblMovimientos[[#This Row],[Producto]]="","",TRIM(LEFT(tblMovimientos[[#This Row],[Producto]],FIND(" · ",tblMovimientos[[#This Row],[Producto]]&amp;" · ")-1)))</f>
        <v/>
      </c>
      <c r="H4968" s="40" t="str">
        <f>IF(tblMovimientos[[#This Row],[SKU]]="","",IFERROR(INDEX(tblProductos[Unidad],MATCH(tblMovimientos[[#This Row],[SKU]],tblProductos[SKU],0)),"?"))</f>
        <v/>
      </c>
      <c r="I4968" s="39"/>
      <c r="J4968" s="47" t="str">
        <f>IF(tblMovimientos[[#This Row],[Tipo]]="","",IFERROR(INDEX(tblTiposMov[FactorStock],MATCH(tblMovimientos[[#This Row],[Tipo]],tblTiposMov[Tipo],0)),0))</f>
        <v/>
      </c>
      <c r="K496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8" s="37"/>
      <c r="O4968" s="37"/>
      <c r="P4968" s="37"/>
    </row>
    <row r="4969" spans="2:16" x14ac:dyDescent="0.25">
      <c r="B496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69" s="46"/>
      <c r="D4969" s="37"/>
      <c r="E4969" s="37"/>
      <c r="F4969" s="37"/>
      <c r="G4969" s="40" t="str">
        <f>IF(tblMovimientos[[#This Row],[Producto]]="","",TRIM(LEFT(tblMovimientos[[#This Row],[Producto]],FIND(" · ",tblMovimientos[[#This Row],[Producto]]&amp;" · ")-1)))</f>
        <v/>
      </c>
      <c r="H4969" s="40" t="str">
        <f>IF(tblMovimientos[[#This Row],[SKU]]="","",IFERROR(INDEX(tblProductos[Unidad],MATCH(tblMovimientos[[#This Row],[SKU]],tblProductos[SKU],0)),"?"))</f>
        <v/>
      </c>
      <c r="I4969" s="39"/>
      <c r="J4969" s="47" t="str">
        <f>IF(tblMovimientos[[#This Row],[Tipo]]="","",IFERROR(INDEX(tblTiposMov[FactorStock],MATCH(tblMovimientos[[#This Row],[Tipo]],tblTiposMov[Tipo],0)),0))</f>
        <v/>
      </c>
      <c r="K496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6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6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69" s="37"/>
      <c r="O4969" s="37"/>
      <c r="P4969" s="37"/>
    </row>
    <row r="4970" spans="2:16" x14ac:dyDescent="0.25">
      <c r="B497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0" s="46"/>
      <c r="D4970" s="37"/>
      <c r="E4970" s="37"/>
      <c r="F4970" s="37"/>
      <c r="G4970" s="40" t="str">
        <f>IF(tblMovimientos[[#This Row],[Producto]]="","",TRIM(LEFT(tblMovimientos[[#This Row],[Producto]],FIND(" · ",tblMovimientos[[#This Row],[Producto]]&amp;" · ")-1)))</f>
        <v/>
      </c>
      <c r="H4970" s="40" t="str">
        <f>IF(tblMovimientos[[#This Row],[SKU]]="","",IFERROR(INDEX(tblProductos[Unidad],MATCH(tblMovimientos[[#This Row],[SKU]],tblProductos[SKU],0)),"?"))</f>
        <v/>
      </c>
      <c r="I4970" s="39"/>
      <c r="J4970" s="47" t="str">
        <f>IF(tblMovimientos[[#This Row],[Tipo]]="","",IFERROR(INDEX(tblTiposMov[FactorStock],MATCH(tblMovimientos[[#This Row],[Tipo]],tblTiposMov[Tipo],0)),0))</f>
        <v/>
      </c>
      <c r="K497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0" s="37"/>
      <c r="O4970" s="37"/>
      <c r="P4970" s="37"/>
    </row>
    <row r="4971" spans="2:16" x14ac:dyDescent="0.25">
      <c r="B497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1" s="46"/>
      <c r="D4971" s="37"/>
      <c r="E4971" s="37"/>
      <c r="F4971" s="37"/>
      <c r="G4971" s="40" t="str">
        <f>IF(tblMovimientos[[#This Row],[Producto]]="","",TRIM(LEFT(tblMovimientos[[#This Row],[Producto]],FIND(" · ",tblMovimientos[[#This Row],[Producto]]&amp;" · ")-1)))</f>
        <v/>
      </c>
      <c r="H4971" s="40" t="str">
        <f>IF(tblMovimientos[[#This Row],[SKU]]="","",IFERROR(INDEX(tblProductos[Unidad],MATCH(tblMovimientos[[#This Row],[SKU]],tblProductos[SKU],0)),"?"))</f>
        <v/>
      </c>
      <c r="I4971" s="39"/>
      <c r="J4971" s="47" t="str">
        <f>IF(tblMovimientos[[#This Row],[Tipo]]="","",IFERROR(INDEX(tblTiposMov[FactorStock],MATCH(tblMovimientos[[#This Row],[Tipo]],tblTiposMov[Tipo],0)),0))</f>
        <v/>
      </c>
      <c r="K497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1" s="37"/>
      <c r="O4971" s="37"/>
      <c r="P4971" s="37"/>
    </row>
    <row r="4972" spans="2:16" x14ac:dyDescent="0.25">
      <c r="B497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2" s="46"/>
      <c r="D4972" s="37"/>
      <c r="E4972" s="37"/>
      <c r="F4972" s="37"/>
      <c r="G4972" s="40" t="str">
        <f>IF(tblMovimientos[[#This Row],[Producto]]="","",TRIM(LEFT(tblMovimientos[[#This Row],[Producto]],FIND(" · ",tblMovimientos[[#This Row],[Producto]]&amp;" · ")-1)))</f>
        <v/>
      </c>
      <c r="H4972" s="40" t="str">
        <f>IF(tblMovimientos[[#This Row],[SKU]]="","",IFERROR(INDEX(tblProductos[Unidad],MATCH(tblMovimientos[[#This Row],[SKU]],tblProductos[SKU],0)),"?"))</f>
        <v/>
      </c>
      <c r="I4972" s="39"/>
      <c r="J4972" s="47" t="str">
        <f>IF(tblMovimientos[[#This Row],[Tipo]]="","",IFERROR(INDEX(tblTiposMov[FactorStock],MATCH(tblMovimientos[[#This Row],[Tipo]],tblTiposMov[Tipo],0)),0))</f>
        <v/>
      </c>
      <c r="K497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2" s="37"/>
      <c r="O4972" s="37"/>
      <c r="P4972" s="37"/>
    </row>
    <row r="4973" spans="2:16" x14ac:dyDescent="0.25">
      <c r="B497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3" s="46"/>
      <c r="D4973" s="37"/>
      <c r="E4973" s="37"/>
      <c r="F4973" s="37"/>
      <c r="G4973" s="40" t="str">
        <f>IF(tblMovimientos[[#This Row],[Producto]]="","",TRIM(LEFT(tblMovimientos[[#This Row],[Producto]],FIND(" · ",tblMovimientos[[#This Row],[Producto]]&amp;" · ")-1)))</f>
        <v/>
      </c>
      <c r="H4973" s="40" t="str">
        <f>IF(tblMovimientos[[#This Row],[SKU]]="","",IFERROR(INDEX(tblProductos[Unidad],MATCH(tblMovimientos[[#This Row],[SKU]],tblProductos[SKU],0)),"?"))</f>
        <v/>
      </c>
      <c r="I4973" s="39"/>
      <c r="J4973" s="47" t="str">
        <f>IF(tblMovimientos[[#This Row],[Tipo]]="","",IFERROR(INDEX(tblTiposMov[FactorStock],MATCH(tblMovimientos[[#This Row],[Tipo]],tblTiposMov[Tipo],0)),0))</f>
        <v/>
      </c>
      <c r="K497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3" s="37"/>
      <c r="O4973" s="37"/>
      <c r="P4973" s="37"/>
    </row>
    <row r="4974" spans="2:16" x14ac:dyDescent="0.25">
      <c r="B497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4" s="46"/>
      <c r="D4974" s="37"/>
      <c r="E4974" s="37"/>
      <c r="F4974" s="37"/>
      <c r="G4974" s="40" t="str">
        <f>IF(tblMovimientos[[#This Row],[Producto]]="","",TRIM(LEFT(tblMovimientos[[#This Row],[Producto]],FIND(" · ",tblMovimientos[[#This Row],[Producto]]&amp;" · ")-1)))</f>
        <v/>
      </c>
      <c r="H4974" s="40" t="str">
        <f>IF(tblMovimientos[[#This Row],[SKU]]="","",IFERROR(INDEX(tblProductos[Unidad],MATCH(tblMovimientos[[#This Row],[SKU]],tblProductos[SKU],0)),"?"))</f>
        <v/>
      </c>
      <c r="I4974" s="39"/>
      <c r="J4974" s="47" t="str">
        <f>IF(tblMovimientos[[#This Row],[Tipo]]="","",IFERROR(INDEX(tblTiposMov[FactorStock],MATCH(tblMovimientos[[#This Row],[Tipo]],tblTiposMov[Tipo],0)),0))</f>
        <v/>
      </c>
      <c r="K497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4" s="37"/>
      <c r="O4974" s="37"/>
      <c r="P4974" s="37"/>
    </row>
    <row r="4975" spans="2:16" x14ac:dyDescent="0.25">
      <c r="B497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5" s="46"/>
      <c r="D4975" s="37"/>
      <c r="E4975" s="37"/>
      <c r="F4975" s="37"/>
      <c r="G4975" s="40" t="str">
        <f>IF(tblMovimientos[[#This Row],[Producto]]="","",TRIM(LEFT(tblMovimientos[[#This Row],[Producto]],FIND(" · ",tblMovimientos[[#This Row],[Producto]]&amp;" · ")-1)))</f>
        <v/>
      </c>
      <c r="H4975" s="40" t="str">
        <f>IF(tblMovimientos[[#This Row],[SKU]]="","",IFERROR(INDEX(tblProductos[Unidad],MATCH(tblMovimientos[[#This Row],[SKU]],tblProductos[SKU],0)),"?"))</f>
        <v/>
      </c>
      <c r="I4975" s="39"/>
      <c r="J4975" s="47" t="str">
        <f>IF(tblMovimientos[[#This Row],[Tipo]]="","",IFERROR(INDEX(tblTiposMov[FactorStock],MATCH(tblMovimientos[[#This Row],[Tipo]],tblTiposMov[Tipo],0)),0))</f>
        <v/>
      </c>
      <c r="K497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5" s="37"/>
      <c r="O4975" s="37"/>
      <c r="P4975" s="37"/>
    </row>
    <row r="4976" spans="2:16" x14ac:dyDescent="0.25">
      <c r="B497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6" s="46"/>
      <c r="D4976" s="37"/>
      <c r="E4976" s="37"/>
      <c r="F4976" s="37"/>
      <c r="G4976" s="40" t="str">
        <f>IF(tblMovimientos[[#This Row],[Producto]]="","",TRIM(LEFT(tblMovimientos[[#This Row],[Producto]],FIND(" · ",tblMovimientos[[#This Row],[Producto]]&amp;" · ")-1)))</f>
        <v/>
      </c>
      <c r="H4976" s="40" t="str">
        <f>IF(tblMovimientos[[#This Row],[SKU]]="","",IFERROR(INDEX(tblProductos[Unidad],MATCH(tblMovimientos[[#This Row],[SKU]],tblProductos[SKU],0)),"?"))</f>
        <v/>
      </c>
      <c r="I4976" s="39"/>
      <c r="J4976" s="47" t="str">
        <f>IF(tblMovimientos[[#This Row],[Tipo]]="","",IFERROR(INDEX(tblTiposMov[FactorStock],MATCH(tblMovimientos[[#This Row],[Tipo]],tblTiposMov[Tipo],0)),0))</f>
        <v/>
      </c>
      <c r="K497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6" s="37"/>
      <c r="O4976" s="37"/>
      <c r="P4976" s="37"/>
    </row>
    <row r="4977" spans="2:16" x14ac:dyDescent="0.25">
      <c r="B497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7" s="46"/>
      <c r="D4977" s="37"/>
      <c r="E4977" s="37"/>
      <c r="F4977" s="37"/>
      <c r="G4977" s="40" t="str">
        <f>IF(tblMovimientos[[#This Row],[Producto]]="","",TRIM(LEFT(tblMovimientos[[#This Row],[Producto]],FIND(" · ",tblMovimientos[[#This Row],[Producto]]&amp;" · ")-1)))</f>
        <v/>
      </c>
      <c r="H4977" s="40" t="str">
        <f>IF(tblMovimientos[[#This Row],[SKU]]="","",IFERROR(INDEX(tblProductos[Unidad],MATCH(tblMovimientos[[#This Row],[SKU]],tblProductos[SKU],0)),"?"))</f>
        <v/>
      </c>
      <c r="I4977" s="39"/>
      <c r="J4977" s="47" t="str">
        <f>IF(tblMovimientos[[#This Row],[Tipo]]="","",IFERROR(INDEX(tblTiposMov[FactorStock],MATCH(tblMovimientos[[#This Row],[Tipo]],tblTiposMov[Tipo],0)),0))</f>
        <v/>
      </c>
      <c r="K497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7" s="37"/>
      <c r="O4977" s="37"/>
      <c r="P4977" s="37"/>
    </row>
    <row r="4978" spans="2:16" x14ac:dyDescent="0.25">
      <c r="B497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8" s="46"/>
      <c r="D4978" s="37"/>
      <c r="E4978" s="37"/>
      <c r="F4978" s="37"/>
      <c r="G4978" s="40" t="str">
        <f>IF(tblMovimientos[[#This Row],[Producto]]="","",TRIM(LEFT(tblMovimientos[[#This Row],[Producto]],FIND(" · ",tblMovimientos[[#This Row],[Producto]]&amp;" · ")-1)))</f>
        <v/>
      </c>
      <c r="H4978" s="40" t="str">
        <f>IF(tblMovimientos[[#This Row],[SKU]]="","",IFERROR(INDEX(tblProductos[Unidad],MATCH(tblMovimientos[[#This Row],[SKU]],tblProductos[SKU],0)),"?"))</f>
        <v/>
      </c>
      <c r="I4978" s="39"/>
      <c r="J4978" s="47" t="str">
        <f>IF(tblMovimientos[[#This Row],[Tipo]]="","",IFERROR(INDEX(tblTiposMov[FactorStock],MATCH(tblMovimientos[[#This Row],[Tipo]],tblTiposMov[Tipo],0)),0))</f>
        <v/>
      </c>
      <c r="K497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8" s="37"/>
      <c r="O4978" s="37"/>
      <c r="P4978" s="37"/>
    </row>
    <row r="4979" spans="2:16" x14ac:dyDescent="0.25">
      <c r="B497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79" s="46"/>
      <c r="D4979" s="37"/>
      <c r="E4979" s="37"/>
      <c r="F4979" s="37"/>
      <c r="G4979" s="40" t="str">
        <f>IF(tblMovimientos[[#This Row],[Producto]]="","",TRIM(LEFT(tblMovimientos[[#This Row],[Producto]],FIND(" · ",tblMovimientos[[#This Row],[Producto]]&amp;" · ")-1)))</f>
        <v/>
      </c>
      <c r="H4979" s="40" t="str">
        <f>IF(tblMovimientos[[#This Row],[SKU]]="","",IFERROR(INDEX(tblProductos[Unidad],MATCH(tblMovimientos[[#This Row],[SKU]],tblProductos[SKU],0)),"?"))</f>
        <v/>
      </c>
      <c r="I4979" s="39"/>
      <c r="J4979" s="47" t="str">
        <f>IF(tblMovimientos[[#This Row],[Tipo]]="","",IFERROR(INDEX(tblTiposMov[FactorStock],MATCH(tblMovimientos[[#This Row],[Tipo]],tblTiposMov[Tipo],0)),0))</f>
        <v/>
      </c>
      <c r="K497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7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7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79" s="37"/>
      <c r="O4979" s="37"/>
      <c r="P4979" s="37"/>
    </row>
    <row r="4980" spans="2:16" x14ac:dyDescent="0.25">
      <c r="B498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0" s="46"/>
      <c r="D4980" s="37"/>
      <c r="E4980" s="37"/>
      <c r="F4980" s="37"/>
      <c r="G4980" s="40" t="str">
        <f>IF(tblMovimientos[[#This Row],[Producto]]="","",TRIM(LEFT(tblMovimientos[[#This Row],[Producto]],FIND(" · ",tblMovimientos[[#This Row],[Producto]]&amp;" · ")-1)))</f>
        <v/>
      </c>
      <c r="H4980" s="40" t="str">
        <f>IF(tblMovimientos[[#This Row],[SKU]]="","",IFERROR(INDEX(tblProductos[Unidad],MATCH(tblMovimientos[[#This Row],[SKU]],tblProductos[SKU],0)),"?"))</f>
        <v/>
      </c>
      <c r="I4980" s="39"/>
      <c r="J4980" s="47" t="str">
        <f>IF(tblMovimientos[[#This Row],[Tipo]]="","",IFERROR(INDEX(tblTiposMov[FactorStock],MATCH(tblMovimientos[[#This Row],[Tipo]],tblTiposMov[Tipo],0)),0))</f>
        <v/>
      </c>
      <c r="K498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0" s="37"/>
      <c r="O4980" s="37"/>
      <c r="P4980" s="37"/>
    </row>
    <row r="4981" spans="2:16" x14ac:dyDescent="0.25">
      <c r="B498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1" s="46"/>
      <c r="D4981" s="37"/>
      <c r="E4981" s="37"/>
      <c r="F4981" s="37"/>
      <c r="G4981" s="40" t="str">
        <f>IF(tblMovimientos[[#This Row],[Producto]]="","",TRIM(LEFT(tblMovimientos[[#This Row],[Producto]],FIND(" · ",tblMovimientos[[#This Row],[Producto]]&amp;" · ")-1)))</f>
        <v/>
      </c>
      <c r="H4981" s="40" t="str">
        <f>IF(tblMovimientos[[#This Row],[SKU]]="","",IFERROR(INDEX(tblProductos[Unidad],MATCH(tblMovimientos[[#This Row],[SKU]],tblProductos[SKU],0)),"?"))</f>
        <v/>
      </c>
      <c r="I4981" s="39"/>
      <c r="J4981" s="47" t="str">
        <f>IF(tblMovimientos[[#This Row],[Tipo]]="","",IFERROR(INDEX(tblTiposMov[FactorStock],MATCH(tblMovimientos[[#This Row],[Tipo]],tblTiposMov[Tipo],0)),0))</f>
        <v/>
      </c>
      <c r="K498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1" s="37"/>
      <c r="O4981" s="37"/>
      <c r="P4981" s="37"/>
    </row>
    <row r="4982" spans="2:16" x14ac:dyDescent="0.25">
      <c r="B498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2" s="46"/>
      <c r="D4982" s="37"/>
      <c r="E4982" s="37"/>
      <c r="F4982" s="37"/>
      <c r="G4982" s="40" t="str">
        <f>IF(tblMovimientos[[#This Row],[Producto]]="","",TRIM(LEFT(tblMovimientos[[#This Row],[Producto]],FIND(" · ",tblMovimientos[[#This Row],[Producto]]&amp;" · ")-1)))</f>
        <v/>
      </c>
      <c r="H4982" s="40" t="str">
        <f>IF(tblMovimientos[[#This Row],[SKU]]="","",IFERROR(INDEX(tblProductos[Unidad],MATCH(tblMovimientos[[#This Row],[SKU]],tblProductos[SKU],0)),"?"))</f>
        <v/>
      </c>
      <c r="I4982" s="39"/>
      <c r="J4982" s="47" t="str">
        <f>IF(tblMovimientos[[#This Row],[Tipo]]="","",IFERROR(INDEX(tblTiposMov[FactorStock],MATCH(tblMovimientos[[#This Row],[Tipo]],tblTiposMov[Tipo],0)),0))</f>
        <v/>
      </c>
      <c r="K498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2" s="37"/>
      <c r="O4982" s="37"/>
      <c r="P4982" s="37"/>
    </row>
    <row r="4983" spans="2:16" x14ac:dyDescent="0.25">
      <c r="B498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3" s="46"/>
      <c r="D4983" s="37"/>
      <c r="E4983" s="37"/>
      <c r="F4983" s="37"/>
      <c r="G4983" s="40" t="str">
        <f>IF(tblMovimientos[[#This Row],[Producto]]="","",TRIM(LEFT(tblMovimientos[[#This Row],[Producto]],FIND(" · ",tblMovimientos[[#This Row],[Producto]]&amp;" · ")-1)))</f>
        <v/>
      </c>
      <c r="H4983" s="40" t="str">
        <f>IF(tblMovimientos[[#This Row],[SKU]]="","",IFERROR(INDEX(tblProductos[Unidad],MATCH(tblMovimientos[[#This Row],[SKU]],tblProductos[SKU],0)),"?"))</f>
        <v/>
      </c>
      <c r="I4983" s="39"/>
      <c r="J4983" s="47" t="str">
        <f>IF(tblMovimientos[[#This Row],[Tipo]]="","",IFERROR(INDEX(tblTiposMov[FactorStock],MATCH(tblMovimientos[[#This Row],[Tipo]],tblTiposMov[Tipo],0)),0))</f>
        <v/>
      </c>
      <c r="K498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3" s="37"/>
      <c r="O4983" s="37"/>
      <c r="P4983" s="37"/>
    </row>
    <row r="4984" spans="2:16" x14ac:dyDescent="0.25">
      <c r="B498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4" s="46"/>
      <c r="D4984" s="37"/>
      <c r="E4984" s="37"/>
      <c r="F4984" s="37"/>
      <c r="G4984" s="40" t="str">
        <f>IF(tblMovimientos[[#This Row],[Producto]]="","",TRIM(LEFT(tblMovimientos[[#This Row],[Producto]],FIND(" · ",tblMovimientos[[#This Row],[Producto]]&amp;" · ")-1)))</f>
        <v/>
      </c>
      <c r="H4984" s="40" t="str">
        <f>IF(tblMovimientos[[#This Row],[SKU]]="","",IFERROR(INDEX(tblProductos[Unidad],MATCH(tblMovimientos[[#This Row],[SKU]],tblProductos[SKU],0)),"?"))</f>
        <v/>
      </c>
      <c r="I4984" s="39"/>
      <c r="J4984" s="47" t="str">
        <f>IF(tblMovimientos[[#This Row],[Tipo]]="","",IFERROR(INDEX(tblTiposMov[FactorStock],MATCH(tblMovimientos[[#This Row],[Tipo]],tblTiposMov[Tipo],0)),0))</f>
        <v/>
      </c>
      <c r="K498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4" s="37"/>
      <c r="O4984" s="37"/>
      <c r="P4984" s="37"/>
    </row>
    <row r="4985" spans="2:16" x14ac:dyDescent="0.25">
      <c r="B498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5" s="46"/>
      <c r="D4985" s="37"/>
      <c r="E4985" s="37"/>
      <c r="F4985" s="37"/>
      <c r="G4985" s="40" t="str">
        <f>IF(tblMovimientos[[#This Row],[Producto]]="","",TRIM(LEFT(tblMovimientos[[#This Row],[Producto]],FIND(" · ",tblMovimientos[[#This Row],[Producto]]&amp;" · ")-1)))</f>
        <v/>
      </c>
      <c r="H4985" s="40" t="str">
        <f>IF(tblMovimientos[[#This Row],[SKU]]="","",IFERROR(INDEX(tblProductos[Unidad],MATCH(tblMovimientos[[#This Row],[SKU]],tblProductos[SKU],0)),"?"))</f>
        <v/>
      </c>
      <c r="I4985" s="39"/>
      <c r="J4985" s="47" t="str">
        <f>IF(tblMovimientos[[#This Row],[Tipo]]="","",IFERROR(INDEX(tblTiposMov[FactorStock],MATCH(tblMovimientos[[#This Row],[Tipo]],tblTiposMov[Tipo],0)),0))</f>
        <v/>
      </c>
      <c r="K498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5" s="37"/>
      <c r="O4985" s="37"/>
      <c r="P4985" s="37"/>
    </row>
    <row r="4986" spans="2:16" x14ac:dyDescent="0.25">
      <c r="B498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6" s="46"/>
      <c r="D4986" s="37"/>
      <c r="E4986" s="37"/>
      <c r="F4986" s="37"/>
      <c r="G4986" s="40" t="str">
        <f>IF(tblMovimientos[[#This Row],[Producto]]="","",TRIM(LEFT(tblMovimientos[[#This Row],[Producto]],FIND(" · ",tblMovimientos[[#This Row],[Producto]]&amp;" · ")-1)))</f>
        <v/>
      </c>
      <c r="H4986" s="40" t="str">
        <f>IF(tblMovimientos[[#This Row],[SKU]]="","",IFERROR(INDEX(tblProductos[Unidad],MATCH(tblMovimientos[[#This Row],[SKU]],tblProductos[SKU],0)),"?"))</f>
        <v/>
      </c>
      <c r="I4986" s="39"/>
      <c r="J4986" s="47" t="str">
        <f>IF(tblMovimientos[[#This Row],[Tipo]]="","",IFERROR(INDEX(tblTiposMov[FactorStock],MATCH(tblMovimientos[[#This Row],[Tipo]],tblTiposMov[Tipo],0)),0))</f>
        <v/>
      </c>
      <c r="K498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6" s="37"/>
      <c r="O4986" s="37"/>
      <c r="P4986" s="37"/>
    </row>
    <row r="4987" spans="2:16" x14ac:dyDescent="0.25">
      <c r="B498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7" s="46"/>
      <c r="D4987" s="37"/>
      <c r="E4987" s="37"/>
      <c r="F4987" s="37"/>
      <c r="G4987" s="40" t="str">
        <f>IF(tblMovimientos[[#This Row],[Producto]]="","",TRIM(LEFT(tblMovimientos[[#This Row],[Producto]],FIND(" · ",tblMovimientos[[#This Row],[Producto]]&amp;" · ")-1)))</f>
        <v/>
      </c>
      <c r="H4987" s="40" t="str">
        <f>IF(tblMovimientos[[#This Row],[SKU]]="","",IFERROR(INDEX(tblProductos[Unidad],MATCH(tblMovimientos[[#This Row],[SKU]],tblProductos[SKU],0)),"?"))</f>
        <v/>
      </c>
      <c r="I4987" s="39"/>
      <c r="J4987" s="47" t="str">
        <f>IF(tblMovimientos[[#This Row],[Tipo]]="","",IFERROR(INDEX(tblTiposMov[FactorStock],MATCH(tblMovimientos[[#This Row],[Tipo]],tblTiposMov[Tipo],0)),0))</f>
        <v/>
      </c>
      <c r="K498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7" s="37"/>
      <c r="O4987" s="37"/>
      <c r="P4987" s="37"/>
    </row>
    <row r="4988" spans="2:16" x14ac:dyDescent="0.25">
      <c r="B498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8" s="46"/>
      <c r="D4988" s="37"/>
      <c r="E4988" s="37"/>
      <c r="F4988" s="37"/>
      <c r="G4988" s="40" t="str">
        <f>IF(tblMovimientos[[#This Row],[Producto]]="","",TRIM(LEFT(tblMovimientos[[#This Row],[Producto]],FIND(" · ",tblMovimientos[[#This Row],[Producto]]&amp;" · ")-1)))</f>
        <v/>
      </c>
      <c r="H4988" s="40" t="str">
        <f>IF(tblMovimientos[[#This Row],[SKU]]="","",IFERROR(INDEX(tblProductos[Unidad],MATCH(tblMovimientos[[#This Row],[SKU]],tblProductos[SKU],0)),"?"))</f>
        <v/>
      </c>
      <c r="I4988" s="39"/>
      <c r="J4988" s="47" t="str">
        <f>IF(tblMovimientos[[#This Row],[Tipo]]="","",IFERROR(INDEX(tblTiposMov[FactorStock],MATCH(tblMovimientos[[#This Row],[Tipo]],tblTiposMov[Tipo],0)),0))</f>
        <v/>
      </c>
      <c r="K498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8" s="37"/>
      <c r="O4988" s="37"/>
      <c r="P4988" s="37"/>
    </row>
    <row r="4989" spans="2:16" x14ac:dyDescent="0.25">
      <c r="B498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89" s="46"/>
      <c r="D4989" s="37"/>
      <c r="E4989" s="37"/>
      <c r="F4989" s="37"/>
      <c r="G4989" s="40" t="str">
        <f>IF(tblMovimientos[[#This Row],[Producto]]="","",TRIM(LEFT(tblMovimientos[[#This Row],[Producto]],FIND(" · ",tblMovimientos[[#This Row],[Producto]]&amp;" · ")-1)))</f>
        <v/>
      </c>
      <c r="H4989" s="40" t="str">
        <f>IF(tblMovimientos[[#This Row],[SKU]]="","",IFERROR(INDEX(tblProductos[Unidad],MATCH(tblMovimientos[[#This Row],[SKU]],tblProductos[SKU],0)),"?"))</f>
        <v/>
      </c>
      <c r="I4989" s="39"/>
      <c r="J4989" s="47" t="str">
        <f>IF(tblMovimientos[[#This Row],[Tipo]]="","",IFERROR(INDEX(tblTiposMov[FactorStock],MATCH(tblMovimientos[[#This Row],[Tipo]],tblTiposMov[Tipo],0)),0))</f>
        <v/>
      </c>
      <c r="K498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8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8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89" s="37"/>
      <c r="O4989" s="37"/>
      <c r="P4989" s="37"/>
    </row>
    <row r="4990" spans="2:16" x14ac:dyDescent="0.25">
      <c r="B499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0" s="46"/>
      <c r="D4990" s="37"/>
      <c r="E4990" s="37"/>
      <c r="F4990" s="37"/>
      <c r="G4990" s="40" t="str">
        <f>IF(tblMovimientos[[#This Row],[Producto]]="","",TRIM(LEFT(tblMovimientos[[#This Row],[Producto]],FIND(" · ",tblMovimientos[[#This Row],[Producto]]&amp;" · ")-1)))</f>
        <v/>
      </c>
      <c r="H4990" s="40" t="str">
        <f>IF(tblMovimientos[[#This Row],[SKU]]="","",IFERROR(INDEX(tblProductos[Unidad],MATCH(tblMovimientos[[#This Row],[SKU]],tblProductos[SKU],0)),"?"))</f>
        <v/>
      </c>
      <c r="I4990" s="39"/>
      <c r="J4990" s="47" t="str">
        <f>IF(tblMovimientos[[#This Row],[Tipo]]="","",IFERROR(INDEX(tblTiposMov[FactorStock],MATCH(tblMovimientos[[#This Row],[Tipo]],tblTiposMov[Tipo],0)),0))</f>
        <v/>
      </c>
      <c r="K499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0" s="37"/>
      <c r="O4990" s="37"/>
      <c r="P4990" s="37"/>
    </row>
    <row r="4991" spans="2:16" x14ac:dyDescent="0.25">
      <c r="B499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1" s="46"/>
      <c r="D4991" s="37"/>
      <c r="E4991" s="37"/>
      <c r="F4991" s="37"/>
      <c r="G4991" s="40" t="str">
        <f>IF(tblMovimientos[[#This Row],[Producto]]="","",TRIM(LEFT(tblMovimientos[[#This Row],[Producto]],FIND(" · ",tblMovimientos[[#This Row],[Producto]]&amp;" · ")-1)))</f>
        <v/>
      </c>
      <c r="H4991" s="40" t="str">
        <f>IF(tblMovimientos[[#This Row],[SKU]]="","",IFERROR(INDEX(tblProductos[Unidad],MATCH(tblMovimientos[[#This Row],[SKU]],tblProductos[SKU],0)),"?"))</f>
        <v/>
      </c>
      <c r="I4991" s="39"/>
      <c r="J4991" s="47" t="str">
        <f>IF(tblMovimientos[[#This Row],[Tipo]]="","",IFERROR(INDEX(tblTiposMov[FactorStock],MATCH(tblMovimientos[[#This Row],[Tipo]],tblTiposMov[Tipo],0)),0))</f>
        <v/>
      </c>
      <c r="K499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1" s="37"/>
      <c r="O4991" s="37"/>
      <c r="P4991" s="37"/>
    </row>
    <row r="4992" spans="2:16" x14ac:dyDescent="0.25">
      <c r="B499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2" s="46"/>
      <c r="D4992" s="37"/>
      <c r="E4992" s="37"/>
      <c r="F4992" s="37"/>
      <c r="G4992" s="40" t="str">
        <f>IF(tblMovimientos[[#This Row],[Producto]]="","",TRIM(LEFT(tblMovimientos[[#This Row],[Producto]],FIND(" · ",tblMovimientos[[#This Row],[Producto]]&amp;" · ")-1)))</f>
        <v/>
      </c>
      <c r="H4992" s="40" t="str">
        <f>IF(tblMovimientos[[#This Row],[SKU]]="","",IFERROR(INDEX(tblProductos[Unidad],MATCH(tblMovimientos[[#This Row],[SKU]],tblProductos[SKU],0)),"?"))</f>
        <v/>
      </c>
      <c r="I4992" s="39"/>
      <c r="J4992" s="47" t="str">
        <f>IF(tblMovimientos[[#This Row],[Tipo]]="","",IFERROR(INDEX(tblTiposMov[FactorStock],MATCH(tblMovimientos[[#This Row],[Tipo]],tblTiposMov[Tipo],0)),0))</f>
        <v/>
      </c>
      <c r="K499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2" s="37"/>
      <c r="O4992" s="37"/>
      <c r="P4992" s="37"/>
    </row>
    <row r="4993" spans="2:16" x14ac:dyDescent="0.25">
      <c r="B499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3" s="46"/>
      <c r="D4993" s="37"/>
      <c r="E4993" s="37"/>
      <c r="F4993" s="37"/>
      <c r="G4993" s="40" t="str">
        <f>IF(tblMovimientos[[#This Row],[Producto]]="","",TRIM(LEFT(tblMovimientos[[#This Row],[Producto]],FIND(" · ",tblMovimientos[[#This Row],[Producto]]&amp;" · ")-1)))</f>
        <v/>
      </c>
      <c r="H4993" s="40" t="str">
        <f>IF(tblMovimientos[[#This Row],[SKU]]="","",IFERROR(INDEX(tblProductos[Unidad],MATCH(tblMovimientos[[#This Row],[SKU]],tblProductos[SKU],0)),"?"))</f>
        <v/>
      </c>
      <c r="I4993" s="39"/>
      <c r="J4993" s="47" t="str">
        <f>IF(tblMovimientos[[#This Row],[Tipo]]="","",IFERROR(INDEX(tblTiposMov[FactorStock],MATCH(tblMovimientos[[#This Row],[Tipo]],tblTiposMov[Tipo],0)),0))</f>
        <v/>
      </c>
      <c r="K499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3" s="37"/>
      <c r="O4993" s="37"/>
      <c r="P4993" s="37"/>
    </row>
    <row r="4994" spans="2:16" x14ac:dyDescent="0.25">
      <c r="B499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4" s="46"/>
      <c r="D4994" s="37"/>
      <c r="E4994" s="37"/>
      <c r="F4994" s="37"/>
      <c r="G4994" s="40" t="str">
        <f>IF(tblMovimientos[[#This Row],[Producto]]="","",TRIM(LEFT(tblMovimientos[[#This Row],[Producto]],FIND(" · ",tblMovimientos[[#This Row],[Producto]]&amp;" · ")-1)))</f>
        <v/>
      </c>
      <c r="H4994" s="40" t="str">
        <f>IF(tblMovimientos[[#This Row],[SKU]]="","",IFERROR(INDEX(tblProductos[Unidad],MATCH(tblMovimientos[[#This Row],[SKU]],tblProductos[SKU],0)),"?"))</f>
        <v/>
      </c>
      <c r="I4994" s="39"/>
      <c r="J4994" s="47" t="str">
        <f>IF(tblMovimientos[[#This Row],[Tipo]]="","",IFERROR(INDEX(tblTiposMov[FactorStock],MATCH(tblMovimientos[[#This Row],[Tipo]],tblTiposMov[Tipo],0)),0))</f>
        <v/>
      </c>
      <c r="K499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4" s="37"/>
      <c r="O4994" s="37"/>
      <c r="P4994" s="37"/>
    </row>
    <row r="4995" spans="2:16" x14ac:dyDescent="0.25">
      <c r="B499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5" s="46"/>
      <c r="D4995" s="37"/>
      <c r="E4995" s="37"/>
      <c r="F4995" s="37"/>
      <c r="G4995" s="40" t="str">
        <f>IF(tblMovimientos[[#This Row],[Producto]]="","",TRIM(LEFT(tblMovimientos[[#This Row],[Producto]],FIND(" · ",tblMovimientos[[#This Row],[Producto]]&amp;" · ")-1)))</f>
        <v/>
      </c>
      <c r="H4995" s="40" t="str">
        <f>IF(tblMovimientos[[#This Row],[SKU]]="","",IFERROR(INDEX(tblProductos[Unidad],MATCH(tblMovimientos[[#This Row],[SKU]],tblProductos[SKU],0)),"?"))</f>
        <v/>
      </c>
      <c r="I4995" s="39"/>
      <c r="J4995" s="47" t="str">
        <f>IF(tblMovimientos[[#This Row],[Tipo]]="","",IFERROR(INDEX(tblTiposMov[FactorStock],MATCH(tblMovimientos[[#This Row],[Tipo]],tblTiposMov[Tipo],0)),0))</f>
        <v/>
      </c>
      <c r="K499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5" s="37"/>
      <c r="O4995" s="37"/>
      <c r="P4995" s="37"/>
    </row>
    <row r="4996" spans="2:16" x14ac:dyDescent="0.25">
      <c r="B499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6" s="46"/>
      <c r="D4996" s="37"/>
      <c r="E4996" s="37"/>
      <c r="F4996" s="37"/>
      <c r="G4996" s="40" t="str">
        <f>IF(tblMovimientos[[#This Row],[Producto]]="","",TRIM(LEFT(tblMovimientos[[#This Row],[Producto]],FIND(" · ",tblMovimientos[[#This Row],[Producto]]&amp;" · ")-1)))</f>
        <v/>
      </c>
      <c r="H4996" s="40" t="str">
        <f>IF(tblMovimientos[[#This Row],[SKU]]="","",IFERROR(INDEX(tblProductos[Unidad],MATCH(tblMovimientos[[#This Row],[SKU]],tblProductos[SKU],0)),"?"))</f>
        <v/>
      </c>
      <c r="I4996" s="39"/>
      <c r="J4996" s="47" t="str">
        <f>IF(tblMovimientos[[#This Row],[Tipo]]="","",IFERROR(INDEX(tblTiposMov[FactorStock],MATCH(tblMovimientos[[#This Row],[Tipo]],tblTiposMov[Tipo],0)),0))</f>
        <v/>
      </c>
      <c r="K499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6" s="37"/>
      <c r="O4996" s="37"/>
      <c r="P4996" s="37"/>
    </row>
    <row r="4997" spans="2:16" x14ac:dyDescent="0.25">
      <c r="B499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7" s="46"/>
      <c r="D4997" s="37"/>
      <c r="E4997" s="37"/>
      <c r="F4997" s="37"/>
      <c r="G4997" s="40" t="str">
        <f>IF(tblMovimientos[[#This Row],[Producto]]="","",TRIM(LEFT(tblMovimientos[[#This Row],[Producto]],FIND(" · ",tblMovimientos[[#This Row],[Producto]]&amp;" · ")-1)))</f>
        <v/>
      </c>
      <c r="H4997" s="40" t="str">
        <f>IF(tblMovimientos[[#This Row],[SKU]]="","",IFERROR(INDEX(tblProductos[Unidad],MATCH(tblMovimientos[[#This Row],[SKU]],tblProductos[SKU],0)),"?"))</f>
        <v/>
      </c>
      <c r="I4997" s="39"/>
      <c r="J4997" s="47" t="str">
        <f>IF(tblMovimientos[[#This Row],[Tipo]]="","",IFERROR(INDEX(tblTiposMov[FactorStock],MATCH(tblMovimientos[[#This Row],[Tipo]],tblTiposMov[Tipo],0)),0))</f>
        <v/>
      </c>
      <c r="K499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7" s="37"/>
      <c r="O4997" s="37"/>
      <c r="P4997" s="37"/>
    </row>
    <row r="4998" spans="2:16" x14ac:dyDescent="0.25">
      <c r="B4998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8" s="46"/>
      <c r="D4998" s="37"/>
      <c r="E4998" s="37"/>
      <c r="F4998" s="37"/>
      <c r="G4998" s="40" t="str">
        <f>IF(tblMovimientos[[#This Row],[Producto]]="","",TRIM(LEFT(tblMovimientos[[#This Row],[Producto]],FIND(" · ",tblMovimientos[[#This Row],[Producto]]&amp;" · ")-1)))</f>
        <v/>
      </c>
      <c r="H4998" s="40" t="str">
        <f>IF(tblMovimientos[[#This Row],[SKU]]="","",IFERROR(INDEX(tblProductos[Unidad],MATCH(tblMovimientos[[#This Row],[SKU]],tblProductos[SKU],0)),"?"))</f>
        <v/>
      </c>
      <c r="I4998" s="39"/>
      <c r="J4998" s="47" t="str">
        <f>IF(tblMovimientos[[#This Row],[Tipo]]="","",IFERROR(INDEX(tblTiposMov[FactorStock],MATCH(tblMovimientos[[#This Row],[Tipo]],tblTiposMov[Tipo],0)),0))</f>
        <v/>
      </c>
      <c r="K4998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8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8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8" s="37"/>
      <c r="O4998" s="37"/>
      <c r="P4998" s="37"/>
    </row>
    <row r="4999" spans="2:16" x14ac:dyDescent="0.25">
      <c r="B4999" s="45" t="str">
        <f>IF((tblMovimientos[[#This Row],[Fecha]]&amp;tblMovimientos[[#This Row],[Tipo]]&amp;tblMovimientos[[#This Row],[Producto]]&amp;tblMovimientos[[#This Row],[Cantidad]])="","",ROW()-ROW(tblMovimientos[#Headers]))</f>
        <v/>
      </c>
      <c r="C4999" s="46"/>
      <c r="D4999" s="37"/>
      <c r="E4999" s="37"/>
      <c r="F4999" s="37"/>
      <c r="G4999" s="40" t="str">
        <f>IF(tblMovimientos[[#This Row],[Producto]]="","",TRIM(LEFT(tblMovimientos[[#This Row],[Producto]],FIND(" · ",tblMovimientos[[#This Row],[Producto]]&amp;" · ")-1)))</f>
        <v/>
      </c>
      <c r="H4999" s="40" t="str">
        <f>IF(tblMovimientos[[#This Row],[SKU]]="","",IFERROR(INDEX(tblProductos[Unidad],MATCH(tblMovimientos[[#This Row],[SKU]],tblProductos[SKU],0)),"?"))</f>
        <v/>
      </c>
      <c r="I4999" s="39"/>
      <c r="J4999" s="47" t="str">
        <f>IF(tblMovimientos[[#This Row],[Tipo]]="","",IFERROR(INDEX(tblTiposMov[FactorStock],MATCH(tblMovimientos[[#This Row],[Tipo]],tblTiposMov[Tipo],0)),0))</f>
        <v/>
      </c>
      <c r="K4999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4999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4999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4999" s="37"/>
      <c r="O4999" s="37"/>
      <c r="P4999" s="37"/>
    </row>
    <row r="5000" spans="2:16" x14ac:dyDescent="0.25">
      <c r="B5000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0" s="46"/>
      <c r="D5000" s="37"/>
      <c r="E5000" s="37"/>
      <c r="F5000" s="37"/>
      <c r="G5000" s="40" t="str">
        <f>IF(tblMovimientos[[#This Row],[Producto]]="","",TRIM(LEFT(tblMovimientos[[#This Row],[Producto]],FIND(" · ",tblMovimientos[[#This Row],[Producto]]&amp;" · ")-1)))</f>
        <v/>
      </c>
      <c r="H5000" s="40" t="str">
        <f>IF(tblMovimientos[[#This Row],[SKU]]="","",IFERROR(INDEX(tblProductos[Unidad],MATCH(tblMovimientos[[#This Row],[SKU]],tblProductos[SKU],0)),"?"))</f>
        <v/>
      </c>
      <c r="I5000" s="39"/>
      <c r="J5000" s="47" t="str">
        <f>IF(tblMovimientos[[#This Row],[Tipo]]="","",IFERROR(INDEX(tblTiposMov[FactorStock],MATCH(tblMovimientos[[#This Row],[Tipo]],tblTiposMov[Tipo],0)),0))</f>
        <v/>
      </c>
      <c r="K5000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0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0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0" s="37"/>
      <c r="O5000" s="37"/>
      <c r="P5000" s="37"/>
    </row>
    <row r="5001" spans="2:16" x14ac:dyDescent="0.25">
      <c r="B5001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1" s="46"/>
      <c r="D5001" s="37"/>
      <c r="E5001" s="37"/>
      <c r="F5001" s="37"/>
      <c r="G5001" s="40" t="str">
        <f>IF(tblMovimientos[[#This Row],[Producto]]="","",TRIM(LEFT(tblMovimientos[[#This Row],[Producto]],FIND(" · ",tblMovimientos[[#This Row],[Producto]]&amp;" · ")-1)))</f>
        <v/>
      </c>
      <c r="H5001" s="40" t="str">
        <f>IF(tblMovimientos[[#This Row],[SKU]]="","",IFERROR(INDEX(tblProductos[Unidad],MATCH(tblMovimientos[[#This Row],[SKU]],tblProductos[SKU],0)),"?"))</f>
        <v/>
      </c>
      <c r="I5001" s="39"/>
      <c r="J5001" s="47" t="str">
        <f>IF(tblMovimientos[[#This Row],[Tipo]]="","",IFERROR(INDEX(tblTiposMov[FactorStock],MATCH(tblMovimientos[[#This Row],[Tipo]],tblTiposMov[Tipo],0)),0))</f>
        <v/>
      </c>
      <c r="K5001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1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1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1" s="37"/>
      <c r="O5001" s="37"/>
      <c r="P5001" s="37"/>
    </row>
    <row r="5002" spans="2:16" x14ac:dyDescent="0.25">
      <c r="B5002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2" s="46"/>
      <c r="D5002" s="37"/>
      <c r="E5002" s="37"/>
      <c r="F5002" s="37"/>
      <c r="G5002" s="40" t="str">
        <f>IF(tblMovimientos[[#This Row],[Producto]]="","",TRIM(LEFT(tblMovimientos[[#This Row],[Producto]],FIND(" · ",tblMovimientos[[#This Row],[Producto]]&amp;" · ")-1)))</f>
        <v/>
      </c>
      <c r="H5002" s="40" t="str">
        <f>IF(tblMovimientos[[#This Row],[SKU]]="","",IFERROR(INDEX(tblProductos[Unidad],MATCH(tblMovimientos[[#This Row],[SKU]],tblProductos[SKU],0)),"?"))</f>
        <v/>
      </c>
      <c r="I5002" s="39"/>
      <c r="J5002" s="47" t="str">
        <f>IF(tblMovimientos[[#This Row],[Tipo]]="","",IFERROR(INDEX(tblTiposMov[FactorStock],MATCH(tblMovimientos[[#This Row],[Tipo]],tblTiposMov[Tipo],0)),0))</f>
        <v/>
      </c>
      <c r="K5002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2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2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2" s="37"/>
      <c r="O5002" s="37"/>
      <c r="P5002" s="37"/>
    </row>
    <row r="5003" spans="2:16" x14ac:dyDescent="0.25">
      <c r="B5003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3" s="46"/>
      <c r="D5003" s="37"/>
      <c r="E5003" s="37"/>
      <c r="F5003" s="37"/>
      <c r="G5003" s="40" t="str">
        <f>IF(tblMovimientos[[#This Row],[Producto]]="","",TRIM(LEFT(tblMovimientos[[#This Row],[Producto]],FIND(" · ",tblMovimientos[[#This Row],[Producto]]&amp;" · ")-1)))</f>
        <v/>
      </c>
      <c r="H5003" s="40" t="str">
        <f>IF(tblMovimientos[[#This Row],[SKU]]="","",IFERROR(INDEX(tblProductos[Unidad],MATCH(tblMovimientos[[#This Row],[SKU]],tblProductos[SKU],0)),"?"))</f>
        <v/>
      </c>
      <c r="I5003" s="39"/>
      <c r="J5003" s="47" t="str">
        <f>IF(tblMovimientos[[#This Row],[Tipo]]="","",IFERROR(INDEX(tblTiposMov[FactorStock],MATCH(tblMovimientos[[#This Row],[Tipo]],tblTiposMov[Tipo],0)),0))</f>
        <v/>
      </c>
      <c r="K5003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3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3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3" s="37"/>
      <c r="O5003" s="37"/>
      <c r="P5003" s="37"/>
    </row>
    <row r="5004" spans="2:16" x14ac:dyDescent="0.25">
      <c r="B5004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4" s="46"/>
      <c r="D5004" s="37"/>
      <c r="E5004" s="37"/>
      <c r="F5004" s="37"/>
      <c r="G5004" s="40" t="str">
        <f>IF(tblMovimientos[[#This Row],[Producto]]="","",TRIM(LEFT(tblMovimientos[[#This Row],[Producto]],FIND(" · ",tblMovimientos[[#This Row],[Producto]]&amp;" · ")-1)))</f>
        <v/>
      </c>
      <c r="H5004" s="40" t="str">
        <f>IF(tblMovimientos[[#This Row],[SKU]]="","",IFERROR(INDEX(tblProductos[Unidad],MATCH(tblMovimientos[[#This Row],[SKU]],tblProductos[SKU],0)),"?"))</f>
        <v/>
      </c>
      <c r="I5004" s="39"/>
      <c r="J5004" s="47" t="str">
        <f>IF(tblMovimientos[[#This Row],[Tipo]]="","",IFERROR(INDEX(tblTiposMov[FactorStock],MATCH(tblMovimientos[[#This Row],[Tipo]],tblTiposMov[Tipo],0)),0))</f>
        <v/>
      </c>
      <c r="K5004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4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4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4" s="37"/>
      <c r="O5004" s="37"/>
      <c r="P5004" s="37"/>
    </row>
    <row r="5005" spans="2:16" x14ac:dyDescent="0.25">
      <c r="B5005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5" s="46"/>
      <c r="D5005" s="37"/>
      <c r="E5005" s="37"/>
      <c r="F5005" s="37"/>
      <c r="G5005" s="40" t="str">
        <f>IF(tblMovimientos[[#This Row],[Producto]]="","",TRIM(LEFT(tblMovimientos[[#This Row],[Producto]],FIND(" · ",tblMovimientos[[#This Row],[Producto]]&amp;" · ")-1)))</f>
        <v/>
      </c>
      <c r="H5005" s="40" t="str">
        <f>IF(tblMovimientos[[#This Row],[SKU]]="","",IFERROR(INDEX(tblProductos[Unidad],MATCH(tblMovimientos[[#This Row],[SKU]],tblProductos[SKU],0)),"?"))</f>
        <v/>
      </c>
      <c r="I5005" s="39"/>
      <c r="J5005" s="47" t="str">
        <f>IF(tblMovimientos[[#This Row],[Tipo]]="","",IFERROR(INDEX(tblTiposMov[FactorStock],MATCH(tblMovimientos[[#This Row],[Tipo]],tblTiposMov[Tipo],0)),0))</f>
        <v/>
      </c>
      <c r="K5005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5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5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5" s="37"/>
      <c r="O5005" s="37"/>
      <c r="P5005" s="37"/>
    </row>
    <row r="5006" spans="2:16" x14ac:dyDescent="0.25">
      <c r="B5006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6" s="46"/>
      <c r="D5006" s="37"/>
      <c r="E5006" s="37"/>
      <c r="F5006" s="37"/>
      <c r="G5006" s="40" t="str">
        <f>IF(tblMovimientos[[#This Row],[Producto]]="","",TRIM(LEFT(tblMovimientos[[#This Row],[Producto]],FIND(" · ",tblMovimientos[[#This Row],[Producto]]&amp;" · ")-1)))</f>
        <v/>
      </c>
      <c r="H5006" s="40" t="str">
        <f>IF(tblMovimientos[[#This Row],[SKU]]="","",IFERROR(INDEX(tblProductos[Unidad],MATCH(tblMovimientos[[#This Row],[SKU]],tblProductos[SKU],0)),"?"))</f>
        <v/>
      </c>
      <c r="I5006" s="39"/>
      <c r="J5006" s="47" t="str">
        <f>IF(tblMovimientos[[#This Row],[Tipo]]="","",IFERROR(INDEX(tblTiposMov[FactorStock],MATCH(tblMovimientos[[#This Row],[Tipo]],tblTiposMov[Tipo],0)),0))</f>
        <v/>
      </c>
      <c r="K5006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6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6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6" s="37"/>
      <c r="O5006" s="37"/>
      <c r="P5006" s="37"/>
    </row>
    <row r="5007" spans="2:16" x14ac:dyDescent="0.25">
      <c r="B5007" s="45" t="str">
        <f>IF((tblMovimientos[[#This Row],[Fecha]]&amp;tblMovimientos[[#This Row],[Tipo]]&amp;tblMovimientos[[#This Row],[Producto]]&amp;tblMovimientos[[#This Row],[Cantidad]])="","",ROW()-ROW(tblMovimientos[#Headers]))</f>
        <v/>
      </c>
      <c r="C5007" s="46"/>
      <c r="D5007" s="37"/>
      <c r="E5007" s="37"/>
      <c r="F5007" s="37"/>
      <c r="G5007" s="40" t="str">
        <f>IF(tblMovimientos[[#This Row],[Producto]]="","",TRIM(LEFT(tblMovimientos[[#This Row],[Producto]],FIND(" · ",tblMovimientos[[#This Row],[Producto]]&amp;" · ")-1)))</f>
        <v/>
      </c>
      <c r="H5007" s="40" t="str">
        <f>IF(tblMovimientos[[#This Row],[SKU]]="","",IFERROR(INDEX(tblProductos[Unidad],MATCH(tblMovimientos[[#This Row],[SKU]],tblProductos[SKU],0)),"?"))</f>
        <v/>
      </c>
      <c r="I5007" s="39"/>
      <c r="J5007" s="47" t="str">
        <f>IF(tblMovimientos[[#This Row],[Tipo]]="","",IFERROR(INDEX(tblTiposMov[FactorStock],MATCH(tblMovimientos[[#This Row],[Tipo]],tblTiposMov[Tipo],0)),0))</f>
        <v/>
      </c>
      <c r="K5007" s="48" t="str">
        <f>IF(OR(tblMovimientos[[#This Row],[Cantidad]]="",tblMovimientos[[#This Row],[FactorStock]]=""),"",IF(ISNUMBER(tblMovimientos[[#This Row],[Cantidad]]),tblMovimientos[[#This Row],[Cantidad]]*tblMovimientos[[#This Row],[FactorStock]],""))</f>
        <v/>
      </c>
      <c r="L5007" s="49" t="str">
        <f>IF(tblMovimientos[[#This Row],[CantidadNeta]]="","",SUMIFS(INDEX(tblMovimientos[CantidadNeta],1):tblMovimientos[[#This Row],[CantidadNeta]],INDEX(tblMovimientos[SKU],1):tblMovimientos[[#This Row],[SKU]],tblMovimientos[[#This Row],[SKU]]))</f>
        <v/>
      </c>
      <c r="M5007" s="41" t="str">
        <f>IF((tblMovimientos[[#This Row],[Fecha]]&amp;tblMovimientos[[#This Row],[Tipo]]&amp;tblMovimientos[[#This Row],[Producto]]&amp;tblMovimientos[[#This Row],[Cantidad]])="","",IF(OR(tblMovimientos[[#This Row],[Fecha]]="",tblMovimientos[[#This Row],[Tipo]]="",tblMovimientos[[#This Row],[Producto]]="",tblMovimientos[[#This Row],[Cantidad]]="",tblMovimientos[[#This Row],[Responsable]]=""),"⚠ Incompleto",IF(tblMovimientos[[#This Row],[Unidad]]="?","✖ Producto no existe",IF(tblMovimientos[[#This Row],[FactorStock]]=0,"✖ Tipo no válido",IF(NOT(ISNUMBER(tblMovimientos[[#This Row],[Cantidad]])),"✖ Cantidad inválida",IF(tblMovimientos[[#This Row],[Cantidad]]&lt;=0,"✖ Cantidad inválida",IF(AND(tblMovimientos[[#This Row],[Categoría]]&lt;&gt;"",tblMovimientos[[#This Row],[Categoría]]&lt;&gt;INDEX(tblProductos[Categoría],MATCH(tblMovimientos[[#This Row],[SKU]],tblProductos[SKU],0))),"⚠ Categoría no coincide",IF(tblMovimientos[[#This Row],[Saldo]]&lt;0,"✖ Stock insuficiente",IF(AND(LEFT(tblMovimientos[[#This Row],[Tipo]],6)="AJUSTE",tblMovimientos[[#This Row],[Observaciones]]=""),"⚠ Justifique el ajuste","✔ Registrado")))))))))</f>
        <v/>
      </c>
      <c r="N5007" s="37"/>
      <c r="O5007" s="37"/>
      <c r="P5007" s="37"/>
    </row>
  </sheetData>
  <sheetProtection password="930D" sheet="1" objects="1" scenarios="1" formatColumns="0" autoFilter="0"/>
  <conditionalFormatting sqref="C8:C5007 D8:D5007 E8:E5007 F8:F5007 I8:I5007 N8:N5007 O8:O5007 P8:P5007">
    <cfRule type="expression" dxfId="107" priority="1">
      <formula>AND(ISNUMBER($B8),$B8&lt;=cfgSelladoHasta,LEFT($M8,1)="✔")</formula>
    </cfRule>
    <cfRule type="expression" dxfId="106" priority="2">
      <formula>AND($C8="",$D8="",$F8="",$I8="",$B7&lt;&gt;"")</formula>
    </cfRule>
  </conditionalFormatting>
  <conditionalFormatting sqref="D8:D5007">
    <cfRule type="expression" dxfId="105" priority="3">
      <formula>$J8=1</formula>
    </cfRule>
    <cfRule type="expression" dxfId="104" priority="4">
      <formula>$J8=-1</formula>
    </cfRule>
  </conditionalFormatting>
  <conditionalFormatting sqref="I8:I5007">
    <cfRule type="expression" dxfId="103" priority="9">
      <formula>AND(ISNUMBER(I8),I8&lt;&gt;INT(I8))</formula>
    </cfRule>
  </conditionalFormatting>
  <conditionalFormatting sqref="J8:J5007">
    <cfRule type="expression" dxfId="102" priority="5">
      <formula>$J8=1</formula>
    </cfRule>
    <cfRule type="expression" dxfId="101" priority="6">
      <formula>$J8=-1</formula>
    </cfRule>
  </conditionalFormatting>
  <conditionalFormatting sqref="K8:K5007">
    <cfRule type="expression" dxfId="100" priority="7">
      <formula>$J8=1</formula>
    </cfRule>
    <cfRule type="expression" dxfId="99" priority="8">
      <formula>$J8=-1</formula>
    </cfRule>
    <cfRule type="expression" dxfId="98" priority="11">
      <formula>AND(ISNUMBER(K8),K8&lt;&gt;INT(K8))</formula>
    </cfRule>
  </conditionalFormatting>
  <conditionalFormatting sqref="L8:L5007">
    <cfRule type="expression" dxfId="97" priority="10">
      <formula>AND(ISNUMBER(L8),L8&lt;&gt;INT(L8))</formula>
    </cfRule>
    <cfRule type="expression" dxfId="96" priority="12">
      <formula>AND(ISNUMBER($L8),$L8&lt;0)</formula>
    </cfRule>
  </conditionalFormatting>
  <conditionalFormatting sqref="M8:M5007">
    <cfRule type="expression" dxfId="95" priority="13">
      <formula>LEFT($M8,1)="✖"</formula>
    </cfRule>
    <cfRule type="expression" dxfId="94" priority="14">
      <formula>LEFT($M8,1)="⚠"</formula>
    </cfRule>
    <cfRule type="expression" dxfId="93" priority="15">
      <formula>LEFT($M8,1)="✔"</formula>
    </cfRule>
    <cfRule type="expression" dxfId="92" priority="16">
      <formula>LEFT($M8,1)="●"</formula>
    </cfRule>
    <cfRule type="expression" dxfId="91" priority="17">
      <formula>LEFT($M8,1)="○"</formula>
    </cfRule>
  </conditionalFormatting>
  <dataValidations count="23">
    <dataValidation allowBlank="1" showInputMessage="1" showErrorMessage="1" promptTitle="ƒx ID" prompt="Consecutivo automático del registro (auditoría). Aparece al diligenciar la fila." sqref="B7" xr:uid="{00000000-0002-0000-0600-000000000000}"/>
    <dataValidation allowBlank="1" showInputMessage="1" showErrorMessage="1" promptTitle="✎ Fecha" prompt="Fecha del movimiento (dd/mm/aaaa). Atajo: Ctrl + ; escribe la fecha de hoy." sqref="C7" xr:uid="{00000000-0002-0000-0600-000001000000}"/>
    <dataValidation allowBlank="1" showInputMessage="1" showErrorMessage="1" promptTitle="✎ Tipo" prompt="ENTRADA, SALIDA, AJUSTE (+), AJUSTE (-) o SALDO INICIAL. El sistema asigna el FactorStock." sqref="D7" xr:uid="{00000000-0002-0000-0600-000002000000}"/>
    <dataValidation allowBlank="1" showInputMessage="1" showErrorMessage="1" promptTitle="✎ Categoría" prompt="Paso 1 de la cascada: elija la categoría para filtrar los productos." sqref="E7" xr:uid="{00000000-0002-0000-0600-000003000000}"/>
    <dataValidation allowBlank="1" showInputMessage="1" showErrorMessage="1" promptTitle="✎ Producto" prompt="Paso 2: elija el producto de la lista filtrada. Nunca lo escriba a mano." sqref="F7" xr:uid="{00000000-0002-0000-0600-000004000000}"/>
    <dataValidation allowBlank="1" showInputMessage="1" showErrorMessage="1" promptTitle="ƒx SKU" prompt="Código extraído del producto elegido (clave de la proyección de stock)." sqref="G7" xr:uid="{00000000-0002-0000-0600-000005000000}"/>
    <dataValidation allowBlank="1" showInputMessage="1" showErrorMessage="1" promptTitle="ƒx Unidad" prompt="Unidad de medida del producto (desde 05_PRODUCTOS). ? = no existe." sqref="H7" xr:uid="{00000000-0002-0000-0600-000006000000}"/>
    <dataValidation allowBlank="1" showInputMessage="1" showErrorMessage="1" promptTitle="✎ Cantidad" prompt="Cantidad siempre positiva, en la unidad indicada. El signo lo pone el FactorStock." sqref="I7" xr:uid="{00000000-0002-0000-0600-000007000000}"/>
    <dataValidation allowBlank="1" showInputMessage="1" showErrorMessage="1" promptTitle="ƒx FactorStock" prompt="+1 suma al inventario, -1 resta. Lo define el Tipo (tabla tblTiposMov en 01_CONFIG)." sqref="J7" xr:uid="{00000000-0002-0000-0600-000008000000}"/>
    <dataValidation allowBlank="1" showInputMessage="1" showErrorMessage="1" promptTitle="ƒx CantidadNeta" prompt="Cantidad × FactorStock. Es el único valor que suma la proyección 15_STOCK." sqref="K7" xr:uid="{00000000-0002-0000-0600-000009000000}"/>
    <dataValidation allowBlank="1" showInputMessage="1" showErrorMessage="1" promptTitle="ƒx Saldo" prompt="Saldo del producto después de este movimiento (kardex acumulado)." sqref="L7" xr:uid="{00000000-0002-0000-0600-00000A000000}"/>
    <dataValidation allowBlank="1" showInputMessage="1" showErrorMessage="1" promptTitle="ƒx Estado" prompt="Control automático del registro: ✔ correcto, ⚠ revisar, ✖ error que debe corregirse." sqref="M7" xr:uid="{00000000-0002-0000-0600-00000B000000}"/>
    <dataValidation allowBlank="1" showInputMessage="1" showErrorMessage="1" promptTitle="✎ Documento" prompt="Soporte: factura, remisión u orden (opcional). Ej: FC-10234." sqref="N7" xr:uid="{00000000-0002-0000-0600-00000C000000}"/>
    <dataValidation allowBlank="1" showInputMessage="1" showErrorMessage="1" promptTitle="✎ Responsable" prompt="Quién registra el movimiento (lista de 01_CONFIG)." sqref="O7" xr:uid="{00000000-0002-0000-0600-00000D000000}"/>
    <dataValidation allowBlank="1" showInputMessage="1" showErrorMessage="1" promptTitle="✎ Observaciones" prompt="Detalle adicional. Obligatorio en AJUSTES: explique el motivo." sqref="P7" xr:uid="{00000000-0002-0000-0600-00000E000000}"/>
    <dataValidation type="date" allowBlank="1" showInputMessage="1" showErrorMessage="1" errorTitle="Fecha no válida" error="Use el formato dd/mm/aaaa. No se permiten fechas futuras ni anteriores a la fecha mínima configurada." promptTitle="Fecha del movimiento" prompt="Escriba la fecha (dd/mm/aaaa). Atajo: Ctrl + ; inserta la fecha de hoy. No se admiten fechas futuras." sqref="C8:C5007" xr:uid="{00000000-0002-0000-0600-00000F000000}">
      <formula1>cfgFechaMin</formula1>
      <formula2>TODAY()</formula2>
    </dataValidation>
    <dataValidation type="list" allowBlank="1" showInputMessage="1" showErrorMessage="1" errorTitle="Tipo no válido" error="Seleccione un tipo de la lista desplegable (Alt + ↓)." promptTitle="Tipo de movimiento" prompt="ENTRADA (+) · SALIDA (-) · AJUSTE (+/-) · SALDO INICIAL (+). El FactorStock se asigna solo." sqref="D8:D5007" xr:uid="{00000000-0002-0000-0600-000010000000}">
      <formula1>lstTiposMov</formula1>
    </dataValidation>
    <dataValidation type="list" allowBlank="1" showInputMessage="1" showErrorMessage="1" errorTitle="Categoría no válida" error="Seleccione una categoría de la lista (Alt + ↓)." promptTitle="Paso 1 · Categoría" prompt="Elija la categoría. La lista de Producto se filtrará con esta selección." sqref="E8:E5007" xr:uid="{00000000-0002-0000-0600-000011000000}">
      <formula1>lstCategorias</formula1>
    </dataValidation>
    <dataValidation type="list" allowBlank="1" showInputMessage="1" showErrorMessage="1" errorTitle="Producto no válido" error="Seleccione un producto de la lista. Si no existe, pida al administrador crearlo en 05_PRODUCTOS." promptTitle="Paso 2 · Producto" prompt="Elija el producto de la lista (filtrada por la categoría). Formato: SKU · Nombre. Nunca lo escriba a mano." sqref="F8:F5007" xr:uid="{00000000-0002-0000-0600-000012000000}">
      <formula1>IF($E8="",lpTodos,IF(COUNTIF(lpCat,$E8)=0,lpVacio,OFFSET(lpBase,MATCH($E8,lpCat,0),0,COUNTIF(lpCat,$E8),1)))</formula1>
    </dataValidation>
    <dataValidation type="custom" allowBlank="1" showInputMessage="1" showErrorMessage="1" errorTitle="Cantidad no válida" error="La cantidad debe ser mayor que 0. Esta unidad no admite decimales o el valor no es un número." promptTitle="Cantidad" prompt="Número mayor que 0, en la unidad indicada. UND, CAJA, PAQ, PAR y ROLLO solo admiten enteros." sqref="I8:I5007" xr:uid="{00000000-0002-0000-0600-000013000000}">
      <formula1>AND(ISNUMBER(I8),I8&gt;0,IFERROR(OR(INDEX(lstUniDec,MATCH($H8,lstUniCod,0))="SI",I8=INT(I8)),TRUE))</formula1>
    </dataValidation>
    <dataValidation type="textLength" operator="lessThanOrEqual" allowBlank="1" showInputMessage="1" showErrorMessage="1" errorTitle="Texto muy largo" error="Máximo 30 caracteres." promptTitle="Documento soporte (opcional)" prompt="Factura, remisión u orden. Ej: FC-10234." sqref="N8:N5007" xr:uid="{00000000-0002-0000-0600-000014000000}">
      <formula1>30</formula1>
    </dataValidation>
    <dataValidation type="list" allowBlank="1" showInputMessage="1" showErrorMessage="1" errorTitle="Responsable no válido" error="Seleccione un nombre de la lista (Alt + ↓)." promptTitle="Responsable" prompt="Seleccione quién registra el movimiento." sqref="O8:O5007" xr:uid="{00000000-0002-0000-0600-000015000000}">
      <formula1>lstResponsables</formula1>
    </dataValidation>
    <dataValidation type="textLength" operator="lessThanOrEqual" allowBlank="1" showInputMessage="1" showErrorMessage="1" errorTitle="Texto muy largo" error="Máximo 250 caracteres." promptTitle="Observaciones" prompt="Obligatorio en AJUSTES: explique el motivo (merma, conteo...)." sqref="P8:P5007" xr:uid="{00000000-0002-0000-0600-000016000000}">
      <formula1>250</formula1>
    </dataValidation>
  </dataValidations>
  <pageMargins left="0.4" right="0.4" top="0.7" bottom="0.6" header="0.3" footer="0.3"/>
  <pageSetup fitToHeight="0" orientation="landscape"/>
  <headerFooter>
    <oddHeader>&amp;L&amp;"Segoe UI,Bold"&amp;9M-INV · Bitácora de movimientos&amp;R&amp;"Segoe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D32"/>
    <pageSetUpPr fitToPage="1"/>
  </sheetPr>
  <dimension ref="B1:M507"/>
  <sheetViews>
    <sheetView showGridLines="0" showRowColHeaders="0" zoomScale="90" zoomScaleNormal="90" workbookViewId="0">
      <pane ySplit="7" topLeftCell="A8" activePane="bottomLeft" state="frozen"/>
      <selection pane="bottomLeft" activeCell="I8" sqref="I8"/>
    </sheetView>
  </sheetViews>
  <sheetFormatPr baseColWidth="10" defaultColWidth="0" defaultRowHeight="15" zeroHeight="1" x14ac:dyDescent="0.25"/>
  <cols>
    <col min="1" max="1" width="2.28515625" customWidth="1"/>
    <col min="2" max="2" width="12" customWidth="1"/>
    <col min="3" max="3" width="38.5703125" customWidth="1"/>
    <col min="4" max="4" width="22.85546875" customWidth="1"/>
    <col min="5" max="5" width="13.7109375" customWidth="1"/>
    <col min="6" max="6" width="10.5703125" customWidth="1"/>
    <col min="7" max="7" width="9.140625" customWidth="1"/>
    <col min="8" max="8" width="17.42578125" customWidth="1"/>
    <col min="9" max="10" width="14.85546875" customWidth="1"/>
    <col min="11" max="11" width="20.28515625" customWidth="1"/>
    <col min="12" max="12" width="21.42578125" customWidth="1"/>
    <col min="13" max="13" width="27.140625" customWidth="1"/>
    <col min="14" max="14" width="2.28515625" customWidth="1"/>
    <col min="15" max="15" width="0" hidden="1" customWidth="1"/>
  </cols>
  <sheetData>
    <row r="1" spans="2:13" s="1" customFormat="1" ht="6" customHeight="1" x14ac:dyDescent="0.25"/>
    <row r="2" spans="2:13" s="1" customFormat="1" ht="24" customHeight="1" x14ac:dyDescent="0.25">
      <c r="B2" s="12" t="s">
        <v>171</v>
      </c>
    </row>
    <row r="3" spans="2:13" s="1" customFormat="1" ht="14.25" x14ac:dyDescent="0.25">
      <c r="B3" s="13" t="s">
        <v>172</v>
      </c>
    </row>
    <row r="4" spans="2:13" s="1" customFormat="1" ht="7.5" customHeight="1" x14ac:dyDescent="0.25"/>
    <row r="5" spans="2:13" s="4" customFormat="1" ht="25.5" customHeight="1" x14ac:dyDescent="0.25">
      <c r="J5" s="50" t="s">
        <v>179</v>
      </c>
      <c r="K5" s="51"/>
      <c r="L5" s="50" t="s">
        <v>180</v>
      </c>
      <c r="M5" s="37"/>
    </row>
    <row r="6" spans="2:13" s="4" customFormat="1" ht="12" customHeight="1" x14ac:dyDescent="0.25">
      <c r="B6" s="36" t="s">
        <v>149</v>
      </c>
      <c r="C6" s="36" t="s">
        <v>149</v>
      </c>
      <c r="D6" s="36" t="s">
        <v>149</v>
      </c>
      <c r="E6" s="36" t="s">
        <v>149</v>
      </c>
      <c r="F6" s="36" t="s">
        <v>149</v>
      </c>
      <c r="G6" s="36" t="s">
        <v>149</v>
      </c>
      <c r="H6" s="36" t="s">
        <v>149</v>
      </c>
      <c r="I6" s="35" t="s">
        <v>148</v>
      </c>
      <c r="J6" s="36" t="s">
        <v>149</v>
      </c>
      <c r="K6" s="36" t="s">
        <v>149</v>
      </c>
      <c r="L6" s="36" t="s">
        <v>149</v>
      </c>
      <c r="M6" s="36" t="s">
        <v>149</v>
      </c>
    </row>
    <row r="7" spans="2:13" ht="25.5" customHeight="1" x14ac:dyDescent="0.25">
      <c r="B7" s="15" t="s">
        <v>152</v>
      </c>
      <c r="C7" s="15" t="s">
        <v>153</v>
      </c>
      <c r="D7" s="15" t="s">
        <v>86</v>
      </c>
      <c r="E7" s="15" t="s">
        <v>157</v>
      </c>
      <c r="F7" s="15" t="s">
        <v>107</v>
      </c>
      <c r="G7" s="15" t="s">
        <v>158</v>
      </c>
      <c r="H7" s="15" t="s">
        <v>173</v>
      </c>
      <c r="I7" s="16" t="s">
        <v>174</v>
      </c>
      <c r="J7" s="15" t="s">
        <v>175</v>
      </c>
      <c r="K7" s="15" t="s">
        <v>176</v>
      </c>
      <c r="L7" s="15" t="s">
        <v>177</v>
      </c>
      <c r="M7" s="15" t="s">
        <v>178</v>
      </c>
    </row>
    <row r="8" spans="2:13" x14ac:dyDescent="0.25">
      <c r="B8" s="40" t="str">
        <f>IF('05_PRODUCTOS'!$B8="","",'05_PRODUCTOS'!$B8)</f>
        <v/>
      </c>
      <c r="C8" s="43" t="str">
        <f>IF($B8="","",'05_PRODUCTOS'!$C8)</f>
        <v/>
      </c>
      <c r="D8" s="43" t="str">
        <f>IF($B8="","",'05_PRODUCTOS'!$D8)</f>
        <v/>
      </c>
      <c r="E8" s="40" t="str">
        <f>IF($B8="","",'05_PRODUCTOS'!$J8&amp;"")</f>
        <v/>
      </c>
      <c r="F8" s="40" t="str">
        <f>IF($B8="","",'05_PRODUCTOS'!$E8)</f>
        <v/>
      </c>
      <c r="G8" s="40" t="str">
        <f>IF($B8="","",IF('05_PRODUCTOS'!$K8="NO","NO","SI"))</f>
        <v/>
      </c>
      <c r="H8" s="49" t="str">
        <f>IF($B8="","",N('15_STOCK'!$J8))</f>
        <v/>
      </c>
      <c r="I8" s="39"/>
      <c r="J8" s="48" t="str">
        <f>IF(OR(tblConteo[[#This Row],[SKU]]="",tblConteo[[#This Row],[Conteo]]=""),"",tblConteo[[#This Row],[Conteo]]-tblConteo[[#This Row],[StockSistema]])</f>
        <v/>
      </c>
      <c r="K8" s="52" t="str">
        <f>IF($J8="","",$J8*N('15_STOCK'!$O8))</f>
        <v/>
      </c>
      <c r="L8" s="41" t="str">
        <f>IF(tblConteo[[#This Row],[Diferencia]]="","",IF(tblConteo[[#This Row],[Diferencia]]=0,"✔ Cuadra",IF(tblConteo[[#This Row],[Diferencia]]&gt;0,"▲ Sobrante","▼ Faltante")))</f>
        <v/>
      </c>
      <c r="M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" spans="2:13" x14ac:dyDescent="0.25">
      <c r="B9" s="40" t="str">
        <f>IF('05_PRODUCTOS'!$B9="","",'05_PRODUCTOS'!$B9)</f>
        <v/>
      </c>
      <c r="C9" s="43" t="str">
        <f>IF($B9="","",'05_PRODUCTOS'!$C9)</f>
        <v/>
      </c>
      <c r="D9" s="43" t="str">
        <f>IF($B9="","",'05_PRODUCTOS'!$D9)</f>
        <v/>
      </c>
      <c r="E9" s="40" t="str">
        <f>IF($B9="","",'05_PRODUCTOS'!$J9&amp;"")</f>
        <v/>
      </c>
      <c r="F9" s="40" t="str">
        <f>IF($B9="","",'05_PRODUCTOS'!$E9)</f>
        <v/>
      </c>
      <c r="G9" s="40" t="str">
        <f>IF($B9="","",IF('05_PRODUCTOS'!$K9="NO","NO","SI"))</f>
        <v/>
      </c>
      <c r="H9" s="49" t="str">
        <f>IF($B9="","",N('15_STOCK'!$J9))</f>
        <v/>
      </c>
      <c r="I9" s="39"/>
      <c r="J9" s="48" t="str">
        <f>IF(OR(tblConteo[[#This Row],[SKU]]="",tblConteo[[#This Row],[Conteo]]=""),"",tblConteo[[#This Row],[Conteo]]-tblConteo[[#This Row],[StockSistema]])</f>
        <v/>
      </c>
      <c r="K9" s="52" t="str">
        <f>IF($J9="","",$J9*N('15_STOCK'!$O9))</f>
        <v/>
      </c>
      <c r="L9" s="41" t="str">
        <f>IF(tblConteo[[#This Row],[Diferencia]]="","",IF(tblConteo[[#This Row],[Diferencia]]=0,"✔ Cuadra",IF(tblConteo[[#This Row],[Diferencia]]&gt;0,"▲ Sobrante","▼ Faltante")))</f>
        <v/>
      </c>
      <c r="M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" spans="2:13" x14ac:dyDescent="0.25">
      <c r="B10" s="40" t="str">
        <f>IF('05_PRODUCTOS'!$B10="","",'05_PRODUCTOS'!$B10)</f>
        <v/>
      </c>
      <c r="C10" s="43" t="str">
        <f>IF($B10="","",'05_PRODUCTOS'!$C10)</f>
        <v/>
      </c>
      <c r="D10" s="43" t="str">
        <f>IF($B10="","",'05_PRODUCTOS'!$D10)</f>
        <v/>
      </c>
      <c r="E10" s="40" t="str">
        <f>IF($B10="","",'05_PRODUCTOS'!$J10&amp;"")</f>
        <v/>
      </c>
      <c r="F10" s="40" t="str">
        <f>IF($B10="","",'05_PRODUCTOS'!$E10)</f>
        <v/>
      </c>
      <c r="G10" s="40" t="str">
        <f>IF($B10="","",IF('05_PRODUCTOS'!$K10="NO","NO","SI"))</f>
        <v/>
      </c>
      <c r="H10" s="49" t="str">
        <f>IF($B10="","",N('15_STOCK'!$J10))</f>
        <v/>
      </c>
      <c r="I10" s="39"/>
      <c r="J10" s="48" t="str">
        <f>IF(OR(tblConteo[[#This Row],[SKU]]="",tblConteo[[#This Row],[Conteo]]=""),"",tblConteo[[#This Row],[Conteo]]-tblConteo[[#This Row],[StockSistema]])</f>
        <v/>
      </c>
      <c r="K10" s="52" t="str">
        <f>IF($J10="","",$J10*N('15_STOCK'!$O10))</f>
        <v/>
      </c>
      <c r="L10" s="41" t="str">
        <f>IF(tblConteo[[#This Row],[Diferencia]]="","",IF(tblConteo[[#This Row],[Diferencia]]=0,"✔ Cuadra",IF(tblConteo[[#This Row],[Diferencia]]&gt;0,"▲ Sobrante","▼ Faltante")))</f>
        <v/>
      </c>
      <c r="M1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" spans="2:13" x14ac:dyDescent="0.25">
      <c r="B11" s="40" t="str">
        <f>IF('05_PRODUCTOS'!$B11="","",'05_PRODUCTOS'!$B11)</f>
        <v/>
      </c>
      <c r="C11" s="43" t="str">
        <f>IF($B11="","",'05_PRODUCTOS'!$C11)</f>
        <v/>
      </c>
      <c r="D11" s="43" t="str">
        <f>IF($B11="","",'05_PRODUCTOS'!$D11)</f>
        <v/>
      </c>
      <c r="E11" s="40" t="str">
        <f>IF($B11="","",'05_PRODUCTOS'!$J11&amp;"")</f>
        <v/>
      </c>
      <c r="F11" s="40" t="str">
        <f>IF($B11="","",'05_PRODUCTOS'!$E11)</f>
        <v/>
      </c>
      <c r="G11" s="40" t="str">
        <f>IF($B11="","",IF('05_PRODUCTOS'!$K11="NO","NO","SI"))</f>
        <v/>
      </c>
      <c r="H11" s="49" t="str">
        <f>IF($B11="","",N('15_STOCK'!$J11))</f>
        <v/>
      </c>
      <c r="I11" s="39"/>
      <c r="J11" s="48" t="str">
        <f>IF(OR(tblConteo[[#This Row],[SKU]]="",tblConteo[[#This Row],[Conteo]]=""),"",tblConteo[[#This Row],[Conteo]]-tblConteo[[#This Row],[StockSistema]])</f>
        <v/>
      </c>
      <c r="K11" s="52" t="str">
        <f>IF($J11="","",$J11*N('15_STOCK'!$O11))</f>
        <v/>
      </c>
      <c r="L11" s="41" t="str">
        <f>IF(tblConteo[[#This Row],[Diferencia]]="","",IF(tblConteo[[#This Row],[Diferencia]]=0,"✔ Cuadra",IF(tblConteo[[#This Row],[Diferencia]]&gt;0,"▲ Sobrante","▼ Faltante")))</f>
        <v/>
      </c>
      <c r="M1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" spans="2:13" x14ac:dyDescent="0.25">
      <c r="B12" s="40" t="str">
        <f>IF('05_PRODUCTOS'!$B12="","",'05_PRODUCTOS'!$B12)</f>
        <v/>
      </c>
      <c r="C12" s="43" t="str">
        <f>IF($B12="","",'05_PRODUCTOS'!$C12)</f>
        <v/>
      </c>
      <c r="D12" s="43" t="str">
        <f>IF($B12="","",'05_PRODUCTOS'!$D12)</f>
        <v/>
      </c>
      <c r="E12" s="40" t="str">
        <f>IF($B12="","",'05_PRODUCTOS'!$J12&amp;"")</f>
        <v/>
      </c>
      <c r="F12" s="40" t="str">
        <f>IF($B12="","",'05_PRODUCTOS'!$E12)</f>
        <v/>
      </c>
      <c r="G12" s="40" t="str">
        <f>IF($B12="","",IF('05_PRODUCTOS'!$K12="NO","NO","SI"))</f>
        <v/>
      </c>
      <c r="H12" s="49" t="str">
        <f>IF($B12="","",N('15_STOCK'!$J12))</f>
        <v/>
      </c>
      <c r="I12" s="39"/>
      <c r="J12" s="48" t="str">
        <f>IF(OR(tblConteo[[#This Row],[SKU]]="",tblConteo[[#This Row],[Conteo]]=""),"",tblConteo[[#This Row],[Conteo]]-tblConteo[[#This Row],[StockSistema]])</f>
        <v/>
      </c>
      <c r="K12" s="52" t="str">
        <f>IF($J12="","",$J12*N('15_STOCK'!$O12))</f>
        <v/>
      </c>
      <c r="L12" s="41" t="str">
        <f>IF(tblConteo[[#This Row],[Diferencia]]="","",IF(tblConteo[[#This Row],[Diferencia]]=0,"✔ Cuadra",IF(tblConteo[[#This Row],[Diferencia]]&gt;0,"▲ Sobrante","▼ Faltante")))</f>
        <v/>
      </c>
      <c r="M1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" spans="2:13" x14ac:dyDescent="0.25">
      <c r="B13" s="40" t="str">
        <f>IF('05_PRODUCTOS'!$B13="","",'05_PRODUCTOS'!$B13)</f>
        <v/>
      </c>
      <c r="C13" s="43" t="str">
        <f>IF($B13="","",'05_PRODUCTOS'!$C13)</f>
        <v/>
      </c>
      <c r="D13" s="43" t="str">
        <f>IF($B13="","",'05_PRODUCTOS'!$D13)</f>
        <v/>
      </c>
      <c r="E13" s="40" t="str">
        <f>IF($B13="","",'05_PRODUCTOS'!$J13&amp;"")</f>
        <v/>
      </c>
      <c r="F13" s="40" t="str">
        <f>IF($B13="","",'05_PRODUCTOS'!$E13)</f>
        <v/>
      </c>
      <c r="G13" s="40" t="str">
        <f>IF($B13="","",IF('05_PRODUCTOS'!$K13="NO","NO","SI"))</f>
        <v/>
      </c>
      <c r="H13" s="49" t="str">
        <f>IF($B13="","",N('15_STOCK'!$J13))</f>
        <v/>
      </c>
      <c r="I13" s="39"/>
      <c r="J13" s="48" t="str">
        <f>IF(OR(tblConteo[[#This Row],[SKU]]="",tblConteo[[#This Row],[Conteo]]=""),"",tblConteo[[#This Row],[Conteo]]-tblConteo[[#This Row],[StockSistema]])</f>
        <v/>
      </c>
      <c r="K13" s="52" t="str">
        <f>IF($J13="","",$J13*N('15_STOCK'!$O13))</f>
        <v/>
      </c>
      <c r="L13" s="41" t="str">
        <f>IF(tblConteo[[#This Row],[Diferencia]]="","",IF(tblConteo[[#This Row],[Diferencia]]=0,"✔ Cuadra",IF(tblConteo[[#This Row],[Diferencia]]&gt;0,"▲ Sobrante","▼ Faltante")))</f>
        <v/>
      </c>
      <c r="M1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" spans="2:13" x14ac:dyDescent="0.25">
      <c r="B14" s="40" t="str">
        <f>IF('05_PRODUCTOS'!$B14="","",'05_PRODUCTOS'!$B14)</f>
        <v/>
      </c>
      <c r="C14" s="43" t="str">
        <f>IF($B14="","",'05_PRODUCTOS'!$C14)</f>
        <v/>
      </c>
      <c r="D14" s="43" t="str">
        <f>IF($B14="","",'05_PRODUCTOS'!$D14)</f>
        <v/>
      </c>
      <c r="E14" s="40" t="str">
        <f>IF($B14="","",'05_PRODUCTOS'!$J14&amp;"")</f>
        <v/>
      </c>
      <c r="F14" s="40" t="str">
        <f>IF($B14="","",'05_PRODUCTOS'!$E14)</f>
        <v/>
      </c>
      <c r="G14" s="40" t="str">
        <f>IF($B14="","",IF('05_PRODUCTOS'!$K14="NO","NO","SI"))</f>
        <v/>
      </c>
      <c r="H14" s="49" t="str">
        <f>IF($B14="","",N('15_STOCK'!$J14))</f>
        <v/>
      </c>
      <c r="I14" s="39"/>
      <c r="J14" s="48" t="str">
        <f>IF(OR(tblConteo[[#This Row],[SKU]]="",tblConteo[[#This Row],[Conteo]]=""),"",tblConteo[[#This Row],[Conteo]]-tblConteo[[#This Row],[StockSistema]])</f>
        <v/>
      </c>
      <c r="K14" s="52" t="str">
        <f>IF($J14="","",$J14*N('15_STOCK'!$O14))</f>
        <v/>
      </c>
      <c r="L14" s="41" t="str">
        <f>IF(tblConteo[[#This Row],[Diferencia]]="","",IF(tblConteo[[#This Row],[Diferencia]]=0,"✔ Cuadra",IF(tblConteo[[#This Row],[Diferencia]]&gt;0,"▲ Sobrante","▼ Faltante")))</f>
        <v/>
      </c>
      <c r="M1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" spans="2:13" x14ac:dyDescent="0.25">
      <c r="B15" s="40" t="str">
        <f>IF('05_PRODUCTOS'!$B15="","",'05_PRODUCTOS'!$B15)</f>
        <v/>
      </c>
      <c r="C15" s="43" t="str">
        <f>IF($B15="","",'05_PRODUCTOS'!$C15)</f>
        <v/>
      </c>
      <c r="D15" s="43" t="str">
        <f>IF($B15="","",'05_PRODUCTOS'!$D15)</f>
        <v/>
      </c>
      <c r="E15" s="40" t="str">
        <f>IF($B15="","",'05_PRODUCTOS'!$J15&amp;"")</f>
        <v/>
      </c>
      <c r="F15" s="40" t="str">
        <f>IF($B15="","",'05_PRODUCTOS'!$E15)</f>
        <v/>
      </c>
      <c r="G15" s="40" t="str">
        <f>IF($B15="","",IF('05_PRODUCTOS'!$K15="NO","NO","SI"))</f>
        <v/>
      </c>
      <c r="H15" s="49" t="str">
        <f>IF($B15="","",N('15_STOCK'!$J15))</f>
        <v/>
      </c>
      <c r="I15" s="39"/>
      <c r="J15" s="48" t="str">
        <f>IF(OR(tblConteo[[#This Row],[SKU]]="",tblConteo[[#This Row],[Conteo]]=""),"",tblConteo[[#This Row],[Conteo]]-tblConteo[[#This Row],[StockSistema]])</f>
        <v/>
      </c>
      <c r="K15" s="52" t="str">
        <f>IF($J15="","",$J15*N('15_STOCK'!$O15))</f>
        <v/>
      </c>
      <c r="L15" s="41" t="str">
        <f>IF(tblConteo[[#This Row],[Diferencia]]="","",IF(tblConteo[[#This Row],[Diferencia]]=0,"✔ Cuadra",IF(tblConteo[[#This Row],[Diferencia]]&gt;0,"▲ Sobrante","▼ Faltante")))</f>
        <v/>
      </c>
      <c r="M1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" spans="2:13" x14ac:dyDescent="0.25">
      <c r="B16" s="40" t="str">
        <f>IF('05_PRODUCTOS'!$B16="","",'05_PRODUCTOS'!$B16)</f>
        <v/>
      </c>
      <c r="C16" s="43" t="str">
        <f>IF($B16="","",'05_PRODUCTOS'!$C16)</f>
        <v/>
      </c>
      <c r="D16" s="43" t="str">
        <f>IF($B16="","",'05_PRODUCTOS'!$D16)</f>
        <v/>
      </c>
      <c r="E16" s="40" t="str">
        <f>IF($B16="","",'05_PRODUCTOS'!$J16&amp;"")</f>
        <v/>
      </c>
      <c r="F16" s="40" t="str">
        <f>IF($B16="","",'05_PRODUCTOS'!$E16)</f>
        <v/>
      </c>
      <c r="G16" s="40" t="str">
        <f>IF($B16="","",IF('05_PRODUCTOS'!$K16="NO","NO","SI"))</f>
        <v/>
      </c>
      <c r="H16" s="49" t="str">
        <f>IF($B16="","",N('15_STOCK'!$J16))</f>
        <v/>
      </c>
      <c r="I16" s="39"/>
      <c r="J16" s="48" t="str">
        <f>IF(OR(tblConteo[[#This Row],[SKU]]="",tblConteo[[#This Row],[Conteo]]=""),"",tblConteo[[#This Row],[Conteo]]-tblConteo[[#This Row],[StockSistema]])</f>
        <v/>
      </c>
      <c r="K16" s="52" t="str">
        <f>IF($J16="","",$J16*N('15_STOCK'!$O16))</f>
        <v/>
      </c>
      <c r="L16" s="41" t="str">
        <f>IF(tblConteo[[#This Row],[Diferencia]]="","",IF(tblConteo[[#This Row],[Diferencia]]=0,"✔ Cuadra",IF(tblConteo[[#This Row],[Diferencia]]&gt;0,"▲ Sobrante","▼ Faltante")))</f>
        <v/>
      </c>
      <c r="M1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" spans="2:13" x14ac:dyDescent="0.25">
      <c r="B17" s="40" t="str">
        <f>IF('05_PRODUCTOS'!$B17="","",'05_PRODUCTOS'!$B17)</f>
        <v/>
      </c>
      <c r="C17" s="43" t="str">
        <f>IF($B17="","",'05_PRODUCTOS'!$C17)</f>
        <v/>
      </c>
      <c r="D17" s="43" t="str">
        <f>IF($B17="","",'05_PRODUCTOS'!$D17)</f>
        <v/>
      </c>
      <c r="E17" s="40" t="str">
        <f>IF($B17="","",'05_PRODUCTOS'!$J17&amp;"")</f>
        <v/>
      </c>
      <c r="F17" s="40" t="str">
        <f>IF($B17="","",'05_PRODUCTOS'!$E17)</f>
        <v/>
      </c>
      <c r="G17" s="40" t="str">
        <f>IF($B17="","",IF('05_PRODUCTOS'!$K17="NO","NO","SI"))</f>
        <v/>
      </c>
      <c r="H17" s="49" t="str">
        <f>IF($B17="","",N('15_STOCK'!$J17))</f>
        <v/>
      </c>
      <c r="I17" s="39"/>
      <c r="J17" s="48" t="str">
        <f>IF(OR(tblConteo[[#This Row],[SKU]]="",tblConteo[[#This Row],[Conteo]]=""),"",tblConteo[[#This Row],[Conteo]]-tblConteo[[#This Row],[StockSistema]])</f>
        <v/>
      </c>
      <c r="K17" s="52" t="str">
        <f>IF($J17="","",$J17*N('15_STOCK'!$O17))</f>
        <v/>
      </c>
      <c r="L17" s="41" t="str">
        <f>IF(tblConteo[[#This Row],[Diferencia]]="","",IF(tblConteo[[#This Row],[Diferencia]]=0,"✔ Cuadra",IF(tblConteo[[#This Row],[Diferencia]]&gt;0,"▲ Sobrante","▼ Faltante")))</f>
        <v/>
      </c>
      <c r="M1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" spans="2:13" x14ac:dyDescent="0.25">
      <c r="B18" s="40" t="str">
        <f>IF('05_PRODUCTOS'!$B18="","",'05_PRODUCTOS'!$B18)</f>
        <v/>
      </c>
      <c r="C18" s="43" t="str">
        <f>IF($B18="","",'05_PRODUCTOS'!$C18)</f>
        <v/>
      </c>
      <c r="D18" s="43" t="str">
        <f>IF($B18="","",'05_PRODUCTOS'!$D18)</f>
        <v/>
      </c>
      <c r="E18" s="40" t="str">
        <f>IF($B18="","",'05_PRODUCTOS'!$J18&amp;"")</f>
        <v/>
      </c>
      <c r="F18" s="40" t="str">
        <f>IF($B18="","",'05_PRODUCTOS'!$E18)</f>
        <v/>
      </c>
      <c r="G18" s="40" t="str">
        <f>IF($B18="","",IF('05_PRODUCTOS'!$K18="NO","NO","SI"))</f>
        <v/>
      </c>
      <c r="H18" s="49" t="str">
        <f>IF($B18="","",N('15_STOCK'!$J18))</f>
        <v/>
      </c>
      <c r="I18" s="39"/>
      <c r="J18" s="48" t="str">
        <f>IF(OR(tblConteo[[#This Row],[SKU]]="",tblConteo[[#This Row],[Conteo]]=""),"",tblConteo[[#This Row],[Conteo]]-tblConteo[[#This Row],[StockSistema]])</f>
        <v/>
      </c>
      <c r="K18" s="52" t="str">
        <f>IF($J18="","",$J18*N('15_STOCK'!$O18))</f>
        <v/>
      </c>
      <c r="L18" s="41" t="str">
        <f>IF(tblConteo[[#This Row],[Diferencia]]="","",IF(tblConteo[[#This Row],[Diferencia]]=0,"✔ Cuadra",IF(tblConteo[[#This Row],[Diferencia]]&gt;0,"▲ Sobrante","▼ Faltante")))</f>
        <v/>
      </c>
      <c r="M1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" spans="2:13" x14ac:dyDescent="0.25">
      <c r="B19" s="40" t="str">
        <f>IF('05_PRODUCTOS'!$B19="","",'05_PRODUCTOS'!$B19)</f>
        <v/>
      </c>
      <c r="C19" s="43" t="str">
        <f>IF($B19="","",'05_PRODUCTOS'!$C19)</f>
        <v/>
      </c>
      <c r="D19" s="43" t="str">
        <f>IF($B19="","",'05_PRODUCTOS'!$D19)</f>
        <v/>
      </c>
      <c r="E19" s="40" t="str">
        <f>IF($B19="","",'05_PRODUCTOS'!$J19&amp;"")</f>
        <v/>
      </c>
      <c r="F19" s="40" t="str">
        <f>IF($B19="","",'05_PRODUCTOS'!$E19)</f>
        <v/>
      </c>
      <c r="G19" s="40" t="str">
        <f>IF($B19="","",IF('05_PRODUCTOS'!$K19="NO","NO","SI"))</f>
        <v/>
      </c>
      <c r="H19" s="49" t="str">
        <f>IF($B19="","",N('15_STOCK'!$J19))</f>
        <v/>
      </c>
      <c r="I19" s="39"/>
      <c r="J19" s="48" t="str">
        <f>IF(OR(tblConteo[[#This Row],[SKU]]="",tblConteo[[#This Row],[Conteo]]=""),"",tblConteo[[#This Row],[Conteo]]-tblConteo[[#This Row],[StockSistema]])</f>
        <v/>
      </c>
      <c r="K19" s="52" t="str">
        <f>IF($J19="","",$J19*N('15_STOCK'!$O19))</f>
        <v/>
      </c>
      <c r="L19" s="41" t="str">
        <f>IF(tblConteo[[#This Row],[Diferencia]]="","",IF(tblConteo[[#This Row],[Diferencia]]=0,"✔ Cuadra",IF(tblConteo[[#This Row],[Diferencia]]&gt;0,"▲ Sobrante","▼ Faltante")))</f>
        <v/>
      </c>
      <c r="M1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" spans="2:13" x14ac:dyDescent="0.25">
      <c r="B20" s="40" t="str">
        <f>IF('05_PRODUCTOS'!$B20="","",'05_PRODUCTOS'!$B20)</f>
        <v/>
      </c>
      <c r="C20" s="43" t="str">
        <f>IF($B20="","",'05_PRODUCTOS'!$C20)</f>
        <v/>
      </c>
      <c r="D20" s="43" t="str">
        <f>IF($B20="","",'05_PRODUCTOS'!$D20)</f>
        <v/>
      </c>
      <c r="E20" s="40" t="str">
        <f>IF($B20="","",'05_PRODUCTOS'!$J20&amp;"")</f>
        <v/>
      </c>
      <c r="F20" s="40" t="str">
        <f>IF($B20="","",'05_PRODUCTOS'!$E20)</f>
        <v/>
      </c>
      <c r="G20" s="40" t="str">
        <f>IF($B20="","",IF('05_PRODUCTOS'!$K20="NO","NO","SI"))</f>
        <v/>
      </c>
      <c r="H20" s="49" t="str">
        <f>IF($B20="","",N('15_STOCK'!$J20))</f>
        <v/>
      </c>
      <c r="I20" s="39"/>
      <c r="J20" s="48" t="str">
        <f>IF(OR(tblConteo[[#This Row],[SKU]]="",tblConteo[[#This Row],[Conteo]]=""),"",tblConteo[[#This Row],[Conteo]]-tblConteo[[#This Row],[StockSistema]])</f>
        <v/>
      </c>
      <c r="K20" s="52" t="str">
        <f>IF($J20="","",$J20*N('15_STOCK'!$O20))</f>
        <v/>
      </c>
      <c r="L20" s="41" t="str">
        <f>IF(tblConteo[[#This Row],[Diferencia]]="","",IF(tblConteo[[#This Row],[Diferencia]]=0,"✔ Cuadra",IF(tblConteo[[#This Row],[Diferencia]]&gt;0,"▲ Sobrante","▼ Faltante")))</f>
        <v/>
      </c>
      <c r="M2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" spans="2:13" x14ac:dyDescent="0.25">
      <c r="B21" s="40" t="str">
        <f>IF('05_PRODUCTOS'!$B21="","",'05_PRODUCTOS'!$B21)</f>
        <v/>
      </c>
      <c r="C21" s="43" t="str">
        <f>IF($B21="","",'05_PRODUCTOS'!$C21)</f>
        <v/>
      </c>
      <c r="D21" s="43" t="str">
        <f>IF($B21="","",'05_PRODUCTOS'!$D21)</f>
        <v/>
      </c>
      <c r="E21" s="40" t="str">
        <f>IF($B21="","",'05_PRODUCTOS'!$J21&amp;"")</f>
        <v/>
      </c>
      <c r="F21" s="40" t="str">
        <f>IF($B21="","",'05_PRODUCTOS'!$E21)</f>
        <v/>
      </c>
      <c r="G21" s="40" t="str">
        <f>IF($B21="","",IF('05_PRODUCTOS'!$K21="NO","NO","SI"))</f>
        <v/>
      </c>
      <c r="H21" s="49" t="str">
        <f>IF($B21="","",N('15_STOCK'!$J21))</f>
        <v/>
      </c>
      <c r="I21" s="39"/>
      <c r="J21" s="48" t="str">
        <f>IF(OR(tblConteo[[#This Row],[SKU]]="",tblConteo[[#This Row],[Conteo]]=""),"",tblConteo[[#This Row],[Conteo]]-tblConteo[[#This Row],[StockSistema]])</f>
        <v/>
      </c>
      <c r="K21" s="52" t="str">
        <f>IF($J21="","",$J21*N('15_STOCK'!$O21))</f>
        <v/>
      </c>
      <c r="L21" s="41" t="str">
        <f>IF(tblConteo[[#This Row],[Diferencia]]="","",IF(tblConteo[[#This Row],[Diferencia]]=0,"✔ Cuadra",IF(tblConteo[[#This Row],[Diferencia]]&gt;0,"▲ Sobrante","▼ Faltante")))</f>
        <v/>
      </c>
      <c r="M2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" spans="2:13" x14ac:dyDescent="0.25">
      <c r="B22" s="40" t="str">
        <f>IF('05_PRODUCTOS'!$B22="","",'05_PRODUCTOS'!$B22)</f>
        <v/>
      </c>
      <c r="C22" s="43" t="str">
        <f>IF($B22="","",'05_PRODUCTOS'!$C22)</f>
        <v/>
      </c>
      <c r="D22" s="43" t="str">
        <f>IF($B22="","",'05_PRODUCTOS'!$D22)</f>
        <v/>
      </c>
      <c r="E22" s="40" t="str">
        <f>IF($B22="","",'05_PRODUCTOS'!$J22&amp;"")</f>
        <v/>
      </c>
      <c r="F22" s="40" t="str">
        <f>IF($B22="","",'05_PRODUCTOS'!$E22)</f>
        <v/>
      </c>
      <c r="G22" s="40" t="str">
        <f>IF($B22="","",IF('05_PRODUCTOS'!$K22="NO","NO","SI"))</f>
        <v/>
      </c>
      <c r="H22" s="49" t="str">
        <f>IF($B22="","",N('15_STOCK'!$J22))</f>
        <v/>
      </c>
      <c r="I22" s="39"/>
      <c r="J22" s="48" t="str">
        <f>IF(OR(tblConteo[[#This Row],[SKU]]="",tblConteo[[#This Row],[Conteo]]=""),"",tblConteo[[#This Row],[Conteo]]-tblConteo[[#This Row],[StockSistema]])</f>
        <v/>
      </c>
      <c r="K22" s="52" t="str">
        <f>IF($J22="","",$J22*N('15_STOCK'!$O22))</f>
        <v/>
      </c>
      <c r="L22" s="41" t="str">
        <f>IF(tblConteo[[#This Row],[Diferencia]]="","",IF(tblConteo[[#This Row],[Diferencia]]=0,"✔ Cuadra",IF(tblConteo[[#This Row],[Diferencia]]&gt;0,"▲ Sobrante","▼ Faltante")))</f>
        <v/>
      </c>
      <c r="M2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" spans="2:13" x14ac:dyDescent="0.25">
      <c r="B23" s="40" t="str">
        <f>IF('05_PRODUCTOS'!$B23="","",'05_PRODUCTOS'!$B23)</f>
        <v/>
      </c>
      <c r="C23" s="43" t="str">
        <f>IF($B23="","",'05_PRODUCTOS'!$C23)</f>
        <v/>
      </c>
      <c r="D23" s="43" t="str">
        <f>IF($B23="","",'05_PRODUCTOS'!$D23)</f>
        <v/>
      </c>
      <c r="E23" s="40" t="str">
        <f>IF($B23="","",'05_PRODUCTOS'!$J23&amp;"")</f>
        <v/>
      </c>
      <c r="F23" s="40" t="str">
        <f>IF($B23="","",'05_PRODUCTOS'!$E23)</f>
        <v/>
      </c>
      <c r="G23" s="40" t="str">
        <f>IF($B23="","",IF('05_PRODUCTOS'!$K23="NO","NO","SI"))</f>
        <v/>
      </c>
      <c r="H23" s="49" t="str">
        <f>IF($B23="","",N('15_STOCK'!$J23))</f>
        <v/>
      </c>
      <c r="I23" s="39"/>
      <c r="J23" s="48" t="str">
        <f>IF(OR(tblConteo[[#This Row],[SKU]]="",tblConteo[[#This Row],[Conteo]]=""),"",tblConteo[[#This Row],[Conteo]]-tblConteo[[#This Row],[StockSistema]])</f>
        <v/>
      </c>
      <c r="K23" s="52" t="str">
        <f>IF($J23="","",$J23*N('15_STOCK'!$O23))</f>
        <v/>
      </c>
      <c r="L23" s="41" t="str">
        <f>IF(tblConteo[[#This Row],[Diferencia]]="","",IF(tblConteo[[#This Row],[Diferencia]]=0,"✔ Cuadra",IF(tblConteo[[#This Row],[Diferencia]]&gt;0,"▲ Sobrante","▼ Faltante")))</f>
        <v/>
      </c>
      <c r="M2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" spans="2:13" x14ac:dyDescent="0.25">
      <c r="B24" s="40" t="str">
        <f>IF('05_PRODUCTOS'!$B24="","",'05_PRODUCTOS'!$B24)</f>
        <v/>
      </c>
      <c r="C24" s="43" t="str">
        <f>IF($B24="","",'05_PRODUCTOS'!$C24)</f>
        <v/>
      </c>
      <c r="D24" s="43" t="str">
        <f>IF($B24="","",'05_PRODUCTOS'!$D24)</f>
        <v/>
      </c>
      <c r="E24" s="40" t="str">
        <f>IF($B24="","",'05_PRODUCTOS'!$J24&amp;"")</f>
        <v/>
      </c>
      <c r="F24" s="40" t="str">
        <f>IF($B24="","",'05_PRODUCTOS'!$E24)</f>
        <v/>
      </c>
      <c r="G24" s="40" t="str">
        <f>IF($B24="","",IF('05_PRODUCTOS'!$K24="NO","NO","SI"))</f>
        <v/>
      </c>
      <c r="H24" s="49" t="str">
        <f>IF($B24="","",N('15_STOCK'!$J24))</f>
        <v/>
      </c>
      <c r="I24" s="39"/>
      <c r="J24" s="48" t="str">
        <f>IF(OR(tblConteo[[#This Row],[SKU]]="",tblConteo[[#This Row],[Conteo]]=""),"",tblConteo[[#This Row],[Conteo]]-tblConteo[[#This Row],[StockSistema]])</f>
        <v/>
      </c>
      <c r="K24" s="52" t="str">
        <f>IF($J24="","",$J24*N('15_STOCK'!$O24))</f>
        <v/>
      </c>
      <c r="L24" s="41" t="str">
        <f>IF(tblConteo[[#This Row],[Diferencia]]="","",IF(tblConteo[[#This Row],[Diferencia]]=0,"✔ Cuadra",IF(tblConteo[[#This Row],[Diferencia]]&gt;0,"▲ Sobrante","▼ Faltante")))</f>
        <v/>
      </c>
      <c r="M2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" spans="2:13" x14ac:dyDescent="0.25">
      <c r="B25" s="40" t="str">
        <f>IF('05_PRODUCTOS'!$B25="","",'05_PRODUCTOS'!$B25)</f>
        <v/>
      </c>
      <c r="C25" s="43" t="str">
        <f>IF($B25="","",'05_PRODUCTOS'!$C25)</f>
        <v/>
      </c>
      <c r="D25" s="43" t="str">
        <f>IF($B25="","",'05_PRODUCTOS'!$D25)</f>
        <v/>
      </c>
      <c r="E25" s="40" t="str">
        <f>IF($B25="","",'05_PRODUCTOS'!$J25&amp;"")</f>
        <v/>
      </c>
      <c r="F25" s="40" t="str">
        <f>IF($B25="","",'05_PRODUCTOS'!$E25)</f>
        <v/>
      </c>
      <c r="G25" s="40" t="str">
        <f>IF($B25="","",IF('05_PRODUCTOS'!$K25="NO","NO","SI"))</f>
        <v/>
      </c>
      <c r="H25" s="49" t="str">
        <f>IF($B25="","",N('15_STOCK'!$J25))</f>
        <v/>
      </c>
      <c r="I25" s="39"/>
      <c r="J25" s="48" t="str">
        <f>IF(OR(tblConteo[[#This Row],[SKU]]="",tblConteo[[#This Row],[Conteo]]=""),"",tblConteo[[#This Row],[Conteo]]-tblConteo[[#This Row],[StockSistema]])</f>
        <v/>
      </c>
      <c r="K25" s="52" t="str">
        <f>IF($J25="","",$J25*N('15_STOCK'!$O25))</f>
        <v/>
      </c>
      <c r="L25" s="41" t="str">
        <f>IF(tblConteo[[#This Row],[Diferencia]]="","",IF(tblConteo[[#This Row],[Diferencia]]=0,"✔ Cuadra",IF(tblConteo[[#This Row],[Diferencia]]&gt;0,"▲ Sobrante","▼ Faltante")))</f>
        <v/>
      </c>
      <c r="M2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" spans="2:13" x14ac:dyDescent="0.25">
      <c r="B26" s="40" t="str">
        <f>IF('05_PRODUCTOS'!$B26="","",'05_PRODUCTOS'!$B26)</f>
        <v/>
      </c>
      <c r="C26" s="43" t="str">
        <f>IF($B26="","",'05_PRODUCTOS'!$C26)</f>
        <v/>
      </c>
      <c r="D26" s="43" t="str">
        <f>IF($B26="","",'05_PRODUCTOS'!$D26)</f>
        <v/>
      </c>
      <c r="E26" s="40" t="str">
        <f>IF($B26="","",'05_PRODUCTOS'!$J26&amp;"")</f>
        <v/>
      </c>
      <c r="F26" s="40" t="str">
        <f>IF($B26="","",'05_PRODUCTOS'!$E26)</f>
        <v/>
      </c>
      <c r="G26" s="40" t="str">
        <f>IF($B26="","",IF('05_PRODUCTOS'!$K26="NO","NO","SI"))</f>
        <v/>
      </c>
      <c r="H26" s="49" t="str">
        <f>IF($B26="","",N('15_STOCK'!$J26))</f>
        <v/>
      </c>
      <c r="I26" s="39"/>
      <c r="J26" s="48" t="str">
        <f>IF(OR(tblConteo[[#This Row],[SKU]]="",tblConteo[[#This Row],[Conteo]]=""),"",tblConteo[[#This Row],[Conteo]]-tblConteo[[#This Row],[StockSistema]])</f>
        <v/>
      </c>
      <c r="K26" s="52" t="str">
        <f>IF($J26="","",$J26*N('15_STOCK'!$O26))</f>
        <v/>
      </c>
      <c r="L26" s="41" t="str">
        <f>IF(tblConteo[[#This Row],[Diferencia]]="","",IF(tblConteo[[#This Row],[Diferencia]]=0,"✔ Cuadra",IF(tblConteo[[#This Row],[Diferencia]]&gt;0,"▲ Sobrante","▼ Faltante")))</f>
        <v/>
      </c>
      <c r="M2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" spans="2:13" x14ac:dyDescent="0.25">
      <c r="B27" s="40" t="str">
        <f>IF('05_PRODUCTOS'!$B27="","",'05_PRODUCTOS'!$B27)</f>
        <v/>
      </c>
      <c r="C27" s="43" t="str">
        <f>IF($B27="","",'05_PRODUCTOS'!$C27)</f>
        <v/>
      </c>
      <c r="D27" s="43" t="str">
        <f>IF($B27="","",'05_PRODUCTOS'!$D27)</f>
        <v/>
      </c>
      <c r="E27" s="40" t="str">
        <f>IF($B27="","",'05_PRODUCTOS'!$J27&amp;"")</f>
        <v/>
      </c>
      <c r="F27" s="40" t="str">
        <f>IF($B27="","",'05_PRODUCTOS'!$E27)</f>
        <v/>
      </c>
      <c r="G27" s="40" t="str">
        <f>IF($B27="","",IF('05_PRODUCTOS'!$K27="NO","NO","SI"))</f>
        <v/>
      </c>
      <c r="H27" s="49" t="str">
        <f>IF($B27="","",N('15_STOCK'!$J27))</f>
        <v/>
      </c>
      <c r="I27" s="39"/>
      <c r="J27" s="48" t="str">
        <f>IF(OR(tblConteo[[#This Row],[SKU]]="",tblConteo[[#This Row],[Conteo]]=""),"",tblConteo[[#This Row],[Conteo]]-tblConteo[[#This Row],[StockSistema]])</f>
        <v/>
      </c>
      <c r="K27" s="52" t="str">
        <f>IF($J27="","",$J27*N('15_STOCK'!$O27))</f>
        <v/>
      </c>
      <c r="L27" s="41" t="str">
        <f>IF(tblConteo[[#This Row],[Diferencia]]="","",IF(tblConteo[[#This Row],[Diferencia]]=0,"✔ Cuadra",IF(tblConteo[[#This Row],[Diferencia]]&gt;0,"▲ Sobrante","▼ Faltante")))</f>
        <v/>
      </c>
      <c r="M2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" spans="2:13" x14ac:dyDescent="0.25">
      <c r="B28" s="40" t="str">
        <f>IF('05_PRODUCTOS'!$B28="","",'05_PRODUCTOS'!$B28)</f>
        <v/>
      </c>
      <c r="C28" s="43" t="str">
        <f>IF($B28="","",'05_PRODUCTOS'!$C28)</f>
        <v/>
      </c>
      <c r="D28" s="43" t="str">
        <f>IF($B28="","",'05_PRODUCTOS'!$D28)</f>
        <v/>
      </c>
      <c r="E28" s="40" t="str">
        <f>IF($B28="","",'05_PRODUCTOS'!$J28&amp;"")</f>
        <v/>
      </c>
      <c r="F28" s="40" t="str">
        <f>IF($B28="","",'05_PRODUCTOS'!$E28)</f>
        <v/>
      </c>
      <c r="G28" s="40" t="str">
        <f>IF($B28="","",IF('05_PRODUCTOS'!$K28="NO","NO","SI"))</f>
        <v/>
      </c>
      <c r="H28" s="49" t="str">
        <f>IF($B28="","",N('15_STOCK'!$J28))</f>
        <v/>
      </c>
      <c r="I28" s="39"/>
      <c r="J28" s="48" t="str">
        <f>IF(OR(tblConteo[[#This Row],[SKU]]="",tblConteo[[#This Row],[Conteo]]=""),"",tblConteo[[#This Row],[Conteo]]-tblConteo[[#This Row],[StockSistema]])</f>
        <v/>
      </c>
      <c r="K28" s="52" t="str">
        <f>IF($J28="","",$J28*N('15_STOCK'!$O28))</f>
        <v/>
      </c>
      <c r="L28" s="41" t="str">
        <f>IF(tblConteo[[#This Row],[Diferencia]]="","",IF(tblConteo[[#This Row],[Diferencia]]=0,"✔ Cuadra",IF(tblConteo[[#This Row],[Diferencia]]&gt;0,"▲ Sobrante","▼ Faltante")))</f>
        <v/>
      </c>
      <c r="M2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" spans="2:13" x14ac:dyDescent="0.25">
      <c r="B29" s="40" t="str">
        <f>IF('05_PRODUCTOS'!$B29="","",'05_PRODUCTOS'!$B29)</f>
        <v/>
      </c>
      <c r="C29" s="43" t="str">
        <f>IF($B29="","",'05_PRODUCTOS'!$C29)</f>
        <v/>
      </c>
      <c r="D29" s="43" t="str">
        <f>IF($B29="","",'05_PRODUCTOS'!$D29)</f>
        <v/>
      </c>
      <c r="E29" s="40" t="str">
        <f>IF($B29="","",'05_PRODUCTOS'!$J29&amp;"")</f>
        <v/>
      </c>
      <c r="F29" s="40" t="str">
        <f>IF($B29="","",'05_PRODUCTOS'!$E29)</f>
        <v/>
      </c>
      <c r="G29" s="40" t="str">
        <f>IF($B29="","",IF('05_PRODUCTOS'!$K29="NO","NO","SI"))</f>
        <v/>
      </c>
      <c r="H29" s="49" t="str">
        <f>IF($B29="","",N('15_STOCK'!$J29))</f>
        <v/>
      </c>
      <c r="I29" s="39"/>
      <c r="J29" s="48" t="str">
        <f>IF(OR(tblConteo[[#This Row],[SKU]]="",tblConteo[[#This Row],[Conteo]]=""),"",tblConteo[[#This Row],[Conteo]]-tblConteo[[#This Row],[StockSistema]])</f>
        <v/>
      </c>
      <c r="K29" s="52" t="str">
        <f>IF($J29="","",$J29*N('15_STOCK'!$O29))</f>
        <v/>
      </c>
      <c r="L29" s="41" t="str">
        <f>IF(tblConteo[[#This Row],[Diferencia]]="","",IF(tblConteo[[#This Row],[Diferencia]]=0,"✔ Cuadra",IF(tblConteo[[#This Row],[Diferencia]]&gt;0,"▲ Sobrante","▼ Faltante")))</f>
        <v/>
      </c>
      <c r="M2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" spans="2:13" x14ac:dyDescent="0.25">
      <c r="B30" s="40" t="str">
        <f>IF('05_PRODUCTOS'!$B30="","",'05_PRODUCTOS'!$B30)</f>
        <v/>
      </c>
      <c r="C30" s="43" t="str">
        <f>IF($B30="","",'05_PRODUCTOS'!$C30)</f>
        <v/>
      </c>
      <c r="D30" s="43" t="str">
        <f>IF($B30="","",'05_PRODUCTOS'!$D30)</f>
        <v/>
      </c>
      <c r="E30" s="40" t="str">
        <f>IF($B30="","",'05_PRODUCTOS'!$J30&amp;"")</f>
        <v/>
      </c>
      <c r="F30" s="40" t="str">
        <f>IF($B30="","",'05_PRODUCTOS'!$E30)</f>
        <v/>
      </c>
      <c r="G30" s="40" t="str">
        <f>IF($B30="","",IF('05_PRODUCTOS'!$K30="NO","NO","SI"))</f>
        <v/>
      </c>
      <c r="H30" s="49" t="str">
        <f>IF($B30="","",N('15_STOCK'!$J30))</f>
        <v/>
      </c>
      <c r="I30" s="39"/>
      <c r="J30" s="48" t="str">
        <f>IF(OR(tblConteo[[#This Row],[SKU]]="",tblConteo[[#This Row],[Conteo]]=""),"",tblConteo[[#This Row],[Conteo]]-tblConteo[[#This Row],[StockSistema]])</f>
        <v/>
      </c>
      <c r="K30" s="52" t="str">
        <f>IF($J30="","",$J30*N('15_STOCK'!$O30))</f>
        <v/>
      </c>
      <c r="L30" s="41" t="str">
        <f>IF(tblConteo[[#This Row],[Diferencia]]="","",IF(tblConteo[[#This Row],[Diferencia]]=0,"✔ Cuadra",IF(tblConteo[[#This Row],[Diferencia]]&gt;0,"▲ Sobrante","▼ Faltante")))</f>
        <v/>
      </c>
      <c r="M3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" spans="2:13" x14ac:dyDescent="0.25">
      <c r="B31" s="40" t="str">
        <f>IF('05_PRODUCTOS'!$B31="","",'05_PRODUCTOS'!$B31)</f>
        <v/>
      </c>
      <c r="C31" s="43" t="str">
        <f>IF($B31="","",'05_PRODUCTOS'!$C31)</f>
        <v/>
      </c>
      <c r="D31" s="43" t="str">
        <f>IF($B31="","",'05_PRODUCTOS'!$D31)</f>
        <v/>
      </c>
      <c r="E31" s="40" t="str">
        <f>IF($B31="","",'05_PRODUCTOS'!$J31&amp;"")</f>
        <v/>
      </c>
      <c r="F31" s="40" t="str">
        <f>IF($B31="","",'05_PRODUCTOS'!$E31)</f>
        <v/>
      </c>
      <c r="G31" s="40" t="str">
        <f>IF($B31="","",IF('05_PRODUCTOS'!$K31="NO","NO","SI"))</f>
        <v/>
      </c>
      <c r="H31" s="49" t="str">
        <f>IF($B31="","",N('15_STOCK'!$J31))</f>
        <v/>
      </c>
      <c r="I31" s="39"/>
      <c r="J31" s="48" t="str">
        <f>IF(OR(tblConteo[[#This Row],[SKU]]="",tblConteo[[#This Row],[Conteo]]=""),"",tblConteo[[#This Row],[Conteo]]-tblConteo[[#This Row],[StockSistema]])</f>
        <v/>
      </c>
      <c r="K31" s="52" t="str">
        <f>IF($J31="","",$J31*N('15_STOCK'!$O31))</f>
        <v/>
      </c>
      <c r="L31" s="41" t="str">
        <f>IF(tblConteo[[#This Row],[Diferencia]]="","",IF(tblConteo[[#This Row],[Diferencia]]=0,"✔ Cuadra",IF(tblConteo[[#This Row],[Diferencia]]&gt;0,"▲ Sobrante","▼ Faltante")))</f>
        <v/>
      </c>
      <c r="M3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" spans="2:13" x14ac:dyDescent="0.25">
      <c r="B32" s="40" t="str">
        <f>IF('05_PRODUCTOS'!$B32="","",'05_PRODUCTOS'!$B32)</f>
        <v/>
      </c>
      <c r="C32" s="43" t="str">
        <f>IF($B32="","",'05_PRODUCTOS'!$C32)</f>
        <v/>
      </c>
      <c r="D32" s="43" t="str">
        <f>IF($B32="","",'05_PRODUCTOS'!$D32)</f>
        <v/>
      </c>
      <c r="E32" s="40" t="str">
        <f>IF($B32="","",'05_PRODUCTOS'!$J32&amp;"")</f>
        <v/>
      </c>
      <c r="F32" s="40" t="str">
        <f>IF($B32="","",'05_PRODUCTOS'!$E32)</f>
        <v/>
      </c>
      <c r="G32" s="40" t="str">
        <f>IF($B32="","",IF('05_PRODUCTOS'!$K32="NO","NO","SI"))</f>
        <v/>
      </c>
      <c r="H32" s="49" t="str">
        <f>IF($B32="","",N('15_STOCK'!$J32))</f>
        <v/>
      </c>
      <c r="I32" s="39"/>
      <c r="J32" s="48" t="str">
        <f>IF(OR(tblConteo[[#This Row],[SKU]]="",tblConteo[[#This Row],[Conteo]]=""),"",tblConteo[[#This Row],[Conteo]]-tblConteo[[#This Row],[StockSistema]])</f>
        <v/>
      </c>
      <c r="K32" s="52" t="str">
        <f>IF($J32="","",$J32*N('15_STOCK'!$O32))</f>
        <v/>
      </c>
      <c r="L32" s="41" t="str">
        <f>IF(tblConteo[[#This Row],[Diferencia]]="","",IF(tblConteo[[#This Row],[Diferencia]]=0,"✔ Cuadra",IF(tblConteo[[#This Row],[Diferencia]]&gt;0,"▲ Sobrante","▼ Faltante")))</f>
        <v/>
      </c>
      <c r="M3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" spans="2:13" x14ac:dyDescent="0.25">
      <c r="B33" s="40" t="str">
        <f>IF('05_PRODUCTOS'!$B33="","",'05_PRODUCTOS'!$B33)</f>
        <v/>
      </c>
      <c r="C33" s="43" t="str">
        <f>IF($B33="","",'05_PRODUCTOS'!$C33)</f>
        <v/>
      </c>
      <c r="D33" s="43" t="str">
        <f>IF($B33="","",'05_PRODUCTOS'!$D33)</f>
        <v/>
      </c>
      <c r="E33" s="40" t="str">
        <f>IF($B33="","",'05_PRODUCTOS'!$J33&amp;"")</f>
        <v/>
      </c>
      <c r="F33" s="40" t="str">
        <f>IF($B33="","",'05_PRODUCTOS'!$E33)</f>
        <v/>
      </c>
      <c r="G33" s="40" t="str">
        <f>IF($B33="","",IF('05_PRODUCTOS'!$K33="NO","NO","SI"))</f>
        <v/>
      </c>
      <c r="H33" s="49" t="str">
        <f>IF($B33="","",N('15_STOCK'!$J33))</f>
        <v/>
      </c>
      <c r="I33" s="39"/>
      <c r="J33" s="48" t="str">
        <f>IF(OR(tblConteo[[#This Row],[SKU]]="",tblConteo[[#This Row],[Conteo]]=""),"",tblConteo[[#This Row],[Conteo]]-tblConteo[[#This Row],[StockSistema]])</f>
        <v/>
      </c>
      <c r="K33" s="52" t="str">
        <f>IF($J33="","",$J33*N('15_STOCK'!$O33))</f>
        <v/>
      </c>
      <c r="L33" s="41" t="str">
        <f>IF(tblConteo[[#This Row],[Diferencia]]="","",IF(tblConteo[[#This Row],[Diferencia]]=0,"✔ Cuadra",IF(tblConteo[[#This Row],[Diferencia]]&gt;0,"▲ Sobrante","▼ Faltante")))</f>
        <v/>
      </c>
      <c r="M3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" spans="2:13" x14ac:dyDescent="0.25">
      <c r="B34" s="40" t="str">
        <f>IF('05_PRODUCTOS'!$B34="","",'05_PRODUCTOS'!$B34)</f>
        <v/>
      </c>
      <c r="C34" s="43" t="str">
        <f>IF($B34="","",'05_PRODUCTOS'!$C34)</f>
        <v/>
      </c>
      <c r="D34" s="43" t="str">
        <f>IF($B34="","",'05_PRODUCTOS'!$D34)</f>
        <v/>
      </c>
      <c r="E34" s="40" t="str">
        <f>IF($B34="","",'05_PRODUCTOS'!$J34&amp;"")</f>
        <v/>
      </c>
      <c r="F34" s="40" t="str">
        <f>IF($B34="","",'05_PRODUCTOS'!$E34)</f>
        <v/>
      </c>
      <c r="G34" s="40" t="str">
        <f>IF($B34="","",IF('05_PRODUCTOS'!$K34="NO","NO","SI"))</f>
        <v/>
      </c>
      <c r="H34" s="49" t="str">
        <f>IF($B34="","",N('15_STOCK'!$J34))</f>
        <v/>
      </c>
      <c r="I34" s="39"/>
      <c r="J34" s="48" t="str">
        <f>IF(OR(tblConteo[[#This Row],[SKU]]="",tblConteo[[#This Row],[Conteo]]=""),"",tblConteo[[#This Row],[Conteo]]-tblConteo[[#This Row],[StockSistema]])</f>
        <v/>
      </c>
      <c r="K34" s="52" t="str">
        <f>IF($J34="","",$J34*N('15_STOCK'!$O34))</f>
        <v/>
      </c>
      <c r="L34" s="41" t="str">
        <f>IF(tblConteo[[#This Row],[Diferencia]]="","",IF(tblConteo[[#This Row],[Diferencia]]=0,"✔ Cuadra",IF(tblConteo[[#This Row],[Diferencia]]&gt;0,"▲ Sobrante","▼ Faltante")))</f>
        <v/>
      </c>
      <c r="M3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" spans="2:13" x14ac:dyDescent="0.25">
      <c r="B35" s="40" t="str">
        <f>IF('05_PRODUCTOS'!$B35="","",'05_PRODUCTOS'!$B35)</f>
        <v/>
      </c>
      <c r="C35" s="43" t="str">
        <f>IF($B35="","",'05_PRODUCTOS'!$C35)</f>
        <v/>
      </c>
      <c r="D35" s="43" t="str">
        <f>IF($B35="","",'05_PRODUCTOS'!$D35)</f>
        <v/>
      </c>
      <c r="E35" s="40" t="str">
        <f>IF($B35="","",'05_PRODUCTOS'!$J35&amp;"")</f>
        <v/>
      </c>
      <c r="F35" s="40" t="str">
        <f>IF($B35="","",'05_PRODUCTOS'!$E35)</f>
        <v/>
      </c>
      <c r="G35" s="40" t="str">
        <f>IF($B35="","",IF('05_PRODUCTOS'!$K35="NO","NO","SI"))</f>
        <v/>
      </c>
      <c r="H35" s="49" t="str">
        <f>IF($B35="","",N('15_STOCK'!$J35))</f>
        <v/>
      </c>
      <c r="I35" s="39"/>
      <c r="J35" s="48" t="str">
        <f>IF(OR(tblConteo[[#This Row],[SKU]]="",tblConteo[[#This Row],[Conteo]]=""),"",tblConteo[[#This Row],[Conteo]]-tblConteo[[#This Row],[StockSistema]])</f>
        <v/>
      </c>
      <c r="K35" s="52" t="str">
        <f>IF($J35="","",$J35*N('15_STOCK'!$O35))</f>
        <v/>
      </c>
      <c r="L35" s="41" t="str">
        <f>IF(tblConteo[[#This Row],[Diferencia]]="","",IF(tblConteo[[#This Row],[Diferencia]]=0,"✔ Cuadra",IF(tblConteo[[#This Row],[Diferencia]]&gt;0,"▲ Sobrante","▼ Faltante")))</f>
        <v/>
      </c>
      <c r="M3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" spans="2:13" x14ac:dyDescent="0.25">
      <c r="B36" s="40" t="str">
        <f>IF('05_PRODUCTOS'!$B36="","",'05_PRODUCTOS'!$B36)</f>
        <v/>
      </c>
      <c r="C36" s="43" t="str">
        <f>IF($B36="","",'05_PRODUCTOS'!$C36)</f>
        <v/>
      </c>
      <c r="D36" s="43" t="str">
        <f>IF($B36="","",'05_PRODUCTOS'!$D36)</f>
        <v/>
      </c>
      <c r="E36" s="40" t="str">
        <f>IF($B36="","",'05_PRODUCTOS'!$J36&amp;"")</f>
        <v/>
      </c>
      <c r="F36" s="40" t="str">
        <f>IF($B36="","",'05_PRODUCTOS'!$E36)</f>
        <v/>
      </c>
      <c r="G36" s="40" t="str">
        <f>IF($B36="","",IF('05_PRODUCTOS'!$K36="NO","NO","SI"))</f>
        <v/>
      </c>
      <c r="H36" s="49" t="str">
        <f>IF($B36="","",N('15_STOCK'!$J36))</f>
        <v/>
      </c>
      <c r="I36" s="39"/>
      <c r="J36" s="48" t="str">
        <f>IF(OR(tblConteo[[#This Row],[SKU]]="",tblConteo[[#This Row],[Conteo]]=""),"",tblConteo[[#This Row],[Conteo]]-tblConteo[[#This Row],[StockSistema]])</f>
        <v/>
      </c>
      <c r="K36" s="52" t="str">
        <f>IF($J36="","",$J36*N('15_STOCK'!$O36))</f>
        <v/>
      </c>
      <c r="L36" s="41" t="str">
        <f>IF(tblConteo[[#This Row],[Diferencia]]="","",IF(tblConteo[[#This Row],[Diferencia]]=0,"✔ Cuadra",IF(tblConteo[[#This Row],[Diferencia]]&gt;0,"▲ Sobrante","▼ Faltante")))</f>
        <v/>
      </c>
      <c r="M3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" spans="2:13" x14ac:dyDescent="0.25">
      <c r="B37" s="40" t="str">
        <f>IF('05_PRODUCTOS'!$B37="","",'05_PRODUCTOS'!$B37)</f>
        <v/>
      </c>
      <c r="C37" s="43" t="str">
        <f>IF($B37="","",'05_PRODUCTOS'!$C37)</f>
        <v/>
      </c>
      <c r="D37" s="43" t="str">
        <f>IF($B37="","",'05_PRODUCTOS'!$D37)</f>
        <v/>
      </c>
      <c r="E37" s="40" t="str">
        <f>IF($B37="","",'05_PRODUCTOS'!$J37&amp;"")</f>
        <v/>
      </c>
      <c r="F37" s="40" t="str">
        <f>IF($B37="","",'05_PRODUCTOS'!$E37)</f>
        <v/>
      </c>
      <c r="G37" s="40" t="str">
        <f>IF($B37="","",IF('05_PRODUCTOS'!$K37="NO","NO","SI"))</f>
        <v/>
      </c>
      <c r="H37" s="49" t="str">
        <f>IF($B37="","",N('15_STOCK'!$J37))</f>
        <v/>
      </c>
      <c r="I37" s="39"/>
      <c r="J37" s="48" t="str">
        <f>IF(OR(tblConteo[[#This Row],[SKU]]="",tblConteo[[#This Row],[Conteo]]=""),"",tblConteo[[#This Row],[Conteo]]-tblConteo[[#This Row],[StockSistema]])</f>
        <v/>
      </c>
      <c r="K37" s="52" t="str">
        <f>IF($J37="","",$J37*N('15_STOCK'!$O37))</f>
        <v/>
      </c>
      <c r="L37" s="41" t="str">
        <f>IF(tblConteo[[#This Row],[Diferencia]]="","",IF(tblConteo[[#This Row],[Diferencia]]=0,"✔ Cuadra",IF(tblConteo[[#This Row],[Diferencia]]&gt;0,"▲ Sobrante","▼ Faltante")))</f>
        <v/>
      </c>
      <c r="M3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" spans="2:13" x14ac:dyDescent="0.25">
      <c r="B38" s="40" t="str">
        <f>IF('05_PRODUCTOS'!$B38="","",'05_PRODUCTOS'!$B38)</f>
        <v/>
      </c>
      <c r="C38" s="43" t="str">
        <f>IF($B38="","",'05_PRODUCTOS'!$C38)</f>
        <v/>
      </c>
      <c r="D38" s="43" t="str">
        <f>IF($B38="","",'05_PRODUCTOS'!$D38)</f>
        <v/>
      </c>
      <c r="E38" s="40" t="str">
        <f>IF($B38="","",'05_PRODUCTOS'!$J38&amp;"")</f>
        <v/>
      </c>
      <c r="F38" s="40" t="str">
        <f>IF($B38="","",'05_PRODUCTOS'!$E38)</f>
        <v/>
      </c>
      <c r="G38" s="40" t="str">
        <f>IF($B38="","",IF('05_PRODUCTOS'!$K38="NO","NO","SI"))</f>
        <v/>
      </c>
      <c r="H38" s="49" t="str">
        <f>IF($B38="","",N('15_STOCK'!$J38))</f>
        <v/>
      </c>
      <c r="I38" s="39"/>
      <c r="J38" s="48" t="str">
        <f>IF(OR(tblConteo[[#This Row],[SKU]]="",tblConteo[[#This Row],[Conteo]]=""),"",tblConteo[[#This Row],[Conteo]]-tblConteo[[#This Row],[StockSistema]])</f>
        <v/>
      </c>
      <c r="K38" s="52" t="str">
        <f>IF($J38="","",$J38*N('15_STOCK'!$O38))</f>
        <v/>
      </c>
      <c r="L38" s="41" t="str">
        <f>IF(tblConteo[[#This Row],[Diferencia]]="","",IF(tblConteo[[#This Row],[Diferencia]]=0,"✔ Cuadra",IF(tblConteo[[#This Row],[Diferencia]]&gt;0,"▲ Sobrante","▼ Faltante")))</f>
        <v/>
      </c>
      <c r="M3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" spans="2:13" x14ac:dyDescent="0.25">
      <c r="B39" s="40" t="str">
        <f>IF('05_PRODUCTOS'!$B39="","",'05_PRODUCTOS'!$B39)</f>
        <v/>
      </c>
      <c r="C39" s="43" t="str">
        <f>IF($B39="","",'05_PRODUCTOS'!$C39)</f>
        <v/>
      </c>
      <c r="D39" s="43" t="str">
        <f>IF($B39="","",'05_PRODUCTOS'!$D39)</f>
        <v/>
      </c>
      <c r="E39" s="40" t="str">
        <f>IF($B39="","",'05_PRODUCTOS'!$J39&amp;"")</f>
        <v/>
      </c>
      <c r="F39" s="40" t="str">
        <f>IF($B39="","",'05_PRODUCTOS'!$E39)</f>
        <v/>
      </c>
      <c r="G39" s="40" t="str">
        <f>IF($B39="","",IF('05_PRODUCTOS'!$K39="NO","NO","SI"))</f>
        <v/>
      </c>
      <c r="H39" s="49" t="str">
        <f>IF($B39="","",N('15_STOCK'!$J39))</f>
        <v/>
      </c>
      <c r="I39" s="39"/>
      <c r="J39" s="48" t="str">
        <f>IF(OR(tblConteo[[#This Row],[SKU]]="",tblConteo[[#This Row],[Conteo]]=""),"",tblConteo[[#This Row],[Conteo]]-tblConteo[[#This Row],[StockSistema]])</f>
        <v/>
      </c>
      <c r="K39" s="52" t="str">
        <f>IF($J39="","",$J39*N('15_STOCK'!$O39))</f>
        <v/>
      </c>
      <c r="L39" s="41" t="str">
        <f>IF(tblConteo[[#This Row],[Diferencia]]="","",IF(tblConteo[[#This Row],[Diferencia]]=0,"✔ Cuadra",IF(tblConteo[[#This Row],[Diferencia]]&gt;0,"▲ Sobrante","▼ Faltante")))</f>
        <v/>
      </c>
      <c r="M3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" spans="2:13" x14ac:dyDescent="0.25">
      <c r="B40" s="40" t="str">
        <f>IF('05_PRODUCTOS'!$B40="","",'05_PRODUCTOS'!$B40)</f>
        <v/>
      </c>
      <c r="C40" s="43" t="str">
        <f>IF($B40="","",'05_PRODUCTOS'!$C40)</f>
        <v/>
      </c>
      <c r="D40" s="43" t="str">
        <f>IF($B40="","",'05_PRODUCTOS'!$D40)</f>
        <v/>
      </c>
      <c r="E40" s="40" t="str">
        <f>IF($B40="","",'05_PRODUCTOS'!$J40&amp;"")</f>
        <v/>
      </c>
      <c r="F40" s="40" t="str">
        <f>IF($B40="","",'05_PRODUCTOS'!$E40)</f>
        <v/>
      </c>
      <c r="G40" s="40" t="str">
        <f>IF($B40="","",IF('05_PRODUCTOS'!$K40="NO","NO","SI"))</f>
        <v/>
      </c>
      <c r="H40" s="49" t="str">
        <f>IF($B40="","",N('15_STOCK'!$J40))</f>
        <v/>
      </c>
      <c r="I40" s="39"/>
      <c r="J40" s="48" t="str">
        <f>IF(OR(tblConteo[[#This Row],[SKU]]="",tblConteo[[#This Row],[Conteo]]=""),"",tblConteo[[#This Row],[Conteo]]-tblConteo[[#This Row],[StockSistema]])</f>
        <v/>
      </c>
      <c r="K40" s="52" t="str">
        <f>IF($J40="","",$J40*N('15_STOCK'!$O40))</f>
        <v/>
      </c>
      <c r="L40" s="41" t="str">
        <f>IF(tblConteo[[#This Row],[Diferencia]]="","",IF(tblConteo[[#This Row],[Diferencia]]=0,"✔ Cuadra",IF(tblConteo[[#This Row],[Diferencia]]&gt;0,"▲ Sobrante","▼ Faltante")))</f>
        <v/>
      </c>
      <c r="M4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" spans="2:13" x14ac:dyDescent="0.25">
      <c r="B41" s="40" t="str">
        <f>IF('05_PRODUCTOS'!$B41="","",'05_PRODUCTOS'!$B41)</f>
        <v/>
      </c>
      <c r="C41" s="43" t="str">
        <f>IF($B41="","",'05_PRODUCTOS'!$C41)</f>
        <v/>
      </c>
      <c r="D41" s="43" t="str">
        <f>IF($B41="","",'05_PRODUCTOS'!$D41)</f>
        <v/>
      </c>
      <c r="E41" s="40" t="str">
        <f>IF($B41="","",'05_PRODUCTOS'!$J41&amp;"")</f>
        <v/>
      </c>
      <c r="F41" s="40" t="str">
        <f>IF($B41="","",'05_PRODUCTOS'!$E41)</f>
        <v/>
      </c>
      <c r="G41" s="40" t="str">
        <f>IF($B41="","",IF('05_PRODUCTOS'!$K41="NO","NO","SI"))</f>
        <v/>
      </c>
      <c r="H41" s="49" t="str">
        <f>IF($B41="","",N('15_STOCK'!$J41))</f>
        <v/>
      </c>
      <c r="I41" s="39"/>
      <c r="J41" s="48" t="str">
        <f>IF(OR(tblConteo[[#This Row],[SKU]]="",tblConteo[[#This Row],[Conteo]]=""),"",tblConteo[[#This Row],[Conteo]]-tblConteo[[#This Row],[StockSistema]])</f>
        <v/>
      </c>
      <c r="K41" s="52" t="str">
        <f>IF($J41="","",$J41*N('15_STOCK'!$O41))</f>
        <v/>
      </c>
      <c r="L41" s="41" t="str">
        <f>IF(tblConteo[[#This Row],[Diferencia]]="","",IF(tblConteo[[#This Row],[Diferencia]]=0,"✔ Cuadra",IF(tblConteo[[#This Row],[Diferencia]]&gt;0,"▲ Sobrante","▼ Faltante")))</f>
        <v/>
      </c>
      <c r="M4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" spans="2:13" x14ac:dyDescent="0.25">
      <c r="B42" s="40" t="str">
        <f>IF('05_PRODUCTOS'!$B42="","",'05_PRODUCTOS'!$B42)</f>
        <v/>
      </c>
      <c r="C42" s="43" t="str">
        <f>IF($B42="","",'05_PRODUCTOS'!$C42)</f>
        <v/>
      </c>
      <c r="D42" s="43" t="str">
        <f>IF($B42="","",'05_PRODUCTOS'!$D42)</f>
        <v/>
      </c>
      <c r="E42" s="40" t="str">
        <f>IF($B42="","",'05_PRODUCTOS'!$J42&amp;"")</f>
        <v/>
      </c>
      <c r="F42" s="40" t="str">
        <f>IF($B42="","",'05_PRODUCTOS'!$E42)</f>
        <v/>
      </c>
      <c r="G42" s="40" t="str">
        <f>IF($B42="","",IF('05_PRODUCTOS'!$K42="NO","NO","SI"))</f>
        <v/>
      </c>
      <c r="H42" s="49" t="str">
        <f>IF($B42="","",N('15_STOCK'!$J42))</f>
        <v/>
      </c>
      <c r="I42" s="39"/>
      <c r="J42" s="48" t="str">
        <f>IF(OR(tblConteo[[#This Row],[SKU]]="",tblConteo[[#This Row],[Conteo]]=""),"",tblConteo[[#This Row],[Conteo]]-tblConteo[[#This Row],[StockSistema]])</f>
        <v/>
      </c>
      <c r="K42" s="52" t="str">
        <f>IF($J42="","",$J42*N('15_STOCK'!$O42))</f>
        <v/>
      </c>
      <c r="L42" s="41" t="str">
        <f>IF(tblConteo[[#This Row],[Diferencia]]="","",IF(tblConteo[[#This Row],[Diferencia]]=0,"✔ Cuadra",IF(tblConteo[[#This Row],[Diferencia]]&gt;0,"▲ Sobrante","▼ Faltante")))</f>
        <v/>
      </c>
      <c r="M4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" spans="2:13" x14ac:dyDescent="0.25">
      <c r="B43" s="40" t="str">
        <f>IF('05_PRODUCTOS'!$B43="","",'05_PRODUCTOS'!$B43)</f>
        <v/>
      </c>
      <c r="C43" s="43" t="str">
        <f>IF($B43="","",'05_PRODUCTOS'!$C43)</f>
        <v/>
      </c>
      <c r="D43" s="43" t="str">
        <f>IF($B43="","",'05_PRODUCTOS'!$D43)</f>
        <v/>
      </c>
      <c r="E43" s="40" t="str">
        <f>IF($B43="","",'05_PRODUCTOS'!$J43&amp;"")</f>
        <v/>
      </c>
      <c r="F43" s="40" t="str">
        <f>IF($B43="","",'05_PRODUCTOS'!$E43)</f>
        <v/>
      </c>
      <c r="G43" s="40" t="str">
        <f>IF($B43="","",IF('05_PRODUCTOS'!$K43="NO","NO","SI"))</f>
        <v/>
      </c>
      <c r="H43" s="49" t="str">
        <f>IF($B43="","",N('15_STOCK'!$J43))</f>
        <v/>
      </c>
      <c r="I43" s="39"/>
      <c r="J43" s="48" t="str">
        <f>IF(OR(tblConteo[[#This Row],[SKU]]="",tblConteo[[#This Row],[Conteo]]=""),"",tblConteo[[#This Row],[Conteo]]-tblConteo[[#This Row],[StockSistema]])</f>
        <v/>
      </c>
      <c r="K43" s="52" t="str">
        <f>IF($J43="","",$J43*N('15_STOCK'!$O43))</f>
        <v/>
      </c>
      <c r="L43" s="41" t="str">
        <f>IF(tblConteo[[#This Row],[Diferencia]]="","",IF(tblConteo[[#This Row],[Diferencia]]=0,"✔ Cuadra",IF(tblConteo[[#This Row],[Diferencia]]&gt;0,"▲ Sobrante","▼ Faltante")))</f>
        <v/>
      </c>
      <c r="M4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" spans="2:13" x14ac:dyDescent="0.25">
      <c r="B44" s="40" t="str">
        <f>IF('05_PRODUCTOS'!$B44="","",'05_PRODUCTOS'!$B44)</f>
        <v/>
      </c>
      <c r="C44" s="43" t="str">
        <f>IF($B44="","",'05_PRODUCTOS'!$C44)</f>
        <v/>
      </c>
      <c r="D44" s="43" t="str">
        <f>IF($B44="","",'05_PRODUCTOS'!$D44)</f>
        <v/>
      </c>
      <c r="E44" s="40" t="str">
        <f>IF($B44="","",'05_PRODUCTOS'!$J44&amp;"")</f>
        <v/>
      </c>
      <c r="F44" s="40" t="str">
        <f>IF($B44="","",'05_PRODUCTOS'!$E44)</f>
        <v/>
      </c>
      <c r="G44" s="40" t="str">
        <f>IF($B44="","",IF('05_PRODUCTOS'!$K44="NO","NO","SI"))</f>
        <v/>
      </c>
      <c r="H44" s="49" t="str">
        <f>IF($B44="","",N('15_STOCK'!$J44))</f>
        <v/>
      </c>
      <c r="I44" s="39"/>
      <c r="J44" s="48" t="str">
        <f>IF(OR(tblConteo[[#This Row],[SKU]]="",tblConteo[[#This Row],[Conteo]]=""),"",tblConteo[[#This Row],[Conteo]]-tblConteo[[#This Row],[StockSistema]])</f>
        <v/>
      </c>
      <c r="K44" s="52" t="str">
        <f>IF($J44="","",$J44*N('15_STOCK'!$O44))</f>
        <v/>
      </c>
      <c r="L44" s="41" t="str">
        <f>IF(tblConteo[[#This Row],[Diferencia]]="","",IF(tblConteo[[#This Row],[Diferencia]]=0,"✔ Cuadra",IF(tblConteo[[#This Row],[Diferencia]]&gt;0,"▲ Sobrante","▼ Faltante")))</f>
        <v/>
      </c>
      <c r="M4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" spans="2:13" x14ac:dyDescent="0.25">
      <c r="B45" s="40" t="str">
        <f>IF('05_PRODUCTOS'!$B45="","",'05_PRODUCTOS'!$B45)</f>
        <v/>
      </c>
      <c r="C45" s="43" t="str">
        <f>IF($B45="","",'05_PRODUCTOS'!$C45)</f>
        <v/>
      </c>
      <c r="D45" s="43" t="str">
        <f>IF($B45="","",'05_PRODUCTOS'!$D45)</f>
        <v/>
      </c>
      <c r="E45" s="40" t="str">
        <f>IF($B45="","",'05_PRODUCTOS'!$J45&amp;"")</f>
        <v/>
      </c>
      <c r="F45" s="40" t="str">
        <f>IF($B45="","",'05_PRODUCTOS'!$E45)</f>
        <v/>
      </c>
      <c r="G45" s="40" t="str">
        <f>IF($B45="","",IF('05_PRODUCTOS'!$K45="NO","NO","SI"))</f>
        <v/>
      </c>
      <c r="H45" s="49" t="str">
        <f>IF($B45="","",N('15_STOCK'!$J45))</f>
        <v/>
      </c>
      <c r="I45" s="39"/>
      <c r="J45" s="48" t="str">
        <f>IF(OR(tblConteo[[#This Row],[SKU]]="",tblConteo[[#This Row],[Conteo]]=""),"",tblConteo[[#This Row],[Conteo]]-tblConteo[[#This Row],[StockSistema]])</f>
        <v/>
      </c>
      <c r="K45" s="52" t="str">
        <f>IF($J45="","",$J45*N('15_STOCK'!$O45))</f>
        <v/>
      </c>
      <c r="L45" s="41" t="str">
        <f>IF(tblConteo[[#This Row],[Diferencia]]="","",IF(tblConteo[[#This Row],[Diferencia]]=0,"✔ Cuadra",IF(tblConteo[[#This Row],[Diferencia]]&gt;0,"▲ Sobrante","▼ Faltante")))</f>
        <v/>
      </c>
      <c r="M4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" spans="2:13" x14ac:dyDescent="0.25">
      <c r="B46" s="40" t="str">
        <f>IF('05_PRODUCTOS'!$B46="","",'05_PRODUCTOS'!$B46)</f>
        <v/>
      </c>
      <c r="C46" s="43" t="str">
        <f>IF($B46="","",'05_PRODUCTOS'!$C46)</f>
        <v/>
      </c>
      <c r="D46" s="43" t="str">
        <f>IF($B46="","",'05_PRODUCTOS'!$D46)</f>
        <v/>
      </c>
      <c r="E46" s="40" t="str">
        <f>IF($B46="","",'05_PRODUCTOS'!$J46&amp;"")</f>
        <v/>
      </c>
      <c r="F46" s="40" t="str">
        <f>IF($B46="","",'05_PRODUCTOS'!$E46)</f>
        <v/>
      </c>
      <c r="G46" s="40" t="str">
        <f>IF($B46="","",IF('05_PRODUCTOS'!$K46="NO","NO","SI"))</f>
        <v/>
      </c>
      <c r="H46" s="49" t="str">
        <f>IF($B46="","",N('15_STOCK'!$J46))</f>
        <v/>
      </c>
      <c r="I46" s="39"/>
      <c r="J46" s="48" t="str">
        <f>IF(OR(tblConteo[[#This Row],[SKU]]="",tblConteo[[#This Row],[Conteo]]=""),"",tblConteo[[#This Row],[Conteo]]-tblConteo[[#This Row],[StockSistema]])</f>
        <v/>
      </c>
      <c r="K46" s="52" t="str">
        <f>IF($J46="","",$J46*N('15_STOCK'!$O46))</f>
        <v/>
      </c>
      <c r="L46" s="41" t="str">
        <f>IF(tblConteo[[#This Row],[Diferencia]]="","",IF(tblConteo[[#This Row],[Diferencia]]=0,"✔ Cuadra",IF(tblConteo[[#This Row],[Diferencia]]&gt;0,"▲ Sobrante","▼ Faltante")))</f>
        <v/>
      </c>
      <c r="M4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" spans="2:13" x14ac:dyDescent="0.25">
      <c r="B47" s="40" t="str">
        <f>IF('05_PRODUCTOS'!$B47="","",'05_PRODUCTOS'!$B47)</f>
        <v/>
      </c>
      <c r="C47" s="43" t="str">
        <f>IF($B47="","",'05_PRODUCTOS'!$C47)</f>
        <v/>
      </c>
      <c r="D47" s="43" t="str">
        <f>IF($B47="","",'05_PRODUCTOS'!$D47)</f>
        <v/>
      </c>
      <c r="E47" s="40" t="str">
        <f>IF($B47="","",'05_PRODUCTOS'!$J47&amp;"")</f>
        <v/>
      </c>
      <c r="F47" s="40" t="str">
        <f>IF($B47="","",'05_PRODUCTOS'!$E47)</f>
        <v/>
      </c>
      <c r="G47" s="40" t="str">
        <f>IF($B47="","",IF('05_PRODUCTOS'!$K47="NO","NO","SI"))</f>
        <v/>
      </c>
      <c r="H47" s="49" t="str">
        <f>IF($B47="","",N('15_STOCK'!$J47))</f>
        <v/>
      </c>
      <c r="I47" s="39"/>
      <c r="J47" s="48" t="str">
        <f>IF(OR(tblConteo[[#This Row],[SKU]]="",tblConteo[[#This Row],[Conteo]]=""),"",tblConteo[[#This Row],[Conteo]]-tblConteo[[#This Row],[StockSistema]])</f>
        <v/>
      </c>
      <c r="K47" s="52" t="str">
        <f>IF($J47="","",$J47*N('15_STOCK'!$O47))</f>
        <v/>
      </c>
      <c r="L47" s="41" t="str">
        <f>IF(tblConteo[[#This Row],[Diferencia]]="","",IF(tblConteo[[#This Row],[Diferencia]]=0,"✔ Cuadra",IF(tblConteo[[#This Row],[Diferencia]]&gt;0,"▲ Sobrante","▼ Faltante")))</f>
        <v/>
      </c>
      <c r="M4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" spans="2:13" x14ac:dyDescent="0.25">
      <c r="B48" s="40" t="str">
        <f>IF('05_PRODUCTOS'!$B48="","",'05_PRODUCTOS'!$B48)</f>
        <v/>
      </c>
      <c r="C48" s="43" t="str">
        <f>IF($B48="","",'05_PRODUCTOS'!$C48)</f>
        <v/>
      </c>
      <c r="D48" s="43" t="str">
        <f>IF($B48="","",'05_PRODUCTOS'!$D48)</f>
        <v/>
      </c>
      <c r="E48" s="40" t="str">
        <f>IF($B48="","",'05_PRODUCTOS'!$J48&amp;"")</f>
        <v/>
      </c>
      <c r="F48" s="40" t="str">
        <f>IF($B48="","",'05_PRODUCTOS'!$E48)</f>
        <v/>
      </c>
      <c r="G48" s="40" t="str">
        <f>IF($B48="","",IF('05_PRODUCTOS'!$K48="NO","NO","SI"))</f>
        <v/>
      </c>
      <c r="H48" s="49" t="str">
        <f>IF($B48="","",N('15_STOCK'!$J48))</f>
        <v/>
      </c>
      <c r="I48" s="39"/>
      <c r="J48" s="48" t="str">
        <f>IF(OR(tblConteo[[#This Row],[SKU]]="",tblConteo[[#This Row],[Conteo]]=""),"",tblConteo[[#This Row],[Conteo]]-tblConteo[[#This Row],[StockSistema]])</f>
        <v/>
      </c>
      <c r="K48" s="52" t="str">
        <f>IF($J48="","",$J48*N('15_STOCK'!$O48))</f>
        <v/>
      </c>
      <c r="L48" s="41" t="str">
        <f>IF(tblConteo[[#This Row],[Diferencia]]="","",IF(tblConteo[[#This Row],[Diferencia]]=0,"✔ Cuadra",IF(tblConteo[[#This Row],[Diferencia]]&gt;0,"▲ Sobrante","▼ Faltante")))</f>
        <v/>
      </c>
      <c r="M4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" spans="2:13" x14ac:dyDescent="0.25">
      <c r="B49" s="40" t="str">
        <f>IF('05_PRODUCTOS'!$B49="","",'05_PRODUCTOS'!$B49)</f>
        <v/>
      </c>
      <c r="C49" s="43" t="str">
        <f>IF($B49="","",'05_PRODUCTOS'!$C49)</f>
        <v/>
      </c>
      <c r="D49" s="43" t="str">
        <f>IF($B49="","",'05_PRODUCTOS'!$D49)</f>
        <v/>
      </c>
      <c r="E49" s="40" t="str">
        <f>IF($B49="","",'05_PRODUCTOS'!$J49&amp;"")</f>
        <v/>
      </c>
      <c r="F49" s="40" t="str">
        <f>IF($B49="","",'05_PRODUCTOS'!$E49)</f>
        <v/>
      </c>
      <c r="G49" s="40" t="str">
        <f>IF($B49="","",IF('05_PRODUCTOS'!$K49="NO","NO","SI"))</f>
        <v/>
      </c>
      <c r="H49" s="49" t="str">
        <f>IF($B49="","",N('15_STOCK'!$J49))</f>
        <v/>
      </c>
      <c r="I49" s="39"/>
      <c r="J49" s="48" t="str">
        <f>IF(OR(tblConteo[[#This Row],[SKU]]="",tblConteo[[#This Row],[Conteo]]=""),"",tblConteo[[#This Row],[Conteo]]-tblConteo[[#This Row],[StockSistema]])</f>
        <v/>
      </c>
      <c r="K49" s="52" t="str">
        <f>IF($J49="","",$J49*N('15_STOCK'!$O49))</f>
        <v/>
      </c>
      <c r="L49" s="41" t="str">
        <f>IF(tblConteo[[#This Row],[Diferencia]]="","",IF(tblConteo[[#This Row],[Diferencia]]=0,"✔ Cuadra",IF(tblConteo[[#This Row],[Diferencia]]&gt;0,"▲ Sobrante","▼ Faltante")))</f>
        <v/>
      </c>
      <c r="M4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" spans="2:13" x14ac:dyDescent="0.25">
      <c r="B50" s="40" t="str">
        <f>IF('05_PRODUCTOS'!$B50="","",'05_PRODUCTOS'!$B50)</f>
        <v/>
      </c>
      <c r="C50" s="43" t="str">
        <f>IF($B50="","",'05_PRODUCTOS'!$C50)</f>
        <v/>
      </c>
      <c r="D50" s="43" t="str">
        <f>IF($B50="","",'05_PRODUCTOS'!$D50)</f>
        <v/>
      </c>
      <c r="E50" s="40" t="str">
        <f>IF($B50="","",'05_PRODUCTOS'!$J50&amp;"")</f>
        <v/>
      </c>
      <c r="F50" s="40" t="str">
        <f>IF($B50="","",'05_PRODUCTOS'!$E50)</f>
        <v/>
      </c>
      <c r="G50" s="40" t="str">
        <f>IF($B50="","",IF('05_PRODUCTOS'!$K50="NO","NO","SI"))</f>
        <v/>
      </c>
      <c r="H50" s="49" t="str">
        <f>IF($B50="","",N('15_STOCK'!$J50))</f>
        <v/>
      </c>
      <c r="I50" s="39"/>
      <c r="J50" s="48" t="str">
        <f>IF(OR(tblConteo[[#This Row],[SKU]]="",tblConteo[[#This Row],[Conteo]]=""),"",tblConteo[[#This Row],[Conteo]]-tblConteo[[#This Row],[StockSistema]])</f>
        <v/>
      </c>
      <c r="K50" s="52" t="str">
        <f>IF($J50="","",$J50*N('15_STOCK'!$O50))</f>
        <v/>
      </c>
      <c r="L50" s="41" t="str">
        <f>IF(tblConteo[[#This Row],[Diferencia]]="","",IF(tblConteo[[#This Row],[Diferencia]]=0,"✔ Cuadra",IF(tblConteo[[#This Row],[Diferencia]]&gt;0,"▲ Sobrante","▼ Faltante")))</f>
        <v/>
      </c>
      <c r="M5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1" spans="2:13" x14ac:dyDescent="0.25">
      <c r="B51" s="40" t="str">
        <f>IF('05_PRODUCTOS'!$B51="","",'05_PRODUCTOS'!$B51)</f>
        <v/>
      </c>
      <c r="C51" s="43" t="str">
        <f>IF($B51="","",'05_PRODUCTOS'!$C51)</f>
        <v/>
      </c>
      <c r="D51" s="43" t="str">
        <f>IF($B51="","",'05_PRODUCTOS'!$D51)</f>
        <v/>
      </c>
      <c r="E51" s="40" t="str">
        <f>IF($B51="","",'05_PRODUCTOS'!$J51&amp;"")</f>
        <v/>
      </c>
      <c r="F51" s="40" t="str">
        <f>IF($B51="","",'05_PRODUCTOS'!$E51)</f>
        <v/>
      </c>
      <c r="G51" s="40" t="str">
        <f>IF($B51="","",IF('05_PRODUCTOS'!$K51="NO","NO","SI"))</f>
        <v/>
      </c>
      <c r="H51" s="49" t="str">
        <f>IF($B51="","",N('15_STOCK'!$J51))</f>
        <v/>
      </c>
      <c r="I51" s="39"/>
      <c r="J51" s="48" t="str">
        <f>IF(OR(tblConteo[[#This Row],[SKU]]="",tblConteo[[#This Row],[Conteo]]=""),"",tblConteo[[#This Row],[Conteo]]-tblConteo[[#This Row],[StockSistema]])</f>
        <v/>
      </c>
      <c r="K51" s="52" t="str">
        <f>IF($J51="","",$J51*N('15_STOCK'!$O51))</f>
        <v/>
      </c>
      <c r="L51" s="41" t="str">
        <f>IF(tblConteo[[#This Row],[Diferencia]]="","",IF(tblConteo[[#This Row],[Diferencia]]=0,"✔ Cuadra",IF(tblConteo[[#This Row],[Diferencia]]&gt;0,"▲ Sobrante","▼ Faltante")))</f>
        <v/>
      </c>
      <c r="M5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2" spans="2:13" x14ac:dyDescent="0.25">
      <c r="B52" s="40" t="str">
        <f>IF('05_PRODUCTOS'!$B52="","",'05_PRODUCTOS'!$B52)</f>
        <v/>
      </c>
      <c r="C52" s="43" t="str">
        <f>IF($B52="","",'05_PRODUCTOS'!$C52)</f>
        <v/>
      </c>
      <c r="D52" s="43" t="str">
        <f>IF($B52="","",'05_PRODUCTOS'!$D52)</f>
        <v/>
      </c>
      <c r="E52" s="40" t="str">
        <f>IF($B52="","",'05_PRODUCTOS'!$J52&amp;"")</f>
        <v/>
      </c>
      <c r="F52" s="40" t="str">
        <f>IF($B52="","",'05_PRODUCTOS'!$E52)</f>
        <v/>
      </c>
      <c r="G52" s="40" t="str">
        <f>IF($B52="","",IF('05_PRODUCTOS'!$K52="NO","NO","SI"))</f>
        <v/>
      </c>
      <c r="H52" s="49" t="str">
        <f>IF($B52="","",N('15_STOCK'!$J52))</f>
        <v/>
      </c>
      <c r="I52" s="39"/>
      <c r="J52" s="48" t="str">
        <f>IF(OR(tblConteo[[#This Row],[SKU]]="",tblConteo[[#This Row],[Conteo]]=""),"",tblConteo[[#This Row],[Conteo]]-tblConteo[[#This Row],[StockSistema]])</f>
        <v/>
      </c>
      <c r="K52" s="52" t="str">
        <f>IF($J52="","",$J52*N('15_STOCK'!$O52))</f>
        <v/>
      </c>
      <c r="L52" s="41" t="str">
        <f>IF(tblConteo[[#This Row],[Diferencia]]="","",IF(tblConteo[[#This Row],[Diferencia]]=0,"✔ Cuadra",IF(tblConteo[[#This Row],[Diferencia]]&gt;0,"▲ Sobrante","▼ Faltante")))</f>
        <v/>
      </c>
      <c r="M5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3" spans="2:13" x14ac:dyDescent="0.25">
      <c r="B53" s="40" t="str">
        <f>IF('05_PRODUCTOS'!$B53="","",'05_PRODUCTOS'!$B53)</f>
        <v/>
      </c>
      <c r="C53" s="43" t="str">
        <f>IF($B53="","",'05_PRODUCTOS'!$C53)</f>
        <v/>
      </c>
      <c r="D53" s="43" t="str">
        <f>IF($B53="","",'05_PRODUCTOS'!$D53)</f>
        <v/>
      </c>
      <c r="E53" s="40" t="str">
        <f>IF($B53="","",'05_PRODUCTOS'!$J53&amp;"")</f>
        <v/>
      </c>
      <c r="F53" s="40" t="str">
        <f>IF($B53="","",'05_PRODUCTOS'!$E53)</f>
        <v/>
      </c>
      <c r="G53" s="40" t="str">
        <f>IF($B53="","",IF('05_PRODUCTOS'!$K53="NO","NO","SI"))</f>
        <v/>
      </c>
      <c r="H53" s="49" t="str">
        <f>IF($B53="","",N('15_STOCK'!$J53))</f>
        <v/>
      </c>
      <c r="I53" s="39"/>
      <c r="J53" s="48" t="str">
        <f>IF(OR(tblConteo[[#This Row],[SKU]]="",tblConteo[[#This Row],[Conteo]]=""),"",tblConteo[[#This Row],[Conteo]]-tblConteo[[#This Row],[StockSistema]])</f>
        <v/>
      </c>
      <c r="K53" s="52" t="str">
        <f>IF($J53="","",$J53*N('15_STOCK'!$O53))</f>
        <v/>
      </c>
      <c r="L53" s="41" t="str">
        <f>IF(tblConteo[[#This Row],[Diferencia]]="","",IF(tblConteo[[#This Row],[Diferencia]]=0,"✔ Cuadra",IF(tblConteo[[#This Row],[Diferencia]]&gt;0,"▲ Sobrante","▼ Faltante")))</f>
        <v/>
      </c>
      <c r="M5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4" spans="2:13" x14ac:dyDescent="0.25">
      <c r="B54" s="40" t="str">
        <f>IF('05_PRODUCTOS'!$B54="","",'05_PRODUCTOS'!$B54)</f>
        <v/>
      </c>
      <c r="C54" s="43" t="str">
        <f>IF($B54="","",'05_PRODUCTOS'!$C54)</f>
        <v/>
      </c>
      <c r="D54" s="43" t="str">
        <f>IF($B54="","",'05_PRODUCTOS'!$D54)</f>
        <v/>
      </c>
      <c r="E54" s="40" t="str">
        <f>IF($B54="","",'05_PRODUCTOS'!$J54&amp;"")</f>
        <v/>
      </c>
      <c r="F54" s="40" t="str">
        <f>IF($B54="","",'05_PRODUCTOS'!$E54)</f>
        <v/>
      </c>
      <c r="G54" s="40" t="str">
        <f>IF($B54="","",IF('05_PRODUCTOS'!$K54="NO","NO","SI"))</f>
        <v/>
      </c>
      <c r="H54" s="49" t="str">
        <f>IF($B54="","",N('15_STOCK'!$J54))</f>
        <v/>
      </c>
      <c r="I54" s="39"/>
      <c r="J54" s="48" t="str">
        <f>IF(OR(tblConteo[[#This Row],[SKU]]="",tblConteo[[#This Row],[Conteo]]=""),"",tblConteo[[#This Row],[Conteo]]-tblConteo[[#This Row],[StockSistema]])</f>
        <v/>
      </c>
      <c r="K54" s="52" t="str">
        <f>IF($J54="","",$J54*N('15_STOCK'!$O54))</f>
        <v/>
      </c>
      <c r="L54" s="41" t="str">
        <f>IF(tblConteo[[#This Row],[Diferencia]]="","",IF(tblConteo[[#This Row],[Diferencia]]=0,"✔ Cuadra",IF(tblConteo[[#This Row],[Diferencia]]&gt;0,"▲ Sobrante","▼ Faltante")))</f>
        <v/>
      </c>
      <c r="M5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5" spans="2:13" x14ac:dyDescent="0.25">
      <c r="B55" s="40" t="str">
        <f>IF('05_PRODUCTOS'!$B55="","",'05_PRODUCTOS'!$B55)</f>
        <v/>
      </c>
      <c r="C55" s="43" t="str">
        <f>IF($B55="","",'05_PRODUCTOS'!$C55)</f>
        <v/>
      </c>
      <c r="D55" s="43" t="str">
        <f>IF($B55="","",'05_PRODUCTOS'!$D55)</f>
        <v/>
      </c>
      <c r="E55" s="40" t="str">
        <f>IF($B55="","",'05_PRODUCTOS'!$J55&amp;"")</f>
        <v/>
      </c>
      <c r="F55" s="40" t="str">
        <f>IF($B55="","",'05_PRODUCTOS'!$E55)</f>
        <v/>
      </c>
      <c r="G55" s="40" t="str">
        <f>IF($B55="","",IF('05_PRODUCTOS'!$K55="NO","NO","SI"))</f>
        <v/>
      </c>
      <c r="H55" s="49" t="str">
        <f>IF($B55="","",N('15_STOCK'!$J55))</f>
        <v/>
      </c>
      <c r="I55" s="39"/>
      <c r="J55" s="48" t="str">
        <f>IF(OR(tblConteo[[#This Row],[SKU]]="",tblConteo[[#This Row],[Conteo]]=""),"",tblConteo[[#This Row],[Conteo]]-tblConteo[[#This Row],[StockSistema]])</f>
        <v/>
      </c>
      <c r="K55" s="52" t="str">
        <f>IF($J55="","",$J55*N('15_STOCK'!$O55))</f>
        <v/>
      </c>
      <c r="L55" s="41" t="str">
        <f>IF(tblConteo[[#This Row],[Diferencia]]="","",IF(tblConteo[[#This Row],[Diferencia]]=0,"✔ Cuadra",IF(tblConteo[[#This Row],[Diferencia]]&gt;0,"▲ Sobrante","▼ Faltante")))</f>
        <v/>
      </c>
      <c r="M5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6" spans="2:13" x14ac:dyDescent="0.25">
      <c r="B56" s="40" t="str">
        <f>IF('05_PRODUCTOS'!$B56="","",'05_PRODUCTOS'!$B56)</f>
        <v/>
      </c>
      <c r="C56" s="43" t="str">
        <f>IF($B56="","",'05_PRODUCTOS'!$C56)</f>
        <v/>
      </c>
      <c r="D56" s="43" t="str">
        <f>IF($B56="","",'05_PRODUCTOS'!$D56)</f>
        <v/>
      </c>
      <c r="E56" s="40" t="str">
        <f>IF($B56="","",'05_PRODUCTOS'!$J56&amp;"")</f>
        <v/>
      </c>
      <c r="F56" s="40" t="str">
        <f>IF($B56="","",'05_PRODUCTOS'!$E56)</f>
        <v/>
      </c>
      <c r="G56" s="40" t="str">
        <f>IF($B56="","",IF('05_PRODUCTOS'!$K56="NO","NO","SI"))</f>
        <v/>
      </c>
      <c r="H56" s="49" t="str">
        <f>IF($B56="","",N('15_STOCK'!$J56))</f>
        <v/>
      </c>
      <c r="I56" s="39"/>
      <c r="J56" s="48" t="str">
        <f>IF(OR(tblConteo[[#This Row],[SKU]]="",tblConteo[[#This Row],[Conteo]]=""),"",tblConteo[[#This Row],[Conteo]]-tblConteo[[#This Row],[StockSistema]])</f>
        <v/>
      </c>
      <c r="K56" s="52" t="str">
        <f>IF($J56="","",$J56*N('15_STOCK'!$O56))</f>
        <v/>
      </c>
      <c r="L56" s="41" t="str">
        <f>IF(tblConteo[[#This Row],[Diferencia]]="","",IF(tblConteo[[#This Row],[Diferencia]]=0,"✔ Cuadra",IF(tblConteo[[#This Row],[Diferencia]]&gt;0,"▲ Sobrante","▼ Faltante")))</f>
        <v/>
      </c>
      <c r="M5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7" spans="2:13" x14ac:dyDescent="0.25">
      <c r="B57" s="40" t="str">
        <f>IF('05_PRODUCTOS'!$B57="","",'05_PRODUCTOS'!$B57)</f>
        <v/>
      </c>
      <c r="C57" s="43" t="str">
        <f>IF($B57="","",'05_PRODUCTOS'!$C57)</f>
        <v/>
      </c>
      <c r="D57" s="43" t="str">
        <f>IF($B57="","",'05_PRODUCTOS'!$D57)</f>
        <v/>
      </c>
      <c r="E57" s="40" t="str">
        <f>IF($B57="","",'05_PRODUCTOS'!$J57&amp;"")</f>
        <v/>
      </c>
      <c r="F57" s="40" t="str">
        <f>IF($B57="","",'05_PRODUCTOS'!$E57)</f>
        <v/>
      </c>
      <c r="G57" s="40" t="str">
        <f>IF($B57="","",IF('05_PRODUCTOS'!$K57="NO","NO","SI"))</f>
        <v/>
      </c>
      <c r="H57" s="49" t="str">
        <f>IF($B57="","",N('15_STOCK'!$J57))</f>
        <v/>
      </c>
      <c r="I57" s="39"/>
      <c r="J57" s="48" t="str">
        <f>IF(OR(tblConteo[[#This Row],[SKU]]="",tblConteo[[#This Row],[Conteo]]=""),"",tblConteo[[#This Row],[Conteo]]-tblConteo[[#This Row],[StockSistema]])</f>
        <v/>
      </c>
      <c r="K57" s="52" t="str">
        <f>IF($J57="","",$J57*N('15_STOCK'!$O57))</f>
        <v/>
      </c>
      <c r="L57" s="41" t="str">
        <f>IF(tblConteo[[#This Row],[Diferencia]]="","",IF(tblConteo[[#This Row],[Diferencia]]=0,"✔ Cuadra",IF(tblConteo[[#This Row],[Diferencia]]&gt;0,"▲ Sobrante","▼ Faltante")))</f>
        <v/>
      </c>
      <c r="M5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8" spans="2:13" x14ac:dyDescent="0.25">
      <c r="B58" s="40" t="str">
        <f>IF('05_PRODUCTOS'!$B58="","",'05_PRODUCTOS'!$B58)</f>
        <v/>
      </c>
      <c r="C58" s="43" t="str">
        <f>IF($B58="","",'05_PRODUCTOS'!$C58)</f>
        <v/>
      </c>
      <c r="D58" s="43" t="str">
        <f>IF($B58="","",'05_PRODUCTOS'!$D58)</f>
        <v/>
      </c>
      <c r="E58" s="40" t="str">
        <f>IF($B58="","",'05_PRODUCTOS'!$J58&amp;"")</f>
        <v/>
      </c>
      <c r="F58" s="40" t="str">
        <f>IF($B58="","",'05_PRODUCTOS'!$E58)</f>
        <v/>
      </c>
      <c r="G58" s="40" t="str">
        <f>IF($B58="","",IF('05_PRODUCTOS'!$K58="NO","NO","SI"))</f>
        <v/>
      </c>
      <c r="H58" s="49" t="str">
        <f>IF($B58="","",N('15_STOCK'!$J58))</f>
        <v/>
      </c>
      <c r="I58" s="39"/>
      <c r="J58" s="48" t="str">
        <f>IF(OR(tblConteo[[#This Row],[SKU]]="",tblConteo[[#This Row],[Conteo]]=""),"",tblConteo[[#This Row],[Conteo]]-tblConteo[[#This Row],[StockSistema]])</f>
        <v/>
      </c>
      <c r="K58" s="52" t="str">
        <f>IF($J58="","",$J58*N('15_STOCK'!$O58))</f>
        <v/>
      </c>
      <c r="L58" s="41" t="str">
        <f>IF(tblConteo[[#This Row],[Diferencia]]="","",IF(tblConteo[[#This Row],[Diferencia]]=0,"✔ Cuadra",IF(tblConteo[[#This Row],[Diferencia]]&gt;0,"▲ Sobrante","▼ Faltante")))</f>
        <v/>
      </c>
      <c r="M5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9" spans="2:13" x14ac:dyDescent="0.25">
      <c r="B59" s="40" t="str">
        <f>IF('05_PRODUCTOS'!$B59="","",'05_PRODUCTOS'!$B59)</f>
        <v/>
      </c>
      <c r="C59" s="43" t="str">
        <f>IF($B59="","",'05_PRODUCTOS'!$C59)</f>
        <v/>
      </c>
      <c r="D59" s="43" t="str">
        <f>IF($B59="","",'05_PRODUCTOS'!$D59)</f>
        <v/>
      </c>
      <c r="E59" s="40" t="str">
        <f>IF($B59="","",'05_PRODUCTOS'!$J59&amp;"")</f>
        <v/>
      </c>
      <c r="F59" s="40" t="str">
        <f>IF($B59="","",'05_PRODUCTOS'!$E59)</f>
        <v/>
      </c>
      <c r="G59" s="40" t="str">
        <f>IF($B59="","",IF('05_PRODUCTOS'!$K59="NO","NO","SI"))</f>
        <v/>
      </c>
      <c r="H59" s="49" t="str">
        <f>IF($B59="","",N('15_STOCK'!$J59))</f>
        <v/>
      </c>
      <c r="I59" s="39"/>
      <c r="J59" s="48" t="str">
        <f>IF(OR(tblConteo[[#This Row],[SKU]]="",tblConteo[[#This Row],[Conteo]]=""),"",tblConteo[[#This Row],[Conteo]]-tblConteo[[#This Row],[StockSistema]])</f>
        <v/>
      </c>
      <c r="K59" s="52" t="str">
        <f>IF($J59="","",$J59*N('15_STOCK'!$O59))</f>
        <v/>
      </c>
      <c r="L59" s="41" t="str">
        <f>IF(tblConteo[[#This Row],[Diferencia]]="","",IF(tblConteo[[#This Row],[Diferencia]]=0,"✔ Cuadra",IF(tblConteo[[#This Row],[Diferencia]]&gt;0,"▲ Sobrante","▼ Faltante")))</f>
        <v/>
      </c>
      <c r="M5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0" spans="2:13" x14ac:dyDescent="0.25">
      <c r="B60" s="40" t="str">
        <f>IF('05_PRODUCTOS'!$B60="","",'05_PRODUCTOS'!$B60)</f>
        <v/>
      </c>
      <c r="C60" s="43" t="str">
        <f>IF($B60="","",'05_PRODUCTOS'!$C60)</f>
        <v/>
      </c>
      <c r="D60" s="43" t="str">
        <f>IF($B60="","",'05_PRODUCTOS'!$D60)</f>
        <v/>
      </c>
      <c r="E60" s="40" t="str">
        <f>IF($B60="","",'05_PRODUCTOS'!$J60&amp;"")</f>
        <v/>
      </c>
      <c r="F60" s="40" t="str">
        <f>IF($B60="","",'05_PRODUCTOS'!$E60)</f>
        <v/>
      </c>
      <c r="G60" s="40" t="str">
        <f>IF($B60="","",IF('05_PRODUCTOS'!$K60="NO","NO","SI"))</f>
        <v/>
      </c>
      <c r="H60" s="49" t="str">
        <f>IF($B60="","",N('15_STOCK'!$J60))</f>
        <v/>
      </c>
      <c r="I60" s="39"/>
      <c r="J60" s="48" t="str">
        <f>IF(OR(tblConteo[[#This Row],[SKU]]="",tblConteo[[#This Row],[Conteo]]=""),"",tblConteo[[#This Row],[Conteo]]-tblConteo[[#This Row],[StockSistema]])</f>
        <v/>
      </c>
      <c r="K60" s="52" t="str">
        <f>IF($J60="","",$J60*N('15_STOCK'!$O60))</f>
        <v/>
      </c>
      <c r="L60" s="41" t="str">
        <f>IF(tblConteo[[#This Row],[Diferencia]]="","",IF(tblConteo[[#This Row],[Diferencia]]=0,"✔ Cuadra",IF(tblConteo[[#This Row],[Diferencia]]&gt;0,"▲ Sobrante","▼ Faltante")))</f>
        <v/>
      </c>
      <c r="M6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1" spans="2:13" x14ac:dyDescent="0.25">
      <c r="B61" s="40" t="str">
        <f>IF('05_PRODUCTOS'!$B61="","",'05_PRODUCTOS'!$B61)</f>
        <v/>
      </c>
      <c r="C61" s="43" t="str">
        <f>IF($B61="","",'05_PRODUCTOS'!$C61)</f>
        <v/>
      </c>
      <c r="D61" s="43" t="str">
        <f>IF($B61="","",'05_PRODUCTOS'!$D61)</f>
        <v/>
      </c>
      <c r="E61" s="40" t="str">
        <f>IF($B61="","",'05_PRODUCTOS'!$J61&amp;"")</f>
        <v/>
      </c>
      <c r="F61" s="40" t="str">
        <f>IF($B61="","",'05_PRODUCTOS'!$E61)</f>
        <v/>
      </c>
      <c r="G61" s="40" t="str">
        <f>IF($B61="","",IF('05_PRODUCTOS'!$K61="NO","NO","SI"))</f>
        <v/>
      </c>
      <c r="H61" s="49" t="str">
        <f>IF($B61="","",N('15_STOCK'!$J61))</f>
        <v/>
      </c>
      <c r="I61" s="39"/>
      <c r="J61" s="48" t="str">
        <f>IF(OR(tblConteo[[#This Row],[SKU]]="",tblConteo[[#This Row],[Conteo]]=""),"",tblConteo[[#This Row],[Conteo]]-tblConteo[[#This Row],[StockSistema]])</f>
        <v/>
      </c>
      <c r="K61" s="52" t="str">
        <f>IF($J61="","",$J61*N('15_STOCK'!$O61))</f>
        <v/>
      </c>
      <c r="L61" s="41" t="str">
        <f>IF(tblConteo[[#This Row],[Diferencia]]="","",IF(tblConteo[[#This Row],[Diferencia]]=0,"✔ Cuadra",IF(tblConteo[[#This Row],[Diferencia]]&gt;0,"▲ Sobrante","▼ Faltante")))</f>
        <v/>
      </c>
      <c r="M6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2" spans="2:13" x14ac:dyDescent="0.25">
      <c r="B62" s="40" t="str">
        <f>IF('05_PRODUCTOS'!$B62="","",'05_PRODUCTOS'!$B62)</f>
        <v/>
      </c>
      <c r="C62" s="43" t="str">
        <f>IF($B62="","",'05_PRODUCTOS'!$C62)</f>
        <v/>
      </c>
      <c r="D62" s="43" t="str">
        <f>IF($B62="","",'05_PRODUCTOS'!$D62)</f>
        <v/>
      </c>
      <c r="E62" s="40" t="str">
        <f>IF($B62="","",'05_PRODUCTOS'!$J62&amp;"")</f>
        <v/>
      </c>
      <c r="F62" s="40" t="str">
        <f>IF($B62="","",'05_PRODUCTOS'!$E62)</f>
        <v/>
      </c>
      <c r="G62" s="40" t="str">
        <f>IF($B62="","",IF('05_PRODUCTOS'!$K62="NO","NO","SI"))</f>
        <v/>
      </c>
      <c r="H62" s="49" t="str">
        <f>IF($B62="","",N('15_STOCK'!$J62))</f>
        <v/>
      </c>
      <c r="I62" s="39"/>
      <c r="J62" s="48" t="str">
        <f>IF(OR(tblConteo[[#This Row],[SKU]]="",tblConteo[[#This Row],[Conteo]]=""),"",tblConteo[[#This Row],[Conteo]]-tblConteo[[#This Row],[StockSistema]])</f>
        <v/>
      </c>
      <c r="K62" s="52" t="str">
        <f>IF($J62="","",$J62*N('15_STOCK'!$O62))</f>
        <v/>
      </c>
      <c r="L62" s="41" t="str">
        <f>IF(tblConteo[[#This Row],[Diferencia]]="","",IF(tblConteo[[#This Row],[Diferencia]]=0,"✔ Cuadra",IF(tblConteo[[#This Row],[Diferencia]]&gt;0,"▲ Sobrante","▼ Faltante")))</f>
        <v/>
      </c>
      <c r="M6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3" spans="2:13" x14ac:dyDescent="0.25">
      <c r="B63" s="40" t="str">
        <f>IF('05_PRODUCTOS'!$B63="","",'05_PRODUCTOS'!$B63)</f>
        <v/>
      </c>
      <c r="C63" s="43" t="str">
        <f>IF($B63="","",'05_PRODUCTOS'!$C63)</f>
        <v/>
      </c>
      <c r="D63" s="43" t="str">
        <f>IF($B63="","",'05_PRODUCTOS'!$D63)</f>
        <v/>
      </c>
      <c r="E63" s="40" t="str">
        <f>IF($B63="","",'05_PRODUCTOS'!$J63&amp;"")</f>
        <v/>
      </c>
      <c r="F63" s="40" t="str">
        <f>IF($B63="","",'05_PRODUCTOS'!$E63)</f>
        <v/>
      </c>
      <c r="G63" s="40" t="str">
        <f>IF($B63="","",IF('05_PRODUCTOS'!$K63="NO","NO","SI"))</f>
        <v/>
      </c>
      <c r="H63" s="49" t="str">
        <f>IF($B63="","",N('15_STOCK'!$J63))</f>
        <v/>
      </c>
      <c r="I63" s="39"/>
      <c r="J63" s="48" t="str">
        <f>IF(OR(tblConteo[[#This Row],[SKU]]="",tblConteo[[#This Row],[Conteo]]=""),"",tblConteo[[#This Row],[Conteo]]-tblConteo[[#This Row],[StockSistema]])</f>
        <v/>
      </c>
      <c r="K63" s="52" t="str">
        <f>IF($J63="","",$J63*N('15_STOCK'!$O63))</f>
        <v/>
      </c>
      <c r="L63" s="41" t="str">
        <f>IF(tblConteo[[#This Row],[Diferencia]]="","",IF(tblConteo[[#This Row],[Diferencia]]=0,"✔ Cuadra",IF(tblConteo[[#This Row],[Diferencia]]&gt;0,"▲ Sobrante","▼ Faltante")))</f>
        <v/>
      </c>
      <c r="M6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4" spans="2:13" x14ac:dyDescent="0.25">
      <c r="B64" s="40" t="str">
        <f>IF('05_PRODUCTOS'!$B64="","",'05_PRODUCTOS'!$B64)</f>
        <v/>
      </c>
      <c r="C64" s="43" t="str">
        <f>IF($B64="","",'05_PRODUCTOS'!$C64)</f>
        <v/>
      </c>
      <c r="D64" s="43" t="str">
        <f>IF($B64="","",'05_PRODUCTOS'!$D64)</f>
        <v/>
      </c>
      <c r="E64" s="40" t="str">
        <f>IF($B64="","",'05_PRODUCTOS'!$J64&amp;"")</f>
        <v/>
      </c>
      <c r="F64" s="40" t="str">
        <f>IF($B64="","",'05_PRODUCTOS'!$E64)</f>
        <v/>
      </c>
      <c r="G64" s="40" t="str">
        <f>IF($B64="","",IF('05_PRODUCTOS'!$K64="NO","NO","SI"))</f>
        <v/>
      </c>
      <c r="H64" s="49" t="str">
        <f>IF($B64="","",N('15_STOCK'!$J64))</f>
        <v/>
      </c>
      <c r="I64" s="39"/>
      <c r="J64" s="48" t="str">
        <f>IF(OR(tblConteo[[#This Row],[SKU]]="",tblConteo[[#This Row],[Conteo]]=""),"",tblConteo[[#This Row],[Conteo]]-tblConteo[[#This Row],[StockSistema]])</f>
        <v/>
      </c>
      <c r="K64" s="52" t="str">
        <f>IF($J64="","",$J64*N('15_STOCK'!$O64))</f>
        <v/>
      </c>
      <c r="L64" s="41" t="str">
        <f>IF(tblConteo[[#This Row],[Diferencia]]="","",IF(tblConteo[[#This Row],[Diferencia]]=0,"✔ Cuadra",IF(tblConteo[[#This Row],[Diferencia]]&gt;0,"▲ Sobrante","▼ Faltante")))</f>
        <v/>
      </c>
      <c r="M6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5" spans="2:13" x14ac:dyDescent="0.25">
      <c r="B65" s="40" t="str">
        <f>IF('05_PRODUCTOS'!$B65="","",'05_PRODUCTOS'!$B65)</f>
        <v/>
      </c>
      <c r="C65" s="43" t="str">
        <f>IF($B65="","",'05_PRODUCTOS'!$C65)</f>
        <v/>
      </c>
      <c r="D65" s="43" t="str">
        <f>IF($B65="","",'05_PRODUCTOS'!$D65)</f>
        <v/>
      </c>
      <c r="E65" s="40" t="str">
        <f>IF($B65="","",'05_PRODUCTOS'!$J65&amp;"")</f>
        <v/>
      </c>
      <c r="F65" s="40" t="str">
        <f>IF($B65="","",'05_PRODUCTOS'!$E65)</f>
        <v/>
      </c>
      <c r="G65" s="40" t="str">
        <f>IF($B65="","",IF('05_PRODUCTOS'!$K65="NO","NO","SI"))</f>
        <v/>
      </c>
      <c r="H65" s="49" t="str">
        <f>IF($B65="","",N('15_STOCK'!$J65))</f>
        <v/>
      </c>
      <c r="I65" s="39"/>
      <c r="J65" s="48" t="str">
        <f>IF(OR(tblConteo[[#This Row],[SKU]]="",tblConteo[[#This Row],[Conteo]]=""),"",tblConteo[[#This Row],[Conteo]]-tblConteo[[#This Row],[StockSistema]])</f>
        <v/>
      </c>
      <c r="K65" s="52" t="str">
        <f>IF($J65="","",$J65*N('15_STOCK'!$O65))</f>
        <v/>
      </c>
      <c r="L65" s="41" t="str">
        <f>IF(tblConteo[[#This Row],[Diferencia]]="","",IF(tblConteo[[#This Row],[Diferencia]]=0,"✔ Cuadra",IF(tblConteo[[#This Row],[Diferencia]]&gt;0,"▲ Sobrante","▼ Faltante")))</f>
        <v/>
      </c>
      <c r="M6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6" spans="2:13" x14ac:dyDescent="0.25">
      <c r="B66" s="40" t="str">
        <f>IF('05_PRODUCTOS'!$B66="","",'05_PRODUCTOS'!$B66)</f>
        <v/>
      </c>
      <c r="C66" s="43" t="str">
        <f>IF($B66="","",'05_PRODUCTOS'!$C66)</f>
        <v/>
      </c>
      <c r="D66" s="43" t="str">
        <f>IF($B66="","",'05_PRODUCTOS'!$D66)</f>
        <v/>
      </c>
      <c r="E66" s="40" t="str">
        <f>IF($B66="","",'05_PRODUCTOS'!$J66&amp;"")</f>
        <v/>
      </c>
      <c r="F66" s="40" t="str">
        <f>IF($B66="","",'05_PRODUCTOS'!$E66)</f>
        <v/>
      </c>
      <c r="G66" s="40" t="str">
        <f>IF($B66="","",IF('05_PRODUCTOS'!$K66="NO","NO","SI"))</f>
        <v/>
      </c>
      <c r="H66" s="49" t="str">
        <f>IF($B66="","",N('15_STOCK'!$J66))</f>
        <v/>
      </c>
      <c r="I66" s="39"/>
      <c r="J66" s="48" t="str">
        <f>IF(OR(tblConteo[[#This Row],[SKU]]="",tblConteo[[#This Row],[Conteo]]=""),"",tblConteo[[#This Row],[Conteo]]-tblConteo[[#This Row],[StockSistema]])</f>
        <v/>
      </c>
      <c r="K66" s="52" t="str">
        <f>IF($J66="","",$J66*N('15_STOCK'!$O66))</f>
        <v/>
      </c>
      <c r="L66" s="41" t="str">
        <f>IF(tblConteo[[#This Row],[Diferencia]]="","",IF(tblConteo[[#This Row],[Diferencia]]=0,"✔ Cuadra",IF(tblConteo[[#This Row],[Diferencia]]&gt;0,"▲ Sobrante","▼ Faltante")))</f>
        <v/>
      </c>
      <c r="M6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7" spans="2:13" x14ac:dyDescent="0.25">
      <c r="B67" s="40" t="str">
        <f>IF('05_PRODUCTOS'!$B67="","",'05_PRODUCTOS'!$B67)</f>
        <v/>
      </c>
      <c r="C67" s="43" t="str">
        <f>IF($B67="","",'05_PRODUCTOS'!$C67)</f>
        <v/>
      </c>
      <c r="D67" s="43" t="str">
        <f>IF($B67="","",'05_PRODUCTOS'!$D67)</f>
        <v/>
      </c>
      <c r="E67" s="40" t="str">
        <f>IF($B67="","",'05_PRODUCTOS'!$J67&amp;"")</f>
        <v/>
      </c>
      <c r="F67" s="40" t="str">
        <f>IF($B67="","",'05_PRODUCTOS'!$E67)</f>
        <v/>
      </c>
      <c r="G67" s="40" t="str">
        <f>IF($B67="","",IF('05_PRODUCTOS'!$K67="NO","NO","SI"))</f>
        <v/>
      </c>
      <c r="H67" s="49" t="str">
        <f>IF($B67="","",N('15_STOCK'!$J67))</f>
        <v/>
      </c>
      <c r="I67" s="39"/>
      <c r="J67" s="48" t="str">
        <f>IF(OR(tblConteo[[#This Row],[SKU]]="",tblConteo[[#This Row],[Conteo]]=""),"",tblConteo[[#This Row],[Conteo]]-tblConteo[[#This Row],[StockSistema]])</f>
        <v/>
      </c>
      <c r="K67" s="52" t="str">
        <f>IF($J67="","",$J67*N('15_STOCK'!$O67))</f>
        <v/>
      </c>
      <c r="L67" s="41" t="str">
        <f>IF(tblConteo[[#This Row],[Diferencia]]="","",IF(tblConteo[[#This Row],[Diferencia]]=0,"✔ Cuadra",IF(tblConteo[[#This Row],[Diferencia]]&gt;0,"▲ Sobrante","▼ Faltante")))</f>
        <v/>
      </c>
      <c r="M6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8" spans="2:13" x14ac:dyDescent="0.25">
      <c r="B68" s="40" t="str">
        <f>IF('05_PRODUCTOS'!$B68="","",'05_PRODUCTOS'!$B68)</f>
        <v/>
      </c>
      <c r="C68" s="43" t="str">
        <f>IF($B68="","",'05_PRODUCTOS'!$C68)</f>
        <v/>
      </c>
      <c r="D68" s="43" t="str">
        <f>IF($B68="","",'05_PRODUCTOS'!$D68)</f>
        <v/>
      </c>
      <c r="E68" s="40" t="str">
        <f>IF($B68="","",'05_PRODUCTOS'!$J68&amp;"")</f>
        <v/>
      </c>
      <c r="F68" s="40" t="str">
        <f>IF($B68="","",'05_PRODUCTOS'!$E68)</f>
        <v/>
      </c>
      <c r="G68" s="40" t="str">
        <f>IF($B68="","",IF('05_PRODUCTOS'!$K68="NO","NO","SI"))</f>
        <v/>
      </c>
      <c r="H68" s="49" t="str">
        <f>IF($B68="","",N('15_STOCK'!$J68))</f>
        <v/>
      </c>
      <c r="I68" s="39"/>
      <c r="J68" s="48" t="str">
        <f>IF(OR(tblConteo[[#This Row],[SKU]]="",tblConteo[[#This Row],[Conteo]]=""),"",tblConteo[[#This Row],[Conteo]]-tblConteo[[#This Row],[StockSistema]])</f>
        <v/>
      </c>
      <c r="K68" s="52" t="str">
        <f>IF($J68="","",$J68*N('15_STOCK'!$O68))</f>
        <v/>
      </c>
      <c r="L68" s="41" t="str">
        <f>IF(tblConteo[[#This Row],[Diferencia]]="","",IF(tblConteo[[#This Row],[Diferencia]]=0,"✔ Cuadra",IF(tblConteo[[#This Row],[Diferencia]]&gt;0,"▲ Sobrante","▼ Faltante")))</f>
        <v/>
      </c>
      <c r="M6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69" spans="2:13" x14ac:dyDescent="0.25">
      <c r="B69" s="40" t="str">
        <f>IF('05_PRODUCTOS'!$B69="","",'05_PRODUCTOS'!$B69)</f>
        <v/>
      </c>
      <c r="C69" s="43" t="str">
        <f>IF($B69="","",'05_PRODUCTOS'!$C69)</f>
        <v/>
      </c>
      <c r="D69" s="43" t="str">
        <f>IF($B69="","",'05_PRODUCTOS'!$D69)</f>
        <v/>
      </c>
      <c r="E69" s="40" t="str">
        <f>IF($B69="","",'05_PRODUCTOS'!$J69&amp;"")</f>
        <v/>
      </c>
      <c r="F69" s="40" t="str">
        <f>IF($B69="","",'05_PRODUCTOS'!$E69)</f>
        <v/>
      </c>
      <c r="G69" s="40" t="str">
        <f>IF($B69="","",IF('05_PRODUCTOS'!$K69="NO","NO","SI"))</f>
        <v/>
      </c>
      <c r="H69" s="49" t="str">
        <f>IF($B69="","",N('15_STOCK'!$J69))</f>
        <v/>
      </c>
      <c r="I69" s="39"/>
      <c r="J69" s="48" t="str">
        <f>IF(OR(tblConteo[[#This Row],[SKU]]="",tblConteo[[#This Row],[Conteo]]=""),"",tblConteo[[#This Row],[Conteo]]-tblConteo[[#This Row],[StockSistema]])</f>
        <v/>
      </c>
      <c r="K69" s="52" t="str">
        <f>IF($J69="","",$J69*N('15_STOCK'!$O69))</f>
        <v/>
      </c>
      <c r="L69" s="41" t="str">
        <f>IF(tblConteo[[#This Row],[Diferencia]]="","",IF(tblConteo[[#This Row],[Diferencia]]=0,"✔ Cuadra",IF(tblConteo[[#This Row],[Diferencia]]&gt;0,"▲ Sobrante","▼ Faltante")))</f>
        <v/>
      </c>
      <c r="M6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0" spans="2:13" x14ac:dyDescent="0.25">
      <c r="B70" s="40" t="str">
        <f>IF('05_PRODUCTOS'!$B70="","",'05_PRODUCTOS'!$B70)</f>
        <v/>
      </c>
      <c r="C70" s="43" t="str">
        <f>IF($B70="","",'05_PRODUCTOS'!$C70)</f>
        <v/>
      </c>
      <c r="D70" s="43" t="str">
        <f>IF($B70="","",'05_PRODUCTOS'!$D70)</f>
        <v/>
      </c>
      <c r="E70" s="40" t="str">
        <f>IF($B70="","",'05_PRODUCTOS'!$J70&amp;"")</f>
        <v/>
      </c>
      <c r="F70" s="40" t="str">
        <f>IF($B70="","",'05_PRODUCTOS'!$E70)</f>
        <v/>
      </c>
      <c r="G70" s="40" t="str">
        <f>IF($B70="","",IF('05_PRODUCTOS'!$K70="NO","NO","SI"))</f>
        <v/>
      </c>
      <c r="H70" s="49" t="str">
        <f>IF($B70="","",N('15_STOCK'!$J70))</f>
        <v/>
      </c>
      <c r="I70" s="39"/>
      <c r="J70" s="48" t="str">
        <f>IF(OR(tblConteo[[#This Row],[SKU]]="",tblConteo[[#This Row],[Conteo]]=""),"",tblConteo[[#This Row],[Conteo]]-tblConteo[[#This Row],[StockSistema]])</f>
        <v/>
      </c>
      <c r="K70" s="52" t="str">
        <f>IF($J70="","",$J70*N('15_STOCK'!$O70))</f>
        <v/>
      </c>
      <c r="L70" s="41" t="str">
        <f>IF(tblConteo[[#This Row],[Diferencia]]="","",IF(tblConteo[[#This Row],[Diferencia]]=0,"✔ Cuadra",IF(tblConteo[[#This Row],[Diferencia]]&gt;0,"▲ Sobrante","▼ Faltante")))</f>
        <v/>
      </c>
      <c r="M7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1" spans="2:13" x14ac:dyDescent="0.25">
      <c r="B71" s="40" t="str">
        <f>IF('05_PRODUCTOS'!$B71="","",'05_PRODUCTOS'!$B71)</f>
        <v/>
      </c>
      <c r="C71" s="43" t="str">
        <f>IF($B71="","",'05_PRODUCTOS'!$C71)</f>
        <v/>
      </c>
      <c r="D71" s="43" t="str">
        <f>IF($B71="","",'05_PRODUCTOS'!$D71)</f>
        <v/>
      </c>
      <c r="E71" s="40" t="str">
        <f>IF($B71="","",'05_PRODUCTOS'!$J71&amp;"")</f>
        <v/>
      </c>
      <c r="F71" s="40" t="str">
        <f>IF($B71="","",'05_PRODUCTOS'!$E71)</f>
        <v/>
      </c>
      <c r="G71" s="40" t="str">
        <f>IF($B71="","",IF('05_PRODUCTOS'!$K71="NO","NO","SI"))</f>
        <v/>
      </c>
      <c r="H71" s="49" t="str">
        <f>IF($B71="","",N('15_STOCK'!$J71))</f>
        <v/>
      </c>
      <c r="I71" s="39"/>
      <c r="J71" s="48" t="str">
        <f>IF(OR(tblConteo[[#This Row],[SKU]]="",tblConteo[[#This Row],[Conteo]]=""),"",tblConteo[[#This Row],[Conteo]]-tblConteo[[#This Row],[StockSistema]])</f>
        <v/>
      </c>
      <c r="K71" s="52" t="str">
        <f>IF($J71="","",$J71*N('15_STOCK'!$O71))</f>
        <v/>
      </c>
      <c r="L71" s="41" t="str">
        <f>IF(tblConteo[[#This Row],[Diferencia]]="","",IF(tblConteo[[#This Row],[Diferencia]]=0,"✔ Cuadra",IF(tblConteo[[#This Row],[Diferencia]]&gt;0,"▲ Sobrante","▼ Faltante")))</f>
        <v/>
      </c>
      <c r="M7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2" spans="2:13" x14ac:dyDescent="0.25">
      <c r="B72" s="40" t="str">
        <f>IF('05_PRODUCTOS'!$B72="","",'05_PRODUCTOS'!$B72)</f>
        <v/>
      </c>
      <c r="C72" s="43" t="str">
        <f>IF($B72="","",'05_PRODUCTOS'!$C72)</f>
        <v/>
      </c>
      <c r="D72" s="43" t="str">
        <f>IF($B72="","",'05_PRODUCTOS'!$D72)</f>
        <v/>
      </c>
      <c r="E72" s="40" t="str">
        <f>IF($B72="","",'05_PRODUCTOS'!$J72&amp;"")</f>
        <v/>
      </c>
      <c r="F72" s="40" t="str">
        <f>IF($B72="","",'05_PRODUCTOS'!$E72)</f>
        <v/>
      </c>
      <c r="G72" s="40" t="str">
        <f>IF($B72="","",IF('05_PRODUCTOS'!$K72="NO","NO","SI"))</f>
        <v/>
      </c>
      <c r="H72" s="49" t="str">
        <f>IF($B72="","",N('15_STOCK'!$J72))</f>
        <v/>
      </c>
      <c r="I72" s="39"/>
      <c r="J72" s="48" t="str">
        <f>IF(OR(tblConteo[[#This Row],[SKU]]="",tblConteo[[#This Row],[Conteo]]=""),"",tblConteo[[#This Row],[Conteo]]-tblConteo[[#This Row],[StockSistema]])</f>
        <v/>
      </c>
      <c r="K72" s="52" t="str">
        <f>IF($J72="","",$J72*N('15_STOCK'!$O72))</f>
        <v/>
      </c>
      <c r="L72" s="41" t="str">
        <f>IF(tblConteo[[#This Row],[Diferencia]]="","",IF(tblConteo[[#This Row],[Diferencia]]=0,"✔ Cuadra",IF(tblConteo[[#This Row],[Diferencia]]&gt;0,"▲ Sobrante","▼ Faltante")))</f>
        <v/>
      </c>
      <c r="M7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3" spans="2:13" x14ac:dyDescent="0.25">
      <c r="B73" s="40" t="str">
        <f>IF('05_PRODUCTOS'!$B73="","",'05_PRODUCTOS'!$B73)</f>
        <v/>
      </c>
      <c r="C73" s="43" t="str">
        <f>IF($B73="","",'05_PRODUCTOS'!$C73)</f>
        <v/>
      </c>
      <c r="D73" s="43" t="str">
        <f>IF($B73="","",'05_PRODUCTOS'!$D73)</f>
        <v/>
      </c>
      <c r="E73" s="40" t="str">
        <f>IF($B73="","",'05_PRODUCTOS'!$J73&amp;"")</f>
        <v/>
      </c>
      <c r="F73" s="40" t="str">
        <f>IF($B73="","",'05_PRODUCTOS'!$E73)</f>
        <v/>
      </c>
      <c r="G73" s="40" t="str">
        <f>IF($B73="","",IF('05_PRODUCTOS'!$K73="NO","NO","SI"))</f>
        <v/>
      </c>
      <c r="H73" s="49" t="str">
        <f>IF($B73="","",N('15_STOCK'!$J73))</f>
        <v/>
      </c>
      <c r="I73" s="39"/>
      <c r="J73" s="48" t="str">
        <f>IF(OR(tblConteo[[#This Row],[SKU]]="",tblConteo[[#This Row],[Conteo]]=""),"",tblConteo[[#This Row],[Conteo]]-tblConteo[[#This Row],[StockSistema]])</f>
        <v/>
      </c>
      <c r="K73" s="52" t="str">
        <f>IF($J73="","",$J73*N('15_STOCK'!$O73))</f>
        <v/>
      </c>
      <c r="L73" s="41" t="str">
        <f>IF(tblConteo[[#This Row],[Diferencia]]="","",IF(tblConteo[[#This Row],[Diferencia]]=0,"✔ Cuadra",IF(tblConteo[[#This Row],[Diferencia]]&gt;0,"▲ Sobrante","▼ Faltante")))</f>
        <v/>
      </c>
      <c r="M7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4" spans="2:13" x14ac:dyDescent="0.25">
      <c r="B74" s="40" t="str">
        <f>IF('05_PRODUCTOS'!$B74="","",'05_PRODUCTOS'!$B74)</f>
        <v/>
      </c>
      <c r="C74" s="43" t="str">
        <f>IF($B74="","",'05_PRODUCTOS'!$C74)</f>
        <v/>
      </c>
      <c r="D74" s="43" t="str">
        <f>IF($B74="","",'05_PRODUCTOS'!$D74)</f>
        <v/>
      </c>
      <c r="E74" s="40" t="str">
        <f>IF($B74="","",'05_PRODUCTOS'!$J74&amp;"")</f>
        <v/>
      </c>
      <c r="F74" s="40" t="str">
        <f>IF($B74="","",'05_PRODUCTOS'!$E74)</f>
        <v/>
      </c>
      <c r="G74" s="40" t="str">
        <f>IF($B74="","",IF('05_PRODUCTOS'!$K74="NO","NO","SI"))</f>
        <v/>
      </c>
      <c r="H74" s="49" t="str">
        <f>IF($B74="","",N('15_STOCK'!$J74))</f>
        <v/>
      </c>
      <c r="I74" s="39"/>
      <c r="J74" s="48" t="str">
        <f>IF(OR(tblConteo[[#This Row],[SKU]]="",tblConteo[[#This Row],[Conteo]]=""),"",tblConteo[[#This Row],[Conteo]]-tblConteo[[#This Row],[StockSistema]])</f>
        <v/>
      </c>
      <c r="K74" s="52" t="str">
        <f>IF($J74="","",$J74*N('15_STOCK'!$O74))</f>
        <v/>
      </c>
      <c r="L74" s="41" t="str">
        <f>IF(tblConteo[[#This Row],[Diferencia]]="","",IF(tblConteo[[#This Row],[Diferencia]]=0,"✔ Cuadra",IF(tblConteo[[#This Row],[Diferencia]]&gt;0,"▲ Sobrante","▼ Faltante")))</f>
        <v/>
      </c>
      <c r="M7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5" spans="2:13" x14ac:dyDescent="0.25">
      <c r="B75" s="40" t="str">
        <f>IF('05_PRODUCTOS'!$B75="","",'05_PRODUCTOS'!$B75)</f>
        <v/>
      </c>
      <c r="C75" s="43" t="str">
        <f>IF($B75="","",'05_PRODUCTOS'!$C75)</f>
        <v/>
      </c>
      <c r="D75" s="43" t="str">
        <f>IF($B75="","",'05_PRODUCTOS'!$D75)</f>
        <v/>
      </c>
      <c r="E75" s="40" t="str">
        <f>IF($B75="","",'05_PRODUCTOS'!$J75&amp;"")</f>
        <v/>
      </c>
      <c r="F75" s="40" t="str">
        <f>IF($B75="","",'05_PRODUCTOS'!$E75)</f>
        <v/>
      </c>
      <c r="G75" s="40" t="str">
        <f>IF($B75="","",IF('05_PRODUCTOS'!$K75="NO","NO","SI"))</f>
        <v/>
      </c>
      <c r="H75" s="49" t="str">
        <f>IF($B75="","",N('15_STOCK'!$J75))</f>
        <v/>
      </c>
      <c r="I75" s="39"/>
      <c r="J75" s="48" t="str">
        <f>IF(OR(tblConteo[[#This Row],[SKU]]="",tblConteo[[#This Row],[Conteo]]=""),"",tblConteo[[#This Row],[Conteo]]-tblConteo[[#This Row],[StockSistema]])</f>
        <v/>
      </c>
      <c r="K75" s="52" t="str">
        <f>IF($J75="","",$J75*N('15_STOCK'!$O75))</f>
        <v/>
      </c>
      <c r="L75" s="41" t="str">
        <f>IF(tblConteo[[#This Row],[Diferencia]]="","",IF(tblConteo[[#This Row],[Diferencia]]=0,"✔ Cuadra",IF(tblConteo[[#This Row],[Diferencia]]&gt;0,"▲ Sobrante","▼ Faltante")))</f>
        <v/>
      </c>
      <c r="M7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6" spans="2:13" x14ac:dyDescent="0.25">
      <c r="B76" s="40" t="str">
        <f>IF('05_PRODUCTOS'!$B76="","",'05_PRODUCTOS'!$B76)</f>
        <v/>
      </c>
      <c r="C76" s="43" t="str">
        <f>IF($B76="","",'05_PRODUCTOS'!$C76)</f>
        <v/>
      </c>
      <c r="D76" s="43" t="str">
        <f>IF($B76="","",'05_PRODUCTOS'!$D76)</f>
        <v/>
      </c>
      <c r="E76" s="40" t="str">
        <f>IF($B76="","",'05_PRODUCTOS'!$J76&amp;"")</f>
        <v/>
      </c>
      <c r="F76" s="40" t="str">
        <f>IF($B76="","",'05_PRODUCTOS'!$E76)</f>
        <v/>
      </c>
      <c r="G76" s="40" t="str">
        <f>IF($B76="","",IF('05_PRODUCTOS'!$K76="NO","NO","SI"))</f>
        <v/>
      </c>
      <c r="H76" s="49" t="str">
        <f>IF($B76="","",N('15_STOCK'!$J76))</f>
        <v/>
      </c>
      <c r="I76" s="39"/>
      <c r="J76" s="48" t="str">
        <f>IF(OR(tblConteo[[#This Row],[SKU]]="",tblConteo[[#This Row],[Conteo]]=""),"",tblConteo[[#This Row],[Conteo]]-tblConteo[[#This Row],[StockSistema]])</f>
        <v/>
      </c>
      <c r="K76" s="52" t="str">
        <f>IF($J76="","",$J76*N('15_STOCK'!$O76))</f>
        <v/>
      </c>
      <c r="L76" s="41" t="str">
        <f>IF(tblConteo[[#This Row],[Diferencia]]="","",IF(tblConteo[[#This Row],[Diferencia]]=0,"✔ Cuadra",IF(tblConteo[[#This Row],[Diferencia]]&gt;0,"▲ Sobrante","▼ Faltante")))</f>
        <v/>
      </c>
      <c r="M7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7" spans="2:13" x14ac:dyDescent="0.25">
      <c r="B77" s="40" t="str">
        <f>IF('05_PRODUCTOS'!$B77="","",'05_PRODUCTOS'!$B77)</f>
        <v/>
      </c>
      <c r="C77" s="43" t="str">
        <f>IF($B77="","",'05_PRODUCTOS'!$C77)</f>
        <v/>
      </c>
      <c r="D77" s="43" t="str">
        <f>IF($B77="","",'05_PRODUCTOS'!$D77)</f>
        <v/>
      </c>
      <c r="E77" s="40" t="str">
        <f>IF($B77="","",'05_PRODUCTOS'!$J77&amp;"")</f>
        <v/>
      </c>
      <c r="F77" s="40" t="str">
        <f>IF($B77="","",'05_PRODUCTOS'!$E77)</f>
        <v/>
      </c>
      <c r="G77" s="40" t="str">
        <f>IF($B77="","",IF('05_PRODUCTOS'!$K77="NO","NO","SI"))</f>
        <v/>
      </c>
      <c r="H77" s="49" t="str">
        <f>IF($B77="","",N('15_STOCK'!$J77))</f>
        <v/>
      </c>
      <c r="I77" s="39"/>
      <c r="J77" s="48" t="str">
        <f>IF(OR(tblConteo[[#This Row],[SKU]]="",tblConteo[[#This Row],[Conteo]]=""),"",tblConteo[[#This Row],[Conteo]]-tblConteo[[#This Row],[StockSistema]])</f>
        <v/>
      </c>
      <c r="K77" s="52" t="str">
        <f>IF($J77="","",$J77*N('15_STOCK'!$O77))</f>
        <v/>
      </c>
      <c r="L77" s="41" t="str">
        <f>IF(tblConteo[[#This Row],[Diferencia]]="","",IF(tblConteo[[#This Row],[Diferencia]]=0,"✔ Cuadra",IF(tblConteo[[#This Row],[Diferencia]]&gt;0,"▲ Sobrante","▼ Faltante")))</f>
        <v/>
      </c>
      <c r="M7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8" spans="2:13" x14ac:dyDescent="0.25">
      <c r="B78" s="40" t="str">
        <f>IF('05_PRODUCTOS'!$B78="","",'05_PRODUCTOS'!$B78)</f>
        <v/>
      </c>
      <c r="C78" s="43" t="str">
        <f>IF($B78="","",'05_PRODUCTOS'!$C78)</f>
        <v/>
      </c>
      <c r="D78" s="43" t="str">
        <f>IF($B78="","",'05_PRODUCTOS'!$D78)</f>
        <v/>
      </c>
      <c r="E78" s="40" t="str">
        <f>IF($B78="","",'05_PRODUCTOS'!$J78&amp;"")</f>
        <v/>
      </c>
      <c r="F78" s="40" t="str">
        <f>IF($B78="","",'05_PRODUCTOS'!$E78)</f>
        <v/>
      </c>
      <c r="G78" s="40" t="str">
        <f>IF($B78="","",IF('05_PRODUCTOS'!$K78="NO","NO","SI"))</f>
        <v/>
      </c>
      <c r="H78" s="49" t="str">
        <f>IF($B78="","",N('15_STOCK'!$J78))</f>
        <v/>
      </c>
      <c r="I78" s="39"/>
      <c r="J78" s="48" t="str">
        <f>IF(OR(tblConteo[[#This Row],[SKU]]="",tblConteo[[#This Row],[Conteo]]=""),"",tblConteo[[#This Row],[Conteo]]-tblConteo[[#This Row],[StockSistema]])</f>
        <v/>
      </c>
      <c r="K78" s="52" t="str">
        <f>IF($J78="","",$J78*N('15_STOCK'!$O78))</f>
        <v/>
      </c>
      <c r="L78" s="41" t="str">
        <f>IF(tblConteo[[#This Row],[Diferencia]]="","",IF(tblConteo[[#This Row],[Diferencia]]=0,"✔ Cuadra",IF(tblConteo[[#This Row],[Diferencia]]&gt;0,"▲ Sobrante","▼ Faltante")))</f>
        <v/>
      </c>
      <c r="M7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79" spans="2:13" x14ac:dyDescent="0.25">
      <c r="B79" s="40" t="str">
        <f>IF('05_PRODUCTOS'!$B79="","",'05_PRODUCTOS'!$B79)</f>
        <v/>
      </c>
      <c r="C79" s="43" t="str">
        <f>IF($B79="","",'05_PRODUCTOS'!$C79)</f>
        <v/>
      </c>
      <c r="D79" s="43" t="str">
        <f>IF($B79="","",'05_PRODUCTOS'!$D79)</f>
        <v/>
      </c>
      <c r="E79" s="40" t="str">
        <f>IF($B79="","",'05_PRODUCTOS'!$J79&amp;"")</f>
        <v/>
      </c>
      <c r="F79" s="40" t="str">
        <f>IF($B79="","",'05_PRODUCTOS'!$E79)</f>
        <v/>
      </c>
      <c r="G79" s="40" t="str">
        <f>IF($B79="","",IF('05_PRODUCTOS'!$K79="NO","NO","SI"))</f>
        <v/>
      </c>
      <c r="H79" s="49" t="str">
        <f>IF($B79="","",N('15_STOCK'!$J79))</f>
        <v/>
      </c>
      <c r="I79" s="39"/>
      <c r="J79" s="48" t="str">
        <f>IF(OR(tblConteo[[#This Row],[SKU]]="",tblConteo[[#This Row],[Conteo]]=""),"",tblConteo[[#This Row],[Conteo]]-tblConteo[[#This Row],[StockSistema]])</f>
        <v/>
      </c>
      <c r="K79" s="52" t="str">
        <f>IF($J79="","",$J79*N('15_STOCK'!$O79))</f>
        <v/>
      </c>
      <c r="L79" s="41" t="str">
        <f>IF(tblConteo[[#This Row],[Diferencia]]="","",IF(tblConteo[[#This Row],[Diferencia]]=0,"✔ Cuadra",IF(tblConteo[[#This Row],[Diferencia]]&gt;0,"▲ Sobrante","▼ Faltante")))</f>
        <v/>
      </c>
      <c r="M7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0" spans="2:13" x14ac:dyDescent="0.25">
      <c r="B80" s="40" t="str">
        <f>IF('05_PRODUCTOS'!$B80="","",'05_PRODUCTOS'!$B80)</f>
        <v/>
      </c>
      <c r="C80" s="43" t="str">
        <f>IF($B80="","",'05_PRODUCTOS'!$C80)</f>
        <v/>
      </c>
      <c r="D80" s="43" t="str">
        <f>IF($B80="","",'05_PRODUCTOS'!$D80)</f>
        <v/>
      </c>
      <c r="E80" s="40" t="str">
        <f>IF($B80="","",'05_PRODUCTOS'!$J80&amp;"")</f>
        <v/>
      </c>
      <c r="F80" s="40" t="str">
        <f>IF($B80="","",'05_PRODUCTOS'!$E80)</f>
        <v/>
      </c>
      <c r="G80" s="40" t="str">
        <f>IF($B80="","",IF('05_PRODUCTOS'!$K80="NO","NO","SI"))</f>
        <v/>
      </c>
      <c r="H80" s="49" t="str">
        <f>IF($B80="","",N('15_STOCK'!$J80))</f>
        <v/>
      </c>
      <c r="I80" s="39"/>
      <c r="J80" s="48" t="str">
        <f>IF(OR(tblConteo[[#This Row],[SKU]]="",tblConteo[[#This Row],[Conteo]]=""),"",tblConteo[[#This Row],[Conteo]]-tblConteo[[#This Row],[StockSistema]])</f>
        <v/>
      </c>
      <c r="K80" s="52" t="str">
        <f>IF($J80="","",$J80*N('15_STOCK'!$O80))</f>
        <v/>
      </c>
      <c r="L80" s="41" t="str">
        <f>IF(tblConteo[[#This Row],[Diferencia]]="","",IF(tblConteo[[#This Row],[Diferencia]]=0,"✔ Cuadra",IF(tblConteo[[#This Row],[Diferencia]]&gt;0,"▲ Sobrante","▼ Faltante")))</f>
        <v/>
      </c>
      <c r="M8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1" spans="2:13" x14ac:dyDescent="0.25">
      <c r="B81" s="40" t="str">
        <f>IF('05_PRODUCTOS'!$B81="","",'05_PRODUCTOS'!$B81)</f>
        <v/>
      </c>
      <c r="C81" s="43" t="str">
        <f>IF($B81="","",'05_PRODUCTOS'!$C81)</f>
        <v/>
      </c>
      <c r="D81" s="43" t="str">
        <f>IF($B81="","",'05_PRODUCTOS'!$D81)</f>
        <v/>
      </c>
      <c r="E81" s="40" t="str">
        <f>IF($B81="","",'05_PRODUCTOS'!$J81&amp;"")</f>
        <v/>
      </c>
      <c r="F81" s="40" t="str">
        <f>IF($B81="","",'05_PRODUCTOS'!$E81)</f>
        <v/>
      </c>
      <c r="G81" s="40" t="str">
        <f>IF($B81="","",IF('05_PRODUCTOS'!$K81="NO","NO","SI"))</f>
        <v/>
      </c>
      <c r="H81" s="49" t="str">
        <f>IF($B81="","",N('15_STOCK'!$J81))</f>
        <v/>
      </c>
      <c r="I81" s="39"/>
      <c r="J81" s="48" t="str">
        <f>IF(OR(tblConteo[[#This Row],[SKU]]="",tblConteo[[#This Row],[Conteo]]=""),"",tblConteo[[#This Row],[Conteo]]-tblConteo[[#This Row],[StockSistema]])</f>
        <v/>
      </c>
      <c r="K81" s="52" t="str">
        <f>IF($J81="","",$J81*N('15_STOCK'!$O81))</f>
        <v/>
      </c>
      <c r="L81" s="41" t="str">
        <f>IF(tblConteo[[#This Row],[Diferencia]]="","",IF(tblConteo[[#This Row],[Diferencia]]=0,"✔ Cuadra",IF(tblConteo[[#This Row],[Diferencia]]&gt;0,"▲ Sobrante","▼ Faltante")))</f>
        <v/>
      </c>
      <c r="M8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2" spans="2:13" x14ac:dyDescent="0.25">
      <c r="B82" s="40" t="str">
        <f>IF('05_PRODUCTOS'!$B82="","",'05_PRODUCTOS'!$B82)</f>
        <v/>
      </c>
      <c r="C82" s="43" t="str">
        <f>IF($B82="","",'05_PRODUCTOS'!$C82)</f>
        <v/>
      </c>
      <c r="D82" s="43" t="str">
        <f>IF($B82="","",'05_PRODUCTOS'!$D82)</f>
        <v/>
      </c>
      <c r="E82" s="40" t="str">
        <f>IF($B82="","",'05_PRODUCTOS'!$J82&amp;"")</f>
        <v/>
      </c>
      <c r="F82" s="40" t="str">
        <f>IF($B82="","",'05_PRODUCTOS'!$E82)</f>
        <v/>
      </c>
      <c r="G82" s="40" t="str">
        <f>IF($B82="","",IF('05_PRODUCTOS'!$K82="NO","NO","SI"))</f>
        <v/>
      </c>
      <c r="H82" s="49" t="str">
        <f>IF($B82="","",N('15_STOCK'!$J82))</f>
        <v/>
      </c>
      <c r="I82" s="39"/>
      <c r="J82" s="48" t="str">
        <f>IF(OR(tblConteo[[#This Row],[SKU]]="",tblConteo[[#This Row],[Conteo]]=""),"",tblConteo[[#This Row],[Conteo]]-tblConteo[[#This Row],[StockSistema]])</f>
        <v/>
      </c>
      <c r="K82" s="52" t="str">
        <f>IF($J82="","",$J82*N('15_STOCK'!$O82))</f>
        <v/>
      </c>
      <c r="L82" s="41" t="str">
        <f>IF(tblConteo[[#This Row],[Diferencia]]="","",IF(tblConteo[[#This Row],[Diferencia]]=0,"✔ Cuadra",IF(tblConteo[[#This Row],[Diferencia]]&gt;0,"▲ Sobrante","▼ Faltante")))</f>
        <v/>
      </c>
      <c r="M8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3" spans="2:13" x14ac:dyDescent="0.25">
      <c r="B83" s="40" t="str">
        <f>IF('05_PRODUCTOS'!$B83="","",'05_PRODUCTOS'!$B83)</f>
        <v/>
      </c>
      <c r="C83" s="43" t="str">
        <f>IF($B83="","",'05_PRODUCTOS'!$C83)</f>
        <v/>
      </c>
      <c r="D83" s="43" t="str">
        <f>IF($B83="","",'05_PRODUCTOS'!$D83)</f>
        <v/>
      </c>
      <c r="E83" s="40" t="str">
        <f>IF($B83="","",'05_PRODUCTOS'!$J83&amp;"")</f>
        <v/>
      </c>
      <c r="F83" s="40" t="str">
        <f>IF($B83="","",'05_PRODUCTOS'!$E83)</f>
        <v/>
      </c>
      <c r="G83" s="40" t="str">
        <f>IF($B83="","",IF('05_PRODUCTOS'!$K83="NO","NO","SI"))</f>
        <v/>
      </c>
      <c r="H83" s="49" t="str">
        <f>IF($B83="","",N('15_STOCK'!$J83))</f>
        <v/>
      </c>
      <c r="I83" s="39"/>
      <c r="J83" s="48" t="str">
        <f>IF(OR(tblConteo[[#This Row],[SKU]]="",tblConteo[[#This Row],[Conteo]]=""),"",tblConteo[[#This Row],[Conteo]]-tblConteo[[#This Row],[StockSistema]])</f>
        <v/>
      </c>
      <c r="K83" s="52" t="str">
        <f>IF($J83="","",$J83*N('15_STOCK'!$O83))</f>
        <v/>
      </c>
      <c r="L83" s="41" t="str">
        <f>IF(tblConteo[[#This Row],[Diferencia]]="","",IF(tblConteo[[#This Row],[Diferencia]]=0,"✔ Cuadra",IF(tblConteo[[#This Row],[Diferencia]]&gt;0,"▲ Sobrante","▼ Faltante")))</f>
        <v/>
      </c>
      <c r="M8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4" spans="2:13" x14ac:dyDescent="0.25">
      <c r="B84" s="40" t="str">
        <f>IF('05_PRODUCTOS'!$B84="","",'05_PRODUCTOS'!$B84)</f>
        <v/>
      </c>
      <c r="C84" s="43" t="str">
        <f>IF($B84="","",'05_PRODUCTOS'!$C84)</f>
        <v/>
      </c>
      <c r="D84" s="43" t="str">
        <f>IF($B84="","",'05_PRODUCTOS'!$D84)</f>
        <v/>
      </c>
      <c r="E84" s="40" t="str">
        <f>IF($B84="","",'05_PRODUCTOS'!$J84&amp;"")</f>
        <v/>
      </c>
      <c r="F84" s="40" t="str">
        <f>IF($B84="","",'05_PRODUCTOS'!$E84)</f>
        <v/>
      </c>
      <c r="G84" s="40" t="str">
        <f>IF($B84="","",IF('05_PRODUCTOS'!$K84="NO","NO","SI"))</f>
        <v/>
      </c>
      <c r="H84" s="49" t="str">
        <f>IF($B84="","",N('15_STOCK'!$J84))</f>
        <v/>
      </c>
      <c r="I84" s="39"/>
      <c r="J84" s="48" t="str">
        <f>IF(OR(tblConteo[[#This Row],[SKU]]="",tblConteo[[#This Row],[Conteo]]=""),"",tblConteo[[#This Row],[Conteo]]-tblConteo[[#This Row],[StockSistema]])</f>
        <v/>
      </c>
      <c r="K84" s="52" t="str">
        <f>IF($J84="","",$J84*N('15_STOCK'!$O84))</f>
        <v/>
      </c>
      <c r="L84" s="41" t="str">
        <f>IF(tblConteo[[#This Row],[Diferencia]]="","",IF(tblConteo[[#This Row],[Diferencia]]=0,"✔ Cuadra",IF(tblConteo[[#This Row],[Diferencia]]&gt;0,"▲ Sobrante","▼ Faltante")))</f>
        <v/>
      </c>
      <c r="M8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5" spans="2:13" x14ac:dyDescent="0.25">
      <c r="B85" s="40" t="str">
        <f>IF('05_PRODUCTOS'!$B85="","",'05_PRODUCTOS'!$B85)</f>
        <v/>
      </c>
      <c r="C85" s="43" t="str">
        <f>IF($B85="","",'05_PRODUCTOS'!$C85)</f>
        <v/>
      </c>
      <c r="D85" s="43" t="str">
        <f>IF($B85="","",'05_PRODUCTOS'!$D85)</f>
        <v/>
      </c>
      <c r="E85" s="40" t="str">
        <f>IF($B85="","",'05_PRODUCTOS'!$J85&amp;"")</f>
        <v/>
      </c>
      <c r="F85" s="40" t="str">
        <f>IF($B85="","",'05_PRODUCTOS'!$E85)</f>
        <v/>
      </c>
      <c r="G85" s="40" t="str">
        <f>IF($B85="","",IF('05_PRODUCTOS'!$K85="NO","NO","SI"))</f>
        <v/>
      </c>
      <c r="H85" s="49" t="str">
        <f>IF($B85="","",N('15_STOCK'!$J85))</f>
        <v/>
      </c>
      <c r="I85" s="39"/>
      <c r="J85" s="48" t="str">
        <f>IF(OR(tblConteo[[#This Row],[SKU]]="",tblConteo[[#This Row],[Conteo]]=""),"",tblConteo[[#This Row],[Conteo]]-tblConteo[[#This Row],[StockSistema]])</f>
        <v/>
      </c>
      <c r="K85" s="52" t="str">
        <f>IF($J85="","",$J85*N('15_STOCK'!$O85))</f>
        <v/>
      </c>
      <c r="L85" s="41" t="str">
        <f>IF(tblConteo[[#This Row],[Diferencia]]="","",IF(tblConteo[[#This Row],[Diferencia]]=0,"✔ Cuadra",IF(tblConteo[[#This Row],[Diferencia]]&gt;0,"▲ Sobrante","▼ Faltante")))</f>
        <v/>
      </c>
      <c r="M8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6" spans="2:13" x14ac:dyDescent="0.25">
      <c r="B86" s="40" t="str">
        <f>IF('05_PRODUCTOS'!$B86="","",'05_PRODUCTOS'!$B86)</f>
        <v/>
      </c>
      <c r="C86" s="43" t="str">
        <f>IF($B86="","",'05_PRODUCTOS'!$C86)</f>
        <v/>
      </c>
      <c r="D86" s="43" t="str">
        <f>IF($B86="","",'05_PRODUCTOS'!$D86)</f>
        <v/>
      </c>
      <c r="E86" s="40" t="str">
        <f>IF($B86="","",'05_PRODUCTOS'!$J86&amp;"")</f>
        <v/>
      </c>
      <c r="F86" s="40" t="str">
        <f>IF($B86="","",'05_PRODUCTOS'!$E86)</f>
        <v/>
      </c>
      <c r="G86" s="40" t="str">
        <f>IF($B86="","",IF('05_PRODUCTOS'!$K86="NO","NO","SI"))</f>
        <v/>
      </c>
      <c r="H86" s="49" t="str">
        <f>IF($B86="","",N('15_STOCK'!$J86))</f>
        <v/>
      </c>
      <c r="I86" s="39"/>
      <c r="J86" s="48" t="str">
        <f>IF(OR(tblConteo[[#This Row],[SKU]]="",tblConteo[[#This Row],[Conteo]]=""),"",tblConteo[[#This Row],[Conteo]]-tblConteo[[#This Row],[StockSistema]])</f>
        <v/>
      </c>
      <c r="K86" s="52" t="str">
        <f>IF($J86="","",$J86*N('15_STOCK'!$O86))</f>
        <v/>
      </c>
      <c r="L86" s="41" t="str">
        <f>IF(tblConteo[[#This Row],[Diferencia]]="","",IF(tblConteo[[#This Row],[Diferencia]]=0,"✔ Cuadra",IF(tblConteo[[#This Row],[Diferencia]]&gt;0,"▲ Sobrante","▼ Faltante")))</f>
        <v/>
      </c>
      <c r="M8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7" spans="2:13" x14ac:dyDescent="0.25">
      <c r="B87" s="40" t="str">
        <f>IF('05_PRODUCTOS'!$B87="","",'05_PRODUCTOS'!$B87)</f>
        <v/>
      </c>
      <c r="C87" s="43" t="str">
        <f>IF($B87="","",'05_PRODUCTOS'!$C87)</f>
        <v/>
      </c>
      <c r="D87" s="43" t="str">
        <f>IF($B87="","",'05_PRODUCTOS'!$D87)</f>
        <v/>
      </c>
      <c r="E87" s="40" t="str">
        <f>IF($B87="","",'05_PRODUCTOS'!$J87&amp;"")</f>
        <v/>
      </c>
      <c r="F87" s="40" t="str">
        <f>IF($B87="","",'05_PRODUCTOS'!$E87)</f>
        <v/>
      </c>
      <c r="G87" s="40" t="str">
        <f>IF($B87="","",IF('05_PRODUCTOS'!$K87="NO","NO","SI"))</f>
        <v/>
      </c>
      <c r="H87" s="49" t="str">
        <f>IF($B87="","",N('15_STOCK'!$J87))</f>
        <v/>
      </c>
      <c r="I87" s="39"/>
      <c r="J87" s="48" t="str">
        <f>IF(OR(tblConteo[[#This Row],[SKU]]="",tblConteo[[#This Row],[Conteo]]=""),"",tblConteo[[#This Row],[Conteo]]-tblConteo[[#This Row],[StockSistema]])</f>
        <v/>
      </c>
      <c r="K87" s="52" t="str">
        <f>IF($J87="","",$J87*N('15_STOCK'!$O87))</f>
        <v/>
      </c>
      <c r="L87" s="41" t="str">
        <f>IF(tblConteo[[#This Row],[Diferencia]]="","",IF(tblConteo[[#This Row],[Diferencia]]=0,"✔ Cuadra",IF(tblConteo[[#This Row],[Diferencia]]&gt;0,"▲ Sobrante","▼ Faltante")))</f>
        <v/>
      </c>
      <c r="M8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8" spans="2:13" x14ac:dyDescent="0.25">
      <c r="B88" s="40" t="str">
        <f>IF('05_PRODUCTOS'!$B88="","",'05_PRODUCTOS'!$B88)</f>
        <v/>
      </c>
      <c r="C88" s="43" t="str">
        <f>IF($B88="","",'05_PRODUCTOS'!$C88)</f>
        <v/>
      </c>
      <c r="D88" s="43" t="str">
        <f>IF($B88="","",'05_PRODUCTOS'!$D88)</f>
        <v/>
      </c>
      <c r="E88" s="40" t="str">
        <f>IF($B88="","",'05_PRODUCTOS'!$J88&amp;"")</f>
        <v/>
      </c>
      <c r="F88" s="40" t="str">
        <f>IF($B88="","",'05_PRODUCTOS'!$E88)</f>
        <v/>
      </c>
      <c r="G88" s="40" t="str">
        <f>IF($B88="","",IF('05_PRODUCTOS'!$K88="NO","NO","SI"))</f>
        <v/>
      </c>
      <c r="H88" s="49" t="str">
        <f>IF($B88="","",N('15_STOCK'!$J88))</f>
        <v/>
      </c>
      <c r="I88" s="39"/>
      <c r="J88" s="48" t="str">
        <f>IF(OR(tblConteo[[#This Row],[SKU]]="",tblConteo[[#This Row],[Conteo]]=""),"",tblConteo[[#This Row],[Conteo]]-tblConteo[[#This Row],[StockSistema]])</f>
        <v/>
      </c>
      <c r="K88" s="52" t="str">
        <f>IF($J88="","",$J88*N('15_STOCK'!$O88))</f>
        <v/>
      </c>
      <c r="L88" s="41" t="str">
        <f>IF(tblConteo[[#This Row],[Diferencia]]="","",IF(tblConteo[[#This Row],[Diferencia]]=0,"✔ Cuadra",IF(tblConteo[[#This Row],[Diferencia]]&gt;0,"▲ Sobrante","▼ Faltante")))</f>
        <v/>
      </c>
      <c r="M8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89" spans="2:13" x14ac:dyDescent="0.25">
      <c r="B89" s="40" t="str">
        <f>IF('05_PRODUCTOS'!$B89="","",'05_PRODUCTOS'!$B89)</f>
        <v/>
      </c>
      <c r="C89" s="43" t="str">
        <f>IF($B89="","",'05_PRODUCTOS'!$C89)</f>
        <v/>
      </c>
      <c r="D89" s="43" t="str">
        <f>IF($B89="","",'05_PRODUCTOS'!$D89)</f>
        <v/>
      </c>
      <c r="E89" s="40" t="str">
        <f>IF($B89="","",'05_PRODUCTOS'!$J89&amp;"")</f>
        <v/>
      </c>
      <c r="F89" s="40" t="str">
        <f>IF($B89="","",'05_PRODUCTOS'!$E89)</f>
        <v/>
      </c>
      <c r="G89" s="40" t="str">
        <f>IF($B89="","",IF('05_PRODUCTOS'!$K89="NO","NO","SI"))</f>
        <v/>
      </c>
      <c r="H89" s="49" t="str">
        <f>IF($B89="","",N('15_STOCK'!$J89))</f>
        <v/>
      </c>
      <c r="I89" s="39"/>
      <c r="J89" s="48" t="str">
        <f>IF(OR(tblConteo[[#This Row],[SKU]]="",tblConteo[[#This Row],[Conteo]]=""),"",tblConteo[[#This Row],[Conteo]]-tblConteo[[#This Row],[StockSistema]])</f>
        <v/>
      </c>
      <c r="K89" s="52" t="str">
        <f>IF($J89="","",$J89*N('15_STOCK'!$O89))</f>
        <v/>
      </c>
      <c r="L89" s="41" t="str">
        <f>IF(tblConteo[[#This Row],[Diferencia]]="","",IF(tblConteo[[#This Row],[Diferencia]]=0,"✔ Cuadra",IF(tblConteo[[#This Row],[Diferencia]]&gt;0,"▲ Sobrante","▼ Faltante")))</f>
        <v/>
      </c>
      <c r="M8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0" spans="2:13" x14ac:dyDescent="0.25">
      <c r="B90" s="40" t="str">
        <f>IF('05_PRODUCTOS'!$B90="","",'05_PRODUCTOS'!$B90)</f>
        <v/>
      </c>
      <c r="C90" s="43" t="str">
        <f>IF($B90="","",'05_PRODUCTOS'!$C90)</f>
        <v/>
      </c>
      <c r="D90" s="43" t="str">
        <f>IF($B90="","",'05_PRODUCTOS'!$D90)</f>
        <v/>
      </c>
      <c r="E90" s="40" t="str">
        <f>IF($B90="","",'05_PRODUCTOS'!$J90&amp;"")</f>
        <v/>
      </c>
      <c r="F90" s="40" t="str">
        <f>IF($B90="","",'05_PRODUCTOS'!$E90)</f>
        <v/>
      </c>
      <c r="G90" s="40" t="str">
        <f>IF($B90="","",IF('05_PRODUCTOS'!$K90="NO","NO","SI"))</f>
        <v/>
      </c>
      <c r="H90" s="49" t="str">
        <f>IF($B90="","",N('15_STOCK'!$J90))</f>
        <v/>
      </c>
      <c r="I90" s="39"/>
      <c r="J90" s="48" t="str">
        <f>IF(OR(tblConteo[[#This Row],[SKU]]="",tblConteo[[#This Row],[Conteo]]=""),"",tblConteo[[#This Row],[Conteo]]-tblConteo[[#This Row],[StockSistema]])</f>
        <v/>
      </c>
      <c r="K90" s="52" t="str">
        <f>IF($J90="","",$J90*N('15_STOCK'!$O90))</f>
        <v/>
      </c>
      <c r="L90" s="41" t="str">
        <f>IF(tblConteo[[#This Row],[Diferencia]]="","",IF(tblConteo[[#This Row],[Diferencia]]=0,"✔ Cuadra",IF(tblConteo[[#This Row],[Diferencia]]&gt;0,"▲ Sobrante","▼ Faltante")))</f>
        <v/>
      </c>
      <c r="M9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1" spans="2:13" x14ac:dyDescent="0.25">
      <c r="B91" s="40" t="str">
        <f>IF('05_PRODUCTOS'!$B91="","",'05_PRODUCTOS'!$B91)</f>
        <v/>
      </c>
      <c r="C91" s="43" t="str">
        <f>IF($B91="","",'05_PRODUCTOS'!$C91)</f>
        <v/>
      </c>
      <c r="D91" s="43" t="str">
        <f>IF($B91="","",'05_PRODUCTOS'!$D91)</f>
        <v/>
      </c>
      <c r="E91" s="40" t="str">
        <f>IF($B91="","",'05_PRODUCTOS'!$J91&amp;"")</f>
        <v/>
      </c>
      <c r="F91" s="40" t="str">
        <f>IF($B91="","",'05_PRODUCTOS'!$E91)</f>
        <v/>
      </c>
      <c r="G91" s="40" t="str">
        <f>IF($B91="","",IF('05_PRODUCTOS'!$K91="NO","NO","SI"))</f>
        <v/>
      </c>
      <c r="H91" s="49" t="str">
        <f>IF($B91="","",N('15_STOCK'!$J91))</f>
        <v/>
      </c>
      <c r="I91" s="39"/>
      <c r="J91" s="48" t="str">
        <f>IF(OR(tblConteo[[#This Row],[SKU]]="",tblConteo[[#This Row],[Conteo]]=""),"",tblConteo[[#This Row],[Conteo]]-tblConteo[[#This Row],[StockSistema]])</f>
        <v/>
      </c>
      <c r="K91" s="52" t="str">
        <f>IF($J91="","",$J91*N('15_STOCK'!$O91))</f>
        <v/>
      </c>
      <c r="L91" s="41" t="str">
        <f>IF(tblConteo[[#This Row],[Diferencia]]="","",IF(tblConteo[[#This Row],[Diferencia]]=0,"✔ Cuadra",IF(tblConteo[[#This Row],[Diferencia]]&gt;0,"▲ Sobrante","▼ Faltante")))</f>
        <v/>
      </c>
      <c r="M9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2" spans="2:13" x14ac:dyDescent="0.25">
      <c r="B92" s="40" t="str">
        <f>IF('05_PRODUCTOS'!$B92="","",'05_PRODUCTOS'!$B92)</f>
        <v/>
      </c>
      <c r="C92" s="43" t="str">
        <f>IF($B92="","",'05_PRODUCTOS'!$C92)</f>
        <v/>
      </c>
      <c r="D92" s="43" t="str">
        <f>IF($B92="","",'05_PRODUCTOS'!$D92)</f>
        <v/>
      </c>
      <c r="E92" s="40" t="str">
        <f>IF($B92="","",'05_PRODUCTOS'!$J92&amp;"")</f>
        <v/>
      </c>
      <c r="F92" s="40" t="str">
        <f>IF($B92="","",'05_PRODUCTOS'!$E92)</f>
        <v/>
      </c>
      <c r="G92" s="40" t="str">
        <f>IF($B92="","",IF('05_PRODUCTOS'!$K92="NO","NO","SI"))</f>
        <v/>
      </c>
      <c r="H92" s="49" t="str">
        <f>IF($B92="","",N('15_STOCK'!$J92))</f>
        <v/>
      </c>
      <c r="I92" s="39"/>
      <c r="J92" s="48" t="str">
        <f>IF(OR(tblConteo[[#This Row],[SKU]]="",tblConteo[[#This Row],[Conteo]]=""),"",tblConteo[[#This Row],[Conteo]]-tblConteo[[#This Row],[StockSistema]])</f>
        <v/>
      </c>
      <c r="K92" s="52" t="str">
        <f>IF($J92="","",$J92*N('15_STOCK'!$O92))</f>
        <v/>
      </c>
      <c r="L92" s="41" t="str">
        <f>IF(tblConteo[[#This Row],[Diferencia]]="","",IF(tblConteo[[#This Row],[Diferencia]]=0,"✔ Cuadra",IF(tblConteo[[#This Row],[Diferencia]]&gt;0,"▲ Sobrante","▼ Faltante")))</f>
        <v/>
      </c>
      <c r="M9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3" spans="2:13" x14ac:dyDescent="0.25">
      <c r="B93" s="40" t="str">
        <f>IF('05_PRODUCTOS'!$B93="","",'05_PRODUCTOS'!$B93)</f>
        <v/>
      </c>
      <c r="C93" s="43" t="str">
        <f>IF($B93="","",'05_PRODUCTOS'!$C93)</f>
        <v/>
      </c>
      <c r="D93" s="43" t="str">
        <f>IF($B93="","",'05_PRODUCTOS'!$D93)</f>
        <v/>
      </c>
      <c r="E93" s="40" t="str">
        <f>IF($B93="","",'05_PRODUCTOS'!$J93&amp;"")</f>
        <v/>
      </c>
      <c r="F93" s="40" t="str">
        <f>IF($B93="","",'05_PRODUCTOS'!$E93)</f>
        <v/>
      </c>
      <c r="G93" s="40" t="str">
        <f>IF($B93="","",IF('05_PRODUCTOS'!$K93="NO","NO","SI"))</f>
        <v/>
      </c>
      <c r="H93" s="49" t="str">
        <f>IF($B93="","",N('15_STOCK'!$J93))</f>
        <v/>
      </c>
      <c r="I93" s="39"/>
      <c r="J93" s="48" t="str">
        <f>IF(OR(tblConteo[[#This Row],[SKU]]="",tblConteo[[#This Row],[Conteo]]=""),"",tblConteo[[#This Row],[Conteo]]-tblConteo[[#This Row],[StockSistema]])</f>
        <v/>
      </c>
      <c r="K93" s="52" t="str">
        <f>IF($J93="","",$J93*N('15_STOCK'!$O93))</f>
        <v/>
      </c>
      <c r="L93" s="41" t="str">
        <f>IF(tblConteo[[#This Row],[Diferencia]]="","",IF(tblConteo[[#This Row],[Diferencia]]=0,"✔ Cuadra",IF(tblConteo[[#This Row],[Diferencia]]&gt;0,"▲ Sobrante","▼ Faltante")))</f>
        <v/>
      </c>
      <c r="M9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4" spans="2:13" x14ac:dyDescent="0.25">
      <c r="B94" s="40" t="str">
        <f>IF('05_PRODUCTOS'!$B94="","",'05_PRODUCTOS'!$B94)</f>
        <v/>
      </c>
      <c r="C94" s="43" t="str">
        <f>IF($B94="","",'05_PRODUCTOS'!$C94)</f>
        <v/>
      </c>
      <c r="D94" s="43" t="str">
        <f>IF($B94="","",'05_PRODUCTOS'!$D94)</f>
        <v/>
      </c>
      <c r="E94" s="40" t="str">
        <f>IF($B94="","",'05_PRODUCTOS'!$J94&amp;"")</f>
        <v/>
      </c>
      <c r="F94" s="40" t="str">
        <f>IF($B94="","",'05_PRODUCTOS'!$E94)</f>
        <v/>
      </c>
      <c r="G94" s="40" t="str">
        <f>IF($B94="","",IF('05_PRODUCTOS'!$K94="NO","NO","SI"))</f>
        <v/>
      </c>
      <c r="H94" s="49" t="str">
        <f>IF($B94="","",N('15_STOCK'!$J94))</f>
        <v/>
      </c>
      <c r="I94" s="39"/>
      <c r="J94" s="48" t="str">
        <f>IF(OR(tblConteo[[#This Row],[SKU]]="",tblConteo[[#This Row],[Conteo]]=""),"",tblConteo[[#This Row],[Conteo]]-tblConteo[[#This Row],[StockSistema]])</f>
        <v/>
      </c>
      <c r="K94" s="52" t="str">
        <f>IF($J94="","",$J94*N('15_STOCK'!$O94))</f>
        <v/>
      </c>
      <c r="L94" s="41" t="str">
        <f>IF(tblConteo[[#This Row],[Diferencia]]="","",IF(tblConteo[[#This Row],[Diferencia]]=0,"✔ Cuadra",IF(tblConteo[[#This Row],[Diferencia]]&gt;0,"▲ Sobrante","▼ Faltante")))</f>
        <v/>
      </c>
      <c r="M9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5" spans="2:13" x14ac:dyDescent="0.25">
      <c r="B95" s="40" t="str">
        <f>IF('05_PRODUCTOS'!$B95="","",'05_PRODUCTOS'!$B95)</f>
        <v/>
      </c>
      <c r="C95" s="43" t="str">
        <f>IF($B95="","",'05_PRODUCTOS'!$C95)</f>
        <v/>
      </c>
      <c r="D95" s="43" t="str">
        <f>IF($B95="","",'05_PRODUCTOS'!$D95)</f>
        <v/>
      </c>
      <c r="E95" s="40" t="str">
        <f>IF($B95="","",'05_PRODUCTOS'!$J95&amp;"")</f>
        <v/>
      </c>
      <c r="F95" s="40" t="str">
        <f>IF($B95="","",'05_PRODUCTOS'!$E95)</f>
        <v/>
      </c>
      <c r="G95" s="40" t="str">
        <f>IF($B95="","",IF('05_PRODUCTOS'!$K95="NO","NO","SI"))</f>
        <v/>
      </c>
      <c r="H95" s="49" t="str">
        <f>IF($B95="","",N('15_STOCK'!$J95))</f>
        <v/>
      </c>
      <c r="I95" s="39"/>
      <c r="J95" s="48" t="str">
        <f>IF(OR(tblConteo[[#This Row],[SKU]]="",tblConteo[[#This Row],[Conteo]]=""),"",tblConteo[[#This Row],[Conteo]]-tblConteo[[#This Row],[StockSistema]])</f>
        <v/>
      </c>
      <c r="K95" s="52" t="str">
        <f>IF($J95="","",$J95*N('15_STOCK'!$O95))</f>
        <v/>
      </c>
      <c r="L95" s="41" t="str">
        <f>IF(tblConteo[[#This Row],[Diferencia]]="","",IF(tblConteo[[#This Row],[Diferencia]]=0,"✔ Cuadra",IF(tblConteo[[#This Row],[Diferencia]]&gt;0,"▲ Sobrante","▼ Faltante")))</f>
        <v/>
      </c>
      <c r="M9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6" spans="2:13" x14ac:dyDescent="0.25">
      <c r="B96" s="40" t="str">
        <f>IF('05_PRODUCTOS'!$B96="","",'05_PRODUCTOS'!$B96)</f>
        <v/>
      </c>
      <c r="C96" s="43" t="str">
        <f>IF($B96="","",'05_PRODUCTOS'!$C96)</f>
        <v/>
      </c>
      <c r="D96" s="43" t="str">
        <f>IF($B96="","",'05_PRODUCTOS'!$D96)</f>
        <v/>
      </c>
      <c r="E96" s="40" t="str">
        <f>IF($B96="","",'05_PRODUCTOS'!$J96&amp;"")</f>
        <v/>
      </c>
      <c r="F96" s="40" t="str">
        <f>IF($B96="","",'05_PRODUCTOS'!$E96)</f>
        <v/>
      </c>
      <c r="G96" s="40" t="str">
        <f>IF($B96="","",IF('05_PRODUCTOS'!$K96="NO","NO","SI"))</f>
        <v/>
      </c>
      <c r="H96" s="49" t="str">
        <f>IF($B96="","",N('15_STOCK'!$J96))</f>
        <v/>
      </c>
      <c r="I96" s="39"/>
      <c r="J96" s="48" t="str">
        <f>IF(OR(tblConteo[[#This Row],[SKU]]="",tblConteo[[#This Row],[Conteo]]=""),"",tblConteo[[#This Row],[Conteo]]-tblConteo[[#This Row],[StockSistema]])</f>
        <v/>
      </c>
      <c r="K96" s="52" t="str">
        <f>IF($J96="","",$J96*N('15_STOCK'!$O96))</f>
        <v/>
      </c>
      <c r="L96" s="41" t="str">
        <f>IF(tblConteo[[#This Row],[Diferencia]]="","",IF(tblConteo[[#This Row],[Diferencia]]=0,"✔ Cuadra",IF(tblConteo[[#This Row],[Diferencia]]&gt;0,"▲ Sobrante","▼ Faltante")))</f>
        <v/>
      </c>
      <c r="M9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7" spans="2:13" x14ac:dyDescent="0.25">
      <c r="B97" s="40" t="str">
        <f>IF('05_PRODUCTOS'!$B97="","",'05_PRODUCTOS'!$B97)</f>
        <v/>
      </c>
      <c r="C97" s="43" t="str">
        <f>IF($B97="","",'05_PRODUCTOS'!$C97)</f>
        <v/>
      </c>
      <c r="D97" s="43" t="str">
        <f>IF($B97="","",'05_PRODUCTOS'!$D97)</f>
        <v/>
      </c>
      <c r="E97" s="40" t="str">
        <f>IF($B97="","",'05_PRODUCTOS'!$J97&amp;"")</f>
        <v/>
      </c>
      <c r="F97" s="40" t="str">
        <f>IF($B97="","",'05_PRODUCTOS'!$E97)</f>
        <v/>
      </c>
      <c r="G97" s="40" t="str">
        <f>IF($B97="","",IF('05_PRODUCTOS'!$K97="NO","NO","SI"))</f>
        <v/>
      </c>
      <c r="H97" s="49" t="str">
        <f>IF($B97="","",N('15_STOCK'!$J97))</f>
        <v/>
      </c>
      <c r="I97" s="39"/>
      <c r="J97" s="48" t="str">
        <f>IF(OR(tblConteo[[#This Row],[SKU]]="",tblConteo[[#This Row],[Conteo]]=""),"",tblConteo[[#This Row],[Conteo]]-tblConteo[[#This Row],[StockSistema]])</f>
        <v/>
      </c>
      <c r="K97" s="52" t="str">
        <f>IF($J97="","",$J97*N('15_STOCK'!$O97))</f>
        <v/>
      </c>
      <c r="L97" s="41" t="str">
        <f>IF(tblConteo[[#This Row],[Diferencia]]="","",IF(tblConteo[[#This Row],[Diferencia]]=0,"✔ Cuadra",IF(tblConteo[[#This Row],[Diferencia]]&gt;0,"▲ Sobrante","▼ Faltante")))</f>
        <v/>
      </c>
      <c r="M9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8" spans="2:13" x14ac:dyDescent="0.25">
      <c r="B98" s="40" t="str">
        <f>IF('05_PRODUCTOS'!$B98="","",'05_PRODUCTOS'!$B98)</f>
        <v/>
      </c>
      <c r="C98" s="43" t="str">
        <f>IF($B98="","",'05_PRODUCTOS'!$C98)</f>
        <v/>
      </c>
      <c r="D98" s="43" t="str">
        <f>IF($B98="","",'05_PRODUCTOS'!$D98)</f>
        <v/>
      </c>
      <c r="E98" s="40" t="str">
        <f>IF($B98="","",'05_PRODUCTOS'!$J98&amp;"")</f>
        <v/>
      </c>
      <c r="F98" s="40" t="str">
        <f>IF($B98="","",'05_PRODUCTOS'!$E98)</f>
        <v/>
      </c>
      <c r="G98" s="40" t="str">
        <f>IF($B98="","",IF('05_PRODUCTOS'!$K98="NO","NO","SI"))</f>
        <v/>
      </c>
      <c r="H98" s="49" t="str">
        <f>IF($B98="","",N('15_STOCK'!$J98))</f>
        <v/>
      </c>
      <c r="I98" s="39"/>
      <c r="J98" s="48" t="str">
        <f>IF(OR(tblConteo[[#This Row],[SKU]]="",tblConteo[[#This Row],[Conteo]]=""),"",tblConteo[[#This Row],[Conteo]]-tblConteo[[#This Row],[StockSistema]])</f>
        <v/>
      </c>
      <c r="K98" s="52" t="str">
        <f>IF($J98="","",$J98*N('15_STOCK'!$O98))</f>
        <v/>
      </c>
      <c r="L98" s="41" t="str">
        <f>IF(tblConteo[[#This Row],[Diferencia]]="","",IF(tblConteo[[#This Row],[Diferencia]]=0,"✔ Cuadra",IF(tblConteo[[#This Row],[Diferencia]]&gt;0,"▲ Sobrante","▼ Faltante")))</f>
        <v/>
      </c>
      <c r="M9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99" spans="2:13" x14ac:dyDescent="0.25">
      <c r="B99" s="40" t="str">
        <f>IF('05_PRODUCTOS'!$B99="","",'05_PRODUCTOS'!$B99)</f>
        <v/>
      </c>
      <c r="C99" s="43" t="str">
        <f>IF($B99="","",'05_PRODUCTOS'!$C99)</f>
        <v/>
      </c>
      <c r="D99" s="43" t="str">
        <f>IF($B99="","",'05_PRODUCTOS'!$D99)</f>
        <v/>
      </c>
      <c r="E99" s="40" t="str">
        <f>IF($B99="","",'05_PRODUCTOS'!$J99&amp;"")</f>
        <v/>
      </c>
      <c r="F99" s="40" t="str">
        <f>IF($B99="","",'05_PRODUCTOS'!$E99)</f>
        <v/>
      </c>
      <c r="G99" s="40" t="str">
        <f>IF($B99="","",IF('05_PRODUCTOS'!$K99="NO","NO","SI"))</f>
        <v/>
      </c>
      <c r="H99" s="49" t="str">
        <f>IF($B99="","",N('15_STOCK'!$J99))</f>
        <v/>
      </c>
      <c r="I99" s="39"/>
      <c r="J99" s="48" t="str">
        <f>IF(OR(tblConteo[[#This Row],[SKU]]="",tblConteo[[#This Row],[Conteo]]=""),"",tblConteo[[#This Row],[Conteo]]-tblConteo[[#This Row],[StockSistema]])</f>
        <v/>
      </c>
      <c r="K99" s="52" t="str">
        <f>IF($J99="","",$J99*N('15_STOCK'!$O99))</f>
        <v/>
      </c>
      <c r="L99" s="41" t="str">
        <f>IF(tblConteo[[#This Row],[Diferencia]]="","",IF(tblConteo[[#This Row],[Diferencia]]=0,"✔ Cuadra",IF(tblConteo[[#This Row],[Diferencia]]&gt;0,"▲ Sobrante","▼ Faltante")))</f>
        <v/>
      </c>
      <c r="M9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0" spans="2:13" x14ac:dyDescent="0.25">
      <c r="B100" s="40" t="str">
        <f>IF('05_PRODUCTOS'!$B100="","",'05_PRODUCTOS'!$B100)</f>
        <v/>
      </c>
      <c r="C100" s="43" t="str">
        <f>IF($B100="","",'05_PRODUCTOS'!$C100)</f>
        <v/>
      </c>
      <c r="D100" s="43" t="str">
        <f>IF($B100="","",'05_PRODUCTOS'!$D100)</f>
        <v/>
      </c>
      <c r="E100" s="40" t="str">
        <f>IF($B100="","",'05_PRODUCTOS'!$J100&amp;"")</f>
        <v/>
      </c>
      <c r="F100" s="40" t="str">
        <f>IF($B100="","",'05_PRODUCTOS'!$E100)</f>
        <v/>
      </c>
      <c r="G100" s="40" t="str">
        <f>IF($B100="","",IF('05_PRODUCTOS'!$K100="NO","NO","SI"))</f>
        <v/>
      </c>
      <c r="H100" s="49" t="str">
        <f>IF($B100="","",N('15_STOCK'!$J100))</f>
        <v/>
      </c>
      <c r="I100" s="39"/>
      <c r="J100" s="48" t="str">
        <f>IF(OR(tblConteo[[#This Row],[SKU]]="",tblConteo[[#This Row],[Conteo]]=""),"",tblConteo[[#This Row],[Conteo]]-tblConteo[[#This Row],[StockSistema]])</f>
        <v/>
      </c>
      <c r="K100" s="52" t="str">
        <f>IF($J100="","",$J100*N('15_STOCK'!$O100))</f>
        <v/>
      </c>
      <c r="L100" s="41" t="str">
        <f>IF(tblConteo[[#This Row],[Diferencia]]="","",IF(tblConteo[[#This Row],[Diferencia]]=0,"✔ Cuadra",IF(tblConteo[[#This Row],[Diferencia]]&gt;0,"▲ Sobrante","▼ Faltante")))</f>
        <v/>
      </c>
      <c r="M10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1" spans="2:13" x14ac:dyDescent="0.25">
      <c r="B101" s="40" t="str">
        <f>IF('05_PRODUCTOS'!$B101="","",'05_PRODUCTOS'!$B101)</f>
        <v/>
      </c>
      <c r="C101" s="43" t="str">
        <f>IF($B101="","",'05_PRODUCTOS'!$C101)</f>
        <v/>
      </c>
      <c r="D101" s="43" t="str">
        <f>IF($B101="","",'05_PRODUCTOS'!$D101)</f>
        <v/>
      </c>
      <c r="E101" s="40" t="str">
        <f>IF($B101="","",'05_PRODUCTOS'!$J101&amp;"")</f>
        <v/>
      </c>
      <c r="F101" s="40" t="str">
        <f>IF($B101="","",'05_PRODUCTOS'!$E101)</f>
        <v/>
      </c>
      <c r="G101" s="40" t="str">
        <f>IF($B101="","",IF('05_PRODUCTOS'!$K101="NO","NO","SI"))</f>
        <v/>
      </c>
      <c r="H101" s="49" t="str">
        <f>IF($B101="","",N('15_STOCK'!$J101))</f>
        <v/>
      </c>
      <c r="I101" s="39"/>
      <c r="J101" s="48" t="str">
        <f>IF(OR(tblConteo[[#This Row],[SKU]]="",tblConteo[[#This Row],[Conteo]]=""),"",tblConteo[[#This Row],[Conteo]]-tblConteo[[#This Row],[StockSistema]])</f>
        <v/>
      </c>
      <c r="K101" s="52" t="str">
        <f>IF($J101="","",$J101*N('15_STOCK'!$O101))</f>
        <v/>
      </c>
      <c r="L101" s="41" t="str">
        <f>IF(tblConteo[[#This Row],[Diferencia]]="","",IF(tblConteo[[#This Row],[Diferencia]]=0,"✔ Cuadra",IF(tblConteo[[#This Row],[Diferencia]]&gt;0,"▲ Sobrante","▼ Faltante")))</f>
        <v/>
      </c>
      <c r="M10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2" spans="2:13" x14ac:dyDescent="0.25">
      <c r="B102" s="40" t="str">
        <f>IF('05_PRODUCTOS'!$B102="","",'05_PRODUCTOS'!$B102)</f>
        <v/>
      </c>
      <c r="C102" s="43" t="str">
        <f>IF($B102="","",'05_PRODUCTOS'!$C102)</f>
        <v/>
      </c>
      <c r="D102" s="43" t="str">
        <f>IF($B102="","",'05_PRODUCTOS'!$D102)</f>
        <v/>
      </c>
      <c r="E102" s="40" t="str">
        <f>IF($B102="","",'05_PRODUCTOS'!$J102&amp;"")</f>
        <v/>
      </c>
      <c r="F102" s="40" t="str">
        <f>IF($B102="","",'05_PRODUCTOS'!$E102)</f>
        <v/>
      </c>
      <c r="G102" s="40" t="str">
        <f>IF($B102="","",IF('05_PRODUCTOS'!$K102="NO","NO","SI"))</f>
        <v/>
      </c>
      <c r="H102" s="49" t="str">
        <f>IF($B102="","",N('15_STOCK'!$J102))</f>
        <v/>
      </c>
      <c r="I102" s="39"/>
      <c r="J102" s="48" t="str">
        <f>IF(OR(tblConteo[[#This Row],[SKU]]="",tblConteo[[#This Row],[Conteo]]=""),"",tblConteo[[#This Row],[Conteo]]-tblConteo[[#This Row],[StockSistema]])</f>
        <v/>
      </c>
      <c r="K102" s="52" t="str">
        <f>IF($J102="","",$J102*N('15_STOCK'!$O102))</f>
        <v/>
      </c>
      <c r="L102" s="41" t="str">
        <f>IF(tblConteo[[#This Row],[Diferencia]]="","",IF(tblConteo[[#This Row],[Diferencia]]=0,"✔ Cuadra",IF(tblConteo[[#This Row],[Diferencia]]&gt;0,"▲ Sobrante","▼ Faltante")))</f>
        <v/>
      </c>
      <c r="M10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3" spans="2:13" x14ac:dyDescent="0.25">
      <c r="B103" s="40" t="str">
        <f>IF('05_PRODUCTOS'!$B103="","",'05_PRODUCTOS'!$B103)</f>
        <v/>
      </c>
      <c r="C103" s="43" t="str">
        <f>IF($B103="","",'05_PRODUCTOS'!$C103)</f>
        <v/>
      </c>
      <c r="D103" s="43" t="str">
        <f>IF($B103="","",'05_PRODUCTOS'!$D103)</f>
        <v/>
      </c>
      <c r="E103" s="40" t="str">
        <f>IF($B103="","",'05_PRODUCTOS'!$J103&amp;"")</f>
        <v/>
      </c>
      <c r="F103" s="40" t="str">
        <f>IF($B103="","",'05_PRODUCTOS'!$E103)</f>
        <v/>
      </c>
      <c r="G103" s="40" t="str">
        <f>IF($B103="","",IF('05_PRODUCTOS'!$K103="NO","NO","SI"))</f>
        <v/>
      </c>
      <c r="H103" s="49" t="str">
        <f>IF($B103="","",N('15_STOCK'!$J103))</f>
        <v/>
      </c>
      <c r="I103" s="39"/>
      <c r="J103" s="48" t="str">
        <f>IF(OR(tblConteo[[#This Row],[SKU]]="",tblConteo[[#This Row],[Conteo]]=""),"",tblConteo[[#This Row],[Conteo]]-tblConteo[[#This Row],[StockSistema]])</f>
        <v/>
      </c>
      <c r="K103" s="52" t="str">
        <f>IF($J103="","",$J103*N('15_STOCK'!$O103))</f>
        <v/>
      </c>
      <c r="L103" s="41" t="str">
        <f>IF(tblConteo[[#This Row],[Diferencia]]="","",IF(tblConteo[[#This Row],[Diferencia]]=0,"✔ Cuadra",IF(tblConteo[[#This Row],[Diferencia]]&gt;0,"▲ Sobrante","▼ Faltante")))</f>
        <v/>
      </c>
      <c r="M10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4" spans="2:13" x14ac:dyDescent="0.25">
      <c r="B104" s="40" t="str">
        <f>IF('05_PRODUCTOS'!$B104="","",'05_PRODUCTOS'!$B104)</f>
        <v/>
      </c>
      <c r="C104" s="43" t="str">
        <f>IF($B104="","",'05_PRODUCTOS'!$C104)</f>
        <v/>
      </c>
      <c r="D104" s="43" t="str">
        <f>IF($B104="","",'05_PRODUCTOS'!$D104)</f>
        <v/>
      </c>
      <c r="E104" s="40" t="str">
        <f>IF($B104="","",'05_PRODUCTOS'!$J104&amp;"")</f>
        <v/>
      </c>
      <c r="F104" s="40" t="str">
        <f>IF($B104="","",'05_PRODUCTOS'!$E104)</f>
        <v/>
      </c>
      <c r="G104" s="40" t="str">
        <f>IF($B104="","",IF('05_PRODUCTOS'!$K104="NO","NO","SI"))</f>
        <v/>
      </c>
      <c r="H104" s="49" t="str">
        <f>IF($B104="","",N('15_STOCK'!$J104))</f>
        <v/>
      </c>
      <c r="I104" s="39"/>
      <c r="J104" s="48" t="str">
        <f>IF(OR(tblConteo[[#This Row],[SKU]]="",tblConteo[[#This Row],[Conteo]]=""),"",tblConteo[[#This Row],[Conteo]]-tblConteo[[#This Row],[StockSistema]])</f>
        <v/>
      </c>
      <c r="K104" s="52" t="str">
        <f>IF($J104="","",$J104*N('15_STOCK'!$O104))</f>
        <v/>
      </c>
      <c r="L104" s="41" t="str">
        <f>IF(tblConteo[[#This Row],[Diferencia]]="","",IF(tblConteo[[#This Row],[Diferencia]]=0,"✔ Cuadra",IF(tblConteo[[#This Row],[Diferencia]]&gt;0,"▲ Sobrante","▼ Faltante")))</f>
        <v/>
      </c>
      <c r="M10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5" spans="2:13" x14ac:dyDescent="0.25">
      <c r="B105" s="40" t="str">
        <f>IF('05_PRODUCTOS'!$B105="","",'05_PRODUCTOS'!$B105)</f>
        <v/>
      </c>
      <c r="C105" s="43" t="str">
        <f>IF($B105="","",'05_PRODUCTOS'!$C105)</f>
        <v/>
      </c>
      <c r="D105" s="43" t="str">
        <f>IF($B105="","",'05_PRODUCTOS'!$D105)</f>
        <v/>
      </c>
      <c r="E105" s="40" t="str">
        <f>IF($B105="","",'05_PRODUCTOS'!$J105&amp;"")</f>
        <v/>
      </c>
      <c r="F105" s="40" t="str">
        <f>IF($B105="","",'05_PRODUCTOS'!$E105)</f>
        <v/>
      </c>
      <c r="G105" s="40" t="str">
        <f>IF($B105="","",IF('05_PRODUCTOS'!$K105="NO","NO","SI"))</f>
        <v/>
      </c>
      <c r="H105" s="49" t="str">
        <f>IF($B105="","",N('15_STOCK'!$J105))</f>
        <v/>
      </c>
      <c r="I105" s="39"/>
      <c r="J105" s="48" t="str">
        <f>IF(OR(tblConteo[[#This Row],[SKU]]="",tblConteo[[#This Row],[Conteo]]=""),"",tblConteo[[#This Row],[Conteo]]-tblConteo[[#This Row],[StockSistema]])</f>
        <v/>
      </c>
      <c r="K105" s="52" t="str">
        <f>IF($J105="","",$J105*N('15_STOCK'!$O105))</f>
        <v/>
      </c>
      <c r="L105" s="41" t="str">
        <f>IF(tblConteo[[#This Row],[Diferencia]]="","",IF(tblConteo[[#This Row],[Diferencia]]=0,"✔ Cuadra",IF(tblConteo[[#This Row],[Diferencia]]&gt;0,"▲ Sobrante","▼ Faltante")))</f>
        <v/>
      </c>
      <c r="M10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6" spans="2:13" x14ac:dyDescent="0.25">
      <c r="B106" s="40" t="str">
        <f>IF('05_PRODUCTOS'!$B106="","",'05_PRODUCTOS'!$B106)</f>
        <v/>
      </c>
      <c r="C106" s="43" t="str">
        <f>IF($B106="","",'05_PRODUCTOS'!$C106)</f>
        <v/>
      </c>
      <c r="D106" s="43" t="str">
        <f>IF($B106="","",'05_PRODUCTOS'!$D106)</f>
        <v/>
      </c>
      <c r="E106" s="40" t="str">
        <f>IF($B106="","",'05_PRODUCTOS'!$J106&amp;"")</f>
        <v/>
      </c>
      <c r="F106" s="40" t="str">
        <f>IF($B106="","",'05_PRODUCTOS'!$E106)</f>
        <v/>
      </c>
      <c r="G106" s="40" t="str">
        <f>IF($B106="","",IF('05_PRODUCTOS'!$K106="NO","NO","SI"))</f>
        <v/>
      </c>
      <c r="H106" s="49" t="str">
        <f>IF($B106="","",N('15_STOCK'!$J106))</f>
        <v/>
      </c>
      <c r="I106" s="39"/>
      <c r="J106" s="48" t="str">
        <f>IF(OR(tblConteo[[#This Row],[SKU]]="",tblConteo[[#This Row],[Conteo]]=""),"",tblConteo[[#This Row],[Conteo]]-tblConteo[[#This Row],[StockSistema]])</f>
        <v/>
      </c>
      <c r="K106" s="52" t="str">
        <f>IF($J106="","",$J106*N('15_STOCK'!$O106))</f>
        <v/>
      </c>
      <c r="L106" s="41" t="str">
        <f>IF(tblConteo[[#This Row],[Diferencia]]="","",IF(tblConteo[[#This Row],[Diferencia]]=0,"✔ Cuadra",IF(tblConteo[[#This Row],[Diferencia]]&gt;0,"▲ Sobrante","▼ Faltante")))</f>
        <v/>
      </c>
      <c r="M10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7" spans="2:13" x14ac:dyDescent="0.25">
      <c r="B107" s="40" t="str">
        <f>IF('05_PRODUCTOS'!$B107="","",'05_PRODUCTOS'!$B107)</f>
        <v/>
      </c>
      <c r="C107" s="43" t="str">
        <f>IF($B107="","",'05_PRODUCTOS'!$C107)</f>
        <v/>
      </c>
      <c r="D107" s="43" t="str">
        <f>IF($B107="","",'05_PRODUCTOS'!$D107)</f>
        <v/>
      </c>
      <c r="E107" s="40" t="str">
        <f>IF($B107="","",'05_PRODUCTOS'!$J107&amp;"")</f>
        <v/>
      </c>
      <c r="F107" s="40" t="str">
        <f>IF($B107="","",'05_PRODUCTOS'!$E107)</f>
        <v/>
      </c>
      <c r="G107" s="40" t="str">
        <f>IF($B107="","",IF('05_PRODUCTOS'!$K107="NO","NO","SI"))</f>
        <v/>
      </c>
      <c r="H107" s="49" t="str">
        <f>IF($B107="","",N('15_STOCK'!$J107))</f>
        <v/>
      </c>
      <c r="I107" s="39"/>
      <c r="J107" s="48" t="str">
        <f>IF(OR(tblConteo[[#This Row],[SKU]]="",tblConteo[[#This Row],[Conteo]]=""),"",tblConteo[[#This Row],[Conteo]]-tblConteo[[#This Row],[StockSistema]])</f>
        <v/>
      </c>
      <c r="K107" s="52" t="str">
        <f>IF($J107="","",$J107*N('15_STOCK'!$O107))</f>
        <v/>
      </c>
      <c r="L107" s="41" t="str">
        <f>IF(tblConteo[[#This Row],[Diferencia]]="","",IF(tblConteo[[#This Row],[Diferencia]]=0,"✔ Cuadra",IF(tblConteo[[#This Row],[Diferencia]]&gt;0,"▲ Sobrante","▼ Faltante")))</f>
        <v/>
      </c>
      <c r="M10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8" spans="2:13" x14ac:dyDescent="0.25">
      <c r="B108" s="40" t="str">
        <f>IF('05_PRODUCTOS'!$B108="","",'05_PRODUCTOS'!$B108)</f>
        <v/>
      </c>
      <c r="C108" s="43" t="str">
        <f>IF($B108="","",'05_PRODUCTOS'!$C108)</f>
        <v/>
      </c>
      <c r="D108" s="43" t="str">
        <f>IF($B108="","",'05_PRODUCTOS'!$D108)</f>
        <v/>
      </c>
      <c r="E108" s="40" t="str">
        <f>IF($B108="","",'05_PRODUCTOS'!$J108&amp;"")</f>
        <v/>
      </c>
      <c r="F108" s="40" t="str">
        <f>IF($B108="","",'05_PRODUCTOS'!$E108)</f>
        <v/>
      </c>
      <c r="G108" s="40" t="str">
        <f>IF($B108="","",IF('05_PRODUCTOS'!$K108="NO","NO","SI"))</f>
        <v/>
      </c>
      <c r="H108" s="49" t="str">
        <f>IF($B108="","",N('15_STOCK'!$J108))</f>
        <v/>
      </c>
      <c r="I108" s="39"/>
      <c r="J108" s="48" t="str">
        <f>IF(OR(tblConteo[[#This Row],[SKU]]="",tblConteo[[#This Row],[Conteo]]=""),"",tblConteo[[#This Row],[Conteo]]-tblConteo[[#This Row],[StockSistema]])</f>
        <v/>
      </c>
      <c r="K108" s="52" t="str">
        <f>IF($J108="","",$J108*N('15_STOCK'!$O108))</f>
        <v/>
      </c>
      <c r="L108" s="41" t="str">
        <f>IF(tblConteo[[#This Row],[Diferencia]]="","",IF(tblConteo[[#This Row],[Diferencia]]=0,"✔ Cuadra",IF(tblConteo[[#This Row],[Diferencia]]&gt;0,"▲ Sobrante","▼ Faltante")))</f>
        <v/>
      </c>
      <c r="M10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09" spans="2:13" x14ac:dyDescent="0.25">
      <c r="B109" s="40" t="str">
        <f>IF('05_PRODUCTOS'!$B109="","",'05_PRODUCTOS'!$B109)</f>
        <v/>
      </c>
      <c r="C109" s="43" t="str">
        <f>IF($B109="","",'05_PRODUCTOS'!$C109)</f>
        <v/>
      </c>
      <c r="D109" s="43" t="str">
        <f>IF($B109="","",'05_PRODUCTOS'!$D109)</f>
        <v/>
      </c>
      <c r="E109" s="40" t="str">
        <f>IF($B109="","",'05_PRODUCTOS'!$J109&amp;"")</f>
        <v/>
      </c>
      <c r="F109" s="40" t="str">
        <f>IF($B109="","",'05_PRODUCTOS'!$E109)</f>
        <v/>
      </c>
      <c r="G109" s="40" t="str">
        <f>IF($B109="","",IF('05_PRODUCTOS'!$K109="NO","NO","SI"))</f>
        <v/>
      </c>
      <c r="H109" s="49" t="str">
        <f>IF($B109="","",N('15_STOCK'!$J109))</f>
        <v/>
      </c>
      <c r="I109" s="39"/>
      <c r="J109" s="48" t="str">
        <f>IF(OR(tblConteo[[#This Row],[SKU]]="",tblConteo[[#This Row],[Conteo]]=""),"",tblConteo[[#This Row],[Conteo]]-tblConteo[[#This Row],[StockSistema]])</f>
        <v/>
      </c>
      <c r="K109" s="52" t="str">
        <f>IF($J109="","",$J109*N('15_STOCK'!$O109))</f>
        <v/>
      </c>
      <c r="L109" s="41" t="str">
        <f>IF(tblConteo[[#This Row],[Diferencia]]="","",IF(tblConteo[[#This Row],[Diferencia]]=0,"✔ Cuadra",IF(tblConteo[[#This Row],[Diferencia]]&gt;0,"▲ Sobrante","▼ Faltante")))</f>
        <v/>
      </c>
      <c r="M10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0" spans="2:13" x14ac:dyDescent="0.25">
      <c r="B110" s="40" t="str">
        <f>IF('05_PRODUCTOS'!$B110="","",'05_PRODUCTOS'!$B110)</f>
        <v/>
      </c>
      <c r="C110" s="43" t="str">
        <f>IF($B110="","",'05_PRODUCTOS'!$C110)</f>
        <v/>
      </c>
      <c r="D110" s="43" t="str">
        <f>IF($B110="","",'05_PRODUCTOS'!$D110)</f>
        <v/>
      </c>
      <c r="E110" s="40" t="str">
        <f>IF($B110="","",'05_PRODUCTOS'!$J110&amp;"")</f>
        <v/>
      </c>
      <c r="F110" s="40" t="str">
        <f>IF($B110="","",'05_PRODUCTOS'!$E110)</f>
        <v/>
      </c>
      <c r="G110" s="40" t="str">
        <f>IF($B110="","",IF('05_PRODUCTOS'!$K110="NO","NO","SI"))</f>
        <v/>
      </c>
      <c r="H110" s="49" t="str">
        <f>IF($B110="","",N('15_STOCK'!$J110))</f>
        <v/>
      </c>
      <c r="I110" s="39"/>
      <c r="J110" s="48" t="str">
        <f>IF(OR(tblConteo[[#This Row],[SKU]]="",tblConteo[[#This Row],[Conteo]]=""),"",tblConteo[[#This Row],[Conteo]]-tblConteo[[#This Row],[StockSistema]])</f>
        <v/>
      </c>
      <c r="K110" s="52" t="str">
        <f>IF($J110="","",$J110*N('15_STOCK'!$O110))</f>
        <v/>
      </c>
      <c r="L110" s="41" t="str">
        <f>IF(tblConteo[[#This Row],[Diferencia]]="","",IF(tblConteo[[#This Row],[Diferencia]]=0,"✔ Cuadra",IF(tblConteo[[#This Row],[Diferencia]]&gt;0,"▲ Sobrante","▼ Faltante")))</f>
        <v/>
      </c>
      <c r="M11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1" spans="2:13" x14ac:dyDescent="0.25">
      <c r="B111" s="40" t="str">
        <f>IF('05_PRODUCTOS'!$B111="","",'05_PRODUCTOS'!$B111)</f>
        <v/>
      </c>
      <c r="C111" s="43" t="str">
        <f>IF($B111="","",'05_PRODUCTOS'!$C111)</f>
        <v/>
      </c>
      <c r="D111" s="43" t="str">
        <f>IF($B111="","",'05_PRODUCTOS'!$D111)</f>
        <v/>
      </c>
      <c r="E111" s="40" t="str">
        <f>IF($B111="","",'05_PRODUCTOS'!$J111&amp;"")</f>
        <v/>
      </c>
      <c r="F111" s="40" t="str">
        <f>IF($B111="","",'05_PRODUCTOS'!$E111)</f>
        <v/>
      </c>
      <c r="G111" s="40" t="str">
        <f>IF($B111="","",IF('05_PRODUCTOS'!$K111="NO","NO","SI"))</f>
        <v/>
      </c>
      <c r="H111" s="49" t="str">
        <f>IF($B111="","",N('15_STOCK'!$J111))</f>
        <v/>
      </c>
      <c r="I111" s="39"/>
      <c r="J111" s="48" t="str">
        <f>IF(OR(tblConteo[[#This Row],[SKU]]="",tblConteo[[#This Row],[Conteo]]=""),"",tblConteo[[#This Row],[Conteo]]-tblConteo[[#This Row],[StockSistema]])</f>
        <v/>
      </c>
      <c r="K111" s="52" t="str">
        <f>IF($J111="","",$J111*N('15_STOCK'!$O111))</f>
        <v/>
      </c>
      <c r="L111" s="41" t="str">
        <f>IF(tblConteo[[#This Row],[Diferencia]]="","",IF(tblConteo[[#This Row],[Diferencia]]=0,"✔ Cuadra",IF(tblConteo[[#This Row],[Diferencia]]&gt;0,"▲ Sobrante","▼ Faltante")))</f>
        <v/>
      </c>
      <c r="M11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2" spans="2:13" x14ac:dyDescent="0.25">
      <c r="B112" s="40" t="str">
        <f>IF('05_PRODUCTOS'!$B112="","",'05_PRODUCTOS'!$B112)</f>
        <v/>
      </c>
      <c r="C112" s="43" t="str">
        <f>IF($B112="","",'05_PRODUCTOS'!$C112)</f>
        <v/>
      </c>
      <c r="D112" s="43" t="str">
        <f>IF($B112="","",'05_PRODUCTOS'!$D112)</f>
        <v/>
      </c>
      <c r="E112" s="40" t="str">
        <f>IF($B112="","",'05_PRODUCTOS'!$J112&amp;"")</f>
        <v/>
      </c>
      <c r="F112" s="40" t="str">
        <f>IF($B112="","",'05_PRODUCTOS'!$E112)</f>
        <v/>
      </c>
      <c r="G112" s="40" t="str">
        <f>IF($B112="","",IF('05_PRODUCTOS'!$K112="NO","NO","SI"))</f>
        <v/>
      </c>
      <c r="H112" s="49" t="str">
        <f>IF($B112="","",N('15_STOCK'!$J112))</f>
        <v/>
      </c>
      <c r="I112" s="39"/>
      <c r="J112" s="48" t="str">
        <f>IF(OR(tblConteo[[#This Row],[SKU]]="",tblConteo[[#This Row],[Conteo]]=""),"",tblConteo[[#This Row],[Conteo]]-tblConteo[[#This Row],[StockSistema]])</f>
        <v/>
      </c>
      <c r="K112" s="52" t="str">
        <f>IF($J112="","",$J112*N('15_STOCK'!$O112))</f>
        <v/>
      </c>
      <c r="L112" s="41" t="str">
        <f>IF(tblConteo[[#This Row],[Diferencia]]="","",IF(tblConteo[[#This Row],[Diferencia]]=0,"✔ Cuadra",IF(tblConteo[[#This Row],[Diferencia]]&gt;0,"▲ Sobrante","▼ Faltante")))</f>
        <v/>
      </c>
      <c r="M11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3" spans="2:13" x14ac:dyDescent="0.25">
      <c r="B113" s="40" t="str">
        <f>IF('05_PRODUCTOS'!$B113="","",'05_PRODUCTOS'!$B113)</f>
        <v/>
      </c>
      <c r="C113" s="43" t="str">
        <f>IF($B113="","",'05_PRODUCTOS'!$C113)</f>
        <v/>
      </c>
      <c r="D113" s="43" t="str">
        <f>IF($B113="","",'05_PRODUCTOS'!$D113)</f>
        <v/>
      </c>
      <c r="E113" s="40" t="str">
        <f>IF($B113="","",'05_PRODUCTOS'!$J113&amp;"")</f>
        <v/>
      </c>
      <c r="F113" s="40" t="str">
        <f>IF($B113="","",'05_PRODUCTOS'!$E113)</f>
        <v/>
      </c>
      <c r="G113" s="40" t="str">
        <f>IF($B113="","",IF('05_PRODUCTOS'!$K113="NO","NO","SI"))</f>
        <v/>
      </c>
      <c r="H113" s="49" t="str">
        <f>IF($B113="","",N('15_STOCK'!$J113))</f>
        <v/>
      </c>
      <c r="I113" s="39"/>
      <c r="J113" s="48" t="str">
        <f>IF(OR(tblConteo[[#This Row],[SKU]]="",tblConteo[[#This Row],[Conteo]]=""),"",tblConteo[[#This Row],[Conteo]]-tblConteo[[#This Row],[StockSistema]])</f>
        <v/>
      </c>
      <c r="K113" s="52" t="str">
        <f>IF($J113="","",$J113*N('15_STOCK'!$O113))</f>
        <v/>
      </c>
      <c r="L113" s="41" t="str">
        <f>IF(tblConteo[[#This Row],[Diferencia]]="","",IF(tblConteo[[#This Row],[Diferencia]]=0,"✔ Cuadra",IF(tblConteo[[#This Row],[Diferencia]]&gt;0,"▲ Sobrante","▼ Faltante")))</f>
        <v/>
      </c>
      <c r="M11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4" spans="2:13" x14ac:dyDescent="0.25">
      <c r="B114" s="40" t="str">
        <f>IF('05_PRODUCTOS'!$B114="","",'05_PRODUCTOS'!$B114)</f>
        <v/>
      </c>
      <c r="C114" s="43" t="str">
        <f>IF($B114="","",'05_PRODUCTOS'!$C114)</f>
        <v/>
      </c>
      <c r="D114" s="43" t="str">
        <f>IF($B114="","",'05_PRODUCTOS'!$D114)</f>
        <v/>
      </c>
      <c r="E114" s="40" t="str">
        <f>IF($B114="","",'05_PRODUCTOS'!$J114&amp;"")</f>
        <v/>
      </c>
      <c r="F114" s="40" t="str">
        <f>IF($B114="","",'05_PRODUCTOS'!$E114)</f>
        <v/>
      </c>
      <c r="G114" s="40" t="str">
        <f>IF($B114="","",IF('05_PRODUCTOS'!$K114="NO","NO","SI"))</f>
        <v/>
      </c>
      <c r="H114" s="49" t="str">
        <f>IF($B114="","",N('15_STOCK'!$J114))</f>
        <v/>
      </c>
      <c r="I114" s="39"/>
      <c r="J114" s="48" t="str">
        <f>IF(OR(tblConteo[[#This Row],[SKU]]="",tblConteo[[#This Row],[Conteo]]=""),"",tblConteo[[#This Row],[Conteo]]-tblConteo[[#This Row],[StockSistema]])</f>
        <v/>
      </c>
      <c r="K114" s="52" t="str">
        <f>IF($J114="","",$J114*N('15_STOCK'!$O114))</f>
        <v/>
      </c>
      <c r="L114" s="41" t="str">
        <f>IF(tblConteo[[#This Row],[Diferencia]]="","",IF(tblConteo[[#This Row],[Diferencia]]=0,"✔ Cuadra",IF(tblConteo[[#This Row],[Diferencia]]&gt;0,"▲ Sobrante","▼ Faltante")))</f>
        <v/>
      </c>
      <c r="M11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5" spans="2:13" x14ac:dyDescent="0.25">
      <c r="B115" s="40" t="str">
        <f>IF('05_PRODUCTOS'!$B115="","",'05_PRODUCTOS'!$B115)</f>
        <v/>
      </c>
      <c r="C115" s="43" t="str">
        <f>IF($B115="","",'05_PRODUCTOS'!$C115)</f>
        <v/>
      </c>
      <c r="D115" s="43" t="str">
        <f>IF($B115="","",'05_PRODUCTOS'!$D115)</f>
        <v/>
      </c>
      <c r="E115" s="40" t="str">
        <f>IF($B115="","",'05_PRODUCTOS'!$J115&amp;"")</f>
        <v/>
      </c>
      <c r="F115" s="40" t="str">
        <f>IF($B115="","",'05_PRODUCTOS'!$E115)</f>
        <v/>
      </c>
      <c r="G115" s="40" t="str">
        <f>IF($B115="","",IF('05_PRODUCTOS'!$K115="NO","NO","SI"))</f>
        <v/>
      </c>
      <c r="H115" s="49" t="str">
        <f>IF($B115="","",N('15_STOCK'!$J115))</f>
        <v/>
      </c>
      <c r="I115" s="39"/>
      <c r="J115" s="48" t="str">
        <f>IF(OR(tblConteo[[#This Row],[SKU]]="",tblConteo[[#This Row],[Conteo]]=""),"",tblConteo[[#This Row],[Conteo]]-tblConteo[[#This Row],[StockSistema]])</f>
        <v/>
      </c>
      <c r="K115" s="52" t="str">
        <f>IF($J115="","",$J115*N('15_STOCK'!$O115))</f>
        <v/>
      </c>
      <c r="L115" s="41" t="str">
        <f>IF(tblConteo[[#This Row],[Diferencia]]="","",IF(tblConteo[[#This Row],[Diferencia]]=0,"✔ Cuadra",IF(tblConteo[[#This Row],[Diferencia]]&gt;0,"▲ Sobrante","▼ Faltante")))</f>
        <v/>
      </c>
      <c r="M11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6" spans="2:13" x14ac:dyDescent="0.25">
      <c r="B116" s="40" t="str">
        <f>IF('05_PRODUCTOS'!$B116="","",'05_PRODUCTOS'!$B116)</f>
        <v/>
      </c>
      <c r="C116" s="43" t="str">
        <f>IF($B116="","",'05_PRODUCTOS'!$C116)</f>
        <v/>
      </c>
      <c r="D116" s="43" t="str">
        <f>IF($B116="","",'05_PRODUCTOS'!$D116)</f>
        <v/>
      </c>
      <c r="E116" s="40" t="str">
        <f>IF($B116="","",'05_PRODUCTOS'!$J116&amp;"")</f>
        <v/>
      </c>
      <c r="F116" s="40" t="str">
        <f>IF($B116="","",'05_PRODUCTOS'!$E116)</f>
        <v/>
      </c>
      <c r="G116" s="40" t="str">
        <f>IF($B116="","",IF('05_PRODUCTOS'!$K116="NO","NO","SI"))</f>
        <v/>
      </c>
      <c r="H116" s="49" t="str">
        <f>IF($B116="","",N('15_STOCK'!$J116))</f>
        <v/>
      </c>
      <c r="I116" s="39"/>
      <c r="J116" s="48" t="str">
        <f>IF(OR(tblConteo[[#This Row],[SKU]]="",tblConteo[[#This Row],[Conteo]]=""),"",tblConteo[[#This Row],[Conteo]]-tblConteo[[#This Row],[StockSistema]])</f>
        <v/>
      </c>
      <c r="K116" s="52" t="str">
        <f>IF($J116="","",$J116*N('15_STOCK'!$O116))</f>
        <v/>
      </c>
      <c r="L116" s="41" t="str">
        <f>IF(tblConteo[[#This Row],[Diferencia]]="","",IF(tblConteo[[#This Row],[Diferencia]]=0,"✔ Cuadra",IF(tblConteo[[#This Row],[Diferencia]]&gt;0,"▲ Sobrante","▼ Faltante")))</f>
        <v/>
      </c>
      <c r="M11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7" spans="2:13" x14ac:dyDescent="0.25">
      <c r="B117" s="40" t="str">
        <f>IF('05_PRODUCTOS'!$B117="","",'05_PRODUCTOS'!$B117)</f>
        <v/>
      </c>
      <c r="C117" s="43" t="str">
        <f>IF($B117="","",'05_PRODUCTOS'!$C117)</f>
        <v/>
      </c>
      <c r="D117" s="43" t="str">
        <f>IF($B117="","",'05_PRODUCTOS'!$D117)</f>
        <v/>
      </c>
      <c r="E117" s="40" t="str">
        <f>IF($B117="","",'05_PRODUCTOS'!$J117&amp;"")</f>
        <v/>
      </c>
      <c r="F117" s="40" t="str">
        <f>IF($B117="","",'05_PRODUCTOS'!$E117)</f>
        <v/>
      </c>
      <c r="G117" s="40" t="str">
        <f>IF($B117="","",IF('05_PRODUCTOS'!$K117="NO","NO","SI"))</f>
        <v/>
      </c>
      <c r="H117" s="49" t="str">
        <f>IF($B117="","",N('15_STOCK'!$J117))</f>
        <v/>
      </c>
      <c r="I117" s="39"/>
      <c r="J117" s="48" t="str">
        <f>IF(OR(tblConteo[[#This Row],[SKU]]="",tblConteo[[#This Row],[Conteo]]=""),"",tblConteo[[#This Row],[Conteo]]-tblConteo[[#This Row],[StockSistema]])</f>
        <v/>
      </c>
      <c r="K117" s="52" t="str">
        <f>IF($J117="","",$J117*N('15_STOCK'!$O117))</f>
        <v/>
      </c>
      <c r="L117" s="41" t="str">
        <f>IF(tblConteo[[#This Row],[Diferencia]]="","",IF(tblConteo[[#This Row],[Diferencia]]=0,"✔ Cuadra",IF(tblConteo[[#This Row],[Diferencia]]&gt;0,"▲ Sobrante","▼ Faltante")))</f>
        <v/>
      </c>
      <c r="M11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8" spans="2:13" x14ac:dyDescent="0.25">
      <c r="B118" s="40" t="str">
        <f>IF('05_PRODUCTOS'!$B118="","",'05_PRODUCTOS'!$B118)</f>
        <v/>
      </c>
      <c r="C118" s="43" t="str">
        <f>IF($B118="","",'05_PRODUCTOS'!$C118)</f>
        <v/>
      </c>
      <c r="D118" s="43" t="str">
        <f>IF($B118="","",'05_PRODUCTOS'!$D118)</f>
        <v/>
      </c>
      <c r="E118" s="40" t="str">
        <f>IF($B118="","",'05_PRODUCTOS'!$J118&amp;"")</f>
        <v/>
      </c>
      <c r="F118" s="40" t="str">
        <f>IF($B118="","",'05_PRODUCTOS'!$E118)</f>
        <v/>
      </c>
      <c r="G118" s="40" t="str">
        <f>IF($B118="","",IF('05_PRODUCTOS'!$K118="NO","NO","SI"))</f>
        <v/>
      </c>
      <c r="H118" s="49" t="str">
        <f>IF($B118="","",N('15_STOCK'!$J118))</f>
        <v/>
      </c>
      <c r="I118" s="39"/>
      <c r="J118" s="48" t="str">
        <f>IF(OR(tblConteo[[#This Row],[SKU]]="",tblConteo[[#This Row],[Conteo]]=""),"",tblConteo[[#This Row],[Conteo]]-tblConteo[[#This Row],[StockSistema]])</f>
        <v/>
      </c>
      <c r="K118" s="52" t="str">
        <f>IF($J118="","",$J118*N('15_STOCK'!$O118))</f>
        <v/>
      </c>
      <c r="L118" s="41" t="str">
        <f>IF(tblConteo[[#This Row],[Diferencia]]="","",IF(tblConteo[[#This Row],[Diferencia]]=0,"✔ Cuadra",IF(tblConteo[[#This Row],[Diferencia]]&gt;0,"▲ Sobrante","▼ Faltante")))</f>
        <v/>
      </c>
      <c r="M11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19" spans="2:13" x14ac:dyDescent="0.25">
      <c r="B119" s="40" t="str">
        <f>IF('05_PRODUCTOS'!$B119="","",'05_PRODUCTOS'!$B119)</f>
        <v/>
      </c>
      <c r="C119" s="43" t="str">
        <f>IF($B119="","",'05_PRODUCTOS'!$C119)</f>
        <v/>
      </c>
      <c r="D119" s="43" t="str">
        <f>IF($B119="","",'05_PRODUCTOS'!$D119)</f>
        <v/>
      </c>
      <c r="E119" s="40" t="str">
        <f>IF($B119="","",'05_PRODUCTOS'!$J119&amp;"")</f>
        <v/>
      </c>
      <c r="F119" s="40" t="str">
        <f>IF($B119="","",'05_PRODUCTOS'!$E119)</f>
        <v/>
      </c>
      <c r="G119" s="40" t="str">
        <f>IF($B119="","",IF('05_PRODUCTOS'!$K119="NO","NO","SI"))</f>
        <v/>
      </c>
      <c r="H119" s="49" t="str">
        <f>IF($B119="","",N('15_STOCK'!$J119))</f>
        <v/>
      </c>
      <c r="I119" s="39"/>
      <c r="J119" s="48" t="str">
        <f>IF(OR(tblConteo[[#This Row],[SKU]]="",tblConteo[[#This Row],[Conteo]]=""),"",tblConteo[[#This Row],[Conteo]]-tblConteo[[#This Row],[StockSistema]])</f>
        <v/>
      </c>
      <c r="K119" s="52" t="str">
        <f>IF($J119="","",$J119*N('15_STOCK'!$O119))</f>
        <v/>
      </c>
      <c r="L119" s="41" t="str">
        <f>IF(tblConteo[[#This Row],[Diferencia]]="","",IF(tblConteo[[#This Row],[Diferencia]]=0,"✔ Cuadra",IF(tblConteo[[#This Row],[Diferencia]]&gt;0,"▲ Sobrante","▼ Faltante")))</f>
        <v/>
      </c>
      <c r="M11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0" spans="2:13" x14ac:dyDescent="0.25">
      <c r="B120" s="40" t="str">
        <f>IF('05_PRODUCTOS'!$B120="","",'05_PRODUCTOS'!$B120)</f>
        <v/>
      </c>
      <c r="C120" s="43" t="str">
        <f>IF($B120="","",'05_PRODUCTOS'!$C120)</f>
        <v/>
      </c>
      <c r="D120" s="43" t="str">
        <f>IF($B120="","",'05_PRODUCTOS'!$D120)</f>
        <v/>
      </c>
      <c r="E120" s="40" t="str">
        <f>IF($B120="","",'05_PRODUCTOS'!$J120&amp;"")</f>
        <v/>
      </c>
      <c r="F120" s="40" t="str">
        <f>IF($B120="","",'05_PRODUCTOS'!$E120)</f>
        <v/>
      </c>
      <c r="G120" s="40" t="str">
        <f>IF($B120="","",IF('05_PRODUCTOS'!$K120="NO","NO","SI"))</f>
        <v/>
      </c>
      <c r="H120" s="49" t="str">
        <f>IF($B120="","",N('15_STOCK'!$J120))</f>
        <v/>
      </c>
      <c r="I120" s="39"/>
      <c r="J120" s="48" t="str">
        <f>IF(OR(tblConteo[[#This Row],[SKU]]="",tblConteo[[#This Row],[Conteo]]=""),"",tblConteo[[#This Row],[Conteo]]-tblConteo[[#This Row],[StockSistema]])</f>
        <v/>
      </c>
      <c r="K120" s="52" t="str">
        <f>IF($J120="","",$J120*N('15_STOCK'!$O120))</f>
        <v/>
      </c>
      <c r="L120" s="41" t="str">
        <f>IF(tblConteo[[#This Row],[Diferencia]]="","",IF(tblConteo[[#This Row],[Diferencia]]=0,"✔ Cuadra",IF(tblConteo[[#This Row],[Diferencia]]&gt;0,"▲ Sobrante","▼ Faltante")))</f>
        <v/>
      </c>
      <c r="M12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1" spans="2:13" x14ac:dyDescent="0.25">
      <c r="B121" s="40" t="str">
        <f>IF('05_PRODUCTOS'!$B121="","",'05_PRODUCTOS'!$B121)</f>
        <v/>
      </c>
      <c r="C121" s="43" t="str">
        <f>IF($B121="","",'05_PRODUCTOS'!$C121)</f>
        <v/>
      </c>
      <c r="D121" s="43" t="str">
        <f>IF($B121="","",'05_PRODUCTOS'!$D121)</f>
        <v/>
      </c>
      <c r="E121" s="40" t="str">
        <f>IF($B121="","",'05_PRODUCTOS'!$J121&amp;"")</f>
        <v/>
      </c>
      <c r="F121" s="40" t="str">
        <f>IF($B121="","",'05_PRODUCTOS'!$E121)</f>
        <v/>
      </c>
      <c r="G121" s="40" t="str">
        <f>IF($B121="","",IF('05_PRODUCTOS'!$K121="NO","NO","SI"))</f>
        <v/>
      </c>
      <c r="H121" s="49" t="str">
        <f>IF($B121="","",N('15_STOCK'!$J121))</f>
        <v/>
      </c>
      <c r="I121" s="39"/>
      <c r="J121" s="48" t="str">
        <f>IF(OR(tblConteo[[#This Row],[SKU]]="",tblConteo[[#This Row],[Conteo]]=""),"",tblConteo[[#This Row],[Conteo]]-tblConteo[[#This Row],[StockSistema]])</f>
        <v/>
      </c>
      <c r="K121" s="52" t="str">
        <f>IF($J121="","",$J121*N('15_STOCK'!$O121))</f>
        <v/>
      </c>
      <c r="L121" s="41" t="str">
        <f>IF(tblConteo[[#This Row],[Diferencia]]="","",IF(tblConteo[[#This Row],[Diferencia]]=0,"✔ Cuadra",IF(tblConteo[[#This Row],[Diferencia]]&gt;0,"▲ Sobrante","▼ Faltante")))</f>
        <v/>
      </c>
      <c r="M12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2" spans="2:13" x14ac:dyDescent="0.25">
      <c r="B122" s="40" t="str">
        <f>IF('05_PRODUCTOS'!$B122="","",'05_PRODUCTOS'!$B122)</f>
        <v/>
      </c>
      <c r="C122" s="43" t="str">
        <f>IF($B122="","",'05_PRODUCTOS'!$C122)</f>
        <v/>
      </c>
      <c r="D122" s="43" t="str">
        <f>IF($B122="","",'05_PRODUCTOS'!$D122)</f>
        <v/>
      </c>
      <c r="E122" s="40" t="str">
        <f>IF($B122="","",'05_PRODUCTOS'!$J122&amp;"")</f>
        <v/>
      </c>
      <c r="F122" s="40" t="str">
        <f>IF($B122="","",'05_PRODUCTOS'!$E122)</f>
        <v/>
      </c>
      <c r="G122" s="40" t="str">
        <f>IF($B122="","",IF('05_PRODUCTOS'!$K122="NO","NO","SI"))</f>
        <v/>
      </c>
      <c r="H122" s="49" t="str">
        <f>IF($B122="","",N('15_STOCK'!$J122))</f>
        <v/>
      </c>
      <c r="I122" s="39"/>
      <c r="J122" s="48" t="str">
        <f>IF(OR(tblConteo[[#This Row],[SKU]]="",tblConteo[[#This Row],[Conteo]]=""),"",tblConteo[[#This Row],[Conteo]]-tblConteo[[#This Row],[StockSistema]])</f>
        <v/>
      </c>
      <c r="K122" s="52" t="str">
        <f>IF($J122="","",$J122*N('15_STOCK'!$O122))</f>
        <v/>
      </c>
      <c r="L122" s="41" t="str">
        <f>IF(tblConteo[[#This Row],[Diferencia]]="","",IF(tblConteo[[#This Row],[Diferencia]]=0,"✔ Cuadra",IF(tblConteo[[#This Row],[Diferencia]]&gt;0,"▲ Sobrante","▼ Faltante")))</f>
        <v/>
      </c>
      <c r="M12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3" spans="2:13" x14ac:dyDescent="0.25">
      <c r="B123" s="40" t="str">
        <f>IF('05_PRODUCTOS'!$B123="","",'05_PRODUCTOS'!$B123)</f>
        <v/>
      </c>
      <c r="C123" s="43" t="str">
        <f>IF($B123="","",'05_PRODUCTOS'!$C123)</f>
        <v/>
      </c>
      <c r="D123" s="43" t="str">
        <f>IF($B123="","",'05_PRODUCTOS'!$D123)</f>
        <v/>
      </c>
      <c r="E123" s="40" t="str">
        <f>IF($B123="","",'05_PRODUCTOS'!$J123&amp;"")</f>
        <v/>
      </c>
      <c r="F123" s="40" t="str">
        <f>IF($B123="","",'05_PRODUCTOS'!$E123)</f>
        <v/>
      </c>
      <c r="G123" s="40" t="str">
        <f>IF($B123="","",IF('05_PRODUCTOS'!$K123="NO","NO","SI"))</f>
        <v/>
      </c>
      <c r="H123" s="49" t="str">
        <f>IF($B123="","",N('15_STOCK'!$J123))</f>
        <v/>
      </c>
      <c r="I123" s="39"/>
      <c r="J123" s="48" t="str">
        <f>IF(OR(tblConteo[[#This Row],[SKU]]="",tblConteo[[#This Row],[Conteo]]=""),"",tblConteo[[#This Row],[Conteo]]-tblConteo[[#This Row],[StockSistema]])</f>
        <v/>
      </c>
      <c r="K123" s="52" t="str">
        <f>IF($J123="","",$J123*N('15_STOCK'!$O123))</f>
        <v/>
      </c>
      <c r="L123" s="41" t="str">
        <f>IF(tblConteo[[#This Row],[Diferencia]]="","",IF(tblConteo[[#This Row],[Diferencia]]=0,"✔ Cuadra",IF(tblConteo[[#This Row],[Diferencia]]&gt;0,"▲ Sobrante","▼ Faltante")))</f>
        <v/>
      </c>
      <c r="M12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4" spans="2:13" x14ac:dyDescent="0.25">
      <c r="B124" s="40" t="str">
        <f>IF('05_PRODUCTOS'!$B124="","",'05_PRODUCTOS'!$B124)</f>
        <v/>
      </c>
      <c r="C124" s="43" t="str">
        <f>IF($B124="","",'05_PRODUCTOS'!$C124)</f>
        <v/>
      </c>
      <c r="D124" s="43" t="str">
        <f>IF($B124="","",'05_PRODUCTOS'!$D124)</f>
        <v/>
      </c>
      <c r="E124" s="40" t="str">
        <f>IF($B124="","",'05_PRODUCTOS'!$J124&amp;"")</f>
        <v/>
      </c>
      <c r="F124" s="40" t="str">
        <f>IF($B124="","",'05_PRODUCTOS'!$E124)</f>
        <v/>
      </c>
      <c r="G124" s="40" t="str">
        <f>IF($B124="","",IF('05_PRODUCTOS'!$K124="NO","NO","SI"))</f>
        <v/>
      </c>
      <c r="H124" s="49" t="str">
        <f>IF($B124="","",N('15_STOCK'!$J124))</f>
        <v/>
      </c>
      <c r="I124" s="39"/>
      <c r="J124" s="48" t="str">
        <f>IF(OR(tblConteo[[#This Row],[SKU]]="",tblConteo[[#This Row],[Conteo]]=""),"",tblConteo[[#This Row],[Conteo]]-tblConteo[[#This Row],[StockSistema]])</f>
        <v/>
      </c>
      <c r="K124" s="52" t="str">
        <f>IF($J124="","",$J124*N('15_STOCK'!$O124))</f>
        <v/>
      </c>
      <c r="L124" s="41" t="str">
        <f>IF(tblConteo[[#This Row],[Diferencia]]="","",IF(tblConteo[[#This Row],[Diferencia]]=0,"✔ Cuadra",IF(tblConteo[[#This Row],[Diferencia]]&gt;0,"▲ Sobrante","▼ Faltante")))</f>
        <v/>
      </c>
      <c r="M12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5" spans="2:13" x14ac:dyDescent="0.25">
      <c r="B125" s="40" t="str">
        <f>IF('05_PRODUCTOS'!$B125="","",'05_PRODUCTOS'!$B125)</f>
        <v/>
      </c>
      <c r="C125" s="43" t="str">
        <f>IF($B125="","",'05_PRODUCTOS'!$C125)</f>
        <v/>
      </c>
      <c r="D125" s="43" t="str">
        <f>IF($B125="","",'05_PRODUCTOS'!$D125)</f>
        <v/>
      </c>
      <c r="E125" s="40" t="str">
        <f>IF($B125="","",'05_PRODUCTOS'!$J125&amp;"")</f>
        <v/>
      </c>
      <c r="F125" s="40" t="str">
        <f>IF($B125="","",'05_PRODUCTOS'!$E125)</f>
        <v/>
      </c>
      <c r="G125" s="40" t="str">
        <f>IF($B125="","",IF('05_PRODUCTOS'!$K125="NO","NO","SI"))</f>
        <v/>
      </c>
      <c r="H125" s="49" t="str">
        <f>IF($B125="","",N('15_STOCK'!$J125))</f>
        <v/>
      </c>
      <c r="I125" s="39"/>
      <c r="J125" s="48" t="str">
        <f>IF(OR(tblConteo[[#This Row],[SKU]]="",tblConteo[[#This Row],[Conteo]]=""),"",tblConteo[[#This Row],[Conteo]]-tblConteo[[#This Row],[StockSistema]])</f>
        <v/>
      </c>
      <c r="K125" s="52" t="str">
        <f>IF($J125="","",$J125*N('15_STOCK'!$O125))</f>
        <v/>
      </c>
      <c r="L125" s="41" t="str">
        <f>IF(tblConteo[[#This Row],[Diferencia]]="","",IF(tblConteo[[#This Row],[Diferencia]]=0,"✔ Cuadra",IF(tblConteo[[#This Row],[Diferencia]]&gt;0,"▲ Sobrante","▼ Faltante")))</f>
        <v/>
      </c>
      <c r="M12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6" spans="2:13" x14ac:dyDescent="0.25">
      <c r="B126" s="40" t="str">
        <f>IF('05_PRODUCTOS'!$B126="","",'05_PRODUCTOS'!$B126)</f>
        <v/>
      </c>
      <c r="C126" s="43" t="str">
        <f>IF($B126="","",'05_PRODUCTOS'!$C126)</f>
        <v/>
      </c>
      <c r="D126" s="43" t="str">
        <f>IF($B126="","",'05_PRODUCTOS'!$D126)</f>
        <v/>
      </c>
      <c r="E126" s="40" t="str">
        <f>IF($B126="","",'05_PRODUCTOS'!$J126&amp;"")</f>
        <v/>
      </c>
      <c r="F126" s="40" t="str">
        <f>IF($B126="","",'05_PRODUCTOS'!$E126)</f>
        <v/>
      </c>
      <c r="G126" s="40" t="str">
        <f>IF($B126="","",IF('05_PRODUCTOS'!$K126="NO","NO","SI"))</f>
        <v/>
      </c>
      <c r="H126" s="49" t="str">
        <f>IF($B126="","",N('15_STOCK'!$J126))</f>
        <v/>
      </c>
      <c r="I126" s="39"/>
      <c r="J126" s="48" t="str">
        <f>IF(OR(tblConteo[[#This Row],[SKU]]="",tblConteo[[#This Row],[Conteo]]=""),"",tblConteo[[#This Row],[Conteo]]-tblConteo[[#This Row],[StockSistema]])</f>
        <v/>
      </c>
      <c r="K126" s="52" t="str">
        <f>IF($J126="","",$J126*N('15_STOCK'!$O126))</f>
        <v/>
      </c>
      <c r="L126" s="41" t="str">
        <f>IF(tblConteo[[#This Row],[Diferencia]]="","",IF(tblConteo[[#This Row],[Diferencia]]=0,"✔ Cuadra",IF(tblConteo[[#This Row],[Diferencia]]&gt;0,"▲ Sobrante","▼ Faltante")))</f>
        <v/>
      </c>
      <c r="M12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7" spans="2:13" x14ac:dyDescent="0.25">
      <c r="B127" s="40" t="str">
        <f>IF('05_PRODUCTOS'!$B127="","",'05_PRODUCTOS'!$B127)</f>
        <v/>
      </c>
      <c r="C127" s="43" t="str">
        <f>IF($B127="","",'05_PRODUCTOS'!$C127)</f>
        <v/>
      </c>
      <c r="D127" s="43" t="str">
        <f>IF($B127="","",'05_PRODUCTOS'!$D127)</f>
        <v/>
      </c>
      <c r="E127" s="40" t="str">
        <f>IF($B127="","",'05_PRODUCTOS'!$J127&amp;"")</f>
        <v/>
      </c>
      <c r="F127" s="40" t="str">
        <f>IF($B127="","",'05_PRODUCTOS'!$E127)</f>
        <v/>
      </c>
      <c r="G127" s="40" t="str">
        <f>IF($B127="","",IF('05_PRODUCTOS'!$K127="NO","NO","SI"))</f>
        <v/>
      </c>
      <c r="H127" s="49" t="str">
        <f>IF($B127="","",N('15_STOCK'!$J127))</f>
        <v/>
      </c>
      <c r="I127" s="39"/>
      <c r="J127" s="48" t="str">
        <f>IF(OR(tblConteo[[#This Row],[SKU]]="",tblConteo[[#This Row],[Conteo]]=""),"",tblConteo[[#This Row],[Conteo]]-tblConteo[[#This Row],[StockSistema]])</f>
        <v/>
      </c>
      <c r="K127" s="52" t="str">
        <f>IF($J127="","",$J127*N('15_STOCK'!$O127))</f>
        <v/>
      </c>
      <c r="L127" s="41" t="str">
        <f>IF(tblConteo[[#This Row],[Diferencia]]="","",IF(tblConteo[[#This Row],[Diferencia]]=0,"✔ Cuadra",IF(tblConteo[[#This Row],[Diferencia]]&gt;0,"▲ Sobrante","▼ Faltante")))</f>
        <v/>
      </c>
      <c r="M12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8" spans="2:13" x14ac:dyDescent="0.25">
      <c r="B128" s="40" t="str">
        <f>IF('05_PRODUCTOS'!$B128="","",'05_PRODUCTOS'!$B128)</f>
        <v/>
      </c>
      <c r="C128" s="43" t="str">
        <f>IF($B128="","",'05_PRODUCTOS'!$C128)</f>
        <v/>
      </c>
      <c r="D128" s="43" t="str">
        <f>IF($B128="","",'05_PRODUCTOS'!$D128)</f>
        <v/>
      </c>
      <c r="E128" s="40" t="str">
        <f>IF($B128="","",'05_PRODUCTOS'!$J128&amp;"")</f>
        <v/>
      </c>
      <c r="F128" s="40" t="str">
        <f>IF($B128="","",'05_PRODUCTOS'!$E128)</f>
        <v/>
      </c>
      <c r="G128" s="40" t="str">
        <f>IF($B128="","",IF('05_PRODUCTOS'!$K128="NO","NO","SI"))</f>
        <v/>
      </c>
      <c r="H128" s="49" t="str">
        <f>IF($B128="","",N('15_STOCK'!$J128))</f>
        <v/>
      </c>
      <c r="I128" s="39"/>
      <c r="J128" s="48" t="str">
        <f>IF(OR(tblConteo[[#This Row],[SKU]]="",tblConteo[[#This Row],[Conteo]]=""),"",tblConteo[[#This Row],[Conteo]]-tblConteo[[#This Row],[StockSistema]])</f>
        <v/>
      </c>
      <c r="K128" s="52" t="str">
        <f>IF($J128="","",$J128*N('15_STOCK'!$O128))</f>
        <v/>
      </c>
      <c r="L128" s="41" t="str">
        <f>IF(tblConteo[[#This Row],[Diferencia]]="","",IF(tblConteo[[#This Row],[Diferencia]]=0,"✔ Cuadra",IF(tblConteo[[#This Row],[Diferencia]]&gt;0,"▲ Sobrante","▼ Faltante")))</f>
        <v/>
      </c>
      <c r="M12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29" spans="2:13" x14ac:dyDescent="0.25">
      <c r="B129" s="40" t="str">
        <f>IF('05_PRODUCTOS'!$B129="","",'05_PRODUCTOS'!$B129)</f>
        <v/>
      </c>
      <c r="C129" s="43" t="str">
        <f>IF($B129="","",'05_PRODUCTOS'!$C129)</f>
        <v/>
      </c>
      <c r="D129" s="43" t="str">
        <f>IF($B129="","",'05_PRODUCTOS'!$D129)</f>
        <v/>
      </c>
      <c r="E129" s="40" t="str">
        <f>IF($B129="","",'05_PRODUCTOS'!$J129&amp;"")</f>
        <v/>
      </c>
      <c r="F129" s="40" t="str">
        <f>IF($B129="","",'05_PRODUCTOS'!$E129)</f>
        <v/>
      </c>
      <c r="G129" s="40" t="str">
        <f>IF($B129="","",IF('05_PRODUCTOS'!$K129="NO","NO","SI"))</f>
        <v/>
      </c>
      <c r="H129" s="49" t="str">
        <f>IF($B129="","",N('15_STOCK'!$J129))</f>
        <v/>
      </c>
      <c r="I129" s="39"/>
      <c r="J129" s="48" t="str">
        <f>IF(OR(tblConteo[[#This Row],[SKU]]="",tblConteo[[#This Row],[Conteo]]=""),"",tblConteo[[#This Row],[Conteo]]-tblConteo[[#This Row],[StockSistema]])</f>
        <v/>
      </c>
      <c r="K129" s="52" t="str">
        <f>IF($J129="","",$J129*N('15_STOCK'!$O129))</f>
        <v/>
      </c>
      <c r="L129" s="41" t="str">
        <f>IF(tblConteo[[#This Row],[Diferencia]]="","",IF(tblConteo[[#This Row],[Diferencia]]=0,"✔ Cuadra",IF(tblConteo[[#This Row],[Diferencia]]&gt;0,"▲ Sobrante","▼ Faltante")))</f>
        <v/>
      </c>
      <c r="M12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0" spans="2:13" x14ac:dyDescent="0.25">
      <c r="B130" s="40" t="str">
        <f>IF('05_PRODUCTOS'!$B130="","",'05_PRODUCTOS'!$B130)</f>
        <v/>
      </c>
      <c r="C130" s="43" t="str">
        <f>IF($B130="","",'05_PRODUCTOS'!$C130)</f>
        <v/>
      </c>
      <c r="D130" s="43" t="str">
        <f>IF($B130="","",'05_PRODUCTOS'!$D130)</f>
        <v/>
      </c>
      <c r="E130" s="40" t="str">
        <f>IF($B130="","",'05_PRODUCTOS'!$J130&amp;"")</f>
        <v/>
      </c>
      <c r="F130" s="40" t="str">
        <f>IF($B130="","",'05_PRODUCTOS'!$E130)</f>
        <v/>
      </c>
      <c r="G130" s="40" t="str">
        <f>IF($B130="","",IF('05_PRODUCTOS'!$K130="NO","NO","SI"))</f>
        <v/>
      </c>
      <c r="H130" s="49" t="str">
        <f>IF($B130="","",N('15_STOCK'!$J130))</f>
        <v/>
      </c>
      <c r="I130" s="39"/>
      <c r="J130" s="48" t="str">
        <f>IF(OR(tblConteo[[#This Row],[SKU]]="",tblConteo[[#This Row],[Conteo]]=""),"",tblConteo[[#This Row],[Conteo]]-tblConteo[[#This Row],[StockSistema]])</f>
        <v/>
      </c>
      <c r="K130" s="52" t="str">
        <f>IF($J130="","",$J130*N('15_STOCK'!$O130))</f>
        <v/>
      </c>
      <c r="L130" s="41" t="str">
        <f>IF(tblConteo[[#This Row],[Diferencia]]="","",IF(tblConteo[[#This Row],[Diferencia]]=0,"✔ Cuadra",IF(tblConteo[[#This Row],[Diferencia]]&gt;0,"▲ Sobrante","▼ Faltante")))</f>
        <v/>
      </c>
      <c r="M13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1" spans="2:13" x14ac:dyDescent="0.25">
      <c r="B131" s="40" t="str">
        <f>IF('05_PRODUCTOS'!$B131="","",'05_PRODUCTOS'!$B131)</f>
        <v/>
      </c>
      <c r="C131" s="43" t="str">
        <f>IF($B131="","",'05_PRODUCTOS'!$C131)</f>
        <v/>
      </c>
      <c r="D131" s="43" t="str">
        <f>IF($B131="","",'05_PRODUCTOS'!$D131)</f>
        <v/>
      </c>
      <c r="E131" s="40" t="str">
        <f>IF($B131="","",'05_PRODUCTOS'!$J131&amp;"")</f>
        <v/>
      </c>
      <c r="F131" s="40" t="str">
        <f>IF($B131="","",'05_PRODUCTOS'!$E131)</f>
        <v/>
      </c>
      <c r="G131" s="40" t="str">
        <f>IF($B131="","",IF('05_PRODUCTOS'!$K131="NO","NO","SI"))</f>
        <v/>
      </c>
      <c r="H131" s="49" t="str">
        <f>IF($B131="","",N('15_STOCK'!$J131))</f>
        <v/>
      </c>
      <c r="I131" s="39"/>
      <c r="J131" s="48" t="str">
        <f>IF(OR(tblConteo[[#This Row],[SKU]]="",tblConteo[[#This Row],[Conteo]]=""),"",tblConteo[[#This Row],[Conteo]]-tblConteo[[#This Row],[StockSistema]])</f>
        <v/>
      </c>
      <c r="K131" s="52" t="str">
        <f>IF($J131="","",$J131*N('15_STOCK'!$O131))</f>
        <v/>
      </c>
      <c r="L131" s="41" t="str">
        <f>IF(tblConteo[[#This Row],[Diferencia]]="","",IF(tblConteo[[#This Row],[Diferencia]]=0,"✔ Cuadra",IF(tblConteo[[#This Row],[Diferencia]]&gt;0,"▲ Sobrante","▼ Faltante")))</f>
        <v/>
      </c>
      <c r="M13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2" spans="2:13" x14ac:dyDescent="0.25">
      <c r="B132" s="40" t="str">
        <f>IF('05_PRODUCTOS'!$B132="","",'05_PRODUCTOS'!$B132)</f>
        <v/>
      </c>
      <c r="C132" s="43" t="str">
        <f>IF($B132="","",'05_PRODUCTOS'!$C132)</f>
        <v/>
      </c>
      <c r="D132" s="43" t="str">
        <f>IF($B132="","",'05_PRODUCTOS'!$D132)</f>
        <v/>
      </c>
      <c r="E132" s="40" t="str">
        <f>IF($B132="","",'05_PRODUCTOS'!$J132&amp;"")</f>
        <v/>
      </c>
      <c r="F132" s="40" t="str">
        <f>IF($B132="","",'05_PRODUCTOS'!$E132)</f>
        <v/>
      </c>
      <c r="G132" s="40" t="str">
        <f>IF($B132="","",IF('05_PRODUCTOS'!$K132="NO","NO","SI"))</f>
        <v/>
      </c>
      <c r="H132" s="49" t="str">
        <f>IF($B132="","",N('15_STOCK'!$J132))</f>
        <v/>
      </c>
      <c r="I132" s="39"/>
      <c r="J132" s="48" t="str">
        <f>IF(OR(tblConteo[[#This Row],[SKU]]="",tblConteo[[#This Row],[Conteo]]=""),"",tblConteo[[#This Row],[Conteo]]-tblConteo[[#This Row],[StockSistema]])</f>
        <v/>
      </c>
      <c r="K132" s="52" t="str">
        <f>IF($J132="","",$J132*N('15_STOCK'!$O132))</f>
        <v/>
      </c>
      <c r="L132" s="41" t="str">
        <f>IF(tblConteo[[#This Row],[Diferencia]]="","",IF(tblConteo[[#This Row],[Diferencia]]=0,"✔ Cuadra",IF(tblConteo[[#This Row],[Diferencia]]&gt;0,"▲ Sobrante","▼ Faltante")))</f>
        <v/>
      </c>
      <c r="M13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3" spans="2:13" x14ac:dyDescent="0.25">
      <c r="B133" s="40" t="str">
        <f>IF('05_PRODUCTOS'!$B133="","",'05_PRODUCTOS'!$B133)</f>
        <v/>
      </c>
      <c r="C133" s="43" t="str">
        <f>IF($B133="","",'05_PRODUCTOS'!$C133)</f>
        <v/>
      </c>
      <c r="D133" s="43" t="str">
        <f>IF($B133="","",'05_PRODUCTOS'!$D133)</f>
        <v/>
      </c>
      <c r="E133" s="40" t="str">
        <f>IF($B133="","",'05_PRODUCTOS'!$J133&amp;"")</f>
        <v/>
      </c>
      <c r="F133" s="40" t="str">
        <f>IF($B133="","",'05_PRODUCTOS'!$E133)</f>
        <v/>
      </c>
      <c r="G133" s="40" t="str">
        <f>IF($B133="","",IF('05_PRODUCTOS'!$K133="NO","NO","SI"))</f>
        <v/>
      </c>
      <c r="H133" s="49" t="str">
        <f>IF($B133="","",N('15_STOCK'!$J133))</f>
        <v/>
      </c>
      <c r="I133" s="39"/>
      <c r="J133" s="48" t="str">
        <f>IF(OR(tblConteo[[#This Row],[SKU]]="",tblConteo[[#This Row],[Conteo]]=""),"",tblConteo[[#This Row],[Conteo]]-tblConteo[[#This Row],[StockSistema]])</f>
        <v/>
      </c>
      <c r="K133" s="52" t="str">
        <f>IF($J133="","",$J133*N('15_STOCK'!$O133))</f>
        <v/>
      </c>
      <c r="L133" s="41" t="str">
        <f>IF(tblConteo[[#This Row],[Diferencia]]="","",IF(tblConteo[[#This Row],[Diferencia]]=0,"✔ Cuadra",IF(tblConteo[[#This Row],[Diferencia]]&gt;0,"▲ Sobrante","▼ Faltante")))</f>
        <v/>
      </c>
      <c r="M13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4" spans="2:13" x14ac:dyDescent="0.25">
      <c r="B134" s="40" t="str">
        <f>IF('05_PRODUCTOS'!$B134="","",'05_PRODUCTOS'!$B134)</f>
        <v/>
      </c>
      <c r="C134" s="43" t="str">
        <f>IF($B134="","",'05_PRODUCTOS'!$C134)</f>
        <v/>
      </c>
      <c r="D134" s="43" t="str">
        <f>IF($B134="","",'05_PRODUCTOS'!$D134)</f>
        <v/>
      </c>
      <c r="E134" s="40" t="str">
        <f>IF($B134="","",'05_PRODUCTOS'!$J134&amp;"")</f>
        <v/>
      </c>
      <c r="F134" s="40" t="str">
        <f>IF($B134="","",'05_PRODUCTOS'!$E134)</f>
        <v/>
      </c>
      <c r="G134" s="40" t="str">
        <f>IF($B134="","",IF('05_PRODUCTOS'!$K134="NO","NO","SI"))</f>
        <v/>
      </c>
      <c r="H134" s="49" t="str">
        <f>IF($B134="","",N('15_STOCK'!$J134))</f>
        <v/>
      </c>
      <c r="I134" s="39"/>
      <c r="J134" s="48" t="str">
        <f>IF(OR(tblConteo[[#This Row],[SKU]]="",tblConteo[[#This Row],[Conteo]]=""),"",tblConteo[[#This Row],[Conteo]]-tblConteo[[#This Row],[StockSistema]])</f>
        <v/>
      </c>
      <c r="K134" s="52" t="str">
        <f>IF($J134="","",$J134*N('15_STOCK'!$O134))</f>
        <v/>
      </c>
      <c r="L134" s="41" t="str">
        <f>IF(tblConteo[[#This Row],[Diferencia]]="","",IF(tblConteo[[#This Row],[Diferencia]]=0,"✔ Cuadra",IF(tblConteo[[#This Row],[Diferencia]]&gt;0,"▲ Sobrante","▼ Faltante")))</f>
        <v/>
      </c>
      <c r="M13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5" spans="2:13" x14ac:dyDescent="0.25">
      <c r="B135" s="40" t="str">
        <f>IF('05_PRODUCTOS'!$B135="","",'05_PRODUCTOS'!$B135)</f>
        <v/>
      </c>
      <c r="C135" s="43" t="str">
        <f>IF($B135="","",'05_PRODUCTOS'!$C135)</f>
        <v/>
      </c>
      <c r="D135" s="43" t="str">
        <f>IF($B135="","",'05_PRODUCTOS'!$D135)</f>
        <v/>
      </c>
      <c r="E135" s="40" t="str">
        <f>IF($B135="","",'05_PRODUCTOS'!$J135&amp;"")</f>
        <v/>
      </c>
      <c r="F135" s="40" t="str">
        <f>IF($B135="","",'05_PRODUCTOS'!$E135)</f>
        <v/>
      </c>
      <c r="G135" s="40" t="str">
        <f>IF($B135="","",IF('05_PRODUCTOS'!$K135="NO","NO","SI"))</f>
        <v/>
      </c>
      <c r="H135" s="49" t="str">
        <f>IF($B135="","",N('15_STOCK'!$J135))</f>
        <v/>
      </c>
      <c r="I135" s="39"/>
      <c r="J135" s="48" t="str">
        <f>IF(OR(tblConteo[[#This Row],[SKU]]="",tblConteo[[#This Row],[Conteo]]=""),"",tblConteo[[#This Row],[Conteo]]-tblConteo[[#This Row],[StockSistema]])</f>
        <v/>
      </c>
      <c r="K135" s="52" t="str">
        <f>IF($J135="","",$J135*N('15_STOCK'!$O135))</f>
        <v/>
      </c>
      <c r="L135" s="41" t="str">
        <f>IF(tblConteo[[#This Row],[Diferencia]]="","",IF(tblConteo[[#This Row],[Diferencia]]=0,"✔ Cuadra",IF(tblConteo[[#This Row],[Diferencia]]&gt;0,"▲ Sobrante","▼ Faltante")))</f>
        <v/>
      </c>
      <c r="M13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6" spans="2:13" x14ac:dyDescent="0.25">
      <c r="B136" s="40" t="str">
        <f>IF('05_PRODUCTOS'!$B136="","",'05_PRODUCTOS'!$B136)</f>
        <v/>
      </c>
      <c r="C136" s="43" t="str">
        <f>IF($B136="","",'05_PRODUCTOS'!$C136)</f>
        <v/>
      </c>
      <c r="D136" s="43" t="str">
        <f>IF($B136="","",'05_PRODUCTOS'!$D136)</f>
        <v/>
      </c>
      <c r="E136" s="40" t="str">
        <f>IF($B136="","",'05_PRODUCTOS'!$J136&amp;"")</f>
        <v/>
      </c>
      <c r="F136" s="40" t="str">
        <f>IF($B136="","",'05_PRODUCTOS'!$E136)</f>
        <v/>
      </c>
      <c r="G136" s="40" t="str">
        <f>IF($B136="","",IF('05_PRODUCTOS'!$K136="NO","NO","SI"))</f>
        <v/>
      </c>
      <c r="H136" s="49" t="str">
        <f>IF($B136="","",N('15_STOCK'!$J136))</f>
        <v/>
      </c>
      <c r="I136" s="39"/>
      <c r="J136" s="48" t="str">
        <f>IF(OR(tblConteo[[#This Row],[SKU]]="",tblConteo[[#This Row],[Conteo]]=""),"",tblConteo[[#This Row],[Conteo]]-tblConteo[[#This Row],[StockSistema]])</f>
        <v/>
      </c>
      <c r="K136" s="52" t="str">
        <f>IF($J136="","",$J136*N('15_STOCK'!$O136))</f>
        <v/>
      </c>
      <c r="L136" s="41" t="str">
        <f>IF(tblConteo[[#This Row],[Diferencia]]="","",IF(tblConteo[[#This Row],[Diferencia]]=0,"✔ Cuadra",IF(tblConteo[[#This Row],[Diferencia]]&gt;0,"▲ Sobrante","▼ Faltante")))</f>
        <v/>
      </c>
      <c r="M13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7" spans="2:13" x14ac:dyDescent="0.25">
      <c r="B137" s="40" t="str">
        <f>IF('05_PRODUCTOS'!$B137="","",'05_PRODUCTOS'!$B137)</f>
        <v/>
      </c>
      <c r="C137" s="43" t="str">
        <f>IF($B137="","",'05_PRODUCTOS'!$C137)</f>
        <v/>
      </c>
      <c r="D137" s="43" t="str">
        <f>IF($B137="","",'05_PRODUCTOS'!$D137)</f>
        <v/>
      </c>
      <c r="E137" s="40" t="str">
        <f>IF($B137="","",'05_PRODUCTOS'!$J137&amp;"")</f>
        <v/>
      </c>
      <c r="F137" s="40" t="str">
        <f>IF($B137="","",'05_PRODUCTOS'!$E137)</f>
        <v/>
      </c>
      <c r="G137" s="40" t="str">
        <f>IF($B137="","",IF('05_PRODUCTOS'!$K137="NO","NO","SI"))</f>
        <v/>
      </c>
      <c r="H137" s="49" t="str">
        <f>IF($B137="","",N('15_STOCK'!$J137))</f>
        <v/>
      </c>
      <c r="I137" s="39"/>
      <c r="J137" s="48" t="str">
        <f>IF(OR(tblConteo[[#This Row],[SKU]]="",tblConteo[[#This Row],[Conteo]]=""),"",tblConteo[[#This Row],[Conteo]]-tblConteo[[#This Row],[StockSistema]])</f>
        <v/>
      </c>
      <c r="K137" s="52" t="str">
        <f>IF($J137="","",$J137*N('15_STOCK'!$O137))</f>
        <v/>
      </c>
      <c r="L137" s="41" t="str">
        <f>IF(tblConteo[[#This Row],[Diferencia]]="","",IF(tblConteo[[#This Row],[Diferencia]]=0,"✔ Cuadra",IF(tblConteo[[#This Row],[Diferencia]]&gt;0,"▲ Sobrante","▼ Faltante")))</f>
        <v/>
      </c>
      <c r="M13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8" spans="2:13" x14ac:dyDescent="0.25">
      <c r="B138" s="40" t="str">
        <f>IF('05_PRODUCTOS'!$B138="","",'05_PRODUCTOS'!$B138)</f>
        <v/>
      </c>
      <c r="C138" s="43" t="str">
        <f>IF($B138="","",'05_PRODUCTOS'!$C138)</f>
        <v/>
      </c>
      <c r="D138" s="43" t="str">
        <f>IF($B138="","",'05_PRODUCTOS'!$D138)</f>
        <v/>
      </c>
      <c r="E138" s="40" t="str">
        <f>IF($B138="","",'05_PRODUCTOS'!$J138&amp;"")</f>
        <v/>
      </c>
      <c r="F138" s="40" t="str">
        <f>IF($B138="","",'05_PRODUCTOS'!$E138)</f>
        <v/>
      </c>
      <c r="G138" s="40" t="str">
        <f>IF($B138="","",IF('05_PRODUCTOS'!$K138="NO","NO","SI"))</f>
        <v/>
      </c>
      <c r="H138" s="49" t="str">
        <f>IF($B138="","",N('15_STOCK'!$J138))</f>
        <v/>
      </c>
      <c r="I138" s="39"/>
      <c r="J138" s="48" t="str">
        <f>IF(OR(tblConteo[[#This Row],[SKU]]="",tblConteo[[#This Row],[Conteo]]=""),"",tblConteo[[#This Row],[Conteo]]-tblConteo[[#This Row],[StockSistema]])</f>
        <v/>
      </c>
      <c r="K138" s="52" t="str">
        <f>IF($J138="","",$J138*N('15_STOCK'!$O138))</f>
        <v/>
      </c>
      <c r="L138" s="41" t="str">
        <f>IF(tblConteo[[#This Row],[Diferencia]]="","",IF(tblConteo[[#This Row],[Diferencia]]=0,"✔ Cuadra",IF(tblConteo[[#This Row],[Diferencia]]&gt;0,"▲ Sobrante","▼ Faltante")))</f>
        <v/>
      </c>
      <c r="M13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39" spans="2:13" x14ac:dyDescent="0.25">
      <c r="B139" s="40" t="str">
        <f>IF('05_PRODUCTOS'!$B139="","",'05_PRODUCTOS'!$B139)</f>
        <v/>
      </c>
      <c r="C139" s="43" t="str">
        <f>IF($B139="","",'05_PRODUCTOS'!$C139)</f>
        <v/>
      </c>
      <c r="D139" s="43" t="str">
        <f>IF($B139="","",'05_PRODUCTOS'!$D139)</f>
        <v/>
      </c>
      <c r="E139" s="40" t="str">
        <f>IF($B139="","",'05_PRODUCTOS'!$J139&amp;"")</f>
        <v/>
      </c>
      <c r="F139" s="40" t="str">
        <f>IF($B139="","",'05_PRODUCTOS'!$E139)</f>
        <v/>
      </c>
      <c r="G139" s="40" t="str">
        <f>IF($B139="","",IF('05_PRODUCTOS'!$K139="NO","NO","SI"))</f>
        <v/>
      </c>
      <c r="H139" s="49" t="str">
        <f>IF($B139="","",N('15_STOCK'!$J139))</f>
        <v/>
      </c>
      <c r="I139" s="39"/>
      <c r="J139" s="48" t="str">
        <f>IF(OR(tblConteo[[#This Row],[SKU]]="",tblConteo[[#This Row],[Conteo]]=""),"",tblConteo[[#This Row],[Conteo]]-tblConteo[[#This Row],[StockSistema]])</f>
        <v/>
      </c>
      <c r="K139" s="52" t="str">
        <f>IF($J139="","",$J139*N('15_STOCK'!$O139))</f>
        <v/>
      </c>
      <c r="L139" s="41" t="str">
        <f>IF(tblConteo[[#This Row],[Diferencia]]="","",IF(tblConteo[[#This Row],[Diferencia]]=0,"✔ Cuadra",IF(tblConteo[[#This Row],[Diferencia]]&gt;0,"▲ Sobrante","▼ Faltante")))</f>
        <v/>
      </c>
      <c r="M13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0" spans="2:13" x14ac:dyDescent="0.25">
      <c r="B140" s="40" t="str">
        <f>IF('05_PRODUCTOS'!$B140="","",'05_PRODUCTOS'!$B140)</f>
        <v/>
      </c>
      <c r="C140" s="43" t="str">
        <f>IF($B140="","",'05_PRODUCTOS'!$C140)</f>
        <v/>
      </c>
      <c r="D140" s="43" t="str">
        <f>IF($B140="","",'05_PRODUCTOS'!$D140)</f>
        <v/>
      </c>
      <c r="E140" s="40" t="str">
        <f>IF($B140="","",'05_PRODUCTOS'!$J140&amp;"")</f>
        <v/>
      </c>
      <c r="F140" s="40" t="str">
        <f>IF($B140="","",'05_PRODUCTOS'!$E140)</f>
        <v/>
      </c>
      <c r="G140" s="40" t="str">
        <f>IF($B140="","",IF('05_PRODUCTOS'!$K140="NO","NO","SI"))</f>
        <v/>
      </c>
      <c r="H140" s="49" t="str">
        <f>IF($B140="","",N('15_STOCK'!$J140))</f>
        <v/>
      </c>
      <c r="I140" s="39"/>
      <c r="J140" s="48" t="str">
        <f>IF(OR(tblConteo[[#This Row],[SKU]]="",tblConteo[[#This Row],[Conteo]]=""),"",tblConteo[[#This Row],[Conteo]]-tblConteo[[#This Row],[StockSistema]])</f>
        <v/>
      </c>
      <c r="K140" s="52" t="str">
        <f>IF($J140="","",$J140*N('15_STOCK'!$O140))</f>
        <v/>
      </c>
      <c r="L140" s="41" t="str">
        <f>IF(tblConteo[[#This Row],[Diferencia]]="","",IF(tblConteo[[#This Row],[Diferencia]]=0,"✔ Cuadra",IF(tblConteo[[#This Row],[Diferencia]]&gt;0,"▲ Sobrante","▼ Faltante")))</f>
        <v/>
      </c>
      <c r="M14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1" spans="2:13" x14ac:dyDescent="0.25">
      <c r="B141" s="40" t="str">
        <f>IF('05_PRODUCTOS'!$B141="","",'05_PRODUCTOS'!$B141)</f>
        <v/>
      </c>
      <c r="C141" s="43" t="str">
        <f>IF($B141="","",'05_PRODUCTOS'!$C141)</f>
        <v/>
      </c>
      <c r="D141" s="43" t="str">
        <f>IF($B141="","",'05_PRODUCTOS'!$D141)</f>
        <v/>
      </c>
      <c r="E141" s="40" t="str">
        <f>IF($B141="","",'05_PRODUCTOS'!$J141&amp;"")</f>
        <v/>
      </c>
      <c r="F141" s="40" t="str">
        <f>IF($B141="","",'05_PRODUCTOS'!$E141)</f>
        <v/>
      </c>
      <c r="G141" s="40" t="str">
        <f>IF($B141="","",IF('05_PRODUCTOS'!$K141="NO","NO","SI"))</f>
        <v/>
      </c>
      <c r="H141" s="49" t="str">
        <f>IF($B141="","",N('15_STOCK'!$J141))</f>
        <v/>
      </c>
      <c r="I141" s="39"/>
      <c r="J141" s="48" t="str">
        <f>IF(OR(tblConteo[[#This Row],[SKU]]="",tblConteo[[#This Row],[Conteo]]=""),"",tblConteo[[#This Row],[Conteo]]-tblConteo[[#This Row],[StockSistema]])</f>
        <v/>
      </c>
      <c r="K141" s="52" t="str">
        <f>IF($J141="","",$J141*N('15_STOCK'!$O141))</f>
        <v/>
      </c>
      <c r="L141" s="41" t="str">
        <f>IF(tblConteo[[#This Row],[Diferencia]]="","",IF(tblConteo[[#This Row],[Diferencia]]=0,"✔ Cuadra",IF(tblConteo[[#This Row],[Diferencia]]&gt;0,"▲ Sobrante","▼ Faltante")))</f>
        <v/>
      </c>
      <c r="M14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2" spans="2:13" x14ac:dyDescent="0.25">
      <c r="B142" s="40" t="str">
        <f>IF('05_PRODUCTOS'!$B142="","",'05_PRODUCTOS'!$B142)</f>
        <v/>
      </c>
      <c r="C142" s="43" t="str">
        <f>IF($B142="","",'05_PRODUCTOS'!$C142)</f>
        <v/>
      </c>
      <c r="D142" s="43" t="str">
        <f>IF($B142="","",'05_PRODUCTOS'!$D142)</f>
        <v/>
      </c>
      <c r="E142" s="40" t="str">
        <f>IF($B142="","",'05_PRODUCTOS'!$J142&amp;"")</f>
        <v/>
      </c>
      <c r="F142" s="40" t="str">
        <f>IF($B142="","",'05_PRODUCTOS'!$E142)</f>
        <v/>
      </c>
      <c r="G142" s="40" t="str">
        <f>IF($B142="","",IF('05_PRODUCTOS'!$K142="NO","NO","SI"))</f>
        <v/>
      </c>
      <c r="H142" s="49" t="str">
        <f>IF($B142="","",N('15_STOCK'!$J142))</f>
        <v/>
      </c>
      <c r="I142" s="39"/>
      <c r="J142" s="48" t="str">
        <f>IF(OR(tblConteo[[#This Row],[SKU]]="",tblConteo[[#This Row],[Conteo]]=""),"",tblConteo[[#This Row],[Conteo]]-tblConteo[[#This Row],[StockSistema]])</f>
        <v/>
      </c>
      <c r="K142" s="52" t="str">
        <f>IF($J142="","",$J142*N('15_STOCK'!$O142))</f>
        <v/>
      </c>
      <c r="L142" s="41" t="str">
        <f>IF(tblConteo[[#This Row],[Diferencia]]="","",IF(tblConteo[[#This Row],[Diferencia]]=0,"✔ Cuadra",IF(tblConteo[[#This Row],[Diferencia]]&gt;0,"▲ Sobrante","▼ Faltante")))</f>
        <v/>
      </c>
      <c r="M14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3" spans="2:13" x14ac:dyDescent="0.25">
      <c r="B143" s="40" t="str">
        <f>IF('05_PRODUCTOS'!$B143="","",'05_PRODUCTOS'!$B143)</f>
        <v/>
      </c>
      <c r="C143" s="43" t="str">
        <f>IF($B143="","",'05_PRODUCTOS'!$C143)</f>
        <v/>
      </c>
      <c r="D143" s="43" t="str">
        <f>IF($B143="","",'05_PRODUCTOS'!$D143)</f>
        <v/>
      </c>
      <c r="E143" s="40" t="str">
        <f>IF($B143="","",'05_PRODUCTOS'!$J143&amp;"")</f>
        <v/>
      </c>
      <c r="F143" s="40" t="str">
        <f>IF($B143="","",'05_PRODUCTOS'!$E143)</f>
        <v/>
      </c>
      <c r="G143" s="40" t="str">
        <f>IF($B143="","",IF('05_PRODUCTOS'!$K143="NO","NO","SI"))</f>
        <v/>
      </c>
      <c r="H143" s="49" t="str">
        <f>IF($B143="","",N('15_STOCK'!$J143))</f>
        <v/>
      </c>
      <c r="I143" s="39"/>
      <c r="J143" s="48" t="str">
        <f>IF(OR(tblConteo[[#This Row],[SKU]]="",tblConteo[[#This Row],[Conteo]]=""),"",tblConteo[[#This Row],[Conteo]]-tblConteo[[#This Row],[StockSistema]])</f>
        <v/>
      </c>
      <c r="K143" s="52" t="str">
        <f>IF($J143="","",$J143*N('15_STOCK'!$O143))</f>
        <v/>
      </c>
      <c r="L143" s="41" t="str">
        <f>IF(tblConteo[[#This Row],[Diferencia]]="","",IF(tblConteo[[#This Row],[Diferencia]]=0,"✔ Cuadra",IF(tblConteo[[#This Row],[Diferencia]]&gt;0,"▲ Sobrante","▼ Faltante")))</f>
        <v/>
      </c>
      <c r="M14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4" spans="2:13" x14ac:dyDescent="0.25">
      <c r="B144" s="40" t="str">
        <f>IF('05_PRODUCTOS'!$B144="","",'05_PRODUCTOS'!$B144)</f>
        <v/>
      </c>
      <c r="C144" s="43" t="str">
        <f>IF($B144="","",'05_PRODUCTOS'!$C144)</f>
        <v/>
      </c>
      <c r="D144" s="43" t="str">
        <f>IF($B144="","",'05_PRODUCTOS'!$D144)</f>
        <v/>
      </c>
      <c r="E144" s="40" t="str">
        <f>IF($B144="","",'05_PRODUCTOS'!$J144&amp;"")</f>
        <v/>
      </c>
      <c r="F144" s="40" t="str">
        <f>IF($B144="","",'05_PRODUCTOS'!$E144)</f>
        <v/>
      </c>
      <c r="G144" s="40" t="str">
        <f>IF($B144="","",IF('05_PRODUCTOS'!$K144="NO","NO","SI"))</f>
        <v/>
      </c>
      <c r="H144" s="49" t="str">
        <f>IF($B144="","",N('15_STOCK'!$J144))</f>
        <v/>
      </c>
      <c r="I144" s="39"/>
      <c r="J144" s="48" t="str">
        <f>IF(OR(tblConteo[[#This Row],[SKU]]="",tblConteo[[#This Row],[Conteo]]=""),"",tblConteo[[#This Row],[Conteo]]-tblConteo[[#This Row],[StockSistema]])</f>
        <v/>
      </c>
      <c r="K144" s="52" t="str">
        <f>IF($J144="","",$J144*N('15_STOCK'!$O144))</f>
        <v/>
      </c>
      <c r="L144" s="41" t="str">
        <f>IF(tblConteo[[#This Row],[Diferencia]]="","",IF(tblConteo[[#This Row],[Diferencia]]=0,"✔ Cuadra",IF(tblConteo[[#This Row],[Diferencia]]&gt;0,"▲ Sobrante","▼ Faltante")))</f>
        <v/>
      </c>
      <c r="M14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5" spans="2:13" x14ac:dyDescent="0.25">
      <c r="B145" s="40" t="str">
        <f>IF('05_PRODUCTOS'!$B145="","",'05_PRODUCTOS'!$B145)</f>
        <v/>
      </c>
      <c r="C145" s="43" t="str">
        <f>IF($B145="","",'05_PRODUCTOS'!$C145)</f>
        <v/>
      </c>
      <c r="D145" s="43" t="str">
        <f>IF($B145="","",'05_PRODUCTOS'!$D145)</f>
        <v/>
      </c>
      <c r="E145" s="40" t="str">
        <f>IF($B145="","",'05_PRODUCTOS'!$J145&amp;"")</f>
        <v/>
      </c>
      <c r="F145" s="40" t="str">
        <f>IF($B145="","",'05_PRODUCTOS'!$E145)</f>
        <v/>
      </c>
      <c r="G145" s="40" t="str">
        <f>IF($B145="","",IF('05_PRODUCTOS'!$K145="NO","NO","SI"))</f>
        <v/>
      </c>
      <c r="H145" s="49" t="str">
        <f>IF($B145="","",N('15_STOCK'!$J145))</f>
        <v/>
      </c>
      <c r="I145" s="39"/>
      <c r="J145" s="48" t="str">
        <f>IF(OR(tblConteo[[#This Row],[SKU]]="",tblConteo[[#This Row],[Conteo]]=""),"",tblConteo[[#This Row],[Conteo]]-tblConteo[[#This Row],[StockSistema]])</f>
        <v/>
      </c>
      <c r="K145" s="52" t="str">
        <f>IF($J145="","",$J145*N('15_STOCK'!$O145))</f>
        <v/>
      </c>
      <c r="L145" s="41" t="str">
        <f>IF(tblConteo[[#This Row],[Diferencia]]="","",IF(tblConteo[[#This Row],[Diferencia]]=0,"✔ Cuadra",IF(tblConteo[[#This Row],[Diferencia]]&gt;0,"▲ Sobrante","▼ Faltante")))</f>
        <v/>
      </c>
      <c r="M14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6" spans="2:13" x14ac:dyDescent="0.25">
      <c r="B146" s="40" t="str">
        <f>IF('05_PRODUCTOS'!$B146="","",'05_PRODUCTOS'!$B146)</f>
        <v/>
      </c>
      <c r="C146" s="43" t="str">
        <f>IF($B146="","",'05_PRODUCTOS'!$C146)</f>
        <v/>
      </c>
      <c r="D146" s="43" t="str">
        <f>IF($B146="","",'05_PRODUCTOS'!$D146)</f>
        <v/>
      </c>
      <c r="E146" s="40" t="str">
        <f>IF($B146="","",'05_PRODUCTOS'!$J146&amp;"")</f>
        <v/>
      </c>
      <c r="F146" s="40" t="str">
        <f>IF($B146="","",'05_PRODUCTOS'!$E146)</f>
        <v/>
      </c>
      <c r="G146" s="40" t="str">
        <f>IF($B146="","",IF('05_PRODUCTOS'!$K146="NO","NO","SI"))</f>
        <v/>
      </c>
      <c r="H146" s="49" t="str">
        <f>IF($B146="","",N('15_STOCK'!$J146))</f>
        <v/>
      </c>
      <c r="I146" s="39"/>
      <c r="J146" s="48" t="str">
        <f>IF(OR(tblConteo[[#This Row],[SKU]]="",tblConteo[[#This Row],[Conteo]]=""),"",tblConteo[[#This Row],[Conteo]]-tblConteo[[#This Row],[StockSistema]])</f>
        <v/>
      </c>
      <c r="K146" s="52" t="str">
        <f>IF($J146="","",$J146*N('15_STOCK'!$O146))</f>
        <v/>
      </c>
      <c r="L146" s="41" t="str">
        <f>IF(tblConteo[[#This Row],[Diferencia]]="","",IF(tblConteo[[#This Row],[Diferencia]]=0,"✔ Cuadra",IF(tblConteo[[#This Row],[Diferencia]]&gt;0,"▲ Sobrante","▼ Faltante")))</f>
        <v/>
      </c>
      <c r="M14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7" spans="2:13" x14ac:dyDescent="0.25">
      <c r="B147" s="40" t="str">
        <f>IF('05_PRODUCTOS'!$B147="","",'05_PRODUCTOS'!$B147)</f>
        <v/>
      </c>
      <c r="C147" s="43" t="str">
        <f>IF($B147="","",'05_PRODUCTOS'!$C147)</f>
        <v/>
      </c>
      <c r="D147" s="43" t="str">
        <f>IF($B147="","",'05_PRODUCTOS'!$D147)</f>
        <v/>
      </c>
      <c r="E147" s="40" t="str">
        <f>IF($B147="","",'05_PRODUCTOS'!$J147&amp;"")</f>
        <v/>
      </c>
      <c r="F147" s="40" t="str">
        <f>IF($B147="","",'05_PRODUCTOS'!$E147)</f>
        <v/>
      </c>
      <c r="G147" s="40" t="str">
        <f>IF($B147="","",IF('05_PRODUCTOS'!$K147="NO","NO","SI"))</f>
        <v/>
      </c>
      <c r="H147" s="49" t="str">
        <f>IF($B147="","",N('15_STOCK'!$J147))</f>
        <v/>
      </c>
      <c r="I147" s="39"/>
      <c r="J147" s="48" t="str">
        <f>IF(OR(tblConteo[[#This Row],[SKU]]="",tblConteo[[#This Row],[Conteo]]=""),"",tblConteo[[#This Row],[Conteo]]-tblConteo[[#This Row],[StockSistema]])</f>
        <v/>
      </c>
      <c r="K147" s="52" t="str">
        <f>IF($J147="","",$J147*N('15_STOCK'!$O147))</f>
        <v/>
      </c>
      <c r="L147" s="41" t="str">
        <f>IF(tblConteo[[#This Row],[Diferencia]]="","",IF(tblConteo[[#This Row],[Diferencia]]=0,"✔ Cuadra",IF(tblConteo[[#This Row],[Diferencia]]&gt;0,"▲ Sobrante","▼ Faltante")))</f>
        <v/>
      </c>
      <c r="M14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8" spans="2:13" x14ac:dyDescent="0.25">
      <c r="B148" s="40" t="str">
        <f>IF('05_PRODUCTOS'!$B148="","",'05_PRODUCTOS'!$B148)</f>
        <v/>
      </c>
      <c r="C148" s="43" t="str">
        <f>IF($B148="","",'05_PRODUCTOS'!$C148)</f>
        <v/>
      </c>
      <c r="D148" s="43" t="str">
        <f>IF($B148="","",'05_PRODUCTOS'!$D148)</f>
        <v/>
      </c>
      <c r="E148" s="40" t="str">
        <f>IF($B148="","",'05_PRODUCTOS'!$J148&amp;"")</f>
        <v/>
      </c>
      <c r="F148" s="40" t="str">
        <f>IF($B148="","",'05_PRODUCTOS'!$E148)</f>
        <v/>
      </c>
      <c r="G148" s="40" t="str">
        <f>IF($B148="","",IF('05_PRODUCTOS'!$K148="NO","NO","SI"))</f>
        <v/>
      </c>
      <c r="H148" s="49" t="str">
        <f>IF($B148="","",N('15_STOCK'!$J148))</f>
        <v/>
      </c>
      <c r="I148" s="39"/>
      <c r="J148" s="48" t="str">
        <f>IF(OR(tblConteo[[#This Row],[SKU]]="",tblConteo[[#This Row],[Conteo]]=""),"",tblConteo[[#This Row],[Conteo]]-tblConteo[[#This Row],[StockSistema]])</f>
        <v/>
      </c>
      <c r="K148" s="52" t="str">
        <f>IF($J148="","",$J148*N('15_STOCK'!$O148))</f>
        <v/>
      </c>
      <c r="L148" s="41" t="str">
        <f>IF(tblConteo[[#This Row],[Diferencia]]="","",IF(tblConteo[[#This Row],[Diferencia]]=0,"✔ Cuadra",IF(tblConteo[[#This Row],[Diferencia]]&gt;0,"▲ Sobrante","▼ Faltante")))</f>
        <v/>
      </c>
      <c r="M14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49" spans="2:13" x14ac:dyDescent="0.25">
      <c r="B149" s="40" t="str">
        <f>IF('05_PRODUCTOS'!$B149="","",'05_PRODUCTOS'!$B149)</f>
        <v/>
      </c>
      <c r="C149" s="43" t="str">
        <f>IF($B149="","",'05_PRODUCTOS'!$C149)</f>
        <v/>
      </c>
      <c r="D149" s="43" t="str">
        <f>IF($B149="","",'05_PRODUCTOS'!$D149)</f>
        <v/>
      </c>
      <c r="E149" s="40" t="str">
        <f>IF($B149="","",'05_PRODUCTOS'!$J149&amp;"")</f>
        <v/>
      </c>
      <c r="F149" s="40" t="str">
        <f>IF($B149="","",'05_PRODUCTOS'!$E149)</f>
        <v/>
      </c>
      <c r="G149" s="40" t="str">
        <f>IF($B149="","",IF('05_PRODUCTOS'!$K149="NO","NO","SI"))</f>
        <v/>
      </c>
      <c r="H149" s="49" t="str">
        <f>IF($B149="","",N('15_STOCK'!$J149))</f>
        <v/>
      </c>
      <c r="I149" s="39"/>
      <c r="J149" s="48" t="str">
        <f>IF(OR(tblConteo[[#This Row],[SKU]]="",tblConteo[[#This Row],[Conteo]]=""),"",tblConteo[[#This Row],[Conteo]]-tblConteo[[#This Row],[StockSistema]])</f>
        <v/>
      </c>
      <c r="K149" s="52" t="str">
        <f>IF($J149="","",$J149*N('15_STOCK'!$O149))</f>
        <v/>
      </c>
      <c r="L149" s="41" t="str">
        <f>IF(tblConteo[[#This Row],[Diferencia]]="","",IF(tblConteo[[#This Row],[Diferencia]]=0,"✔ Cuadra",IF(tblConteo[[#This Row],[Diferencia]]&gt;0,"▲ Sobrante","▼ Faltante")))</f>
        <v/>
      </c>
      <c r="M14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0" spans="2:13" x14ac:dyDescent="0.25">
      <c r="B150" s="40" t="str">
        <f>IF('05_PRODUCTOS'!$B150="","",'05_PRODUCTOS'!$B150)</f>
        <v/>
      </c>
      <c r="C150" s="43" t="str">
        <f>IF($B150="","",'05_PRODUCTOS'!$C150)</f>
        <v/>
      </c>
      <c r="D150" s="43" t="str">
        <f>IF($B150="","",'05_PRODUCTOS'!$D150)</f>
        <v/>
      </c>
      <c r="E150" s="40" t="str">
        <f>IF($B150="","",'05_PRODUCTOS'!$J150&amp;"")</f>
        <v/>
      </c>
      <c r="F150" s="40" t="str">
        <f>IF($B150="","",'05_PRODUCTOS'!$E150)</f>
        <v/>
      </c>
      <c r="G150" s="40" t="str">
        <f>IF($B150="","",IF('05_PRODUCTOS'!$K150="NO","NO","SI"))</f>
        <v/>
      </c>
      <c r="H150" s="49" t="str">
        <f>IF($B150="","",N('15_STOCK'!$J150))</f>
        <v/>
      </c>
      <c r="I150" s="39"/>
      <c r="J150" s="48" t="str">
        <f>IF(OR(tblConteo[[#This Row],[SKU]]="",tblConteo[[#This Row],[Conteo]]=""),"",tblConteo[[#This Row],[Conteo]]-tblConteo[[#This Row],[StockSistema]])</f>
        <v/>
      </c>
      <c r="K150" s="52" t="str">
        <f>IF($J150="","",$J150*N('15_STOCK'!$O150))</f>
        <v/>
      </c>
      <c r="L150" s="41" t="str">
        <f>IF(tblConteo[[#This Row],[Diferencia]]="","",IF(tblConteo[[#This Row],[Diferencia]]=0,"✔ Cuadra",IF(tblConteo[[#This Row],[Diferencia]]&gt;0,"▲ Sobrante","▼ Faltante")))</f>
        <v/>
      </c>
      <c r="M15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1" spans="2:13" x14ac:dyDescent="0.25">
      <c r="B151" s="40" t="str">
        <f>IF('05_PRODUCTOS'!$B151="","",'05_PRODUCTOS'!$B151)</f>
        <v/>
      </c>
      <c r="C151" s="43" t="str">
        <f>IF($B151="","",'05_PRODUCTOS'!$C151)</f>
        <v/>
      </c>
      <c r="D151" s="43" t="str">
        <f>IF($B151="","",'05_PRODUCTOS'!$D151)</f>
        <v/>
      </c>
      <c r="E151" s="40" t="str">
        <f>IF($B151="","",'05_PRODUCTOS'!$J151&amp;"")</f>
        <v/>
      </c>
      <c r="F151" s="40" t="str">
        <f>IF($B151="","",'05_PRODUCTOS'!$E151)</f>
        <v/>
      </c>
      <c r="G151" s="40" t="str">
        <f>IF($B151="","",IF('05_PRODUCTOS'!$K151="NO","NO","SI"))</f>
        <v/>
      </c>
      <c r="H151" s="49" t="str">
        <f>IF($B151="","",N('15_STOCK'!$J151))</f>
        <v/>
      </c>
      <c r="I151" s="39"/>
      <c r="J151" s="48" t="str">
        <f>IF(OR(tblConteo[[#This Row],[SKU]]="",tblConteo[[#This Row],[Conteo]]=""),"",tblConteo[[#This Row],[Conteo]]-tblConteo[[#This Row],[StockSistema]])</f>
        <v/>
      </c>
      <c r="K151" s="52" t="str">
        <f>IF($J151="","",$J151*N('15_STOCK'!$O151))</f>
        <v/>
      </c>
      <c r="L151" s="41" t="str">
        <f>IF(tblConteo[[#This Row],[Diferencia]]="","",IF(tblConteo[[#This Row],[Diferencia]]=0,"✔ Cuadra",IF(tblConteo[[#This Row],[Diferencia]]&gt;0,"▲ Sobrante","▼ Faltante")))</f>
        <v/>
      </c>
      <c r="M15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2" spans="2:13" x14ac:dyDescent="0.25">
      <c r="B152" s="40" t="str">
        <f>IF('05_PRODUCTOS'!$B152="","",'05_PRODUCTOS'!$B152)</f>
        <v/>
      </c>
      <c r="C152" s="43" t="str">
        <f>IF($B152="","",'05_PRODUCTOS'!$C152)</f>
        <v/>
      </c>
      <c r="D152" s="43" t="str">
        <f>IF($B152="","",'05_PRODUCTOS'!$D152)</f>
        <v/>
      </c>
      <c r="E152" s="40" t="str">
        <f>IF($B152="","",'05_PRODUCTOS'!$J152&amp;"")</f>
        <v/>
      </c>
      <c r="F152" s="40" t="str">
        <f>IF($B152="","",'05_PRODUCTOS'!$E152)</f>
        <v/>
      </c>
      <c r="G152" s="40" t="str">
        <f>IF($B152="","",IF('05_PRODUCTOS'!$K152="NO","NO","SI"))</f>
        <v/>
      </c>
      <c r="H152" s="49" t="str">
        <f>IF($B152="","",N('15_STOCK'!$J152))</f>
        <v/>
      </c>
      <c r="I152" s="39"/>
      <c r="J152" s="48" t="str">
        <f>IF(OR(tblConteo[[#This Row],[SKU]]="",tblConteo[[#This Row],[Conteo]]=""),"",tblConteo[[#This Row],[Conteo]]-tblConteo[[#This Row],[StockSistema]])</f>
        <v/>
      </c>
      <c r="K152" s="52" t="str">
        <f>IF($J152="","",$J152*N('15_STOCK'!$O152))</f>
        <v/>
      </c>
      <c r="L152" s="41" t="str">
        <f>IF(tblConteo[[#This Row],[Diferencia]]="","",IF(tblConteo[[#This Row],[Diferencia]]=0,"✔ Cuadra",IF(tblConteo[[#This Row],[Diferencia]]&gt;0,"▲ Sobrante","▼ Faltante")))</f>
        <v/>
      </c>
      <c r="M15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3" spans="2:13" x14ac:dyDescent="0.25">
      <c r="B153" s="40" t="str">
        <f>IF('05_PRODUCTOS'!$B153="","",'05_PRODUCTOS'!$B153)</f>
        <v/>
      </c>
      <c r="C153" s="43" t="str">
        <f>IF($B153="","",'05_PRODUCTOS'!$C153)</f>
        <v/>
      </c>
      <c r="D153" s="43" t="str">
        <f>IF($B153="","",'05_PRODUCTOS'!$D153)</f>
        <v/>
      </c>
      <c r="E153" s="40" t="str">
        <f>IF($B153="","",'05_PRODUCTOS'!$J153&amp;"")</f>
        <v/>
      </c>
      <c r="F153" s="40" t="str">
        <f>IF($B153="","",'05_PRODUCTOS'!$E153)</f>
        <v/>
      </c>
      <c r="G153" s="40" t="str">
        <f>IF($B153="","",IF('05_PRODUCTOS'!$K153="NO","NO","SI"))</f>
        <v/>
      </c>
      <c r="H153" s="49" t="str">
        <f>IF($B153="","",N('15_STOCK'!$J153))</f>
        <v/>
      </c>
      <c r="I153" s="39"/>
      <c r="J153" s="48" t="str">
        <f>IF(OR(tblConteo[[#This Row],[SKU]]="",tblConteo[[#This Row],[Conteo]]=""),"",tblConteo[[#This Row],[Conteo]]-tblConteo[[#This Row],[StockSistema]])</f>
        <v/>
      </c>
      <c r="K153" s="52" t="str">
        <f>IF($J153="","",$J153*N('15_STOCK'!$O153))</f>
        <v/>
      </c>
      <c r="L153" s="41" t="str">
        <f>IF(tblConteo[[#This Row],[Diferencia]]="","",IF(tblConteo[[#This Row],[Diferencia]]=0,"✔ Cuadra",IF(tblConteo[[#This Row],[Diferencia]]&gt;0,"▲ Sobrante","▼ Faltante")))</f>
        <v/>
      </c>
      <c r="M15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4" spans="2:13" x14ac:dyDescent="0.25">
      <c r="B154" s="40" t="str">
        <f>IF('05_PRODUCTOS'!$B154="","",'05_PRODUCTOS'!$B154)</f>
        <v/>
      </c>
      <c r="C154" s="43" t="str">
        <f>IF($B154="","",'05_PRODUCTOS'!$C154)</f>
        <v/>
      </c>
      <c r="D154" s="43" t="str">
        <f>IF($B154="","",'05_PRODUCTOS'!$D154)</f>
        <v/>
      </c>
      <c r="E154" s="40" t="str">
        <f>IF($B154="","",'05_PRODUCTOS'!$J154&amp;"")</f>
        <v/>
      </c>
      <c r="F154" s="40" t="str">
        <f>IF($B154="","",'05_PRODUCTOS'!$E154)</f>
        <v/>
      </c>
      <c r="G154" s="40" t="str">
        <f>IF($B154="","",IF('05_PRODUCTOS'!$K154="NO","NO","SI"))</f>
        <v/>
      </c>
      <c r="H154" s="49" t="str">
        <f>IF($B154="","",N('15_STOCK'!$J154))</f>
        <v/>
      </c>
      <c r="I154" s="39"/>
      <c r="J154" s="48" t="str">
        <f>IF(OR(tblConteo[[#This Row],[SKU]]="",tblConteo[[#This Row],[Conteo]]=""),"",tblConteo[[#This Row],[Conteo]]-tblConteo[[#This Row],[StockSistema]])</f>
        <v/>
      </c>
      <c r="K154" s="52" t="str">
        <f>IF($J154="","",$J154*N('15_STOCK'!$O154))</f>
        <v/>
      </c>
      <c r="L154" s="41" t="str">
        <f>IF(tblConteo[[#This Row],[Diferencia]]="","",IF(tblConteo[[#This Row],[Diferencia]]=0,"✔ Cuadra",IF(tblConteo[[#This Row],[Diferencia]]&gt;0,"▲ Sobrante","▼ Faltante")))</f>
        <v/>
      </c>
      <c r="M15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5" spans="2:13" x14ac:dyDescent="0.25">
      <c r="B155" s="40" t="str">
        <f>IF('05_PRODUCTOS'!$B155="","",'05_PRODUCTOS'!$B155)</f>
        <v/>
      </c>
      <c r="C155" s="43" t="str">
        <f>IF($B155="","",'05_PRODUCTOS'!$C155)</f>
        <v/>
      </c>
      <c r="D155" s="43" t="str">
        <f>IF($B155="","",'05_PRODUCTOS'!$D155)</f>
        <v/>
      </c>
      <c r="E155" s="40" t="str">
        <f>IF($B155="","",'05_PRODUCTOS'!$J155&amp;"")</f>
        <v/>
      </c>
      <c r="F155" s="40" t="str">
        <f>IF($B155="","",'05_PRODUCTOS'!$E155)</f>
        <v/>
      </c>
      <c r="G155" s="40" t="str">
        <f>IF($B155="","",IF('05_PRODUCTOS'!$K155="NO","NO","SI"))</f>
        <v/>
      </c>
      <c r="H155" s="49" t="str">
        <f>IF($B155="","",N('15_STOCK'!$J155))</f>
        <v/>
      </c>
      <c r="I155" s="39"/>
      <c r="J155" s="48" t="str">
        <f>IF(OR(tblConteo[[#This Row],[SKU]]="",tblConteo[[#This Row],[Conteo]]=""),"",tblConteo[[#This Row],[Conteo]]-tblConteo[[#This Row],[StockSistema]])</f>
        <v/>
      </c>
      <c r="K155" s="52" t="str">
        <f>IF($J155="","",$J155*N('15_STOCK'!$O155))</f>
        <v/>
      </c>
      <c r="L155" s="41" t="str">
        <f>IF(tblConteo[[#This Row],[Diferencia]]="","",IF(tblConteo[[#This Row],[Diferencia]]=0,"✔ Cuadra",IF(tblConteo[[#This Row],[Diferencia]]&gt;0,"▲ Sobrante","▼ Faltante")))</f>
        <v/>
      </c>
      <c r="M15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6" spans="2:13" x14ac:dyDescent="0.25">
      <c r="B156" s="40" t="str">
        <f>IF('05_PRODUCTOS'!$B156="","",'05_PRODUCTOS'!$B156)</f>
        <v/>
      </c>
      <c r="C156" s="43" t="str">
        <f>IF($B156="","",'05_PRODUCTOS'!$C156)</f>
        <v/>
      </c>
      <c r="D156" s="43" t="str">
        <f>IF($B156="","",'05_PRODUCTOS'!$D156)</f>
        <v/>
      </c>
      <c r="E156" s="40" t="str">
        <f>IF($B156="","",'05_PRODUCTOS'!$J156&amp;"")</f>
        <v/>
      </c>
      <c r="F156" s="40" t="str">
        <f>IF($B156="","",'05_PRODUCTOS'!$E156)</f>
        <v/>
      </c>
      <c r="G156" s="40" t="str">
        <f>IF($B156="","",IF('05_PRODUCTOS'!$K156="NO","NO","SI"))</f>
        <v/>
      </c>
      <c r="H156" s="49" t="str">
        <f>IF($B156="","",N('15_STOCK'!$J156))</f>
        <v/>
      </c>
      <c r="I156" s="39"/>
      <c r="J156" s="48" t="str">
        <f>IF(OR(tblConteo[[#This Row],[SKU]]="",tblConteo[[#This Row],[Conteo]]=""),"",tblConteo[[#This Row],[Conteo]]-tblConteo[[#This Row],[StockSistema]])</f>
        <v/>
      </c>
      <c r="K156" s="52" t="str">
        <f>IF($J156="","",$J156*N('15_STOCK'!$O156))</f>
        <v/>
      </c>
      <c r="L156" s="41" t="str">
        <f>IF(tblConteo[[#This Row],[Diferencia]]="","",IF(tblConteo[[#This Row],[Diferencia]]=0,"✔ Cuadra",IF(tblConteo[[#This Row],[Diferencia]]&gt;0,"▲ Sobrante","▼ Faltante")))</f>
        <v/>
      </c>
      <c r="M15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7" spans="2:13" x14ac:dyDescent="0.25">
      <c r="B157" s="40" t="str">
        <f>IF('05_PRODUCTOS'!$B157="","",'05_PRODUCTOS'!$B157)</f>
        <v/>
      </c>
      <c r="C157" s="43" t="str">
        <f>IF($B157="","",'05_PRODUCTOS'!$C157)</f>
        <v/>
      </c>
      <c r="D157" s="43" t="str">
        <f>IF($B157="","",'05_PRODUCTOS'!$D157)</f>
        <v/>
      </c>
      <c r="E157" s="40" t="str">
        <f>IF($B157="","",'05_PRODUCTOS'!$J157&amp;"")</f>
        <v/>
      </c>
      <c r="F157" s="40" t="str">
        <f>IF($B157="","",'05_PRODUCTOS'!$E157)</f>
        <v/>
      </c>
      <c r="G157" s="40" t="str">
        <f>IF($B157="","",IF('05_PRODUCTOS'!$K157="NO","NO","SI"))</f>
        <v/>
      </c>
      <c r="H157" s="49" t="str">
        <f>IF($B157="","",N('15_STOCK'!$J157))</f>
        <v/>
      </c>
      <c r="I157" s="39"/>
      <c r="J157" s="48" t="str">
        <f>IF(OR(tblConteo[[#This Row],[SKU]]="",tblConteo[[#This Row],[Conteo]]=""),"",tblConteo[[#This Row],[Conteo]]-tblConteo[[#This Row],[StockSistema]])</f>
        <v/>
      </c>
      <c r="K157" s="52" t="str">
        <f>IF($J157="","",$J157*N('15_STOCK'!$O157))</f>
        <v/>
      </c>
      <c r="L157" s="41" t="str">
        <f>IF(tblConteo[[#This Row],[Diferencia]]="","",IF(tblConteo[[#This Row],[Diferencia]]=0,"✔ Cuadra",IF(tblConteo[[#This Row],[Diferencia]]&gt;0,"▲ Sobrante","▼ Faltante")))</f>
        <v/>
      </c>
      <c r="M15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8" spans="2:13" x14ac:dyDescent="0.25">
      <c r="B158" s="40" t="str">
        <f>IF('05_PRODUCTOS'!$B158="","",'05_PRODUCTOS'!$B158)</f>
        <v/>
      </c>
      <c r="C158" s="43" t="str">
        <f>IF($B158="","",'05_PRODUCTOS'!$C158)</f>
        <v/>
      </c>
      <c r="D158" s="43" t="str">
        <f>IF($B158="","",'05_PRODUCTOS'!$D158)</f>
        <v/>
      </c>
      <c r="E158" s="40" t="str">
        <f>IF($B158="","",'05_PRODUCTOS'!$J158&amp;"")</f>
        <v/>
      </c>
      <c r="F158" s="40" t="str">
        <f>IF($B158="","",'05_PRODUCTOS'!$E158)</f>
        <v/>
      </c>
      <c r="G158" s="40" t="str">
        <f>IF($B158="","",IF('05_PRODUCTOS'!$K158="NO","NO","SI"))</f>
        <v/>
      </c>
      <c r="H158" s="49" t="str">
        <f>IF($B158="","",N('15_STOCK'!$J158))</f>
        <v/>
      </c>
      <c r="I158" s="39"/>
      <c r="J158" s="48" t="str">
        <f>IF(OR(tblConteo[[#This Row],[SKU]]="",tblConteo[[#This Row],[Conteo]]=""),"",tblConteo[[#This Row],[Conteo]]-tblConteo[[#This Row],[StockSistema]])</f>
        <v/>
      </c>
      <c r="K158" s="52" t="str">
        <f>IF($J158="","",$J158*N('15_STOCK'!$O158))</f>
        <v/>
      </c>
      <c r="L158" s="41" t="str">
        <f>IF(tblConteo[[#This Row],[Diferencia]]="","",IF(tblConteo[[#This Row],[Diferencia]]=0,"✔ Cuadra",IF(tblConteo[[#This Row],[Diferencia]]&gt;0,"▲ Sobrante","▼ Faltante")))</f>
        <v/>
      </c>
      <c r="M15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59" spans="2:13" x14ac:dyDescent="0.25">
      <c r="B159" s="40" t="str">
        <f>IF('05_PRODUCTOS'!$B159="","",'05_PRODUCTOS'!$B159)</f>
        <v/>
      </c>
      <c r="C159" s="43" t="str">
        <f>IF($B159="","",'05_PRODUCTOS'!$C159)</f>
        <v/>
      </c>
      <c r="D159" s="43" t="str">
        <f>IF($B159="","",'05_PRODUCTOS'!$D159)</f>
        <v/>
      </c>
      <c r="E159" s="40" t="str">
        <f>IF($B159="","",'05_PRODUCTOS'!$J159&amp;"")</f>
        <v/>
      </c>
      <c r="F159" s="40" t="str">
        <f>IF($B159="","",'05_PRODUCTOS'!$E159)</f>
        <v/>
      </c>
      <c r="G159" s="40" t="str">
        <f>IF($B159="","",IF('05_PRODUCTOS'!$K159="NO","NO","SI"))</f>
        <v/>
      </c>
      <c r="H159" s="49" t="str">
        <f>IF($B159="","",N('15_STOCK'!$J159))</f>
        <v/>
      </c>
      <c r="I159" s="39"/>
      <c r="J159" s="48" t="str">
        <f>IF(OR(tblConteo[[#This Row],[SKU]]="",tblConteo[[#This Row],[Conteo]]=""),"",tblConteo[[#This Row],[Conteo]]-tblConteo[[#This Row],[StockSistema]])</f>
        <v/>
      </c>
      <c r="K159" s="52" t="str">
        <f>IF($J159="","",$J159*N('15_STOCK'!$O159))</f>
        <v/>
      </c>
      <c r="L159" s="41" t="str">
        <f>IF(tblConteo[[#This Row],[Diferencia]]="","",IF(tblConteo[[#This Row],[Diferencia]]=0,"✔ Cuadra",IF(tblConteo[[#This Row],[Diferencia]]&gt;0,"▲ Sobrante","▼ Faltante")))</f>
        <v/>
      </c>
      <c r="M15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0" spans="2:13" x14ac:dyDescent="0.25">
      <c r="B160" s="40" t="str">
        <f>IF('05_PRODUCTOS'!$B160="","",'05_PRODUCTOS'!$B160)</f>
        <v/>
      </c>
      <c r="C160" s="43" t="str">
        <f>IF($B160="","",'05_PRODUCTOS'!$C160)</f>
        <v/>
      </c>
      <c r="D160" s="43" t="str">
        <f>IF($B160="","",'05_PRODUCTOS'!$D160)</f>
        <v/>
      </c>
      <c r="E160" s="40" t="str">
        <f>IF($B160="","",'05_PRODUCTOS'!$J160&amp;"")</f>
        <v/>
      </c>
      <c r="F160" s="40" t="str">
        <f>IF($B160="","",'05_PRODUCTOS'!$E160)</f>
        <v/>
      </c>
      <c r="G160" s="40" t="str">
        <f>IF($B160="","",IF('05_PRODUCTOS'!$K160="NO","NO","SI"))</f>
        <v/>
      </c>
      <c r="H160" s="49" t="str">
        <f>IF($B160="","",N('15_STOCK'!$J160))</f>
        <v/>
      </c>
      <c r="I160" s="39"/>
      <c r="J160" s="48" t="str">
        <f>IF(OR(tblConteo[[#This Row],[SKU]]="",tblConteo[[#This Row],[Conteo]]=""),"",tblConteo[[#This Row],[Conteo]]-tblConteo[[#This Row],[StockSistema]])</f>
        <v/>
      </c>
      <c r="K160" s="52" t="str">
        <f>IF($J160="","",$J160*N('15_STOCK'!$O160))</f>
        <v/>
      </c>
      <c r="L160" s="41" t="str">
        <f>IF(tblConteo[[#This Row],[Diferencia]]="","",IF(tblConteo[[#This Row],[Diferencia]]=0,"✔ Cuadra",IF(tblConteo[[#This Row],[Diferencia]]&gt;0,"▲ Sobrante","▼ Faltante")))</f>
        <v/>
      </c>
      <c r="M16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1" spans="2:13" x14ac:dyDescent="0.25">
      <c r="B161" s="40" t="str">
        <f>IF('05_PRODUCTOS'!$B161="","",'05_PRODUCTOS'!$B161)</f>
        <v/>
      </c>
      <c r="C161" s="43" t="str">
        <f>IF($B161="","",'05_PRODUCTOS'!$C161)</f>
        <v/>
      </c>
      <c r="D161" s="43" t="str">
        <f>IF($B161="","",'05_PRODUCTOS'!$D161)</f>
        <v/>
      </c>
      <c r="E161" s="40" t="str">
        <f>IF($B161="","",'05_PRODUCTOS'!$J161&amp;"")</f>
        <v/>
      </c>
      <c r="F161" s="40" t="str">
        <f>IF($B161="","",'05_PRODUCTOS'!$E161)</f>
        <v/>
      </c>
      <c r="G161" s="40" t="str">
        <f>IF($B161="","",IF('05_PRODUCTOS'!$K161="NO","NO","SI"))</f>
        <v/>
      </c>
      <c r="H161" s="49" t="str">
        <f>IF($B161="","",N('15_STOCK'!$J161))</f>
        <v/>
      </c>
      <c r="I161" s="39"/>
      <c r="J161" s="48" t="str">
        <f>IF(OR(tblConteo[[#This Row],[SKU]]="",tblConteo[[#This Row],[Conteo]]=""),"",tblConteo[[#This Row],[Conteo]]-tblConteo[[#This Row],[StockSistema]])</f>
        <v/>
      </c>
      <c r="K161" s="52" t="str">
        <f>IF($J161="","",$J161*N('15_STOCK'!$O161))</f>
        <v/>
      </c>
      <c r="L161" s="41" t="str">
        <f>IF(tblConteo[[#This Row],[Diferencia]]="","",IF(tblConteo[[#This Row],[Diferencia]]=0,"✔ Cuadra",IF(tblConteo[[#This Row],[Diferencia]]&gt;0,"▲ Sobrante","▼ Faltante")))</f>
        <v/>
      </c>
      <c r="M16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2" spans="2:13" x14ac:dyDescent="0.25">
      <c r="B162" s="40" t="str">
        <f>IF('05_PRODUCTOS'!$B162="","",'05_PRODUCTOS'!$B162)</f>
        <v/>
      </c>
      <c r="C162" s="43" t="str">
        <f>IF($B162="","",'05_PRODUCTOS'!$C162)</f>
        <v/>
      </c>
      <c r="D162" s="43" t="str">
        <f>IF($B162="","",'05_PRODUCTOS'!$D162)</f>
        <v/>
      </c>
      <c r="E162" s="40" t="str">
        <f>IF($B162="","",'05_PRODUCTOS'!$J162&amp;"")</f>
        <v/>
      </c>
      <c r="F162" s="40" t="str">
        <f>IF($B162="","",'05_PRODUCTOS'!$E162)</f>
        <v/>
      </c>
      <c r="G162" s="40" t="str">
        <f>IF($B162="","",IF('05_PRODUCTOS'!$K162="NO","NO","SI"))</f>
        <v/>
      </c>
      <c r="H162" s="49" t="str">
        <f>IF($B162="","",N('15_STOCK'!$J162))</f>
        <v/>
      </c>
      <c r="I162" s="39"/>
      <c r="J162" s="48" t="str">
        <f>IF(OR(tblConteo[[#This Row],[SKU]]="",tblConteo[[#This Row],[Conteo]]=""),"",tblConteo[[#This Row],[Conteo]]-tblConteo[[#This Row],[StockSistema]])</f>
        <v/>
      </c>
      <c r="K162" s="52" t="str">
        <f>IF($J162="","",$J162*N('15_STOCK'!$O162))</f>
        <v/>
      </c>
      <c r="L162" s="41" t="str">
        <f>IF(tblConteo[[#This Row],[Diferencia]]="","",IF(tblConteo[[#This Row],[Diferencia]]=0,"✔ Cuadra",IF(tblConteo[[#This Row],[Diferencia]]&gt;0,"▲ Sobrante","▼ Faltante")))</f>
        <v/>
      </c>
      <c r="M16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3" spans="2:13" x14ac:dyDescent="0.25">
      <c r="B163" s="40" t="str">
        <f>IF('05_PRODUCTOS'!$B163="","",'05_PRODUCTOS'!$B163)</f>
        <v/>
      </c>
      <c r="C163" s="43" t="str">
        <f>IF($B163="","",'05_PRODUCTOS'!$C163)</f>
        <v/>
      </c>
      <c r="D163" s="43" t="str">
        <f>IF($B163="","",'05_PRODUCTOS'!$D163)</f>
        <v/>
      </c>
      <c r="E163" s="40" t="str">
        <f>IF($B163="","",'05_PRODUCTOS'!$J163&amp;"")</f>
        <v/>
      </c>
      <c r="F163" s="40" t="str">
        <f>IF($B163="","",'05_PRODUCTOS'!$E163)</f>
        <v/>
      </c>
      <c r="G163" s="40" t="str">
        <f>IF($B163="","",IF('05_PRODUCTOS'!$K163="NO","NO","SI"))</f>
        <v/>
      </c>
      <c r="H163" s="49" t="str">
        <f>IF($B163="","",N('15_STOCK'!$J163))</f>
        <v/>
      </c>
      <c r="I163" s="39"/>
      <c r="J163" s="48" t="str">
        <f>IF(OR(tblConteo[[#This Row],[SKU]]="",tblConteo[[#This Row],[Conteo]]=""),"",tblConteo[[#This Row],[Conteo]]-tblConteo[[#This Row],[StockSistema]])</f>
        <v/>
      </c>
      <c r="K163" s="52" t="str">
        <f>IF($J163="","",$J163*N('15_STOCK'!$O163))</f>
        <v/>
      </c>
      <c r="L163" s="41" t="str">
        <f>IF(tblConteo[[#This Row],[Diferencia]]="","",IF(tblConteo[[#This Row],[Diferencia]]=0,"✔ Cuadra",IF(tblConteo[[#This Row],[Diferencia]]&gt;0,"▲ Sobrante","▼ Faltante")))</f>
        <v/>
      </c>
      <c r="M16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4" spans="2:13" x14ac:dyDescent="0.25">
      <c r="B164" s="40" t="str">
        <f>IF('05_PRODUCTOS'!$B164="","",'05_PRODUCTOS'!$B164)</f>
        <v/>
      </c>
      <c r="C164" s="43" t="str">
        <f>IF($B164="","",'05_PRODUCTOS'!$C164)</f>
        <v/>
      </c>
      <c r="D164" s="43" t="str">
        <f>IF($B164="","",'05_PRODUCTOS'!$D164)</f>
        <v/>
      </c>
      <c r="E164" s="40" t="str">
        <f>IF($B164="","",'05_PRODUCTOS'!$J164&amp;"")</f>
        <v/>
      </c>
      <c r="F164" s="40" t="str">
        <f>IF($B164="","",'05_PRODUCTOS'!$E164)</f>
        <v/>
      </c>
      <c r="G164" s="40" t="str">
        <f>IF($B164="","",IF('05_PRODUCTOS'!$K164="NO","NO","SI"))</f>
        <v/>
      </c>
      <c r="H164" s="49" t="str">
        <f>IF($B164="","",N('15_STOCK'!$J164))</f>
        <v/>
      </c>
      <c r="I164" s="39"/>
      <c r="J164" s="48" t="str">
        <f>IF(OR(tblConteo[[#This Row],[SKU]]="",tblConteo[[#This Row],[Conteo]]=""),"",tblConteo[[#This Row],[Conteo]]-tblConteo[[#This Row],[StockSistema]])</f>
        <v/>
      </c>
      <c r="K164" s="52" t="str">
        <f>IF($J164="","",$J164*N('15_STOCK'!$O164))</f>
        <v/>
      </c>
      <c r="L164" s="41" t="str">
        <f>IF(tblConteo[[#This Row],[Diferencia]]="","",IF(tblConteo[[#This Row],[Diferencia]]=0,"✔ Cuadra",IF(tblConteo[[#This Row],[Diferencia]]&gt;0,"▲ Sobrante","▼ Faltante")))</f>
        <v/>
      </c>
      <c r="M16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5" spans="2:13" x14ac:dyDescent="0.25">
      <c r="B165" s="40" t="str">
        <f>IF('05_PRODUCTOS'!$B165="","",'05_PRODUCTOS'!$B165)</f>
        <v/>
      </c>
      <c r="C165" s="43" t="str">
        <f>IF($B165="","",'05_PRODUCTOS'!$C165)</f>
        <v/>
      </c>
      <c r="D165" s="43" t="str">
        <f>IF($B165="","",'05_PRODUCTOS'!$D165)</f>
        <v/>
      </c>
      <c r="E165" s="40" t="str">
        <f>IF($B165="","",'05_PRODUCTOS'!$J165&amp;"")</f>
        <v/>
      </c>
      <c r="F165" s="40" t="str">
        <f>IF($B165="","",'05_PRODUCTOS'!$E165)</f>
        <v/>
      </c>
      <c r="G165" s="40" t="str">
        <f>IF($B165="","",IF('05_PRODUCTOS'!$K165="NO","NO","SI"))</f>
        <v/>
      </c>
      <c r="H165" s="49" t="str">
        <f>IF($B165="","",N('15_STOCK'!$J165))</f>
        <v/>
      </c>
      <c r="I165" s="39"/>
      <c r="J165" s="48" t="str">
        <f>IF(OR(tblConteo[[#This Row],[SKU]]="",tblConteo[[#This Row],[Conteo]]=""),"",tblConteo[[#This Row],[Conteo]]-tblConteo[[#This Row],[StockSistema]])</f>
        <v/>
      </c>
      <c r="K165" s="52" t="str">
        <f>IF($J165="","",$J165*N('15_STOCK'!$O165))</f>
        <v/>
      </c>
      <c r="L165" s="41" t="str">
        <f>IF(tblConteo[[#This Row],[Diferencia]]="","",IF(tblConteo[[#This Row],[Diferencia]]=0,"✔ Cuadra",IF(tblConteo[[#This Row],[Diferencia]]&gt;0,"▲ Sobrante","▼ Faltante")))</f>
        <v/>
      </c>
      <c r="M16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6" spans="2:13" x14ac:dyDescent="0.25">
      <c r="B166" s="40" t="str">
        <f>IF('05_PRODUCTOS'!$B166="","",'05_PRODUCTOS'!$B166)</f>
        <v/>
      </c>
      <c r="C166" s="43" t="str">
        <f>IF($B166="","",'05_PRODUCTOS'!$C166)</f>
        <v/>
      </c>
      <c r="D166" s="43" t="str">
        <f>IF($B166="","",'05_PRODUCTOS'!$D166)</f>
        <v/>
      </c>
      <c r="E166" s="40" t="str">
        <f>IF($B166="","",'05_PRODUCTOS'!$J166&amp;"")</f>
        <v/>
      </c>
      <c r="F166" s="40" t="str">
        <f>IF($B166="","",'05_PRODUCTOS'!$E166)</f>
        <v/>
      </c>
      <c r="G166" s="40" t="str">
        <f>IF($B166="","",IF('05_PRODUCTOS'!$K166="NO","NO","SI"))</f>
        <v/>
      </c>
      <c r="H166" s="49" t="str">
        <f>IF($B166="","",N('15_STOCK'!$J166))</f>
        <v/>
      </c>
      <c r="I166" s="39"/>
      <c r="J166" s="48" t="str">
        <f>IF(OR(tblConteo[[#This Row],[SKU]]="",tblConteo[[#This Row],[Conteo]]=""),"",tblConteo[[#This Row],[Conteo]]-tblConteo[[#This Row],[StockSistema]])</f>
        <v/>
      </c>
      <c r="K166" s="52" t="str">
        <f>IF($J166="","",$J166*N('15_STOCK'!$O166))</f>
        <v/>
      </c>
      <c r="L166" s="41" t="str">
        <f>IF(tblConteo[[#This Row],[Diferencia]]="","",IF(tblConteo[[#This Row],[Diferencia]]=0,"✔ Cuadra",IF(tblConteo[[#This Row],[Diferencia]]&gt;0,"▲ Sobrante","▼ Faltante")))</f>
        <v/>
      </c>
      <c r="M16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7" spans="2:13" x14ac:dyDescent="0.25">
      <c r="B167" s="40" t="str">
        <f>IF('05_PRODUCTOS'!$B167="","",'05_PRODUCTOS'!$B167)</f>
        <v/>
      </c>
      <c r="C167" s="43" t="str">
        <f>IF($B167="","",'05_PRODUCTOS'!$C167)</f>
        <v/>
      </c>
      <c r="D167" s="43" t="str">
        <f>IF($B167="","",'05_PRODUCTOS'!$D167)</f>
        <v/>
      </c>
      <c r="E167" s="40" t="str">
        <f>IF($B167="","",'05_PRODUCTOS'!$J167&amp;"")</f>
        <v/>
      </c>
      <c r="F167" s="40" t="str">
        <f>IF($B167="","",'05_PRODUCTOS'!$E167)</f>
        <v/>
      </c>
      <c r="G167" s="40" t="str">
        <f>IF($B167="","",IF('05_PRODUCTOS'!$K167="NO","NO","SI"))</f>
        <v/>
      </c>
      <c r="H167" s="49" t="str">
        <f>IF($B167="","",N('15_STOCK'!$J167))</f>
        <v/>
      </c>
      <c r="I167" s="39"/>
      <c r="J167" s="48" t="str">
        <f>IF(OR(tblConteo[[#This Row],[SKU]]="",tblConteo[[#This Row],[Conteo]]=""),"",tblConteo[[#This Row],[Conteo]]-tblConteo[[#This Row],[StockSistema]])</f>
        <v/>
      </c>
      <c r="K167" s="52" t="str">
        <f>IF($J167="","",$J167*N('15_STOCK'!$O167))</f>
        <v/>
      </c>
      <c r="L167" s="41" t="str">
        <f>IF(tblConteo[[#This Row],[Diferencia]]="","",IF(tblConteo[[#This Row],[Diferencia]]=0,"✔ Cuadra",IF(tblConteo[[#This Row],[Diferencia]]&gt;0,"▲ Sobrante","▼ Faltante")))</f>
        <v/>
      </c>
      <c r="M16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8" spans="2:13" x14ac:dyDescent="0.25">
      <c r="B168" s="40" t="str">
        <f>IF('05_PRODUCTOS'!$B168="","",'05_PRODUCTOS'!$B168)</f>
        <v/>
      </c>
      <c r="C168" s="43" t="str">
        <f>IF($B168="","",'05_PRODUCTOS'!$C168)</f>
        <v/>
      </c>
      <c r="D168" s="43" t="str">
        <f>IF($B168="","",'05_PRODUCTOS'!$D168)</f>
        <v/>
      </c>
      <c r="E168" s="40" t="str">
        <f>IF($B168="","",'05_PRODUCTOS'!$J168&amp;"")</f>
        <v/>
      </c>
      <c r="F168" s="40" t="str">
        <f>IF($B168="","",'05_PRODUCTOS'!$E168)</f>
        <v/>
      </c>
      <c r="G168" s="40" t="str">
        <f>IF($B168="","",IF('05_PRODUCTOS'!$K168="NO","NO","SI"))</f>
        <v/>
      </c>
      <c r="H168" s="49" t="str">
        <f>IF($B168="","",N('15_STOCK'!$J168))</f>
        <v/>
      </c>
      <c r="I168" s="39"/>
      <c r="J168" s="48" t="str">
        <f>IF(OR(tblConteo[[#This Row],[SKU]]="",tblConteo[[#This Row],[Conteo]]=""),"",tblConteo[[#This Row],[Conteo]]-tblConteo[[#This Row],[StockSistema]])</f>
        <v/>
      </c>
      <c r="K168" s="52" t="str">
        <f>IF($J168="","",$J168*N('15_STOCK'!$O168))</f>
        <v/>
      </c>
      <c r="L168" s="41" t="str">
        <f>IF(tblConteo[[#This Row],[Diferencia]]="","",IF(tblConteo[[#This Row],[Diferencia]]=0,"✔ Cuadra",IF(tblConteo[[#This Row],[Diferencia]]&gt;0,"▲ Sobrante","▼ Faltante")))</f>
        <v/>
      </c>
      <c r="M16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69" spans="2:13" x14ac:dyDescent="0.25">
      <c r="B169" s="40" t="str">
        <f>IF('05_PRODUCTOS'!$B169="","",'05_PRODUCTOS'!$B169)</f>
        <v/>
      </c>
      <c r="C169" s="43" t="str">
        <f>IF($B169="","",'05_PRODUCTOS'!$C169)</f>
        <v/>
      </c>
      <c r="D169" s="43" t="str">
        <f>IF($B169="","",'05_PRODUCTOS'!$D169)</f>
        <v/>
      </c>
      <c r="E169" s="40" t="str">
        <f>IF($B169="","",'05_PRODUCTOS'!$J169&amp;"")</f>
        <v/>
      </c>
      <c r="F169" s="40" t="str">
        <f>IF($B169="","",'05_PRODUCTOS'!$E169)</f>
        <v/>
      </c>
      <c r="G169" s="40" t="str">
        <f>IF($B169="","",IF('05_PRODUCTOS'!$K169="NO","NO","SI"))</f>
        <v/>
      </c>
      <c r="H169" s="49" t="str">
        <f>IF($B169="","",N('15_STOCK'!$J169))</f>
        <v/>
      </c>
      <c r="I169" s="39"/>
      <c r="J169" s="48" t="str">
        <f>IF(OR(tblConteo[[#This Row],[SKU]]="",tblConteo[[#This Row],[Conteo]]=""),"",tblConteo[[#This Row],[Conteo]]-tblConteo[[#This Row],[StockSistema]])</f>
        <v/>
      </c>
      <c r="K169" s="52" t="str">
        <f>IF($J169="","",$J169*N('15_STOCK'!$O169))</f>
        <v/>
      </c>
      <c r="L169" s="41" t="str">
        <f>IF(tblConteo[[#This Row],[Diferencia]]="","",IF(tblConteo[[#This Row],[Diferencia]]=0,"✔ Cuadra",IF(tblConteo[[#This Row],[Diferencia]]&gt;0,"▲ Sobrante","▼ Faltante")))</f>
        <v/>
      </c>
      <c r="M16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0" spans="2:13" x14ac:dyDescent="0.25">
      <c r="B170" s="40" t="str">
        <f>IF('05_PRODUCTOS'!$B170="","",'05_PRODUCTOS'!$B170)</f>
        <v/>
      </c>
      <c r="C170" s="43" t="str">
        <f>IF($B170="","",'05_PRODUCTOS'!$C170)</f>
        <v/>
      </c>
      <c r="D170" s="43" t="str">
        <f>IF($B170="","",'05_PRODUCTOS'!$D170)</f>
        <v/>
      </c>
      <c r="E170" s="40" t="str">
        <f>IF($B170="","",'05_PRODUCTOS'!$J170&amp;"")</f>
        <v/>
      </c>
      <c r="F170" s="40" t="str">
        <f>IF($B170="","",'05_PRODUCTOS'!$E170)</f>
        <v/>
      </c>
      <c r="G170" s="40" t="str">
        <f>IF($B170="","",IF('05_PRODUCTOS'!$K170="NO","NO","SI"))</f>
        <v/>
      </c>
      <c r="H170" s="49" t="str">
        <f>IF($B170="","",N('15_STOCK'!$J170))</f>
        <v/>
      </c>
      <c r="I170" s="39"/>
      <c r="J170" s="48" t="str">
        <f>IF(OR(tblConteo[[#This Row],[SKU]]="",tblConteo[[#This Row],[Conteo]]=""),"",tblConteo[[#This Row],[Conteo]]-tblConteo[[#This Row],[StockSistema]])</f>
        <v/>
      </c>
      <c r="K170" s="52" t="str">
        <f>IF($J170="","",$J170*N('15_STOCK'!$O170))</f>
        <v/>
      </c>
      <c r="L170" s="41" t="str">
        <f>IF(tblConteo[[#This Row],[Diferencia]]="","",IF(tblConteo[[#This Row],[Diferencia]]=0,"✔ Cuadra",IF(tblConteo[[#This Row],[Diferencia]]&gt;0,"▲ Sobrante","▼ Faltante")))</f>
        <v/>
      </c>
      <c r="M17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1" spans="2:13" x14ac:dyDescent="0.25">
      <c r="B171" s="40" t="str">
        <f>IF('05_PRODUCTOS'!$B171="","",'05_PRODUCTOS'!$B171)</f>
        <v/>
      </c>
      <c r="C171" s="43" t="str">
        <f>IF($B171="","",'05_PRODUCTOS'!$C171)</f>
        <v/>
      </c>
      <c r="D171" s="43" t="str">
        <f>IF($B171="","",'05_PRODUCTOS'!$D171)</f>
        <v/>
      </c>
      <c r="E171" s="40" t="str">
        <f>IF($B171="","",'05_PRODUCTOS'!$J171&amp;"")</f>
        <v/>
      </c>
      <c r="F171" s="40" t="str">
        <f>IF($B171="","",'05_PRODUCTOS'!$E171)</f>
        <v/>
      </c>
      <c r="G171" s="40" t="str">
        <f>IF($B171="","",IF('05_PRODUCTOS'!$K171="NO","NO","SI"))</f>
        <v/>
      </c>
      <c r="H171" s="49" t="str">
        <f>IF($B171="","",N('15_STOCK'!$J171))</f>
        <v/>
      </c>
      <c r="I171" s="39"/>
      <c r="J171" s="48" t="str">
        <f>IF(OR(tblConteo[[#This Row],[SKU]]="",tblConteo[[#This Row],[Conteo]]=""),"",tblConteo[[#This Row],[Conteo]]-tblConteo[[#This Row],[StockSistema]])</f>
        <v/>
      </c>
      <c r="K171" s="52" t="str">
        <f>IF($J171="","",$J171*N('15_STOCK'!$O171))</f>
        <v/>
      </c>
      <c r="L171" s="41" t="str">
        <f>IF(tblConteo[[#This Row],[Diferencia]]="","",IF(tblConteo[[#This Row],[Diferencia]]=0,"✔ Cuadra",IF(tblConteo[[#This Row],[Diferencia]]&gt;0,"▲ Sobrante","▼ Faltante")))</f>
        <v/>
      </c>
      <c r="M17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2" spans="2:13" x14ac:dyDescent="0.25">
      <c r="B172" s="40" t="str">
        <f>IF('05_PRODUCTOS'!$B172="","",'05_PRODUCTOS'!$B172)</f>
        <v/>
      </c>
      <c r="C172" s="43" t="str">
        <f>IF($B172="","",'05_PRODUCTOS'!$C172)</f>
        <v/>
      </c>
      <c r="D172" s="43" t="str">
        <f>IF($B172="","",'05_PRODUCTOS'!$D172)</f>
        <v/>
      </c>
      <c r="E172" s="40" t="str">
        <f>IF($B172="","",'05_PRODUCTOS'!$J172&amp;"")</f>
        <v/>
      </c>
      <c r="F172" s="40" t="str">
        <f>IF($B172="","",'05_PRODUCTOS'!$E172)</f>
        <v/>
      </c>
      <c r="G172" s="40" t="str">
        <f>IF($B172="","",IF('05_PRODUCTOS'!$K172="NO","NO","SI"))</f>
        <v/>
      </c>
      <c r="H172" s="49" t="str">
        <f>IF($B172="","",N('15_STOCK'!$J172))</f>
        <v/>
      </c>
      <c r="I172" s="39"/>
      <c r="J172" s="48" t="str">
        <f>IF(OR(tblConteo[[#This Row],[SKU]]="",tblConteo[[#This Row],[Conteo]]=""),"",tblConteo[[#This Row],[Conteo]]-tblConteo[[#This Row],[StockSistema]])</f>
        <v/>
      </c>
      <c r="K172" s="52" t="str">
        <f>IF($J172="","",$J172*N('15_STOCK'!$O172))</f>
        <v/>
      </c>
      <c r="L172" s="41" t="str">
        <f>IF(tblConteo[[#This Row],[Diferencia]]="","",IF(tblConteo[[#This Row],[Diferencia]]=0,"✔ Cuadra",IF(tblConteo[[#This Row],[Diferencia]]&gt;0,"▲ Sobrante","▼ Faltante")))</f>
        <v/>
      </c>
      <c r="M17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3" spans="2:13" x14ac:dyDescent="0.25">
      <c r="B173" s="40" t="str">
        <f>IF('05_PRODUCTOS'!$B173="","",'05_PRODUCTOS'!$B173)</f>
        <v/>
      </c>
      <c r="C173" s="43" t="str">
        <f>IF($B173="","",'05_PRODUCTOS'!$C173)</f>
        <v/>
      </c>
      <c r="D173" s="43" t="str">
        <f>IF($B173="","",'05_PRODUCTOS'!$D173)</f>
        <v/>
      </c>
      <c r="E173" s="40" t="str">
        <f>IF($B173="","",'05_PRODUCTOS'!$J173&amp;"")</f>
        <v/>
      </c>
      <c r="F173" s="40" t="str">
        <f>IF($B173="","",'05_PRODUCTOS'!$E173)</f>
        <v/>
      </c>
      <c r="G173" s="40" t="str">
        <f>IF($B173="","",IF('05_PRODUCTOS'!$K173="NO","NO","SI"))</f>
        <v/>
      </c>
      <c r="H173" s="49" t="str">
        <f>IF($B173="","",N('15_STOCK'!$J173))</f>
        <v/>
      </c>
      <c r="I173" s="39"/>
      <c r="J173" s="48" t="str">
        <f>IF(OR(tblConteo[[#This Row],[SKU]]="",tblConteo[[#This Row],[Conteo]]=""),"",tblConteo[[#This Row],[Conteo]]-tblConteo[[#This Row],[StockSistema]])</f>
        <v/>
      </c>
      <c r="K173" s="52" t="str">
        <f>IF($J173="","",$J173*N('15_STOCK'!$O173))</f>
        <v/>
      </c>
      <c r="L173" s="41" t="str">
        <f>IF(tblConteo[[#This Row],[Diferencia]]="","",IF(tblConteo[[#This Row],[Diferencia]]=0,"✔ Cuadra",IF(tblConteo[[#This Row],[Diferencia]]&gt;0,"▲ Sobrante","▼ Faltante")))</f>
        <v/>
      </c>
      <c r="M17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4" spans="2:13" x14ac:dyDescent="0.25">
      <c r="B174" s="40" t="str">
        <f>IF('05_PRODUCTOS'!$B174="","",'05_PRODUCTOS'!$B174)</f>
        <v/>
      </c>
      <c r="C174" s="43" t="str">
        <f>IF($B174="","",'05_PRODUCTOS'!$C174)</f>
        <v/>
      </c>
      <c r="D174" s="43" t="str">
        <f>IF($B174="","",'05_PRODUCTOS'!$D174)</f>
        <v/>
      </c>
      <c r="E174" s="40" t="str">
        <f>IF($B174="","",'05_PRODUCTOS'!$J174&amp;"")</f>
        <v/>
      </c>
      <c r="F174" s="40" t="str">
        <f>IF($B174="","",'05_PRODUCTOS'!$E174)</f>
        <v/>
      </c>
      <c r="G174" s="40" t="str">
        <f>IF($B174="","",IF('05_PRODUCTOS'!$K174="NO","NO","SI"))</f>
        <v/>
      </c>
      <c r="H174" s="49" t="str">
        <f>IF($B174="","",N('15_STOCK'!$J174))</f>
        <v/>
      </c>
      <c r="I174" s="39"/>
      <c r="J174" s="48" t="str">
        <f>IF(OR(tblConteo[[#This Row],[SKU]]="",tblConteo[[#This Row],[Conteo]]=""),"",tblConteo[[#This Row],[Conteo]]-tblConteo[[#This Row],[StockSistema]])</f>
        <v/>
      </c>
      <c r="K174" s="52" t="str">
        <f>IF($J174="","",$J174*N('15_STOCK'!$O174))</f>
        <v/>
      </c>
      <c r="L174" s="41" t="str">
        <f>IF(tblConteo[[#This Row],[Diferencia]]="","",IF(tblConteo[[#This Row],[Diferencia]]=0,"✔ Cuadra",IF(tblConteo[[#This Row],[Diferencia]]&gt;0,"▲ Sobrante","▼ Faltante")))</f>
        <v/>
      </c>
      <c r="M17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5" spans="2:13" x14ac:dyDescent="0.25">
      <c r="B175" s="40" t="str">
        <f>IF('05_PRODUCTOS'!$B175="","",'05_PRODUCTOS'!$B175)</f>
        <v/>
      </c>
      <c r="C175" s="43" t="str">
        <f>IF($B175="","",'05_PRODUCTOS'!$C175)</f>
        <v/>
      </c>
      <c r="D175" s="43" t="str">
        <f>IF($B175="","",'05_PRODUCTOS'!$D175)</f>
        <v/>
      </c>
      <c r="E175" s="40" t="str">
        <f>IF($B175="","",'05_PRODUCTOS'!$J175&amp;"")</f>
        <v/>
      </c>
      <c r="F175" s="40" t="str">
        <f>IF($B175="","",'05_PRODUCTOS'!$E175)</f>
        <v/>
      </c>
      <c r="G175" s="40" t="str">
        <f>IF($B175="","",IF('05_PRODUCTOS'!$K175="NO","NO","SI"))</f>
        <v/>
      </c>
      <c r="H175" s="49" t="str">
        <f>IF($B175="","",N('15_STOCK'!$J175))</f>
        <v/>
      </c>
      <c r="I175" s="39"/>
      <c r="J175" s="48" t="str">
        <f>IF(OR(tblConteo[[#This Row],[SKU]]="",tblConteo[[#This Row],[Conteo]]=""),"",tblConteo[[#This Row],[Conteo]]-tblConteo[[#This Row],[StockSistema]])</f>
        <v/>
      </c>
      <c r="K175" s="52" t="str">
        <f>IF($J175="","",$J175*N('15_STOCK'!$O175))</f>
        <v/>
      </c>
      <c r="L175" s="41" t="str">
        <f>IF(tblConteo[[#This Row],[Diferencia]]="","",IF(tblConteo[[#This Row],[Diferencia]]=0,"✔ Cuadra",IF(tblConteo[[#This Row],[Diferencia]]&gt;0,"▲ Sobrante","▼ Faltante")))</f>
        <v/>
      </c>
      <c r="M17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6" spans="2:13" x14ac:dyDescent="0.25">
      <c r="B176" s="40" t="str">
        <f>IF('05_PRODUCTOS'!$B176="","",'05_PRODUCTOS'!$B176)</f>
        <v/>
      </c>
      <c r="C176" s="43" t="str">
        <f>IF($B176="","",'05_PRODUCTOS'!$C176)</f>
        <v/>
      </c>
      <c r="D176" s="43" t="str">
        <f>IF($B176="","",'05_PRODUCTOS'!$D176)</f>
        <v/>
      </c>
      <c r="E176" s="40" t="str">
        <f>IF($B176="","",'05_PRODUCTOS'!$J176&amp;"")</f>
        <v/>
      </c>
      <c r="F176" s="40" t="str">
        <f>IF($B176="","",'05_PRODUCTOS'!$E176)</f>
        <v/>
      </c>
      <c r="G176" s="40" t="str">
        <f>IF($B176="","",IF('05_PRODUCTOS'!$K176="NO","NO","SI"))</f>
        <v/>
      </c>
      <c r="H176" s="49" t="str">
        <f>IF($B176="","",N('15_STOCK'!$J176))</f>
        <v/>
      </c>
      <c r="I176" s="39"/>
      <c r="J176" s="48" t="str">
        <f>IF(OR(tblConteo[[#This Row],[SKU]]="",tblConteo[[#This Row],[Conteo]]=""),"",tblConteo[[#This Row],[Conteo]]-tblConteo[[#This Row],[StockSistema]])</f>
        <v/>
      </c>
      <c r="K176" s="52" t="str">
        <f>IF($J176="","",$J176*N('15_STOCK'!$O176))</f>
        <v/>
      </c>
      <c r="L176" s="41" t="str">
        <f>IF(tblConteo[[#This Row],[Diferencia]]="","",IF(tblConteo[[#This Row],[Diferencia]]=0,"✔ Cuadra",IF(tblConteo[[#This Row],[Diferencia]]&gt;0,"▲ Sobrante","▼ Faltante")))</f>
        <v/>
      </c>
      <c r="M17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7" spans="2:13" x14ac:dyDescent="0.25">
      <c r="B177" s="40" t="str">
        <f>IF('05_PRODUCTOS'!$B177="","",'05_PRODUCTOS'!$B177)</f>
        <v/>
      </c>
      <c r="C177" s="43" t="str">
        <f>IF($B177="","",'05_PRODUCTOS'!$C177)</f>
        <v/>
      </c>
      <c r="D177" s="43" t="str">
        <f>IF($B177="","",'05_PRODUCTOS'!$D177)</f>
        <v/>
      </c>
      <c r="E177" s="40" t="str">
        <f>IF($B177="","",'05_PRODUCTOS'!$J177&amp;"")</f>
        <v/>
      </c>
      <c r="F177" s="40" t="str">
        <f>IF($B177="","",'05_PRODUCTOS'!$E177)</f>
        <v/>
      </c>
      <c r="G177" s="40" t="str">
        <f>IF($B177="","",IF('05_PRODUCTOS'!$K177="NO","NO","SI"))</f>
        <v/>
      </c>
      <c r="H177" s="49" t="str">
        <f>IF($B177="","",N('15_STOCK'!$J177))</f>
        <v/>
      </c>
      <c r="I177" s="39"/>
      <c r="J177" s="48" t="str">
        <f>IF(OR(tblConteo[[#This Row],[SKU]]="",tblConteo[[#This Row],[Conteo]]=""),"",tblConteo[[#This Row],[Conteo]]-tblConteo[[#This Row],[StockSistema]])</f>
        <v/>
      </c>
      <c r="K177" s="52" t="str">
        <f>IF($J177="","",$J177*N('15_STOCK'!$O177))</f>
        <v/>
      </c>
      <c r="L177" s="41" t="str">
        <f>IF(tblConteo[[#This Row],[Diferencia]]="","",IF(tblConteo[[#This Row],[Diferencia]]=0,"✔ Cuadra",IF(tblConteo[[#This Row],[Diferencia]]&gt;0,"▲ Sobrante","▼ Faltante")))</f>
        <v/>
      </c>
      <c r="M17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8" spans="2:13" x14ac:dyDescent="0.25">
      <c r="B178" s="40" t="str">
        <f>IF('05_PRODUCTOS'!$B178="","",'05_PRODUCTOS'!$B178)</f>
        <v/>
      </c>
      <c r="C178" s="43" t="str">
        <f>IF($B178="","",'05_PRODUCTOS'!$C178)</f>
        <v/>
      </c>
      <c r="D178" s="43" t="str">
        <f>IF($B178="","",'05_PRODUCTOS'!$D178)</f>
        <v/>
      </c>
      <c r="E178" s="40" t="str">
        <f>IF($B178="","",'05_PRODUCTOS'!$J178&amp;"")</f>
        <v/>
      </c>
      <c r="F178" s="40" t="str">
        <f>IF($B178="","",'05_PRODUCTOS'!$E178)</f>
        <v/>
      </c>
      <c r="G178" s="40" t="str">
        <f>IF($B178="","",IF('05_PRODUCTOS'!$K178="NO","NO","SI"))</f>
        <v/>
      </c>
      <c r="H178" s="49" t="str">
        <f>IF($B178="","",N('15_STOCK'!$J178))</f>
        <v/>
      </c>
      <c r="I178" s="39"/>
      <c r="J178" s="48" t="str">
        <f>IF(OR(tblConteo[[#This Row],[SKU]]="",tblConteo[[#This Row],[Conteo]]=""),"",tblConteo[[#This Row],[Conteo]]-tblConteo[[#This Row],[StockSistema]])</f>
        <v/>
      </c>
      <c r="K178" s="52" t="str">
        <f>IF($J178="","",$J178*N('15_STOCK'!$O178))</f>
        <v/>
      </c>
      <c r="L178" s="41" t="str">
        <f>IF(tblConteo[[#This Row],[Diferencia]]="","",IF(tblConteo[[#This Row],[Diferencia]]=0,"✔ Cuadra",IF(tblConteo[[#This Row],[Diferencia]]&gt;0,"▲ Sobrante","▼ Faltante")))</f>
        <v/>
      </c>
      <c r="M17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79" spans="2:13" x14ac:dyDescent="0.25">
      <c r="B179" s="40" t="str">
        <f>IF('05_PRODUCTOS'!$B179="","",'05_PRODUCTOS'!$B179)</f>
        <v/>
      </c>
      <c r="C179" s="43" t="str">
        <f>IF($B179="","",'05_PRODUCTOS'!$C179)</f>
        <v/>
      </c>
      <c r="D179" s="43" t="str">
        <f>IF($B179="","",'05_PRODUCTOS'!$D179)</f>
        <v/>
      </c>
      <c r="E179" s="40" t="str">
        <f>IF($B179="","",'05_PRODUCTOS'!$J179&amp;"")</f>
        <v/>
      </c>
      <c r="F179" s="40" t="str">
        <f>IF($B179="","",'05_PRODUCTOS'!$E179)</f>
        <v/>
      </c>
      <c r="G179" s="40" t="str">
        <f>IF($B179="","",IF('05_PRODUCTOS'!$K179="NO","NO","SI"))</f>
        <v/>
      </c>
      <c r="H179" s="49" t="str">
        <f>IF($B179="","",N('15_STOCK'!$J179))</f>
        <v/>
      </c>
      <c r="I179" s="39"/>
      <c r="J179" s="48" t="str">
        <f>IF(OR(tblConteo[[#This Row],[SKU]]="",tblConteo[[#This Row],[Conteo]]=""),"",tblConteo[[#This Row],[Conteo]]-tblConteo[[#This Row],[StockSistema]])</f>
        <v/>
      </c>
      <c r="K179" s="52" t="str">
        <f>IF($J179="","",$J179*N('15_STOCK'!$O179))</f>
        <v/>
      </c>
      <c r="L179" s="41" t="str">
        <f>IF(tblConteo[[#This Row],[Diferencia]]="","",IF(tblConteo[[#This Row],[Diferencia]]=0,"✔ Cuadra",IF(tblConteo[[#This Row],[Diferencia]]&gt;0,"▲ Sobrante","▼ Faltante")))</f>
        <v/>
      </c>
      <c r="M17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0" spans="2:13" x14ac:dyDescent="0.25">
      <c r="B180" s="40" t="str">
        <f>IF('05_PRODUCTOS'!$B180="","",'05_PRODUCTOS'!$B180)</f>
        <v/>
      </c>
      <c r="C180" s="43" t="str">
        <f>IF($B180="","",'05_PRODUCTOS'!$C180)</f>
        <v/>
      </c>
      <c r="D180" s="43" t="str">
        <f>IF($B180="","",'05_PRODUCTOS'!$D180)</f>
        <v/>
      </c>
      <c r="E180" s="40" t="str">
        <f>IF($B180="","",'05_PRODUCTOS'!$J180&amp;"")</f>
        <v/>
      </c>
      <c r="F180" s="40" t="str">
        <f>IF($B180="","",'05_PRODUCTOS'!$E180)</f>
        <v/>
      </c>
      <c r="G180" s="40" t="str">
        <f>IF($B180="","",IF('05_PRODUCTOS'!$K180="NO","NO","SI"))</f>
        <v/>
      </c>
      <c r="H180" s="49" t="str">
        <f>IF($B180="","",N('15_STOCK'!$J180))</f>
        <v/>
      </c>
      <c r="I180" s="39"/>
      <c r="J180" s="48" t="str">
        <f>IF(OR(tblConteo[[#This Row],[SKU]]="",tblConteo[[#This Row],[Conteo]]=""),"",tblConteo[[#This Row],[Conteo]]-tblConteo[[#This Row],[StockSistema]])</f>
        <v/>
      </c>
      <c r="K180" s="52" t="str">
        <f>IF($J180="","",$J180*N('15_STOCK'!$O180))</f>
        <v/>
      </c>
      <c r="L180" s="41" t="str">
        <f>IF(tblConteo[[#This Row],[Diferencia]]="","",IF(tblConteo[[#This Row],[Diferencia]]=0,"✔ Cuadra",IF(tblConteo[[#This Row],[Diferencia]]&gt;0,"▲ Sobrante","▼ Faltante")))</f>
        <v/>
      </c>
      <c r="M18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1" spans="2:13" x14ac:dyDescent="0.25">
      <c r="B181" s="40" t="str">
        <f>IF('05_PRODUCTOS'!$B181="","",'05_PRODUCTOS'!$B181)</f>
        <v/>
      </c>
      <c r="C181" s="43" t="str">
        <f>IF($B181="","",'05_PRODUCTOS'!$C181)</f>
        <v/>
      </c>
      <c r="D181" s="43" t="str">
        <f>IF($B181="","",'05_PRODUCTOS'!$D181)</f>
        <v/>
      </c>
      <c r="E181" s="40" t="str">
        <f>IF($B181="","",'05_PRODUCTOS'!$J181&amp;"")</f>
        <v/>
      </c>
      <c r="F181" s="40" t="str">
        <f>IF($B181="","",'05_PRODUCTOS'!$E181)</f>
        <v/>
      </c>
      <c r="G181" s="40" t="str">
        <f>IF($B181="","",IF('05_PRODUCTOS'!$K181="NO","NO","SI"))</f>
        <v/>
      </c>
      <c r="H181" s="49" t="str">
        <f>IF($B181="","",N('15_STOCK'!$J181))</f>
        <v/>
      </c>
      <c r="I181" s="39"/>
      <c r="J181" s="48" t="str">
        <f>IF(OR(tblConteo[[#This Row],[SKU]]="",tblConteo[[#This Row],[Conteo]]=""),"",tblConteo[[#This Row],[Conteo]]-tblConteo[[#This Row],[StockSistema]])</f>
        <v/>
      </c>
      <c r="K181" s="52" t="str">
        <f>IF($J181="","",$J181*N('15_STOCK'!$O181))</f>
        <v/>
      </c>
      <c r="L181" s="41" t="str">
        <f>IF(tblConteo[[#This Row],[Diferencia]]="","",IF(tblConteo[[#This Row],[Diferencia]]=0,"✔ Cuadra",IF(tblConteo[[#This Row],[Diferencia]]&gt;0,"▲ Sobrante","▼ Faltante")))</f>
        <v/>
      </c>
      <c r="M18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2" spans="2:13" x14ac:dyDescent="0.25">
      <c r="B182" s="40" t="str">
        <f>IF('05_PRODUCTOS'!$B182="","",'05_PRODUCTOS'!$B182)</f>
        <v/>
      </c>
      <c r="C182" s="43" t="str">
        <f>IF($B182="","",'05_PRODUCTOS'!$C182)</f>
        <v/>
      </c>
      <c r="D182" s="43" t="str">
        <f>IF($B182="","",'05_PRODUCTOS'!$D182)</f>
        <v/>
      </c>
      <c r="E182" s="40" t="str">
        <f>IF($B182="","",'05_PRODUCTOS'!$J182&amp;"")</f>
        <v/>
      </c>
      <c r="F182" s="40" t="str">
        <f>IF($B182="","",'05_PRODUCTOS'!$E182)</f>
        <v/>
      </c>
      <c r="G182" s="40" t="str">
        <f>IF($B182="","",IF('05_PRODUCTOS'!$K182="NO","NO","SI"))</f>
        <v/>
      </c>
      <c r="H182" s="49" t="str">
        <f>IF($B182="","",N('15_STOCK'!$J182))</f>
        <v/>
      </c>
      <c r="I182" s="39"/>
      <c r="J182" s="48" t="str">
        <f>IF(OR(tblConteo[[#This Row],[SKU]]="",tblConteo[[#This Row],[Conteo]]=""),"",tblConteo[[#This Row],[Conteo]]-tblConteo[[#This Row],[StockSistema]])</f>
        <v/>
      </c>
      <c r="K182" s="52" t="str">
        <f>IF($J182="","",$J182*N('15_STOCK'!$O182))</f>
        <v/>
      </c>
      <c r="L182" s="41" t="str">
        <f>IF(tblConteo[[#This Row],[Diferencia]]="","",IF(tblConteo[[#This Row],[Diferencia]]=0,"✔ Cuadra",IF(tblConteo[[#This Row],[Diferencia]]&gt;0,"▲ Sobrante","▼ Faltante")))</f>
        <v/>
      </c>
      <c r="M18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3" spans="2:13" x14ac:dyDescent="0.25">
      <c r="B183" s="40" t="str">
        <f>IF('05_PRODUCTOS'!$B183="","",'05_PRODUCTOS'!$B183)</f>
        <v/>
      </c>
      <c r="C183" s="43" t="str">
        <f>IF($B183="","",'05_PRODUCTOS'!$C183)</f>
        <v/>
      </c>
      <c r="D183" s="43" t="str">
        <f>IF($B183="","",'05_PRODUCTOS'!$D183)</f>
        <v/>
      </c>
      <c r="E183" s="40" t="str">
        <f>IF($B183="","",'05_PRODUCTOS'!$J183&amp;"")</f>
        <v/>
      </c>
      <c r="F183" s="40" t="str">
        <f>IF($B183="","",'05_PRODUCTOS'!$E183)</f>
        <v/>
      </c>
      <c r="G183" s="40" t="str">
        <f>IF($B183="","",IF('05_PRODUCTOS'!$K183="NO","NO","SI"))</f>
        <v/>
      </c>
      <c r="H183" s="49" t="str">
        <f>IF($B183="","",N('15_STOCK'!$J183))</f>
        <v/>
      </c>
      <c r="I183" s="39"/>
      <c r="J183" s="48" t="str">
        <f>IF(OR(tblConteo[[#This Row],[SKU]]="",tblConteo[[#This Row],[Conteo]]=""),"",tblConteo[[#This Row],[Conteo]]-tblConteo[[#This Row],[StockSistema]])</f>
        <v/>
      </c>
      <c r="K183" s="52" t="str">
        <f>IF($J183="","",$J183*N('15_STOCK'!$O183))</f>
        <v/>
      </c>
      <c r="L183" s="41" t="str">
        <f>IF(tblConteo[[#This Row],[Diferencia]]="","",IF(tblConteo[[#This Row],[Diferencia]]=0,"✔ Cuadra",IF(tblConteo[[#This Row],[Diferencia]]&gt;0,"▲ Sobrante","▼ Faltante")))</f>
        <v/>
      </c>
      <c r="M18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4" spans="2:13" x14ac:dyDescent="0.25">
      <c r="B184" s="40" t="str">
        <f>IF('05_PRODUCTOS'!$B184="","",'05_PRODUCTOS'!$B184)</f>
        <v/>
      </c>
      <c r="C184" s="43" t="str">
        <f>IF($B184="","",'05_PRODUCTOS'!$C184)</f>
        <v/>
      </c>
      <c r="D184" s="43" t="str">
        <f>IF($B184="","",'05_PRODUCTOS'!$D184)</f>
        <v/>
      </c>
      <c r="E184" s="40" t="str">
        <f>IF($B184="","",'05_PRODUCTOS'!$J184&amp;"")</f>
        <v/>
      </c>
      <c r="F184" s="40" t="str">
        <f>IF($B184="","",'05_PRODUCTOS'!$E184)</f>
        <v/>
      </c>
      <c r="G184" s="40" t="str">
        <f>IF($B184="","",IF('05_PRODUCTOS'!$K184="NO","NO","SI"))</f>
        <v/>
      </c>
      <c r="H184" s="49" t="str">
        <f>IF($B184="","",N('15_STOCK'!$J184))</f>
        <v/>
      </c>
      <c r="I184" s="39"/>
      <c r="J184" s="48" t="str">
        <f>IF(OR(tblConteo[[#This Row],[SKU]]="",tblConteo[[#This Row],[Conteo]]=""),"",tblConteo[[#This Row],[Conteo]]-tblConteo[[#This Row],[StockSistema]])</f>
        <v/>
      </c>
      <c r="K184" s="52" t="str">
        <f>IF($J184="","",$J184*N('15_STOCK'!$O184))</f>
        <v/>
      </c>
      <c r="L184" s="41" t="str">
        <f>IF(tblConteo[[#This Row],[Diferencia]]="","",IF(tblConteo[[#This Row],[Diferencia]]=0,"✔ Cuadra",IF(tblConteo[[#This Row],[Diferencia]]&gt;0,"▲ Sobrante","▼ Faltante")))</f>
        <v/>
      </c>
      <c r="M18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5" spans="2:13" x14ac:dyDescent="0.25">
      <c r="B185" s="40" t="str">
        <f>IF('05_PRODUCTOS'!$B185="","",'05_PRODUCTOS'!$B185)</f>
        <v/>
      </c>
      <c r="C185" s="43" t="str">
        <f>IF($B185="","",'05_PRODUCTOS'!$C185)</f>
        <v/>
      </c>
      <c r="D185" s="43" t="str">
        <f>IF($B185="","",'05_PRODUCTOS'!$D185)</f>
        <v/>
      </c>
      <c r="E185" s="40" t="str">
        <f>IF($B185="","",'05_PRODUCTOS'!$J185&amp;"")</f>
        <v/>
      </c>
      <c r="F185" s="40" t="str">
        <f>IF($B185="","",'05_PRODUCTOS'!$E185)</f>
        <v/>
      </c>
      <c r="G185" s="40" t="str">
        <f>IF($B185="","",IF('05_PRODUCTOS'!$K185="NO","NO","SI"))</f>
        <v/>
      </c>
      <c r="H185" s="49" t="str">
        <f>IF($B185="","",N('15_STOCK'!$J185))</f>
        <v/>
      </c>
      <c r="I185" s="39"/>
      <c r="J185" s="48" t="str">
        <f>IF(OR(tblConteo[[#This Row],[SKU]]="",tblConteo[[#This Row],[Conteo]]=""),"",tblConteo[[#This Row],[Conteo]]-tblConteo[[#This Row],[StockSistema]])</f>
        <v/>
      </c>
      <c r="K185" s="52" t="str">
        <f>IF($J185="","",$J185*N('15_STOCK'!$O185))</f>
        <v/>
      </c>
      <c r="L185" s="41" t="str">
        <f>IF(tblConteo[[#This Row],[Diferencia]]="","",IF(tblConteo[[#This Row],[Diferencia]]=0,"✔ Cuadra",IF(tblConteo[[#This Row],[Diferencia]]&gt;0,"▲ Sobrante","▼ Faltante")))</f>
        <v/>
      </c>
      <c r="M18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6" spans="2:13" x14ac:dyDescent="0.25">
      <c r="B186" s="40" t="str">
        <f>IF('05_PRODUCTOS'!$B186="","",'05_PRODUCTOS'!$B186)</f>
        <v/>
      </c>
      <c r="C186" s="43" t="str">
        <f>IF($B186="","",'05_PRODUCTOS'!$C186)</f>
        <v/>
      </c>
      <c r="D186" s="43" t="str">
        <f>IF($B186="","",'05_PRODUCTOS'!$D186)</f>
        <v/>
      </c>
      <c r="E186" s="40" t="str">
        <f>IF($B186="","",'05_PRODUCTOS'!$J186&amp;"")</f>
        <v/>
      </c>
      <c r="F186" s="40" t="str">
        <f>IF($B186="","",'05_PRODUCTOS'!$E186)</f>
        <v/>
      </c>
      <c r="G186" s="40" t="str">
        <f>IF($B186="","",IF('05_PRODUCTOS'!$K186="NO","NO","SI"))</f>
        <v/>
      </c>
      <c r="H186" s="49" t="str">
        <f>IF($B186="","",N('15_STOCK'!$J186))</f>
        <v/>
      </c>
      <c r="I186" s="39"/>
      <c r="J186" s="48" t="str">
        <f>IF(OR(tblConteo[[#This Row],[SKU]]="",tblConteo[[#This Row],[Conteo]]=""),"",tblConteo[[#This Row],[Conteo]]-tblConteo[[#This Row],[StockSistema]])</f>
        <v/>
      </c>
      <c r="K186" s="52" t="str">
        <f>IF($J186="","",$J186*N('15_STOCK'!$O186))</f>
        <v/>
      </c>
      <c r="L186" s="41" t="str">
        <f>IF(tblConteo[[#This Row],[Diferencia]]="","",IF(tblConteo[[#This Row],[Diferencia]]=0,"✔ Cuadra",IF(tblConteo[[#This Row],[Diferencia]]&gt;0,"▲ Sobrante","▼ Faltante")))</f>
        <v/>
      </c>
      <c r="M18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7" spans="2:13" x14ac:dyDescent="0.25">
      <c r="B187" s="40" t="str">
        <f>IF('05_PRODUCTOS'!$B187="","",'05_PRODUCTOS'!$B187)</f>
        <v/>
      </c>
      <c r="C187" s="43" t="str">
        <f>IF($B187="","",'05_PRODUCTOS'!$C187)</f>
        <v/>
      </c>
      <c r="D187" s="43" t="str">
        <f>IF($B187="","",'05_PRODUCTOS'!$D187)</f>
        <v/>
      </c>
      <c r="E187" s="40" t="str">
        <f>IF($B187="","",'05_PRODUCTOS'!$J187&amp;"")</f>
        <v/>
      </c>
      <c r="F187" s="40" t="str">
        <f>IF($B187="","",'05_PRODUCTOS'!$E187)</f>
        <v/>
      </c>
      <c r="G187" s="40" t="str">
        <f>IF($B187="","",IF('05_PRODUCTOS'!$K187="NO","NO","SI"))</f>
        <v/>
      </c>
      <c r="H187" s="49" t="str">
        <f>IF($B187="","",N('15_STOCK'!$J187))</f>
        <v/>
      </c>
      <c r="I187" s="39"/>
      <c r="J187" s="48" t="str">
        <f>IF(OR(tblConteo[[#This Row],[SKU]]="",tblConteo[[#This Row],[Conteo]]=""),"",tblConteo[[#This Row],[Conteo]]-tblConteo[[#This Row],[StockSistema]])</f>
        <v/>
      </c>
      <c r="K187" s="52" t="str">
        <f>IF($J187="","",$J187*N('15_STOCK'!$O187))</f>
        <v/>
      </c>
      <c r="L187" s="41" t="str">
        <f>IF(tblConteo[[#This Row],[Diferencia]]="","",IF(tblConteo[[#This Row],[Diferencia]]=0,"✔ Cuadra",IF(tblConteo[[#This Row],[Diferencia]]&gt;0,"▲ Sobrante","▼ Faltante")))</f>
        <v/>
      </c>
      <c r="M18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8" spans="2:13" x14ac:dyDescent="0.25">
      <c r="B188" s="40" t="str">
        <f>IF('05_PRODUCTOS'!$B188="","",'05_PRODUCTOS'!$B188)</f>
        <v/>
      </c>
      <c r="C188" s="43" t="str">
        <f>IF($B188="","",'05_PRODUCTOS'!$C188)</f>
        <v/>
      </c>
      <c r="D188" s="43" t="str">
        <f>IF($B188="","",'05_PRODUCTOS'!$D188)</f>
        <v/>
      </c>
      <c r="E188" s="40" t="str">
        <f>IF($B188="","",'05_PRODUCTOS'!$J188&amp;"")</f>
        <v/>
      </c>
      <c r="F188" s="40" t="str">
        <f>IF($B188="","",'05_PRODUCTOS'!$E188)</f>
        <v/>
      </c>
      <c r="G188" s="40" t="str">
        <f>IF($B188="","",IF('05_PRODUCTOS'!$K188="NO","NO","SI"))</f>
        <v/>
      </c>
      <c r="H188" s="49" t="str">
        <f>IF($B188="","",N('15_STOCK'!$J188))</f>
        <v/>
      </c>
      <c r="I188" s="39"/>
      <c r="J188" s="48" t="str">
        <f>IF(OR(tblConteo[[#This Row],[SKU]]="",tblConteo[[#This Row],[Conteo]]=""),"",tblConteo[[#This Row],[Conteo]]-tblConteo[[#This Row],[StockSistema]])</f>
        <v/>
      </c>
      <c r="K188" s="52" t="str">
        <f>IF($J188="","",$J188*N('15_STOCK'!$O188))</f>
        <v/>
      </c>
      <c r="L188" s="41" t="str">
        <f>IF(tblConteo[[#This Row],[Diferencia]]="","",IF(tblConteo[[#This Row],[Diferencia]]=0,"✔ Cuadra",IF(tblConteo[[#This Row],[Diferencia]]&gt;0,"▲ Sobrante","▼ Faltante")))</f>
        <v/>
      </c>
      <c r="M18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89" spans="2:13" x14ac:dyDescent="0.25">
      <c r="B189" s="40" t="str">
        <f>IF('05_PRODUCTOS'!$B189="","",'05_PRODUCTOS'!$B189)</f>
        <v/>
      </c>
      <c r="C189" s="43" t="str">
        <f>IF($B189="","",'05_PRODUCTOS'!$C189)</f>
        <v/>
      </c>
      <c r="D189" s="43" t="str">
        <f>IF($B189="","",'05_PRODUCTOS'!$D189)</f>
        <v/>
      </c>
      <c r="E189" s="40" t="str">
        <f>IF($B189="","",'05_PRODUCTOS'!$J189&amp;"")</f>
        <v/>
      </c>
      <c r="F189" s="40" t="str">
        <f>IF($B189="","",'05_PRODUCTOS'!$E189)</f>
        <v/>
      </c>
      <c r="G189" s="40" t="str">
        <f>IF($B189="","",IF('05_PRODUCTOS'!$K189="NO","NO","SI"))</f>
        <v/>
      </c>
      <c r="H189" s="49" t="str">
        <f>IF($B189="","",N('15_STOCK'!$J189))</f>
        <v/>
      </c>
      <c r="I189" s="39"/>
      <c r="J189" s="48" t="str">
        <f>IF(OR(tblConteo[[#This Row],[SKU]]="",tblConteo[[#This Row],[Conteo]]=""),"",tblConteo[[#This Row],[Conteo]]-tblConteo[[#This Row],[StockSistema]])</f>
        <v/>
      </c>
      <c r="K189" s="52" t="str">
        <f>IF($J189="","",$J189*N('15_STOCK'!$O189))</f>
        <v/>
      </c>
      <c r="L189" s="41" t="str">
        <f>IF(tblConteo[[#This Row],[Diferencia]]="","",IF(tblConteo[[#This Row],[Diferencia]]=0,"✔ Cuadra",IF(tblConteo[[#This Row],[Diferencia]]&gt;0,"▲ Sobrante","▼ Faltante")))</f>
        <v/>
      </c>
      <c r="M18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0" spans="2:13" x14ac:dyDescent="0.25">
      <c r="B190" s="40" t="str">
        <f>IF('05_PRODUCTOS'!$B190="","",'05_PRODUCTOS'!$B190)</f>
        <v/>
      </c>
      <c r="C190" s="43" t="str">
        <f>IF($B190="","",'05_PRODUCTOS'!$C190)</f>
        <v/>
      </c>
      <c r="D190" s="43" t="str">
        <f>IF($B190="","",'05_PRODUCTOS'!$D190)</f>
        <v/>
      </c>
      <c r="E190" s="40" t="str">
        <f>IF($B190="","",'05_PRODUCTOS'!$J190&amp;"")</f>
        <v/>
      </c>
      <c r="F190" s="40" t="str">
        <f>IF($B190="","",'05_PRODUCTOS'!$E190)</f>
        <v/>
      </c>
      <c r="G190" s="40" t="str">
        <f>IF($B190="","",IF('05_PRODUCTOS'!$K190="NO","NO","SI"))</f>
        <v/>
      </c>
      <c r="H190" s="49" t="str">
        <f>IF($B190="","",N('15_STOCK'!$J190))</f>
        <v/>
      </c>
      <c r="I190" s="39"/>
      <c r="J190" s="48" t="str">
        <f>IF(OR(tblConteo[[#This Row],[SKU]]="",tblConteo[[#This Row],[Conteo]]=""),"",tblConteo[[#This Row],[Conteo]]-tblConteo[[#This Row],[StockSistema]])</f>
        <v/>
      </c>
      <c r="K190" s="52" t="str">
        <f>IF($J190="","",$J190*N('15_STOCK'!$O190))</f>
        <v/>
      </c>
      <c r="L190" s="41" t="str">
        <f>IF(tblConteo[[#This Row],[Diferencia]]="","",IF(tblConteo[[#This Row],[Diferencia]]=0,"✔ Cuadra",IF(tblConteo[[#This Row],[Diferencia]]&gt;0,"▲ Sobrante","▼ Faltante")))</f>
        <v/>
      </c>
      <c r="M19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1" spans="2:13" x14ac:dyDescent="0.25">
      <c r="B191" s="40" t="str">
        <f>IF('05_PRODUCTOS'!$B191="","",'05_PRODUCTOS'!$B191)</f>
        <v/>
      </c>
      <c r="C191" s="43" t="str">
        <f>IF($B191="","",'05_PRODUCTOS'!$C191)</f>
        <v/>
      </c>
      <c r="D191" s="43" t="str">
        <f>IF($B191="","",'05_PRODUCTOS'!$D191)</f>
        <v/>
      </c>
      <c r="E191" s="40" t="str">
        <f>IF($B191="","",'05_PRODUCTOS'!$J191&amp;"")</f>
        <v/>
      </c>
      <c r="F191" s="40" t="str">
        <f>IF($B191="","",'05_PRODUCTOS'!$E191)</f>
        <v/>
      </c>
      <c r="G191" s="40" t="str">
        <f>IF($B191="","",IF('05_PRODUCTOS'!$K191="NO","NO","SI"))</f>
        <v/>
      </c>
      <c r="H191" s="49" t="str">
        <f>IF($B191="","",N('15_STOCK'!$J191))</f>
        <v/>
      </c>
      <c r="I191" s="39"/>
      <c r="J191" s="48" t="str">
        <f>IF(OR(tblConteo[[#This Row],[SKU]]="",tblConteo[[#This Row],[Conteo]]=""),"",tblConteo[[#This Row],[Conteo]]-tblConteo[[#This Row],[StockSistema]])</f>
        <v/>
      </c>
      <c r="K191" s="52" t="str">
        <f>IF($J191="","",$J191*N('15_STOCK'!$O191))</f>
        <v/>
      </c>
      <c r="L191" s="41" t="str">
        <f>IF(tblConteo[[#This Row],[Diferencia]]="","",IF(tblConteo[[#This Row],[Diferencia]]=0,"✔ Cuadra",IF(tblConteo[[#This Row],[Diferencia]]&gt;0,"▲ Sobrante","▼ Faltante")))</f>
        <v/>
      </c>
      <c r="M19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2" spans="2:13" x14ac:dyDescent="0.25">
      <c r="B192" s="40" t="str">
        <f>IF('05_PRODUCTOS'!$B192="","",'05_PRODUCTOS'!$B192)</f>
        <v/>
      </c>
      <c r="C192" s="43" t="str">
        <f>IF($B192="","",'05_PRODUCTOS'!$C192)</f>
        <v/>
      </c>
      <c r="D192" s="43" t="str">
        <f>IF($B192="","",'05_PRODUCTOS'!$D192)</f>
        <v/>
      </c>
      <c r="E192" s="40" t="str">
        <f>IF($B192="","",'05_PRODUCTOS'!$J192&amp;"")</f>
        <v/>
      </c>
      <c r="F192" s="40" t="str">
        <f>IF($B192="","",'05_PRODUCTOS'!$E192)</f>
        <v/>
      </c>
      <c r="G192" s="40" t="str">
        <f>IF($B192="","",IF('05_PRODUCTOS'!$K192="NO","NO","SI"))</f>
        <v/>
      </c>
      <c r="H192" s="49" t="str">
        <f>IF($B192="","",N('15_STOCK'!$J192))</f>
        <v/>
      </c>
      <c r="I192" s="39"/>
      <c r="J192" s="48" t="str">
        <f>IF(OR(tblConteo[[#This Row],[SKU]]="",tblConteo[[#This Row],[Conteo]]=""),"",tblConteo[[#This Row],[Conteo]]-tblConteo[[#This Row],[StockSistema]])</f>
        <v/>
      </c>
      <c r="K192" s="52" t="str">
        <f>IF($J192="","",$J192*N('15_STOCK'!$O192))</f>
        <v/>
      </c>
      <c r="L192" s="41" t="str">
        <f>IF(tblConteo[[#This Row],[Diferencia]]="","",IF(tblConteo[[#This Row],[Diferencia]]=0,"✔ Cuadra",IF(tblConteo[[#This Row],[Diferencia]]&gt;0,"▲ Sobrante","▼ Faltante")))</f>
        <v/>
      </c>
      <c r="M19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3" spans="2:13" x14ac:dyDescent="0.25">
      <c r="B193" s="40" t="str">
        <f>IF('05_PRODUCTOS'!$B193="","",'05_PRODUCTOS'!$B193)</f>
        <v/>
      </c>
      <c r="C193" s="43" t="str">
        <f>IF($B193="","",'05_PRODUCTOS'!$C193)</f>
        <v/>
      </c>
      <c r="D193" s="43" t="str">
        <f>IF($B193="","",'05_PRODUCTOS'!$D193)</f>
        <v/>
      </c>
      <c r="E193" s="40" t="str">
        <f>IF($B193="","",'05_PRODUCTOS'!$J193&amp;"")</f>
        <v/>
      </c>
      <c r="F193" s="40" t="str">
        <f>IF($B193="","",'05_PRODUCTOS'!$E193)</f>
        <v/>
      </c>
      <c r="G193" s="40" t="str">
        <f>IF($B193="","",IF('05_PRODUCTOS'!$K193="NO","NO","SI"))</f>
        <v/>
      </c>
      <c r="H193" s="49" t="str">
        <f>IF($B193="","",N('15_STOCK'!$J193))</f>
        <v/>
      </c>
      <c r="I193" s="39"/>
      <c r="J193" s="48" t="str">
        <f>IF(OR(tblConteo[[#This Row],[SKU]]="",tblConteo[[#This Row],[Conteo]]=""),"",tblConteo[[#This Row],[Conteo]]-tblConteo[[#This Row],[StockSistema]])</f>
        <v/>
      </c>
      <c r="K193" s="52" t="str">
        <f>IF($J193="","",$J193*N('15_STOCK'!$O193))</f>
        <v/>
      </c>
      <c r="L193" s="41" t="str">
        <f>IF(tblConteo[[#This Row],[Diferencia]]="","",IF(tblConteo[[#This Row],[Diferencia]]=0,"✔ Cuadra",IF(tblConteo[[#This Row],[Diferencia]]&gt;0,"▲ Sobrante","▼ Faltante")))</f>
        <v/>
      </c>
      <c r="M19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4" spans="2:13" x14ac:dyDescent="0.25">
      <c r="B194" s="40" t="str">
        <f>IF('05_PRODUCTOS'!$B194="","",'05_PRODUCTOS'!$B194)</f>
        <v/>
      </c>
      <c r="C194" s="43" t="str">
        <f>IF($B194="","",'05_PRODUCTOS'!$C194)</f>
        <v/>
      </c>
      <c r="D194" s="43" t="str">
        <f>IF($B194="","",'05_PRODUCTOS'!$D194)</f>
        <v/>
      </c>
      <c r="E194" s="40" t="str">
        <f>IF($B194="","",'05_PRODUCTOS'!$J194&amp;"")</f>
        <v/>
      </c>
      <c r="F194" s="40" t="str">
        <f>IF($B194="","",'05_PRODUCTOS'!$E194)</f>
        <v/>
      </c>
      <c r="G194" s="40" t="str">
        <f>IF($B194="","",IF('05_PRODUCTOS'!$K194="NO","NO","SI"))</f>
        <v/>
      </c>
      <c r="H194" s="49" t="str">
        <f>IF($B194="","",N('15_STOCK'!$J194))</f>
        <v/>
      </c>
      <c r="I194" s="39"/>
      <c r="J194" s="48" t="str">
        <f>IF(OR(tblConteo[[#This Row],[SKU]]="",tblConteo[[#This Row],[Conteo]]=""),"",tblConteo[[#This Row],[Conteo]]-tblConteo[[#This Row],[StockSistema]])</f>
        <v/>
      </c>
      <c r="K194" s="52" t="str">
        <f>IF($J194="","",$J194*N('15_STOCK'!$O194))</f>
        <v/>
      </c>
      <c r="L194" s="41" t="str">
        <f>IF(tblConteo[[#This Row],[Diferencia]]="","",IF(tblConteo[[#This Row],[Diferencia]]=0,"✔ Cuadra",IF(tblConteo[[#This Row],[Diferencia]]&gt;0,"▲ Sobrante","▼ Faltante")))</f>
        <v/>
      </c>
      <c r="M19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5" spans="2:13" x14ac:dyDescent="0.25">
      <c r="B195" s="40" t="str">
        <f>IF('05_PRODUCTOS'!$B195="","",'05_PRODUCTOS'!$B195)</f>
        <v/>
      </c>
      <c r="C195" s="43" t="str">
        <f>IF($B195="","",'05_PRODUCTOS'!$C195)</f>
        <v/>
      </c>
      <c r="D195" s="43" t="str">
        <f>IF($B195="","",'05_PRODUCTOS'!$D195)</f>
        <v/>
      </c>
      <c r="E195" s="40" t="str">
        <f>IF($B195="","",'05_PRODUCTOS'!$J195&amp;"")</f>
        <v/>
      </c>
      <c r="F195" s="40" t="str">
        <f>IF($B195="","",'05_PRODUCTOS'!$E195)</f>
        <v/>
      </c>
      <c r="G195" s="40" t="str">
        <f>IF($B195="","",IF('05_PRODUCTOS'!$K195="NO","NO","SI"))</f>
        <v/>
      </c>
      <c r="H195" s="49" t="str">
        <f>IF($B195="","",N('15_STOCK'!$J195))</f>
        <v/>
      </c>
      <c r="I195" s="39"/>
      <c r="J195" s="48" t="str">
        <f>IF(OR(tblConteo[[#This Row],[SKU]]="",tblConteo[[#This Row],[Conteo]]=""),"",tblConteo[[#This Row],[Conteo]]-tblConteo[[#This Row],[StockSistema]])</f>
        <v/>
      </c>
      <c r="K195" s="52" t="str">
        <f>IF($J195="","",$J195*N('15_STOCK'!$O195))</f>
        <v/>
      </c>
      <c r="L195" s="41" t="str">
        <f>IF(tblConteo[[#This Row],[Diferencia]]="","",IF(tblConteo[[#This Row],[Diferencia]]=0,"✔ Cuadra",IF(tblConteo[[#This Row],[Diferencia]]&gt;0,"▲ Sobrante","▼ Faltante")))</f>
        <v/>
      </c>
      <c r="M19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6" spans="2:13" x14ac:dyDescent="0.25">
      <c r="B196" s="40" t="str">
        <f>IF('05_PRODUCTOS'!$B196="","",'05_PRODUCTOS'!$B196)</f>
        <v/>
      </c>
      <c r="C196" s="43" t="str">
        <f>IF($B196="","",'05_PRODUCTOS'!$C196)</f>
        <v/>
      </c>
      <c r="D196" s="43" t="str">
        <f>IF($B196="","",'05_PRODUCTOS'!$D196)</f>
        <v/>
      </c>
      <c r="E196" s="40" t="str">
        <f>IF($B196="","",'05_PRODUCTOS'!$J196&amp;"")</f>
        <v/>
      </c>
      <c r="F196" s="40" t="str">
        <f>IF($B196="","",'05_PRODUCTOS'!$E196)</f>
        <v/>
      </c>
      <c r="G196" s="40" t="str">
        <f>IF($B196="","",IF('05_PRODUCTOS'!$K196="NO","NO","SI"))</f>
        <v/>
      </c>
      <c r="H196" s="49" t="str">
        <f>IF($B196="","",N('15_STOCK'!$J196))</f>
        <v/>
      </c>
      <c r="I196" s="39"/>
      <c r="J196" s="48" t="str">
        <f>IF(OR(tblConteo[[#This Row],[SKU]]="",tblConteo[[#This Row],[Conteo]]=""),"",tblConteo[[#This Row],[Conteo]]-tblConteo[[#This Row],[StockSistema]])</f>
        <v/>
      </c>
      <c r="K196" s="52" t="str">
        <f>IF($J196="","",$J196*N('15_STOCK'!$O196))</f>
        <v/>
      </c>
      <c r="L196" s="41" t="str">
        <f>IF(tblConteo[[#This Row],[Diferencia]]="","",IF(tblConteo[[#This Row],[Diferencia]]=0,"✔ Cuadra",IF(tblConteo[[#This Row],[Diferencia]]&gt;0,"▲ Sobrante","▼ Faltante")))</f>
        <v/>
      </c>
      <c r="M19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7" spans="2:13" x14ac:dyDescent="0.25">
      <c r="B197" s="40" t="str">
        <f>IF('05_PRODUCTOS'!$B197="","",'05_PRODUCTOS'!$B197)</f>
        <v/>
      </c>
      <c r="C197" s="43" t="str">
        <f>IF($B197="","",'05_PRODUCTOS'!$C197)</f>
        <v/>
      </c>
      <c r="D197" s="43" t="str">
        <f>IF($B197="","",'05_PRODUCTOS'!$D197)</f>
        <v/>
      </c>
      <c r="E197" s="40" t="str">
        <f>IF($B197="","",'05_PRODUCTOS'!$J197&amp;"")</f>
        <v/>
      </c>
      <c r="F197" s="40" t="str">
        <f>IF($B197="","",'05_PRODUCTOS'!$E197)</f>
        <v/>
      </c>
      <c r="G197" s="40" t="str">
        <f>IF($B197="","",IF('05_PRODUCTOS'!$K197="NO","NO","SI"))</f>
        <v/>
      </c>
      <c r="H197" s="49" t="str">
        <f>IF($B197="","",N('15_STOCK'!$J197))</f>
        <v/>
      </c>
      <c r="I197" s="39"/>
      <c r="J197" s="48" t="str">
        <f>IF(OR(tblConteo[[#This Row],[SKU]]="",tblConteo[[#This Row],[Conteo]]=""),"",tblConteo[[#This Row],[Conteo]]-tblConteo[[#This Row],[StockSistema]])</f>
        <v/>
      </c>
      <c r="K197" s="52" t="str">
        <f>IF($J197="","",$J197*N('15_STOCK'!$O197))</f>
        <v/>
      </c>
      <c r="L197" s="41" t="str">
        <f>IF(tblConteo[[#This Row],[Diferencia]]="","",IF(tblConteo[[#This Row],[Diferencia]]=0,"✔ Cuadra",IF(tblConteo[[#This Row],[Diferencia]]&gt;0,"▲ Sobrante","▼ Faltante")))</f>
        <v/>
      </c>
      <c r="M19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8" spans="2:13" x14ac:dyDescent="0.25">
      <c r="B198" s="40" t="str">
        <f>IF('05_PRODUCTOS'!$B198="","",'05_PRODUCTOS'!$B198)</f>
        <v/>
      </c>
      <c r="C198" s="43" t="str">
        <f>IF($B198="","",'05_PRODUCTOS'!$C198)</f>
        <v/>
      </c>
      <c r="D198" s="43" t="str">
        <f>IF($B198="","",'05_PRODUCTOS'!$D198)</f>
        <v/>
      </c>
      <c r="E198" s="40" t="str">
        <f>IF($B198="","",'05_PRODUCTOS'!$J198&amp;"")</f>
        <v/>
      </c>
      <c r="F198" s="40" t="str">
        <f>IF($B198="","",'05_PRODUCTOS'!$E198)</f>
        <v/>
      </c>
      <c r="G198" s="40" t="str">
        <f>IF($B198="","",IF('05_PRODUCTOS'!$K198="NO","NO","SI"))</f>
        <v/>
      </c>
      <c r="H198" s="49" t="str">
        <f>IF($B198="","",N('15_STOCK'!$J198))</f>
        <v/>
      </c>
      <c r="I198" s="39"/>
      <c r="J198" s="48" t="str">
        <f>IF(OR(tblConteo[[#This Row],[SKU]]="",tblConteo[[#This Row],[Conteo]]=""),"",tblConteo[[#This Row],[Conteo]]-tblConteo[[#This Row],[StockSistema]])</f>
        <v/>
      </c>
      <c r="K198" s="52" t="str">
        <f>IF($J198="","",$J198*N('15_STOCK'!$O198))</f>
        <v/>
      </c>
      <c r="L198" s="41" t="str">
        <f>IF(tblConteo[[#This Row],[Diferencia]]="","",IF(tblConteo[[#This Row],[Diferencia]]=0,"✔ Cuadra",IF(tblConteo[[#This Row],[Diferencia]]&gt;0,"▲ Sobrante","▼ Faltante")))</f>
        <v/>
      </c>
      <c r="M19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199" spans="2:13" x14ac:dyDescent="0.25">
      <c r="B199" s="40" t="str">
        <f>IF('05_PRODUCTOS'!$B199="","",'05_PRODUCTOS'!$B199)</f>
        <v/>
      </c>
      <c r="C199" s="43" t="str">
        <f>IF($B199="","",'05_PRODUCTOS'!$C199)</f>
        <v/>
      </c>
      <c r="D199" s="43" t="str">
        <f>IF($B199="","",'05_PRODUCTOS'!$D199)</f>
        <v/>
      </c>
      <c r="E199" s="40" t="str">
        <f>IF($B199="","",'05_PRODUCTOS'!$J199&amp;"")</f>
        <v/>
      </c>
      <c r="F199" s="40" t="str">
        <f>IF($B199="","",'05_PRODUCTOS'!$E199)</f>
        <v/>
      </c>
      <c r="G199" s="40" t="str">
        <f>IF($B199="","",IF('05_PRODUCTOS'!$K199="NO","NO","SI"))</f>
        <v/>
      </c>
      <c r="H199" s="49" t="str">
        <f>IF($B199="","",N('15_STOCK'!$J199))</f>
        <v/>
      </c>
      <c r="I199" s="39"/>
      <c r="J199" s="48" t="str">
        <f>IF(OR(tblConteo[[#This Row],[SKU]]="",tblConteo[[#This Row],[Conteo]]=""),"",tblConteo[[#This Row],[Conteo]]-tblConteo[[#This Row],[StockSistema]])</f>
        <v/>
      </c>
      <c r="K199" s="52" t="str">
        <f>IF($J199="","",$J199*N('15_STOCK'!$O199))</f>
        <v/>
      </c>
      <c r="L199" s="41" t="str">
        <f>IF(tblConteo[[#This Row],[Diferencia]]="","",IF(tblConteo[[#This Row],[Diferencia]]=0,"✔ Cuadra",IF(tblConteo[[#This Row],[Diferencia]]&gt;0,"▲ Sobrante","▼ Faltante")))</f>
        <v/>
      </c>
      <c r="M19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0" spans="2:13" x14ac:dyDescent="0.25">
      <c r="B200" s="40" t="str">
        <f>IF('05_PRODUCTOS'!$B200="","",'05_PRODUCTOS'!$B200)</f>
        <v/>
      </c>
      <c r="C200" s="43" t="str">
        <f>IF($B200="","",'05_PRODUCTOS'!$C200)</f>
        <v/>
      </c>
      <c r="D200" s="43" t="str">
        <f>IF($B200="","",'05_PRODUCTOS'!$D200)</f>
        <v/>
      </c>
      <c r="E200" s="40" t="str">
        <f>IF($B200="","",'05_PRODUCTOS'!$J200&amp;"")</f>
        <v/>
      </c>
      <c r="F200" s="40" t="str">
        <f>IF($B200="","",'05_PRODUCTOS'!$E200)</f>
        <v/>
      </c>
      <c r="G200" s="40" t="str">
        <f>IF($B200="","",IF('05_PRODUCTOS'!$K200="NO","NO","SI"))</f>
        <v/>
      </c>
      <c r="H200" s="49" t="str">
        <f>IF($B200="","",N('15_STOCK'!$J200))</f>
        <v/>
      </c>
      <c r="I200" s="39"/>
      <c r="J200" s="48" t="str">
        <f>IF(OR(tblConteo[[#This Row],[SKU]]="",tblConteo[[#This Row],[Conteo]]=""),"",tblConteo[[#This Row],[Conteo]]-tblConteo[[#This Row],[StockSistema]])</f>
        <v/>
      </c>
      <c r="K200" s="52" t="str">
        <f>IF($J200="","",$J200*N('15_STOCK'!$O200))</f>
        <v/>
      </c>
      <c r="L200" s="41" t="str">
        <f>IF(tblConteo[[#This Row],[Diferencia]]="","",IF(tblConteo[[#This Row],[Diferencia]]=0,"✔ Cuadra",IF(tblConteo[[#This Row],[Diferencia]]&gt;0,"▲ Sobrante","▼ Faltante")))</f>
        <v/>
      </c>
      <c r="M20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1" spans="2:13" x14ac:dyDescent="0.25">
      <c r="B201" s="40" t="str">
        <f>IF('05_PRODUCTOS'!$B201="","",'05_PRODUCTOS'!$B201)</f>
        <v/>
      </c>
      <c r="C201" s="43" t="str">
        <f>IF($B201="","",'05_PRODUCTOS'!$C201)</f>
        <v/>
      </c>
      <c r="D201" s="43" t="str">
        <f>IF($B201="","",'05_PRODUCTOS'!$D201)</f>
        <v/>
      </c>
      <c r="E201" s="40" t="str">
        <f>IF($B201="","",'05_PRODUCTOS'!$J201&amp;"")</f>
        <v/>
      </c>
      <c r="F201" s="40" t="str">
        <f>IF($B201="","",'05_PRODUCTOS'!$E201)</f>
        <v/>
      </c>
      <c r="G201" s="40" t="str">
        <f>IF($B201="","",IF('05_PRODUCTOS'!$K201="NO","NO","SI"))</f>
        <v/>
      </c>
      <c r="H201" s="49" t="str">
        <f>IF($B201="","",N('15_STOCK'!$J201))</f>
        <v/>
      </c>
      <c r="I201" s="39"/>
      <c r="J201" s="48" t="str">
        <f>IF(OR(tblConteo[[#This Row],[SKU]]="",tblConteo[[#This Row],[Conteo]]=""),"",tblConteo[[#This Row],[Conteo]]-tblConteo[[#This Row],[StockSistema]])</f>
        <v/>
      </c>
      <c r="K201" s="52" t="str">
        <f>IF($J201="","",$J201*N('15_STOCK'!$O201))</f>
        <v/>
      </c>
      <c r="L201" s="41" t="str">
        <f>IF(tblConteo[[#This Row],[Diferencia]]="","",IF(tblConteo[[#This Row],[Diferencia]]=0,"✔ Cuadra",IF(tblConteo[[#This Row],[Diferencia]]&gt;0,"▲ Sobrante","▼ Faltante")))</f>
        <v/>
      </c>
      <c r="M20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2" spans="2:13" x14ac:dyDescent="0.25">
      <c r="B202" s="40" t="str">
        <f>IF('05_PRODUCTOS'!$B202="","",'05_PRODUCTOS'!$B202)</f>
        <v/>
      </c>
      <c r="C202" s="43" t="str">
        <f>IF($B202="","",'05_PRODUCTOS'!$C202)</f>
        <v/>
      </c>
      <c r="D202" s="43" t="str">
        <f>IF($B202="","",'05_PRODUCTOS'!$D202)</f>
        <v/>
      </c>
      <c r="E202" s="40" t="str">
        <f>IF($B202="","",'05_PRODUCTOS'!$J202&amp;"")</f>
        <v/>
      </c>
      <c r="F202" s="40" t="str">
        <f>IF($B202="","",'05_PRODUCTOS'!$E202)</f>
        <v/>
      </c>
      <c r="G202" s="40" t="str">
        <f>IF($B202="","",IF('05_PRODUCTOS'!$K202="NO","NO","SI"))</f>
        <v/>
      </c>
      <c r="H202" s="49" t="str">
        <f>IF($B202="","",N('15_STOCK'!$J202))</f>
        <v/>
      </c>
      <c r="I202" s="39"/>
      <c r="J202" s="48" t="str">
        <f>IF(OR(tblConteo[[#This Row],[SKU]]="",tblConteo[[#This Row],[Conteo]]=""),"",tblConteo[[#This Row],[Conteo]]-tblConteo[[#This Row],[StockSistema]])</f>
        <v/>
      </c>
      <c r="K202" s="52" t="str">
        <f>IF($J202="","",$J202*N('15_STOCK'!$O202))</f>
        <v/>
      </c>
      <c r="L202" s="41" t="str">
        <f>IF(tblConteo[[#This Row],[Diferencia]]="","",IF(tblConteo[[#This Row],[Diferencia]]=0,"✔ Cuadra",IF(tblConteo[[#This Row],[Diferencia]]&gt;0,"▲ Sobrante","▼ Faltante")))</f>
        <v/>
      </c>
      <c r="M20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3" spans="2:13" x14ac:dyDescent="0.25">
      <c r="B203" s="40" t="str">
        <f>IF('05_PRODUCTOS'!$B203="","",'05_PRODUCTOS'!$B203)</f>
        <v/>
      </c>
      <c r="C203" s="43" t="str">
        <f>IF($B203="","",'05_PRODUCTOS'!$C203)</f>
        <v/>
      </c>
      <c r="D203" s="43" t="str">
        <f>IF($B203="","",'05_PRODUCTOS'!$D203)</f>
        <v/>
      </c>
      <c r="E203" s="40" t="str">
        <f>IF($B203="","",'05_PRODUCTOS'!$J203&amp;"")</f>
        <v/>
      </c>
      <c r="F203" s="40" t="str">
        <f>IF($B203="","",'05_PRODUCTOS'!$E203)</f>
        <v/>
      </c>
      <c r="G203" s="40" t="str">
        <f>IF($B203="","",IF('05_PRODUCTOS'!$K203="NO","NO","SI"))</f>
        <v/>
      </c>
      <c r="H203" s="49" t="str">
        <f>IF($B203="","",N('15_STOCK'!$J203))</f>
        <v/>
      </c>
      <c r="I203" s="39"/>
      <c r="J203" s="48" t="str">
        <f>IF(OR(tblConteo[[#This Row],[SKU]]="",tblConteo[[#This Row],[Conteo]]=""),"",tblConteo[[#This Row],[Conteo]]-tblConteo[[#This Row],[StockSistema]])</f>
        <v/>
      </c>
      <c r="K203" s="52" t="str">
        <f>IF($J203="","",$J203*N('15_STOCK'!$O203))</f>
        <v/>
      </c>
      <c r="L203" s="41" t="str">
        <f>IF(tblConteo[[#This Row],[Diferencia]]="","",IF(tblConteo[[#This Row],[Diferencia]]=0,"✔ Cuadra",IF(tblConteo[[#This Row],[Diferencia]]&gt;0,"▲ Sobrante","▼ Faltante")))</f>
        <v/>
      </c>
      <c r="M20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4" spans="2:13" x14ac:dyDescent="0.25">
      <c r="B204" s="40" t="str">
        <f>IF('05_PRODUCTOS'!$B204="","",'05_PRODUCTOS'!$B204)</f>
        <v/>
      </c>
      <c r="C204" s="43" t="str">
        <f>IF($B204="","",'05_PRODUCTOS'!$C204)</f>
        <v/>
      </c>
      <c r="D204" s="43" t="str">
        <f>IF($B204="","",'05_PRODUCTOS'!$D204)</f>
        <v/>
      </c>
      <c r="E204" s="40" t="str">
        <f>IF($B204="","",'05_PRODUCTOS'!$J204&amp;"")</f>
        <v/>
      </c>
      <c r="F204" s="40" t="str">
        <f>IF($B204="","",'05_PRODUCTOS'!$E204)</f>
        <v/>
      </c>
      <c r="G204" s="40" t="str">
        <f>IF($B204="","",IF('05_PRODUCTOS'!$K204="NO","NO","SI"))</f>
        <v/>
      </c>
      <c r="H204" s="49" t="str">
        <f>IF($B204="","",N('15_STOCK'!$J204))</f>
        <v/>
      </c>
      <c r="I204" s="39"/>
      <c r="J204" s="48" t="str">
        <f>IF(OR(tblConteo[[#This Row],[SKU]]="",tblConteo[[#This Row],[Conteo]]=""),"",tblConteo[[#This Row],[Conteo]]-tblConteo[[#This Row],[StockSistema]])</f>
        <v/>
      </c>
      <c r="K204" s="52" t="str">
        <f>IF($J204="","",$J204*N('15_STOCK'!$O204))</f>
        <v/>
      </c>
      <c r="L204" s="41" t="str">
        <f>IF(tblConteo[[#This Row],[Diferencia]]="","",IF(tblConteo[[#This Row],[Diferencia]]=0,"✔ Cuadra",IF(tblConteo[[#This Row],[Diferencia]]&gt;0,"▲ Sobrante","▼ Faltante")))</f>
        <v/>
      </c>
      <c r="M20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5" spans="2:13" x14ac:dyDescent="0.25">
      <c r="B205" s="40" t="str">
        <f>IF('05_PRODUCTOS'!$B205="","",'05_PRODUCTOS'!$B205)</f>
        <v/>
      </c>
      <c r="C205" s="43" t="str">
        <f>IF($B205="","",'05_PRODUCTOS'!$C205)</f>
        <v/>
      </c>
      <c r="D205" s="43" t="str">
        <f>IF($B205="","",'05_PRODUCTOS'!$D205)</f>
        <v/>
      </c>
      <c r="E205" s="40" t="str">
        <f>IF($B205="","",'05_PRODUCTOS'!$J205&amp;"")</f>
        <v/>
      </c>
      <c r="F205" s="40" t="str">
        <f>IF($B205="","",'05_PRODUCTOS'!$E205)</f>
        <v/>
      </c>
      <c r="G205" s="40" t="str">
        <f>IF($B205="","",IF('05_PRODUCTOS'!$K205="NO","NO","SI"))</f>
        <v/>
      </c>
      <c r="H205" s="49" t="str">
        <f>IF($B205="","",N('15_STOCK'!$J205))</f>
        <v/>
      </c>
      <c r="I205" s="39"/>
      <c r="J205" s="48" t="str">
        <f>IF(OR(tblConteo[[#This Row],[SKU]]="",tblConteo[[#This Row],[Conteo]]=""),"",tblConteo[[#This Row],[Conteo]]-tblConteo[[#This Row],[StockSistema]])</f>
        <v/>
      </c>
      <c r="K205" s="52" t="str">
        <f>IF($J205="","",$J205*N('15_STOCK'!$O205))</f>
        <v/>
      </c>
      <c r="L205" s="41" t="str">
        <f>IF(tblConteo[[#This Row],[Diferencia]]="","",IF(tblConteo[[#This Row],[Diferencia]]=0,"✔ Cuadra",IF(tblConteo[[#This Row],[Diferencia]]&gt;0,"▲ Sobrante","▼ Faltante")))</f>
        <v/>
      </c>
      <c r="M20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6" spans="2:13" x14ac:dyDescent="0.25">
      <c r="B206" s="40" t="str">
        <f>IF('05_PRODUCTOS'!$B206="","",'05_PRODUCTOS'!$B206)</f>
        <v/>
      </c>
      <c r="C206" s="43" t="str">
        <f>IF($B206="","",'05_PRODUCTOS'!$C206)</f>
        <v/>
      </c>
      <c r="D206" s="43" t="str">
        <f>IF($B206="","",'05_PRODUCTOS'!$D206)</f>
        <v/>
      </c>
      <c r="E206" s="40" t="str">
        <f>IF($B206="","",'05_PRODUCTOS'!$J206&amp;"")</f>
        <v/>
      </c>
      <c r="F206" s="40" t="str">
        <f>IF($B206="","",'05_PRODUCTOS'!$E206)</f>
        <v/>
      </c>
      <c r="G206" s="40" t="str">
        <f>IF($B206="","",IF('05_PRODUCTOS'!$K206="NO","NO","SI"))</f>
        <v/>
      </c>
      <c r="H206" s="49" t="str">
        <f>IF($B206="","",N('15_STOCK'!$J206))</f>
        <v/>
      </c>
      <c r="I206" s="39"/>
      <c r="J206" s="48" t="str">
        <f>IF(OR(tblConteo[[#This Row],[SKU]]="",tblConteo[[#This Row],[Conteo]]=""),"",tblConteo[[#This Row],[Conteo]]-tblConteo[[#This Row],[StockSistema]])</f>
        <v/>
      </c>
      <c r="K206" s="52" t="str">
        <f>IF($J206="","",$J206*N('15_STOCK'!$O206))</f>
        <v/>
      </c>
      <c r="L206" s="41" t="str">
        <f>IF(tblConteo[[#This Row],[Diferencia]]="","",IF(tblConteo[[#This Row],[Diferencia]]=0,"✔ Cuadra",IF(tblConteo[[#This Row],[Diferencia]]&gt;0,"▲ Sobrante","▼ Faltante")))</f>
        <v/>
      </c>
      <c r="M20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7" spans="2:13" x14ac:dyDescent="0.25">
      <c r="B207" s="40" t="str">
        <f>IF('05_PRODUCTOS'!$B207="","",'05_PRODUCTOS'!$B207)</f>
        <v/>
      </c>
      <c r="C207" s="43" t="str">
        <f>IF($B207="","",'05_PRODUCTOS'!$C207)</f>
        <v/>
      </c>
      <c r="D207" s="43" t="str">
        <f>IF($B207="","",'05_PRODUCTOS'!$D207)</f>
        <v/>
      </c>
      <c r="E207" s="40" t="str">
        <f>IF($B207="","",'05_PRODUCTOS'!$J207&amp;"")</f>
        <v/>
      </c>
      <c r="F207" s="40" t="str">
        <f>IF($B207="","",'05_PRODUCTOS'!$E207)</f>
        <v/>
      </c>
      <c r="G207" s="40" t="str">
        <f>IF($B207="","",IF('05_PRODUCTOS'!$K207="NO","NO","SI"))</f>
        <v/>
      </c>
      <c r="H207" s="49" t="str">
        <f>IF($B207="","",N('15_STOCK'!$J207))</f>
        <v/>
      </c>
      <c r="I207" s="39"/>
      <c r="J207" s="48" t="str">
        <f>IF(OR(tblConteo[[#This Row],[SKU]]="",tblConteo[[#This Row],[Conteo]]=""),"",tblConteo[[#This Row],[Conteo]]-tblConteo[[#This Row],[StockSistema]])</f>
        <v/>
      </c>
      <c r="K207" s="52" t="str">
        <f>IF($J207="","",$J207*N('15_STOCK'!$O207))</f>
        <v/>
      </c>
      <c r="L207" s="41" t="str">
        <f>IF(tblConteo[[#This Row],[Diferencia]]="","",IF(tblConteo[[#This Row],[Diferencia]]=0,"✔ Cuadra",IF(tblConteo[[#This Row],[Diferencia]]&gt;0,"▲ Sobrante","▼ Faltante")))</f>
        <v/>
      </c>
      <c r="M20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8" spans="2:13" x14ac:dyDescent="0.25">
      <c r="B208" s="40" t="str">
        <f>IF('05_PRODUCTOS'!$B208="","",'05_PRODUCTOS'!$B208)</f>
        <v/>
      </c>
      <c r="C208" s="43" t="str">
        <f>IF($B208="","",'05_PRODUCTOS'!$C208)</f>
        <v/>
      </c>
      <c r="D208" s="43" t="str">
        <f>IF($B208="","",'05_PRODUCTOS'!$D208)</f>
        <v/>
      </c>
      <c r="E208" s="40" t="str">
        <f>IF($B208="","",'05_PRODUCTOS'!$J208&amp;"")</f>
        <v/>
      </c>
      <c r="F208" s="40" t="str">
        <f>IF($B208="","",'05_PRODUCTOS'!$E208)</f>
        <v/>
      </c>
      <c r="G208" s="40" t="str">
        <f>IF($B208="","",IF('05_PRODUCTOS'!$K208="NO","NO","SI"))</f>
        <v/>
      </c>
      <c r="H208" s="49" t="str">
        <f>IF($B208="","",N('15_STOCK'!$J208))</f>
        <v/>
      </c>
      <c r="I208" s="39"/>
      <c r="J208" s="48" t="str">
        <f>IF(OR(tblConteo[[#This Row],[SKU]]="",tblConteo[[#This Row],[Conteo]]=""),"",tblConteo[[#This Row],[Conteo]]-tblConteo[[#This Row],[StockSistema]])</f>
        <v/>
      </c>
      <c r="K208" s="52" t="str">
        <f>IF($J208="","",$J208*N('15_STOCK'!$O208))</f>
        <v/>
      </c>
      <c r="L208" s="41" t="str">
        <f>IF(tblConteo[[#This Row],[Diferencia]]="","",IF(tblConteo[[#This Row],[Diferencia]]=0,"✔ Cuadra",IF(tblConteo[[#This Row],[Diferencia]]&gt;0,"▲ Sobrante","▼ Faltante")))</f>
        <v/>
      </c>
      <c r="M20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09" spans="2:13" x14ac:dyDescent="0.25">
      <c r="B209" s="40" t="str">
        <f>IF('05_PRODUCTOS'!$B209="","",'05_PRODUCTOS'!$B209)</f>
        <v/>
      </c>
      <c r="C209" s="43" t="str">
        <f>IF($B209="","",'05_PRODUCTOS'!$C209)</f>
        <v/>
      </c>
      <c r="D209" s="43" t="str">
        <f>IF($B209="","",'05_PRODUCTOS'!$D209)</f>
        <v/>
      </c>
      <c r="E209" s="40" t="str">
        <f>IF($B209="","",'05_PRODUCTOS'!$J209&amp;"")</f>
        <v/>
      </c>
      <c r="F209" s="40" t="str">
        <f>IF($B209="","",'05_PRODUCTOS'!$E209)</f>
        <v/>
      </c>
      <c r="G209" s="40" t="str">
        <f>IF($B209="","",IF('05_PRODUCTOS'!$K209="NO","NO","SI"))</f>
        <v/>
      </c>
      <c r="H209" s="49" t="str">
        <f>IF($B209="","",N('15_STOCK'!$J209))</f>
        <v/>
      </c>
      <c r="I209" s="39"/>
      <c r="J209" s="48" t="str">
        <f>IF(OR(tblConteo[[#This Row],[SKU]]="",tblConteo[[#This Row],[Conteo]]=""),"",tblConteo[[#This Row],[Conteo]]-tblConteo[[#This Row],[StockSistema]])</f>
        <v/>
      </c>
      <c r="K209" s="52" t="str">
        <f>IF($J209="","",$J209*N('15_STOCK'!$O209))</f>
        <v/>
      </c>
      <c r="L209" s="41" t="str">
        <f>IF(tblConteo[[#This Row],[Diferencia]]="","",IF(tblConteo[[#This Row],[Diferencia]]=0,"✔ Cuadra",IF(tblConteo[[#This Row],[Diferencia]]&gt;0,"▲ Sobrante","▼ Faltante")))</f>
        <v/>
      </c>
      <c r="M20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0" spans="2:13" x14ac:dyDescent="0.25">
      <c r="B210" s="40" t="str">
        <f>IF('05_PRODUCTOS'!$B210="","",'05_PRODUCTOS'!$B210)</f>
        <v/>
      </c>
      <c r="C210" s="43" t="str">
        <f>IF($B210="","",'05_PRODUCTOS'!$C210)</f>
        <v/>
      </c>
      <c r="D210" s="43" t="str">
        <f>IF($B210="","",'05_PRODUCTOS'!$D210)</f>
        <v/>
      </c>
      <c r="E210" s="40" t="str">
        <f>IF($B210="","",'05_PRODUCTOS'!$J210&amp;"")</f>
        <v/>
      </c>
      <c r="F210" s="40" t="str">
        <f>IF($B210="","",'05_PRODUCTOS'!$E210)</f>
        <v/>
      </c>
      <c r="G210" s="40" t="str">
        <f>IF($B210="","",IF('05_PRODUCTOS'!$K210="NO","NO","SI"))</f>
        <v/>
      </c>
      <c r="H210" s="49" t="str">
        <f>IF($B210="","",N('15_STOCK'!$J210))</f>
        <v/>
      </c>
      <c r="I210" s="39"/>
      <c r="J210" s="48" t="str">
        <f>IF(OR(tblConteo[[#This Row],[SKU]]="",tblConteo[[#This Row],[Conteo]]=""),"",tblConteo[[#This Row],[Conteo]]-tblConteo[[#This Row],[StockSistema]])</f>
        <v/>
      </c>
      <c r="K210" s="52" t="str">
        <f>IF($J210="","",$J210*N('15_STOCK'!$O210))</f>
        <v/>
      </c>
      <c r="L210" s="41" t="str">
        <f>IF(tblConteo[[#This Row],[Diferencia]]="","",IF(tblConteo[[#This Row],[Diferencia]]=0,"✔ Cuadra",IF(tblConteo[[#This Row],[Diferencia]]&gt;0,"▲ Sobrante","▼ Faltante")))</f>
        <v/>
      </c>
      <c r="M21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1" spans="2:13" x14ac:dyDescent="0.25">
      <c r="B211" s="40" t="str">
        <f>IF('05_PRODUCTOS'!$B211="","",'05_PRODUCTOS'!$B211)</f>
        <v/>
      </c>
      <c r="C211" s="43" t="str">
        <f>IF($B211="","",'05_PRODUCTOS'!$C211)</f>
        <v/>
      </c>
      <c r="D211" s="43" t="str">
        <f>IF($B211="","",'05_PRODUCTOS'!$D211)</f>
        <v/>
      </c>
      <c r="E211" s="40" t="str">
        <f>IF($B211="","",'05_PRODUCTOS'!$J211&amp;"")</f>
        <v/>
      </c>
      <c r="F211" s="40" t="str">
        <f>IF($B211="","",'05_PRODUCTOS'!$E211)</f>
        <v/>
      </c>
      <c r="G211" s="40" t="str">
        <f>IF($B211="","",IF('05_PRODUCTOS'!$K211="NO","NO","SI"))</f>
        <v/>
      </c>
      <c r="H211" s="49" t="str">
        <f>IF($B211="","",N('15_STOCK'!$J211))</f>
        <v/>
      </c>
      <c r="I211" s="39"/>
      <c r="J211" s="48" t="str">
        <f>IF(OR(tblConteo[[#This Row],[SKU]]="",tblConteo[[#This Row],[Conteo]]=""),"",tblConteo[[#This Row],[Conteo]]-tblConteo[[#This Row],[StockSistema]])</f>
        <v/>
      </c>
      <c r="K211" s="52" t="str">
        <f>IF($J211="","",$J211*N('15_STOCK'!$O211))</f>
        <v/>
      </c>
      <c r="L211" s="41" t="str">
        <f>IF(tblConteo[[#This Row],[Diferencia]]="","",IF(tblConteo[[#This Row],[Diferencia]]=0,"✔ Cuadra",IF(tblConteo[[#This Row],[Diferencia]]&gt;0,"▲ Sobrante","▼ Faltante")))</f>
        <v/>
      </c>
      <c r="M21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2" spans="2:13" x14ac:dyDescent="0.25">
      <c r="B212" s="40" t="str">
        <f>IF('05_PRODUCTOS'!$B212="","",'05_PRODUCTOS'!$B212)</f>
        <v/>
      </c>
      <c r="C212" s="43" t="str">
        <f>IF($B212="","",'05_PRODUCTOS'!$C212)</f>
        <v/>
      </c>
      <c r="D212" s="43" t="str">
        <f>IF($B212="","",'05_PRODUCTOS'!$D212)</f>
        <v/>
      </c>
      <c r="E212" s="40" t="str">
        <f>IF($B212="","",'05_PRODUCTOS'!$J212&amp;"")</f>
        <v/>
      </c>
      <c r="F212" s="40" t="str">
        <f>IF($B212="","",'05_PRODUCTOS'!$E212)</f>
        <v/>
      </c>
      <c r="G212" s="40" t="str">
        <f>IF($B212="","",IF('05_PRODUCTOS'!$K212="NO","NO","SI"))</f>
        <v/>
      </c>
      <c r="H212" s="49" t="str">
        <f>IF($B212="","",N('15_STOCK'!$J212))</f>
        <v/>
      </c>
      <c r="I212" s="39"/>
      <c r="J212" s="48" t="str">
        <f>IF(OR(tblConteo[[#This Row],[SKU]]="",tblConteo[[#This Row],[Conteo]]=""),"",tblConteo[[#This Row],[Conteo]]-tblConteo[[#This Row],[StockSistema]])</f>
        <v/>
      </c>
      <c r="K212" s="52" t="str">
        <f>IF($J212="","",$J212*N('15_STOCK'!$O212))</f>
        <v/>
      </c>
      <c r="L212" s="41" t="str">
        <f>IF(tblConteo[[#This Row],[Diferencia]]="","",IF(tblConteo[[#This Row],[Diferencia]]=0,"✔ Cuadra",IF(tblConteo[[#This Row],[Diferencia]]&gt;0,"▲ Sobrante","▼ Faltante")))</f>
        <v/>
      </c>
      <c r="M21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3" spans="2:13" x14ac:dyDescent="0.25">
      <c r="B213" s="40" t="str">
        <f>IF('05_PRODUCTOS'!$B213="","",'05_PRODUCTOS'!$B213)</f>
        <v/>
      </c>
      <c r="C213" s="43" t="str">
        <f>IF($B213="","",'05_PRODUCTOS'!$C213)</f>
        <v/>
      </c>
      <c r="D213" s="43" t="str">
        <f>IF($B213="","",'05_PRODUCTOS'!$D213)</f>
        <v/>
      </c>
      <c r="E213" s="40" t="str">
        <f>IF($B213="","",'05_PRODUCTOS'!$J213&amp;"")</f>
        <v/>
      </c>
      <c r="F213" s="40" t="str">
        <f>IF($B213="","",'05_PRODUCTOS'!$E213)</f>
        <v/>
      </c>
      <c r="G213" s="40" t="str">
        <f>IF($B213="","",IF('05_PRODUCTOS'!$K213="NO","NO","SI"))</f>
        <v/>
      </c>
      <c r="H213" s="49" t="str">
        <f>IF($B213="","",N('15_STOCK'!$J213))</f>
        <v/>
      </c>
      <c r="I213" s="39"/>
      <c r="J213" s="48" t="str">
        <f>IF(OR(tblConteo[[#This Row],[SKU]]="",tblConteo[[#This Row],[Conteo]]=""),"",tblConteo[[#This Row],[Conteo]]-tblConteo[[#This Row],[StockSistema]])</f>
        <v/>
      </c>
      <c r="K213" s="52" t="str">
        <f>IF($J213="","",$J213*N('15_STOCK'!$O213))</f>
        <v/>
      </c>
      <c r="L213" s="41" t="str">
        <f>IF(tblConteo[[#This Row],[Diferencia]]="","",IF(tblConteo[[#This Row],[Diferencia]]=0,"✔ Cuadra",IF(tblConteo[[#This Row],[Diferencia]]&gt;0,"▲ Sobrante","▼ Faltante")))</f>
        <v/>
      </c>
      <c r="M21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4" spans="2:13" x14ac:dyDescent="0.25">
      <c r="B214" s="40" t="str">
        <f>IF('05_PRODUCTOS'!$B214="","",'05_PRODUCTOS'!$B214)</f>
        <v/>
      </c>
      <c r="C214" s="43" t="str">
        <f>IF($B214="","",'05_PRODUCTOS'!$C214)</f>
        <v/>
      </c>
      <c r="D214" s="43" t="str">
        <f>IF($B214="","",'05_PRODUCTOS'!$D214)</f>
        <v/>
      </c>
      <c r="E214" s="40" t="str">
        <f>IF($B214="","",'05_PRODUCTOS'!$J214&amp;"")</f>
        <v/>
      </c>
      <c r="F214" s="40" t="str">
        <f>IF($B214="","",'05_PRODUCTOS'!$E214)</f>
        <v/>
      </c>
      <c r="G214" s="40" t="str">
        <f>IF($B214="","",IF('05_PRODUCTOS'!$K214="NO","NO","SI"))</f>
        <v/>
      </c>
      <c r="H214" s="49" t="str">
        <f>IF($B214="","",N('15_STOCK'!$J214))</f>
        <v/>
      </c>
      <c r="I214" s="39"/>
      <c r="J214" s="48" t="str">
        <f>IF(OR(tblConteo[[#This Row],[SKU]]="",tblConteo[[#This Row],[Conteo]]=""),"",tblConteo[[#This Row],[Conteo]]-tblConteo[[#This Row],[StockSistema]])</f>
        <v/>
      </c>
      <c r="K214" s="52" t="str">
        <f>IF($J214="","",$J214*N('15_STOCK'!$O214))</f>
        <v/>
      </c>
      <c r="L214" s="41" t="str">
        <f>IF(tblConteo[[#This Row],[Diferencia]]="","",IF(tblConteo[[#This Row],[Diferencia]]=0,"✔ Cuadra",IF(tblConteo[[#This Row],[Diferencia]]&gt;0,"▲ Sobrante","▼ Faltante")))</f>
        <v/>
      </c>
      <c r="M21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5" spans="2:13" x14ac:dyDescent="0.25">
      <c r="B215" s="40" t="str">
        <f>IF('05_PRODUCTOS'!$B215="","",'05_PRODUCTOS'!$B215)</f>
        <v/>
      </c>
      <c r="C215" s="43" t="str">
        <f>IF($B215="","",'05_PRODUCTOS'!$C215)</f>
        <v/>
      </c>
      <c r="D215" s="43" t="str">
        <f>IF($B215="","",'05_PRODUCTOS'!$D215)</f>
        <v/>
      </c>
      <c r="E215" s="40" t="str">
        <f>IF($B215="","",'05_PRODUCTOS'!$J215&amp;"")</f>
        <v/>
      </c>
      <c r="F215" s="40" t="str">
        <f>IF($B215="","",'05_PRODUCTOS'!$E215)</f>
        <v/>
      </c>
      <c r="G215" s="40" t="str">
        <f>IF($B215="","",IF('05_PRODUCTOS'!$K215="NO","NO","SI"))</f>
        <v/>
      </c>
      <c r="H215" s="49" t="str">
        <f>IF($B215="","",N('15_STOCK'!$J215))</f>
        <v/>
      </c>
      <c r="I215" s="39"/>
      <c r="J215" s="48" t="str">
        <f>IF(OR(tblConteo[[#This Row],[SKU]]="",tblConteo[[#This Row],[Conteo]]=""),"",tblConteo[[#This Row],[Conteo]]-tblConteo[[#This Row],[StockSistema]])</f>
        <v/>
      </c>
      <c r="K215" s="52" t="str">
        <f>IF($J215="","",$J215*N('15_STOCK'!$O215))</f>
        <v/>
      </c>
      <c r="L215" s="41" t="str">
        <f>IF(tblConteo[[#This Row],[Diferencia]]="","",IF(tblConteo[[#This Row],[Diferencia]]=0,"✔ Cuadra",IF(tblConteo[[#This Row],[Diferencia]]&gt;0,"▲ Sobrante","▼ Faltante")))</f>
        <v/>
      </c>
      <c r="M21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6" spans="2:13" x14ac:dyDescent="0.25">
      <c r="B216" s="40" t="str">
        <f>IF('05_PRODUCTOS'!$B216="","",'05_PRODUCTOS'!$B216)</f>
        <v/>
      </c>
      <c r="C216" s="43" t="str">
        <f>IF($B216="","",'05_PRODUCTOS'!$C216)</f>
        <v/>
      </c>
      <c r="D216" s="43" t="str">
        <f>IF($B216="","",'05_PRODUCTOS'!$D216)</f>
        <v/>
      </c>
      <c r="E216" s="40" t="str">
        <f>IF($B216="","",'05_PRODUCTOS'!$J216&amp;"")</f>
        <v/>
      </c>
      <c r="F216" s="40" t="str">
        <f>IF($B216="","",'05_PRODUCTOS'!$E216)</f>
        <v/>
      </c>
      <c r="G216" s="40" t="str">
        <f>IF($B216="","",IF('05_PRODUCTOS'!$K216="NO","NO","SI"))</f>
        <v/>
      </c>
      <c r="H216" s="49" t="str">
        <f>IF($B216="","",N('15_STOCK'!$J216))</f>
        <v/>
      </c>
      <c r="I216" s="39"/>
      <c r="J216" s="48" t="str">
        <f>IF(OR(tblConteo[[#This Row],[SKU]]="",tblConteo[[#This Row],[Conteo]]=""),"",tblConteo[[#This Row],[Conteo]]-tblConteo[[#This Row],[StockSistema]])</f>
        <v/>
      </c>
      <c r="K216" s="52" t="str">
        <f>IF($J216="","",$J216*N('15_STOCK'!$O216))</f>
        <v/>
      </c>
      <c r="L216" s="41" t="str">
        <f>IF(tblConteo[[#This Row],[Diferencia]]="","",IF(tblConteo[[#This Row],[Diferencia]]=0,"✔ Cuadra",IF(tblConteo[[#This Row],[Diferencia]]&gt;0,"▲ Sobrante","▼ Faltante")))</f>
        <v/>
      </c>
      <c r="M21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7" spans="2:13" x14ac:dyDescent="0.25">
      <c r="B217" s="40" t="str">
        <f>IF('05_PRODUCTOS'!$B217="","",'05_PRODUCTOS'!$B217)</f>
        <v/>
      </c>
      <c r="C217" s="43" t="str">
        <f>IF($B217="","",'05_PRODUCTOS'!$C217)</f>
        <v/>
      </c>
      <c r="D217" s="43" t="str">
        <f>IF($B217="","",'05_PRODUCTOS'!$D217)</f>
        <v/>
      </c>
      <c r="E217" s="40" t="str">
        <f>IF($B217="","",'05_PRODUCTOS'!$J217&amp;"")</f>
        <v/>
      </c>
      <c r="F217" s="40" t="str">
        <f>IF($B217="","",'05_PRODUCTOS'!$E217)</f>
        <v/>
      </c>
      <c r="G217" s="40" t="str">
        <f>IF($B217="","",IF('05_PRODUCTOS'!$K217="NO","NO","SI"))</f>
        <v/>
      </c>
      <c r="H217" s="49" t="str">
        <f>IF($B217="","",N('15_STOCK'!$J217))</f>
        <v/>
      </c>
      <c r="I217" s="39"/>
      <c r="J217" s="48" t="str">
        <f>IF(OR(tblConteo[[#This Row],[SKU]]="",tblConteo[[#This Row],[Conteo]]=""),"",tblConteo[[#This Row],[Conteo]]-tblConteo[[#This Row],[StockSistema]])</f>
        <v/>
      </c>
      <c r="K217" s="52" t="str">
        <f>IF($J217="","",$J217*N('15_STOCK'!$O217))</f>
        <v/>
      </c>
      <c r="L217" s="41" t="str">
        <f>IF(tblConteo[[#This Row],[Diferencia]]="","",IF(tblConteo[[#This Row],[Diferencia]]=0,"✔ Cuadra",IF(tblConteo[[#This Row],[Diferencia]]&gt;0,"▲ Sobrante","▼ Faltante")))</f>
        <v/>
      </c>
      <c r="M21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8" spans="2:13" x14ac:dyDescent="0.25">
      <c r="B218" s="40" t="str">
        <f>IF('05_PRODUCTOS'!$B218="","",'05_PRODUCTOS'!$B218)</f>
        <v/>
      </c>
      <c r="C218" s="43" t="str">
        <f>IF($B218="","",'05_PRODUCTOS'!$C218)</f>
        <v/>
      </c>
      <c r="D218" s="43" t="str">
        <f>IF($B218="","",'05_PRODUCTOS'!$D218)</f>
        <v/>
      </c>
      <c r="E218" s="40" t="str">
        <f>IF($B218="","",'05_PRODUCTOS'!$J218&amp;"")</f>
        <v/>
      </c>
      <c r="F218" s="40" t="str">
        <f>IF($B218="","",'05_PRODUCTOS'!$E218)</f>
        <v/>
      </c>
      <c r="G218" s="40" t="str">
        <f>IF($B218="","",IF('05_PRODUCTOS'!$K218="NO","NO","SI"))</f>
        <v/>
      </c>
      <c r="H218" s="49" t="str">
        <f>IF($B218="","",N('15_STOCK'!$J218))</f>
        <v/>
      </c>
      <c r="I218" s="39"/>
      <c r="J218" s="48" t="str">
        <f>IF(OR(tblConteo[[#This Row],[SKU]]="",tblConteo[[#This Row],[Conteo]]=""),"",tblConteo[[#This Row],[Conteo]]-tblConteo[[#This Row],[StockSistema]])</f>
        <v/>
      </c>
      <c r="K218" s="52" t="str">
        <f>IF($J218="","",$J218*N('15_STOCK'!$O218))</f>
        <v/>
      </c>
      <c r="L218" s="41" t="str">
        <f>IF(tblConteo[[#This Row],[Diferencia]]="","",IF(tblConteo[[#This Row],[Diferencia]]=0,"✔ Cuadra",IF(tblConteo[[#This Row],[Diferencia]]&gt;0,"▲ Sobrante","▼ Faltante")))</f>
        <v/>
      </c>
      <c r="M21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19" spans="2:13" x14ac:dyDescent="0.25">
      <c r="B219" s="40" t="str">
        <f>IF('05_PRODUCTOS'!$B219="","",'05_PRODUCTOS'!$B219)</f>
        <v/>
      </c>
      <c r="C219" s="43" t="str">
        <f>IF($B219="","",'05_PRODUCTOS'!$C219)</f>
        <v/>
      </c>
      <c r="D219" s="43" t="str">
        <f>IF($B219="","",'05_PRODUCTOS'!$D219)</f>
        <v/>
      </c>
      <c r="E219" s="40" t="str">
        <f>IF($B219="","",'05_PRODUCTOS'!$J219&amp;"")</f>
        <v/>
      </c>
      <c r="F219" s="40" t="str">
        <f>IF($B219="","",'05_PRODUCTOS'!$E219)</f>
        <v/>
      </c>
      <c r="G219" s="40" t="str">
        <f>IF($B219="","",IF('05_PRODUCTOS'!$K219="NO","NO","SI"))</f>
        <v/>
      </c>
      <c r="H219" s="49" t="str">
        <f>IF($B219="","",N('15_STOCK'!$J219))</f>
        <v/>
      </c>
      <c r="I219" s="39"/>
      <c r="J219" s="48" t="str">
        <f>IF(OR(tblConteo[[#This Row],[SKU]]="",tblConteo[[#This Row],[Conteo]]=""),"",tblConteo[[#This Row],[Conteo]]-tblConteo[[#This Row],[StockSistema]])</f>
        <v/>
      </c>
      <c r="K219" s="52" t="str">
        <f>IF($J219="","",$J219*N('15_STOCK'!$O219))</f>
        <v/>
      </c>
      <c r="L219" s="41" t="str">
        <f>IF(tblConteo[[#This Row],[Diferencia]]="","",IF(tblConteo[[#This Row],[Diferencia]]=0,"✔ Cuadra",IF(tblConteo[[#This Row],[Diferencia]]&gt;0,"▲ Sobrante","▼ Faltante")))</f>
        <v/>
      </c>
      <c r="M21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0" spans="2:13" x14ac:dyDescent="0.25">
      <c r="B220" s="40" t="str">
        <f>IF('05_PRODUCTOS'!$B220="","",'05_PRODUCTOS'!$B220)</f>
        <v/>
      </c>
      <c r="C220" s="43" t="str">
        <f>IF($B220="","",'05_PRODUCTOS'!$C220)</f>
        <v/>
      </c>
      <c r="D220" s="43" t="str">
        <f>IF($B220="","",'05_PRODUCTOS'!$D220)</f>
        <v/>
      </c>
      <c r="E220" s="40" t="str">
        <f>IF($B220="","",'05_PRODUCTOS'!$J220&amp;"")</f>
        <v/>
      </c>
      <c r="F220" s="40" t="str">
        <f>IF($B220="","",'05_PRODUCTOS'!$E220)</f>
        <v/>
      </c>
      <c r="G220" s="40" t="str">
        <f>IF($B220="","",IF('05_PRODUCTOS'!$K220="NO","NO","SI"))</f>
        <v/>
      </c>
      <c r="H220" s="49" t="str">
        <f>IF($B220="","",N('15_STOCK'!$J220))</f>
        <v/>
      </c>
      <c r="I220" s="39"/>
      <c r="J220" s="48" t="str">
        <f>IF(OR(tblConteo[[#This Row],[SKU]]="",tblConteo[[#This Row],[Conteo]]=""),"",tblConteo[[#This Row],[Conteo]]-tblConteo[[#This Row],[StockSistema]])</f>
        <v/>
      </c>
      <c r="K220" s="52" t="str">
        <f>IF($J220="","",$J220*N('15_STOCK'!$O220))</f>
        <v/>
      </c>
      <c r="L220" s="41" t="str">
        <f>IF(tblConteo[[#This Row],[Diferencia]]="","",IF(tblConteo[[#This Row],[Diferencia]]=0,"✔ Cuadra",IF(tblConteo[[#This Row],[Diferencia]]&gt;0,"▲ Sobrante","▼ Faltante")))</f>
        <v/>
      </c>
      <c r="M22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1" spans="2:13" x14ac:dyDescent="0.25">
      <c r="B221" s="40" t="str">
        <f>IF('05_PRODUCTOS'!$B221="","",'05_PRODUCTOS'!$B221)</f>
        <v/>
      </c>
      <c r="C221" s="43" t="str">
        <f>IF($B221="","",'05_PRODUCTOS'!$C221)</f>
        <v/>
      </c>
      <c r="D221" s="43" t="str">
        <f>IF($B221="","",'05_PRODUCTOS'!$D221)</f>
        <v/>
      </c>
      <c r="E221" s="40" t="str">
        <f>IF($B221="","",'05_PRODUCTOS'!$J221&amp;"")</f>
        <v/>
      </c>
      <c r="F221" s="40" t="str">
        <f>IF($B221="","",'05_PRODUCTOS'!$E221)</f>
        <v/>
      </c>
      <c r="G221" s="40" t="str">
        <f>IF($B221="","",IF('05_PRODUCTOS'!$K221="NO","NO","SI"))</f>
        <v/>
      </c>
      <c r="H221" s="49" t="str">
        <f>IF($B221="","",N('15_STOCK'!$J221))</f>
        <v/>
      </c>
      <c r="I221" s="39"/>
      <c r="J221" s="48" t="str">
        <f>IF(OR(tblConteo[[#This Row],[SKU]]="",tblConteo[[#This Row],[Conteo]]=""),"",tblConteo[[#This Row],[Conteo]]-tblConteo[[#This Row],[StockSistema]])</f>
        <v/>
      </c>
      <c r="K221" s="52" t="str">
        <f>IF($J221="","",$J221*N('15_STOCK'!$O221))</f>
        <v/>
      </c>
      <c r="L221" s="41" t="str">
        <f>IF(tblConteo[[#This Row],[Diferencia]]="","",IF(tblConteo[[#This Row],[Diferencia]]=0,"✔ Cuadra",IF(tblConteo[[#This Row],[Diferencia]]&gt;0,"▲ Sobrante","▼ Faltante")))</f>
        <v/>
      </c>
      <c r="M22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2" spans="2:13" x14ac:dyDescent="0.25">
      <c r="B222" s="40" t="str">
        <f>IF('05_PRODUCTOS'!$B222="","",'05_PRODUCTOS'!$B222)</f>
        <v/>
      </c>
      <c r="C222" s="43" t="str">
        <f>IF($B222="","",'05_PRODUCTOS'!$C222)</f>
        <v/>
      </c>
      <c r="D222" s="43" t="str">
        <f>IF($B222="","",'05_PRODUCTOS'!$D222)</f>
        <v/>
      </c>
      <c r="E222" s="40" t="str">
        <f>IF($B222="","",'05_PRODUCTOS'!$J222&amp;"")</f>
        <v/>
      </c>
      <c r="F222" s="40" t="str">
        <f>IF($B222="","",'05_PRODUCTOS'!$E222)</f>
        <v/>
      </c>
      <c r="G222" s="40" t="str">
        <f>IF($B222="","",IF('05_PRODUCTOS'!$K222="NO","NO","SI"))</f>
        <v/>
      </c>
      <c r="H222" s="49" t="str">
        <f>IF($B222="","",N('15_STOCK'!$J222))</f>
        <v/>
      </c>
      <c r="I222" s="39"/>
      <c r="J222" s="48" t="str">
        <f>IF(OR(tblConteo[[#This Row],[SKU]]="",tblConteo[[#This Row],[Conteo]]=""),"",tblConteo[[#This Row],[Conteo]]-tblConteo[[#This Row],[StockSistema]])</f>
        <v/>
      </c>
      <c r="K222" s="52" t="str">
        <f>IF($J222="","",$J222*N('15_STOCK'!$O222))</f>
        <v/>
      </c>
      <c r="L222" s="41" t="str">
        <f>IF(tblConteo[[#This Row],[Diferencia]]="","",IF(tblConteo[[#This Row],[Diferencia]]=0,"✔ Cuadra",IF(tblConteo[[#This Row],[Diferencia]]&gt;0,"▲ Sobrante","▼ Faltante")))</f>
        <v/>
      </c>
      <c r="M22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3" spans="2:13" x14ac:dyDescent="0.25">
      <c r="B223" s="40" t="str">
        <f>IF('05_PRODUCTOS'!$B223="","",'05_PRODUCTOS'!$B223)</f>
        <v/>
      </c>
      <c r="C223" s="43" t="str">
        <f>IF($B223="","",'05_PRODUCTOS'!$C223)</f>
        <v/>
      </c>
      <c r="D223" s="43" t="str">
        <f>IF($B223="","",'05_PRODUCTOS'!$D223)</f>
        <v/>
      </c>
      <c r="E223" s="40" t="str">
        <f>IF($B223="","",'05_PRODUCTOS'!$J223&amp;"")</f>
        <v/>
      </c>
      <c r="F223" s="40" t="str">
        <f>IF($B223="","",'05_PRODUCTOS'!$E223)</f>
        <v/>
      </c>
      <c r="G223" s="40" t="str">
        <f>IF($B223="","",IF('05_PRODUCTOS'!$K223="NO","NO","SI"))</f>
        <v/>
      </c>
      <c r="H223" s="49" t="str">
        <f>IF($B223="","",N('15_STOCK'!$J223))</f>
        <v/>
      </c>
      <c r="I223" s="39"/>
      <c r="J223" s="48" t="str">
        <f>IF(OR(tblConteo[[#This Row],[SKU]]="",tblConteo[[#This Row],[Conteo]]=""),"",tblConteo[[#This Row],[Conteo]]-tblConteo[[#This Row],[StockSistema]])</f>
        <v/>
      </c>
      <c r="K223" s="52" t="str">
        <f>IF($J223="","",$J223*N('15_STOCK'!$O223))</f>
        <v/>
      </c>
      <c r="L223" s="41" t="str">
        <f>IF(tblConteo[[#This Row],[Diferencia]]="","",IF(tblConteo[[#This Row],[Diferencia]]=0,"✔ Cuadra",IF(tblConteo[[#This Row],[Diferencia]]&gt;0,"▲ Sobrante","▼ Faltante")))</f>
        <v/>
      </c>
      <c r="M22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4" spans="2:13" x14ac:dyDescent="0.25">
      <c r="B224" s="40" t="str">
        <f>IF('05_PRODUCTOS'!$B224="","",'05_PRODUCTOS'!$B224)</f>
        <v/>
      </c>
      <c r="C224" s="43" t="str">
        <f>IF($B224="","",'05_PRODUCTOS'!$C224)</f>
        <v/>
      </c>
      <c r="D224" s="43" t="str">
        <f>IF($B224="","",'05_PRODUCTOS'!$D224)</f>
        <v/>
      </c>
      <c r="E224" s="40" t="str">
        <f>IF($B224="","",'05_PRODUCTOS'!$J224&amp;"")</f>
        <v/>
      </c>
      <c r="F224" s="40" t="str">
        <f>IF($B224="","",'05_PRODUCTOS'!$E224)</f>
        <v/>
      </c>
      <c r="G224" s="40" t="str">
        <f>IF($B224="","",IF('05_PRODUCTOS'!$K224="NO","NO","SI"))</f>
        <v/>
      </c>
      <c r="H224" s="49" t="str">
        <f>IF($B224="","",N('15_STOCK'!$J224))</f>
        <v/>
      </c>
      <c r="I224" s="39"/>
      <c r="J224" s="48" t="str">
        <f>IF(OR(tblConteo[[#This Row],[SKU]]="",tblConteo[[#This Row],[Conteo]]=""),"",tblConteo[[#This Row],[Conteo]]-tblConteo[[#This Row],[StockSistema]])</f>
        <v/>
      </c>
      <c r="K224" s="52" t="str">
        <f>IF($J224="","",$J224*N('15_STOCK'!$O224))</f>
        <v/>
      </c>
      <c r="L224" s="41" t="str">
        <f>IF(tblConteo[[#This Row],[Diferencia]]="","",IF(tblConteo[[#This Row],[Diferencia]]=0,"✔ Cuadra",IF(tblConteo[[#This Row],[Diferencia]]&gt;0,"▲ Sobrante","▼ Faltante")))</f>
        <v/>
      </c>
      <c r="M22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5" spans="2:13" x14ac:dyDescent="0.25">
      <c r="B225" s="40" t="str">
        <f>IF('05_PRODUCTOS'!$B225="","",'05_PRODUCTOS'!$B225)</f>
        <v/>
      </c>
      <c r="C225" s="43" t="str">
        <f>IF($B225="","",'05_PRODUCTOS'!$C225)</f>
        <v/>
      </c>
      <c r="D225" s="43" t="str">
        <f>IF($B225="","",'05_PRODUCTOS'!$D225)</f>
        <v/>
      </c>
      <c r="E225" s="40" t="str">
        <f>IF($B225="","",'05_PRODUCTOS'!$J225&amp;"")</f>
        <v/>
      </c>
      <c r="F225" s="40" t="str">
        <f>IF($B225="","",'05_PRODUCTOS'!$E225)</f>
        <v/>
      </c>
      <c r="G225" s="40" t="str">
        <f>IF($B225="","",IF('05_PRODUCTOS'!$K225="NO","NO","SI"))</f>
        <v/>
      </c>
      <c r="H225" s="49" t="str">
        <f>IF($B225="","",N('15_STOCK'!$J225))</f>
        <v/>
      </c>
      <c r="I225" s="39"/>
      <c r="J225" s="48" t="str">
        <f>IF(OR(tblConteo[[#This Row],[SKU]]="",tblConteo[[#This Row],[Conteo]]=""),"",tblConteo[[#This Row],[Conteo]]-tblConteo[[#This Row],[StockSistema]])</f>
        <v/>
      </c>
      <c r="K225" s="52" t="str">
        <f>IF($J225="","",$J225*N('15_STOCK'!$O225))</f>
        <v/>
      </c>
      <c r="L225" s="41" t="str">
        <f>IF(tblConteo[[#This Row],[Diferencia]]="","",IF(tblConteo[[#This Row],[Diferencia]]=0,"✔ Cuadra",IF(tblConteo[[#This Row],[Diferencia]]&gt;0,"▲ Sobrante","▼ Faltante")))</f>
        <v/>
      </c>
      <c r="M22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6" spans="2:13" x14ac:dyDescent="0.25">
      <c r="B226" s="40" t="str">
        <f>IF('05_PRODUCTOS'!$B226="","",'05_PRODUCTOS'!$B226)</f>
        <v/>
      </c>
      <c r="C226" s="43" t="str">
        <f>IF($B226="","",'05_PRODUCTOS'!$C226)</f>
        <v/>
      </c>
      <c r="D226" s="43" t="str">
        <f>IF($B226="","",'05_PRODUCTOS'!$D226)</f>
        <v/>
      </c>
      <c r="E226" s="40" t="str">
        <f>IF($B226="","",'05_PRODUCTOS'!$J226&amp;"")</f>
        <v/>
      </c>
      <c r="F226" s="40" t="str">
        <f>IF($B226="","",'05_PRODUCTOS'!$E226)</f>
        <v/>
      </c>
      <c r="G226" s="40" t="str">
        <f>IF($B226="","",IF('05_PRODUCTOS'!$K226="NO","NO","SI"))</f>
        <v/>
      </c>
      <c r="H226" s="49" t="str">
        <f>IF($B226="","",N('15_STOCK'!$J226))</f>
        <v/>
      </c>
      <c r="I226" s="39"/>
      <c r="J226" s="48" t="str">
        <f>IF(OR(tblConteo[[#This Row],[SKU]]="",tblConteo[[#This Row],[Conteo]]=""),"",tblConteo[[#This Row],[Conteo]]-tblConteo[[#This Row],[StockSistema]])</f>
        <v/>
      </c>
      <c r="K226" s="52" t="str">
        <f>IF($J226="","",$J226*N('15_STOCK'!$O226))</f>
        <v/>
      </c>
      <c r="L226" s="41" t="str">
        <f>IF(tblConteo[[#This Row],[Diferencia]]="","",IF(tblConteo[[#This Row],[Diferencia]]=0,"✔ Cuadra",IF(tblConteo[[#This Row],[Diferencia]]&gt;0,"▲ Sobrante","▼ Faltante")))</f>
        <v/>
      </c>
      <c r="M22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7" spans="2:13" x14ac:dyDescent="0.25">
      <c r="B227" s="40" t="str">
        <f>IF('05_PRODUCTOS'!$B227="","",'05_PRODUCTOS'!$B227)</f>
        <v/>
      </c>
      <c r="C227" s="43" t="str">
        <f>IF($B227="","",'05_PRODUCTOS'!$C227)</f>
        <v/>
      </c>
      <c r="D227" s="43" t="str">
        <f>IF($B227="","",'05_PRODUCTOS'!$D227)</f>
        <v/>
      </c>
      <c r="E227" s="40" t="str">
        <f>IF($B227="","",'05_PRODUCTOS'!$J227&amp;"")</f>
        <v/>
      </c>
      <c r="F227" s="40" t="str">
        <f>IF($B227="","",'05_PRODUCTOS'!$E227)</f>
        <v/>
      </c>
      <c r="G227" s="40" t="str">
        <f>IF($B227="","",IF('05_PRODUCTOS'!$K227="NO","NO","SI"))</f>
        <v/>
      </c>
      <c r="H227" s="49" t="str">
        <f>IF($B227="","",N('15_STOCK'!$J227))</f>
        <v/>
      </c>
      <c r="I227" s="39"/>
      <c r="J227" s="48" t="str">
        <f>IF(OR(tblConteo[[#This Row],[SKU]]="",tblConteo[[#This Row],[Conteo]]=""),"",tblConteo[[#This Row],[Conteo]]-tblConteo[[#This Row],[StockSistema]])</f>
        <v/>
      </c>
      <c r="K227" s="52" t="str">
        <f>IF($J227="","",$J227*N('15_STOCK'!$O227))</f>
        <v/>
      </c>
      <c r="L227" s="41" t="str">
        <f>IF(tblConteo[[#This Row],[Diferencia]]="","",IF(tblConteo[[#This Row],[Diferencia]]=0,"✔ Cuadra",IF(tblConteo[[#This Row],[Diferencia]]&gt;0,"▲ Sobrante","▼ Faltante")))</f>
        <v/>
      </c>
      <c r="M22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8" spans="2:13" x14ac:dyDescent="0.25">
      <c r="B228" s="40" t="str">
        <f>IF('05_PRODUCTOS'!$B228="","",'05_PRODUCTOS'!$B228)</f>
        <v/>
      </c>
      <c r="C228" s="43" t="str">
        <f>IF($B228="","",'05_PRODUCTOS'!$C228)</f>
        <v/>
      </c>
      <c r="D228" s="43" t="str">
        <f>IF($B228="","",'05_PRODUCTOS'!$D228)</f>
        <v/>
      </c>
      <c r="E228" s="40" t="str">
        <f>IF($B228="","",'05_PRODUCTOS'!$J228&amp;"")</f>
        <v/>
      </c>
      <c r="F228" s="40" t="str">
        <f>IF($B228="","",'05_PRODUCTOS'!$E228)</f>
        <v/>
      </c>
      <c r="G228" s="40" t="str">
        <f>IF($B228="","",IF('05_PRODUCTOS'!$K228="NO","NO","SI"))</f>
        <v/>
      </c>
      <c r="H228" s="49" t="str">
        <f>IF($B228="","",N('15_STOCK'!$J228))</f>
        <v/>
      </c>
      <c r="I228" s="39"/>
      <c r="J228" s="48" t="str">
        <f>IF(OR(tblConteo[[#This Row],[SKU]]="",tblConteo[[#This Row],[Conteo]]=""),"",tblConteo[[#This Row],[Conteo]]-tblConteo[[#This Row],[StockSistema]])</f>
        <v/>
      </c>
      <c r="K228" s="52" t="str">
        <f>IF($J228="","",$J228*N('15_STOCK'!$O228))</f>
        <v/>
      </c>
      <c r="L228" s="41" t="str">
        <f>IF(tblConteo[[#This Row],[Diferencia]]="","",IF(tblConteo[[#This Row],[Diferencia]]=0,"✔ Cuadra",IF(tblConteo[[#This Row],[Diferencia]]&gt;0,"▲ Sobrante","▼ Faltante")))</f>
        <v/>
      </c>
      <c r="M22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29" spans="2:13" x14ac:dyDescent="0.25">
      <c r="B229" s="40" t="str">
        <f>IF('05_PRODUCTOS'!$B229="","",'05_PRODUCTOS'!$B229)</f>
        <v/>
      </c>
      <c r="C229" s="43" t="str">
        <f>IF($B229="","",'05_PRODUCTOS'!$C229)</f>
        <v/>
      </c>
      <c r="D229" s="43" t="str">
        <f>IF($B229="","",'05_PRODUCTOS'!$D229)</f>
        <v/>
      </c>
      <c r="E229" s="40" t="str">
        <f>IF($B229="","",'05_PRODUCTOS'!$J229&amp;"")</f>
        <v/>
      </c>
      <c r="F229" s="40" t="str">
        <f>IF($B229="","",'05_PRODUCTOS'!$E229)</f>
        <v/>
      </c>
      <c r="G229" s="40" t="str">
        <f>IF($B229="","",IF('05_PRODUCTOS'!$K229="NO","NO","SI"))</f>
        <v/>
      </c>
      <c r="H229" s="49" t="str">
        <f>IF($B229="","",N('15_STOCK'!$J229))</f>
        <v/>
      </c>
      <c r="I229" s="39"/>
      <c r="J229" s="48" t="str">
        <f>IF(OR(tblConteo[[#This Row],[SKU]]="",tblConteo[[#This Row],[Conteo]]=""),"",tblConteo[[#This Row],[Conteo]]-tblConteo[[#This Row],[StockSistema]])</f>
        <v/>
      </c>
      <c r="K229" s="52" t="str">
        <f>IF($J229="","",$J229*N('15_STOCK'!$O229))</f>
        <v/>
      </c>
      <c r="L229" s="41" t="str">
        <f>IF(tblConteo[[#This Row],[Diferencia]]="","",IF(tblConteo[[#This Row],[Diferencia]]=0,"✔ Cuadra",IF(tblConteo[[#This Row],[Diferencia]]&gt;0,"▲ Sobrante","▼ Faltante")))</f>
        <v/>
      </c>
      <c r="M22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0" spans="2:13" x14ac:dyDescent="0.25">
      <c r="B230" s="40" t="str">
        <f>IF('05_PRODUCTOS'!$B230="","",'05_PRODUCTOS'!$B230)</f>
        <v/>
      </c>
      <c r="C230" s="43" t="str">
        <f>IF($B230="","",'05_PRODUCTOS'!$C230)</f>
        <v/>
      </c>
      <c r="D230" s="43" t="str">
        <f>IF($B230="","",'05_PRODUCTOS'!$D230)</f>
        <v/>
      </c>
      <c r="E230" s="40" t="str">
        <f>IF($B230="","",'05_PRODUCTOS'!$J230&amp;"")</f>
        <v/>
      </c>
      <c r="F230" s="40" t="str">
        <f>IF($B230="","",'05_PRODUCTOS'!$E230)</f>
        <v/>
      </c>
      <c r="G230" s="40" t="str">
        <f>IF($B230="","",IF('05_PRODUCTOS'!$K230="NO","NO","SI"))</f>
        <v/>
      </c>
      <c r="H230" s="49" t="str">
        <f>IF($B230="","",N('15_STOCK'!$J230))</f>
        <v/>
      </c>
      <c r="I230" s="39"/>
      <c r="J230" s="48" t="str">
        <f>IF(OR(tblConteo[[#This Row],[SKU]]="",tblConteo[[#This Row],[Conteo]]=""),"",tblConteo[[#This Row],[Conteo]]-tblConteo[[#This Row],[StockSistema]])</f>
        <v/>
      </c>
      <c r="K230" s="52" t="str">
        <f>IF($J230="","",$J230*N('15_STOCK'!$O230))</f>
        <v/>
      </c>
      <c r="L230" s="41" t="str">
        <f>IF(tblConteo[[#This Row],[Diferencia]]="","",IF(tblConteo[[#This Row],[Diferencia]]=0,"✔ Cuadra",IF(tblConteo[[#This Row],[Diferencia]]&gt;0,"▲ Sobrante","▼ Faltante")))</f>
        <v/>
      </c>
      <c r="M23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1" spans="2:13" x14ac:dyDescent="0.25">
      <c r="B231" s="40" t="str">
        <f>IF('05_PRODUCTOS'!$B231="","",'05_PRODUCTOS'!$B231)</f>
        <v/>
      </c>
      <c r="C231" s="43" t="str">
        <f>IF($B231="","",'05_PRODUCTOS'!$C231)</f>
        <v/>
      </c>
      <c r="D231" s="43" t="str">
        <f>IF($B231="","",'05_PRODUCTOS'!$D231)</f>
        <v/>
      </c>
      <c r="E231" s="40" t="str">
        <f>IF($B231="","",'05_PRODUCTOS'!$J231&amp;"")</f>
        <v/>
      </c>
      <c r="F231" s="40" t="str">
        <f>IF($B231="","",'05_PRODUCTOS'!$E231)</f>
        <v/>
      </c>
      <c r="G231" s="40" t="str">
        <f>IF($B231="","",IF('05_PRODUCTOS'!$K231="NO","NO","SI"))</f>
        <v/>
      </c>
      <c r="H231" s="49" t="str">
        <f>IF($B231="","",N('15_STOCK'!$J231))</f>
        <v/>
      </c>
      <c r="I231" s="39"/>
      <c r="J231" s="48" t="str">
        <f>IF(OR(tblConteo[[#This Row],[SKU]]="",tblConteo[[#This Row],[Conteo]]=""),"",tblConteo[[#This Row],[Conteo]]-tblConteo[[#This Row],[StockSistema]])</f>
        <v/>
      </c>
      <c r="K231" s="52" t="str">
        <f>IF($J231="","",$J231*N('15_STOCK'!$O231))</f>
        <v/>
      </c>
      <c r="L231" s="41" t="str">
        <f>IF(tblConteo[[#This Row],[Diferencia]]="","",IF(tblConteo[[#This Row],[Diferencia]]=0,"✔ Cuadra",IF(tblConteo[[#This Row],[Diferencia]]&gt;0,"▲ Sobrante","▼ Faltante")))</f>
        <v/>
      </c>
      <c r="M23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2" spans="2:13" x14ac:dyDescent="0.25">
      <c r="B232" s="40" t="str">
        <f>IF('05_PRODUCTOS'!$B232="","",'05_PRODUCTOS'!$B232)</f>
        <v/>
      </c>
      <c r="C232" s="43" t="str">
        <f>IF($B232="","",'05_PRODUCTOS'!$C232)</f>
        <v/>
      </c>
      <c r="D232" s="43" t="str">
        <f>IF($B232="","",'05_PRODUCTOS'!$D232)</f>
        <v/>
      </c>
      <c r="E232" s="40" t="str">
        <f>IF($B232="","",'05_PRODUCTOS'!$J232&amp;"")</f>
        <v/>
      </c>
      <c r="F232" s="40" t="str">
        <f>IF($B232="","",'05_PRODUCTOS'!$E232)</f>
        <v/>
      </c>
      <c r="G232" s="40" t="str">
        <f>IF($B232="","",IF('05_PRODUCTOS'!$K232="NO","NO","SI"))</f>
        <v/>
      </c>
      <c r="H232" s="49" t="str">
        <f>IF($B232="","",N('15_STOCK'!$J232))</f>
        <v/>
      </c>
      <c r="I232" s="39"/>
      <c r="J232" s="48" t="str">
        <f>IF(OR(tblConteo[[#This Row],[SKU]]="",tblConteo[[#This Row],[Conteo]]=""),"",tblConteo[[#This Row],[Conteo]]-tblConteo[[#This Row],[StockSistema]])</f>
        <v/>
      </c>
      <c r="K232" s="52" t="str">
        <f>IF($J232="","",$J232*N('15_STOCK'!$O232))</f>
        <v/>
      </c>
      <c r="L232" s="41" t="str">
        <f>IF(tblConteo[[#This Row],[Diferencia]]="","",IF(tblConteo[[#This Row],[Diferencia]]=0,"✔ Cuadra",IF(tblConteo[[#This Row],[Diferencia]]&gt;0,"▲ Sobrante","▼ Faltante")))</f>
        <v/>
      </c>
      <c r="M23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3" spans="2:13" x14ac:dyDescent="0.25">
      <c r="B233" s="40" t="str">
        <f>IF('05_PRODUCTOS'!$B233="","",'05_PRODUCTOS'!$B233)</f>
        <v/>
      </c>
      <c r="C233" s="43" t="str">
        <f>IF($B233="","",'05_PRODUCTOS'!$C233)</f>
        <v/>
      </c>
      <c r="D233" s="43" t="str">
        <f>IF($B233="","",'05_PRODUCTOS'!$D233)</f>
        <v/>
      </c>
      <c r="E233" s="40" t="str">
        <f>IF($B233="","",'05_PRODUCTOS'!$J233&amp;"")</f>
        <v/>
      </c>
      <c r="F233" s="40" t="str">
        <f>IF($B233="","",'05_PRODUCTOS'!$E233)</f>
        <v/>
      </c>
      <c r="G233" s="40" t="str">
        <f>IF($B233="","",IF('05_PRODUCTOS'!$K233="NO","NO","SI"))</f>
        <v/>
      </c>
      <c r="H233" s="49" t="str">
        <f>IF($B233="","",N('15_STOCK'!$J233))</f>
        <v/>
      </c>
      <c r="I233" s="39"/>
      <c r="J233" s="48" t="str">
        <f>IF(OR(tblConteo[[#This Row],[SKU]]="",tblConteo[[#This Row],[Conteo]]=""),"",tblConteo[[#This Row],[Conteo]]-tblConteo[[#This Row],[StockSistema]])</f>
        <v/>
      </c>
      <c r="K233" s="52" t="str">
        <f>IF($J233="","",$J233*N('15_STOCK'!$O233))</f>
        <v/>
      </c>
      <c r="L233" s="41" t="str">
        <f>IF(tblConteo[[#This Row],[Diferencia]]="","",IF(tblConteo[[#This Row],[Diferencia]]=0,"✔ Cuadra",IF(tblConteo[[#This Row],[Diferencia]]&gt;0,"▲ Sobrante","▼ Faltante")))</f>
        <v/>
      </c>
      <c r="M23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4" spans="2:13" x14ac:dyDescent="0.25">
      <c r="B234" s="40" t="str">
        <f>IF('05_PRODUCTOS'!$B234="","",'05_PRODUCTOS'!$B234)</f>
        <v/>
      </c>
      <c r="C234" s="43" t="str">
        <f>IF($B234="","",'05_PRODUCTOS'!$C234)</f>
        <v/>
      </c>
      <c r="D234" s="43" t="str">
        <f>IF($B234="","",'05_PRODUCTOS'!$D234)</f>
        <v/>
      </c>
      <c r="E234" s="40" t="str">
        <f>IF($B234="","",'05_PRODUCTOS'!$J234&amp;"")</f>
        <v/>
      </c>
      <c r="F234" s="40" t="str">
        <f>IF($B234="","",'05_PRODUCTOS'!$E234)</f>
        <v/>
      </c>
      <c r="G234" s="40" t="str">
        <f>IF($B234="","",IF('05_PRODUCTOS'!$K234="NO","NO","SI"))</f>
        <v/>
      </c>
      <c r="H234" s="49" t="str">
        <f>IF($B234="","",N('15_STOCK'!$J234))</f>
        <v/>
      </c>
      <c r="I234" s="39"/>
      <c r="J234" s="48" t="str">
        <f>IF(OR(tblConteo[[#This Row],[SKU]]="",tblConteo[[#This Row],[Conteo]]=""),"",tblConteo[[#This Row],[Conteo]]-tblConteo[[#This Row],[StockSistema]])</f>
        <v/>
      </c>
      <c r="K234" s="52" t="str">
        <f>IF($J234="","",$J234*N('15_STOCK'!$O234))</f>
        <v/>
      </c>
      <c r="L234" s="41" t="str">
        <f>IF(tblConteo[[#This Row],[Diferencia]]="","",IF(tblConteo[[#This Row],[Diferencia]]=0,"✔ Cuadra",IF(tblConteo[[#This Row],[Diferencia]]&gt;0,"▲ Sobrante","▼ Faltante")))</f>
        <v/>
      </c>
      <c r="M23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5" spans="2:13" x14ac:dyDescent="0.25">
      <c r="B235" s="40" t="str">
        <f>IF('05_PRODUCTOS'!$B235="","",'05_PRODUCTOS'!$B235)</f>
        <v/>
      </c>
      <c r="C235" s="43" t="str">
        <f>IF($B235="","",'05_PRODUCTOS'!$C235)</f>
        <v/>
      </c>
      <c r="D235" s="43" t="str">
        <f>IF($B235="","",'05_PRODUCTOS'!$D235)</f>
        <v/>
      </c>
      <c r="E235" s="40" t="str">
        <f>IF($B235="","",'05_PRODUCTOS'!$J235&amp;"")</f>
        <v/>
      </c>
      <c r="F235" s="40" t="str">
        <f>IF($B235="","",'05_PRODUCTOS'!$E235)</f>
        <v/>
      </c>
      <c r="G235" s="40" t="str">
        <f>IF($B235="","",IF('05_PRODUCTOS'!$K235="NO","NO","SI"))</f>
        <v/>
      </c>
      <c r="H235" s="49" t="str">
        <f>IF($B235="","",N('15_STOCK'!$J235))</f>
        <v/>
      </c>
      <c r="I235" s="39"/>
      <c r="J235" s="48" t="str">
        <f>IF(OR(tblConteo[[#This Row],[SKU]]="",tblConteo[[#This Row],[Conteo]]=""),"",tblConteo[[#This Row],[Conteo]]-tblConteo[[#This Row],[StockSistema]])</f>
        <v/>
      </c>
      <c r="K235" s="52" t="str">
        <f>IF($J235="","",$J235*N('15_STOCK'!$O235))</f>
        <v/>
      </c>
      <c r="L235" s="41" t="str">
        <f>IF(tblConteo[[#This Row],[Diferencia]]="","",IF(tblConteo[[#This Row],[Diferencia]]=0,"✔ Cuadra",IF(tblConteo[[#This Row],[Diferencia]]&gt;0,"▲ Sobrante","▼ Faltante")))</f>
        <v/>
      </c>
      <c r="M23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6" spans="2:13" x14ac:dyDescent="0.25">
      <c r="B236" s="40" t="str">
        <f>IF('05_PRODUCTOS'!$B236="","",'05_PRODUCTOS'!$B236)</f>
        <v/>
      </c>
      <c r="C236" s="43" t="str">
        <f>IF($B236="","",'05_PRODUCTOS'!$C236)</f>
        <v/>
      </c>
      <c r="D236" s="43" t="str">
        <f>IF($B236="","",'05_PRODUCTOS'!$D236)</f>
        <v/>
      </c>
      <c r="E236" s="40" t="str">
        <f>IF($B236="","",'05_PRODUCTOS'!$J236&amp;"")</f>
        <v/>
      </c>
      <c r="F236" s="40" t="str">
        <f>IF($B236="","",'05_PRODUCTOS'!$E236)</f>
        <v/>
      </c>
      <c r="G236" s="40" t="str">
        <f>IF($B236="","",IF('05_PRODUCTOS'!$K236="NO","NO","SI"))</f>
        <v/>
      </c>
      <c r="H236" s="49" t="str">
        <f>IF($B236="","",N('15_STOCK'!$J236))</f>
        <v/>
      </c>
      <c r="I236" s="39"/>
      <c r="J236" s="48" t="str">
        <f>IF(OR(tblConteo[[#This Row],[SKU]]="",tblConteo[[#This Row],[Conteo]]=""),"",tblConteo[[#This Row],[Conteo]]-tblConteo[[#This Row],[StockSistema]])</f>
        <v/>
      </c>
      <c r="K236" s="52" t="str">
        <f>IF($J236="","",$J236*N('15_STOCK'!$O236))</f>
        <v/>
      </c>
      <c r="L236" s="41" t="str">
        <f>IF(tblConteo[[#This Row],[Diferencia]]="","",IF(tblConteo[[#This Row],[Diferencia]]=0,"✔ Cuadra",IF(tblConteo[[#This Row],[Diferencia]]&gt;0,"▲ Sobrante","▼ Faltante")))</f>
        <v/>
      </c>
      <c r="M23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7" spans="2:13" x14ac:dyDescent="0.25">
      <c r="B237" s="40" t="str">
        <f>IF('05_PRODUCTOS'!$B237="","",'05_PRODUCTOS'!$B237)</f>
        <v/>
      </c>
      <c r="C237" s="43" t="str">
        <f>IF($B237="","",'05_PRODUCTOS'!$C237)</f>
        <v/>
      </c>
      <c r="D237" s="43" t="str">
        <f>IF($B237="","",'05_PRODUCTOS'!$D237)</f>
        <v/>
      </c>
      <c r="E237" s="40" t="str">
        <f>IF($B237="","",'05_PRODUCTOS'!$J237&amp;"")</f>
        <v/>
      </c>
      <c r="F237" s="40" t="str">
        <f>IF($B237="","",'05_PRODUCTOS'!$E237)</f>
        <v/>
      </c>
      <c r="G237" s="40" t="str">
        <f>IF($B237="","",IF('05_PRODUCTOS'!$K237="NO","NO","SI"))</f>
        <v/>
      </c>
      <c r="H237" s="49" t="str">
        <f>IF($B237="","",N('15_STOCK'!$J237))</f>
        <v/>
      </c>
      <c r="I237" s="39"/>
      <c r="J237" s="48" t="str">
        <f>IF(OR(tblConteo[[#This Row],[SKU]]="",tblConteo[[#This Row],[Conteo]]=""),"",tblConteo[[#This Row],[Conteo]]-tblConteo[[#This Row],[StockSistema]])</f>
        <v/>
      </c>
      <c r="K237" s="52" t="str">
        <f>IF($J237="","",$J237*N('15_STOCK'!$O237))</f>
        <v/>
      </c>
      <c r="L237" s="41" t="str">
        <f>IF(tblConteo[[#This Row],[Diferencia]]="","",IF(tblConteo[[#This Row],[Diferencia]]=0,"✔ Cuadra",IF(tblConteo[[#This Row],[Diferencia]]&gt;0,"▲ Sobrante","▼ Faltante")))</f>
        <v/>
      </c>
      <c r="M23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8" spans="2:13" x14ac:dyDescent="0.25">
      <c r="B238" s="40" t="str">
        <f>IF('05_PRODUCTOS'!$B238="","",'05_PRODUCTOS'!$B238)</f>
        <v/>
      </c>
      <c r="C238" s="43" t="str">
        <f>IF($B238="","",'05_PRODUCTOS'!$C238)</f>
        <v/>
      </c>
      <c r="D238" s="43" t="str">
        <f>IF($B238="","",'05_PRODUCTOS'!$D238)</f>
        <v/>
      </c>
      <c r="E238" s="40" t="str">
        <f>IF($B238="","",'05_PRODUCTOS'!$J238&amp;"")</f>
        <v/>
      </c>
      <c r="F238" s="40" t="str">
        <f>IF($B238="","",'05_PRODUCTOS'!$E238)</f>
        <v/>
      </c>
      <c r="G238" s="40" t="str">
        <f>IF($B238="","",IF('05_PRODUCTOS'!$K238="NO","NO","SI"))</f>
        <v/>
      </c>
      <c r="H238" s="49" t="str">
        <f>IF($B238="","",N('15_STOCK'!$J238))</f>
        <v/>
      </c>
      <c r="I238" s="39"/>
      <c r="J238" s="48" t="str">
        <f>IF(OR(tblConteo[[#This Row],[SKU]]="",tblConteo[[#This Row],[Conteo]]=""),"",tblConteo[[#This Row],[Conteo]]-tblConteo[[#This Row],[StockSistema]])</f>
        <v/>
      </c>
      <c r="K238" s="52" t="str">
        <f>IF($J238="","",$J238*N('15_STOCK'!$O238))</f>
        <v/>
      </c>
      <c r="L238" s="41" t="str">
        <f>IF(tblConteo[[#This Row],[Diferencia]]="","",IF(tblConteo[[#This Row],[Diferencia]]=0,"✔ Cuadra",IF(tblConteo[[#This Row],[Diferencia]]&gt;0,"▲ Sobrante","▼ Faltante")))</f>
        <v/>
      </c>
      <c r="M23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39" spans="2:13" x14ac:dyDescent="0.25">
      <c r="B239" s="40" t="str">
        <f>IF('05_PRODUCTOS'!$B239="","",'05_PRODUCTOS'!$B239)</f>
        <v/>
      </c>
      <c r="C239" s="43" t="str">
        <f>IF($B239="","",'05_PRODUCTOS'!$C239)</f>
        <v/>
      </c>
      <c r="D239" s="43" t="str">
        <f>IF($B239="","",'05_PRODUCTOS'!$D239)</f>
        <v/>
      </c>
      <c r="E239" s="40" t="str">
        <f>IF($B239="","",'05_PRODUCTOS'!$J239&amp;"")</f>
        <v/>
      </c>
      <c r="F239" s="40" t="str">
        <f>IF($B239="","",'05_PRODUCTOS'!$E239)</f>
        <v/>
      </c>
      <c r="G239" s="40" t="str">
        <f>IF($B239="","",IF('05_PRODUCTOS'!$K239="NO","NO","SI"))</f>
        <v/>
      </c>
      <c r="H239" s="49" t="str">
        <f>IF($B239="","",N('15_STOCK'!$J239))</f>
        <v/>
      </c>
      <c r="I239" s="39"/>
      <c r="J239" s="48" t="str">
        <f>IF(OR(tblConteo[[#This Row],[SKU]]="",tblConteo[[#This Row],[Conteo]]=""),"",tblConteo[[#This Row],[Conteo]]-tblConteo[[#This Row],[StockSistema]])</f>
        <v/>
      </c>
      <c r="K239" s="52" t="str">
        <f>IF($J239="","",$J239*N('15_STOCK'!$O239))</f>
        <v/>
      </c>
      <c r="L239" s="41" t="str">
        <f>IF(tblConteo[[#This Row],[Diferencia]]="","",IF(tblConteo[[#This Row],[Diferencia]]=0,"✔ Cuadra",IF(tblConteo[[#This Row],[Diferencia]]&gt;0,"▲ Sobrante","▼ Faltante")))</f>
        <v/>
      </c>
      <c r="M23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0" spans="2:13" x14ac:dyDescent="0.25">
      <c r="B240" s="40" t="str">
        <f>IF('05_PRODUCTOS'!$B240="","",'05_PRODUCTOS'!$B240)</f>
        <v/>
      </c>
      <c r="C240" s="43" t="str">
        <f>IF($B240="","",'05_PRODUCTOS'!$C240)</f>
        <v/>
      </c>
      <c r="D240" s="43" t="str">
        <f>IF($B240="","",'05_PRODUCTOS'!$D240)</f>
        <v/>
      </c>
      <c r="E240" s="40" t="str">
        <f>IF($B240="","",'05_PRODUCTOS'!$J240&amp;"")</f>
        <v/>
      </c>
      <c r="F240" s="40" t="str">
        <f>IF($B240="","",'05_PRODUCTOS'!$E240)</f>
        <v/>
      </c>
      <c r="G240" s="40" t="str">
        <f>IF($B240="","",IF('05_PRODUCTOS'!$K240="NO","NO","SI"))</f>
        <v/>
      </c>
      <c r="H240" s="49" t="str">
        <f>IF($B240="","",N('15_STOCK'!$J240))</f>
        <v/>
      </c>
      <c r="I240" s="39"/>
      <c r="J240" s="48" t="str">
        <f>IF(OR(tblConteo[[#This Row],[SKU]]="",tblConteo[[#This Row],[Conteo]]=""),"",tblConteo[[#This Row],[Conteo]]-tblConteo[[#This Row],[StockSistema]])</f>
        <v/>
      </c>
      <c r="K240" s="52" t="str">
        <f>IF($J240="","",$J240*N('15_STOCK'!$O240))</f>
        <v/>
      </c>
      <c r="L240" s="41" t="str">
        <f>IF(tblConteo[[#This Row],[Diferencia]]="","",IF(tblConteo[[#This Row],[Diferencia]]=0,"✔ Cuadra",IF(tblConteo[[#This Row],[Diferencia]]&gt;0,"▲ Sobrante","▼ Faltante")))</f>
        <v/>
      </c>
      <c r="M24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1" spans="2:13" x14ac:dyDescent="0.25">
      <c r="B241" s="40" t="str">
        <f>IF('05_PRODUCTOS'!$B241="","",'05_PRODUCTOS'!$B241)</f>
        <v/>
      </c>
      <c r="C241" s="43" t="str">
        <f>IF($B241="","",'05_PRODUCTOS'!$C241)</f>
        <v/>
      </c>
      <c r="D241" s="43" t="str">
        <f>IF($B241="","",'05_PRODUCTOS'!$D241)</f>
        <v/>
      </c>
      <c r="E241" s="40" t="str">
        <f>IF($B241="","",'05_PRODUCTOS'!$J241&amp;"")</f>
        <v/>
      </c>
      <c r="F241" s="40" t="str">
        <f>IF($B241="","",'05_PRODUCTOS'!$E241)</f>
        <v/>
      </c>
      <c r="G241" s="40" t="str">
        <f>IF($B241="","",IF('05_PRODUCTOS'!$K241="NO","NO","SI"))</f>
        <v/>
      </c>
      <c r="H241" s="49" t="str">
        <f>IF($B241="","",N('15_STOCK'!$J241))</f>
        <v/>
      </c>
      <c r="I241" s="39"/>
      <c r="J241" s="48" t="str">
        <f>IF(OR(tblConteo[[#This Row],[SKU]]="",tblConteo[[#This Row],[Conteo]]=""),"",tblConteo[[#This Row],[Conteo]]-tblConteo[[#This Row],[StockSistema]])</f>
        <v/>
      </c>
      <c r="K241" s="52" t="str">
        <f>IF($J241="","",$J241*N('15_STOCK'!$O241))</f>
        <v/>
      </c>
      <c r="L241" s="41" t="str">
        <f>IF(tblConteo[[#This Row],[Diferencia]]="","",IF(tblConteo[[#This Row],[Diferencia]]=0,"✔ Cuadra",IF(tblConteo[[#This Row],[Diferencia]]&gt;0,"▲ Sobrante","▼ Faltante")))</f>
        <v/>
      </c>
      <c r="M24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2" spans="2:13" x14ac:dyDescent="0.25">
      <c r="B242" s="40" t="str">
        <f>IF('05_PRODUCTOS'!$B242="","",'05_PRODUCTOS'!$B242)</f>
        <v/>
      </c>
      <c r="C242" s="43" t="str">
        <f>IF($B242="","",'05_PRODUCTOS'!$C242)</f>
        <v/>
      </c>
      <c r="D242" s="43" t="str">
        <f>IF($B242="","",'05_PRODUCTOS'!$D242)</f>
        <v/>
      </c>
      <c r="E242" s="40" t="str">
        <f>IF($B242="","",'05_PRODUCTOS'!$J242&amp;"")</f>
        <v/>
      </c>
      <c r="F242" s="40" t="str">
        <f>IF($B242="","",'05_PRODUCTOS'!$E242)</f>
        <v/>
      </c>
      <c r="G242" s="40" t="str">
        <f>IF($B242="","",IF('05_PRODUCTOS'!$K242="NO","NO","SI"))</f>
        <v/>
      </c>
      <c r="H242" s="49" t="str">
        <f>IF($B242="","",N('15_STOCK'!$J242))</f>
        <v/>
      </c>
      <c r="I242" s="39"/>
      <c r="J242" s="48" t="str">
        <f>IF(OR(tblConteo[[#This Row],[SKU]]="",tblConteo[[#This Row],[Conteo]]=""),"",tblConteo[[#This Row],[Conteo]]-tblConteo[[#This Row],[StockSistema]])</f>
        <v/>
      </c>
      <c r="K242" s="52" t="str">
        <f>IF($J242="","",$J242*N('15_STOCK'!$O242))</f>
        <v/>
      </c>
      <c r="L242" s="41" t="str">
        <f>IF(tblConteo[[#This Row],[Diferencia]]="","",IF(tblConteo[[#This Row],[Diferencia]]=0,"✔ Cuadra",IF(tblConteo[[#This Row],[Diferencia]]&gt;0,"▲ Sobrante","▼ Faltante")))</f>
        <v/>
      </c>
      <c r="M24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3" spans="2:13" x14ac:dyDescent="0.25">
      <c r="B243" s="40" t="str">
        <f>IF('05_PRODUCTOS'!$B243="","",'05_PRODUCTOS'!$B243)</f>
        <v/>
      </c>
      <c r="C243" s="43" t="str">
        <f>IF($B243="","",'05_PRODUCTOS'!$C243)</f>
        <v/>
      </c>
      <c r="D243" s="43" t="str">
        <f>IF($B243="","",'05_PRODUCTOS'!$D243)</f>
        <v/>
      </c>
      <c r="E243" s="40" t="str">
        <f>IF($B243="","",'05_PRODUCTOS'!$J243&amp;"")</f>
        <v/>
      </c>
      <c r="F243" s="40" t="str">
        <f>IF($B243="","",'05_PRODUCTOS'!$E243)</f>
        <v/>
      </c>
      <c r="G243" s="40" t="str">
        <f>IF($B243="","",IF('05_PRODUCTOS'!$K243="NO","NO","SI"))</f>
        <v/>
      </c>
      <c r="H243" s="49" t="str">
        <f>IF($B243="","",N('15_STOCK'!$J243))</f>
        <v/>
      </c>
      <c r="I243" s="39"/>
      <c r="J243" s="48" t="str">
        <f>IF(OR(tblConteo[[#This Row],[SKU]]="",tblConteo[[#This Row],[Conteo]]=""),"",tblConteo[[#This Row],[Conteo]]-tblConteo[[#This Row],[StockSistema]])</f>
        <v/>
      </c>
      <c r="K243" s="52" t="str">
        <f>IF($J243="","",$J243*N('15_STOCK'!$O243))</f>
        <v/>
      </c>
      <c r="L243" s="41" t="str">
        <f>IF(tblConteo[[#This Row],[Diferencia]]="","",IF(tblConteo[[#This Row],[Diferencia]]=0,"✔ Cuadra",IF(tblConteo[[#This Row],[Diferencia]]&gt;0,"▲ Sobrante","▼ Faltante")))</f>
        <v/>
      </c>
      <c r="M24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4" spans="2:13" x14ac:dyDescent="0.25">
      <c r="B244" s="40" t="str">
        <f>IF('05_PRODUCTOS'!$B244="","",'05_PRODUCTOS'!$B244)</f>
        <v/>
      </c>
      <c r="C244" s="43" t="str">
        <f>IF($B244="","",'05_PRODUCTOS'!$C244)</f>
        <v/>
      </c>
      <c r="D244" s="43" t="str">
        <f>IF($B244="","",'05_PRODUCTOS'!$D244)</f>
        <v/>
      </c>
      <c r="E244" s="40" t="str">
        <f>IF($B244="","",'05_PRODUCTOS'!$J244&amp;"")</f>
        <v/>
      </c>
      <c r="F244" s="40" t="str">
        <f>IF($B244="","",'05_PRODUCTOS'!$E244)</f>
        <v/>
      </c>
      <c r="G244" s="40" t="str">
        <f>IF($B244="","",IF('05_PRODUCTOS'!$K244="NO","NO","SI"))</f>
        <v/>
      </c>
      <c r="H244" s="49" t="str">
        <f>IF($B244="","",N('15_STOCK'!$J244))</f>
        <v/>
      </c>
      <c r="I244" s="39"/>
      <c r="J244" s="48" t="str">
        <f>IF(OR(tblConteo[[#This Row],[SKU]]="",tblConteo[[#This Row],[Conteo]]=""),"",tblConteo[[#This Row],[Conteo]]-tblConteo[[#This Row],[StockSistema]])</f>
        <v/>
      </c>
      <c r="K244" s="52" t="str">
        <f>IF($J244="","",$J244*N('15_STOCK'!$O244))</f>
        <v/>
      </c>
      <c r="L244" s="41" t="str">
        <f>IF(tblConteo[[#This Row],[Diferencia]]="","",IF(tblConteo[[#This Row],[Diferencia]]=0,"✔ Cuadra",IF(tblConteo[[#This Row],[Diferencia]]&gt;0,"▲ Sobrante","▼ Faltante")))</f>
        <v/>
      </c>
      <c r="M24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5" spans="2:13" x14ac:dyDescent="0.25">
      <c r="B245" s="40" t="str">
        <f>IF('05_PRODUCTOS'!$B245="","",'05_PRODUCTOS'!$B245)</f>
        <v/>
      </c>
      <c r="C245" s="43" t="str">
        <f>IF($B245="","",'05_PRODUCTOS'!$C245)</f>
        <v/>
      </c>
      <c r="D245" s="43" t="str">
        <f>IF($B245="","",'05_PRODUCTOS'!$D245)</f>
        <v/>
      </c>
      <c r="E245" s="40" t="str">
        <f>IF($B245="","",'05_PRODUCTOS'!$J245&amp;"")</f>
        <v/>
      </c>
      <c r="F245" s="40" t="str">
        <f>IF($B245="","",'05_PRODUCTOS'!$E245)</f>
        <v/>
      </c>
      <c r="G245" s="40" t="str">
        <f>IF($B245="","",IF('05_PRODUCTOS'!$K245="NO","NO","SI"))</f>
        <v/>
      </c>
      <c r="H245" s="49" t="str">
        <f>IF($B245="","",N('15_STOCK'!$J245))</f>
        <v/>
      </c>
      <c r="I245" s="39"/>
      <c r="J245" s="48" t="str">
        <f>IF(OR(tblConteo[[#This Row],[SKU]]="",tblConteo[[#This Row],[Conteo]]=""),"",tblConteo[[#This Row],[Conteo]]-tblConteo[[#This Row],[StockSistema]])</f>
        <v/>
      </c>
      <c r="K245" s="52" t="str">
        <f>IF($J245="","",$J245*N('15_STOCK'!$O245))</f>
        <v/>
      </c>
      <c r="L245" s="41" t="str">
        <f>IF(tblConteo[[#This Row],[Diferencia]]="","",IF(tblConteo[[#This Row],[Diferencia]]=0,"✔ Cuadra",IF(tblConteo[[#This Row],[Diferencia]]&gt;0,"▲ Sobrante","▼ Faltante")))</f>
        <v/>
      </c>
      <c r="M24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6" spans="2:13" x14ac:dyDescent="0.25">
      <c r="B246" s="40" t="str">
        <f>IF('05_PRODUCTOS'!$B246="","",'05_PRODUCTOS'!$B246)</f>
        <v/>
      </c>
      <c r="C246" s="43" t="str">
        <f>IF($B246="","",'05_PRODUCTOS'!$C246)</f>
        <v/>
      </c>
      <c r="D246" s="43" t="str">
        <f>IF($B246="","",'05_PRODUCTOS'!$D246)</f>
        <v/>
      </c>
      <c r="E246" s="40" t="str">
        <f>IF($B246="","",'05_PRODUCTOS'!$J246&amp;"")</f>
        <v/>
      </c>
      <c r="F246" s="40" t="str">
        <f>IF($B246="","",'05_PRODUCTOS'!$E246)</f>
        <v/>
      </c>
      <c r="G246" s="40" t="str">
        <f>IF($B246="","",IF('05_PRODUCTOS'!$K246="NO","NO","SI"))</f>
        <v/>
      </c>
      <c r="H246" s="49" t="str">
        <f>IF($B246="","",N('15_STOCK'!$J246))</f>
        <v/>
      </c>
      <c r="I246" s="39"/>
      <c r="J246" s="48" t="str">
        <f>IF(OR(tblConteo[[#This Row],[SKU]]="",tblConteo[[#This Row],[Conteo]]=""),"",tblConteo[[#This Row],[Conteo]]-tblConteo[[#This Row],[StockSistema]])</f>
        <v/>
      </c>
      <c r="K246" s="52" t="str">
        <f>IF($J246="","",$J246*N('15_STOCK'!$O246))</f>
        <v/>
      </c>
      <c r="L246" s="41" t="str">
        <f>IF(tblConteo[[#This Row],[Diferencia]]="","",IF(tblConteo[[#This Row],[Diferencia]]=0,"✔ Cuadra",IF(tblConteo[[#This Row],[Diferencia]]&gt;0,"▲ Sobrante","▼ Faltante")))</f>
        <v/>
      </c>
      <c r="M24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7" spans="2:13" x14ac:dyDescent="0.25">
      <c r="B247" s="40" t="str">
        <f>IF('05_PRODUCTOS'!$B247="","",'05_PRODUCTOS'!$B247)</f>
        <v/>
      </c>
      <c r="C247" s="43" t="str">
        <f>IF($B247="","",'05_PRODUCTOS'!$C247)</f>
        <v/>
      </c>
      <c r="D247" s="43" t="str">
        <f>IF($B247="","",'05_PRODUCTOS'!$D247)</f>
        <v/>
      </c>
      <c r="E247" s="40" t="str">
        <f>IF($B247="","",'05_PRODUCTOS'!$J247&amp;"")</f>
        <v/>
      </c>
      <c r="F247" s="40" t="str">
        <f>IF($B247="","",'05_PRODUCTOS'!$E247)</f>
        <v/>
      </c>
      <c r="G247" s="40" t="str">
        <f>IF($B247="","",IF('05_PRODUCTOS'!$K247="NO","NO","SI"))</f>
        <v/>
      </c>
      <c r="H247" s="49" t="str">
        <f>IF($B247="","",N('15_STOCK'!$J247))</f>
        <v/>
      </c>
      <c r="I247" s="39"/>
      <c r="J247" s="48" t="str">
        <f>IF(OR(tblConteo[[#This Row],[SKU]]="",tblConteo[[#This Row],[Conteo]]=""),"",tblConteo[[#This Row],[Conteo]]-tblConteo[[#This Row],[StockSistema]])</f>
        <v/>
      </c>
      <c r="K247" s="52" t="str">
        <f>IF($J247="","",$J247*N('15_STOCK'!$O247))</f>
        <v/>
      </c>
      <c r="L247" s="41" t="str">
        <f>IF(tblConteo[[#This Row],[Diferencia]]="","",IF(tblConteo[[#This Row],[Diferencia]]=0,"✔ Cuadra",IF(tblConteo[[#This Row],[Diferencia]]&gt;0,"▲ Sobrante","▼ Faltante")))</f>
        <v/>
      </c>
      <c r="M24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8" spans="2:13" x14ac:dyDescent="0.25">
      <c r="B248" s="40" t="str">
        <f>IF('05_PRODUCTOS'!$B248="","",'05_PRODUCTOS'!$B248)</f>
        <v/>
      </c>
      <c r="C248" s="43" t="str">
        <f>IF($B248="","",'05_PRODUCTOS'!$C248)</f>
        <v/>
      </c>
      <c r="D248" s="43" t="str">
        <f>IF($B248="","",'05_PRODUCTOS'!$D248)</f>
        <v/>
      </c>
      <c r="E248" s="40" t="str">
        <f>IF($B248="","",'05_PRODUCTOS'!$J248&amp;"")</f>
        <v/>
      </c>
      <c r="F248" s="40" t="str">
        <f>IF($B248="","",'05_PRODUCTOS'!$E248)</f>
        <v/>
      </c>
      <c r="G248" s="40" t="str">
        <f>IF($B248="","",IF('05_PRODUCTOS'!$K248="NO","NO","SI"))</f>
        <v/>
      </c>
      <c r="H248" s="49" t="str">
        <f>IF($B248="","",N('15_STOCK'!$J248))</f>
        <v/>
      </c>
      <c r="I248" s="39"/>
      <c r="J248" s="48" t="str">
        <f>IF(OR(tblConteo[[#This Row],[SKU]]="",tblConteo[[#This Row],[Conteo]]=""),"",tblConteo[[#This Row],[Conteo]]-tblConteo[[#This Row],[StockSistema]])</f>
        <v/>
      </c>
      <c r="K248" s="52" t="str">
        <f>IF($J248="","",$J248*N('15_STOCK'!$O248))</f>
        <v/>
      </c>
      <c r="L248" s="41" t="str">
        <f>IF(tblConteo[[#This Row],[Diferencia]]="","",IF(tblConteo[[#This Row],[Diferencia]]=0,"✔ Cuadra",IF(tblConteo[[#This Row],[Diferencia]]&gt;0,"▲ Sobrante","▼ Faltante")))</f>
        <v/>
      </c>
      <c r="M24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49" spans="2:13" x14ac:dyDescent="0.25">
      <c r="B249" s="40" t="str">
        <f>IF('05_PRODUCTOS'!$B249="","",'05_PRODUCTOS'!$B249)</f>
        <v/>
      </c>
      <c r="C249" s="43" t="str">
        <f>IF($B249="","",'05_PRODUCTOS'!$C249)</f>
        <v/>
      </c>
      <c r="D249" s="43" t="str">
        <f>IF($B249="","",'05_PRODUCTOS'!$D249)</f>
        <v/>
      </c>
      <c r="E249" s="40" t="str">
        <f>IF($B249="","",'05_PRODUCTOS'!$J249&amp;"")</f>
        <v/>
      </c>
      <c r="F249" s="40" t="str">
        <f>IF($B249="","",'05_PRODUCTOS'!$E249)</f>
        <v/>
      </c>
      <c r="G249" s="40" t="str">
        <f>IF($B249="","",IF('05_PRODUCTOS'!$K249="NO","NO","SI"))</f>
        <v/>
      </c>
      <c r="H249" s="49" t="str">
        <f>IF($B249="","",N('15_STOCK'!$J249))</f>
        <v/>
      </c>
      <c r="I249" s="39"/>
      <c r="J249" s="48" t="str">
        <f>IF(OR(tblConteo[[#This Row],[SKU]]="",tblConteo[[#This Row],[Conteo]]=""),"",tblConteo[[#This Row],[Conteo]]-tblConteo[[#This Row],[StockSistema]])</f>
        <v/>
      </c>
      <c r="K249" s="52" t="str">
        <f>IF($J249="","",$J249*N('15_STOCK'!$O249))</f>
        <v/>
      </c>
      <c r="L249" s="41" t="str">
        <f>IF(tblConteo[[#This Row],[Diferencia]]="","",IF(tblConteo[[#This Row],[Diferencia]]=0,"✔ Cuadra",IF(tblConteo[[#This Row],[Diferencia]]&gt;0,"▲ Sobrante","▼ Faltante")))</f>
        <v/>
      </c>
      <c r="M24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0" spans="2:13" x14ac:dyDescent="0.25">
      <c r="B250" s="40" t="str">
        <f>IF('05_PRODUCTOS'!$B250="","",'05_PRODUCTOS'!$B250)</f>
        <v/>
      </c>
      <c r="C250" s="43" t="str">
        <f>IF($B250="","",'05_PRODUCTOS'!$C250)</f>
        <v/>
      </c>
      <c r="D250" s="43" t="str">
        <f>IF($B250="","",'05_PRODUCTOS'!$D250)</f>
        <v/>
      </c>
      <c r="E250" s="40" t="str">
        <f>IF($B250="","",'05_PRODUCTOS'!$J250&amp;"")</f>
        <v/>
      </c>
      <c r="F250" s="40" t="str">
        <f>IF($B250="","",'05_PRODUCTOS'!$E250)</f>
        <v/>
      </c>
      <c r="G250" s="40" t="str">
        <f>IF($B250="","",IF('05_PRODUCTOS'!$K250="NO","NO","SI"))</f>
        <v/>
      </c>
      <c r="H250" s="49" t="str">
        <f>IF($B250="","",N('15_STOCK'!$J250))</f>
        <v/>
      </c>
      <c r="I250" s="39"/>
      <c r="J250" s="48" t="str">
        <f>IF(OR(tblConteo[[#This Row],[SKU]]="",tblConteo[[#This Row],[Conteo]]=""),"",tblConteo[[#This Row],[Conteo]]-tblConteo[[#This Row],[StockSistema]])</f>
        <v/>
      </c>
      <c r="K250" s="52" t="str">
        <f>IF($J250="","",$J250*N('15_STOCK'!$O250))</f>
        <v/>
      </c>
      <c r="L250" s="41" t="str">
        <f>IF(tblConteo[[#This Row],[Diferencia]]="","",IF(tblConteo[[#This Row],[Diferencia]]=0,"✔ Cuadra",IF(tblConteo[[#This Row],[Diferencia]]&gt;0,"▲ Sobrante","▼ Faltante")))</f>
        <v/>
      </c>
      <c r="M25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1" spans="2:13" x14ac:dyDescent="0.25">
      <c r="B251" s="40" t="str">
        <f>IF('05_PRODUCTOS'!$B251="","",'05_PRODUCTOS'!$B251)</f>
        <v/>
      </c>
      <c r="C251" s="43" t="str">
        <f>IF($B251="","",'05_PRODUCTOS'!$C251)</f>
        <v/>
      </c>
      <c r="D251" s="43" t="str">
        <f>IF($B251="","",'05_PRODUCTOS'!$D251)</f>
        <v/>
      </c>
      <c r="E251" s="40" t="str">
        <f>IF($B251="","",'05_PRODUCTOS'!$J251&amp;"")</f>
        <v/>
      </c>
      <c r="F251" s="40" t="str">
        <f>IF($B251="","",'05_PRODUCTOS'!$E251)</f>
        <v/>
      </c>
      <c r="G251" s="40" t="str">
        <f>IF($B251="","",IF('05_PRODUCTOS'!$K251="NO","NO","SI"))</f>
        <v/>
      </c>
      <c r="H251" s="49" t="str">
        <f>IF($B251="","",N('15_STOCK'!$J251))</f>
        <v/>
      </c>
      <c r="I251" s="39"/>
      <c r="J251" s="48" t="str">
        <f>IF(OR(tblConteo[[#This Row],[SKU]]="",tblConteo[[#This Row],[Conteo]]=""),"",tblConteo[[#This Row],[Conteo]]-tblConteo[[#This Row],[StockSistema]])</f>
        <v/>
      </c>
      <c r="K251" s="52" t="str">
        <f>IF($J251="","",$J251*N('15_STOCK'!$O251))</f>
        <v/>
      </c>
      <c r="L251" s="41" t="str">
        <f>IF(tblConteo[[#This Row],[Diferencia]]="","",IF(tblConteo[[#This Row],[Diferencia]]=0,"✔ Cuadra",IF(tblConteo[[#This Row],[Diferencia]]&gt;0,"▲ Sobrante","▼ Faltante")))</f>
        <v/>
      </c>
      <c r="M25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2" spans="2:13" x14ac:dyDescent="0.25">
      <c r="B252" s="40" t="str">
        <f>IF('05_PRODUCTOS'!$B252="","",'05_PRODUCTOS'!$B252)</f>
        <v/>
      </c>
      <c r="C252" s="43" t="str">
        <f>IF($B252="","",'05_PRODUCTOS'!$C252)</f>
        <v/>
      </c>
      <c r="D252" s="43" t="str">
        <f>IF($B252="","",'05_PRODUCTOS'!$D252)</f>
        <v/>
      </c>
      <c r="E252" s="40" t="str">
        <f>IF($B252="","",'05_PRODUCTOS'!$J252&amp;"")</f>
        <v/>
      </c>
      <c r="F252" s="40" t="str">
        <f>IF($B252="","",'05_PRODUCTOS'!$E252)</f>
        <v/>
      </c>
      <c r="G252" s="40" t="str">
        <f>IF($B252="","",IF('05_PRODUCTOS'!$K252="NO","NO","SI"))</f>
        <v/>
      </c>
      <c r="H252" s="49" t="str">
        <f>IF($B252="","",N('15_STOCK'!$J252))</f>
        <v/>
      </c>
      <c r="I252" s="39"/>
      <c r="J252" s="48" t="str">
        <f>IF(OR(tblConteo[[#This Row],[SKU]]="",tblConteo[[#This Row],[Conteo]]=""),"",tblConteo[[#This Row],[Conteo]]-tblConteo[[#This Row],[StockSistema]])</f>
        <v/>
      </c>
      <c r="K252" s="52" t="str">
        <f>IF($J252="","",$J252*N('15_STOCK'!$O252))</f>
        <v/>
      </c>
      <c r="L252" s="41" t="str">
        <f>IF(tblConteo[[#This Row],[Diferencia]]="","",IF(tblConteo[[#This Row],[Diferencia]]=0,"✔ Cuadra",IF(tblConteo[[#This Row],[Diferencia]]&gt;0,"▲ Sobrante","▼ Faltante")))</f>
        <v/>
      </c>
      <c r="M25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3" spans="2:13" x14ac:dyDescent="0.25">
      <c r="B253" s="40" t="str">
        <f>IF('05_PRODUCTOS'!$B253="","",'05_PRODUCTOS'!$B253)</f>
        <v/>
      </c>
      <c r="C253" s="43" t="str">
        <f>IF($B253="","",'05_PRODUCTOS'!$C253)</f>
        <v/>
      </c>
      <c r="D253" s="43" t="str">
        <f>IF($B253="","",'05_PRODUCTOS'!$D253)</f>
        <v/>
      </c>
      <c r="E253" s="40" t="str">
        <f>IF($B253="","",'05_PRODUCTOS'!$J253&amp;"")</f>
        <v/>
      </c>
      <c r="F253" s="40" t="str">
        <f>IF($B253="","",'05_PRODUCTOS'!$E253)</f>
        <v/>
      </c>
      <c r="G253" s="40" t="str">
        <f>IF($B253="","",IF('05_PRODUCTOS'!$K253="NO","NO","SI"))</f>
        <v/>
      </c>
      <c r="H253" s="49" t="str">
        <f>IF($B253="","",N('15_STOCK'!$J253))</f>
        <v/>
      </c>
      <c r="I253" s="39"/>
      <c r="J253" s="48" t="str">
        <f>IF(OR(tblConteo[[#This Row],[SKU]]="",tblConteo[[#This Row],[Conteo]]=""),"",tblConteo[[#This Row],[Conteo]]-tblConteo[[#This Row],[StockSistema]])</f>
        <v/>
      </c>
      <c r="K253" s="52" t="str">
        <f>IF($J253="","",$J253*N('15_STOCK'!$O253))</f>
        <v/>
      </c>
      <c r="L253" s="41" t="str">
        <f>IF(tblConteo[[#This Row],[Diferencia]]="","",IF(tblConteo[[#This Row],[Diferencia]]=0,"✔ Cuadra",IF(tblConteo[[#This Row],[Diferencia]]&gt;0,"▲ Sobrante","▼ Faltante")))</f>
        <v/>
      </c>
      <c r="M25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4" spans="2:13" x14ac:dyDescent="0.25">
      <c r="B254" s="40" t="str">
        <f>IF('05_PRODUCTOS'!$B254="","",'05_PRODUCTOS'!$B254)</f>
        <v/>
      </c>
      <c r="C254" s="43" t="str">
        <f>IF($B254="","",'05_PRODUCTOS'!$C254)</f>
        <v/>
      </c>
      <c r="D254" s="43" t="str">
        <f>IF($B254="","",'05_PRODUCTOS'!$D254)</f>
        <v/>
      </c>
      <c r="E254" s="40" t="str">
        <f>IF($B254="","",'05_PRODUCTOS'!$J254&amp;"")</f>
        <v/>
      </c>
      <c r="F254" s="40" t="str">
        <f>IF($B254="","",'05_PRODUCTOS'!$E254)</f>
        <v/>
      </c>
      <c r="G254" s="40" t="str">
        <f>IF($B254="","",IF('05_PRODUCTOS'!$K254="NO","NO","SI"))</f>
        <v/>
      </c>
      <c r="H254" s="49" t="str">
        <f>IF($B254="","",N('15_STOCK'!$J254))</f>
        <v/>
      </c>
      <c r="I254" s="39"/>
      <c r="J254" s="48" t="str">
        <f>IF(OR(tblConteo[[#This Row],[SKU]]="",tblConteo[[#This Row],[Conteo]]=""),"",tblConteo[[#This Row],[Conteo]]-tblConteo[[#This Row],[StockSistema]])</f>
        <v/>
      </c>
      <c r="K254" s="52" t="str">
        <f>IF($J254="","",$J254*N('15_STOCK'!$O254))</f>
        <v/>
      </c>
      <c r="L254" s="41" t="str">
        <f>IF(tblConteo[[#This Row],[Diferencia]]="","",IF(tblConteo[[#This Row],[Diferencia]]=0,"✔ Cuadra",IF(tblConteo[[#This Row],[Diferencia]]&gt;0,"▲ Sobrante","▼ Faltante")))</f>
        <v/>
      </c>
      <c r="M25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5" spans="2:13" x14ac:dyDescent="0.25">
      <c r="B255" s="40" t="str">
        <f>IF('05_PRODUCTOS'!$B255="","",'05_PRODUCTOS'!$B255)</f>
        <v/>
      </c>
      <c r="C255" s="43" t="str">
        <f>IF($B255="","",'05_PRODUCTOS'!$C255)</f>
        <v/>
      </c>
      <c r="D255" s="43" t="str">
        <f>IF($B255="","",'05_PRODUCTOS'!$D255)</f>
        <v/>
      </c>
      <c r="E255" s="40" t="str">
        <f>IF($B255="","",'05_PRODUCTOS'!$J255&amp;"")</f>
        <v/>
      </c>
      <c r="F255" s="40" t="str">
        <f>IF($B255="","",'05_PRODUCTOS'!$E255)</f>
        <v/>
      </c>
      <c r="G255" s="40" t="str">
        <f>IF($B255="","",IF('05_PRODUCTOS'!$K255="NO","NO","SI"))</f>
        <v/>
      </c>
      <c r="H255" s="49" t="str">
        <f>IF($B255="","",N('15_STOCK'!$J255))</f>
        <v/>
      </c>
      <c r="I255" s="39"/>
      <c r="J255" s="48" t="str">
        <f>IF(OR(tblConteo[[#This Row],[SKU]]="",tblConteo[[#This Row],[Conteo]]=""),"",tblConteo[[#This Row],[Conteo]]-tblConteo[[#This Row],[StockSistema]])</f>
        <v/>
      </c>
      <c r="K255" s="52" t="str">
        <f>IF($J255="","",$J255*N('15_STOCK'!$O255))</f>
        <v/>
      </c>
      <c r="L255" s="41" t="str">
        <f>IF(tblConteo[[#This Row],[Diferencia]]="","",IF(tblConteo[[#This Row],[Diferencia]]=0,"✔ Cuadra",IF(tblConteo[[#This Row],[Diferencia]]&gt;0,"▲ Sobrante","▼ Faltante")))</f>
        <v/>
      </c>
      <c r="M25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6" spans="2:13" x14ac:dyDescent="0.25">
      <c r="B256" s="40" t="str">
        <f>IF('05_PRODUCTOS'!$B256="","",'05_PRODUCTOS'!$B256)</f>
        <v/>
      </c>
      <c r="C256" s="43" t="str">
        <f>IF($B256="","",'05_PRODUCTOS'!$C256)</f>
        <v/>
      </c>
      <c r="D256" s="43" t="str">
        <f>IF($B256="","",'05_PRODUCTOS'!$D256)</f>
        <v/>
      </c>
      <c r="E256" s="40" t="str">
        <f>IF($B256="","",'05_PRODUCTOS'!$J256&amp;"")</f>
        <v/>
      </c>
      <c r="F256" s="40" t="str">
        <f>IF($B256="","",'05_PRODUCTOS'!$E256)</f>
        <v/>
      </c>
      <c r="G256" s="40" t="str">
        <f>IF($B256="","",IF('05_PRODUCTOS'!$K256="NO","NO","SI"))</f>
        <v/>
      </c>
      <c r="H256" s="49" t="str">
        <f>IF($B256="","",N('15_STOCK'!$J256))</f>
        <v/>
      </c>
      <c r="I256" s="39"/>
      <c r="J256" s="48" t="str">
        <f>IF(OR(tblConteo[[#This Row],[SKU]]="",tblConteo[[#This Row],[Conteo]]=""),"",tblConteo[[#This Row],[Conteo]]-tblConteo[[#This Row],[StockSistema]])</f>
        <v/>
      </c>
      <c r="K256" s="52" t="str">
        <f>IF($J256="","",$J256*N('15_STOCK'!$O256))</f>
        <v/>
      </c>
      <c r="L256" s="41" t="str">
        <f>IF(tblConteo[[#This Row],[Diferencia]]="","",IF(tblConteo[[#This Row],[Diferencia]]=0,"✔ Cuadra",IF(tblConteo[[#This Row],[Diferencia]]&gt;0,"▲ Sobrante","▼ Faltante")))</f>
        <v/>
      </c>
      <c r="M25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7" spans="2:13" x14ac:dyDescent="0.25">
      <c r="B257" s="40" t="str">
        <f>IF('05_PRODUCTOS'!$B257="","",'05_PRODUCTOS'!$B257)</f>
        <v/>
      </c>
      <c r="C257" s="43" t="str">
        <f>IF($B257="","",'05_PRODUCTOS'!$C257)</f>
        <v/>
      </c>
      <c r="D257" s="43" t="str">
        <f>IF($B257="","",'05_PRODUCTOS'!$D257)</f>
        <v/>
      </c>
      <c r="E257" s="40" t="str">
        <f>IF($B257="","",'05_PRODUCTOS'!$J257&amp;"")</f>
        <v/>
      </c>
      <c r="F257" s="40" t="str">
        <f>IF($B257="","",'05_PRODUCTOS'!$E257)</f>
        <v/>
      </c>
      <c r="G257" s="40" t="str">
        <f>IF($B257="","",IF('05_PRODUCTOS'!$K257="NO","NO","SI"))</f>
        <v/>
      </c>
      <c r="H257" s="49" t="str">
        <f>IF($B257="","",N('15_STOCK'!$J257))</f>
        <v/>
      </c>
      <c r="I257" s="39"/>
      <c r="J257" s="48" t="str">
        <f>IF(OR(tblConteo[[#This Row],[SKU]]="",tblConteo[[#This Row],[Conteo]]=""),"",tblConteo[[#This Row],[Conteo]]-tblConteo[[#This Row],[StockSistema]])</f>
        <v/>
      </c>
      <c r="K257" s="52" t="str">
        <f>IF($J257="","",$J257*N('15_STOCK'!$O257))</f>
        <v/>
      </c>
      <c r="L257" s="41" t="str">
        <f>IF(tblConteo[[#This Row],[Diferencia]]="","",IF(tblConteo[[#This Row],[Diferencia]]=0,"✔ Cuadra",IF(tblConteo[[#This Row],[Diferencia]]&gt;0,"▲ Sobrante","▼ Faltante")))</f>
        <v/>
      </c>
      <c r="M25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8" spans="2:13" x14ac:dyDescent="0.25">
      <c r="B258" s="40" t="str">
        <f>IF('05_PRODUCTOS'!$B258="","",'05_PRODUCTOS'!$B258)</f>
        <v/>
      </c>
      <c r="C258" s="43" t="str">
        <f>IF($B258="","",'05_PRODUCTOS'!$C258)</f>
        <v/>
      </c>
      <c r="D258" s="43" t="str">
        <f>IF($B258="","",'05_PRODUCTOS'!$D258)</f>
        <v/>
      </c>
      <c r="E258" s="40" t="str">
        <f>IF($B258="","",'05_PRODUCTOS'!$J258&amp;"")</f>
        <v/>
      </c>
      <c r="F258" s="40" t="str">
        <f>IF($B258="","",'05_PRODUCTOS'!$E258)</f>
        <v/>
      </c>
      <c r="G258" s="40" t="str">
        <f>IF($B258="","",IF('05_PRODUCTOS'!$K258="NO","NO","SI"))</f>
        <v/>
      </c>
      <c r="H258" s="49" t="str">
        <f>IF($B258="","",N('15_STOCK'!$J258))</f>
        <v/>
      </c>
      <c r="I258" s="39"/>
      <c r="J258" s="48" t="str">
        <f>IF(OR(tblConteo[[#This Row],[SKU]]="",tblConteo[[#This Row],[Conteo]]=""),"",tblConteo[[#This Row],[Conteo]]-tblConteo[[#This Row],[StockSistema]])</f>
        <v/>
      </c>
      <c r="K258" s="52" t="str">
        <f>IF($J258="","",$J258*N('15_STOCK'!$O258))</f>
        <v/>
      </c>
      <c r="L258" s="41" t="str">
        <f>IF(tblConteo[[#This Row],[Diferencia]]="","",IF(tblConteo[[#This Row],[Diferencia]]=0,"✔ Cuadra",IF(tblConteo[[#This Row],[Diferencia]]&gt;0,"▲ Sobrante","▼ Faltante")))</f>
        <v/>
      </c>
      <c r="M25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59" spans="2:13" x14ac:dyDescent="0.25">
      <c r="B259" s="40" t="str">
        <f>IF('05_PRODUCTOS'!$B259="","",'05_PRODUCTOS'!$B259)</f>
        <v/>
      </c>
      <c r="C259" s="43" t="str">
        <f>IF($B259="","",'05_PRODUCTOS'!$C259)</f>
        <v/>
      </c>
      <c r="D259" s="43" t="str">
        <f>IF($B259="","",'05_PRODUCTOS'!$D259)</f>
        <v/>
      </c>
      <c r="E259" s="40" t="str">
        <f>IF($B259="","",'05_PRODUCTOS'!$J259&amp;"")</f>
        <v/>
      </c>
      <c r="F259" s="40" t="str">
        <f>IF($B259="","",'05_PRODUCTOS'!$E259)</f>
        <v/>
      </c>
      <c r="G259" s="40" t="str">
        <f>IF($B259="","",IF('05_PRODUCTOS'!$K259="NO","NO","SI"))</f>
        <v/>
      </c>
      <c r="H259" s="49" t="str">
        <f>IF($B259="","",N('15_STOCK'!$J259))</f>
        <v/>
      </c>
      <c r="I259" s="39"/>
      <c r="J259" s="48" t="str">
        <f>IF(OR(tblConteo[[#This Row],[SKU]]="",tblConteo[[#This Row],[Conteo]]=""),"",tblConteo[[#This Row],[Conteo]]-tblConteo[[#This Row],[StockSistema]])</f>
        <v/>
      </c>
      <c r="K259" s="52" t="str">
        <f>IF($J259="","",$J259*N('15_STOCK'!$O259))</f>
        <v/>
      </c>
      <c r="L259" s="41" t="str">
        <f>IF(tblConteo[[#This Row],[Diferencia]]="","",IF(tblConteo[[#This Row],[Diferencia]]=0,"✔ Cuadra",IF(tblConteo[[#This Row],[Diferencia]]&gt;0,"▲ Sobrante","▼ Faltante")))</f>
        <v/>
      </c>
      <c r="M25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0" spans="2:13" x14ac:dyDescent="0.25">
      <c r="B260" s="40" t="str">
        <f>IF('05_PRODUCTOS'!$B260="","",'05_PRODUCTOS'!$B260)</f>
        <v/>
      </c>
      <c r="C260" s="43" t="str">
        <f>IF($B260="","",'05_PRODUCTOS'!$C260)</f>
        <v/>
      </c>
      <c r="D260" s="43" t="str">
        <f>IF($B260="","",'05_PRODUCTOS'!$D260)</f>
        <v/>
      </c>
      <c r="E260" s="40" t="str">
        <f>IF($B260="","",'05_PRODUCTOS'!$J260&amp;"")</f>
        <v/>
      </c>
      <c r="F260" s="40" t="str">
        <f>IF($B260="","",'05_PRODUCTOS'!$E260)</f>
        <v/>
      </c>
      <c r="G260" s="40" t="str">
        <f>IF($B260="","",IF('05_PRODUCTOS'!$K260="NO","NO","SI"))</f>
        <v/>
      </c>
      <c r="H260" s="49" t="str">
        <f>IF($B260="","",N('15_STOCK'!$J260))</f>
        <v/>
      </c>
      <c r="I260" s="39"/>
      <c r="J260" s="48" t="str">
        <f>IF(OR(tblConteo[[#This Row],[SKU]]="",tblConteo[[#This Row],[Conteo]]=""),"",tblConteo[[#This Row],[Conteo]]-tblConteo[[#This Row],[StockSistema]])</f>
        <v/>
      </c>
      <c r="K260" s="52" t="str">
        <f>IF($J260="","",$J260*N('15_STOCK'!$O260))</f>
        <v/>
      </c>
      <c r="L260" s="41" t="str">
        <f>IF(tblConteo[[#This Row],[Diferencia]]="","",IF(tblConteo[[#This Row],[Diferencia]]=0,"✔ Cuadra",IF(tblConteo[[#This Row],[Diferencia]]&gt;0,"▲ Sobrante","▼ Faltante")))</f>
        <v/>
      </c>
      <c r="M26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1" spans="2:13" x14ac:dyDescent="0.25">
      <c r="B261" s="40" t="str">
        <f>IF('05_PRODUCTOS'!$B261="","",'05_PRODUCTOS'!$B261)</f>
        <v/>
      </c>
      <c r="C261" s="43" t="str">
        <f>IF($B261="","",'05_PRODUCTOS'!$C261)</f>
        <v/>
      </c>
      <c r="D261" s="43" t="str">
        <f>IF($B261="","",'05_PRODUCTOS'!$D261)</f>
        <v/>
      </c>
      <c r="E261" s="40" t="str">
        <f>IF($B261="","",'05_PRODUCTOS'!$J261&amp;"")</f>
        <v/>
      </c>
      <c r="F261" s="40" t="str">
        <f>IF($B261="","",'05_PRODUCTOS'!$E261)</f>
        <v/>
      </c>
      <c r="G261" s="40" t="str">
        <f>IF($B261="","",IF('05_PRODUCTOS'!$K261="NO","NO","SI"))</f>
        <v/>
      </c>
      <c r="H261" s="49" t="str">
        <f>IF($B261="","",N('15_STOCK'!$J261))</f>
        <v/>
      </c>
      <c r="I261" s="39"/>
      <c r="J261" s="48" t="str">
        <f>IF(OR(tblConteo[[#This Row],[SKU]]="",tblConteo[[#This Row],[Conteo]]=""),"",tblConteo[[#This Row],[Conteo]]-tblConteo[[#This Row],[StockSistema]])</f>
        <v/>
      </c>
      <c r="K261" s="52" t="str">
        <f>IF($J261="","",$J261*N('15_STOCK'!$O261))</f>
        <v/>
      </c>
      <c r="L261" s="41" t="str">
        <f>IF(tblConteo[[#This Row],[Diferencia]]="","",IF(tblConteo[[#This Row],[Diferencia]]=0,"✔ Cuadra",IF(tblConteo[[#This Row],[Diferencia]]&gt;0,"▲ Sobrante","▼ Faltante")))</f>
        <v/>
      </c>
      <c r="M26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2" spans="2:13" x14ac:dyDescent="0.25">
      <c r="B262" s="40" t="str">
        <f>IF('05_PRODUCTOS'!$B262="","",'05_PRODUCTOS'!$B262)</f>
        <v/>
      </c>
      <c r="C262" s="43" t="str">
        <f>IF($B262="","",'05_PRODUCTOS'!$C262)</f>
        <v/>
      </c>
      <c r="D262" s="43" t="str">
        <f>IF($B262="","",'05_PRODUCTOS'!$D262)</f>
        <v/>
      </c>
      <c r="E262" s="40" t="str">
        <f>IF($B262="","",'05_PRODUCTOS'!$J262&amp;"")</f>
        <v/>
      </c>
      <c r="F262" s="40" t="str">
        <f>IF($B262="","",'05_PRODUCTOS'!$E262)</f>
        <v/>
      </c>
      <c r="G262" s="40" t="str">
        <f>IF($B262="","",IF('05_PRODUCTOS'!$K262="NO","NO","SI"))</f>
        <v/>
      </c>
      <c r="H262" s="49" t="str">
        <f>IF($B262="","",N('15_STOCK'!$J262))</f>
        <v/>
      </c>
      <c r="I262" s="39"/>
      <c r="J262" s="48" t="str">
        <f>IF(OR(tblConteo[[#This Row],[SKU]]="",tblConteo[[#This Row],[Conteo]]=""),"",tblConteo[[#This Row],[Conteo]]-tblConteo[[#This Row],[StockSistema]])</f>
        <v/>
      </c>
      <c r="K262" s="52" t="str">
        <f>IF($J262="","",$J262*N('15_STOCK'!$O262))</f>
        <v/>
      </c>
      <c r="L262" s="41" t="str">
        <f>IF(tblConteo[[#This Row],[Diferencia]]="","",IF(tblConteo[[#This Row],[Diferencia]]=0,"✔ Cuadra",IF(tblConteo[[#This Row],[Diferencia]]&gt;0,"▲ Sobrante","▼ Faltante")))</f>
        <v/>
      </c>
      <c r="M26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3" spans="2:13" x14ac:dyDescent="0.25">
      <c r="B263" s="40" t="str">
        <f>IF('05_PRODUCTOS'!$B263="","",'05_PRODUCTOS'!$B263)</f>
        <v/>
      </c>
      <c r="C263" s="43" t="str">
        <f>IF($B263="","",'05_PRODUCTOS'!$C263)</f>
        <v/>
      </c>
      <c r="D263" s="43" t="str">
        <f>IF($B263="","",'05_PRODUCTOS'!$D263)</f>
        <v/>
      </c>
      <c r="E263" s="40" t="str">
        <f>IF($B263="","",'05_PRODUCTOS'!$J263&amp;"")</f>
        <v/>
      </c>
      <c r="F263" s="40" t="str">
        <f>IF($B263="","",'05_PRODUCTOS'!$E263)</f>
        <v/>
      </c>
      <c r="G263" s="40" t="str">
        <f>IF($B263="","",IF('05_PRODUCTOS'!$K263="NO","NO","SI"))</f>
        <v/>
      </c>
      <c r="H263" s="49" t="str">
        <f>IF($B263="","",N('15_STOCK'!$J263))</f>
        <v/>
      </c>
      <c r="I263" s="39"/>
      <c r="J263" s="48" t="str">
        <f>IF(OR(tblConteo[[#This Row],[SKU]]="",tblConteo[[#This Row],[Conteo]]=""),"",tblConteo[[#This Row],[Conteo]]-tblConteo[[#This Row],[StockSistema]])</f>
        <v/>
      </c>
      <c r="K263" s="52" t="str">
        <f>IF($J263="","",$J263*N('15_STOCK'!$O263))</f>
        <v/>
      </c>
      <c r="L263" s="41" t="str">
        <f>IF(tblConteo[[#This Row],[Diferencia]]="","",IF(tblConteo[[#This Row],[Diferencia]]=0,"✔ Cuadra",IF(tblConteo[[#This Row],[Diferencia]]&gt;0,"▲ Sobrante","▼ Faltante")))</f>
        <v/>
      </c>
      <c r="M26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4" spans="2:13" x14ac:dyDescent="0.25">
      <c r="B264" s="40" t="str">
        <f>IF('05_PRODUCTOS'!$B264="","",'05_PRODUCTOS'!$B264)</f>
        <v/>
      </c>
      <c r="C264" s="43" t="str">
        <f>IF($B264="","",'05_PRODUCTOS'!$C264)</f>
        <v/>
      </c>
      <c r="D264" s="43" t="str">
        <f>IF($B264="","",'05_PRODUCTOS'!$D264)</f>
        <v/>
      </c>
      <c r="E264" s="40" t="str">
        <f>IF($B264="","",'05_PRODUCTOS'!$J264&amp;"")</f>
        <v/>
      </c>
      <c r="F264" s="40" t="str">
        <f>IF($B264="","",'05_PRODUCTOS'!$E264)</f>
        <v/>
      </c>
      <c r="G264" s="40" t="str">
        <f>IF($B264="","",IF('05_PRODUCTOS'!$K264="NO","NO","SI"))</f>
        <v/>
      </c>
      <c r="H264" s="49" t="str">
        <f>IF($B264="","",N('15_STOCK'!$J264))</f>
        <v/>
      </c>
      <c r="I264" s="39"/>
      <c r="J264" s="48" t="str">
        <f>IF(OR(tblConteo[[#This Row],[SKU]]="",tblConteo[[#This Row],[Conteo]]=""),"",tblConteo[[#This Row],[Conteo]]-tblConteo[[#This Row],[StockSistema]])</f>
        <v/>
      </c>
      <c r="K264" s="52" t="str">
        <f>IF($J264="","",$J264*N('15_STOCK'!$O264))</f>
        <v/>
      </c>
      <c r="L264" s="41" t="str">
        <f>IF(tblConteo[[#This Row],[Diferencia]]="","",IF(tblConteo[[#This Row],[Diferencia]]=0,"✔ Cuadra",IF(tblConteo[[#This Row],[Diferencia]]&gt;0,"▲ Sobrante","▼ Faltante")))</f>
        <v/>
      </c>
      <c r="M26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5" spans="2:13" x14ac:dyDescent="0.25">
      <c r="B265" s="40" t="str">
        <f>IF('05_PRODUCTOS'!$B265="","",'05_PRODUCTOS'!$B265)</f>
        <v/>
      </c>
      <c r="C265" s="43" t="str">
        <f>IF($B265="","",'05_PRODUCTOS'!$C265)</f>
        <v/>
      </c>
      <c r="D265" s="43" t="str">
        <f>IF($B265="","",'05_PRODUCTOS'!$D265)</f>
        <v/>
      </c>
      <c r="E265" s="40" t="str">
        <f>IF($B265="","",'05_PRODUCTOS'!$J265&amp;"")</f>
        <v/>
      </c>
      <c r="F265" s="40" t="str">
        <f>IF($B265="","",'05_PRODUCTOS'!$E265)</f>
        <v/>
      </c>
      <c r="G265" s="40" t="str">
        <f>IF($B265="","",IF('05_PRODUCTOS'!$K265="NO","NO","SI"))</f>
        <v/>
      </c>
      <c r="H265" s="49" t="str">
        <f>IF($B265="","",N('15_STOCK'!$J265))</f>
        <v/>
      </c>
      <c r="I265" s="39"/>
      <c r="J265" s="48" t="str">
        <f>IF(OR(tblConteo[[#This Row],[SKU]]="",tblConteo[[#This Row],[Conteo]]=""),"",tblConteo[[#This Row],[Conteo]]-tblConteo[[#This Row],[StockSistema]])</f>
        <v/>
      </c>
      <c r="K265" s="52" t="str">
        <f>IF($J265="","",$J265*N('15_STOCK'!$O265))</f>
        <v/>
      </c>
      <c r="L265" s="41" t="str">
        <f>IF(tblConteo[[#This Row],[Diferencia]]="","",IF(tblConteo[[#This Row],[Diferencia]]=0,"✔ Cuadra",IF(tblConteo[[#This Row],[Diferencia]]&gt;0,"▲ Sobrante","▼ Faltante")))</f>
        <v/>
      </c>
      <c r="M26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6" spans="2:13" x14ac:dyDescent="0.25">
      <c r="B266" s="40" t="str">
        <f>IF('05_PRODUCTOS'!$B266="","",'05_PRODUCTOS'!$B266)</f>
        <v/>
      </c>
      <c r="C266" s="43" t="str">
        <f>IF($B266="","",'05_PRODUCTOS'!$C266)</f>
        <v/>
      </c>
      <c r="D266" s="43" t="str">
        <f>IF($B266="","",'05_PRODUCTOS'!$D266)</f>
        <v/>
      </c>
      <c r="E266" s="40" t="str">
        <f>IF($B266="","",'05_PRODUCTOS'!$J266&amp;"")</f>
        <v/>
      </c>
      <c r="F266" s="40" t="str">
        <f>IF($B266="","",'05_PRODUCTOS'!$E266)</f>
        <v/>
      </c>
      <c r="G266" s="40" t="str">
        <f>IF($B266="","",IF('05_PRODUCTOS'!$K266="NO","NO","SI"))</f>
        <v/>
      </c>
      <c r="H266" s="49" t="str">
        <f>IF($B266="","",N('15_STOCK'!$J266))</f>
        <v/>
      </c>
      <c r="I266" s="39"/>
      <c r="J266" s="48" t="str">
        <f>IF(OR(tblConteo[[#This Row],[SKU]]="",tblConteo[[#This Row],[Conteo]]=""),"",tblConteo[[#This Row],[Conteo]]-tblConteo[[#This Row],[StockSistema]])</f>
        <v/>
      </c>
      <c r="K266" s="52" t="str">
        <f>IF($J266="","",$J266*N('15_STOCK'!$O266))</f>
        <v/>
      </c>
      <c r="L266" s="41" t="str">
        <f>IF(tblConteo[[#This Row],[Diferencia]]="","",IF(tblConteo[[#This Row],[Diferencia]]=0,"✔ Cuadra",IF(tblConteo[[#This Row],[Diferencia]]&gt;0,"▲ Sobrante","▼ Faltante")))</f>
        <v/>
      </c>
      <c r="M26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7" spans="2:13" x14ac:dyDescent="0.25">
      <c r="B267" s="40" t="str">
        <f>IF('05_PRODUCTOS'!$B267="","",'05_PRODUCTOS'!$B267)</f>
        <v/>
      </c>
      <c r="C267" s="43" t="str">
        <f>IF($B267="","",'05_PRODUCTOS'!$C267)</f>
        <v/>
      </c>
      <c r="D267" s="43" t="str">
        <f>IF($B267="","",'05_PRODUCTOS'!$D267)</f>
        <v/>
      </c>
      <c r="E267" s="40" t="str">
        <f>IF($B267="","",'05_PRODUCTOS'!$J267&amp;"")</f>
        <v/>
      </c>
      <c r="F267" s="40" t="str">
        <f>IF($B267="","",'05_PRODUCTOS'!$E267)</f>
        <v/>
      </c>
      <c r="G267" s="40" t="str">
        <f>IF($B267="","",IF('05_PRODUCTOS'!$K267="NO","NO","SI"))</f>
        <v/>
      </c>
      <c r="H267" s="49" t="str">
        <f>IF($B267="","",N('15_STOCK'!$J267))</f>
        <v/>
      </c>
      <c r="I267" s="39"/>
      <c r="J267" s="48" t="str">
        <f>IF(OR(tblConteo[[#This Row],[SKU]]="",tblConteo[[#This Row],[Conteo]]=""),"",tblConteo[[#This Row],[Conteo]]-tblConteo[[#This Row],[StockSistema]])</f>
        <v/>
      </c>
      <c r="K267" s="52" t="str">
        <f>IF($J267="","",$J267*N('15_STOCK'!$O267))</f>
        <v/>
      </c>
      <c r="L267" s="41" t="str">
        <f>IF(tblConteo[[#This Row],[Diferencia]]="","",IF(tblConteo[[#This Row],[Diferencia]]=0,"✔ Cuadra",IF(tblConteo[[#This Row],[Diferencia]]&gt;0,"▲ Sobrante","▼ Faltante")))</f>
        <v/>
      </c>
      <c r="M26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8" spans="2:13" x14ac:dyDescent="0.25">
      <c r="B268" s="40" t="str">
        <f>IF('05_PRODUCTOS'!$B268="","",'05_PRODUCTOS'!$B268)</f>
        <v/>
      </c>
      <c r="C268" s="43" t="str">
        <f>IF($B268="","",'05_PRODUCTOS'!$C268)</f>
        <v/>
      </c>
      <c r="D268" s="43" t="str">
        <f>IF($B268="","",'05_PRODUCTOS'!$D268)</f>
        <v/>
      </c>
      <c r="E268" s="40" t="str">
        <f>IF($B268="","",'05_PRODUCTOS'!$J268&amp;"")</f>
        <v/>
      </c>
      <c r="F268" s="40" t="str">
        <f>IF($B268="","",'05_PRODUCTOS'!$E268)</f>
        <v/>
      </c>
      <c r="G268" s="40" t="str">
        <f>IF($B268="","",IF('05_PRODUCTOS'!$K268="NO","NO","SI"))</f>
        <v/>
      </c>
      <c r="H268" s="49" t="str">
        <f>IF($B268="","",N('15_STOCK'!$J268))</f>
        <v/>
      </c>
      <c r="I268" s="39"/>
      <c r="J268" s="48" t="str">
        <f>IF(OR(tblConteo[[#This Row],[SKU]]="",tblConteo[[#This Row],[Conteo]]=""),"",tblConteo[[#This Row],[Conteo]]-tblConteo[[#This Row],[StockSistema]])</f>
        <v/>
      </c>
      <c r="K268" s="52" t="str">
        <f>IF($J268="","",$J268*N('15_STOCK'!$O268))</f>
        <v/>
      </c>
      <c r="L268" s="41" t="str">
        <f>IF(tblConteo[[#This Row],[Diferencia]]="","",IF(tblConteo[[#This Row],[Diferencia]]=0,"✔ Cuadra",IF(tblConteo[[#This Row],[Diferencia]]&gt;0,"▲ Sobrante","▼ Faltante")))</f>
        <v/>
      </c>
      <c r="M26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69" spans="2:13" x14ac:dyDescent="0.25">
      <c r="B269" s="40" t="str">
        <f>IF('05_PRODUCTOS'!$B269="","",'05_PRODUCTOS'!$B269)</f>
        <v/>
      </c>
      <c r="C269" s="43" t="str">
        <f>IF($B269="","",'05_PRODUCTOS'!$C269)</f>
        <v/>
      </c>
      <c r="D269" s="43" t="str">
        <f>IF($B269="","",'05_PRODUCTOS'!$D269)</f>
        <v/>
      </c>
      <c r="E269" s="40" t="str">
        <f>IF($B269="","",'05_PRODUCTOS'!$J269&amp;"")</f>
        <v/>
      </c>
      <c r="F269" s="40" t="str">
        <f>IF($B269="","",'05_PRODUCTOS'!$E269)</f>
        <v/>
      </c>
      <c r="G269" s="40" t="str">
        <f>IF($B269="","",IF('05_PRODUCTOS'!$K269="NO","NO","SI"))</f>
        <v/>
      </c>
      <c r="H269" s="49" t="str">
        <f>IF($B269="","",N('15_STOCK'!$J269))</f>
        <v/>
      </c>
      <c r="I269" s="39"/>
      <c r="J269" s="48" t="str">
        <f>IF(OR(tblConteo[[#This Row],[SKU]]="",tblConteo[[#This Row],[Conteo]]=""),"",tblConteo[[#This Row],[Conteo]]-tblConteo[[#This Row],[StockSistema]])</f>
        <v/>
      </c>
      <c r="K269" s="52" t="str">
        <f>IF($J269="","",$J269*N('15_STOCK'!$O269))</f>
        <v/>
      </c>
      <c r="L269" s="41" t="str">
        <f>IF(tblConteo[[#This Row],[Diferencia]]="","",IF(tblConteo[[#This Row],[Diferencia]]=0,"✔ Cuadra",IF(tblConteo[[#This Row],[Diferencia]]&gt;0,"▲ Sobrante","▼ Faltante")))</f>
        <v/>
      </c>
      <c r="M26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0" spans="2:13" x14ac:dyDescent="0.25">
      <c r="B270" s="40" t="str">
        <f>IF('05_PRODUCTOS'!$B270="","",'05_PRODUCTOS'!$B270)</f>
        <v/>
      </c>
      <c r="C270" s="43" t="str">
        <f>IF($B270="","",'05_PRODUCTOS'!$C270)</f>
        <v/>
      </c>
      <c r="D270" s="43" t="str">
        <f>IF($B270="","",'05_PRODUCTOS'!$D270)</f>
        <v/>
      </c>
      <c r="E270" s="40" t="str">
        <f>IF($B270="","",'05_PRODUCTOS'!$J270&amp;"")</f>
        <v/>
      </c>
      <c r="F270" s="40" t="str">
        <f>IF($B270="","",'05_PRODUCTOS'!$E270)</f>
        <v/>
      </c>
      <c r="G270" s="40" t="str">
        <f>IF($B270="","",IF('05_PRODUCTOS'!$K270="NO","NO","SI"))</f>
        <v/>
      </c>
      <c r="H270" s="49" t="str">
        <f>IF($B270="","",N('15_STOCK'!$J270))</f>
        <v/>
      </c>
      <c r="I270" s="39"/>
      <c r="J270" s="48" t="str">
        <f>IF(OR(tblConteo[[#This Row],[SKU]]="",tblConteo[[#This Row],[Conteo]]=""),"",tblConteo[[#This Row],[Conteo]]-tblConteo[[#This Row],[StockSistema]])</f>
        <v/>
      </c>
      <c r="K270" s="52" t="str">
        <f>IF($J270="","",$J270*N('15_STOCK'!$O270))</f>
        <v/>
      </c>
      <c r="L270" s="41" t="str">
        <f>IF(tblConteo[[#This Row],[Diferencia]]="","",IF(tblConteo[[#This Row],[Diferencia]]=0,"✔ Cuadra",IF(tblConteo[[#This Row],[Diferencia]]&gt;0,"▲ Sobrante","▼ Faltante")))</f>
        <v/>
      </c>
      <c r="M27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1" spans="2:13" x14ac:dyDescent="0.25">
      <c r="B271" s="40" t="str">
        <f>IF('05_PRODUCTOS'!$B271="","",'05_PRODUCTOS'!$B271)</f>
        <v/>
      </c>
      <c r="C271" s="43" t="str">
        <f>IF($B271="","",'05_PRODUCTOS'!$C271)</f>
        <v/>
      </c>
      <c r="D271" s="43" t="str">
        <f>IF($B271="","",'05_PRODUCTOS'!$D271)</f>
        <v/>
      </c>
      <c r="E271" s="40" t="str">
        <f>IF($B271="","",'05_PRODUCTOS'!$J271&amp;"")</f>
        <v/>
      </c>
      <c r="F271" s="40" t="str">
        <f>IF($B271="","",'05_PRODUCTOS'!$E271)</f>
        <v/>
      </c>
      <c r="G271" s="40" t="str">
        <f>IF($B271="","",IF('05_PRODUCTOS'!$K271="NO","NO","SI"))</f>
        <v/>
      </c>
      <c r="H271" s="49" t="str">
        <f>IF($B271="","",N('15_STOCK'!$J271))</f>
        <v/>
      </c>
      <c r="I271" s="39"/>
      <c r="J271" s="48" t="str">
        <f>IF(OR(tblConteo[[#This Row],[SKU]]="",tblConteo[[#This Row],[Conteo]]=""),"",tblConteo[[#This Row],[Conteo]]-tblConteo[[#This Row],[StockSistema]])</f>
        <v/>
      </c>
      <c r="K271" s="52" t="str">
        <f>IF($J271="","",$J271*N('15_STOCK'!$O271))</f>
        <v/>
      </c>
      <c r="L271" s="41" t="str">
        <f>IF(tblConteo[[#This Row],[Diferencia]]="","",IF(tblConteo[[#This Row],[Diferencia]]=0,"✔ Cuadra",IF(tblConteo[[#This Row],[Diferencia]]&gt;0,"▲ Sobrante","▼ Faltante")))</f>
        <v/>
      </c>
      <c r="M27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2" spans="2:13" x14ac:dyDescent="0.25">
      <c r="B272" s="40" t="str">
        <f>IF('05_PRODUCTOS'!$B272="","",'05_PRODUCTOS'!$B272)</f>
        <v/>
      </c>
      <c r="C272" s="43" t="str">
        <f>IF($B272="","",'05_PRODUCTOS'!$C272)</f>
        <v/>
      </c>
      <c r="D272" s="43" t="str">
        <f>IF($B272="","",'05_PRODUCTOS'!$D272)</f>
        <v/>
      </c>
      <c r="E272" s="40" t="str">
        <f>IF($B272="","",'05_PRODUCTOS'!$J272&amp;"")</f>
        <v/>
      </c>
      <c r="F272" s="40" t="str">
        <f>IF($B272="","",'05_PRODUCTOS'!$E272)</f>
        <v/>
      </c>
      <c r="G272" s="40" t="str">
        <f>IF($B272="","",IF('05_PRODUCTOS'!$K272="NO","NO","SI"))</f>
        <v/>
      </c>
      <c r="H272" s="49" t="str">
        <f>IF($B272="","",N('15_STOCK'!$J272))</f>
        <v/>
      </c>
      <c r="I272" s="39"/>
      <c r="J272" s="48" t="str">
        <f>IF(OR(tblConteo[[#This Row],[SKU]]="",tblConteo[[#This Row],[Conteo]]=""),"",tblConteo[[#This Row],[Conteo]]-tblConteo[[#This Row],[StockSistema]])</f>
        <v/>
      </c>
      <c r="K272" s="52" t="str">
        <f>IF($J272="","",$J272*N('15_STOCK'!$O272))</f>
        <v/>
      </c>
      <c r="L272" s="41" t="str">
        <f>IF(tblConteo[[#This Row],[Diferencia]]="","",IF(tblConteo[[#This Row],[Diferencia]]=0,"✔ Cuadra",IF(tblConteo[[#This Row],[Diferencia]]&gt;0,"▲ Sobrante","▼ Faltante")))</f>
        <v/>
      </c>
      <c r="M27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3" spans="2:13" x14ac:dyDescent="0.25">
      <c r="B273" s="40" t="str">
        <f>IF('05_PRODUCTOS'!$B273="","",'05_PRODUCTOS'!$B273)</f>
        <v/>
      </c>
      <c r="C273" s="43" t="str">
        <f>IF($B273="","",'05_PRODUCTOS'!$C273)</f>
        <v/>
      </c>
      <c r="D273" s="43" t="str">
        <f>IF($B273="","",'05_PRODUCTOS'!$D273)</f>
        <v/>
      </c>
      <c r="E273" s="40" t="str">
        <f>IF($B273="","",'05_PRODUCTOS'!$J273&amp;"")</f>
        <v/>
      </c>
      <c r="F273" s="40" t="str">
        <f>IF($B273="","",'05_PRODUCTOS'!$E273)</f>
        <v/>
      </c>
      <c r="G273" s="40" t="str">
        <f>IF($B273="","",IF('05_PRODUCTOS'!$K273="NO","NO","SI"))</f>
        <v/>
      </c>
      <c r="H273" s="49" t="str">
        <f>IF($B273="","",N('15_STOCK'!$J273))</f>
        <v/>
      </c>
      <c r="I273" s="39"/>
      <c r="J273" s="48" t="str">
        <f>IF(OR(tblConteo[[#This Row],[SKU]]="",tblConteo[[#This Row],[Conteo]]=""),"",tblConteo[[#This Row],[Conteo]]-tblConteo[[#This Row],[StockSistema]])</f>
        <v/>
      </c>
      <c r="K273" s="52" t="str">
        <f>IF($J273="","",$J273*N('15_STOCK'!$O273))</f>
        <v/>
      </c>
      <c r="L273" s="41" t="str">
        <f>IF(tblConteo[[#This Row],[Diferencia]]="","",IF(tblConteo[[#This Row],[Diferencia]]=0,"✔ Cuadra",IF(tblConteo[[#This Row],[Diferencia]]&gt;0,"▲ Sobrante","▼ Faltante")))</f>
        <v/>
      </c>
      <c r="M27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4" spans="2:13" x14ac:dyDescent="0.25">
      <c r="B274" s="40" t="str">
        <f>IF('05_PRODUCTOS'!$B274="","",'05_PRODUCTOS'!$B274)</f>
        <v/>
      </c>
      <c r="C274" s="43" t="str">
        <f>IF($B274="","",'05_PRODUCTOS'!$C274)</f>
        <v/>
      </c>
      <c r="D274" s="43" t="str">
        <f>IF($B274="","",'05_PRODUCTOS'!$D274)</f>
        <v/>
      </c>
      <c r="E274" s="40" t="str">
        <f>IF($B274="","",'05_PRODUCTOS'!$J274&amp;"")</f>
        <v/>
      </c>
      <c r="F274" s="40" t="str">
        <f>IF($B274="","",'05_PRODUCTOS'!$E274)</f>
        <v/>
      </c>
      <c r="G274" s="40" t="str">
        <f>IF($B274="","",IF('05_PRODUCTOS'!$K274="NO","NO","SI"))</f>
        <v/>
      </c>
      <c r="H274" s="49" t="str">
        <f>IF($B274="","",N('15_STOCK'!$J274))</f>
        <v/>
      </c>
      <c r="I274" s="39"/>
      <c r="J274" s="48" t="str">
        <f>IF(OR(tblConteo[[#This Row],[SKU]]="",tblConteo[[#This Row],[Conteo]]=""),"",tblConteo[[#This Row],[Conteo]]-tblConteo[[#This Row],[StockSistema]])</f>
        <v/>
      </c>
      <c r="K274" s="52" t="str">
        <f>IF($J274="","",$J274*N('15_STOCK'!$O274))</f>
        <v/>
      </c>
      <c r="L274" s="41" t="str">
        <f>IF(tblConteo[[#This Row],[Diferencia]]="","",IF(tblConteo[[#This Row],[Diferencia]]=0,"✔ Cuadra",IF(tblConteo[[#This Row],[Diferencia]]&gt;0,"▲ Sobrante","▼ Faltante")))</f>
        <v/>
      </c>
      <c r="M27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5" spans="2:13" x14ac:dyDescent="0.25">
      <c r="B275" s="40" t="str">
        <f>IF('05_PRODUCTOS'!$B275="","",'05_PRODUCTOS'!$B275)</f>
        <v/>
      </c>
      <c r="C275" s="43" t="str">
        <f>IF($B275="","",'05_PRODUCTOS'!$C275)</f>
        <v/>
      </c>
      <c r="D275" s="43" t="str">
        <f>IF($B275="","",'05_PRODUCTOS'!$D275)</f>
        <v/>
      </c>
      <c r="E275" s="40" t="str">
        <f>IF($B275="","",'05_PRODUCTOS'!$J275&amp;"")</f>
        <v/>
      </c>
      <c r="F275" s="40" t="str">
        <f>IF($B275="","",'05_PRODUCTOS'!$E275)</f>
        <v/>
      </c>
      <c r="G275" s="40" t="str">
        <f>IF($B275="","",IF('05_PRODUCTOS'!$K275="NO","NO","SI"))</f>
        <v/>
      </c>
      <c r="H275" s="49" t="str">
        <f>IF($B275="","",N('15_STOCK'!$J275))</f>
        <v/>
      </c>
      <c r="I275" s="39"/>
      <c r="J275" s="48" t="str">
        <f>IF(OR(tblConteo[[#This Row],[SKU]]="",tblConteo[[#This Row],[Conteo]]=""),"",tblConteo[[#This Row],[Conteo]]-tblConteo[[#This Row],[StockSistema]])</f>
        <v/>
      </c>
      <c r="K275" s="52" t="str">
        <f>IF($J275="","",$J275*N('15_STOCK'!$O275))</f>
        <v/>
      </c>
      <c r="L275" s="41" t="str">
        <f>IF(tblConteo[[#This Row],[Diferencia]]="","",IF(tblConteo[[#This Row],[Diferencia]]=0,"✔ Cuadra",IF(tblConteo[[#This Row],[Diferencia]]&gt;0,"▲ Sobrante","▼ Faltante")))</f>
        <v/>
      </c>
      <c r="M27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6" spans="2:13" x14ac:dyDescent="0.25">
      <c r="B276" s="40" t="str">
        <f>IF('05_PRODUCTOS'!$B276="","",'05_PRODUCTOS'!$B276)</f>
        <v/>
      </c>
      <c r="C276" s="43" t="str">
        <f>IF($B276="","",'05_PRODUCTOS'!$C276)</f>
        <v/>
      </c>
      <c r="D276" s="43" t="str">
        <f>IF($B276="","",'05_PRODUCTOS'!$D276)</f>
        <v/>
      </c>
      <c r="E276" s="40" t="str">
        <f>IF($B276="","",'05_PRODUCTOS'!$J276&amp;"")</f>
        <v/>
      </c>
      <c r="F276" s="40" t="str">
        <f>IF($B276="","",'05_PRODUCTOS'!$E276)</f>
        <v/>
      </c>
      <c r="G276" s="40" t="str">
        <f>IF($B276="","",IF('05_PRODUCTOS'!$K276="NO","NO","SI"))</f>
        <v/>
      </c>
      <c r="H276" s="49" t="str">
        <f>IF($B276="","",N('15_STOCK'!$J276))</f>
        <v/>
      </c>
      <c r="I276" s="39"/>
      <c r="J276" s="48" t="str">
        <f>IF(OR(tblConteo[[#This Row],[SKU]]="",tblConteo[[#This Row],[Conteo]]=""),"",tblConteo[[#This Row],[Conteo]]-tblConteo[[#This Row],[StockSistema]])</f>
        <v/>
      </c>
      <c r="K276" s="52" t="str">
        <f>IF($J276="","",$J276*N('15_STOCK'!$O276))</f>
        <v/>
      </c>
      <c r="L276" s="41" t="str">
        <f>IF(tblConteo[[#This Row],[Diferencia]]="","",IF(tblConteo[[#This Row],[Diferencia]]=0,"✔ Cuadra",IF(tblConteo[[#This Row],[Diferencia]]&gt;0,"▲ Sobrante","▼ Faltante")))</f>
        <v/>
      </c>
      <c r="M27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7" spans="2:13" x14ac:dyDescent="0.25">
      <c r="B277" s="40" t="str">
        <f>IF('05_PRODUCTOS'!$B277="","",'05_PRODUCTOS'!$B277)</f>
        <v/>
      </c>
      <c r="C277" s="43" t="str">
        <f>IF($B277="","",'05_PRODUCTOS'!$C277)</f>
        <v/>
      </c>
      <c r="D277" s="43" t="str">
        <f>IF($B277="","",'05_PRODUCTOS'!$D277)</f>
        <v/>
      </c>
      <c r="E277" s="40" t="str">
        <f>IF($B277="","",'05_PRODUCTOS'!$J277&amp;"")</f>
        <v/>
      </c>
      <c r="F277" s="40" t="str">
        <f>IF($B277="","",'05_PRODUCTOS'!$E277)</f>
        <v/>
      </c>
      <c r="G277" s="40" t="str">
        <f>IF($B277="","",IF('05_PRODUCTOS'!$K277="NO","NO","SI"))</f>
        <v/>
      </c>
      <c r="H277" s="49" t="str">
        <f>IF($B277="","",N('15_STOCK'!$J277))</f>
        <v/>
      </c>
      <c r="I277" s="39"/>
      <c r="J277" s="48" t="str">
        <f>IF(OR(tblConteo[[#This Row],[SKU]]="",tblConteo[[#This Row],[Conteo]]=""),"",tblConteo[[#This Row],[Conteo]]-tblConteo[[#This Row],[StockSistema]])</f>
        <v/>
      </c>
      <c r="K277" s="52" t="str">
        <f>IF($J277="","",$J277*N('15_STOCK'!$O277))</f>
        <v/>
      </c>
      <c r="L277" s="41" t="str">
        <f>IF(tblConteo[[#This Row],[Diferencia]]="","",IF(tblConteo[[#This Row],[Diferencia]]=0,"✔ Cuadra",IF(tblConteo[[#This Row],[Diferencia]]&gt;0,"▲ Sobrante","▼ Faltante")))</f>
        <v/>
      </c>
      <c r="M27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8" spans="2:13" x14ac:dyDescent="0.25">
      <c r="B278" s="40" t="str">
        <f>IF('05_PRODUCTOS'!$B278="","",'05_PRODUCTOS'!$B278)</f>
        <v/>
      </c>
      <c r="C278" s="43" t="str">
        <f>IF($B278="","",'05_PRODUCTOS'!$C278)</f>
        <v/>
      </c>
      <c r="D278" s="43" t="str">
        <f>IF($B278="","",'05_PRODUCTOS'!$D278)</f>
        <v/>
      </c>
      <c r="E278" s="40" t="str">
        <f>IF($B278="","",'05_PRODUCTOS'!$J278&amp;"")</f>
        <v/>
      </c>
      <c r="F278" s="40" t="str">
        <f>IF($B278="","",'05_PRODUCTOS'!$E278)</f>
        <v/>
      </c>
      <c r="G278" s="40" t="str">
        <f>IF($B278="","",IF('05_PRODUCTOS'!$K278="NO","NO","SI"))</f>
        <v/>
      </c>
      <c r="H278" s="49" t="str">
        <f>IF($B278="","",N('15_STOCK'!$J278))</f>
        <v/>
      </c>
      <c r="I278" s="39"/>
      <c r="J278" s="48" t="str">
        <f>IF(OR(tblConteo[[#This Row],[SKU]]="",tblConteo[[#This Row],[Conteo]]=""),"",tblConteo[[#This Row],[Conteo]]-tblConteo[[#This Row],[StockSistema]])</f>
        <v/>
      </c>
      <c r="K278" s="52" t="str">
        <f>IF($J278="","",$J278*N('15_STOCK'!$O278))</f>
        <v/>
      </c>
      <c r="L278" s="41" t="str">
        <f>IF(tblConteo[[#This Row],[Diferencia]]="","",IF(tblConteo[[#This Row],[Diferencia]]=0,"✔ Cuadra",IF(tblConteo[[#This Row],[Diferencia]]&gt;0,"▲ Sobrante","▼ Faltante")))</f>
        <v/>
      </c>
      <c r="M27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79" spans="2:13" x14ac:dyDescent="0.25">
      <c r="B279" s="40" t="str">
        <f>IF('05_PRODUCTOS'!$B279="","",'05_PRODUCTOS'!$B279)</f>
        <v/>
      </c>
      <c r="C279" s="43" t="str">
        <f>IF($B279="","",'05_PRODUCTOS'!$C279)</f>
        <v/>
      </c>
      <c r="D279" s="43" t="str">
        <f>IF($B279="","",'05_PRODUCTOS'!$D279)</f>
        <v/>
      </c>
      <c r="E279" s="40" t="str">
        <f>IF($B279="","",'05_PRODUCTOS'!$J279&amp;"")</f>
        <v/>
      </c>
      <c r="F279" s="40" t="str">
        <f>IF($B279="","",'05_PRODUCTOS'!$E279)</f>
        <v/>
      </c>
      <c r="G279" s="40" t="str">
        <f>IF($B279="","",IF('05_PRODUCTOS'!$K279="NO","NO","SI"))</f>
        <v/>
      </c>
      <c r="H279" s="49" t="str">
        <f>IF($B279="","",N('15_STOCK'!$J279))</f>
        <v/>
      </c>
      <c r="I279" s="39"/>
      <c r="J279" s="48" t="str">
        <f>IF(OR(tblConteo[[#This Row],[SKU]]="",tblConteo[[#This Row],[Conteo]]=""),"",tblConteo[[#This Row],[Conteo]]-tblConteo[[#This Row],[StockSistema]])</f>
        <v/>
      </c>
      <c r="K279" s="52" t="str">
        <f>IF($J279="","",$J279*N('15_STOCK'!$O279))</f>
        <v/>
      </c>
      <c r="L279" s="41" t="str">
        <f>IF(tblConteo[[#This Row],[Diferencia]]="","",IF(tblConteo[[#This Row],[Diferencia]]=0,"✔ Cuadra",IF(tblConteo[[#This Row],[Diferencia]]&gt;0,"▲ Sobrante","▼ Faltante")))</f>
        <v/>
      </c>
      <c r="M27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0" spans="2:13" x14ac:dyDescent="0.25">
      <c r="B280" s="40" t="str">
        <f>IF('05_PRODUCTOS'!$B280="","",'05_PRODUCTOS'!$B280)</f>
        <v/>
      </c>
      <c r="C280" s="43" t="str">
        <f>IF($B280="","",'05_PRODUCTOS'!$C280)</f>
        <v/>
      </c>
      <c r="D280" s="43" t="str">
        <f>IF($B280="","",'05_PRODUCTOS'!$D280)</f>
        <v/>
      </c>
      <c r="E280" s="40" t="str">
        <f>IF($B280="","",'05_PRODUCTOS'!$J280&amp;"")</f>
        <v/>
      </c>
      <c r="F280" s="40" t="str">
        <f>IF($B280="","",'05_PRODUCTOS'!$E280)</f>
        <v/>
      </c>
      <c r="G280" s="40" t="str">
        <f>IF($B280="","",IF('05_PRODUCTOS'!$K280="NO","NO","SI"))</f>
        <v/>
      </c>
      <c r="H280" s="49" t="str">
        <f>IF($B280="","",N('15_STOCK'!$J280))</f>
        <v/>
      </c>
      <c r="I280" s="39"/>
      <c r="J280" s="48" t="str">
        <f>IF(OR(tblConteo[[#This Row],[SKU]]="",tblConteo[[#This Row],[Conteo]]=""),"",tblConteo[[#This Row],[Conteo]]-tblConteo[[#This Row],[StockSistema]])</f>
        <v/>
      </c>
      <c r="K280" s="52" t="str">
        <f>IF($J280="","",$J280*N('15_STOCK'!$O280))</f>
        <v/>
      </c>
      <c r="L280" s="41" t="str">
        <f>IF(tblConteo[[#This Row],[Diferencia]]="","",IF(tblConteo[[#This Row],[Diferencia]]=0,"✔ Cuadra",IF(tblConteo[[#This Row],[Diferencia]]&gt;0,"▲ Sobrante","▼ Faltante")))</f>
        <v/>
      </c>
      <c r="M28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1" spans="2:13" x14ac:dyDescent="0.25">
      <c r="B281" s="40" t="str">
        <f>IF('05_PRODUCTOS'!$B281="","",'05_PRODUCTOS'!$B281)</f>
        <v/>
      </c>
      <c r="C281" s="43" t="str">
        <f>IF($B281="","",'05_PRODUCTOS'!$C281)</f>
        <v/>
      </c>
      <c r="D281" s="43" t="str">
        <f>IF($B281="","",'05_PRODUCTOS'!$D281)</f>
        <v/>
      </c>
      <c r="E281" s="40" t="str">
        <f>IF($B281="","",'05_PRODUCTOS'!$J281&amp;"")</f>
        <v/>
      </c>
      <c r="F281" s="40" t="str">
        <f>IF($B281="","",'05_PRODUCTOS'!$E281)</f>
        <v/>
      </c>
      <c r="G281" s="40" t="str">
        <f>IF($B281="","",IF('05_PRODUCTOS'!$K281="NO","NO","SI"))</f>
        <v/>
      </c>
      <c r="H281" s="49" t="str">
        <f>IF($B281="","",N('15_STOCK'!$J281))</f>
        <v/>
      </c>
      <c r="I281" s="39"/>
      <c r="J281" s="48" t="str">
        <f>IF(OR(tblConteo[[#This Row],[SKU]]="",tblConteo[[#This Row],[Conteo]]=""),"",tblConteo[[#This Row],[Conteo]]-tblConteo[[#This Row],[StockSistema]])</f>
        <v/>
      </c>
      <c r="K281" s="52" t="str">
        <f>IF($J281="","",$J281*N('15_STOCK'!$O281))</f>
        <v/>
      </c>
      <c r="L281" s="41" t="str">
        <f>IF(tblConteo[[#This Row],[Diferencia]]="","",IF(tblConteo[[#This Row],[Diferencia]]=0,"✔ Cuadra",IF(tblConteo[[#This Row],[Diferencia]]&gt;0,"▲ Sobrante","▼ Faltante")))</f>
        <v/>
      </c>
      <c r="M28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2" spans="2:13" x14ac:dyDescent="0.25">
      <c r="B282" s="40" t="str">
        <f>IF('05_PRODUCTOS'!$B282="","",'05_PRODUCTOS'!$B282)</f>
        <v/>
      </c>
      <c r="C282" s="43" t="str">
        <f>IF($B282="","",'05_PRODUCTOS'!$C282)</f>
        <v/>
      </c>
      <c r="D282" s="43" t="str">
        <f>IF($B282="","",'05_PRODUCTOS'!$D282)</f>
        <v/>
      </c>
      <c r="E282" s="40" t="str">
        <f>IF($B282="","",'05_PRODUCTOS'!$J282&amp;"")</f>
        <v/>
      </c>
      <c r="F282" s="40" t="str">
        <f>IF($B282="","",'05_PRODUCTOS'!$E282)</f>
        <v/>
      </c>
      <c r="G282" s="40" t="str">
        <f>IF($B282="","",IF('05_PRODUCTOS'!$K282="NO","NO","SI"))</f>
        <v/>
      </c>
      <c r="H282" s="49" t="str">
        <f>IF($B282="","",N('15_STOCK'!$J282))</f>
        <v/>
      </c>
      <c r="I282" s="39"/>
      <c r="J282" s="48" t="str">
        <f>IF(OR(tblConteo[[#This Row],[SKU]]="",tblConteo[[#This Row],[Conteo]]=""),"",tblConteo[[#This Row],[Conteo]]-tblConteo[[#This Row],[StockSistema]])</f>
        <v/>
      </c>
      <c r="K282" s="52" t="str">
        <f>IF($J282="","",$J282*N('15_STOCK'!$O282))</f>
        <v/>
      </c>
      <c r="L282" s="41" t="str">
        <f>IF(tblConteo[[#This Row],[Diferencia]]="","",IF(tblConteo[[#This Row],[Diferencia]]=0,"✔ Cuadra",IF(tblConteo[[#This Row],[Diferencia]]&gt;0,"▲ Sobrante","▼ Faltante")))</f>
        <v/>
      </c>
      <c r="M28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3" spans="2:13" x14ac:dyDescent="0.25">
      <c r="B283" s="40" t="str">
        <f>IF('05_PRODUCTOS'!$B283="","",'05_PRODUCTOS'!$B283)</f>
        <v/>
      </c>
      <c r="C283" s="43" t="str">
        <f>IF($B283="","",'05_PRODUCTOS'!$C283)</f>
        <v/>
      </c>
      <c r="D283" s="43" t="str">
        <f>IF($B283="","",'05_PRODUCTOS'!$D283)</f>
        <v/>
      </c>
      <c r="E283" s="40" t="str">
        <f>IF($B283="","",'05_PRODUCTOS'!$J283&amp;"")</f>
        <v/>
      </c>
      <c r="F283" s="40" t="str">
        <f>IF($B283="","",'05_PRODUCTOS'!$E283)</f>
        <v/>
      </c>
      <c r="G283" s="40" t="str">
        <f>IF($B283="","",IF('05_PRODUCTOS'!$K283="NO","NO","SI"))</f>
        <v/>
      </c>
      <c r="H283" s="49" t="str">
        <f>IF($B283="","",N('15_STOCK'!$J283))</f>
        <v/>
      </c>
      <c r="I283" s="39"/>
      <c r="J283" s="48" t="str">
        <f>IF(OR(tblConteo[[#This Row],[SKU]]="",tblConteo[[#This Row],[Conteo]]=""),"",tblConteo[[#This Row],[Conteo]]-tblConteo[[#This Row],[StockSistema]])</f>
        <v/>
      </c>
      <c r="K283" s="52" t="str">
        <f>IF($J283="","",$J283*N('15_STOCK'!$O283))</f>
        <v/>
      </c>
      <c r="L283" s="41" t="str">
        <f>IF(tblConteo[[#This Row],[Diferencia]]="","",IF(tblConteo[[#This Row],[Diferencia]]=0,"✔ Cuadra",IF(tblConteo[[#This Row],[Diferencia]]&gt;0,"▲ Sobrante","▼ Faltante")))</f>
        <v/>
      </c>
      <c r="M28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4" spans="2:13" x14ac:dyDescent="0.25">
      <c r="B284" s="40" t="str">
        <f>IF('05_PRODUCTOS'!$B284="","",'05_PRODUCTOS'!$B284)</f>
        <v/>
      </c>
      <c r="C284" s="43" t="str">
        <f>IF($B284="","",'05_PRODUCTOS'!$C284)</f>
        <v/>
      </c>
      <c r="D284" s="43" t="str">
        <f>IF($B284="","",'05_PRODUCTOS'!$D284)</f>
        <v/>
      </c>
      <c r="E284" s="40" t="str">
        <f>IF($B284="","",'05_PRODUCTOS'!$J284&amp;"")</f>
        <v/>
      </c>
      <c r="F284" s="40" t="str">
        <f>IF($B284="","",'05_PRODUCTOS'!$E284)</f>
        <v/>
      </c>
      <c r="G284" s="40" t="str">
        <f>IF($B284="","",IF('05_PRODUCTOS'!$K284="NO","NO","SI"))</f>
        <v/>
      </c>
      <c r="H284" s="49" t="str">
        <f>IF($B284="","",N('15_STOCK'!$J284))</f>
        <v/>
      </c>
      <c r="I284" s="39"/>
      <c r="J284" s="48" t="str">
        <f>IF(OR(tblConteo[[#This Row],[SKU]]="",tblConteo[[#This Row],[Conteo]]=""),"",tblConteo[[#This Row],[Conteo]]-tblConteo[[#This Row],[StockSistema]])</f>
        <v/>
      </c>
      <c r="K284" s="52" t="str">
        <f>IF($J284="","",$J284*N('15_STOCK'!$O284))</f>
        <v/>
      </c>
      <c r="L284" s="41" t="str">
        <f>IF(tblConteo[[#This Row],[Diferencia]]="","",IF(tblConteo[[#This Row],[Diferencia]]=0,"✔ Cuadra",IF(tblConteo[[#This Row],[Diferencia]]&gt;0,"▲ Sobrante","▼ Faltante")))</f>
        <v/>
      </c>
      <c r="M28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5" spans="2:13" x14ac:dyDescent="0.25">
      <c r="B285" s="40" t="str">
        <f>IF('05_PRODUCTOS'!$B285="","",'05_PRODUCTOS'!$B285)</f>
        <v/>
      </c>
      <c r="C285" s="43" t="str">
        <f>IF($B285="","",'05_PRODUCTOS'!$C285)</f>
        <v/>
      </c>
      <c r="D285" s="43" t="str">
        <f>IF($B285="","",'05_PRODUCTOS'!$D285)</f>
        <v/>
      </c>
      <c r="E285" s="40" t="str">
        <f>IF($B285="","",'05_PRODUCTOS'!$J285&amp;"")</f>
        <v/>
      </c>
      <c r="F285" s="40" t="str">
        <f>IF($B285="","",'05_PRODUCTOS'!$E285)</f>
        <v/>
      </c>
      <c r="G285" s="40" t="str">
        <f>IF($B285="","",IF('05_PRODUCTOS'!$K285="NO","NO","SI"))</f>
        <v/>
      </c>
      <c r="H285" s="49" t="str">
        <f>IF($B285="","",N('15_STOCK'!$J285))</f>
        <v/>
      </c>
      <c r="I285" s="39"/>
      <c r="J285" s="48" t="str">
        <f>IF(OR(tblConteo[[#This Row],[SKU]]="",tblConteo[[#This Row],[Conteo]]=""),"",tblConteo[[#This Row],[Conteo]]-tblConteo[[#This Row],[StockSistema]])</f>
        <v/>
      </c>
      <c r="K285" s="52" t="str">
        <f>IF($J285="","",$J285*N('15_STOCK'!$O285))</f>
        <v/>
      </c>
      <c r="L285" s="41" t="str">
        <f>IF(tblConteo[[#This Row],[Diferencia]]="","",IF(tblConteo[[#This Row],[Diferencia]]=0,"✔ Cuadra",IF(tblConteo[[#This Row],[Diferencia]]&gt;0,"▲ Sobrante","▼ Faltante")))</f>
        <v/>
      </c>
      <c r="M28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6" spans="2:13" x14ac:dyDescent="0.25">
      <c r="B286" s="40" t="str">
        <f>IF('05_PRODUCTOS'!$B286="","",'05_PRODUCTOS'!$B286)</f>
        <v/>
      </c>
      <c r="C286" s="43" t="str">
        <f>IF($B286="","",'05_PRODUCTOS'!$C286)</f>
        <v/>
      </c>
      <c r="D286" s="43" t="str">
        <f>IF($B286="","",'05_PRODUCTOS'!$D286)</f>
        <v/>
      </c>
      <c r="E286" s="40" t="str">
        <f>IF($B286="","",'05_PRODUCTOS'!$J286&amp;"")</f>
        <v/>
      </c>
      <c r="F286" s="40" t="str">
        <f>IF($B286="","",'05_PRODUCTOS'!$E286)</f>
        <v/>
      </c>
      <c r="G286" s="40" t="str">
        <f>IF($B286="","",IF('05_PRODUCTOS'!$K286="NO","NO","SI"))</f>
        <v/>
      </c>
      <c r="H286" s="49" t="str">
        <f>IF($B286="","",N('15_STOCK'!$J286))</f>
        <v/>
      </c>
      <c r="I286" s="39"/>
      <c r="J286" s="48" t="str">
        <f>IF(OR(tblConteo[[#This Row],[SKU]]="",tblConteo[[#This Row],[Conteo]]=""),"",tblConteo[[#This Row],[Conteo]]-tblConteo[[#This Row],[StockSistema]])</f>
        <v/>
      </c>
      <c r="K286" s="52" t="str">
        <f>IF($J286="","",$J286*N('15_STOCK'!$O286))</f>
        <v/>
      </c>
      <c r="L286" s="41" t="str">
        <f>IF(tblConteo[[#This Row],[Diferencia]]="","",IF(tblConteo[[#This Row],[Diferencia]]=0,"✔ Cuadra",IF(tblConteo[[#This Row],[Diferencia]]&gt;0,"▲ Sobrante","▼ Faltante")))</f>
        <v/>
      </c>
      <c r="M28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7" spans="2:13" x14ac:dyDescent="0.25">
      <c r="B287" s="40" t="str">
        <f>IF('05_PRODUCTOS'!$B287="","",'05_PRODUCTOS'!$B287)</f>
        <v/>
      </c>
      <c r="C287" s="43" t="str">
        <f>IF($B287="","",'05_PRODUCTOS'!$C287)</f>
        <v/>
      </c>
      <c r="D287" s="43" t="str">
        <f>IF($B287="","",'05_PRODUCTOS'!$D287)</f>
        <v/>
      </c>
      <c r="E287" s="40" t="str">
        <f>IF($B287="","",'05_PRODUCTOS'!$J287&amp;"")</f>
        <v/>
      </c>
      <c r="F287" s="40" t="str">
        <f>IF($B287="","",'05_PRODUCTOS'!$E287)</f>
        <v/>
      </c>
      <c r="G287" s="40" t="str">
        <f>IF($B287="","",IF('05_PRODUCTOS'!$K287="NO","NO","SI"))</f>
        <v/>
      </c>
      <c r="H287" s="49" t="str">
        <f>IF($B287="","",N('15_STOCK'!$J287))</f>
        <v/>
      </c>
      <c r="I287" s="39"/>
      <c r="J287" s="48" t="str">
        <f>IF(OR(tblConteo[[#This Row],[SKU]]="",tblConteo[[#This Row],[Conteo]]=""),"",tblConteo[[#This Row],[Conteo]]-tblConteo[[#This Row],[StockSistema]])</f>
        <v/>
      </c>
      <c r="K287" s="52" t="str">
        <f>IF($J287="","",$J287*N('15_STOCK'!$O287))</f>
        <v/>
      </c>
      <c r="L287" s="41" t="str">
        <f>IF(tblConteo[[#This Row],[Diferencia]]="","",IF(tblConteo[[#This Row],[Diferencia]]=0,"✔ Cuadra",IF(tblConteo[[#This Row],[Diferencia]]&gt;0,"▲ Sobrante","▼ Faltante")))</f>
        <v/>
      </c>
      <c r="M28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8" spans="2:13" x14ac:dyDescent="0.25">
      <c r="B288" s="40" t="str">
        <f>IF('05_PRODUCTOS'!$B288="","",'05_PRODUCTOS'!$B288)</f>
        <v/>
      </c>
      <c r="C288" s="43" t="str">
        <f>IF($B288="","",'05_PRODUCTOS'!$C288)</f>
        <v/>
      </c>
      <c r="D288" s="43" t="str">
        <f>IF($B288="","",'05_PRODUCTOS'!$D288)</f>
        <v/>
      </c>
      <c r="E288" s="40" t="str">
        <f>IF($B288="","",'05_PRODUCTOS'!$J288&amp;"")</f>
        <v/>
      </c>
      <c r="F288" s="40" t="str">
        <f>IF($B288="","",'05_PRODUCTOS'!$E288)</f>
        <v/>
      </c>
      <c r="G288" s="40" t="str">
        <f>IF($B288="","",IF('05_PRODUCTOS'!$K288="NO","NO","SI"))</f>
        <v/>
      </c>
      <c r="H288" s="49" t="str">
        <f>IF($B288="","",N('15_STOCK'!$J288))</f>
        <v/>
      </c>
      <c r="I288" s="39"/>
      <c r="J288" s="48" t="str">
        <f>IF(OR(tblConteo[[#This Row],[SKU]]="",tblConteo[[#This Row],[Conteo]]=""),"",tblConteo[[#This Row],[Conteo]]-tblConteo[[#This Row],[StockSistema]])</f>
        <v/>
      </c>
      <c r="K288" s="52" t="str">
        <f>IF($J288="","",$J288*N('15_STOCK'!$O288))</f>
        <v/>
      </c>
      <c r="L288" s="41" t="str">
        <f>IF(tblConteo[[#This Row],[Diferencia]]="","",IF(tblConteo[[#This Row],[Diferencia]]=0,"✔ Cuadra",IF(tblConteo[[#This Row],[Diferencia]]&gt;0,"▲ Sobrante","▼ Faltante")))</f>
        <v/>
      </c>
      <c r="M28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89" spans="2:13" x14ac:dyDescent="0.25">
      <c r="B289" s="40" t="str">
        <f>IF('05_PRODUCTOS'!$B289="","",'05_PRODUCTOS'!$B289)</f>
        <v/>
      </c>
      <c r="C289" s="43" t="str">
        <f>IF($B289="","",'05_PRODUCTOS'!$C289)</f>
        <v/>
      </c>
      <c r="D289" s="43" t="str">
        <f>IF($B289="","",'05_PRODUCTOS'!$D289)</f>
        <v/>
      </c>
      <c r="E289" s="40" t="str">
        <f>IF($B289="","",'05_PRODUCTOS'!$J289&amp;"")</f>
        <v/>
      </c>
      <c r="F289" s="40" t="str">
        <f>IF($B289="","",'05_PRODUCTOS'!$E289)</f>
        <v/>
      </c>
      <c r="G289" s="40" t="str">
        <f>IF($B289="","",IF('05_PRODUCTOS'!$K289="NO","NO","SI"))</f>
        <v/>
      </c>
      <c r="H289" s="49" t="str">
        <f>IF($B289="","",N('15_STOCK'!$J289))</f>
        <v/>
      </c>
      <c r="I289" s="39"/>
      <c r="J289" s="48" t="str">
        <f>IF(OR(tblConteo[[#This Row],[SKU]]="",tblConteo[[#This Row],[Conteo]]=""),"",tblConteo[[#This Row],[Conteo]]-tblConteo[[#This Row],[StockSistema]])</f>
        <v/>
      </c>
      <c r="K289" s="52" t="str">
        <f>IF($J289="","",$J289*N('15_STOCK'!$O289))</f>
        <v/>
      </c>
      <c r="L289" s="41" t="str">
        <f>IF(tblConteo[[#This Row],[Diferencia]]="","",IF(tblConteo[[#This Row],[Diferencia]]=0,"✔ Cuadra",IF(tblConteo[[#This Row],[Diferencia]]&gt;0,"▲ Sobrante","▼ Faltante")))</f>
        <v/>
      </c>
      <c r="M28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0" spans="2:13" x14ac:dyDescent="0.25">
      <c r="B290" s="40" t="str">
        <f>IF('05_PRODUCTOS'!$B290="","",'05_PRODUCTOS'!$B290)</f>
        <v/>
      </c>
      <c r="C290" s="43" t="str">
        <f>IF($B290="","",'05_PRODUCTOS'!$C290)</f>
        <v/>
      </c>
      <c r="D290" s="43" t="str">
        <f>IF($B290="","",'05_PRODUCTOS'!$D290)</f>
        <v/>
      </c>
      <c r="E290" s="40" t="str">
        <f>IF($B290="","",'05_PRODUCTOS'!$J290&amp;"")</f>
        <v/>
      </c>
      <c r="F290" s="40" t="str">
        <f>IF($B290="","",'05_PRODUCTOS'!$E290)</f>
        <v/>
      </c>
      <c r="G290" s="40" t="str">
        <f>IF($B290="","",IF('05_PRODUCTOS'!$K290="NO","NO","SI"))</f>
        <v/>
      </c>
      <c r="H290" s="49" t="str">
        <f>IF($B290="","",N('15_STOCK'!$J290))</f>
        <v/>
      </c>
      <c r="I290" s="39"/>
      <c r="J290" s="48" t="str">
        <f>IF(OR(tblConteo[[#This Row],[SKU]]="",tblConteo[[#This Row],[Conteo]]=""),"",tblConteo[[#This Row],[Conteo]]-tblConteo[[#This Row],[StockSistema]])</f>
        <v/>
      </c>
      <c r="K290" s="52" t="str">
        <f>IF($J290="","",$J290*N('15_STOCK'!$O290))</f>
        <v/>
      </c>
      <c r="L290" s="41" t="str">
        <f>IF(tblConteo[[#This Row],[Diferencia]]="","",IF(tblConteo[[#This Row],[Diferencia]]=0,"✔ Cuadra",IF(tblConteo[[#This Row],[Diferencia]]&gt;0,"▲ Sobrante","▼ Faltante")))</f>
        <v/>
      </c>
      <c r="M29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1" spans="2:13" x14ac:dyDescent="0.25">
      <c r="B291" s="40" t="str">
        <f>IF('05_PRODUCTOS'!$B291="","",'05_PRODUCTOS'!$B291)</f>
        <v/>
      </c>
      <c r="C291" s="43" t="str">
        <f>IF($B291="","",'05_PRODUCTOS'!$C291)</f>
        <v/>
      </c>
      <c r="D291" s="43" t="str">
        <f>IF($B291="","",'05_PRODUCTOS'!$D291)</f>
        <v/>
      </c>
      <c r="E291" s="40" t="str">
        <f>IF($B291="","",'05_PRODUCTOS'!$J291&amp;"")</f>
        <v/>
      </c>
      <c r="F291" s="40" t="str">
        <f>IF($B291="","",'05_PRODUCTOS'!$E291)</f>
        <v/>
      </c>
      <c r="G291" s="40" t="str">
        <f>IF($B291="","",IF('05_PRODUCTOS'!$K291="NO","NO","SI"))</f>
        <v/>
      </c>
      <c r="H291" s="49" t="str">
        <f>IF($B291="","",N('15_STOCK'!$J291))</f>
        <v/>
      </c>
      <c r="I291" s="39"/>
      <c r="J291" s="48" t="str">
        <f>IF(OR(tblConteo[[#This Row],[SKU]]="",tblConteo[[#This Row],[Conteo]]=""),"",tblConteo[[#This Row],[Conteo]]-tblConteo[[#This Row],[StockSistema]])</f>
        <v/>
      </c>
      <c r="K291" s="52" t="str">
        <f>IF($J291="","",$J291*N('15_STOCK'!$O291))</f>
        <v/>
      </c>
      <c r="L291" s="41" t="str">
        <f>IF(tblConteo[[#This Row],[Diferencia]]="","",IF(tblConteo[[#This Row],[Diferencia]]=0,"✔ Cuadra",IF(tblConteo[[#This Row],[Diferencia]]&gt;0,"▲ Sobrante","▼ Faltante")))</f>
        <v/>
      </c>
      <c r="M29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2" spans="2:13" x14ac:dyDescent="0.25">
      <c r="B292" s="40" t="str">
        <f>IF('05_PRODUCTOS'!$B292="","",'05_PRODUCTOS'!$B292)</f>
        <v/>
      </c>
      <c r="C292" s="43" t="str">
        <f>IF($B292="","",'05_PRODUCTOS'!$C292)</f>
        <v/>
      </c>
      <c r="D292" s="43" t="str">
        <f>IF($B292="","",'05_PRODUCTOS'!$D292)</f>
        <v/>
      </c>
      <c r="E292" s="40" t="str">
        <f>IF($B292="","",'05_PRODUCTOS'!$J292&amp;"")</f>
        <v/>
      </c>
      <c r="F292" s="40" t="str">
        <f>IF($B292="","",'05_PRODUCTOS'!$E292)</f>
        <v/>
      </c>
      <c r="G292" s="40" t="str">
        <f>IF($B292="","",IF('05_PRODUCTOS'!$K292="NO","NO","SI"))</f>
        <v/>
      </c>
      <c r="H292" s="49" t="str">
        <f>IF($B292="","",N('15_STOCK'!$J292))</f>
        <v/>
      </c>
      <c r="I292" s="39"/>
      <c r="J292" s="48" t="str">
        <f>IF(OR(tblConteo[[#This Row],[SKU]]="",tblConteo[[#This Row],[Conteo]]=""),"",tblConteo[[#This Row],[Conteo]]-tblConteo[[#This Row],[StockSistema]])</f>
        <v/>
      </c>
      <c r="K292" s="52" t="str">
        <f>IF($J292="","",$J292*N('15_STOCK'!$O292))</f>
        <v/>
      </c>
      <c r="L292" s="41" t="str">
        <f>IF(tblConteo[[#This Row],[Diferencia]]="","",IF(tblConteo[[#This Row],[Diferencia]]=0,"✔ Cuadra",IF(tblConteo[[#This Row],[Diferencia]]&gt;0,"▲ Sobrante","▼ Faltante")))</f>
        <v/>
      </c>
      <c r="M29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3" spans="2:13" x14ac:dyDescent="0.25">
      <c r="B293" s="40" t="str">
        <f>IF('05_PRODUCTOS'!$B293="","",'05_PRODUCTOS'!$B293)</f>
        <v/>
      </c>
      <c r="C293" s="43" t="str">
        <f>IF($B293="","",'05_PRODUCTOS'!$C293)</f>
        <v/>
      </c>
      <c r="D293" s="43" t="str">
        <f>IF($B293="","",'05_PRODUCTOS'!$D293)</f>
        <v/>
      </c>
      <c r="E293" s="40" t="str">
        <f>IF($B293="","",'05_PRODUCTOS'!$J293&amp;"")</f>
        <v/>
      </c>
      <c r="F293" s="40" t="str">
        <f>IF($B293="","",'05_PRODUCTOS'!$E293)</f>
        <v/>
      </c>
      <c r="G293" s="40" t="str">
        <f>IF($B293="","",IF('05_PRODUCTOS'!$K293="NO","NO","SI"))</f>
        <v/>
      </c>
      <c r="H293" s="49" t="str">
        <f>IF($B293="","",N('15_STOCK'!$J293))</f>
        <v/>
      </c>
      <c r="I293" s="39"/>
      <c r="J293" s="48" t="str">
        <f>IF(OR(tblConteo[[#This Row],[SKU]]="",tblConteo[[#This Row],[Conteo]]=""),"",tblConteo[[#This Row],[Conteo]]-tblConteo[[#This Row],[StockSistema]])</f>
        <v/>
      </c>
      <c r="K293" s="52" t="str">
        <f>IF($J293="","",$J293*N('15_STOCK'!$O293))</f>
        <v/>
      </c>
      <c r="L293" s="41" t="str">
        <f>IF(tblConteo[[#This Row],[Diferencia]]="","",IF(tblConteo[[#This Row],[Diferencia]]=0,"✔ Cuadra",IF(tblConteo[[#This Row],[Diferencia]]&gt;0,"▲ Sobrante","▼ Faltante")))</f>
        <v/>
      </c>
      <c r="M29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4" spans="2:13" x14ac:dyDescent="0.25">
      <c r="B294" s="40" t="str">
        <f>IF('05_PRODUCTOS'!$B294="","",'05_PRODUCTOS'!$B294)</f>
        <v/>
      </c>
      <c r="C294" s="43" t="str">
        <f>IF($B294="","",'05_PRODUCTOS'!$C294)</f>
        <v/>
      </c>
      <c r="D294" s="43" t="str">
        <f>IF($B294="","",'05_PRODUCTOS'!$D294)</f>
        <v/>
      </c>
      <c r="E294" s="40" t="str">
        <f>IF($B294="","",'05_PRODUCTOS'!$J294&amp;"")</f>
        <v/>
      </c>
      <c r="F294" s="40" t="str">
        <f>IF($B294="","",'05_PRODUCTOS'!$E294)</f>
        <v/>
      </c>
      <c r="G294" s="40" t="str">
        <f>IF($B294="","",IF('05_PRODUCTOS'!$K294="NO","NO","SI"))</f>
        <v/>
      </c>
      <c r="H294" s="49" t="str">
        <f>IF($B294="","",N('15_STOCK'!$J294))</f>
        <v/>
      </c>
      <c r="I294" s="39"/>
      <c r="J294" s="48" t="str">
        <f>IF(OR(tblConteo[[#This Row],[SKU]]="",tblConteo[[#This Row],[Conteo]]=""),"",tblConteo[[#This Row],[Conteo]]-tblConteo[[#This Row],[StockSistema]])</f>
        <v/>
      </c>
      <c r="K294" s="52" t="str">
        <f>IF($J294="","",$J294*N('15_STOCK'!$O294))</f>
        <v/>
      </c>
      <c r="L294" s="41" t="str">
        <f>IF(tblConteo[[#This Row],[Diferencia]]="","",IF(tblConteo[[#This Row],[Diferencia]]=0,"✔ Cuadra",IF(tblConteo[[#This Row],[Diferencia]]&gt;0,"▲ Sobrante","▼ Faltante")))</f>
        <v/>
      </c>
      <c r="M29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5" spans="2:13" x14ac:dyDescent="0.25">
      <c r="B295" s="40" t="str">
        <f>IF('05_PRODUCTOS'!$B295="","",'05_PRODUCTOS'!$B295)</f>
        <v/>
      </c>
      <c r="C295" s="43" t="str">
        <f>IF($B295="","",'05_PRODUCTOS'!$C295)</f>
        <v/>
      </c>
      <c r="D295" s="43" t="str">
        <f>IF($B295="","",'05_PRODUCTOS'!$D295)</f>
        <v/>
      </c>
      <c r="E295" s="40" t="str">
        <f>IF($B295="","",'05_PRODUCTOS'!$J295&amp;"")</f>
        <v/>
      </c>
      <c r="F295" s="40" t="str">
        <f>IF($B295="","",'05_PRODUCTOS'!$E295)</f>
        <v/>
      </c>
      <c r="G295" s="40" t="str">
        <f>IF($B295="","",IF('05_PRODUCTOS'!$K295="NO","NO","SI"))</f>
        <v/>
      </c>
      <c r="H295" s="49" t="str">
        <f>IF($B295="","",N('15_STOCK'!$J295))</f>
        <v/>
      </c>
      <c r="I295" s="39"/>
      <c r="J295" s="48" t="str">
        <f>IF(OR(tblConteo[[#This Row],[SKU]]="",tblConteo[[#This Row],[Conteo]]=""),"",tblConteo[[#This Row],[Conteo]]-tblConteo[[#This Row],[StockSistema]])</f>
        <v/>
      </c>
      <c r="K295" s="52" t="str">
        <f>IF($J295="","",$J295*N('15_STOCK'!$O295))</f>
        <v/>
      </c>
      <c r="L295" s="41" t="str">
        <f>IF(tblConteo[[#This Row],[Diferencia]]="","",IF(tblConteo[[#This Row],[Diferencia]]=0,"✔ Cuadra",IF(tblConteo[[#This Row],[Diferencia]]&gt;0,"▲ Sobrante","▼ Faltante")))</f>
        <v/>
      </c>
      <c r="M29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6" spans="2:13" x14ac:dyDescent="0.25">
      <c r="B296" s="40" t="str">
        <f>IF('05_PRODUCTOS'!$B296="","",'05_PRODUCTOS'!$B296)</f>
        <v/>
      </c>
      <c r="C296" s="43" t="str">
        <f>IF($B296="","",'05_PRODUCTOS'!$C296)</f>
        <v/>
      </c>
      <c r="D296" s="43" t="str">
        <f>IF($B296="","",'05_PRODUCTOS'!$D296)</f>
        <v/>
      </c>
      <c r="E296" s="40" t="str">
        <f>IF($B296="","",'05_PRODUCTOS'!$J296&amp;"")</f>
        <v/>
      </c>
      <c r="F296" s="40" t="str">
        <f>IF($B296="","",'05_PRODUCTOS'!$E296)</f>
        <v/>
      </c>
      <c r="G296" s="40" t="str">
        <f>IF($B296="","",IF('05_PRODUCTOS'!$K296="NO","NO","SI"))</f>
        <v/>
      </c>
      <c r="H296" s="49" t="str">
        <f>IF($B296="","",N('15_STOCK'!$J296))</f>
        <v/>
      </c>
      <c r="I296" s="39"/>
      <c r="J296" s="48" t="str">
        <f>IF(OR(tblConteo[[#This Row],[SKU]]="",tblConteo[[#This Row],[Conteo]]=""),"",tblConteo[[#This Row],[Conteo]]-tblConteo[[#This Row],[StockSistema]])</f>
        <v/>
      </c>
      <c r="K296" s="52" t="str">
        <f>IF($J296="","",$J296*N('15_STOCK'!$O296))</f>
        <v/>
      </c>
      <c r="L296" s="41" t="str">
        <f>IF(tblConteo[[#This Row],[Diferencia]]="","",IF(tblConteo[[#This Row],[Diferencia]]=0,"✔ Cuadra",IF(tblConteo[[#This Row],[Diferencia]]&gt;0,"▲ Sobrante","▼ Faltante")))</f>
        <v/>
      </c>
      <c r="M29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7" spans="2:13" x14ac:dyDescent="0.25">
      <c r="B297" s="40" t="str">
        <f>IF('05_PRODUCTOS'!$B297="","",'05_PRODUCTOS'!$B297)</f>
        <v/>
      </c>
      <c r="C297" s="43" t="str">
        <f>IF($B297="","",'05_PRODUCTOS'!$C297)</f>
        <v/>
      </c>
      <c r="D297" s="43" t="str">
        <f>IF($B297="","",'05_PRODUCTOS'!$D297)</f>
        <v/>
      </c>
      <c r="E297" s="40" t="str">
        <f>IF($B297="","",'05_PRODUCTOS'!$J297&amp;"")</f>
        <v/>
      </c>
      <c r="F297" s="40" t="str">
        <f>IF($B297="","",'05_PRODUCTOS'!$E297)</f>
        <v/>
      </c>
      <c r="G297" s="40" t="str">
        <f>IF($B297="","",IF('05_PRODUCTOS'!$K297="NO","NO","SI"))</f>
        <v/>
      </c>
      <c r="H297" s="49" t="str">
        <f>IF($B297="","",N('15_STOCK'!$J297))</f>
        <v/>
      </c>
      <c r="I297" s="39"/>
      <c r="J297" s="48" t="str">
        <f>IF(OR(tblConteo[[#This Row],[SKU]]="",tblConteo[[#This Row],[Conteo]]=""),"",tblConteo[[#This Row],[Conteo]]-tblConteo[[#This Row],[StockSistema]])</f>
        <v/>
      </c>
      <c r="K297" s="52" t="str">
        <f>IF($J297="","",$J297*N('15_STOCK'!$O297))</f>
        <v/>
      </c>
      <c r="L297" s="41" t="str">
        <f>IF(tblConteo[[#This Row],[Diferencia]]="","",IF(tblConteo[[#This Row],[Diferencia]]=0,"✔ Cuadra",IF(tblConteo[[#This Row],[Diferencia]]&gt;0,"▲ Sobrante","▼ Faltante")))</f>
        <v/>
      </c>
      <c r="M29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8" spans="2:13" x14ac:dyDescent="0.25">
      <c r="B298" s="40" t="str">
        <f>IF('05_PRODUCTOS'!$B298="","",'05_PRODUCTOS'!$B298)</f>
        <v/>
      </c>
      <c r="C298" s="43" t="str">
        <f>IF($B298="","",'05_PRODUCTOS'!$C298)</f>
        <v/>
      </c>
      <c r="D298" s="43" t="str">
        <f>IF($B298="","",'05_PRODUCTOS'!$D298)</f>
        <v/>
      </c>
      <c r="E298" s="40" t="str">
        <f>IF($B298="","",'05_PRODUCTOS'!$J298&amp;"")</f>
        <v/>
      </c>
      <c r="F298" s="40" t="str">
        <f>IF($B298="","",'05_PRODUCTOS'!$E298)</f>
        <v/>
      </c>
      <c r="G298" s="40" t="str">
        <f>IF($B298="","",IF('05_PRODUCTOS'!$K298="NO","NO","SI"))</f>
        <v/>
      </c>
      <c r="H298" s="49" t="str">
        <f>IF($B298="","",N('15_STOCK'!$J298))</f>
        <v/>
      </c>
      <c r="I298" s="39"/>
      <c r="J298" s="48" t="str">
        <f>IF(OR(tblConteo[[#This Row],[SKU]]="",tblConteo[[#This Row],[Conteo]]=""),"",tblConteo[[#This Row],[Conteo]]-tblConteo[[#This Row],[StockSistema]])</f>
        <v/>
      </c>
      <c r="K298" s="52" t="str">
        <f>IF($J298="","",$J298*N('15_STOCK'!$O298))</f>
        <v/>
      </c>
      <c r="L298" s="41" t="str">
        <f>IF(tblConteo[[#This Row],[Diferencia]]="","",IF(tblConteo[[#This Row],[Diferencia]]=0,"✔ Cuadra",IF(tblConteo[[#This Row],[Diferencia]]&gt;0,"▲ Sobrante","▼ Faltante")))</f>
        <v/>
      </c>
      <c r="M29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299" spans="2:13" x14ac:dyDescent="0.25">
      <c r="B299" s="40" t="str">
        <f>IF('05_PRODUCTOS'!$B299="","",'05_PRODUCTOS'!$B299)</f>
        <v/>
      </c>
      <c r="C299" s="43" t="str">
        <f>IF($B299="","",'05_PRODUCTOS'!$C299)</f>
        <v/>
      </c>
      <c r="D299" s="43" t="str">
        <f>IF($B299="","",'05_PRODUCTOS'!$D299)</f>
        <v/>
      </c>
      <c r="E299" s="40" t="str">
        <f>IF($B299="","",'05_PRODUCTOS'!$J299&amp;"")</f>
        <v/>
      </c>
      <c r="F299" s="40" t="str">
        <f>IF($B299="","",'05_PRODUCTOS'!$E299)</f>
        <v/>
      </c>
      <c r="G299" s="40" t="str">
        <f>IF($B299="","",IF('05_PRODUCTOS'!$K299="NO","NO","SI"))</f>
        <v/>
      </c>
      <c r="H299" s="49" t="str">
        <f>IF($B299="","",N('15_STOCK'!$J299))</f>
        <v/>
      </c>
      <c r="I299" s="39"/>
      <c r="J299" s="48" t="str">
        <f>IF(OR(tblConteo[[#This Row],[SKU]]="",tblConteo[[#This Row],[Conteo]]=""),"",tblConteo[[#This Row],[Conteo]]-tblConteo[[#This Row],[StockSistema]])</f>
        <v/>
      </c>
      <c r="K299" s="52" t="str">
        <f>IF($J299="","",$J299*N('15_STOCK'!$O299))</f>
        <v/>
      </c>
      <c r="L299" s="41" t="str">
        <f>IF(tblConteo[[#This Row],[Diferencia]]="","",IF(tblConteo[[#This Row],[Diferencia]]=0,"✔ Cuadra",IF(tblConteo[[#This Row],[Diferencia]]&gt;0,"▲ Sobrante","▼ Faltante")))</f>
        <v/>
      </c>
      <c r="M29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0" spans="2:13" x14ac:dyDescent="0.25">
      <c r="B300" s="40" t="str">
        <f>IF('05_PRODUCTOS'!$B300="","",'05_PRODUCTOS'!$B300)</f>
        <v/>
      </c>
      <c r="C300" s="43" t="str">
        <f>IF($B300="","",'05_PRODUCTOS'!$C300)</f>
        <v/>
      </c>
      <c r="D300" s="43" t="str">
        <f>IF($B300="","",'05_PRODUCTOS'!$D300)</f>
        <v/>
      </c>
      <c r="E300" s="40" t="str">
        <f>IF($B300="","",'05_PRODUCTOS'!$J300&amp;"")</f>
        <v/>
      </c>
      <c r="F300" s="40" t="str">
        <f>IF($B300="","",'05_PRODUCTOS'!$E300)</f>
        <v/>
      </c>
      <c r="G300" s="40" t="str">
        <f>IF($B300="","",IF('05_PRODUCTOS'!$K300="NO","NO","SI"))</f>
        <v/>
      </c>
      <c r="H300" s="49" t="str">
        <f>IF($B300="","",N('15_STOCK'!$J300))</f>
        <v/>
      </c>
      <c r="I300" s="39"/>
      <c r="J300" s="48" t="str">
        <f>IF(OR(tblConteo[[#This Row],[SKU]]="",tblConteo[[#This Row],[Conteo]]=""),"",tblConteo[[#This Row],[Conteo]]-tblConteo[[#This Row],[StockSistema]])</f>
        <v/>
      </c>
      <c r="K300" s="52" t="str">
        <f>IF($J300="","",$J300*N('15_STOCK'!$O300))</f>
        <v/>
      </c>
      <c r="L300" s="41" t="str">
        <f>IF(tblConteo[[#This Row],[Diferencia]]="","",IF(tblConteo[[#This Row],[Diferencia]]=0,"✔ Cuadra",IF(tblConteo[[#This Row],[Diferencia]]&gt;0,"▲ Sobrante","▼ Faltante")))</f>
        <v/>
      </c>
      <c r="M30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1" spans="2:13" x14ac:dyDescent="0.25">
      <c r="B301" s="40" t="str">
        <f>IF('05_PRODUCTOS'!$B301="","",'05_PRODUCTOS'!$B301)</f>
        <v/>
      </c>
      <c r="C301" s="43" t="str">
        <f>IF($B301="","",'05_PRODUCTOS'!$C301)</f>
        <v/>
      </c>
      <c r="D301" s="43" t="str">
        <f>IF($B301="","",'05_PRODUCTOS'!$D301)</f>
        <v/>
      </c>
      <c r="E301" s="40" t="str">
        <f>IF($B301="","",'05_PRODUCTOS'!$J301&amp;"")</f>
        <v/>
      </c>
      <c r="F301" s="40" t="str">
        <f>IF($B301="","",'05_PRODUCTOS'!$E301)</f>
        <v/>
      </c>
      <c r="G301" s="40" t="str">
        <f>IF($B301="","",IF('05_PRODUCTOS'!$K301="NO","NO","SI"))</f>
        <v/>
      </c>
      <c r="H301" s="49" t="str">
        <f>IF($B301="","",N('15_STOCK'!$J301))</f>
        <v/>
      </c>
      <c r="I301" s="39"/>
      <c r="J301" s="48" t="str">
        <f>IF(OR(tblConteo[[#This Row],[SKU]]="",tblConteo[[#This Row],[Conteo]]=""),"",tblConteo[[#This Row],[Conteo]]-tblConteo[[#This Row],[StockSistema]])</f>
        <v/>
      </c>
      <c r="K301" s="52" t="str">
        <f>IF($J301="","",$J301*N('15_STOCK'!$O301))</f>
        <v/>
      </c>
      <c r="L301" s="41" t="str">
        <f>IF(tblConteo[[#This Row],[Diferencia]]="","",IF(tblConteo[[#This Row],[Diferencia]]=0,"✔ Cuadra",IF(tblConteo[[#This Row],[Diferencia]]&gt;0,"▲ Sobrante","▼ Faltante")))</f>
        <v/>
      </c>
      <c r="M30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2" spans="2:13" x14ac:dyDescent="0.25">
      <c r="B302" s="40" t="str">
        <f>IF('05_PRODUCTOS'!$B302="","",'05_PRODUCTOS'!$B302)</f>
        <v/>
      </c>
      <c r="C302" s="43" t="str">
        <f>IF($B302="","",'05_PRODUCTOS'!$C302)</f>
        <v/>
      </c>
      <c r="D302" s="43" t="str">
        <f>IF($B302="","",'05_PRODUCTOS'!$D302)</f>
        <v/>
      </c>
      <c r="E302" s="40" t="str">
        <f>IF($B302="","",'05_PRODUCTOS'!$J302&amp;"")</f>
        <v/>
      </c>
      <c r="F302" s="40" t="str">
        <f>IF($B302="","",'05_PRODUCTOS'!$E302)</f>
        <v/>
      </c>
      <c r="G302" s="40" t="str">
        <f>IF($B302="","",IF('05_PRODUCTOS'!$K302="NO","NO","SI"))</f>
        <v/>
      </c>
      <c r="H302" s="49" t="str">
        <f>IF($B302="","",N('15_STOCK'!$J302))</f>
        <v/>
      </c>
      <c r="I302" s="39"/>
      <c r="J302" s="48" t="str">
        <f>IF(OR(tblConteo[[#This Row],[SKU]]="",tblConteo[[#This Row],[Conteo]]=""),"",tblConteo[[#This Row],[Conteo]]-tblConteo[[#This Row],[StockSistema]])</f>
        <v/>
      </c>
      <c r="K302" s="52" t="str">
        <f>IF($J302="","",$J302*N('15_STOCK'!$O302))</f>
        <v/>
      </c>
      <c r="L302" s="41" t="str">
        <f>IF(tblConteo[[#This Row],[Diferencia]]="","",IF(tblConteo[[#This Row],[Diferencia]]=0,"✔ Cuadra",IF(tblConteo[[#This Row],[Diferencia]]&gt;0,"▲ Sobrante","▼ Faltante")))</f>
        <v/>
      </c>
      <c r="M30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3" spans="2:13" x14ac:dyDescent="0.25">
      <c r="B303" s="40" t="str">
        <f>IF('05_PRODUCTOS'!$B303="","",'05_PRODUCTOS'!$B303)</f>
        <v/>
      </c>
      <c r="C303" s="43" t="str">
        <f>IF($B303="","",'05_PRODUCTOS'!$C303)</f>
        <v/>
      </c>
      <c r="D303" s="43" t="str">
        <f>IF($B303="","",'05_PRODUCTOS'!$D303)</f>
        <v/>
      </c>
      <c r="E303" s="40" t="str">
        <f>IF($B303="","",'05_PRODUCTOS'!$J303&amp;"")</f>
        <v/>
      </c>
      <c r="F303" s="40" t="str">
        <f>IF($B303="","",'05_PRODUCTOS'!$E303)</f>
        <v/>
      </c>
      <c r="G303" s="40" t="str">
        <f>IF($B303="","",IF('05_PRODUCTOS'!$K303="NO","NO","SI"))</f>
        <v/>
      </c>
      <c r="H303" s="49" t="str">
        <f>IF($B303="","",N('15_STOCK'!$J303))</f>
        <v/>
      </c>
      <c r="I303" s="39"/>
      <c r="J303" s="48" t="str">
        <f>IF(OR(tblConteo[[#This Row],[SKU]]="",tblConteo[[#This Row],[Conteo]]=""),"",tblConteo[[#This Row],[Conteo]]-tblConteo[[#This Row],[StockSistema]])</f>
        <v/>
      </c>
      <c r="K303" s="52" t="str">
        <f>IF($J303="","",$J303*N('15_STOCK'!$O303))</f>
        <v/>
      </c>
      <c r="L303" s="41" t="str">
        <f>IF(tblConteo[[#This Row],[Diferencia]]="","",IF(tblConteo[[#This Row],[Diferencia]]=0,"✔ Cuadra",IF(tblConteo[[#This Row],[Diferencia]]&gt;0,"▲ Sobrante","▼ Faltante")))</f>
        <v/>
      </c>
      <c r="M30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4" spans="2:13" x14ac:dyDescent="0.25">
      <c r="B304" s="40" t="str">
        <f>IF('05_PRODUCTOS'!$B304="","",'05_PRODUCTOS'!$B304)</f>
        <v/>
      </c>
      <c r="C304" s="43" t="str">
        <f>IF($B304="","",'05_PRODUCTOS'!$C304)</f>
        <v/>
      </c>
      <c r="D304" s="43" t="str">
        <f>IF($B304="","",'05_PRODUCTOS'!$D304)</f>
        <v/>
      </c>
      <c r="E304" s="40" t="str">
        <f>IF($B304="","",'05_PRODUCTOS'!$J304&amp;"")</f>
        <v/>
      </c>
      <c r="F304" s="40" t="str">
        <f>IF($B304="","",'05_PRODUCTOS'!$E304)</f>
        <v/>
      </c>
      <c r="G304" s="40" t="str">
        <f>IF($B304="","",IF('05_PRODUCTOS'!$K304="NO","NO","SI"))</f>
        <v/>
      </c>
      <c r="H304" s="49" t="str">
        <f>IF($B304="","",N('15_STOCK'!$J304))</f>
        <v/>
      </c>
      <c r="I304" s="39"/>
      <c r="J304" s="48" t="str">
        <f>IF(OR(tblConteo[[#This Row],[SKU]]="",tblConteo[[#This Row],[Conteo]]=""),"",tblConteo[[#This Row],[Conteo]]-tblConteo[[#This Row],[StockSistema]])</f>
        <v/>
      </c>
      <c r="K304" s="52" t="str">
        <f>IF($J304="","",$J304*N('15_STOCK'!$O304))</f>
        <v/>
      </c>
      <c r="L304" s="41" t="str">
        <f>IF(tblConteo[[#This Row],[Diferencia]]="","",IF(tblConteo[[#This Row],[Diferencia]]=0,"✔ Cuadra",IF(tblConteo[[#This Row],[Diferencia]]&gt;0,"▲ Sobrante","▼ Faltante")))</f>
        <v/>
      </c>
      <c r="M30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5" spans="2:13" x14ac:dyDescent="0.25">
      <c r="B305" s="40" t="str">
        <f>IF('05_PRODUCTOS'!$B305="","",'05_PRODUCTOS'!$B305)</f>
        <v/>
      </c>
      <c r="C305" s="43" t="str">
        <f>IF($B305="","",'05_PRODUCTOS'!$C305)</f>
        <v/>
      </c>
      <c r="D305" s="43" t="str">
        <f>IF($B305="","",'05_PRODUCTOS'!$D305)</f>
        <v/>
      </c>
      <c r="E305" s="40" t="str">
        <f>IF($B305="","",'05_PRODUCTOS'!$J305&amp;"")</f>
        <v/>
      </c>
      <c r="F305" s="40" t="str">
        <f>IF($B305="","",'05_PRODUCTOS'!$E305)</f>
        <v/>
      </c>
      <c r="G305" s="40" t="str">
        <f>IF($B305="","",IF('05_PRODUCTOS'!$K305="NO","NO","SI"))</f>
        <v/>
      </c>
      <c r="H305" s="49" t="str">
        <f>IF($B305="","",N('15_STOCK'!$J305))</f>
        <v/>
      </c>
      <c r="I305" s="39"/>
      <c r="J305" s="48" t="str">
        <f>IF(OR(tblConteo[[#This Row],[SKU]]="",tblConteo[[#This Row],[Conteo]]=""),"",tblConteo[[#This Row],[Conteo]]-tblConteo[[#This Row],[StockSistema]])</f>
        <v/>
      </c>
      <c r="K305" s="52" t="str">
        <f>IF($J305="","",$J305*N('15_STOCK'!$O305))</f>
        <v/>
      </c>
      <c r="L305" s="41" t="str">
        <f>IF(tblConteo[[#This Row],[Diferencia]]="","",IF(tblConteo[[#This Row],[Diferencia]]=0,"✔ Cuadra",IF(tblConteo[[#This Row],[Diferencia]]&gt;0,"▲ Sobrante","▼ Faltante")))</f>
        <v/>
      </c>
      <c r="M30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6" spans="2:13" x14ac:dyDescent="0.25">
      <c r="B306" s="40" t="str">
        <f>IF('05_PRODUCTOS'!$B306="","",'05_PRODUCTOS'!$B306)</f>
        <v/>
      </c>
      <c r="C306" s="43" t="str">
        <f>IF($B306="","",'05_PRODUCTOS'!$C306)</f>
        <v/>
      </c>
      <c r="D306" s="43" t="str">
        <f>IF($B306="","",'05_PRODUCTOS'!$D306)</f>
        <v/>
      </c>
      <c r="E306" s="40" t="str">
        <f>IF($B306="","",'05_PRODUCTOS'!$J306&amp;"")</f>
        <v/>
      </c>
      <c r="F306" s="40" t="str">
        <f>IF($B306="","",'05_PRODUCTOS'!$E306)</f>
        <v/>
      </c>
      <c r="G306" s="40" t="str">
        <f>IF($B306="","",IF('05_PRODUCTOS'!$K306="NO","NO","SI"))</f>
        <v/>
      </c>
      <c r="H306" s="49" t="str">
        <f>IF($B306="","",N('15_STOCK'!$J306))</f>
        <v/>
      </c>
      <c r="I306" s="39"/>
      <c r="J306" s="48" t="str">
        <f>IF(OR(tblConteo[[#This Row],[SKU]]="",tblConteo[[#This Row],[Conteo]]=""),"",tblConteo[[#This Row],[Conteo]]-tblConteo[[#This Row],[StockSistema]])</f>
        <v/>
      </c>
      <c r="K306" s="52" t="str">
        <f>IF($J306="","",$J306*N('15_STOCK'!$O306))</f>
        <v/>
      </c>
      <c r="L306" s="41" t="str">
        <f>IF(tblConteo[[#This Row],[Diferencia]]="","",IF(tblConteo[[#This Row],[Diferencia]]=0,"✔ Cuadra",IF(tblConteo[[#This Row],[Diferencia]]&gt;0,"▲ Sobrante","▼ Faltante")))</f>
        <v/>
      </c>
      <c r="M30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7" spans="2:13" x14ac:dyDescent="0.25">
      <c r="B307" s="40" t="str">
        <f>IF('05_PRODUCTOS'!$B307="","",'05_PRODUCTOS'!$B307)</f>
        <v/>
      </c>
      <c r="C307" s="43" t="str">
        <f>IF($B307="","",'05_PRODUCTOS'!$C307)</f>
        <v/>
      </c>
      <c r="D307" s="43" t="str">
        <f>IF($B307="","",'05_PRODUCTOS'!$D307)</f>
        <v/>
      </c>
      <c r="E307" s="40" t="str">
        <f>IF($B307="","",'05_PRODUCTOS'!$J307&amp;"")</f>
        <v/>
      </c>
      <c r="F307" s="40" t="str">
        <f>IF($B307="","",'05_PRODUCTOS'!$E307)</f>
        <v/>
      </c>
      <c r="G307" s="40" t="str">
        <f>IF($B307="","",IF('05_PRODUCTOS'!$K307="NO","NO","SI"))</f>
        <v/>
      </c>
      <c r="H307" s="49" t="str">
        <f>IF($B307="","",N('15_STOCK'!$J307))</f>
        <v/>
      </c>
      <c r="I307" s="39"/>
      <c r="J307" s="48" t="str">
        <f>IF(OR(tblConteo[[#This Row],[SKU]]="",tblConteo[[#This Row],[Conteo]]=""),"",tblConteo[[#This Row],[Conteo]]-tblConteo[[#This Row],[StockSistema]])</f>
        <v/>
      </c>
      <c r="K307" s="52" t="str">
        <f>IF($J307="","",$J307*N('15_STOCK'!$O307))</f>
        <v/>
      </c>
      <c r="L307" s="41" t="str">
        <f>IF(tblConteo[[#This Row],[Diferencia]]="","",IF(tblConteo[[#This Row],[Diferencia]]=0,"✔ Cuadra",IF(tblConteo[[#This Row],[Diferencia]]&gt;0,"▲ Sobrante","▼ Faltante")))</f>
        <v/>
      </c>
      <c r="M30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8" spans="2:13" x14ac:dyDescent="0.25">
      <c r="B308" s="40" t="str">
        <f>IF('05_PRODUCTOS'!$B308="","",'05_PRODUCTOS'!$B308)</f>
        <v/>
      </c>
      <c r="C308" s="43" t="str">
        <f>IF($B308="","",'05_PRODUCTOS'!$C308)</f>
        <v/>
      </c>
      <c r="D308" s="43" t="str">
        <f>IF($B308="","",'05_PRODUCTOS'!$D308)</f>
        <v/>
      </c>
      <c r="E308" s="40" t="str">
        <f>IF($B308="","",'05_PRODUCTOS'!$J308&amp;"")</f>
        <v/>
      </c>
      <c r="F308" s="40" t="str">
        <f>IF($B308="","",'05_PRODUCTOS'!$E308)</f>
        <v/>
      </c>
      <c r="G308" s="40" t="str">
        <f>IF($B308="","",IF('05_PRODUCTOS'!$K308="NO","NO","SI"))</f>
        <v/>
      </c>
      <c r="H308" s="49" t="str">
        <f>IF($B308="","",N('15_STOCK'!$J308))</f>
        <v/>
      </c>
      <c r="I308" s="39"/>
      <c r="J308" s="48" t="str">
        <f>IF(OR(tblConteo[[#This Row],[SKU]]="",tblConteo[[#This Row],[Conteo]]=""),"",tblConteo[[#This Row],[Conteo]]-tblConteo[[#This Row],[StockSistema]])</f>
        <v/>
      </c>
      <c r="K308" s="52" t="str">
        <f>IF($J308="","",$J308*N('15_STOCK'!$O308))</f>
        <v/>
      </c>
      <c r="L308" s="41" t="str">
        <f>IF(tblConteo[[#This Row],[Diferencia]]="","",IF(tblConteo[[#This Row],[Diferencia]]=0,"✔ Cuadra",IF(tblConteo[[#This Row],[Diferencia]]&gt;0,"▲ Sobrante","▼ Faltante")))</f>
        <v/>
      </c>
      <c r="M30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09" spans="2:13" x14ac:dyDescent="0.25">
      <c r="B309" s="40" t="str">
        <f>IF('05_PRODUCTOS'!$B309="","",'05_PRODUCTOS'!$B309)</f>
        <v/>
      </c>
      <c r="C309" s="43" t="str">
        <f>IF($B309="","",'05_PRODUCTOS'!$C309)</f>
        <v/>
      </c>
      <c r="D309" s="43" t="str">
        <f>IF($B309="","",'05_PRODUCTOS'!$D309)</f>
        <v/>
      </c>
      <c r="E309" s="40" t="str">
        <f>IF($B309="","",'05_PRODUCTOS'!$J309&amp;"")</f>
        <v/>
      </c>
      <c r="F309" s="40" t="str">
        <f>IF($B309="","",'05_PRODUCTOS'!$E309)</f>
        <v/>
      </c>
      <c r="G309" s="40" t="str">
        <f>IF($B309="","",IF('05_PRODUCTOS'!$K309="NO","NO","SI"))</f>
        <v/>
      </c>
      <c r="H309" s="49" t="str">
        <f>IF($B309="","",N('15_STOCK'!$J309))</f>
        <v/>
      </c>
      <c r="I309" s="39"/>
      <c r="J309" s="48" t="str">
        <f>IF(OR(tblConteo[[#This Row],[SKU]]="",tblConteo[[#This Row],[Conteo]]=""),"",tblConteo[[#This Row],[Conteo]]-tblConteo[[#This Row],[StockSistema]])</f>
        <v/>
      </c>
      <c r="K309" s="52" t="str">
        <f>IF($J309="","",$J309*N('15_STOCK'!$O309))</f>
        <v/>
      </c>
      <c r="L309" s="41" t="str">
        <f>IF(tblConteo[[#This Row],[Diferencia]]="","",IF(tblConteo[[#This Row],[Diferencia]]=0,"✔ Cuadra",IF(tblConteo[[#This Row],[Diferencia]]&gt;0,"▲ Sobrante","▼ Faltante")))</f>
        <v/>
      </c>
      <c r="M30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0" spans="2:13" x14ac:dyDescent="0.25">
      <c r="B310" s="40" t="str">
        <f>IF('05_PRODUCTOS'!$B310="","",'05_PRODUCTOS'!$B310)</f>
        <v/>
      </c>
      <c r="C310" s="43" t="str">
        <f>IF($B310="","",'05_PRODUCTOS'!$C310)</f>
        <v/>
      </c>
      <c r="D310" s="43" t="str">
        <f>IF($B310="","",'05_PRODUCTOS'!$D310)</f>
        <v/>
      </c>
      <c r="E310" s="40" t="str">
        <f>IF($B310="","",'05_PRODUCTOS'!$J310&amp;"")</f>
        <v/>
      </c>
      <c r="F310" s="40" t="str">
        <f>IF($B310="","",'05_PRODUCTOS'!$E310)</f>
        <v/>
      </c>
      <c r="G310" s="40" t="str">
        <f>IF($B310="","",IF('05_PRODUCTOS'!$K310="NO","NO","SI"))</f>
        <v/>
      </c>
      <c r="H310" s="49" t="str">
        <f>IF($B310="","",N('15_STOCK'!$J310))</f>
        <v/>
      </c>
      <c r="I310" s="39"/>
      <c r="J310" s="48" t="str">
        <f>IF(OR(tblConteo[[#This Row],[SKU]]="",tblConteo[[#This Row],[Conteo]]=""),"",tblConteo[[#This Row],[Conteo]]-tblConteo[[#This Row],[StockSistema]])</f>
        <v/>
      </c>
      <c r="K310" s="52" t="str">
        <f>IF($J310="","",$J310*N('15_STOCK'!$O310))</f>
        <v/>
      </c>
      <c r="L310" s="41" t="str">
        <f>IF(tblConteo[[#This Row],[Diferencia]]="","",IF(tblConteo[[#This Row],[Diferencia]]=0,"✔ Cuadra",IF(tblConteo[[#This Row],[Diferencia]]&gt;0,"▲ Sobrante","▼ Faltante")))</f>
        <v/>
      </c>
      <c r="M31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1" spans="2:13" x14ac:dyDescent="0.25">
      <c r="B311" s="40" t="str">
        <f>IF('05_PRODUCTOS'!$B311="","",'05_PRODUCTOS'!$B311)</f>
        <v/>
      </c>
      <c r="C311" s="43" t="str">
        <f>IF($B311="","",'05_PRODUCTOS'!$C311)</f>
        <v/>
      </c>
      <c r="D311" s="43" t="str">
        <f>IF($B311="","",'05_PRODUCTOS'!$D311)</f>
        <v/>
      </c>
      <c r="E311" s="40" t="str">
        <f>IF($B311="","",'05_PRODUCTOS'!$J311&amp;"")</f>
        <v/>
      </c>
      <c r="F311" s="40" t="str">
        <f>IF($B311="","",'05_PRODUCTOS'!$E311)</f>
        <v/>
      </c>
      <c r="G311" s="40" t="str">
        <f>IF($B311="","",IF('05_PRODUCTOS'!$K311="NO","NO","SI"))</f>
        <v/>
      </c>
      <c r="H311" s="49" t="str">
        <f>IF($B311="","",N('15_STOCK'!$J311))</f>
        <v/>
      </c>
      <c r="I311" s="39"/>
      <c r="J311" s="48" t="str">
        <f>IF(OR(tblConteo[[#This Row],[SKU]]="",tblConteo[[#This Row],[Conteo]]=""),"",tblConteo[[#This Row],[Conteo]]-tblConteo[[#This Row],[StockSistema]])</f>
        <v/>
      </c>
      <c r="K311" s="52" t="str">
        <f>IF($J311="","",$J311*N('15_STOCK'!$O311))</f>
        <v/>
      </c>
      <c r="L311" s="41" t="str">
        <f>IF(tblConteo[[#This Row],[Diferencia]]="","",IF(tblConteo[[#This Row],[Diferencia]]=0,"✔ Cuadra",IF(tblConteo[[#This Row],[Diferencia]]&gt;0,"▲ Sobrante","▼ Faltante")))</f>
        <v/>
      </c>
      <c r="M31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2" spans="2:13" x14ac:dyDescent="0.25">
      <c r="B312" s="40" t="str">
        <f>IF('05_PRODUCTOS'!$B312="","",'05_PRODUCTOS'!$B312)</f>
        <v/>
      </c>
      <c r="C312" s="43" t="str">
        <f>IF($B312="","",'05_PRODUCTOS'!$C312)</f>
        <v/>
      </c>
      <c r="D312" s="43" t="str">
        <f>IF($B312="","",'05_PRODUCTOS'!$D312)</f>
        <v/>
      </c>
      <c r="E312" s="40" t="str">
        <f>IF($B312="","",'05_PRODUCTOS'!$J312&amp;"")</f>
        <v/>
      </c>
      <c r="F312" s="40" t="str">
        <f>IF($B312="","",'05_PRODUCTOS'!$E312)</f>
        <v/>
      </c>
      <c r="G312" s="40" t="str">
        <f>IF($B312="","",IF('05_PRODUCTOS'!$K312="NO","NO","SI"))</f>
        <v/>
      </c>
      <c r="H312" s="49" t="str">
        <f>IF($B312="","",N('15_STOCK'!$J312))</f>
        <v/>
      </c>
      <c r="I312" s="39"/>
      <c r="J312" s="48" t="str">
        <f>IF(OR(tblConteo[[#This Row],[SKU]]="",tblConteo[[#This Row],[Conteo]]=""),"",tblConteo[[#This Row],[Conteo]]-tblConteo[[#This Row],[StockSistema]])</f>
        <v/>
      </c>
      <c r="K312" s="52" t="str">
        <f>IF($J312="","",$J312*N('15_STOCK'!$O312))</f>
        <v/>
      </c>
      <c r="L312" s="41" t="str">
        <f>IF(tblConteo[[#This Row],[Diferencia]]="","",IF(tblConteo[[#This Row],[Diferencia]]=0,"✔ Cuadra",IF(tblConteo[[#This Row],[Diferencia]]&gt;0,"▲ Sobrante","▼ Faltante")))</f>
        <v/>
      </c>
      <c r="M31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3" spans="2:13" x14ac:dyDescent="0.25">
      <c r="B313" s="40" t="str">
        <f>IF('05_PRODUCTOS'!$B313="","",'05_PRODUCTOS'!$B313)</f>
        <v/>
      </c>
      <c r="C313" s="43" t="str">
        <f>IF($B313="","",'05_PRODUCTOS'!$C313)</f>
        <v/>
      </c>
      <c r="D313" s="43" t="str">
        <f>IF($B313="","",'05_PRODUCTOS'!$D313)</f>
        <v/>
      </c>
      <c r="E313" s="40" t="str">
        <f>IF($B313="","",'05_PRODUCTOS'!$J313&amp;"")</f>
        <v/>
      </c>
      <c r="F313" s="40" t="str">
        <f>IF($B313="","",'05_PRODUCTOS'!$E313)</f>
        <v/>
      </c>
      <c r="G313" s="40" t="str">
        <f>IF($B313="","",IF('05_PRODUCTOS'!$K313="NO","NO","SI"))</f>
        <v/>
      </c>
      <c r="H313" s="49" t="str">
        <f>IF($B313="","",N('15_STOCK'!$J313))</f>
        <v/>
      </c>
      <c r="I313" s="39"/>
      <c r="J313" s="48" t="str">
        <f>IF(OR(tblConteo[[#This Row],[SKU]]="",tblConteo[[#This Row],[Conteo]]=""),"",tblConteo[[#This Row],[Conteo]]-tblConteo[[#This Row],[StockSistema]])</f>
        <v/>
      </c>
      <c r="K313" s="52" t="str">
        <f>IF($J313="","",$J313*N('15_STOCK'!$O313))</f>
        <v/>
      </c>
      <c r="L313" s="41" t="str">
        <f>IF(tblConteo[[#This Row],[Diferencia]]="","",IF(tblConteo[[#This Row],[Diferencia]]=0,"✔ Cuadra",IF(tblConteo[[#This Row],[Diferencia]]&gt;0,"▲ Sobrante","▼ Faltante")))</f>
        <v/>
      </c>
      <c r="M31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4" spans="2:13" x14ac:dyDescent="0.25">
      <c r="B314" s="40" t="str">
        <f>IF('05_PRODUCTOS'!$B314="","",'05_PRODUCTOS'!$B314)</f>
        <v/>
      </c>
      <c r="C314" s="43" t="str">
        <f>IF($B314="","",'05_PRODUCTOS'!$C314)</f>
        <v/>
      </c>
      <c r="D314" s="43" t="str">
        <f>IF($B314="","",'05_PRODUCTOS'!$D314)</f>
        <v/>
      </c>
      <c r="E314" s="40" t="str">
        <f>IF($B314="","",'05_PRODUCTOS'!$J314&amp;"")</f>
        <v/>
      </c>
      <c r="F314" s="40" t="str">
        <f>IF($B314="","",'05_PRODUCTOS'!$E314)</f>
        <v/>
      </c>
      <c r="G314" s="40" t="str">
        <f>IF($B314="","",IF('05_PRODUCTOS'!$K314="NO","NO","SI"))</f>
        <v/>
      </c>
      <c r="H314" s="49" t="str">
        <f>IF($B314="","",N('15_STOCK'!$J314))</f>
        <v/>
      </c>
      <c r="I314" s="39"/>
      <c r="J314" s="48" t="str">
        <f>IF(OR(tblConteo[[#This Row],[SKU]]="",tblConteo[[#This Row],[Conteo]]=""),"",tblConteo[[#This Row],[Conteo]]-tblConteo[[#This Row],[StockSistema]])</f>
        <v/>
      </c>
      <c r="K314" s="52" t="str">
        <f>IF($J314="","",$J314*N('15_STOCK'!$O314))</f>
        <v/>
      </c>
      <c r="L314" s="41" t="str">
        <f>IF(tblConteo[[#This Row],[Diferencia]]="","",IF(tblConteo[[#This Row],[Diferencia]]=0,"✔ Cuadra",IF(tblConteo[[#This Row],[Diferencia]]&gt;0,"▲ Sobrante","▼ Faltante")))</f>
        <v/>
      </c>
      <c r="M31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5" spans="2:13" x14ac:dyDescent="0.25">
      <c r="B315" s="40" t="str">
        <f>IF('05_PRODUCTOS'!$B315="","",'05_PRODUCTOS'!$B315)</f>
        <v/>
      </c>
      <c r="C315" s="43" t="str">
        <f>IF($B315="","",'05_PRODUCTOS'!$C315)</f>
        <v/>
      </c>
      <c r="D315" s="43" t="str">
        <f>IF($B315="","",'05_PRODUCTOS'!$D315)</f>
        <v/>
      </c>
      <c r="E315" s="40" t="str">
        <f>IF($B315="","",'05_PRODUCTOS'!$J315&amp;"")</f>
        <v/>
      </c>
      <c r="F315" s="40" t="str">
        <f>IF($B315="","",'05_PRODUCTOS'!$E315)</f>
        <v/>
      </c>
      <c r="G315" s="40" t="str">
        <f>IF($B315="","",IF('05_PRODUCTOS'!$K315="NO","NO","SI"))</f>
        <v/>
      </c>
      <c r="H315" s="49" t="str">
        <f>IF($B315="","",N('15_STOCK'!$J315))</f>
        <v/>
      </c>
      <c r="I315" s="39"/>
      <c r="J315" s="48" t="str">
        <f>IF(OR(tblConteo[[#This Row],[SKU]]="",tblConteo[[#This Row],[Conteo]]=""),"",tblConteo[[#This Row],[Conteo]]-tblConteo[[#This Row],[StockSistema]])</f>
        <v/>
      </c>
      <c r="K315" s="52" t="str">
        <f>IF($J315="","",$J315*N('15_STOCK'!$O315))</f>
        <v/>
      </c>
      <c r="L315" s="41" t="str">
        <f>IF(tblConteo[[#This Row],[Diferencia]]="","",IF(tblConteo[[#This Row],[Diferencia]]=0,"✔ Cuadra",IF(tblConteo[[#This Row],[Diferencia]]&gt;0,"▲ Sobrante","▼ Faltante")))</f>
        <v/>
      </c>
      <c r="M31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6" spans="2:13" x14ac:dyDescent="0.25">
      <c r="B316" s="40" t="str">
        <f>IF('05_PRODUCTOS'!$B316="","",'05_PRODUCTOS'!$B316)</f>
        <v/>
      </c>
      <c r="C316" s="43" t="str">
        <f>IF($B316="","",'05_PRODUCTOS'!$C316)</f>
        <v/>
      </c>
      <c r="D316" s="43" t="str">
        <f>IF($B316="","",'05_PRODUCTOS'!$D316)</f>
        <v/>
      </c>
      <c r="E316" s="40" t="str">
        <f>IF($B316="","",'05_PRODUCTOS'!$J316&amp;"")</f>
        <v/>
      </c>
      <c r="F316" s="40" t="str">
        <f>IF($B316="","",'05_PRODUCTOS'!$E316)</f>
        <v/>
      </c>
      <c r="G316" s="40" t="str">
        <f>IF($B316="","",IF('05_PRODUCTOS'!$K316="NO","NO","SI"))</f>
        <v/>
      </c>
      <c r="H316" s="49" t="str">
        <f>IF($B316="","",N('15_STOCK'!$J316))</f>
        <v/>
      </c>
      <c r="I316" s="39"/>
      <c r="J316" s="48" t="str">
        <f>IF(OR(tblConteo[[#This Row],[SKU]]="",tblConteo[[#This Row],[Conteo]]=""),"",tblConteo[[#This Row],[Conteo]]-tblConteo[[#This Row],[StockSistema]])</f>
        <v/>
      </c>
      <c r="K316" s="52" t="str">
        <f>IF($J316="","",$J316*N('15_STOCK'!$O316))</f>
        <v/>
      </c>
      <c r="L316" s="41" t="str">
        <f>IF(tblConteo[[#This Row],[Diferencia]]="","",IF(tblConteo[[#This Row],[Diferencia]]=0,"✔ Cuadra",IF(tblConteo[[#This Row],[Diferencia]]&gt;0,"▲ Sobrante","▼ Faltante")))</f>
        <v/>
      </c>
      <c r="M31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7" spans="2:13" x14ac:dyDescent="0.25">
      <c r="B317" s="40" t="str">
        <f>IF('05_PRODUCTOS'!$B317="","",'05_PRODUCTOS'!$B317)</f>
        <v/>
      </c>
      <c r="C317" s="43" t="str">
        <f>IF($B317="","",'05_PRODUCTOS'!$C317)</f>
        <v/>
      </c>
      <c r="D317" s="43" t="str">
        <f>IF($B317="","",'05_PRODUCTOS'!$D317)</f>
        <v/>
      </c>
      <c r="E317" s="40" t="str">
        <f>IF($B317="","",'05_PRODUCTOS'!$J317&amp;"")</f>
        <v/>
      </c>
      <c r="F317" s="40" t="str">
        <f>IF($B317="","",'05_PRODUCTOS'!$E317)</f>
        <v/>
      </c>
      <c r="G317" s="40" t="str">
        <f>IF($B317="","",IF('05_PRODUCTOS'!$K317="NO","NO","SI"))</f>
        <v/>
      </c>
      <c r="H317" s="49" t="str">
        <f>IF($B317="","",N('15_STOCK'!$J317))</f>
        <v/>
      </c>
      <c r="I317" s="39"/>
      <c r="J317" s="48" t="str">
        <f>IF(OR(tblConteo[[#This Row],[SKU]]="",tblConteo[[#This Row],[Conteo]]=""),"",tblConteo[[#This Row],[Conteo]]-tblConteo[[#This Row],[StockSistema]])</f>
        <v/>
      </c>
      <c r="K317" s="52" t="str">
        <f>IF($J317="","",$J317*N('15_STOCK'!$O317))</f>
        <v/>
      </c>
      <c r="L317" s="41" t="str">
        <f>IF(tblConteo[[#This Row],[Diferencia]]="","",IF(tblConteo[[#This Row],[Diferencia]]=0,"✔ Cuadra",IF(tblConteo[[#This Row],[Diferencia]]&gt;0,"▲ Sobrante","▼ Faltante")))</f>
        <v/>
      </c>
      <c r="M31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8" spans="2:13" x14ac:dyDescent="0.25">
      <c r="B318" s="40" t="str">
        <f>IF('05_PRODUCTOS'!$B318="","",'05_PRODUCTOS'!$B318)</f>
        <v/>
      </c>
      <c r="C318" s="43" t="str">
        <f>IF($B318="","",'05_PRODUCTOS'!$C318)</f>
        <v/>
      </c>
      <c r="D318" s="43" t="str">
        <f>IF($B318="","",'05_PRODUCTOS'!$D318)</f>
        <v/>
      </c>
      <c r="E318" s="40" t="str">
        <f>IF($B318="","",'05_PRODUCTOS'!$J318&amp;"")</f>
        <v/>
      </c>
      <c r="F318" s="40" t="str">
        <f>IF($B318="","",'05_PRODUCTOS'!$E318)</f>
        <v/>
      </c>
      <c r="G318" s="40" t="str">
        <f>IF($B318="","",IF('05_PRODUCTOS'!$K318="NO","NO","SI"))</f>
        <v/>
      </c>
      <c r="H318" s="49" t="str">
        <f>IF($B318="","",N('15_STOCK'!$J318))</f>
        <v/>
      </c>
      <c r="I318" s="39"/>
      <c r="J318" s="48" t="str">
        <f>IF(OR(tblConteo[[#This Row],[SKU]]="",tblConteo[[#This Row],[Conteo]]=""),"",tblConteo[[#This Row],[Conteo]]-tblConteo[[#This Row],[StockSistema]])</f>
        <v/>
      </c>
      <c r="K318" s="52" t="str">
        <f>IF($J318="","",$J318*N('15_STOCK'!$O318))</f>
        <v/>
      </c>
      <c r="L318" s="41" t="str">
        <f>IF(tblConteo[[#This Row],[Diferencia]]="","",IF(tblConteo[[#This Row],[Diferencia]]=0,"✔ Cuadra",IF(tblConteo[[#This Row],[Diferencia]]&gt;0,"▲ Sobrante","▼ Faltante")))</f>
        <v/>
      </c>
      <c r="M31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19" spans="2:13" x14ac:dyDescent="0.25">
      <c r="B319" s="40" t="str">
        <f>IF('05_PRODUCTOS'!$B319="","",'05_PRODUCTOS'!$B319)</f>
        <v/>
      </c>
      <c r="C319" s="43" t="str">
        <f>IF($B319="","",'05_PRODUCTOS'!$C319)</f>
        <v/>
      </c>
      <c r="D319" s="43" t="str">
        <f>IF($B319="","",'05_PRODUCTOS'!$D319)</f>
        <v/>
      </c>
      <c r="E319" s="40" t="str">
        <f>IF($B319="","",'05_PRODUCTOS'!$J319&amp;"")</f>
        <v/>
      </c>
      <c r="F319" s="40" t="str">
        <f>IF($B319="","",'05_PRODUCTOS'!$E319)</f>
        <v/>
      </c>
      <c r="G319" s="40" t="str">
        <f>IF($B319="","",IF('05_PRODUCTOS'!$K319="NO","NO","SI"))</f>
        <v/>
      </c>
      <c r="H319" s="49" t="str">
        <f>IF($B319="","",N('15_STOCK'!$J319))</f>
        <v/>
      </c>
      <c r="I319" s="39"/>
      <c r="J319" s="48" t="str">
        <f>IF(OR(tblConteo[[#This Row],[SKU]]="",tblConteo[[#This Row],[Conteo]]=""),"",tblConteo[[#This Row],[Conteo]]-tblConteo[[#This Row],[StockSistema]])</f>
        <v/>
      </c>
      <c r="K319" s="52" t="str">
        <f>IF($J319="","",$J319*N('15_STOCK'!$O319))</f>
        <v/>
      </c>
      <c r="L319" s="41" t="str">
        <f>IF(tblConteo[[#This Row],[Diferencia]]="","",IF(tblConteo[[#This Row],[Diferencia]]=0,"✔ Cuadra",IF(tblConteo[[#This Row],[Diferencia]]&gt;0,"▲ Sobrante","▼ Faltante")))</f>
        <v/>
      </c>
      <c r="M31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0" spans="2:13" x14ac:dyDescent="0.25">
      <c r="B320" s="40" t="str">
        <f>IF('05_PRODUCTOS'!$B320="","",'05_PRODUCTOS'!$B320)</f>
        <v/>
      </c>
      <c r="C320" s="43" t="str">
        <f>IF($B320="","",'05_PRODUCTOS'!$C320)</f>
        <v/>
      </c>
      <c r="D320" s="43" t="str">
        <f>IF($B320="","",'05_PRODUCTOS'!$D320)</f>
        <v/>
      </c>
      <c r="E320" s="40" t="str">
        <f>IF($B320="","",'05_PRODUCTOS'!$J320&amp;"")</f>
        <v/>
      </c>
      <c r="F320" s="40" t="str">
        <f>IF($B320="","",'05_PRODUCTOS'!$E320)</f>
        <v/>
      </c>
      <c r="G320" s="40" t="str">
        <f>IF($B320="","",IF('05_PRODUCTOS'!$K320="NO","NO","SI"))</f>
        <v/>
      </c>
      <c r="H320" s="49" t="str">
        <f>IF($B320="","",N('15_STOCK'!$J320))</f>
        <v/>
      </c>
      <c r="I320" s="39"/>
      <c r="J320" s="48" t="str">
        <f>IF(OR(tblConteo[[#This Row],[SKU]]="",tblConteo[[#This Row],[Conteo]]=""),"",tblConteo[[#This Row],[Conteo]]-tblConteo[[#This Row],[StockSistema]])</f>
        <v/>
      </c>
      <c r="K320" s="52" t="str">
        <f>IF($J320="","",$J320*N('15_STOCK'!$O320))</f>
        <v/>
      </c>
      <c r="L320" s="41" t="str">
        <f>IF(tblConteo[[#This Row],[Diferencia]]="","",IF(tblConteo[[#This Row],[Diferencia]]=0,"✔ Cuadra",IF(tblConteo[[#This Row],[Diferencia]]&gt;0,"▲ Sobrante","▼ Faltante")))</f>
        <v/>
      </c>
      <c r="M32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1" spans="2:13" x14ac:dyDescent="0.25">
      <c r="B321" s="40" t="str">
        <f>IF('05_PRODUCTOS'!$B321="","",'05_PRODUCTOS'!$B321)</f>
        <v/>
      </c>
      <c r="C321" s="43" t="str">
        <f>IF($B321="","",'05_PRODUCTOS'!$C321)</f>
        <v/>
      </c>
      <c r="D321" s="43" t="str">
        <f>IF($B321="","",'05_PRODUCTOS'!$D321)</f>
        <v/>
      </c>
      <c r="E321" s="40" t="str">
        <f>IF($B321="","",'05_PRODUCTOS'!$J321&amp;"")</f>
        <v/>
      </c>
      <c r="F321" s="40" t="str">
        <f>IF($B321="","",'05_PRODUCTOS'!$E321)</f>
        <v/>
      </c>
      <c r="G321" s="40" t="str">
        <f>IF($B321="","",IF('05_PRODUCTOS'!$K321="NO","NO","SI"))</f>
        <v/>
      </c>
      <c r="H321" s="49" t="str">
        <f>IF($B321="","",N('15_STOCK'!$J321))</f>
        <v/>
      </c>
      <c r="I321" s="39"/>
      <c r="J321" s="48" t="str">
        <f>IF(OR(tblConteo[[#This Row],[SKU]]="",tblConteo[[#This Row],[Conteo]]=""),"",tblConteo[[#This Row],[Conteo]]-tblConteo[[#This Row],[StockSistema]])</f>
        <v/>
      </c>
      <c r="K321" s="52" t="str">
        <f>IF($J321="","",$J321*N('15_STOCK'!$O321))</f>
        <v/>
      </c>
      <c r="L321" s="41" t="str">
        <f>IF(tblConteo[[#This Row],[Diferencia]]="","",IF(tblConteo[[#This Row],[Diferencia]]=0,"✔ Cuadra",IF(tblConteo[[#This Row],[Diferencia]]&gt;0,"▲ Sobrante","▼ Faltante")))</f>
        <v/>
      </c>
      <c r="M32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2" spans="2:13" x14ac:dyDescent="0.25">
      <c r="B322" s="40" t="str">
        <f>IF('05_PRODUCTOS'!$B322="","",'05_PRODUCTOS'!$B322)</f>
        <v/>
      </c>
      <c r="C322" s="43" t="str">
        <f>IF($B322="","",'05_PRODUCTOS'!$C322)</f>
        <v/>
      </c>
      <c r="D322" s="43" t="str">
        <f>IF($B322="","",'05_PRODUCTOS'!$D322)</f>
        <v/>
      </c>
      <c r="E322" s="40" t="str">
        <f>IF($B322="","",'05_PRODUCTOS'!$J322&amp;"")</f>
        <v/>
      </c>
      <c r="F322" s="40" t="str">
        <f>IF($B322="","",'05_PRODUCTOS'!$E322)</f>
        <v/>
      </c>
      <c r="G322" s="40" t="str">
        <f>IF($B322="","",IF('05_PRODUCTOS'!$K322="NO","NO","SI"))</f>
        <v/>
      </c>
      <c r="H322" s="49" t="str">
        <f>IF($B322="","",N('15_STOCK'!$J322))</f>
        <v/>
      </c>
      <c r="I322" s="39"/>
      <c r="J322" s="48" t="str">
        <f>IF(OR(tblConteo[[#This Row],[SKU]]="",tblConteo[[#This Row],[Conteo]]=""),"",tblConteo[[#This Row],[Conteo]]-tblConteo[[#This Row],[StockSistema]])</f>
        <v/>
      </c>
      <c r="K322" s="52" t="str">
        <f>IF($J322="","",$J322*N('15_STOCK'!$O322))</f>
        <v/>
      </c>
      <c r="L322" s="41" t="str">
        <f>IF(tblConteo[[#This Row],[Diferencia]]="","",IF(tblConteo[[#This Row],[Diferencia]]=0,"✔ Cuadra",IF(tblConteo[[#This Row],[Diferencia]]&gt;0,"▲ Sobrante","▼ Faltante")))</f>
        <v/>
      </c>
      <c r="M32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3" spans="2:13" x14ac:dyDescent="0.25">
      <c r="B323" s="40" t="str">
        <f>IF('05_PRODUCTOS'!$B323="","",'05_PRODUCTOS'!$B323)</f>
        <v/>
      </c>
      <c r="C323" s="43" t="str">
        <f>IF($B323="","",'05_PRODUCTOS'!$C323)</f>
        <v/>
      </c>
      <c r="D323" s="43" t="str">
        <f>IF($B323="","",'05_PRODUCTOS'!$D323)</f>
        <v/>
      </c>
      <c r="E323" s="40" t="str">
        <f>IF($B323="","",'05_PRODUCTOS'!$J323&amp;"")</f>
        <v/>
      </c>
      <c r="F323" s="40" t="str">
        <f>IF($B323="","",'05_PRODUCTOS'!$E323)</f>
        <v/>
      </c>
      <c r="G323" s="40" t="str">
        <f>IF($B323="","",IF('05_PRODUCTOS'!$K323="NO","NO","SI"))</f>
        <v/>
      </c>
      <c r="H323" s="49" t="str">
        <f>IF($B323="","",N('15_STOCK'!$J323))</f>
        <v/>
      </c>
      <c r="I323" s="39"/>
      <c r="J323" s="48" t="str">
        <f>IF(OR(tblConteo[[#This Row],[SKU]]="",tblConteo[[#This Row],[Conteo]]=""),"",tblConteo[[#This Row],[Conteo]]-tblConteo[[#This Row],[StockSistema]])</f>
        <v/>
      </c>
      <c r="K323" s="52" t="str">
        <f>IF($J323="","",$J323*N('15_STOCK'!$O323))</f>
        <v/>
      </c>
      <c r="L323" s="41" t="str">
        <f>IF(tblConteo[[#This Row],[Diferencia]]="","",IF(tblConteo[[#This Row],[Diferencia]]=0,"✔ Cuadra",IF(tblConteo[[#This Row],[Diferencia]]&gt;0,"▲ Sobrante","▼ Faltante")))</f>
        <v/>
      </c>
      <c r="M32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4" spans="2:13" x14ac:dyDescent="0.25">
      <c r="B324" s="40" t="str">
        <f>IF('05_PRODUCTOS'!$B324="","",'05_PRODUCTOS'!$B324)</f>
        <v/>
      </c>
      <c r="C324" s="43" t="str">
        <f>IF($B324="","",'05_PRODUCTOS'!$C324)</f>
        <v/>
      </c>
      <c r="D324" s="43" t="str">
        <f>IF($B324="","",'05_PRODUCTOS'!$D324)</f>
        <v/>
      </c>
      <c r="E324" s="40" t="str">
        <f>IF($B324="","",'05_PRODUCTOS'!$J324&amp;"")</f>
        <v/>
      </c>
      <c r="F324" s="40" t="str">
        <f>IF($B324="","",'05_PRODUCTOS'!$E324)</f>
        <v/>
      </c>
      <c r="G324" s="40" t="str">
        <f>IF($B324="","",IF('05_PRODUCTOS'!$K324="NO","NO","SI"))</f>
        <v/>
      </c>
      <c r="H324" s="49" t="str">
        <f>IF($B324="","",N('15_STOCK'!$J324))</f>
        <v/>
      </c>
      <c r="I324" s="39"/>
      <c r="J324" s="48" t="str">
        <f>IF(OR(tblConteo[[#This Row],[SKU]]="",tblConteo[[#This Row],[Conteo]]=""),"",tblConteo[[#This Row],[Conteo]]-tblConteo[[#This Row],[StockSistema]])</f>
        <v/>
      </c>
      <c r="K324" s="52" t="str">
        <f>IF($J324="","",$J324*N('15_STOCK'!$O324))</f>
        <v/>
      </c>
      <c r="L324" s="41" t="str">
        <f>IF(tblConteo[[#This Row],[Diferencia]]="","",IF(tblConteo[[#This Row],[Diferencia]]=0,"✔ Cuadra",IF(tblConteo[[#This Row],[Diferencia]]&gt;0,"▲ Sobrante","▼ Faltante")))</f>
        <v/>
      </c>
      <c r="M32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5" spans="2:13" x14ac:dyDescent="0.25">
      <c r="B325" s="40" t="str">
        <f>IF('05_PRODUCTOS'!$B325="","",'05_PRODUCTOS'!$B325)</f>
        <v/>
      </c>
      <c r="C325" s="43" t="str">
        <f>IF($B325="","",'05_PRODUCTOS'!$C325)</f>
        <v/>
      </c>
      <c r="D325" s="43" t="str">
        <f>IF($B325="","",'05_PRODUCTOS'!$D325)</f>
        <v/>
      </c>
      <c r="E325" s="40" t="str">
        <f>IF($B325="","",'05_PRODUCTOS'!$J325&amp;"")</f>
        <v/>
      </c>
      <c r="F325" s="40" t="str">
        <f>IF($B325="","",'05_PRODUCTOS'!$E325)</f>
        <v/>
      </c>
      <c r="G325" s="40" t="str">
        <f>IF($B325="","",IF('05_PRODUCTOS'!$K325="NO","NO","SI"))</f>
        <v/>
      </c>
      <c r="H325" s="49" t="str">
        <f>IF($B325="","",N('15_STOCK'!$J325))</f>
        <v/>
      </c>
      <c r="I325" s="39"/>
      <c r="J325" s="48" t="str">
        <f>IF(OR(tblConteo[[#This Row],[SKU]]="",tblConteo[[#This Row],[Conteo]]=""),"",tblConteo[[#This Row],[Conteo]]-tblConteo[[#This Row],[StockSistema]])</f>
        <v/>
      </c>
      <c r="K325" s="52" t="str">
        <f>IF($J325="","",$J325*N('15_STOCK'!$O325))</f>
        <v/>
      </c>
      <c r="L325" s="41" t="str">
        <f>IF(tblConteo[[#This Row],[Diferencia]]="","",IF(tblConteo[[#This Row],[Diferencia]]=0,"✔ Cuadra",IF(tblConteo[[#This Row],[Diferencia]]&gt;0,"▲ Sobrante","▼ Faltante")))</f>
        <v/>
      </c>
      <c r="M32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6" spans="2:13" x14ac:dyDescent="0.25">
      <c r="B326" s="40" t="str">
        <f>IF('05_PRODUCTOS'!$B326="","",'05_PRODUCTOS'!$B326)</f>
        <v/>
      </c>
      <c r="C326" s="43" t="str">
        <f>IF($B326="","",'05_PRODUCTOS'!$C326)</f>
        <v/>
      </c>
      <c r="D326" s="43" t="str">
        <f>IF($B326="","",'05_PRODUCTOS'!$D326)</f>
        <v/>
      </c>
      <c r="E326" s="40" t="str">
        <f>IF($B326="","",'05_PRODUCTOS'!$J326&amp;"")</f>
        <v/>
      </c>
      <c r="F326" s="40" t="str">
        <f>IF($B326="","",'05_PRODUCTOS'!$E326)</f>
        <v/>
      </c>
      <c r="G326" s="40" t="str">
        <f>IF($B326="","",IF('05_PRODUCTOS'!$K326="NO","NO","SI"))</f>
        <v/>
      </c>
      <c r="H326" s="49" t="str">
        <f>IF($B326="","",N('15_STOCK'!$J326))</f>
        <v/>
      </c>
      <c r="I326" s="39"/>
      <c r="J326" s="48" t="str">
        <f>IF(OR(tblConteo[[#This Row],[SKU]]="",tblConteo[[#This Row],[Conteo]]=""),"",tblConteo[[#This Row],[Conteo]]-tblConteo[[#This Row],[StockSistema]])</f>
        <v/>
      </c>
      <c r="K326" s="52" t="str">
        <f>IF($J326="","",$J326*N('15_STOCK'!$O326))</f>
        <v/>
      </c>
      <c r="L326" s="41" t="str">
        <f>IF(tblConteo[[#This Row],[Diferencia]]="","",IF(tblConteo[[#This Row],[Diferencia]]=0,"✔ Cuadra",IF(tblConteo[[#This Row],[Diferencia]]&gt;0,"▲ Sobrante","▼ Faltante")))</f>
        <v/>
      </c>
      <c r="M32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7" spans="2:13" x14ac:dyDescent="0.25">
      <c r="B327" s="40" t="str">
        <f>IF('05_PRODUCTOS'!$B327="","",'05_PRODUCTOS'!$B327)</f>
        <v/>
      </c>
      <c r="C327" s="43" t="str">
        <f>IF($B327="","",'05_PRODUCTOS'!$C327)</f>
        <v/>
      </c>
      <c r="D327" s="43" t="str">
        <f>IF($B327="","",'05_PRODUCTOS'!$D327)</f>
        <v/>
      </c>
      <c r="E327" s="40" t="str">
        <f>IF($B327="","",'05_PRODUCTOS'!$J327&amp;"")</f>
        <v/>
      </c>
      <c r="F327" s="40" t="str">
        <f>IF($B327="","",'05_PRODUCTOS'!$E327)</f>
        <v/>
      </c>
      <c r="G327" s="40" t="str">
        <f>IF($B327="","",IF('05_PRODUCTOS'!$K327="NO","NO","SI"))</f>
        <v/>
      </c>
      <c r="H327" s="49" t="str">
        <f>IF($B327="","",N('15_STOCK'!$J327))</f>
        <v/>
      </c>
      <c r="I327" s="39"/>
      <c r="J327" s="48" t="str">
        <f>IF(OR(tblConteo[[#This Row],[SKU]]="",tblConteo[[#This Row],[Conteo]]=""),"",tblConteo[[#This Row],[Conteo]]-tblConteo[[#This Row],[StockSistema]])</f>
        <v/>
      </c>
      <c r="K327" s="52" t="str">
        <f>IF($J327="","",$J327*N('15_STOCK'!$O327))</f>
        <v/>
      </c>
      <c r="L327" s="41" t="str">
        <f>IF(tblConteo[[#This Row],[Diferencia]]="","",IF(tblConteo[[#This Row],[Diferencia]]=0,"✔ Cuadra",IF(tblConteo[[#This Row],[Diferencia]]&gt;0,"▲ Sobrante","▼ Faltante")))</f>
        <v/>
      </c>
      <c r="M32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8" spans="2:13" x14ac:dyDescent="0.25">
      <c r="B328" s="40" t="str">
        <f>IF('05_PRODUCTOS'!$B328="","",'05_PRODUCTOS'!$B328)</f>
        <v/>
      </c>
      <c r="C328" s="43" t="str">
        <f>IF($B328="","",'05_PRODUCTOS'!$C328)</f>
        <v/>
      </c>
      <c r="D328" s="43" t="str">
        <f>IF($B328="","",'05_PRODUCTOS'!$D328)</f>
        <v/>
      </c>
      <c r="E328" s="40" t="str">
        <f>IF($B328="","",'05_PRODUCTOS'!$J328&amp;"")</f>
        <v/>
      </c>
      <c r="F328" s="40" t="str">
        <f>IF($B328="","",'05_PRODUCTOS'!$E328)</f>
        <v/>
      </c>
      <c r="G328" s="40" t="str">
        <f>IF($B328="","",IF('05_PRODUCTOS'!$K328="NO","NO","SI"))</f>
        <v/>
      </c>
      <c r="H328" s="49" t="str">
        <f>IF($B328="","",N('15_STOCK'!$J328))</f>
        <v/>
      </c>
      <c r="I328" s="39"/>
      <c r="J328" s="48" t="str">
        <f>IF(OR(tblConteo[[#This Row],[SKU]]="",tblConteo[[#This Row],[Conteo]]=""),"",tblConteo[[#This Row],[Conteo]]-tblConteo[[#This Row],[StockSistema]])</f>
        <v/>
      </c>
      <c r="K328" s="52" t="str">
        <f>IF($J328="","",$J328*N('15_STOCK'!$O328))</f>
        <v/>
      </c>
      <c r="L328" s="41" t="str">
        <f>IF(tblConteo[[#This Row],[Diferencia]]="","",IF(tblConteo[[#This Row],[Diferencia]]=0,"✔ Cuadra",IF(tblConteo[[#This Row],[Diferencia]]&gt;0,"▲ Sobrante","▼ Faltante")))</f>
        <v/>
      </c>
      <c r="M32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29" spans="2:13" x14ac:dyDescent="0.25">
      <c r="B329" s="40" t="str">
        <f>IF('05_PRODUCTOS'!$B329="","",'05_PRODUCTOS'!$B329)</f>
        <v/>
      </c>
      <c r="C329" s="43" t="str">
        <f>IF($B329="","",'05_PRODUCTOS'!$C329)</f>
        <v/>
      </c>
      <c r="D329" s="43" t="str">
        <f>IF($B329="","",'05_PRODUCTOS'!$D329)</f>
        <v/>
      </c>
      <c r="E329" s="40" t="str">
        <f>IF($B329="","",'05_PRODUCTOS'!$J329&amp;"")</f>
        <v/>
      </c>
      <c r="F329" s="40" t="str">
        <f>IF($B329="","",'05_PRODUCTOS'!$E329)</f>
        <v/>
      </c>
      <c r="G329" s="40" t="str">
        <f>IF($B329="","",IF('05_PRODUCTOS'!$K329="NO","NO","SI"))</f>
        <v/>
      </c>
      <c r="H329" s="49" t="str">
        <f>IF($B329="","",N('15_STOCK'!$J329))</f>
        <v/>
      </c>
      <c r="I329" s="39"/>
      <c r="J329" s="48" t="str">
        <f>IF(OR(tblConteo[[#This Row],[SKU]]="",tblConteo[[#This Row],[Conteo]]=""),"",tblConteo[[#This Row],[Conteo]]-tblConteo[[#This Row],[StockSistema]])</f>
        <v/>
      </c>
      <c r="K329" s="52" t="str">
        <f>IF($J329="","",$J329*N('15_STOCK'!$O329))</f>
        <v/>
      </c>
      <c r="L329" s="41" t="str">
        <f>IF(tblConteo[[#This Row],[Diferencia]]="","",IF(tblConteo[[#This Row],[Diferencia]]=0,"✔ Cuadra",IF(tblConteo[[#This Row],[Diferencia]]&gt;0,"▲ Sobrante","▼ Faltante")))</f>
        <v/>
      </c>
      <c r="M32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0" spans="2:13" x14ac:dyDescent="0.25">
      <c r="B330" s="40" t="str">
        <f>IF('05_PRODUCTOS'!$B330="","",'05_PRODUCTOS'!$B330)</f>
        <v/>
      </c>
      <c r="C330" s="43" t="str">
        <f>IF($B330="","",'05_PRODUCTOS'!$C330)</f>
        <v/>
      </c>
      <c r="D330" s="43" t="str">
        <f>IF($B330="","",'05_PRODUCTOS'!$D330)</f>
        <v/>
      </c>
      <c r="E330" s="40" t="str">
        <f>IF($B330="","",'05_PRODUCTOS'!$J330&amp;"")</f>
        <v/>
      </c>
      <c r="F330" s="40" t="str">
        <f>IF($B330="","",'05_PRODUCTOS'!$E330)</f>
        <v/>
      </c>
      <c r="G330" s="40" t="str">
        <f>IF($B330="","",IF('05_PRODUCTOS'!$K330="NO","NO","SI"))</f>
        <v/>
      </c>
      <c r="H330" s="49" t="str">
        <f>IF($B330="","",N('15_STOCK'!$J330))</f>
        <v/>
      </c>
      <c r="I330" s="39"/>
      <c r="J330" s="48" t="str">
        <f>IF(OR(tblConteo[[#This Row],[SKU]]="",tblConteo[[#This Row],[Conteo]]=""),"",tblConteo[[#This Row],[Conteo]]-tblConteo[[#This Row],[StockSistema]])</f>
        <v/>
      </c>
      <c r="K330" s="52" t="str">
        <f>IF($J330="","",$J330*N('15_STOCK'!$O330))</f>
        <v/>
      </c>
      <c r="L330" s="41" t="str">
        <f>IF(tblConteo[[#This Row],[Diferencia]]="","",IF(tblConteo[[#This Row],[Diferencia]]=0,"✔ Cuadra",IF(tblConteo[[#This Row],[Diferencia]]&gt;0,"▲ Sobrante","▼ Faltante")))</f>
        <v/>
      </c>
      <c r="M33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1" spans="2:13" x14ac:dyDescent="0.25">
      <c r="B331" s="40" t="str">
        <f>IF('05_PRODUCTOS'!$B331="","",'05_PRODUCTOS'!$B331)</f>
        <v/>
      </c>
      <c r="C331" s="43" t="str">
        <f>IF($B331="","",'05_PRODUCTOS'!$C331)</f>
        <v/>
      </c>
      <c r="D331" s="43" t="str">
        <f>IF($B331="","",'05_PRODUCTOS'!$D331)</f>
        <v/>
      </c>
      <c r="E331" s="40" t="str">
        <f>IF($B331="","",'05_PRODUCTOS'!$J331&amp;"")</f>
        <v/>
      </c>
      <c r="F331" s="40" t="str">
        <f>IF($B331="","",'05_PRODUCTOS'!$E331)</f>
        <v/>
      </c>
      <c r="G331" s="40" t="str">
        <f>IF($B331="","",IF('05_PRODUCTOS'!$K331="NO","NO","SI"))</f>
        <v/>
      </c>
      <c r="H331" s="49" t="str">
        <f>IF($B331="","",N('15_STOCK'!$J331))</f>
        <v/>
      </c>
      <c r="I331" s="39"/>
      <c r="J331" s="48" t="str">
        <f>IF(OR(tblConteo[[#This Row],[SKU]]="",tblConteo[[#This Row],[Conteo]]=""),"",tblConteo[[#This Row],[Conteo]]-tblConteo[[#This Row],[StockSistema]])</f>
        <v/>
      </c>
      <c r="K331" s="52" t="str">
        <f>IF($J331="","",$J331*N('15_STOCK'!$O331))</f>
        <v/>
      </c>
      <c r="L331" s="41" t="str">
        <f>IF(tblConteo[[#This Row],[Diferencia]]="","",IF(tblConteo[[#This Row],[Diferencia]]=0,"✔ Cuadra",IF(tblConteo[[#This Row],[Diferencia]]&gt;0,"▲ Sobrante","▼ Faltante")))</f>
        <v/>
      </c>
      <c r="M33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2" spans="2:13" x14ac:dyDescent="0.25">
      <c r="B332" s="40" t="str">
        <f>IF('05_PRODUCTOS'!$B332="","",'05_PRODUCTOS'!$B332)</f>
        <v/>
      </c>
      <c r="C332" s="43" t="str">
        <f>IF($B332="","",'05_PRODUCTOS'!$C332)</f>
        <v/>
      </c>
      <c r="D332" s="43" t="str">
        <f>IF($B332="","",'05_PRODUCTOS'!$D332)</f>
        <v/>
      </c>
      <c r="E332" s="40" t="str">
        <f>IF($B332="","",'05_PRODUCTOS'!$J332&amp;"")</f>
        <v/>
      </c>
      <c r="F332" s="40" t="str">
        <f>IF($B332="","",'05_PRODUCTOS'!$E332)</f>
        <v/>
      </c>
      <c r="G332" s="40" t="str">
        <f>IF($B332="","",IF('05_PRODUCTOS'!$K332="NO","NO","SI"))</f>
        <v/>
      </c>
      <c r="H332" s="49" t="str">
        <f>IF($B332="","",N('15_STOCK'!$J332))</f>
        <v/>
      </c>
      <c r="I332" s="39"/>
      <c r="J332" s="48" t="str">
        <f>IF(OR(tblConteo[[#This Row],[SKU]]="",tblConteo[[#This Row],[Conteo]]=""),"",tblConteo[[#This Row],[Conteo]]-tblConteo[[#This Row],[StockSistema]])</f>
        <v/>
      </c>
      <c r="K332" s="52" t="str">
        <f>IF($J332="","",$J332*N('15_STOCK'!$O332))</f>
        <v/>
      </c>
      <c r="L332" s="41" t="str">
        <f>IF(tblConteo[[#This Row],[Diferencia]]="","",IF(tblConteo[[#This Row],[Diferencia]]=0,"✔ Cuadra",IF(tblConteo[[#This Row],[Diferencia]]&gt;0,"▲ Sobrante","▼ Faltante")))</f>
        <v/>
      </c>
      <c r="M33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3" spans="2:13" x14ac:dyDescent="0.25">
      <c r="B333" s="40" t="str">
        <f>IF('05_PRODUCTOS'!$B333="","",'05_PRODUCTOS'!$B333)</f>
        <v/>
      </c>
      <c r="C333" s="43" t="str">
        <f>IF($B333="","",'05_PRODUCTOS'!$C333)</f>
        <v/>
      </c>
      <c r="D333" s="43" t="str">
        <f>IF($B333="","",'05_PRODUCTOS'!$D333)</f>
        <v/>
      </c>
      <c r="E333" s="40" t="str">
        <f>IF($B333="","",'05_PRODUCTOS'!$J333&amp;"")</f>
        <v/>
      </c>
      <c r="F333" s="40" t="str">
        <f>IF($B333="","",'05_PRODUCTOS'!$E333)</f>
        <v/>
      </c>
      <c r="G333" s="40" t="str">
        <f>IF($B333="","",IF('05_PRODUCTOS'!$K333="NO","NO","SI"))</f>
        <v/>
      </c>
      <c r="H333" s="49" t="str">
        <f>IF($B333="","",N('15_STOCK'!$J333))</f>
        <v/>
      </c>
      <c r="I333" s="39"/>
      <c r="J333" s="48" t="str">
        <f>IF(OR(tblConteo[[#This Row],[SKU]]="",tblConteo[[#This Row],[Conteo]]=""),"",tblConteo[[#This Row],[Conteo]]-tblConteo[[#This Row],[StockSistema]])</f>
        <v/>
      </c>
      <c r="K333" s="52" t="str">
        <f>IF($J333="","",$J333*N('15_STOCK'!$O333))</f>
        <v/>
      </c>
      <c r="L333" s="41" t="str">
        <f>IF(tblConteo[[#This Row],[Diferencia]]="","",IF(tblConteo[[#This Row],[Diferencia]]=0,"✔ Cuadra",IF(tblConteo[[#This Row],[Diferencia]]&gt;0,"▲ Sobrante","▼ Faltante")))</f>
        <v/>
      </c>
      <c r="M33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4" spans="2:13" x14ac:dyDescent="0.25">
      <c r="B334" s="40" t="str">
        <f>IF('05_PRODUCTOS'!$B334="","",'05_PRODUCTOS'!$B334)</f>
        <v/>
      </c>
      <c r="C334" s="43" t="str">
        <f>IF($B334="","",'05_PRODUCTOS'!$C334)</f>
        <v/>
      </c>
      <c r="D334" s="43" t="str">
        <f>IF($B334="","",'05_PRODUCTOS'!$D334)</f>
        <v/>
      </c>
      <c r="E334" s="40" t="str">
        <f>IF($B334="","",'05_PRODUCTOS'!$J334&amp;"")</f>
        <v/>
      </c>
      <c r="F334" s="40" t="str">
        <f>IF($B334="","",'05_PRODUCTOS'!$E334)</f>
        <v/>
      </c>
      <c r="G334" s="40" t="str">
        <f>IF($B334="","",IF('05_PRODUCTOS'!$K334="NO","NO","SI"))</f>
        <v/>
      </c>
      <c r="H334" s="49" t="str">
        <f>IF($B334="","",N('15_STOCK'!$J334))</f>
        <v/>
      </c>
      <c r="I334" s="39"/>
      <c r="J334" s="48" t="str">
        <f>IF(OR(tblConteo[[#This Row],[SKU]]="",tblConteo[[#This Row],[Conteo]]=""),"",tblConteo[[#This Row],[Conteo]]-tblConteo[[#This Row],[StockSistema]])</f>
        <v/>
      </c>
      <c r="K334" s="52" t="str">
        <f>IF($J334="","",$J334*N('15_STOCK'!$O334))</f>
        <v/>
      </c>
      <c r="L334" s="41" t="str">
        <f>IF(tblConteo[[#This Row],[Diferencia]]="","",IF(tblConteo[[#This Row],[Diferencia]]=0,"✔ Cuadra",IF(tblConteo[[#This Row],[Diferencia]]&gt;0,"▲ Sobrante","▼ Faltante")))</f>
        <v/>
      </c>
      <c r="M33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5" spans="2:13" x14ac:dyDescent="0.25">
      <c r="B335" s="40" t="str">
        <f>IF('05_PRODUCTOS'!$B335="","",'05_PRODUCTOS'!$B335)</f>
        <v/>
      </c>
      <c r="C335" s="43" t="str">
        <f>IF($B335="","",'05_PRODUCTOS'!$C335)</f>
        <v/>
      </c>
      <c r="D335" s="43" t="str">
        <f>IF($B335="","",'05_PRODUCTOS'!$D335)</f>
        <v/>
      </c>
      <c r="E335" s="40" t="str">
        <f>IF($B335="","",'05_PRODUCTOS'!$J335&amp;"")</f>
        <v/>
      </c>
      <c r="F335" s="40" t="str">
        <f>IF($B335="","",'05_PRODUCTOS'!$E335)</f>
        <v/>
      </c>
      <c r="G335" s="40" t="str">
        <f>IF($B335="","",IF('05_PRODUCTOS'!$K335="NO","NO","SI"))</f>
        <v/>
      </c>
      <c r="H335" s="49" t="str">
        <f>IF($B335="","",N('15_STOCK'!$J335))</f>
        <v/>
      </c>
      <c r="I335" s="39"/>
      <c r="J335" s="48" t="str">
        <f>IF(OR(tblConteo[[#This Row],[SKU]]="",tblConteo[[#This Row],[Conteo]]=""),"",tblConteo[[#This Row],[Conteo]]-tblConteo[[#This Row],[StockSistema]])</f>
        <v/>
      </c>
      <c r="K335" s="52" t="str">
        <f>IF($J335="","",$J335*N('15_STOCK'!$O335))</f>
        <v/>
      </c>
      <c r="L335" s="41" t="str">
        <f>IF(tblConteo[[#This Row],[Diferencia]]="","",IF(tblConteo[[#This Row],[Diferencia]]=0,"✔ Cuadra",IF(tblConteo[[#This Row],[Diferencia]]&gt;0,"▲ Sobrante","▼ Faltante")))</f>
        <v/>
      </c>
      <c r="M33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6" spans="2:13" x14ac:dyDescent="0.25">
      <c r="B336" s="40" t="str">
        <f>IF('05_PRODUCTOS'!$B336="","",'05_PRODUCTOS'!$B336)</f>
        <v/>
      </c>
      <c r="C336" s="43" t="str">
        <f>IF($B336="","",'05_PRODUCTOS'!$C336)</f>
        <v/>
      </c>
      <c r="D336" s="43" t="str">
        <f>IF($B336="","",'05_PRODUCTOS'!$D336)</f>
        <v/>
      </c>
      <c r="E336" s="40" t="str">
        <f>IF($B336="","",'05_PRODUCTOS'!$J336&amp;"")</f>
        <v/>
      </c>
      <c r="F336" s="40" t="str">
        <f>IF($B336="","",'05_PRODUCTOS'!$E336)</f>
        <v/>
      </c>
      <c r="G336" s="40" t="str">
        <f>IF($B336="","",IF('05_PRODUCTOS'!$K336="NO","NO","SI"))</f>
        <v/>
      </c>
      <c r="H336" s="49" t="str">
        <f>IF($B336="","",N('15_STOCK'!$J336))</f>
        <v/>
      </c>
      <c r="I336" s="39"/>
      <c r="J336" s="48" t="str">
        <f>IF(OR(tblConteo[[#This Row],[SKU]]="",tblConteo[[#This Row],[Conteo]]=""),"",tblConteo[[#This Row],[Conteo]]-tblConteo[[#This Row],[StockSistema]])</f>
        <v/>
      </c>
      <c r="K336" s="52" t="str">
        <f>IF($J336="","",$J336*N('15_STOCK'!$O336))</f>
        <v/>
      </c>
      <c r="L336" s="41" t="str">
        <f>IF(tblConteo[[#This Row],[Diferencia]]="","",IF(tblConteo[[#This Row],[Diferencia]]=0,"✔ Cuadra",IF(tblConteo[[#This Row],[Diferencia]]&gt;0,"▲ Sobrante","▼ Faltante")))</f>
        <v/>
      </c>
      <c r="M33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7" spans="2:13" x14ac:dyDescent="0.25">
      <c r="B337" s="40" t="str">
        <f>IF('05_PRODUCTOS'!$B337="","",'05_PRODUCTOS'!$B337)</f>
        <v/>
      </c>
      <c r="C337" s="43" t="str">
        <f>IF($B337="","",'05_PRODUCTOS'!$C337)</f>
        <v/>
      </c>
      <c r="D337" s="43" t="str">
        <f>IF($B337="","",'05_PRODUCTOS'!$D337)</f>
        <v/>
      </c>
      <c r="E337" s="40" t="str">
        <f>IF($B337="","",'05_PRODUCTOS'!$J337&amp;"")</f>
        <v/>
      </c>
      <c r="F337" s="40" t="str">
        <f>IF($B337="","",'05_PRODUCTOS'!$E337)</f>
        <v/>
      </c>
      <c r="G337" s="40" t="str">
        <f>IF($B337="","",IF('05_PRODUCTOS'!$K337="NO","NO","SI"))</f>
        <v/>
      </c>
      <c r="H337" s="49" t="str">
        <f>IF($B337="","",N('15_STOCK'!$J337))</f>
        <v/>
      </c>
      <c r="I337" s="39"/>
      <c r="J337" s="48" t="str">
        <f>IF(OR(tblConteo[[#This Row],[SKU]]="",tblConteo[[#This Row],[Conteo]]=""),"",tblConteo[[#This Row],[Conteo]]-tblConteo[[#This Row],[StockSistema]])</f>
        <v/>
      </c>
      <c r="K337" s="52" t="str">
        <f>IF($J337="","",$J337*N('15_STOCK'!$O337))</f>
        <v/>
      </c>
      <c r="L337" s="41" t="str">
        <f>IF(tblConteo[[#This Row],[Diferencia]]="","",IF(tblConteo[[#This Row],[Diferencia]]=0,"✔ Cuadra",IF(tblConteo[[#This Row],[Diferencia]]&gt;0,"▲ Sobrante","▼ Faltante")))</f>
        <v/>
      </c>
      <c r="M33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8" spans="2:13" x14ac:dyDescent="0.25">
      <c r="B338" s="40" t="str">
        <f>IF('05_PRODUCTOS'!$B338="","",'05_PRODUCTOS'!$B338)</f>
        <v/>
      </c>
      <c r="C338" s="43" t="str">
        <f>IF($B338="","",'05_PRODUCTOS'!$C338)</f>
        <v/>
      </c>
      <c r="D338" s="43" t="str">
        <f>IF($B338="","",'05_PRODUCTOS'!$D338)</f>
        <v/>
      </c>
      <c r="E338" s="40" t="str">
        <f>IF($B338="","",'05_PRODUCTOS'!$J338&amp;"")</f>
        <v/>
      </c>
      <c r="F338" s="40" t="str">
        <f>IF($B338="","",'05_PRODUCTOS'!$E338)</f>
        <v/>
      </c>
      <c r="G338" s="40" t="str">
        <f>IF($B338="","",IF('05_PRODUCTOS'!$K338="NO","NO","SI"))</f>
        <v/>
      </c>
      <c r="H338" s="49" t="str">
        <f>IF($B338="","",N('15_STOCK'!$J338))</f>
        <v/>
      </c>
      <c r="I338" s="39"/>
      <c r="J338" s="48" t="str">
        <f>IF(OR(tblConteo[[#This Row],[SKU]]="",tblConteo[[#This Row],[Conteo]]=""),"",tblConteo[[#This Row],[Conteo]]-tblConteo[[#This Row],[StockSistema]])</f>
        <v/>
      </c>
      <c r="K338" s="52" t="str">
        <f>IF($J338="","",$J338*N('15_STOCK'!$O338))</f>
        <v/>
      </c>
      <c r="L338" s="41" t="str">
        <f>IF(tblConteo[[#This Row],[Diferencia]]="","",IF(tblConteo[[#This Row],[Diferencia]]=0,"✔ Cuadra",IF(tblConteo[[#This Row],[Diferencia]]&gt;0,"▲ Sobrante","▼ Faltante")))</f>
        <v/>
      </c>
      <c r="M33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39" spans="2:13" x14ac:dyDescent="0.25">
      <c r="B339" s="40" t="str">
        <f>IF('05_PRODUCTOS'!$B339="","",'05_PRODUCTOS'!$B339)</f>
        <v/>
      </c>
      <c r="C339" s="43" t="str">
        <f>IF($B339="","",'05_PRODUCTOS'!$C339)</f>
        <v/>
      </c>
      <c r="D339" s="43" t="str">
        <f>IF($B339="","",'05_PRODUCTOS'!$D339)</f>
        <v/>
      </c>
      <c r="E339" s="40" t="str">
        <f>IF($B339="","",'05_PRODUCTOS'!$J339&amp;"")</f>
        <v/>
      </c>
      <c r="F339" s="40" t="str">
        <f>IF($B339="","",'05_PRODUCTOS'!$E339)</f>
        <v/>
      </c>
      <c r="G339" s="40" t="str">
        <f>IF($B339="","",IF('05_PRODUCTOS'!$K339="NO","NO","SI"))</f>
        <v/>
      </c>
      <c r="H339" s="49" t="str">
        <f>IF($B339="","",N('15_STOCK'!$J339))</f>
        <v/>
      </c>
      <c r="I339" s="39"/>
      <c r="J339" s="48" t="str">
        <f>IF(OR(tblConteo[[#This Row],[SKU]]="",tblConteo[[#This Row],[Conteo]]=""),"",tblConteo[[#This Row],[Conteo]]-tblConteo[[#This Row],[StockSistema]])</f>
        <v/>
      </c>
      <c r="K339" s="52" t="str">
        <f>IF($J339="","",$J339*N('15_STOCK'!$O339))</f>
        <v/>
      </c>
      <c r="L339" s="41" t="str">
        <f>IF(tblConteo[[#This Row],[Diferencia]]="","",IF(tblConteo[[#This Row],[Diferencia]]=0,"✔ Cuadra",IF(tblConteo[[#This Row],[Diferencia]]&gt;0,"▲ Sobrante","▼ Faltante")))</f>
        <v/>
      </c>
      <c r="M33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0" spans="2:13" x14ac:dyDescent="0.25">
      <c r="B340" s="40" t="str">
        <f>IF('05_PRODUCTOS'!$B340="","",'05_PRODUCTOS'!$B340)</f>
        <v/>
      </c>
      <c r="C340" s="43" t="str">
        <f>IF($B340="","",'05_PRODUCTOS'!$C340)</f>
        <v/>
      </c>
      <c r="D340" s="43" t="str">
        <f>IF($B340="","",'05_PRODUCTOS'!$D340)</f>
        <v/>
      </c>
      <c r="E340" s="40" t="str">
        <f>IF($B340="","",'05_PRODUCTOS'!$J340&amp;"")</f>
        <v/>
      </c>
      <c r="F340" s="40" t="str">
        <f>IF($B340="","",'05_PRODUCTOS'!$E340)</f>
        <v/>
      </c>
      <c r="G340" s="40" t="str">
        <f>IF($B340="","",IF('05_PRODUCTOS'!$K340="NO","NO","SI"))</f>
        <v/>
      </c>
      <c r="H340" s="49" t="str">
        <f>IF($B340="","",N('15_STOCK'!$J340))</f>
        <v/>
      </c>
      <c r="I340" s="39"/>
      <c r="J340" s="48" t="str">
        <f>IF(OR(tblConteo[[#This Row],[SKU]]="",tblConteo[[#This Row],[Conteo]]=""),"",tblConteo[[#This Row],[Conteo]]-tblConteo[[#This Row],[StockSistema]])</f>
        <v/>
      </c>
      <c r="K340" s="52" t="str">
        <f>IF($J340="","",$J340*N('15_STOCK'!$O340))</f>
        <v/>
      </c>
      <c r="L340" s="41" t="str">
        <f>IF(tblConteo[[#This Row],[Diferencia]]="","",IF(tblConteo[[#This Row],[Diferencia]]=0,"✔ Cuadra",IF(tblConteo[[#This Row],[Diferencia]]&gt;0,"▲ Sobrante","▼ Faltante")))</f>
        <v/>
      </c>
      <c r="M34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1" spans="2:13" x14ac:dyDescent="0.25">
      <c r="B341" s="40" t="str">
        <f>IF('05_PRODUCTOS'!$B341="","",'05_PRODUCTOS'!$B341)</f>
        <v/>
      </c>
      <c r="C341" s="43" t="str">
        <f>IF($B341="","",'05_PRODUCTOS'!$C341)</f>
        <v/>
      </c>
      <c r="D341" s="43" t="str">
        <f>IF($B341="","",'05_PRODUCTOS'!$D341)</f>
        <v/>
      </c>
      <c r="E341" s="40" t="str">
        <f>IF($B341="","",'05_PRODUCTOS'!$J341&amp;"")</f>
        <v/>
      </c>
      <c r="F341" s="40" t="str">
        <f>IF($B341="","",'05_PRODUCTOS'!$E341)</f>
        <v/>
      </c>
      <c r="G341" s="40" t="str">
        <f>IF($B341="","",IF('05_PRODUCTOS'!$K341="NO","NO","SI"))</f>
        <v/>
      </c>
      <c r="H341" s="49" t="str">
        <f>IF($B341="","",N('15_STOCK'!$J341))</f>
        <v/>
      </c>
      <c r="I341" s="39"/>
      <c r="J341" s="48" t="str">
        <f>IF(OR(tblConteo[[#This Row],[SKU]]="",tblConteo[[#This Row],[Conteo]]=""),"",tblConteo[[#This Row],[Conteo]]-tblConteo[[#This Row],[StockSistema]])</f>
        <v/>
      </c>
      <c r="K341" s="52" t="str">
        <f>IF($J341="","",$J341*N('15_STOCK'!$O341))</f>
        <v/>
      </c>
      <c r="L341" s="41" t="str">
        <f>IF(tblConteo[[#This Row],[Diferencia]]="","",IF(tblConteo[[#This Row],[Diferencia]]=0,"✔ Cuadra",IF(tblConteo[[#This Row],[Diferencia]]&gt;0,"▲ Sobrante","▼ Faltante")))</f>
        <v/>
      </c>
      <c r="M34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2" spans="2:13" x14ac:dyDescent="0.25">
      <c r="B342" s="40" t="str">
        <f>IF('05_PRODUCTOS'!$B342="","",'05_PRODUCTOS'!$B342)</f>
        <v/>
      </c>
      <c r="C342" s="43" t="str">
        <f>IF($B342="","",'05_PRODUCTOS'!$C342)</f>
        <v/>
      </c>
      <c r="D342" s="43" t="str">
        <f>IF($B342="","",'05_PRODUCTOS'!$D342)</f>
        <v/>
      </c>
      <c r="E342" s="40" t="str">
        <f>IF($B342="","",'05_PRODUCTOS'!$J342&amp;"")</f>
        <v/>
      </c>
      <c r="F342" s="40" t="str">
        <f>IF($B342="","",'05_PRODUCTOS'!$E342)</f>
        <v/>
      </c>
      <c r="G342" s="40" t="str">
        <f>IF($B342="","",IF('05_PRODUCTOS'!$K342="NO","NO","SI"))</f>
        <v/>
      </c>
      <c r="H342" s="49" t="str">
        <f>IF($B342="","",N('15_STOCK'!$J342))</f>
        <v/>
      </c>
      <c r="I342" s="39"/>
      <c r="J342" s="48" t="str">
        <f>IF(OR(tblConteo[[#This Row],[SKU]]="",tblConteo[[#This Row],[Conteo]]=""),"",tblConteo[[#This Row],[Conteo]]-tblConteo[[#This Row],[StockSistema]])</f>
        <v/>
      </c>
      <c r="K342" s="52" t="str">
        <f>IF($J342="","",$J342*N('15_STOCK'!$O342))</f>
        <v/>
      </c>
      <c r="L342" s="41" t="str">
        <f>IF(tblConteo[[#This Row],[Diferencia]]="","",IF(tblConteo[[#This Row],[Diferencia]]=0,"✔ Cuadra",IF(tblConteo[[#This Row],[Diferencia]]&gt;0,"▲ Sobrante","▼ Faltante")))</f>
        <v/>
      </c>
      <c r="M34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3" spans="2:13" x14ac:dyDescent="0.25">
      <c r="B343" s="40" t="str">
        <f>IF('05_PRODUCTOS'!$B343="","",'05_PRODUCTOS'!$B343)</f>
        <v/>
      </c>
      <c r="C343" s="43" t="str">
        <f>IF($B343="","",'05_PRODUCTOS'!$C343)</f>
        <v/>
      </c>
      <c r="D343" s="43" t="str">
        <f>IF($B343="","",'05_PRODUCTOS'!$D343)</f>
        <v/>
      </c>
      <c r="E343" s="40" t="str">
        <f>IF($B343="","",'05_PRODUCTOS'!$J343&amp;"")</f>
        <v/>
      </c>
      <c r="F343" s="40" t="str">
        <f>IF($B343="","",'05_PRODUCTOS'!$E343)</f>
        <v/>
      </c>
      <c r="G343" s="40" t="str">
        <f>IF($B343="","",IF('05_PRODUCTOS'!$K343="NO","NO","SI"))</f>
        <v/>
      </c>
      <c r="H343" s="49" t="str">
        <f>IF($B343="","",N('15_STOCK'!$J343))</f>
        <v/>
      </c>
      <c r="I343" s="39"/>
      <c r="J343" s="48" t="str">
        <f>IF(OR(tblConteo[[#This Row],[SKU]]="",tblConteo[[#This Row],[Conteo]]=""),"",tblConteo[[#This Row],[Conteo]]-tblConteo[[#This Row],[StockSistema]])</f>
        <v/>
      </c>
      <c r="K343" s="52" t="str">
        <f>IF($J343="","",$J343*N('15_STOCK'!$O343))</f>
        <v/>
      </c>
      <c r="L343" s="41" t="str">
        <f>IF(tblConteo[[#This Row],[Diferencia]]="","",IF(tblConteo[[#This Row],[Diferencia]]=0,"✔ Cuadra",IF(tblConteo[[#This Row],[Diferencia]]&gt;0,"▲ Sobrante","▼ Faltante")))</f>
        <v/>
      </c>
      <c r="M34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4" spans="2:13" x14ac:dyDescent="0.25">
      <c r="B344" s="40" t="str">
        <f>IF('05_PRODUCTOS'!$B344="","",'05_PRODUCTOS'!$B344)</f>
        <v/>
      </c>
      <c r="C344" s="43" t="str">
        <f>IF($B344="","",'05_PRODUCTOS'!$C344)</f>
        <v/>
      </c>
      <c r="D344" s="43" t="str">
        <f>IF($B344="","",'05_PRODUCTOS'!$D344)</f>
        <v/>
      </c>
      <c r="E344" s="40" t="str">
        <f>IF($B344="","",'05_PRODUCTOS'!$J344&amp;"")</f>
        <v/>
      </c>
      <c r="F344" s="40" t="str">
        <f>IF($B344="","",'05_PRODUCTOS'!$E344)</f>
        <v/>
      </c>
      <c r="G344" s="40" t="str">
        <f>IF($B344="","",IF('05_PRODUCTOS'!$K344="NO","NO","SI"))</f>
        <v/>
      </c>
      <c r="H344" s="49" t="str">
        <f>IF($B344="","",N('15_STOCK'!$J344))</f>
        <v/>
      </c>
      <c r="I344" s="39"/>
      <c r="J344" s="48" t="str">
        <f>IF(OR(tblConteo[[#This Row],[SKU]]="",tblConteo[[#This Row],[Conteo]]=""),"",tblConteo[[#This Row],[Conteo]]-tblConteo[[#This Row],[StockSistema]])</f>
        <v/>
      </c>
      <c r="K344" s="52" t="str">
        <f>IF($J344="","",$J344*N('15_STOCK'!$O344))</f>
        <v/>
      </c>
      <c r="L344" s="41" t="str">
        <f>IF(tblConteo[[#This Row],[Diferencia]]="","",IF(tblConteo[[#This Row],[Diferencia]]=0,"✔ Cuadra",IF(tblConteo[[#This Row],[Diferencia]]&gt;0,"▲ Sobrante","▼ Faltante")))</f>
        <v/>
      </c>
      <c r="M34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5" spans="2:13" x14ac:dyDescent="0.25">
      <c r="B345" s="40" t="str">
        <f>IF('05_PRODUCTOS'!$B345="","",'05_PRODUCTOS'!$B345)</f>
        <v/>
      </c>
      <c r="C345" s="43" t="str">
        <f>IF($B345="","",'05_PRODUCTOS'!$C345)</f>
        <v/>
      </c>
      <c r="D345" s="43" t="str">
        <f>IF($B345="","",'05_PRODUCTOS'!$D345)</f>
        <v/>
      </c>
      <c r="E345" s="40" t="str">
        <f>IF($B345="","",'05_PRODUCTOS'!$J345&amp;"")</f>
        <v/>
      </c>
      <c r="F345" s="40" t="str">
        <f>IF($B345="","",'05_PRODUCTOS'!$E345)</f>
        <v/>
      </c>
      <c r="G345" s="40" t="str">
        <f>IF($B345="","",IF('05_PRODUCTOS'!$K345="NO","NO","SI"))</f>
        <v/>
      </c>
      <c r="H345" s="49" t="str">
        <f>IF($B345="","",N('15_STOCK'!$J345))</f>
        <v/>
      </c>
      <c r="I345" s="39"/>
      <c r="J345" s="48" t="str">
        <f>IF(OR(tblConteo[[#This Row],[SKU]]="",tblConteo[[#This Row],[Conteo]]=""),"",tblConteo[[#This Row],[Conteo]]-tblConteo[[#This Row],[StockSistema]])</f>
        <v/>
      </c>
      <c r="K345" s="52" t="str">
        <f>IF($J345="","",$J345*N('15_STOCK'!$O345))</f>
        <v/>
      </c>
      <c r="L345" s="41" t="str">
        <f>IF(tblConteo[[#This Row],[Diferencia]]="","",IF(tblConteo[[#This Row],[Diferencia]]=0,"✔ Cuadra",IF(tblConteo[[#This Row],[Diferencia]]&gt;0,"▲ Sobrante","▼ Faltante")))</f>
        <v/>
      </c>
      <c r="M34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6" spans="2:13" x14ac:dyDescent="0.25">
      <c r="B346" s="40" t="str">
        <f>IF('05_PRODUCTOS'!$B346="","",'05_PRODUCTOS'!$B346)</f>
        <v/>
      </c>
      <c r="C346" s="43" t="str">
        <f>IF($B346="","",'05_PRODUCTOS'!$C346)</f>
        <v/>
      </c>
      <c r="D346" s="43" t="str">
        <f>IF($B346="","",'05_PRODUCTOS'!$D346)</f>
        <v/>
      </c>
      <c r="E346" s="40" t="str">
        <f>IF($B346="","",'05_PRODUCTOS'!$J346&amp;"")</f>
        <v/>
      </c>
      <c r="F346" s="40" t="str">
        <f>IF($B346="","",'05_PRODUCTOS'!$E346)</f>
        <v/>
      </c>
      <c r="G346" s="40" t="str">
        <f>IF($B346="","",IF('05_PRODUCTOS'!$K346="NO","NO","SI"))</f>
        <v/>
      </c>
      <c r="H346" s="49" t="str">
        <f>IF($B346="","",N('15_STOCK'!$J346))</f>
        <v/>
      </c>
      <c r="I346" s="39"/>
      <c r="J346" s="48" t="str">
        <f>IF(OR(tblConteo[[#This Row],[SKU]]="",tblConteo[[#This Row],[Conteo]]=""),"",tblConteo[[#This Row],[Conteo]]-tblConteo[[#This Row],[StockSistema]])</f>
        <v/>
      </c>
      <c r="K346" s="52" t="str">
        <f>IF($J346="","",$J346*N('15_STOCK'!$O346))</f>
        <v/>
      </c>
      <c r="L346" s="41" t="str">
        <f>IF(tblConteo[[#This Row],[Diferencia]]="","",IF(tblConteo[[#This Row],[Diferencia]]=0,"✔ Cuadra",IF(tblConteo[[#This Row],[Diferencia]]&gt;0,"▲ Sobrante","▼ Faltante")))</f>
        <v/>
      </c>
      <c r="M34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7" spans="2:13" x14ac:dyDescent="0.25">
      <c r="B347" s="40" t="str">
        <f>IF('05_PRODUCTOS'!$B347="","",'05_PRODUCTOS'!$B347)</f>
        <v/>
      </c>
      <c r="C347" s="43" t="str">
        <f>IF($B347="","",'05_PRODUCTOS'!$C347)</f>
        <v/>
      </c>
      <c r="D347" s="43" t="str">
        <f>IF($B347="","",'05_PRODUCTOS'!$D347)</f>
        <v/>
      </c>
      <c r="E347" s="40" t="str">
        <f>IF($B347="","",'05_PRODUCTOS'!$J347&amp;"")</f>
        <v/>
      </c>
      <c r="F347" s="40" t="str">
        <f>IF($B347="","",'05_PRODUCTOS'!$E347)</f>
        <v/>
      </c>
      <c r="G347" s="40" t="str">
        <f>IF($B347="","",IF('05_PRODUCTOS'!$K347="NO","NO","SI"))</f>
        <v/>
      </c>
      <c r="H347" s="49" t="str">
        <f>IF($B347="","",N('15_STOCK'!$J347))</f>
        <v/>
      </c>
      <c r="I347" s="39"/>
      <c r="J347" s="48" t="str">
        <f>IF(OR(tblConteo[[#This Row],[SKU]]="",tblConteo[[#This Row],[Conteo]]=""),"",tblConteo[[#This Row],[Conteo]]-tblConteo[[#This Row],[StockSistema]])</f>
        <v/>
      </c>
      <c r="K347" s="52" t="str">
        <f>IF($J347="","",$J347*N('15_STOCK'!$O347))</f>
        <v/>
      </c>
      <c r="L347" s="41" t="str">
        <f>IF(tblConteo[[#This Row],[Diferencia]]="","",IF(tblConteo[[#This Row],[Diferencia]]=0,"✔ Cuadra",IF(tblConteo[[#This Row],[Diferencia]]&gt;0,"▲ Sobrante","▼ Faltante")))</f>
        <v/>
      </c>
      <c r="M34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8" spans="2:13" x14ac:dyDescent="0.25">
      <c r="B348" s="40" t="str">
        <f>IF('05_PRODUCTOS'!$B348="","",'05_PRODUCTOS'!$B348)</f>
        <v/>
      </c>
      <c r="C348" s="43" t="str">
        <f>IF($B348="","",'05_PRODUCTOS'!$C348)</f>
        <v/>
      </c>
      <c r="D348" s="43" t="str">
        <f>IF($B348="","",'05_PRODUCTOS'!$D348)</f>
        <v/>
      </c>
      <c r="E348" s="40" t="str">
        <f>IF($B348="","",'05_PRODUCTOS'!$J348&amp;"")</f>
        <v/>
      </c>
      <c r="F348" s="40" t="str">
        <f>IF($B348="","",'05_PRODUCTOS'!$E348)</f>
        <v/>
      </c>
      <c r="G348" s="40" t="str">
        <f>IF($B348="","",IF('05_PRODUCTOS'!$K348="NO","NO","SI"))</f>
        <v/>
      </c>
      <c r="H348" s="49" t="str">
        <f>IF($B348="","",N('15_STOCK'!$J348))</f>
        <v/>
      </c>
      <c r="I348" s="39"/>
      <c r="J348" s="48" t="str">
        <f>IF(OR(tblConteo[[#This Row],[SKU]]="",tblConteo[[#This Row],[Conteo]]=""),"",tblConteo[[#This Row],[Conteo]]-tblConteo[[#This Row],[StockSistema]])</f>
        <v/>
      </c>
      <c r="K348" s="52" t="str">
        <f>IF($J348="","",$J348*N('15_STOCK'!$O348))</f>
        <v/>
      </c>
      <c r="L348" s="41" t="str">
        <f>IF(tblConteo[[#This Row],[Diferencia]]="","",IF(tblConteo[[#This Row],[Diferencia]]=0,"✔ Cuadra",IF(tblConteo[[#This Row],[Diferencia]]&gt;0,"▲ Sobrante","▼ Faltante")))</f>
        <v/>
      </c>
      <c r="M34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49" spans="2:13" x14ac:dyDescent="0.25">
      <c r="B349" s="40" t="str">
        <f>IF('05_PRODUCTOS'!$B349="","",'05_PRODUCTOS'!$B349)</f>
        <v/>
      </c>
      <c r="C349" s="43" t="str">
        <f>IF($B349="","",'05_PRODUCTOS'!$C349)</f>
        <v/>
      </c>
      <c r="D349" s="43" t="str">
        <f>IF($B349="","",'05_PRODUCTOS'!$D349)</f>
        <v/>
      </c>
      <c r="E349" s="40" t="str">
        <f>IF($B349="","",'05_PRODUCTOS'!$J349&amp;"")</f>
        <v/>
      </c>
      <c r="F349" s="40" t="str">
        <f>IF($B349="","",'05_PRODUCTOS'!$E349)</f>
        <v/>
      </c>
      <c r="G349" s="40" t="str">
        <f>IF($B349="","",IF('05_PRODUCTOS'!$K349="NO","NO","SI"))</f>
        <v/>
      </c>
      <c r="H349" s="49" t="str">
        <f>IF($B349="","",N('15_STOCK'!$J349))</f>
        <v/>
      </c>
      <c r="I349" s="39"/>
      <c r="J349" s="48" t="str">
        <f>IF(OR(tblConteo[[#This Row],[SKU]]="",tblConteo[[#This Row],[Conteo]]=""),"",tblConteo[[#This Row],[Conteo]]-tblConteo[[#This Row],[StockSistema]])</f>
        <v/>
      </c>
      <c r="K349" s="52" t="str">
        <f>IF($J349="","",$J349*N('15_STOCK'!$O349))</f>
        <v/>
      </c>
      <c r="L349" s="41" t="str">
        <f>IF(tblConteo[[#This Row],[Diferencia]]="","",IF(tblConteo[[#This Row],[Diferencia]]=0,"✔ Cuadra",IF(tblConteo[[#This Row],[Diferencia]]&gt;0,"▲ Sobrante","▼ Faltante")))</f>
        <v/>
      </c>
      <c r="M34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0" spans="2:13" x14ac:dyDescent="0.25">
      <c r="B350" s="40" t="str">
        <f>IF('05_PRODUCTOS'!$B350="","",'05_PRODUCTOS'!$B350)</f>
        <v/>
      </c>
      <c r="C350" s="43" t="str">
        <f>IF($B350="","",'05_PRODUCTOS'!$C350)</f>
        <v/>
      </c>
      <c r="D350" s="43" t="str">
        <f>IF($B350="","",'05_PRODUCTOS'!$D350)</f>
        <v/>
      </c>
      <c r="E350" s="40" t="str">
        <f>IF($B350="","",'05_PRODUCTOS'!$J350&amp;"")</f>
        <v/>
      </c>
      <c r="F350" s="40" t="str">
        <f>IF($B350="","",'05_PRODUCTOS'!$E350)</f>
        <v/>
      </c>
      <c r="G350" s="40" t="str">
        <f>IF($B350="","",IF('05_PRODUCTOS'!$K350="NO","NO","SI"))</f>
        <v/>
      </c>
      <c r="H350" s="49" t="str">
        <f>IF($B350="","",N('15_STOCK'!$J350))</f>
        <v/>
      </c>
      <c r="I350" s="39"/>
      <c r="J350" s="48" t="str">
        <f>IF(OR(tblConteo[[#This Row],[SKU]]="",tblConteo[[#This Row],[Conteo]]=""),"",tblConteo[[#This Row],[Conteo]]-tblConteo[[#This Row],[StockSistema]])</f>
        <v/>
      </c>
      <c r="K350" s="52" t="str">
        <f>IF($J350="","",$J350*N('15_STOCK'!$O350))</f>
        <v/>
      </c>
      <c r="L350" s="41" t="str">
        <f>IF(tblConteo[[#This Row],[Diferencia]]="","",IF(tblConteo[[#This Row],[Diferencia]]=0,"✔ Cuadra",IF(tblConteo[[#This Row],[Diferencia]]&gt;0,"▲ Sobrante","▼ Faltante")))</f>
        <v/>
      </c>
      <c r="M35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1" spans="2:13" x14ac:dyDescent="0.25">
      <c r="B351" s="40" t="str">
        <f>IF('05_PRODUCTOS'!$B351="","",'05_PRODUCTOS'!$B351)</f>
        <v/>
      </c>
      <c r="C351" s="43" t="str">
        <f>IF($B351="","",'05_PRODUCTOS'!$C351)</f>
        <v/>
      </c>
      <c r="D351" s="43" t="str">
        <f>IF($B351="","",'05_PRODUCTOS'!$D351)</f>
        <v/>
      </c>
      <c r="E351" s="40" t="str">
        <f>IF($B351="","",'05_PRODUCTOS'!$J351&amp;"")</f>
        <v/>
      </c>
      <c r="F351" s="40" t="str">
        <f>IF($B351="","",'05_PRODUCTOS'!$E351)</f>
        <v/>
      </c>
      <c r="G351" s="40" t="str">
        <f>IF($B351="","",IF('05_PRODUCTOS'!$K351="NO","NO","SI"))</f>
        <v/>
      </c>
      <c r="H351" s="49" t="str">
        <f>IF($B351="","",N('15_STOCK'!$J351))</f>
        <v/>
      </c>
      <c r="I351" s="39"/>
      <c r="J351" s="48" t="str">
        <f>IF(OR(tblConteo[[#This Row],[SKU]]="",tblConteo[[#This Row],[Conteo]]=""),"",tblConteo[[#This Row],[Conteo]]-tblConteo[[#This Row],[StockSistema]])</f>
        <v/>
      </c>
      <c r="K351" s="52" t="str">
        <f>IF($J351="","",$J351*N('15_STOCK'!$O351))</f>
        <v/>
      </c>
      <c r="L351" s="41" t="str">
        <f>IF(tblConteo[[#This Row],[Diferencia]]="","",IF(tblConteo[[#This Row],[Diferencia]]=0,"✔ Cuadra",IF(tblConteo[[#This Row],[Diferencia]]&gt;0,"▲ Sobrante","▼ Faltante")))</f>
        <v/>
      </c>
      <c r="M35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2" spans="2:13" x14ac:dyDescent="0.25">
      <c r="B352" s="40" t="str">
        <f>IF('05_PRODUCTOS'!$B352="","",'05_PRODUCTOS'!$B352)</f>
        <v/>
      </c>
      <c r="C352" s="43" t="str">
        <f>IF($B352="","",'05_PRODUCTOS'!$C352)</f>
        <v/>
      </c>
      <c r="D352" s="43" t="str">
        <f>IF($B352="","",'05_PRODUCTOS'!$D352)</f>
        <v/>
      </c>
      <c r="E352" s="40" t="str">
        <f>IF($B352="","",'05_PRODUCTOS'!$J352&amp;"")</f>
        <v/>
      </c>
      <c r="F352" s="40" t="str">
        <f>IF($B352="","",'05_PRODUCTOS'!$E352)</f>
        <v/>
      </c>
      <c r="G352" s="40" t="str">
        <f>IF($B352="","",IF('05_PRODUCTOS'!$K352="NO","NO","SI"))</f>
        <v/>
      </c>
      <c r="H352" s="49" t="str">
        <f>IF($B352="","",N('15_STOCK'!$J352))</f>
        <v/>
      </c>
      <c r="I352" s="39"/>
      <c r="J352" s="48" t="str">
        <f>IF(OR(tblConteo[[#This Row],[SKU]]="",tblConteo[[#This Row],[Conteo]]=""),"",tblConteo[[#This Row],[Conteo]]-tblConteo[[#This Row],[StockSistema]])</f>
        <v/>
      </c>
      <c r="K352" s="52" t="str">
        <f>IF($J352="","",$J352*N('15_STOCK'!$O352))</f>
        <v/>
      </c>
      <c r="L352" s="41" t="str">
        <f>IF(tblConteo[[#This Row],[Diferencia]]="","",IF(tblConteo[[#This Row],[Diferencia]]=0,"✔ Cuadra",IF(tblConteo[[#This Row],[Diferencia]]&gt;0,"▲ Sobrante","▼ Faltante")))</f>
        <v/>
      </c>
      <c r="M35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3" spans="2:13" x14ac:dyDescent="0.25">
      <c r="B353" s="40" t="str">
        <f>IF('05_PRODUCTOS'!$B353="","",'05_PRODUCTOS'!$B353)</f>
        <v/>
      </c>
      <c r="C353" s="43" t="str">
        <f>IF($B353="","",'05_PRODUCTOS'!$C353)</f>
        <v/>
      </c>
      <c r="D353" s="43" t="str">
        <f>IF($B353="","",'05_PRODUCTOS'!$D353)</f>
        <v/>
      </c>
      <c r="E353" s="40" t="str">
        <f>IF($B353="","",'05_PRODUCTOS'!$J353&amp;"")</f>
        <v/>
      </c>
      <c r="F353" s="40" t="str">
        <f>IF($B353="","",'05_PRODUCTOS'!$E353)</f>
        <v/>
      </c>
      <c r="G353" s="40" t="str">
        <f>IF($B353="","",IF('05_PRODUCTOS'!$K353="NO","NO","SI"))</f>
        <v/>
      </c>
      <c r="H353" s="49" t="str">
        <f>IF($B353="","",N('15_STOCK'!$J353))</f>
        <v/>
      </c>
      <c r="I353" s="39"/>
      <c r="J353" s="48" t="str">
        <f>IF(OR(tblConteo[[#This Row],[SKU]]="",tblConteo[[#This Row],[Conteo]]=""),"",tblConteo[[#This Row],[Conteo]]-tblConteo[[#This Row],[StockSistema]])</f>
        <v/>
      </c>
      <c r="K353" s="52" t="str">
        <f>IF($J353="","",$J353*N('15_STOCK'!$O353))</f>
        <v/>
      </c>
      <c r="L353" s="41" t="str">
        <f>IF(tblConteo[[#This Row],[Diferencia]]="","",IF(tblConteo[[#This Row],[Diferencia]]=0,"✔ Cuadra",IF(tblConteo[[#This Row],[Diferencia]]&gt;0,"▲ Sobrante","▼ Faltante")))</f>
        <v/>
      </c>
      <c r="M35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4" spans="2:13" x14ac:dyDescent="0.25">
      <c r="B354" s="40" t="str">
        <f>IF('05_PRODUCTOS'!$B354="","",'05_PRODUCTOS'!$B354)</f>
        <v/>
      </c>
      <c r="C354" s="43" t="str">
        <f>IF($B354="","",'05_PRODUCTOS'!$C354)</f>
        <v/>
      </c>
      <c r="D354" s="43" t="str">
        <f>IF($B354="","",'05_PRODUCTOS'!$D354)</f>
        <v/>
      </c>
      <c r="E354" s="40" t="str">
        <f>IF($B354="","",'05_PRODUCTOS'!$J354&amp;"")</f>
        <v/>
      </c>
      <c r="F354" s="40" t="str">
        <f>IF($B354="","",'05_PRODUCTOS'!$E354)</f>
        <v/>
      </c>
      <c r="G354" s="40" t="str">
        <f>IF($B354="","",IF('05_PRODUCTOS'!$K354="NO","NO","SI"))</f>
        <v/>
      </c>
      <c r="H354" s="49" t="str">
        <f>IF($B354="","",N('15_STOCK'!$J354))</f>
        <v/>
      </c>
      <c r="I354" s="39"/>
      <c r="J354" s="48" t="str">
        <f>IF(OR(tblConteo[[#This Row],[SKU]]="",tblConteo[[#This Row],[Conteo]]=""),"",tblConteo[[#This Row],[Conteo]]-tblConteo[[#This Row],[StockSistema]])</f>
        <v/>
      </c>
      <c r="K354" s="52" t="str">
        <f>IF($J354="","",$J354*N('15_STOCK'!$O354))</f>
        <v/>
      </c>
      <c r="L354" s="41" t="str">
        <f>IF(tblConteo[[#This Row],[Diferencia]]="","",IF(tblConteo[[#This Row],[Diferencia]]=0,"✔ Cuadra",IF(tblConteo[[#This Row],[Diferencia]]&gt;0,"▲ Sobrante","▼ Faltante")))</f>
        <v/>
      </c>
      <c r="M35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5" spans="2:13" x14ac:dyDescent="0.25">
      <c r="B355" s="40" t="str">
        <f>IF('05_PRODUCTOS'!$B355="","",'05_PRODUCTOS'!$B355)</f>
        <v/>
      </c>
      <c r="C355" s="43" t="str">
        <f>IF($B355="","",'05_PRODUCTOS'!$C355)</f>
        <v/>
      </c>
      <c r="D355" s="43" t="str">
        <f>IF($B355="","",'05_PRODUCTOS'!$D355)</f>
        <v/>
      </c>
      <c r="E355" s="40" t="str">
        <f>IF($B355="","",'05_PRODUCTOS'!$J355&amp;"")</f>
        <v/>
      </c>
      <c r="F355" s="40" t="str">
        <f>IF($B355="","",'05_PRODUCTOS'!$E355)</f>
        <v/>
      </c>
      <c r="G355" s="40" t="str">
        <f>IF($B355="","",IF('05_PRODUCTOS'!$K355="NO","NO","SI"))</f>
        <v/>
      </c>
      <c r="H355" s="49" t="str">
        <f>IF($B355="","",N('15_STOCK'!$J355))</f>
        <v/>
      </c>
      <c r="I355" s="39"/>
      <c r="J355" s="48" t="str">
        <f>IF(OR(tblConteo[[#This Row],[SKU]]="",tblConteo[[#This Row],[Conteo]]=""),"",tblConteo[[#This Row],[Conteo]]-tblConteo[[#This Row],[StockSistema]])</f>
        <v/>
      </c>
      <c r="K355" s="52" t="str">
        <f>IF($J355="","",$J355*N('15_STOCK'!$O355))</f>
        <v/>
      </c>
      <c r="L355" s="41" t="str">
        <f>IF(tblConteo[[#This Row],[Diferencia]]="","",IF(tblConteo[[#This Row],[Diferencia]]=0,"✔ Cuadra",IF(tblConteo[[#This Row],[Diferencia]]&gt;0,"▲ Sobrante","▼ Faltante")))</f>
        <v/>
      </c>
      <c r="M35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6" spans="2:13" x14ac:dyDescent="0.25">
      <c r="B356" s="40" t="str">
        <f>IF('05_PRODUCTOS'!$B356="","",'05_PRODUCTOS'!$B356)</f>
        <v/>
      </c>
      <c r="C356" s="43" t="str">
        <f>IF($B356="","",'05_PRODUCTOS'!$C356)</f>
        <v/>
      </c>
      <c r="D356" s="43" t="str">
        <f>IF($B356="","",'05_PRODUCTOS'!$D356)</f>
        <v/>
      </c>
      <c r="E356" s="40" t="str">
        <f>IF($B356="","",'05_PRODUCTOS'!$J356&amp;"")</f>
        <v/>
      </c>
      <c r="F356" s="40" t="str">
        <f>IF($B356="","",'05_PRODUCTOS'!$E356)</f>
        <v/>
      </c>
      <c r="G356" s="40" t="str">
        <f>IF($B356="","",IF('05_PRODUCTOS'!$K356="NO","NO","SI"))</f>
        <v/>
      </c>
      <c r="H356" s="49" t="str">
        <f>IF($B356="","",N('15_STOCK'!$J356))</f>
        <v/>
      </c>
      <c r="I356" s="39"/>
      <c r="J356" s="48" t="str">
        <f>IF(OR(tblConteo[[#This Row],[SKU]]="",tblConteo[[#This Row],[Conteo]]=""),"",tblConteo[[#This Row],[Conteo]]-tblConteo[[#This Row],[StockSistema]])</f>
        <v/>
      </c>
      <c r="K356" s="52" t="str">
        <f>IF($J356="","",$J356*N('15_STOCK'!$O356))</f>
        <v/>
      </c>
      <c r="L356" s="41" t="str">
        <f>IF(tblConteo[[#This Row],[Diferencia]]="","",IF(tblConteo[[#This Row],[Diferencia]]=0,"✔ Cuadra",IF(tblConteo[[#This Row],[Diferencia]]&gt;0,"▲ Sobrante","▼ Faltante")))</f>
        <v/>
      </c>
      <c r="M35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7" spans="2:13" x14ac:dyDescent="0.25">
      <c r="B357" s="40" t="str">
        <f>IF('05_PRODUCTOS'!$B357="","",'05_PRODUCTOS'!$B357)</f>
        <v/>
      </c>
      <c r="C357" s="43" t="str">
        <f>IF($B357="","",'05_PRODUCTOS'!$C357)</f>
        <v/>
      </c>
      <c r="D357" s="43" t="str">
        <f>IF($B357="","",'05_PRODUCTOS'!$D357)</f>
        <v/>
      </c>
      <c r="E357" s="40" t="str">
        <f>IF($B357="","",'05_PRODUCTOS'!$J357&amp;"")</f>
        <v/>
      </c>
      <c r="F357" s="40" t="str">
        <f>IF($B357="","",'05_PRODUCTOS'!$E357)</f>
        <v/>
      </c>
      <c r="G357" s="40" t="str">
        <f>IF($B357="","",IF('05_PRODUCTOS'!$K357="NO","NO","SI"))</f>
        <v/>
      </c>
      <c r="H357" s="49" t="str">
        <f>IF($B357="","",N('15_STOCK'!$J357))</f>
        <v/>
      </c>
      <c r="I357" s="39"/>
      <c r="J357" s="48" t="str">
        <f>IF(OR(tblConteo[[#This Row],[SKU]]="",tblConteo[[#This Row],[Conteo]]=""),"",tblConteo[[#This Row],[Conteo]]-tblConteo[[#This Row],[StockSistema]])</f>
        <v/>
      </c>
      <c r="K357" s="52" t="str">
        <f>IF($J357="","",$J357*N('15_STOCK'!$O357))</f>
        <v/>
      </c>
      <c r="L357" s="41" t="str">
        <f>IF(tblConteo[[#This Row],[Diferencia]]="","",IF(tblConteo[[#This Row],[Diferencia]]=0,"✔ Cuadra",IF(tblConteo[[#This Row],[Diferencia]]&gt;0,"▲ Sobrante","▼ Faltante")))</f>
        <v/>
      </c>
      <c r="M35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8" spans="2:13" x14ac:dyDescent="0.25">
      <c r="B358" s="40" t="str">
        <f>IF('05_PRODUCTOS'!$B358="","",'05_PRODUCTOS'!$B358)</f>
        <v/>
      </c>
      <c r="C358" s="43" t="str">
        <f>IF($B358="","",'05_PRODUCTOS'!$C358)</f>
        <v/>
      </c>
      <c r="D358" s="43" t="str">
        <f>IF($B358="","",'05_PRODUCTOS'!$D358)</f>
        <v/>
      </c>
      <c r="E358" s="40" t="str">
        <f>IF($B358="","",'05_PRODUCTOS'!$J358&amp;"")</f>
        <v/>
      </c>
      <c r="F358" s="40" t="str">
        <f>IF($B358="","",'05_PRODUCTOS'!$E358)</f>
        <v/>
      </c>
      <c r="G358" s="40" t="str">
        <f>IF($B358="","",IF('05_PRODUCTOS'!$K358="NO","NO","SI"))</f>
        <v/>
      </c>
      <c r="H358" s="49" t="str">
        <f>IF($B358="","",N('15_STOCK'!$J358))</f>
        <v/>
      </c>
      <c r="I358" s="39"/>
      <c r="J358" s="48" t="str">
        <f>IF(OR(tblConteo[[#This Row],[SKU]]="",tblConteo[[#This Row],[Conteo]]=""),"",tblConteo[[#This Row],[Conteo]]-tblConteo[[#This Row],[StockSistema]])</f>
        <v/>
      </c>
      <c r="K358" s="52" t="str">
        <f>IF($J358="","",$J358*N('15_STOCK'!$O358))</f>
        <v/>
      </c>
      <c r="L358" s="41" t="str">
        <f>IF(tblConteo[[#This Row],[Diferencia]]="","",IF(tblConteo[[#This Row],[Diferencia]]=0,"✔ Cuadra",IF(tblConteo[[#This Row],[Diferencia]]&gt;0,"▲ Sobrante","▼ Faltante")))</f>
        <v/>
      </c>
      <c r="M35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59" spans="2:13" x14ac:dyDescent="0.25">
      <c r="B359" s="40" t="str">
        <f>IF('05_PRODUCTOS'!$B359="","",'05_PRODUCTOS'!$B359)</f>
        <v/>
      </c>
      <c r="C359" s="43" t="str">
        <f>IF($B359="","",'05_PRODUCTOS'!$C359)</f>
        <v/>
      </c>
      <c r="D359" s="43" t="str">
        <f>IF($B359="","",'05_PRODUCTOS'!$D359)</f>
        <v/>
      </c>
      <c r="E359" s="40" t="str">
        <f>IF($B359="","",'05_PRODUCTOS'!$J359&amp;"")</f>
        <v/>
      </c>
      <c r="F359" s="40" t="str">
        <f>IF($B359="","",'05_PRODUCTOS'!$E359)</f>
        <v/>
      </c>
      <c r="G359" s="40" t="str">
        <f>IF($B359="","",IF('05_PRODUCTOS'!$K359="NO","NO","SI"))</f>
        <v/>
      </c>
      <c r="H359" s="49" t="str">
        <f>IF($B359="","",N('15_STOCK'!$J359))</f>
        <v/>
      </c>
      <c r="I359" s="39"/>
      <c r="J359" s="48" t="str">
        <f>IF(OR(tblConteo[[#This Row],[SKU]]="",tblConteo[[#This Row],[Conteo]]=""),"",tblConteo[[#This Row],[Conteo]]-tblConteo[[#This Row],[StockSistema]])</f>
        <v/>
      </c>
      <c r="K359" s="52" t="str">
        <f>IF($J359="","",$J359*N('15_STOCK'!$O359))</f>
        <v/>
      </c>
      <c r="L359" s="41" t="str">
        <f>IF(tblConteo[[#This Row],[Diferencia]]="","",IF(tblConteo[[#This Row],[Diferencia]]=0,"✔ Cuadra",IF(tblConteo[[#This Row],[Diferencia]]&gt;0,"▲ Sobrante","▼ Faltante")))</f>
        <v/>
      </c>
      <c r="M35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0" spans="2:13" x14ac:dyDescent="0.25">
      <c r="B360" s="40" t="str">
        <f>IF('05_PRODUCTOS'!$B360="","",'05_PRODUCTOS'!$B360)</f>
        <v/>
      </c>
      <c r="C360" s="43" t="str">
        <f>IF($B360="","",'05_PRODUCTOS'!$C360)</f>
        <v/>
      </c>
      <c r="D360" s="43" t="str">
        <f>IF($B360="","",'05_PRODUCTOS'!$D360)</f>
        <v/>
      </c>
      <c r="E360" s="40" t="str">
        <f>IF($B360="","",'05_PRODUCTOS'!$J360&amp;"")</f>
        <v/>
      </c>
      <c r="F360" s="40" t="str">
        <f>IF($B360="","",'05_PRODUCTOS'!$E360)</f>
        <v/>
      </c>
      <c r="G360" s="40" t="str">
        <f>IF($B360="","",IF('05_PRODUCTOS'!$K360="NO","NO","SI"))</f>
        <v/>
      </c>
      <c r="H360" s="49" t="str">
        <f>IF($B360="","",N('15_STOCK'!$J360))</f>
        <v/>
      </c>
      <c r="I360" s="39"/>
      <c r="J360" s="48" t="str">
        <f>IF(OR(tblConteo[[#This Row],[SKU]]="",tblConteo[[#This Row],[Conteo]]=""),"",tblConteo[[#This Row],[Conteo]]-tblConteo[[#This Row],[StockSistema]])</f>
        <v/>
      </c>
      <c r="K360" s="52" t="str">
        <f>IF($J360="","",$J360*N('15_STOCK'!$O360))</f>
        <v/>
      </c>
      <c r="L360" s="41" t="str">
        <f>IF(tblConteo[[#This Row],[Diferencia]]="","",IF(tblConteo[[#This Row],[Diferencia]]=0,"✔ Cuadra",IF(tblConteo[[#This Row],[Diferencia]]&gt;0,"▲ Sobrante","▼ Faltante")))</f>
        <v/>
      </c>
      <c r="M36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1" spans="2:13" x14ac:dyDescent="0.25">
      <c r="B361" s="40" t="str">
        <f>IF('05_PRODUCTOS'!$B361="","",'05_PRODUCTOS'!$B361)</f>
        <v/>
      </c>
      <c r="C361" s="43" t="str">
        <f>IF($B361="","",'05_PRODUCTOS'!$C361)</f>
        <v/>
      </c>
      <c r="D361" s="43" t="str">
        <f>IF($B361="","",'05_PRODUCTOS'!$D361)</f>
        <v/>
      </c>
      <c r="E361" s="40" t="str">
        <f>IF($B361="","",'05_PRODUCTOS'!$J361&amp;"")</f>
        <v/>
      </c>
      <c r="F361" s="40" t="str">
        <f>IF($B361="","",'05_PRODUCTOS'!$E361)</f>
        <v/>
      </c>
      <c r="G361" s="40" t="str">
        <f>IF($B361="","",IF('05_PRODUCTOS'!$K361="NO","NO","SI"))</f>
        <v/>
      </c>
      <c r="H361" s="49" t="str">
        <f>IF($B361="","",N('15_STOCK'!$J361))</f>
        <v/>
      </c>
      <c r="I361" s="39"/>
      <c r="J361" s="48" t="str">
        <f>IF(OR(tblConteo[[#This Row],[SKU]]="",tblConteo[[#This Row],[Conteo]]=""),"",tblConteo[[#This Row],[Conteo]]-tblConteo[[#This Row],[StockSistema]])</f>
        <v/>
      </c>
      <c r="K361" s="52" t="str">
        <f>IF($J361="","",$J361*N('15_STOCK'!$O361))</f>
        <v/>
      </c>
      <c r="L361" s="41" t="str">
        <f>IF(tblConteo[[#This Row],[Diferencia]]="","",IF(tblConteo[[#This Row],[Diferencia]]=0,"✔ Cuadra",IF(tblConteo[[#This Row],[Diferencia]]&gt;0,"▲ Sobrante","▼ Faltante")))</f>
        <v/>
      </c>
      <c r="M36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2" spans="2:13" x14ac:dyDescent="0.25">
      <c r="B362" s="40" t="str">
        <f>IF('05_PRODUCTOS'!$B362="","",'05_PRODUCTOS'!$B362)</f>
        <v/>
      </c>
      <c r="C362" s="43" t="str">
        <f>IF($B362="","",'05_PRODUCTOS'!$C362)</f>
        <v/>
      </c>
      <c r="D362" s="43" t="str">
        <f>IF($B362="","",'05_PRODUCTOS'!$D362)</f>
        <v/>
      </c>
      <c r="E362" s="40" t="str">
        <f>IF($B362="","",'05_PRODUCTOS'!$J362&amp;"")</f>
        <v/>
      </c>
      <c r="F362" s="40" t="str">
        <f>IF($B362="","",'05_PRODUCTOS'!$E362)</f>
        <v/>
      </c>
      <c r="G362" s="40" t="str">
        <f>IF($B362="","",IF('05_PRODUCTOS'!$K362="NO","NO","SI"))</f>
        <v/>
      </c>
      <c r="H362" s="49" t="str">
        <f>IF($B362="","",N('15_STOCK'!$J362))</f>
        <v/>
      </c>
      <c r="I362" s="39"/>
      <c r="J362" s="48" t="str">
        <f>IF(OR(tblConteo[[#This Row],[SKU]]="",tblConteo[[#This Row],[Conteo]]=""),"",tblConteo[[#This Row],[Conteo]]-tblConteo[[#This Row],[StockSistema]])</f>
        <v/>
      </c>
      <c r="K362" s="52" t="str">
        <f>IF($J362="","",$J362*N('15_STOCK'!$O362))</f>
        <v/>
      </c>
      <c r="L362" s="41" t="str">
        <f>IF(tblConteo[[#This Row],[Diferencia]]="","",IF(tblConteo[[#This Row],[Diferencia]]=0,"✔ Cuadra",IF(tblConteo[[#This Row],[Diferencia]]&gt;0,"▲ Sobrante","▼ Faltante")))</f>
        <v/>
      </c>
      <c r="M36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3" spans="2:13" x14ac:dyDescent="0.25">
      <c r="B363" s="40" t="str">
        <f>IF('05_PRODUCTOS'!$B363="","",'05_PRODUCTOS'!$B363)</f>
        <v/>
      </c>
      <c r="C363" s="43" t="str">
        <f>IF($B363="","",'05_PRODUCTOS'!$C363)</f>
        <v/>
      </c>
      <c r="D363" s="43" t="str">
        <f>IF($B363="","",'05_PRODUCTOS'!$D363)</f>
        <v/>
      </c>
      <c r="E363" s="40" t="str">
        <f>IF($B363="","",'05_PRODUCTOS'!$J363&amp;"")</f>
        <v/>
      </c>
      <c r="F363" s="40" t="str">
        <f>IF($B363="","",'05_PRODUCTOS'!$E363)</f>
        <v/>
      </c>
      <c r="G363" s="40" t="str">
        <f>IF($B363="","",IF('05_PRODUCTOS'!$K363="NO","NO","SI"))</f>
        <v/>
      </c>
      <c r="H363" s="49" t="str">
        <f>IF($B363="","",N('15_STOCK'!$J363))</f>
        <v/>
      </c>
      <c r="I363" s="39"/>
      <c r="J363" s="48" t="str">
        <f>IF(OR(tblConteo[[#This Row],[SKU]]="",tblConteo[[#This Row],[Conteo]]=""),"",tblConteo[[#This Row],[Conteo]]-tblConteo[[#This Row],[StockSistema]])</f>
        <v/>
      </c>
      <c r="K363" s="52" t="str">
        <f>IF($J363="","",$J363*N('15_STOCK'!$O363))</f>
        <v/>
      </c>
      <c r="L363" s="41" t="str">
        <f>IF(tblConteo[[#This Row],[Diferencia]]="","",IF(tblConteo[[#This Row],[Diferencia]]=0,"✔ Cuadra",IF(tblConteo[[#This Row],[Diferencia]]&gt;0,"▲ Sobrante","▼ Faltante")))</f>
        <v/>
      </c>
      <c r="M36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4" spans="2:13" x14ac:dyDescent="0.25">
      <c r="B364" s="40" t="str">
        <f>IF('05_PRODUCTOS'!$B364="","",'05_PRODUCTOS'!$B364)</f>
        <v/>
      </c>
      <c r="C364" s="43" t="str">
        <f>IF($B364="","",'05_PRODUCTOS'!$C364)</f>
        <v/>
      </c>
      <c r="D364" s="43" t="str">
        <f>IF($B364="","",'05_PRODUCTOS'!$D364)</f>
        <v/>
      </c>
      <c r="E364" s="40" t="str">
        <f>IF($B364="","",'05_PRODUCTOS'!$J364&amp;"")</f>
        <v/>
      </c>
      <c r="F364" s="40" t="str">
        <f>IF($B364="","",'05_PRODUCTOS'!$E364)</f>
        <v/>
      </c>
      <c r="G364" s="40" t="str">
        <f>IF($B364="","",IF('05_PRODUCTOS'!$K364="NO","NO","SI"))</f>
        <v/>
      </c>
      <c r="H364" s="49" t="str">
        <f>IF($B364="","",N('15_STOCK'!$J364))</f>
        <v/>
      </c>
      <c r="I364" s="39"/>
      <c r="J364" s="48" t="str">
        <f>IF(OR(tblConteo[[#This Row],[SKU]]="",tblConteo[[#This Row],[Conteo]]=""),"",tblConteo[[#This Row],[Conteo]]-tblConteo[[#This Row],[StockSistema]])</f>
        <v/>
      </c>
      <c r="K364" s="52" t="str">
        <f>IF($J364="","",$J364*N('15_STOCK'!$O364))</f>
        <v/>
      </c>
      <c r="L364" s="41" t="str">
        <f>IF(tblConteo[[#This Row],[Diferencia]]="","",IF(tblConteo[[#This Row],[Diferencia]]=0,"✔ Cuadra",IF(tblConteo[[#This Row],[Diferencia]]&gt;0,"▲ Sobrante","▼ Faltante")))</f>
        <v/>
      </c>
      <c r="M36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5" spans="2:13" x14ac:dyDescent="0.25">
      <c r="B365" s="40" t="str">
        <f>IF('05_PRODUCTOS'!$B365="","",'05_PRODUCTOS'!$B365)</f>
        <v/>
      </c>
      <c r="C365" s="43" t="str">
        <f>IF($B365="","",'05_PRODUCTOS'!$C365)</f>
        <v/>
      </c>
      <c r="D365" s="43" t="str">
        <f>IF($B365="","",'05_PRODUCTOS'!$D365)</f>
        <v/>
      </c>
      <c r="E365" s="40" t="str">
        <f>IF($B365="","",'05_PRODUCTOS'!$J365&amp;"")</f>
        <v/>
      </c>
      <c r="F365" s="40" t="str">
        <f>IF($B365="","",'05_PRODUCTOS'!$E365)</f>
        <v/>
      </c>
      <c r="G365" s="40" t="str">
        <f>IF($B365="","",IF('05_PRODUCTOS'!$K365="NO","NO","SI"))</f>
        <v/>
      </c>
      <c r="H365" s="49" t="str">
        <f>IF($B365="","",N('15_STOCK'!$J365))</f>
        <v/>
      </c>
      <c r="I365" s="39"/>
      <c r="J365" s="48" t="str">
        <f>IF(OR(tblConteo[[#This Row],[SKU]]="",tblConteo[[#This Row],[Conteo]]=""),"",tblConteo[[#This Row],[Conteo]]-tblConteo[[#This Row],[StockSistema]])</f>
        <v/>
      </c>
      <c r="K365" s="52" t="str">
        <f>IF($J365="","",$J365*N('15_STOCK'!$O365))</f>
        <v/>
      </c>
      <c r="L365" s="41" t="str">
        <f>IF(tblConteo[[#This Row],[Diferencia]]="","",IF(tblConteo[[#This Row],[Diferencia]]=0,"✔ Cuadra",IF(tblConteo[[#This Row],[Diferencia]]&gt;0,"▲ Sobrante","▼ Faltante")))</f>
        <v/>
      </c>
      <c r="M36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6" spans="2:13" x14ac:dyDescent="0.25">
      <c r="B366" s="40" t="str">
        <f>IF('05_PRODUCTOS'!$B366="","",'05_PRODUCTOS'!$B366)</f>
        <v/>
      </c>
      <c r="C366" s="43" t="str">
        <f>IF($B366="","",'05_PRODUCTOS'!$C366)</f>
        <v/>
      </c>
      <c r="D366" s="43" t="str">
        <f>IF($B366="","",'05_PRODUCTOS'!$D366)</f>
        <v/>
      </c>
      <c r="E366" s="40" t="str">
        <f>IF($B366="","",'05_PRODUCTOS'!$J366&amp;"")</f>
        <v/>
      </c>
      <c r="F366" s="40" t="str">
        <f>IF($B366="","",'05_PRODUCTOS'!$E366)</f>
        <v/>
      </c>
      <c r="G366" s="40" t="str">
        <f>IF($B366="","",IF('05_PRODUCTOS'!$K366="NO","NO","SI"))</f>
        <v/>
      </c>
      <c r="H366" s="49" t="str">
        <f>IF($B366="","",N('15_STOCK'!$J366))</f>
        <v/>
      </c>
      <c r="I366" s="39"/>
      <c r="J366" s="48" t="str">
        <f>IF(OR(tblConteo[[#This Row],[SKU]]="",tblConteo[[#This Row],[Conteo]]=""),"",tblConteo[[#This Row],[Conteo]]-tblConteo[[#This Row],[StockSistema]])</f>
        <v/>
      </c>
      <c r="K366" s="52" t="str">
        <f>IF($J366="","",$J366*N('15_STOCK'!$O366))</f>
        <v/>
      </c>
      <c r="L366" s="41" t="str">
        <f>IF(tblConteo[[#This Row],[Diferencia]]="","",IF(tblConteo[[#This Row],[Diferencia]]=0,"✔ Cuadra",IF(tblConteo[[#This Row],[Diferencia]]&gt;0,"▲ Sobrante","▼ Faltante")))</f>
        <v/>
      </c>
      <c r="M36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7" spans="2:13" x14ac:dyDescent="0.25">
      <c r="B367" s="40" t="str">
        <f>IF('05_PRODUCTOS'!$B367="","",'05_PRODUCTOS'!$B367)</f>
        <v/>
      </c>
      <c r="C367" s="43" t="str">
        <f>IF($B367="","",'05_PRODUCTOS'!$C367)</f>
        <v/>
      </c>
      <c r="D367" s="43" t="str">
        <f>IF($B367="","",'05_PRODUCTOS'!$D367)</f>
        <v/>
      </c>
      <c r="E367" s="40" t="str">
        <f>IF($B367="","",'05_PRODUCTOS'!$J367&amp;"")</f>
        <v/>
      </c>
      <c r="F367" s="40" t="str">
        <f>IF($B367="","",'05_PRODUCTOS'!$E367)</f>
        <v/>
      </c>
      <c r="G367" s="40" t="str">
        <f>IF($B367="","",IF('05_PRODUCTOS'!$K367="NO","NO","SI"))</f>
        <v/>
      </c>
      <c r="H367" s="49" t="str">
        <f>IF($B367="","",N('15_STOCK'!$J367))</f>
        <v/>
      </c>
      <c r="I367" s="39"/>
      <c r="J367" s="48" t="str">
        <f>IF(OR(tblConteo[[#This Row],[SKU]]="",tblConteo[[#This Row],[Conteo]]=""),"",tblConteo[[#This Row],[Conteo]]-tblConteo[[#This Row],[StockSistema]])</f>
        <v/>
      </c>
      <c r="K367" s="52" t="str">
        <f>IF($J367="","",$J367*N('15_STOCK'!$O367))</f>
        <v/>
      </c>
      <c r="L367" s="41" t="str">
        <f>IF(tblConteo[[#This Row],[Diferencia]]="","",IF(tblConteo[[#This Row],[Diferencia]]=0,"✔ Cuadra",IF(tblConteo[[#This Row],[Diferencia]]&gt;0,"▲ Sobrante","▼ Faltante")))</f>
        <v/>
      </c>
      <c r="M36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8" spans="2:13" x14ac:dyDescent="0.25">
      <c r="B368" s="40" t="str">
        <f>IF('05_PRODUCTOS'!$B368="","",'05_PRODUCTOS'!$B368)</f>
        <v/>
      </c>
      <c r="C368" s="43" t="str">
        <f>IF($B368="","",'05_PRODUCTOS'!$C368)</f>
        <v/>
      </c>
      <c r="D368" s="43" t="str">
        <f>IF($B368="","",'05_PRODUCTOS'!$D368)</f>
        <v/>
      </c>
      <c r="E368" s="40" t="str">
        <f>IF($B368="","",'05_PRODUCTOS'!$J368&amp;"")</f>
        <v/>
      </c>
      <c r="F368" s="40" t="str">
        <f>IF($B368="","",'05_PRODUCTOS'!$E368)</f>
        <v/>
      </c>
      <c r="G368" s="40" t="str">
        <f>IF($B368="","",IF('05_PRODUCTOS'!$K368="NO","NO","SI"))</f>
        <v/>
      </c>
      <c r="H368" s="49" t="str">
        <f>IF($B368="","",N('15_STOCK'!$J368))</f>
        <v/>
      </c>
      <c r="I368" s="39"/>
      <c r="J368" s="48" t="str">
        <f>IF(OR(tblConteo[[#This Row],[SKU]]="",tblConteo[[#This Row],[Conteo]]=""),"",tblConteo[[#This Row],[Conteo]]-tblConteo[[#This Row],[StockSistema]])</f>
        <v/>
      </c>
      <c r="K368" s="52" t="str">
        <f>IF($J368="","",$J368*N('15_STOCK'!$O368))</f>
        <v/>
      </c>
      <c r="L368" s="41" t="str">
        <f>IF(tblConteo[[#This Row],[Diferencia]]="","",IF(tblConteo[[#This Row],[Diferencia]]=0,"✔ Cuadra",IF(tblConteo[[#This Row],[Diferencia]]&gt;0,"▲ Sobrante","▼ Faltante")))</f>
        <v/>
      </c>
      <c r="M36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69" spans="2:13" x14ac:dyDescent="0.25">
      <c r="B369" s="40" t="str">
        <f>IF('05_PRODUCTOS'!$B369="","",'05_PRODUCTOS'!$B369)</f>
        <v/>
      </c>
      <c r="C369" s="43" t="str">
        <f>IF($B369="","",'05_PRODUCTOS'!$C369)</f>
        <v/>
      </c>
      <c r="D369" s="43" t="str">
        <f>IF($B369="","",'05_PRODUCTOS'!$D369)</f>
        <v/>
      </c>
      <c r="E369" s="40" t="str">
        <f>IF($B369="","",'05_PRODUCTOS'!$J369&amp;"")</f>
        <v/>
      </c>
      <c r="F369" s="40" t="str">
        <f>IF($B369="","",'05_PRODUCTOS'!$E369)</f>
        <v/>
      </c>
      <c r="G369" s="40" t="str">
        <f>IF($B369="","",IF('05_PRODUCTOS'!$K369="NO","NO","SI"))</f>
        <v/>
      </c>
      <c r="H369" s="49" t="str">
        <f>IF($B369="","",N('15_STOCK'!$J369))</f>
        <v/>
      </c>
      <c r="I369" s="39"/>
      <c r="J369" s="48" t="str">
        <f>IF(OR(tblConteo[[#This Row],[SKU]]="",tblConteo[[#This Row],[Conteo]]=""),"",tblConteo[[#This Row],[Conteo]]-tblConteo[[#This Row],[StockSistema]])</f>
        <v/>
      </c>
      <c r="K369" s="52" t="str">
        <f>IF($J369="","",$J369*N('15_STOCK'!$O369))</f>
        <v/>
      </c>
      <c r="L369" s="41" t="str">
        <f>IF(tblConteo[[#This Row],[Diferencia]]="","",IF(tblConteo[[#This Row],[Diferencia]]=0,"✔ Cuadra",IF(tblConteo[[#This Row],[Diferencia]]&gt;0,"▲ Sobrante","▼ Faltante")))</f>
        <v/>
      </c>
      <c r="M36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0" spans="2:13" x14ac:dyDescent="0.25">
      <c r="B370" s="40" t="str">
        <f>IF('05_PRODUCTOS'!$B370="","",'05_PRODUCTOS'!$B370)</f>
        <v/>
      </c>
      <c r="C370" s="43" t="str">
        <f>IF($B370="","",'05_PRODUCTOS'!$C370)</f>
        <v/>
      </c>
      <c r="D370" s="43" t="str">
        <f>IF($B370="","",'05_PRODUCTOS'!$D370)</f>
        <v/>
      </c>
      <c r="E370" s="40" t="str">
        <f>IF($B370="","",'05_PRODUCTOS'!$J370&amp;"")</f>
        <v/>
      </c>
      <c r="F370" s="40" t="str">
        <f>IF($B370="","",'05_PRODUCTOS'!$E370)</f>
        <v/>
      </c>
      <c r="G370" s="40" t="str">
        <f>IF($B370="","",IF('05_PRODUCTOS'!$K370="NO","NO","SI"))</f>
        <v/>
      </c>
      <c r="H370" s="49" t="str">
        <f>IF($B370="","",N('15_STOCK'!$J370))</f>
        <v/>
      </c>
      <c r="I370" s="39"/>
      <c r="J370" s="48" t="str">
        <f>IF(OR(tblConteo[[#This Row],[SKU]]="",tblConteo[[#This Row],[Conteo]]=""),"",tblConteo[[#This Row],[Conteo]]-tblConteo[[#This Row],[StockSistema]])</f>
        <v/>
      </c>
      <c r="K370" s="52" t="str">
        <f>IF($J370="","",$J370*N('15_STOCK'!$O370))</f>
        <v/>
      </c>
      <c r="L370" s="41" t="str">
        <f>IF(tblConteo[[#This Row],[Diferencia]]="","",IF(tblConteo[[#This Row],[Diferencia]]=0,"✔ Cuadra",IF(tblConteo[[#This Row],[Diferencia]]&gt;0,"▲ Sobrante","▼ Faltante")))</f>
        <v/>
      </c>
      <c r="M37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1" spans="2:13" x14ac:dyDescent="0.25">
      <c r="B371" s="40" t="str">
        <f>IF('05_PRODUCTOS'!$B371="","",'05_PRODUCTOS'!$B371)</f>
        <v/>
      </c>
      <c r="C371" s="43" t="str">
        <f>IF($B371="","",'05_PRODUCTOS'!$C371)</f>
        <v/>
      </c>
      <c r="D371" s="43" t="str">
        <f>IF($B371="","",'05_PRODUCTOS'!$D371)</f>
        <v/>
      </c>
      <c r="E371" s="40" t="str">
        <f>IF($B371="","",'05_PRODUCTOS'!$J371&amp;"")</f>
        <v/>
      </c>
      <c r="F371" s="40" t="str">
        <f>IF($B371="","",'05_PRODUCTOS'!$E371)</f>
        <v/>
      </c>
      <c r="G371" s="40" t="str">
        <f>IF($B371="","",IF('05_PRODUCTOS'!$K371="NO","NO","SI"))</f>
        <v/>
      </c>
      <c r="H371" s="49" t="str">
        <f>IF($B371="","",N('15_STOCK'!$J371))</f>
        <v/>
      </c>
      <c r="I371" s="39"/>
      <c r="J371" s="48" t="str">
        <f>IF(OR(tblConteo[[#This Row],[SKU]]="",tblConteo[[#This Row],[Conteo]]=""),"",tblConteo[[#This Row],[Conteo]]-tblConteo[[#This Row],[StockSistema]])</f>
        <v/>
      </c>
      <c r="K371" s="52" t="str">
        <f>IF($J371="","",$J371*N('15_STOCK'!$O371))</f>
        <v/>
      </c>
      <c r="L371" s="41" t="str">
        <f>IF(tblConteo[[#This Row],[Diferencia]]="","",IF(tblConteo[[#This Row],[Diferencia]]=0,"✔ Cuadra",IF(tblConteo[[#This Row],[Diferencia]]&gt;0,"▲ Sobrante","▼ Faltante")))</f>
        <v/>
      </c>
      <c r="M37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2" spans="2:13" x14ac:dyDescent="0.25">
      <c r="B372" s="40" t="str">
        <f>IF('05_PRODUCTOS'!$B372="","",'05_PRODUCTOS'!$B372)</f>
        <v/>
      </c>
      <c r="C372" s="43" t="str">
        <f>IF($B372="","",'05_PRODUCTOS'!$C372)</f>
        <v/>
      </c>
      <c r="D372" s="43" t="str">
        <f>IF($B372="","",'05_PRODUCTOS'!$D372)</f>
        <v/>
      </c>
      <c r="E372" s="40" t="str">
        <f>IF($B372="","",'05_PRODUCTOS'!$J372&amp;"")</f>
        <v/>
      </c>
      <c r="F372" s="40" t="str">
        <f>IF($B372="","",'05_PRODUCTOS'!$E372)</f>
        <v/>
      </c>
      <c r="G372" s="40" t="str">
        <f>IF($B372="","",IF('05_PRODUCTOS'!$K372="NO","NO","SI"))</f>
        <v/>
      </c>
      <c r="H372" s="49" t="str">
        <f>IF($B372="","",N('15_STOCK'!$J372))</f>
        <v/>
      </c>
      <c r="I372" s="39"/>
      <c r="J372" s="48" t="str">
        <f>IF(OR(tblConteo[[#This Row],[SKU]]="",tblConteo[[#This Row],[Conteo]]=""),"",tblConteo[[#This Row],[Conteo]]-tblConteo[[#This Row],[StockSistema]])</f>
        <v/>
      </c>
      <c r="K372" s="52" t="str">
        <f>IF($J372="","",$J372*N('15_STOCK'!$O372))</f>
        <v/>
      </c>
      <c r="L372" s="41" t="str">
        <f>IF(tblConteo[[#This Row],[Diferencia]]="","",IF(tblConteo[[#This Row],[Diferencia]]=0,"✔ Cuadra",IF(tblConteo[[#This Row],[Diferencia]]&gt;0,"▲ Sobrante","▼ Faltante")))</f>
        <v/>
      </c>
      <c r="M37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3" spans="2:13" x14ac:dyDescent="0.25">
      <c r="B373" s="40" t="str">
        <f>IF('05_PRODUCTOS'!$B373="","",'05_PRODUCTOS'!$B373)</f>
        <v/>
      </c>
      <c r="C373" s="43" t="str">
        <f>IF($B373="","",'05_PRODUCTOS'!$C373)</f>
        <v/>
      </c>
      <c r="D373" s="43" t="str">
        <f>IF($B373="","",'05_PRODUCTOS'!$D373)</f>
        <v/>
      </c>
      <c r="E373" s="40" t="str">
        <f>IF($B373="","",'05_PRODUCTOS'!$J373&amp;"")</f>
        <v/>
      </c>
      <c r="F373" s="40" t="str">
        <f>IF($B373="","",'05_PRODUCTOS'!$E373)</f>
        <v/>
      </c>
      <c r="G373" s="40" t="str">
        <f>IF($B373="","",IF('05_PRODUCTOS'!$K373="NO","NO","SI"))</f>
        <v/>
      </c>
      <c r="H373" s="49" t="str">
        <f>IF($B373="","",N('15_STOCK'!$J373))</f>
        <v/>
      </c>
      <c r="I373" s="39"/>
      <c r="J373" s="48" t="str">
        <f>IF(OR(tblConteo[[#This Row],[SKU]]="",tblConteo[[#This Row],[Conteo]]=""),"",tblConteo[[#This Row],[Conteo]]-tblConteo[[#This Row],[StockSistema]])</f>
        <v/>
      </c>
      <c r="K373" s="52" t="str">
        <f>IF($J373="","",$J373*N('15_STOCK'!$O373))</f>
        <v/>
      </c>
      <c r="L373" s="41" t="str">
        <f>IF(tblConteo[[#This Row],[Diferencia]]="","",IF(tblConteo[[#This Row],[Diferencia]]=0,"✔ Cuadra",IF(tblConteo[[#This Row],[Diferencia]]&gt;0,"▲ Sobrante","▼ Faltante")))</f>
        <v/>
      </c>
      <c r="M37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4" spans="2:13" x14ac:dyDescent="0.25">
      <c r="B374" s="40" t="str">
        <f>IF('05_PRODUCTOS'!$B374="","",'05_PRODUCTOS'!$B374)</f>
        <v/>
      </c>
      <c r="C374" s="43" t="str">
        <f>IF($B374="","",'05_PRODUCTOS'!$C374)</f>
        <v/>
      </c>
      <c r="D374" s="43" t="str">
        <f>IF($B374="","",'05_PRODUCTOS'!$D374)</f>
        <v/>
      </c>
      <c r="E374" s="40" t="str">
        <f>IF($B374="","",'05_PRODUCTOS'!$J374&amp;"")</f>
        <v/>
      </c>
      <c r="F374" s="40" t="str">
        <f>IF($B374="","",'05_PRODUCTOS'!$E374)</f>
        <v/>
      </c>
      <c r="G374" s="40" t="str">
        <f>IF($B374="","",IF('05_PRODUCTOS'!$K374="NO","NO","SI"))</f>
        <v/>
      </c>
      <c r="H374" s="49" t="str">
        <f>IF($B374="","",N('15_STOCK'!$J374))</f>
        <v/>
      </c>
      <c r="I374" s="39"/>
      <c r="J374" s="48" t="str">
        <f>IF(OR(tblConteo[[#This Row],[SKU]]="",tblConteo[[#This Row],[Conteo]]=""),"",tblConteo[[#This Row],[Conteo]]-tblConteo[[#This Row],[StockSistema]])</f>
        <v/>
      </c>
      <c r="K374" s="52" t="str">
        <f>IF($J374="","",$J374*N('15_STOCK'!$O374))</f>
        <v/>
      </c>
      <c r="L374" s="41" t="str">
        <f>IF(tblConteo[[#This Row],[Diferencia]]="","",IF(tblConteo[[#This Row],[Diferencia]]=0,"✔ Cuadra",IF(tblConteo[[#This Row],[Diferencia]]&gt;0,"▲ Sobrante","▼ Faltante")))</f>
        <v/>
      </c>
      <c r="M37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5" spans="2:13" x14ac:dyDescent="0.25">
      <c r="B375" s="40" t="str">
        <f>IF('05_PRODUCTOS'!$B375="","",'05_PRODUCTOS'!$B375)</f>
        <v/>
      </c>
      <c r="C375" s="43" t="str">
        <f>IF($B375="","",'05_PRODUCTOS'!$C375)</f>
        <v/>
      </c>
      <c r="D375" s="43" t="str">
        <f>IF($B375="","",'05_PRODUCTOS'!$D375)</f>
        <v/>
      </c>
      <c r="E375" s="40" t="str">
        <f>IF($B375="","",'05_PRODUCTOS'!$J375&amp;"")</f>
        <v/>
      </c>
      <c r="F375" s="40" t="str">
        <f>IF($B375="","",'05_PRODUCTOS'!$E375)</f>
        <v/>
      </c>
      <c r="G375" s="40" t="str">
        <f>IF($B375="","",IF('05_PRODUCTOS'!$K375="NO","NO","SI"))</f>
        <v/>
      </c>
      <c r="H375" s="49" t="str">
        <f>IF($B375="","",N('15_STOCK'!$J375))</f>
        <v/>
      </c>
      <c r="I375" s="39"/>
      <c r="J375" s="48" t="str">
        <f>IF(OR(tblConteo[[#This Row],[SKU]]="",tblConteo[[#This Row],[Conteo]]=""),"",tblConteo[[#This Row],[Conteo]]-tblConteo[[#This Row],[StockSistema]])</f>
        <v/>
      </c>
      <c r="K375" s="52" t="str">
        <f>IF($J375="","",$J375*N('15_STOCK'!$O375))</f>
        <v/>
      </c>
      <c r="L375" s="41" t="str">
        <f>IF(tblConteo[[#This Row],[Diferencia]]="","",IF(tblConteo[[#This Row],[Diferencia]]=0,"✔ Cuadra",IF(tblConteo[[#This Row],[Diferencia]]&gt;0,"▲ Sobrante","▼ Faltante")))</f>
        <v/>
      </c>
      <c r="M37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6" spans="2:13" x14ac:dyDescent="0.25">
      <c r="B376" s="40" t="str">
        <f>IF('05_PRODUCTOS'!$B376="","",'05_PRODUCTOS'!$B376)</f>
        <v/>
      </c>
      <c r="C376" s="43" t="str">
        <f>IF($B376="","",'05_PRODUCTOS'!$C376)</f>
        <v/>
      </c>
      <c r="D376" s="43" t="str">
        <f>IF($B376="","",'05_PRODUCTOS'!$D376)</f>
        <v/>
      </c>
      <c r="E376" s="40" t="str">
        <f>IF($B376="","",'05_PRODUCTOS'!$J376&amp;"")</f>
        <v/>
      </c>
      <c r="F376" s="40" t="str">
        <f>IF($B376="","",'05_PRODUCTOS'!$E376)</f>
        <v/>
      </c>
      <c r="G376" s="40" t="str">
        <f>IF($B376="","",IF('05_PRODUCTOS'!$K376="NO","NO","SI"))</f>
        <v/>
      </c>
      <c r="H376" s="49" t="str">
        <f>IF($B376="","",N('15_STOCK'!$J376))</f>
        <v/>
      </c>
      <c r="I376" s="39"/>
      <c r="J376" s="48" t="str">
        <f>IF(OR(tblConteo[[#This Row],[SKU]]="",tblConteo[[#This Row],[Conteo]]=""),"",tblConteo[[#This Row],[Conteo]]-tblConteo[[#This Row],[StockSistema]])</f>
        <v/>
      </c>
      <c r="K376" s="52" t="str">
        <f>IF($J376="","",$J376*N('15_STOCK'!$O376))</f>
        <v/>
      </c>
      <c r="L376" s="41" t="str">
        <f>IF(tblConteo[[#This Row],[Diferencia]]="","",IF(tblConteo[[#This Row],[Diferencia]]=0,"✔ Cuadra",IF(tblConteo[[#This Row],[Diferencia]]&gt;0,"▲ Sobrante","▼ Faltante")))</f>
        <v/>
      </c>
      <c r="M37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7" spans="2:13" x14ac:dyDescent="0.25">
      <c r="B377" s="40" t="str">
        <f>IF('05_PRODUCTOS'!$B377="","",'05_PRODUCTOS'!$B377)</f>
        <v/>
      </c>
      <c r="C377" s="43" t="str">
        <f>IF($B377="","",'05_PRODUCTOS'!$C377)</f>
        <v/>
      </c>
      <c r="D377" s="43" t="str">
        <f>IF($B377="","",'05_PRODUCTOS'!$D377)</f>
        <v/>
      </c>
      <c r="E377" s="40" t="str">
        <f>IF($B377="","",'05_PRODUCTOS'!$J377&amp;"")</f>
        <v/>
      </c>
      <c r="F377" s="40" t="str">
        <f>IF($B377="","",'05_PRODUCTOS'!$E377)</f>
        <v/>
      </c>
      <c r="G377" s="40" t="str">
        <f>IF($B377="","",IF('05_PRODUCTOS'!$K377="NO","NO","SI"))</f>
        <v/>
      </c>
      <c r="H377" s="49" t="str">
        <f>IF($B377="","",N('15_STOCK'!$J377))</f>
        <v/>
      </c>
      <c r="I377" s="39"/>
      <c r="J377" s="48" t="str">
        <f>IF(OR(tblConteo[[#This Row],[SKU]]="",tblConteo[[#This Row],[Conteo]]=""),"",tblConteo[[#This Row],[Conteo]]-tblConteo[[#This Row],[StockSistema]])</f>
        <v/>
      </c>
      <c r="K377" s="52" t="str">
        <f>IF($J377="","",$J377*N('15_STOCK'!$O377))</f>
        <v/>
      </c>
      <c r="L377" s="41" t="str">
        <f>IF(tblConteo[[#This Row],[Diferencia]]="","",IF(tblConteo[[#This Row],[Diferencia]]=0,"✔ Cuadra",IF(tblConteo[[#This Row],[Diferencia]]&gt;0,"▲ Sobrante","▼ Faltante")))</f>
        <v/>
      </c>
      <c r="M37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8" spans="2:13" x14ac:dyDescent="0.25">
      <c r="B378" s="40" t="str">
        <f>IF('05_PRODUCTOS'!$B378="","",'05_PRODUCTOS'!$B378)</f>
        <v/>
      </c>
      <c r="C378" s="43" t="str">
        <f>IF($B378="","",'05_PRODUCTOS'!$C378)</f>
        <v/>
      </c>
      <c r="D378" s="43" t="str">
        <f>IF($B378="","",'05_PRODUCTOS'!$D378)</f>
        <v/>
      </c>
      <c r="E378" s="40" t="str">
        <f>IF($B378="","",'05_PRODUCTOS'!$J378&amp;"")</f>
        <v/>
      </c>
      <c r="F378" s="40" t="str">
        <f>IF($B378="","",'05_PRODUCTOS'!$E378)</f>
        <v/>
      </c>
      <c r="G378" s="40" t="str">
        <f>IF($B378="","",IF('05_PRODUCTOS'!$K378="NO","NO","SI"))</f>
        <v/>
      </c>
      <c r="H378" s="49" t="str">
        <f>IF($B378="","",N('15_STOCK'!$J378))</f>
        <v/>
      </c>
      <c r="I378" s="39"/>
      <c r="J378" s="48" t="str">
        <f>IF(OR(tblConteo[[#This Row],[SKU]]="",tblConteo[[#This Row],[Conteo]]=""),"",tblConteo[[#This Row],[Conteo]]-tblConteo[[#This Row],[StockSistema]])</f>
        <v/>
      </c>
      <c r="K378" s="52" t="str">
        <f>IF($J378="","",$J378*N('15_STOCK'!$O378))</f>
        <v/>
      </c>
      <c r="L378" s="41" t="str">
        <f>IF(tblConteo[[#This Row],[Diferencia]]="","",IF(tblConteo[[#This Row],[Diferencia]]=0,"✔ Cuadra",IF(tblConteo[[#This Row],[Diferencia]]&gt;0,"▲ Sobrante","▼ Faltante")))</f>
        <v/>
      </c>
      <c r="M37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79" spans="2:13" x14ac:dyDescent="0.25">
      <c r="B379" s="40" t="str">
        <f>IF('05_PRODUCTOS'!$B379="","",'05_PRODUCTOS'!$B379)</f>
        <v/>
      </c>
      <c r="C379" s="43" t="str">
        <f>IF($B379="","",'05_PRODUCTOS'!$C379)</f>
        <v/>
      </c>
      <c r="D379" s="43" t="str">
        <f>IF($B379="","",'05_PRODUCTOS'!$D379)</f>
        <v/>
      </c>
      <c r="E379" s="40" t="str">
        <f>IF($B379="","",'05_PRODUCTOS'!$J379&amp;"")</f>
        <v/>
      </c>
      <c r="F379" s="40" t="str">
        <f>IF($B379="","",'05_PRODUCTOS'!$E379)</f>
        <v/>
      </c>
      <c r="G379" s="40" t="str">
        <f>IF($B379="","",IF('05_PRODUCTOS'!$K379="NO","NO","SI"))</f>
        <v/>
      </c>
      <c r="H379" s="49" t="str">
        <f>IF($B379="","",N('15_STOCK'!$J379))</f>
        <v/>
      </c>
      <c r="I379" s="39"/>
      <c r="J379" s="48" t="str">
        <f>IF(OR(tblConteo[[#This Row],[SKU]]="",tblConteo[[#This Row],[Conteo]]=""),"",tblConteo[[#This Row],[Conteo]]-tblConteo[[#This Row],[StockSistema]])</f>
        <v/>
      </c>
      <c r="K379" s="52" t="str">
        <f>IF($J379="","",$J379*N('15_STOCK'!$O379))</f>
        <v/>
      </c>
      <c r="L379" s="41" t="str">
        <f>IF(tblConteo[[#This Row],[Diferencia]]="","",IF(tblConteo[[#This Row],[Diferencia]]=0,"✔ Cuadra",IF(tblConteo[[#This Row],[Diferencia]]&gt;0,"▲ Sobrante","▼ Faltante")))</f>
        <v/>
      </c>
      <c r="M37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0" spans="2:13" x14ac:dyDescent="0.25">
      <c r="B380" s="40" t="str">
        <f>IF('05_PRODUCTOS'!$B380="","",'05_PRODUCTOS'!$B380)</f>
        <v/>
      </c>
      <c r="C380" s="43" t="str">
        <f>IF($B380="","",'05_PRODUCTOS'!$C380)</f>
        <v/>
      </c>
      <c r="D380" s="43" t="str">
        <f>IF($B380="","",'05_PRODUCTOS'!$D380)</f>
        <v/>
      </c>
      <c r="E380" s="40" t="str">
        <f>IF($B380="","",'05_PRODUCTOS'!$J380&amp;"")</f>
        <v/>
      </c>
      <c r="F380" s="40" t="str">
        <f>IF($B380="","",'05_PRODUCTOS'!$E380)</f>
        <v/>
      </c>
      <c r="G380" s="40" t="str">
        <f>IF($B380="","",IF('05_PRODUCTOS'!$K380="NO","NO","SI"))</f>
        <v/>
      </c>
      <c r="H380" s="49" t="str">
        <f>IF($B380="","",N('15_STOCK'!$J380))</f>
        <v/>
      </c>
      <c r="I380" s="39"/>
      <c r="J380" s="48" t="str">
        <f>IF(OR(tblConteo[[#This Row],[SKU]]="",tblConteo[[#This Row],[Conteo]]=""),"",tblConteo[[#This Row],[Conteo]]-tblConteo[[#This Row],[StockSistema]])</f>
        <v/>
      </c>
      <c r="K380" s="52" t="str">
        <f>IF($J380="","",$J380*N('15_STOCK'!$O380))</f>
        <v/>
      </c>
      <c r="L380" s="41" t="str">
        <f>IF(tblConteo[[#This Row],[Diferencia]]="","",IF(tblConteo[[#This Row],[Diferencia]]=0,"✔ Cuadra",IF(tblConteo[[#This Row],[Diferencia]]&gt;0,"▲ Sobrante","▼ Faltante")))</f>
        <v/>
      </c>
      <c r="M38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1" spans="2:13" x14ac:dyDescent="0.25">
      <c r="B381" s="40" t="str">
        <f>IF('05_PRODUCTOS'!$B381="","",'05_PRODUCTOS'!$B381)</f>
        <v/>
      </c>
      <c r="C381" s="43" t="str">
        <f>IF($B381="","",'05_PRODUCTOS'!$C381)</f>
        <v/>
      </c>
      <c r="D381" s="43" t="str">
        <f>IF($B381="","",'05_PRODUCTOS'!$D381)</f>
        <v/>
      </c>
      <c r="E381" s="40" t="str">
        <f>IF($B381="","",'05_PRODUCTOS'!$J381&amp;"")</f>
        <v/>
      </c>
      <c r="F381" s="40" t="str">
        <f>IF($B381="","",'05_PRODUCTOS'!$E381)</f>
        <v/>
      </c>
      <c r="G381" s="40" t="str">
        <f>IF($B381="","",IF('05_PRODUCTOS'!$K381="NO","NO","SI"))</f>
        <v/>
      </c>
      <c r="H381" s="49" t="str">
        <f>IF($B381="","",N('15_STOCK'!$J381))</f>
        <v/>
      </c>
      <c r="I381" s="39"/>
      <c r="J381" s="48" t="str">
        <f>IF(OR(tblConteo[[#This Row],[SKU]]="",tblConteo[[#This Row],[Conteo]]=""),"",tblConteo[[#This Row],[Conteo]]-tblConteo[[#This Row],[StockSistema]])</f>
        <v/>
      </c>
      <c r="K381" s="52" t="str">
        <f>IF($J381="","",$J381*N('15_STOCK'!$O381))</f>
        <v/>
      </c>
      <c r="L381" s="41" t="str">
        <f>IF(tblConteo[[#This Row],[Diferencia]]="","",IF(tblConteo[[#This Row],[Diferencia]]=0,"✔ Cuadra",IF(tblConteo[[#This Row],[Diferencia]]&gt;0,"▲ Sobrante","▼ Faltante")))</f>
        <v/>
      </c>
      <c r="M38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2" spans="2:13" x14ac:dyDescent="0.25">
      <c r="B382" s="40" t="str">
        <f>IF('05_PRODUCTOS'!$B382="","",'05_PRODUCTOS'!$B382)</f>
        <v/>
      </c>
      <c r="C382" s="43" t="str">
        <f>IF($B382="","",'05_PRODUCTOS'!$C382)</f>
        <v/>
      </c>
      <c r="D382" s="43" t="str">
        <f>IF($B382="","",'05_PRODUCTOS'!$D382)</f>
        <v/>
      </c>
      <c r="E382" s="40" t="str">
        <f>IF($B382="","",'05_PRODUCTOS'!$J382&amp;"")</f>
        <v/>
      </c>
      <c r="F382" s="40" t="str">
        <f>IF($B382="","",'05_PRODUCTOS'!$E382)</f>
        <v/>
      </c>
      <c r="G382" s="40" t="str">
        <f>IF($B382="","",IF('05_PRODUCTOS'!$K382="NO","NO","SI"))</f>
        <v/>
      </c>
      <c r="H382" s="49" t="str">
        <f>IF($B382="","",N('15_STOCK'!$J382))</f>
        <v/>
      </c>
      <c r="I382" s="39"/>
      <c r="J382" s="48" t="str">
        <f>IF(OR(tblConteo[[#This Row],[SKU]]="",tblConteo[[#This Row],[Conteo]]=""),"",tblConteo[[#This Row],[Conteo]]-tblConteo[[#This Row],[StockSistema]])</f>
        <v/>
      </c>
      <c r="K382" s="52" t="str">
        <f>IF($J382="","",$J382*N('15_STOCK'!$O382))</f>
        <v/>
      </c>
      <c r="L382" s="41" t="str">
        <f>IF(tblConteo[[#This Row],[Diferencia]]="","",IF(tblConteo[[#This Row],[Diferencia]]=0,"✔ Cuadra",IF(tblConteo[[#This Row],[Diferencia]]&gt;0,"▲ Sobrante","▼ Faltante")))</f>
        <v/>
      </c>
      <c r="M38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3" spans="2:13" x14ac:dyDescent="0.25">
      <c r="B383" s="40" t="str">
        <f>IF('05_PRODUCTOS'!$B383="","",'05_PRODUCTOS'!$B383)</f>
        <v/>
      </c>
      <c r="C383" s="43" t="str">
        <f>IF($B383="","",'05_PRODUCTOS'!$C383)</f>
        <v/>
      </c>
      <c r="D383" s="43" t="str">
        <f>IF($B383="","",'05_PRODUCTOS'!$D383)</f>
        <v/>
      </c>
      <c r="E383" s="40" t="str">
        <f>IF($B383="","",'05_PRODUCTOS'!$J383&amp;"")</f>
        <v/>
      </c>
      <c r="F383" s="40" t="str">
        <f>IF($B383="","",'05_PRODUCTOS'!$E383)</f>
        <v/>
      </c>
      <c r="G383" s="40" t="str">
        <f>IF($B383="","",IF('05_PRODUCTOS'!$K383="NO","NO","SI"))</f>
        <v/>
      </c>
      <c r="H383" s="49" t="str">
        <f>IF($B383="","",N('15_STOCK'!$J383))</f>
        <v/>
      </c>
      <c r="I383" s="39"/>
      <c r="J383" s="48" t="str">
        <f>IF(OR(tblConteo[[#This Row],[SKU]]="",tblConteo[[#This Row],[Conteo]]=""),"",tblConteo[[#This Row],[Conteo]]-tblConteo[[#This Row],[StockSistema]])</f>
        <v/>
      </c>
      <c r="K383" s="52" t="str">
        <f>IF($J383="","",$J383*N('15_STOCK'!$O383))</f>
        <v/>
      </c>
      <c r="L383" s="41" t="str">
        <f>IF(tblConteo[[#This Row],[Diferencia]]="","",IF(tblConteo[[#This Row],[Diferencia]]=0,"✔ Cuadra",IF(tblConteo[[#This Row],[Diferencia]]&gt;0,"▲ Sobrante","▼ Faltante")))</f>
        <v/>
      </c>
      <c r="M38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4" spans="2:13" x14ac:dyDescent="0.25">
      <c r="B384" s="40" t="str">
        <f>IF('05_PRODUCTOS'!$B384="","",'05_PRODUCTOS'!$B384)</f>
        <v/>
      </c>
      <c r="C384" s="43" t="str">
        <f>IF($B384="","",'05_PRODUCTOS'!$C384)</f>
        <v/>
      </c>
      <c r="D384" s="43" t="str">
        <f>IF($B384="","",'05_PRODUCTOS'!$D384)</f>
        <v/>
      </c>
      <c r="E384" s="40" t="str">
        <f>IF($B384="","",'05_PRODUCTOS'!$J384&amp;"")</f>
        <v/>
      </c>
      <c r="F384" s="40" t="str">
        <f>IF($B384="","",'05_PRODUCTOS'!$E384)</f>
        <v/>
      </c>
      <c r="G384" s="40" t="str">
        <f>IF($B384="","",IF('05_PRODUCTOS'!$K384="NO","NO","SI"))</f>
        <v/>
      </c>
      <c r="H384" s="49" t="str">
        <f>IF($B384="","",N('15_STOCK'!$J384))</f>
        <v/>
      </c>
      <c r="I384" s="39"/>
      <c r="J384" s="48" t="str">
        <f>IF(OR(tblConteo[[#This Row],[SKU]]="",tblConteo[[#This Row],[Conteo]]=""),"",tblConteo[[#This Row],[Conteo]]-tblConteo[[#This Row],[StockSistema]])</f>
        <v/>
      </c>
      <c r="K384" s="52" t="str">
        <f>IF($J384="","",$J384*N('15_STOCK'!$O384))</f>
        <v/>
      </c>
      <c r="L384" s="41" t="str">
        <f>IF(tblConteo[[#This Row],[Diferencia]]="","",IF(tblConteo[[#This Row],[Diferencia]]=0,"✔ Cuadra",IF(tblConteo[[#This Row],[Diferencia]]&gt;0,"▲ Sobrante","▼ Faltante")))</f>
        <v/>
      </c>
      <c r="M38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5" spans="2:13" x14ac:dyDescent="0.25">
      <c r="B385" s="40" t="str">
        <f>IF('05_PRODUCTOS'!$B385="","",'05_PRODUCTOS'!$B385)</f>
        <v/>
      </c>
      <c r="C385" s="43" t="str">
        <f>IF($B385="","",'05_PRODUCTOS'!$C385)</f>
        <v/>
      </c>
      <c r="D385" s="43" t="str">
        <f>IF($B385="","",'05_PRODUCTOS'!$D385)</f>
        <v/>
      </c>
      <c r="E385" s="40" t="str">
        <f>IF($B385="","",'05_PRODUCTOS'!$J385&amp;"")</f>
        <v/>
      </c>
      <c r="F385" s="40" t="str">
        <f>IF($B385="","",'05_PRODUCTOS'!$E385)</f>
        <v/>
      </c>
      <c r="G385" s="40" t="str">
        <f>IF($B385="","",IF('05_PRODUCTOS'!$K385="NO","NO","SI"))</f>
        <v/>
      </c>
      <c r="H385" s="49" t="str">
        <f>IF($B385="","",N('15_STOCK'!$J385))</f>
        <v/>
      </c>
      <c r="I385" s="39"/>
      <c r="J385" s="48" t="str">
        <f>IF(OR(tblConteo[[#This Row],[SKU]]="",tblConteo[[#This Row],[Conteo]]=""),"",tblConteo[[#This Row],[Conteo]]-tblConteo[[#This Row],[StockSistema]])</f>
        <v/>
      </c>
      <c r="K385" s="52" t="str">
        <f>IF($J385="","",$J385*N('15_STOCK'!$O385))</f>
        <v/>
      </c>
      <c r="L385" s="41" t="str">
        <f>IF(tblConteo[[#This Row],[Diferencia]]="","",IF(tblConteo[[#This Row],[Diferencia]]=0,"✔ Cuadra",IF(tblConteo[[#This Row],[Diferencia]]&gt;0,"▲ Sobrante","▼ Faltante")))</f>
        <v/>
      </c>
      <c r="M38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6" spans="2:13" x14ac:dyDescent="0.25">
      <c r="B386" s="40" t="str">
        <f>IF('05_PRODUCTOS'!$B386="","",'05_PRODUCTOS'!$B386)</f>
        <v/>
      </c>
      <c r="C386" s="43" t="str">
        <f>IF($B386="","",'05_PRODUCTOS'!$C386)</f>
        <v/>
      </c>
      <c r="D386" s="43" t="str">
        <f>IF($B386="","",'05_PRODUCTOS'!$D386)</f>
        <v/>
      </c>
      <c r="E386" s="40" t="str">
        <f>IF($B386="","",'05_PRODUCTOS'!$J386&amp;"")</f>
        <v/>
      </c>
      <c r="F386" s="40" t="str">
        <f>IF($B386="","",'05_PRODUCTOS'!$E386)</f>
        <v/>
      </c>
      <c r="G386" s="40" t="str">
        <f>IF($B386="","",IF('05_PRODUCTOS'!$K386="NO","NO","SI"))</f>
        <v/>
      </c>
      <c r="H386" s="49" t="str">
        <f>IF($B386="","",N('15_STOCK'!$J386))</f>
        <v/>
      </c>
      <c r="I386" s="39"/>
      <c r="J386" s="48" t="str">
        <f>IF(OR(tblConteo[[#This Row],[SKU]]="",tblConteo[[#This Row],[Conteo]]=""),"",tblConteo[[#This Row],[Conteo]]-tblConteo[[#This Row],[StockSistema]])</f>
        <v/>
      </c>
      <c r="K386" s="52" t="str">
        <f>IF($J386="","",$J386*N('15_STOCK'!$O386))</f>
        <v/>
      </c>
      <c r="L386" s="41" t="str">
        <f>IF(tblConteo[[#This Row],[Diferencia]]="","",IF(tblConteo[[#This Row],[Diferencia]]=0,"✔ Cuadra",IF(tblConteo[[#This Row],[Diferencia]]&gt;0,"▲ Sobrante","▼ Faltante")))</f>
        <v/>
      </c>
      <c r="M38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7" spans="2:13" x14ac:dyDescent="0.25">
      <c r="B387" s="40" t="str">
        <f>IF('05_PRODUCTOS'!$B387="","",'05_PRODUCTOS'!$B387)</f>
        <v/>
      </c>
      <c r="C387" s="43" t="str">
        <f>IF($B387="","",'05_PRODUCTOS'!$C387)</f>
        <v/>
      </c>
      <c r="D387" s="43" t="str">
        <f>IF($B387="","",'05_PRODUCTOS'!$D387)</f>
        <v/>
      </c>
      <c r="E387" s="40" t="str">
        <f>IF($B387="","",'05_PRODUCTOS'!$J387&amp;"")</f>
        <v/>
      </c>
      <c r="F387" s="40" t="str">
        <f>IF($B387="","",'05_PRODUCTOS'!$E387)</f>
        <v/>
      </c>
      <c r="G387" s="40" t="str">
        <f>IF($B387="","",IF('05_PRODUCTOS'!$K387="NO","NO","SI"))</f>
        <v/>
      </c>
      <c r="H387" s="49" t="str">
        <f>IF($B387="","",N('15_STOCK'!$J387))</f>
        <v/>
      </c>
      <c r="I387" s="39"/>
      <c r="J387" s="48" t="str">
        <f>IF(OR(tblConteo[[#This Row],[SKU]]="",tblConteo[[#This Row],[Conteo]]=""),"",tblConteo[[#This Row],[Conteo]]-tblConteo[[#This Row],[StockSistema]])</f>
        <v/>
      </c>
      <c r="K387" s="52" t="str">
        <f>IF($J387="","",$J387*N('15_STOCK'!$O387))</f>
        <v/>
      </c>
      <c r="L387" s="41" t="str">
        <f>IF(tblConteo[[#This Row],[Diferencia]]="","",IF(tblConteo[[#This Row],[Diferencia]]=0,"✔ Cuadra",IF(tblConteo[[#This Row],[Diferencia]]&gt;0,"▲ Sobrante","▼ Faltante")))</f>
        <v/>
      </c>
      <c r="M38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8" spans="2:13" x14ac:dyDescent="0.25">
      <c r="B388" s="40" t="str">
        <f>IF('05_PRODUCTOS'!$B388="","",'05_PRODUCTOS'!$B388)</f>
        <v/>
      </c>
      <c r="C388" s="43" t="str">
        <f>IF($B388="","",'05_PRODUCTOS'!$C388)</f>
        <v/>
      </c>
      <c r="D388" s="43" t="str">
        <f>IF($B388="","",'05_PRODUCTOS'!$D388)</f>
        <v/>
      </c>
      <c r="E388" s="40" t="str">
        <f>IF($B388="","",'05_PRODUCTOS'!$J388&amp;"")</f>
        <v/>
      </c>
      <c r="F388" s="40" t="str">
        <f>IF($B388="","",'05_PRODUCTOS'!$E388)</f>
        <v/>
      </c>
      <c r="G388" s="40" t="str">
        <f>IF($B388="","",IF('05_PRODUCTOS'!$K388="NO","NO","SI"))</f>
        <v/>
      </c>
      <c r="H388" s="49" t="str">
        <f>IF($B388="","",N('15_STOCK'!$J388))</f>
        <v/>
      </c>
      <c r="I388" s="39"/>
      <c r="J388" s="48" t="str">
        <f>IF(OR(tblConteo[[#This Row],[SKU]]="",tblConteo[[#This Row],[Conteo]]=""),"",tblConteo[[#This Row],[Conteo]]-tblConteo[[#This Row],[StockSistema]])</f>
        <v/>
      </c>
      <c r="K388" s="52" t="str">
        <f>IF($J388="","",$J388*N('15_STOCK'!$O388))</f>
        <v/>
      </c>
      <c r="L388" s="41" t="str">
        <f>IF(tblConteo[[#This Row],[Diferencia]]="","",IF(tblConteo[[#This Row],[Diferencia]]=0,"✔ Cuadra",IF(tblConteo[[#This Row],[Diferencia]]&gt;0,"▲ Sobrante","▼ Faltante")))</f>
        <v/>
      </c>
      <c r="M38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89" spans="2:13" x14ac:dyDescent="0.25">
      <c r="B389" s="40" t="str">
        <f>IF('05_PRODUCTOS'!$B389="","",'05_PRODUCTOS'!$B389)</f>
        <v/>
      </c>
      <c r="C389" s="43" t="str">
        <f>IF($B389="","",'05_PRODUCTOS'!$C389)</f>
        <v/>
      </c>
      <c r="D389" s="43" t="str">
        <f>IF($B389="","",'05_PRODUCTOS'!$D389)</f>
        <v/>
      </c>
      <c r="E389" s="40" t="str">
        <f>IF($B389="","",'05_PRODUCTOS'!$J389&amp;"")</f>
        <v/>
      </c>
      <c r="F389" s="40" t="str">
        <f>IF($B389="","",'05_PRODUCTOS'!$E389)</f>
        <v/>
      </c>
      <c r="G389" s="40" t="str">
        <f>IF($B389="","",IF('05_PRODUCTOS'!$K389="NO","NO","SI"))</f>
        <v/>
      </c>
      <c r="H389" s="49" t="str">
        <f>IF($B389="","",N('15_STOCK'!$J389))</f>
        <v/>
      </c>
      <c r="I389" s="39"/>
      <c r="J389" s="48" t="str">
        <f>IF(OR(tblConteo[[#This Row],[SKU]]="",tblConteo[[#This Row],[Conteo]]=""),"",tblConteo[[#This Row],[Conteo]]-tblConteo[[#This Row],[StockSistema]])</f>
        <v/>
      </c>
      <c r="K389" s="52" t="str">
        <f>IF($J389="","",$J389*N('15_STOCK'!$O389))</f>
        <v/>
      </c>
      <c r="L389" s="41" t="str">
        <f>IF(tblConteo[[#This Row],[Diferencia]]="","",IF(tblConteo[[#This Row],[Diferencia]]=0,"✔ Cuadra",IF(tblConteo[[#This Row],[Diferencia]]&gt;0,"▲ Sobrante","▼ Faltante")))</f>
        <v/>
      </c>
      <c r="M38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0" spans="2:13" x14ac:dyDescent="0.25">
      <c r="B390" s="40" t="str">
        <f>IF('05_PRODUCTOS'!$B390="","",'05_PRODUCTOS'!$B390)</f>
        <v/>
      </c>
      <c r="C390" s="43" t="str">
        <f>IF($B390="","",'05_PRODUCTOS'!$C390)</f>
        <v/>
      </c>
      <c r="D390" s="43" t="str">
        <f>IF($B390="","",'05_PRODUCTOS'!$D390)</f>
        <v/>
      </c>
      <c r="E390" s="40" t="str">
        <f>IF($B390="","",'05_PRODUCTOS'!$J390&amp;"")</f>
        <v/>
      </c>
      <c r="F390" s="40" t="str">
        <f>IF($B390="","",'05_PRODUCTOS'!$E390)</f>
        <v/>
      </c>
      <c r="G390" s="40" t="str">
        <f>IF($B390="","",IF('05_PRODUCTOS'!$K390="NO","NO","SI"))</f>
        <v/>
      </c>
      <c r="H390" s="49" t="str">
        <f>IF($B390="","",N('15_STOCK'!$J390))</f>
        <v/>
      </c>
      <c r="I390" s="39"/>
      <c r="J390" s="48" t="str">
        <f>IF(OR(tblConteo[[#This Row],[SKU]]="",tblConteo[[#This Row],[Conteo]]=""),"",tblConteo[[#This Row],[Conteo]]-tblConteo[[#This Row],[StockSistema]])</f>
        <v/>
      </c>
      <c r="K390" s="52" t="str">
        <f>IF($J390="","",$J390*N('15_STOCK'!$O390))</f>
        <v/>
      </c>
      <c r="L390" s="41" t="str">
        <f>IF(tblConteo[[#This Row],[Diferencia]]="","",IF(tblConteo[[#This Row],[Diferencia]]=0,"✔ Cuadra",IF(tblConteo[[#This Row],[Diferencia]]&gt;0,"▲ Sobrante","▼ Faltante")))</f>
        <v/>
      </c>
      <c r="M39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1" spans="2:13" x14ac:dyDescent="0.25">
      <c r="B391" s="40" t="str">
        <f>IF('05_PRODUCTOS'!$B391="","",'05_PRODUCTOS'!$B391)</f>
        <v/>
      </c>
      <c r="C391" s="43" t="str">
        <f>IF($B391="","",'05_PRODUCTOS'!$C391)</f>
        <v/>
      </c>
      <c r="D391" s="43" t="str">
        <f>IF($B391="","",'05_PRODUCTOS'!$D391)</f>
        <v/>
      </c>
      <c r="E391" s="40" t="str">
        <f>IF($B391="","",'05_PRODUCTOS'!$J391&amp;"")</f>
        <v/>
      </c>
      <c r="F391" s="40" t="str">
        <f>IF($B391="","",'05_PRODUCTOS'!$E391)</f>
        <v/>
      </c>
      <c r="G391" s="40" t="str">
        <f>IF($B391="","",IF('05_PRODUCTOS'!$K391="NO","NO","SI"))</f>
        <v/>
      </c>
      <c r="H391" s="49" t="str">
        <f>IF($B391="","",N('15_STOCK'!$J391))</f>
        <v/>
      </c>
      <c r="I391" s="39"/>
      <c r="J391" s="48" t="str">
        <f>IF(OR(tblConteo[[#This Row],[SKU]]="",tblConteo[[#This Row],[Conteo]]=""),"",tblConteo[[#This Row],[Conteo]]-tblConteo[[#This Row],[StockSistema]])</f>
        <v/>
      </c>
      <c r="K391" s="52" t="str">
        <f>IF($J391="","",$J391*N('15_STOCK'!$O391))</f>
        <v/>
      </c>
      <c r="L391" s="41" t="str">
        <f>IF(tblConteo[[#This Row],[Diferencia]]="","",IF(tblConteo[[#This Row],[Diferencia]]=0,"✔ Cuadra",IF(tblConteo[[#This Row],[Diferencia]]&gt;0,"▲ Sobrante","▼ Faltante")))</f>
        <v/>
      </c>
      <c r="M39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2" spans="2:13" x14ac:dyDescent="0.25">
      <c r="B392" s="40" t="str">
        <f>IF('05_PRODUCTOS'!$B392="","",'05_PRODUCTOS'!$B392)</f>
        <v/>
      </c>
      <c r="C392" s="43" t="str">
        <f>IF($B392="","",'05_PRODUCTOS'!$C392)</f>
        <v/>
      </c>
      <c r="D392" s="43" t="str">
        <f>IF($B392="","",'05_PRODUCTOS'!$D392)</f>
        <v/>
      </c>
      <c r="E392" s="40" t="str">
        <f>IF($B392="","",'05_PRODUCTOS'!$J392&amp;"")</f>
        <v/>
      </c>
      <c r="F392" s="40" t="str">
        <f>IF($B392="","",'05_PRODUCTOS'!$E392)</f>
        <v/>
      </c>
      <c r="G392" s="40" t="str">
        <f>IF($B392="","",IF('05_PRODUCTOS'!$K392="NO","NO","SI"))</f>
        <v/>
      </c>
      <c r="H392" s="49" t="str">
        <f>IF($B392="","",N('15_STOCK'!$J392))</f>
        <v/>
      </c>
      <c r="I392" s="39"/>
      <c r="J392" s="48" t="str">
        <f>IF(OR(tblConteo[[#This Row],[SKU]]="",tblConteo[[#This Row],[Conteo]]=""),"",tblConteo[[#This Row],[Conteo]]-tblConteo[[#This Row],[StockSistema]])</f>
        <v/>
      </c>
      <c r="K392" s="52" t="str">
        <f>IF($J392="","",$J392*N('15_STOCK'!$O392))</f>
        <v/>
      </c>
      <c r="L392" s="41" t="str">
        <f>IF(tblConteo[[#This Row],[Diferencia]]="","",IF(tblConteo[[#This Row],[Diferencia]]=0,"✔ Cuadra",IF(tblConteo[[#This Row],[Diferencia]]&gt;0,"▲ Sobrante","▼ Faltante")))</f>
        <v/>
      </c>
      <c r="M39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3" spans="2:13" x14ac:dyDescent="0.25">
      <c r="B393" s="40" t="str">
        <f>IF('05_PRODUCTOS'!$B393="","",'05_PRODUCTOS'!$B393)</f>
        <v/>
      </c>
      <c r="C393" s="43" t="str">
        <f>IF($B393="","",'05_PRODUCTOS'!$C393)</f>
        <v/>
      </c>
      <c r="D393" s="43" t="str">
        <f>IF($B393="","",'05_PRODUCTOS'!$D393)</f>
        <v/>
      </c>
      <c r="E393" s="40" t="str">
        <f>IF($B393="","",'05_PRODUCTOS'!$J393&amp;"")</f>
        <v/>
      </c>
      <c r="F393" s="40" t="str">
        <f>IF($B393="","",'05_PRODUCTOS'!$E393)</f>
        <v/>
      </c>
      <c r="G393" s="40" t="str">
        <f>IF($B393="","",IF('05_PRODUCTOS'!$K393="NO","NO","SI"))</f>
        <v/>
      </c>
      <c r="H393" s="49" t="str">
        <f>IF($B393="","",N('15_STOCK'!$J393))</f>
        <v/>
      </c>
      <c r="I393" s="39"/>
      <c r="J393" s="48" t="str">
        <f>IF(OR(tblConteo[[#This Row],[SKU]]="",tblConteo[[#This Row],[Conteo]]=""),"",tblConteo[[#This Row],[Conteo]]-tblConteo[[#This Row],[StockSistema]])</f>
        <v/>
      </c>
      <c r="K393" s="52" t="str">
        <f>IF($J393="","",$J393*N('15_STOCK'!$O393))</f>
        <v/>
      </c>
      <c r="L393" s="41" t="str">
        <f>IF(tblConteo[[#This Row],[Diferencia]]="","",IF(tblConteo[[#This Row],[Diferencia]]=0,"✔ Cuadra",IF(tblConteo[[#This Row],[Diferencia]]&gt;0,"▲ Sobrante","▼ Faltante")))</f>
        <v/>
      </c>
      <c r="M39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4" spans="2:13" x14ac:dyDescent="0.25">
      <c r="B394" s="40" t="str">
        <f>IF('05_PRODUCTOS'!$B394="","",'05_PRODUCTOS'!$B394)</f>
        <v/>
      </c>
      <c r="C394" s="43" t="str">
        <f>IF($B394="","",'05_PRODUCTOS'!$C394)</f>
        <v/>
      </c>
      <c r="D394" s="43" t="str">
        <f>IF($B394="","",'05_PRODUCTOS'!$D394)</f>
        <v/>
      </c>
      <c r="E394" s="40" t="str">
        <f>IF($B394="","",'05_PRODUCTOS'!$J394&amp;"")</f>
        <v/>
      </c>
      <c r="F394" s="40" t="str">
        <f>IF($B394="","",'05_PRODUCTOS'!$E394)</f>
        <v/>
      </c>
      <c r="G394" s="40" t="str">
        <f>IF($B394="","",IF('05_PRODUCTOS'!$K394="NO","NO","SI"))</f>
        <v/>
      </c>
      <c r="H394" s="49" t="str">
        <f>IF($B394="","",N('15_STOCK'!$J394))</f>
        <v/>
      </c>
      <c r="I394" s="39"/>
      <c r="J394" s="48" t="str">
        <f>IF(OR(tblConteo[[#This Row],[SKU]]="",tblConteo[[#This Row],[Conteo]]=""),"",tblConteo[[#This Row],[Conteo]]-tblConteo[[#This Row],[StockSistema]])</f>
        <v/>
      </c>
      <c r="K394" s="52" t="str">
        <f>IF($J394="","",$J394*N('15_STOCK'!$O394))</f>
        <v/>
      </c>
      <c r="L394" s="41" t="str">
        <f>IF(tblConteo[[#This Row],[Diferencia]]="","",IF(tblConteo[[#This Row],[Diferencia]]=0,"✔ Cuadra",IF(tblConteo[[#This Row],[Diferencia]]&gt;0,"▲ Sobrante","▼ Faltante")))</f>
        <v/>
      </c>
      <c r="M39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5" spans="2:13" x14ac:dyDescent="0.25">
      <c r="B395" s="40" t="str">
        <f>IF('05_PRODUCTOS'!$B395="","",'05_PRODUCTOS'!$B395)</f>
        <v/>
      </c>
      <c r="C395" s="43" t="str">
        <f>IF($B395="","",'05_PRODUCTOS'!$C395)</f>
        <v/>
      </c>
      <c r="D395" s="43" t="str">
        <f>IF($B395="","",'05_PRODUCTOS'!$D395)</f>
        <v/>
      </c>
      <c r="E395" s="40" t="str">
        <f>IF($B395="","",'05_PRODUCTOS'!$J395&amp;"")</f>
        <v/>
      </c>
      <c r="F395" s="40" t="str">
        <f>IF($B395="","",'05_PRODUCTOS'!$E395)</f>
        <v/>
      </c>
      <c r="G395" s="40" t="str">
        <f>IF($B395="","",IF('05_PRODUCTOS'!$K395="NO","NO","SI"))</f>
        <v/>
      </c>
      <c r="H395" s="49" t="str">
        <f>IF($B395="","",N('15_STOCK'!$J395))</f>
        <v/>
      </c>
      <c r="I395" s="39"/>
      <c r="J395" s="48" t="str">
        <f>IF(OR(tblConteo[[#This Row],[SKU]]="",tblConteo[[#This Row],[Conteo]]=""),"",tblConteo[[#This Row],[Conteo]]-tblConteo[[#This Row],[StockSistema]])</f>
        <v/>
      </c>
      <c r="K395" s="52" t="str">
        <f>IF($J395="","",$J395*N('15_STOCK'!$O395))</f>
        <v/>
      </c>
      <c r="L395" s="41" t="str">
        <f>IF(tblConteo[[#This Row],[Diferencia]]="","",IF(tblConteo[[#This Row],[Diferencia]]=0,"✔ Cuadra",IF(tblConteo[[#This Row],[Diferencia]]&gt;0,"▲ Sobrante","▼ Faltante")))</f>
        <v/>
      </c>
      <c r="M39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6" spans="2:13" x14ac:dyDescent="0.25">
      <c r="B396" s="40" t="str">
        <f>IF('05_PRODUCTOS'!$B396="","",'05_PRODUCTOS'!$B396)</f>
        <v/>
      </c>
      <c r="C396" s="43" t="str">
        <f>IF($B396="","",'05_PRODUCTOS'!$C396)</f>
        <v/>
      </c>
      <c r="D396" s="43" t="str">
        <f>IF($B396="","",'05_PRODUCTOS'!$D396)</f>
        <v/>
      </c>
      <c r="E396" s="40" t="str">
        <f>IF($B396="","",'05_PRODUCTOS'!$J396&amp;"")</f>
        <v/>
      </c>
      <c r="F396" s="40" t="str">
        <f>IF($B396="","",'05_PRODUCTOS'!$E396)</f>
        <v/>
      </c>
      <c r="G396" s="40" t="str">
        <f>IF($B396="","",IF('05_PRODUCTOS'!$K396="NO","NO","SI"))</f>
        <v/>
      </c>
      <c r="H396" s="49" t="str">
        <f>IF($B396="","",N('15_STOCK'!$J396))</f>
        <v/>
      </c>
      <c r="I396" s="39"/>
      <c r="J396" s="48" t="str">
        <f>IF(OR(tblConteo[[#This Row],[SKU]]="",tblConteo[[#This Row],[Conteo]]=""),"",tblConteo[[#This Row],[Conteo]]-tblConteo[[#This Row],[StockSistema]])</f>
        <v/>
      </c>
      <c r="K396" s="52" t="str">
        <f>IF($J396="","",$J396*N('15_STOCK'!$O396))</f>
        <v/>
      </c>
      <c r="L396" s="41" t="str">
        <f>IF(tblConteo[[#This Row],[Diferencia]]="","",IF(tblConteo[[#This Row],[Diferencia]]=0,"✔ Cuadra",IF(tblConteo[[#This Row],[Diferencia]]&gt;0,"▲ Sobrante","▼ Faltante")))</f>
        <v/>
      </c>
      <c r="M39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7" spans="2:13" x14ac:dyDescent="0.25">
      <c r="B397" s="40" t="str">
        <f>IF('05_PRODUCTOS'!$B397="","",'05_PRODUCTOS'!$B397)</f>
        <v/>
      </c>
      <c r="C397" s="43" t="str">
        <f>IF($B397="","",'05_PRODUCTOS'!$C397)</f>
        <v/>
      </c>
      <c r="D397" s="43" t="str">
        <f>IF($B397="","",'05_PRODUCTOS'!$D397)</f>
        <v/>
      </c>
      <c r="E397" s="40" t="str">
        <f>IF($B397="","",'05_PRODUCTOS'!$J397&amp;"")</f>
        <v/>
      </c>
      <c r="F397" s="40" t="str">
        <f>IF($B397="","",'05_PRODUCTOS'!$E397)</f>
        <v/>
      </c>
      <c r="G397" s="40" t="str">
        <f>IF($B397="","",IF('05_PRODUCTOS'!$K397="NO","NO","SI"))</f>
        <v/>
      </c>
      <c r="H397" s="49" t="str">
        <f>IF($B397="","",N('15_STOCK'!$J397))</f>
        <v/>
      </c>
      <c r="I397" s="39"/>
      <c r="J397" s="48" t="str">
        <f>IF(OR(tblConteo[[#This Row],[SKU]]="",tblConteo[[#This Row],[Conteo]]=""),"",tblConteo[[#This Row],[Conteo]]-tblConteo[[#This Row],[StockSistema]])</f>
        <v/>
      </c>
      <c r="K397" s="52" t="str">
        <f>IF($J397="","",$J397*N('15_STOCK'!$O397))</f>
        <v/>
      </c>
      <c r="L397" s="41" t="str">
        <f>IF(tblConteo[[#This Row],[Diferencia]]="","",IF(tblConteo[[#This Row],[Diferencia]]=0,"✔ Cuadra",IF(tblConteo[[#This Row],[Diferencia]]&gt;0,"▲ Sobrante","▼ Faltante")))</f>
        <v/>
      </c>
      <c r="M39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8" spans="2:13" x14ac:dyDescent="0.25">
      <c r="B398" s="40" t="str">
        <f>IF('05_PRODUCTOS'!$B398="","",'05_PRODUCTOS'!$B398)</f>
        <v/>
      </c>
      <c r="C398" s="43" t="str">
        <f>IF($B398="","",'05_PRODUCTOS'!$C398)</f>
        <v/>
      </c>
      <c r="D398" s="43" t="str">
        <f>IF($B398="","",'05_PRODUCTOS'!$D398)</f>
        <v/>
      </c>
      <c r="E398" s="40" t="str">
        <f>IF($B398="","",'05_PRODUCTOS'!$J398&amp;"")</f>
        <v/>
      </c>
      <c r="F398" s="40" t="str">
        <f>IF($B398="","",'05_PRODUCTOS'!$E398)</f>
        <v/>
      </c>
      <c r="G398" s="40" t="str">
        <f>IF($B398="","",IF('05_PRODUCTOS'!$K398="NO","NO","SI"))</f>
        <v/>
      </c>
      <c r="H398" s="49" t="str">
        <f>IF($B398="","",N('15_STOCK'!$J398))</f>
        <v/>
      </c>
      <c r="I398" s="39"/>
      <c r="J398" s="48" t="str">
        <f>IF(OR(tblConteo[[#This Row],[SKU]]="",tblConteo[[#This Row],[Conteo]]=""),"",tblConteo[[#This Row],[Conteo]]-tblConteo[[#This Row],[StockSistema]])</f>
        <v/>
      </c>
      <c r="K398" s="52" t="str">
        <f>IF($J398="","",$J398*N('15_STOCK'!$O398))</f>
        <v/>
      </c>
      <c r="L398" s="41" t="str">
        <f>IF(tblConteo[[#This Row],[Diferencia]]="","",IF(tblConteo[[#This Row],[Diferencia]]=0,"✔ Cuadra",IF(tblConteo[[#This Row],[Diferencia]]&gt;0,"▲ Sobrante","▼ Faltante")))</f>
        <v/>
      </c>
      <c r="M39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399" spans="2:13" x14ac:dyDescent="0.25">
      <c r="B399" s="40" t="str">
        <f>IF('05_PRODUCTOS'!$B399="","",'05_PRODUCTOS'!$B399)</f>
        <v/>
      </c>
      <c r="C399" s="43" t="str">
        <f>IF($B399="","",'05_PRODUCTOS'!$C399)</f>
        <v/>
      </c>
      <c r="D399" s="43" t="str">
        <f>IF($B399="","",'05_PRODUCTOS'!$D399)</f>
        <v/>
      </c>
      <c r="E399" s="40" t="str">
        <f>IF($B399="","",'05_PRODUCTOS'!$J399&amp;"")</f>
        <v/>
      </c>
      <c r="F399" s="40" t="str">
        <f>IF($B399="","",'05_PRODUCTOS'!$E399)</f>
        <v/>
      </c>
      <c r="G399" s="40" t="str">
        <f>IF($B399="","",IF('05_PRODUCTOS'!$K399="NO","NO","SI"))</f>
        <v/>
      </c>
      <c r="H399" s="49" t="str">
        <f>IF($B399="","",N('15_STOCK'!$J399))</f>
        <v/>
      </c>
      <c r="I399" s="39"/>
      <c r="J399" s="48" t="str">
        <f>IF(OR(tblConteo[[#This Row],[SKU]]="",tblConteo[[#This Row],[Conteo]]=""),"",tblConteo[[#This Row],[Conteo]]-tblConteo[[#This Row],[StockSistema]])</f>
        <v/>
      </c>
      <c r="K399" s="52" t="str">
        <f>IF($J399="","",$J399*N('15_STOCK'!$O399))</f>
        <v/>
      </c>
      <c r="L399" s="41" t="str">
        <f>IF(tblConteo[[#This Row],[Diferencia]]="","",IF(tblConteo[[#This Row],[Diferencia]]=0,"✔ Cuadra",IF(tblConteo[[#This Row],[Diferencia]]&gt;0,"▲ Sobrante","▼ Faltante")))</f>
        <v/>
      </c>
      <c r="M39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0" spans="2:13" x14ac:dyDescent="0.25">
      <c r="B400" s="40" t="str">
        <f>IF('05_PRODUCTOS'!$B400="","",'05_PRODUCTOS'!$B400)</f>
        <v/>
      </c>
      <c r="C400" s="43" t="str">
        <f>IF($B400="","",'05_PRODUCTOS'!$C400)</f>
        <v/>
      </c>
      <c r="D400" s="43" t="str">
        <f>IF($B400="","",'05_PRODUCTOS'!$D400)</f>
        <v/>
      </c>
      <c r="E400" s="40" t="str">
        <f>IF($B400="","",'05_PRODUCTOS'!$J400&amp;"")</f>
        <v/>
      </c>
      <c r="F400" s="40" t="str">
        <f>IF($B400="","",'05_PRODUCTOS'!$E400)</f>
        <v/>
      </c>
      <c r="G400" s="40" t="str">
        <f>IF($B400="","",IF('05_PRODUCTOS'!$K400="NO","NO","SI"))</f>
        <v/>
      </c>
      <c r="H400" s="49" t="str">
        <f>IF($B400="","",N('15_STOCK'!$J400))</f>
        <v/>
      </c>
      <c r="I400" s="39"/>
      <c r="J400" s="48" t="str">
        <f>IF(OR(tblConteo[[#This Row],[SKU]]="",tblConteo[[#This Row],[Conteo]]=""),"",tblConteo[[#This Row],[Conteo]]-tblConteo[[#This Row],[StockSistema]])</f>
        <v/>
      </c>
      <c r="K400" s="52" t="str">
        <f>IF($J400="","",$J400*N('15_STOCK'!$O400))</f>
        <v/>
      </c>
      <c r="L400" s="41" t="str">
        <f>IF(tblConteo[[#This Row],[Diferencia]]="","",IF(tblConteo[[#This Row],[Diferencia]]=0,"✔ Cuadra",IF(tblConteo[[#This Row],[Diferencia]]&gt;0,"▲ Sobrante","▼ Faltante")))</f>
        <v/>
      </c>
      <c r="M40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1" spans="2:13" x14ac:dyDescent="0.25">
      <c r="B401" s="40" t="str">
        <f>IF('05_PRODUCTOS'!$B401="","",'05_PRODUCTOS'!$B401)</f>
        <v/>
      </c>
      <c r="C401" s="43" t="str">
        <f>IF($B401="","",'05_PRODUCTOS'!$C401)</f>
        <v/>
      </c>
      <c r="D401" s="43" t="str">
        <f>IF($B401="","",'05_PRODUCTOS'!$D401)</f>
        <v/>
      </c>
      <c r="E401" s="40" t="str">
        <f>IF($B401="","",'05_PRODUCTOS'!$J401&amp;"")</f>
        <v/>
      </c>
      <c r="F401" s="40" t="str">
        <f>IF($B401="","",'05_PRODUCTOS'!$E401)</f>
        <v/>
      </c>
      <c r="G401" s="40" t="str">
        <f>IF($B401="","",IF('05_PRODUCTOS'!$K401="NO","NO","SI"))</f>
        <v/>
      </c>
      <c r="H401" s="49" t="str">
        <f>IF($B401="","",N('15_STOCK'!$J401))</f>
        <v/>
      </c>
      <c r="I401" s="39"/>
      <c r="J401" s="48" t="str">
        <f>IF(OR(tblConteo[[#This Row],[SKU]]="",tblConteo[[#This Row],[Conteo]]=""),"",tblConteo[[#This Row],[Conteo]]-tblConteo[[#This Row],[StockSistema]])</f>
        <v/>
      </c>
      <c r="K401" s="52" t="str">
        <f>IF($J401="","",$J401*N('15_STOCK'!$O401))</f>
        <v/>
      </c>
      <c r="L401" s="41" t="str">
        <f>IF(tblConteo[[#This Row],[Diferencia]]="","",IF(tblConteo[[#This Row],[Diferencia]]=0,"✔ Cuadra",IF(tblConteo[[#This Row],[Diferencia]]&gt;0,"▲ Sobrante","▼ Faltante")))</f>
        <v/>
      </c>
      <c r="M40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2" spans="2:13" x14ac:dyDescent="0.25">
      <c r="B402" s="40" t="str">
        <f>IF('05_PRODUCTOS'!$B402="","",'05_PRODUCTOS'!$B402)</f>
        <v/>
      </c>
      <c r="C402" s="43" t="str">
        <f>IF($B402="","",'05_PRODUCTOS'!$C402)</f>
        <v/>
      </c>
      <c r="D402" s="43" t="str">
        <f>IF($B402="","",'05_PRODUCTOS'!$D402)</f>
        <v/>
      </c>
      <c r="E402" s="40" t="str">
        <f>IF($B402="","",'05_PRODUCTOS'!$J402&amp;"")</f>
        <v/>
      </c>
      <c r="F402" s="40" t="str">
        <f>IF($B402="","",'05_PRODUCTOS'!$E402)</f>
        <v/>
      </c>
      <c r="G402" s="40" t="str">
        <f>IF($B402="","",IF('05_PRODUCTOS'!$K402="NO","NO","SI"))</f>
        <v/>
      </c>
      <c r="H402" s="49" t="str">
        <f>IF($B402="","",N('15_STOCK'!$J402))</f>
        <v/>
      </c>
      <c r="I402" s="39"/>
      <c r="J402" s="48" t="str">
        <f>IF(OR(tblConteo[[#This Row],[SKU]]="",tblConteo[[#This Row],[Conteo]]=""),"",tblConteo[[#This Row],[Conteo]]-tblConteo[[#This Row],[StockSistema]])</f>
        <v/>
      </c>
      <c r="K402" s="52" t="str">
        <f>IF($J402="","",$J402*N('15_STOCK'!$O402))</f>
        <v/>
      </c>
      <c r="L402" s="41" t="str">
        <f>IF(tblConteo[[#This Row],[Diferencia]]="","",IF(tblConteo[[#This Row],[Diferencia]]=0,"✔ Cuadra",IF(tblConteo[[#This Row],[Diferencia]]&gt;0,"▲ Sobrante","▼ Faltante")))</f>
        <v/>
      </c>
      <c r="M40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3" spans="2:13" x14ac:dyDescent="0.25">
      <c r="B403" s="40" t="str">
        <f>IF('05_PRODUCTOS'!$B403="","",'05_PRODUCTOS'!$B403)</f>
        <v/>
      </c>
      <c r="C403" s="43" t="str">
        <f>IF($B403="","",'05_PRODUCTOS'!$C403)</f>
        <v/>
      </c>
      <c r="D403" s="43" t="str">
        <f>IF($B403="","",'05_PRODUCTOS'!$D403)</f>
        <v/>
      </c>
      <c r="E403" s="40" t="str">
        <f>IF($B403="","",'05_PRODUCTOS'!$J403&amp;"")</f>
        <v/>
      </c>
      <c r="F403" s="40" t="str">
        <f>IF($B403="","",'05_PRODUCTOS'!$E403)</f>
        <v/>
      </c>
      <c r="G403" s="40" t="str">
        <f>IF($B403="","",IF('05_PRODUCTOS'!$K403="NO","NO","SI"))</f>
        <v/>
      </c>
      <c r="H403" s="49" t="str">
        <f>IF($B403="","",N('15_STOCK'!$J403))</f>
        <v/>
      </c>
      <c r="I403" s="39"/>
      <c r="J403" s="48" t="str">
        <f>IF(OR(tblConteo[[#This Row],[SKU]]="",tblConteo[[#This Row],[Conteo]]=""),"",tblConteo[[#This Row],[Conteo]]-tblConteo[[#This Row],[StockSistema]])</f>
        <v/>
      </c>
      <c r="K403" s="52" t="str">
        <f>IF($J403="","",$J403*N('15_STOCK'!$O403))</f>
        <v/>
      </c>
      <c r="L403" s="41" t="str">
        <f>IF(tblConteo[[#This Row],[Diferencia]]="","",IF(tblConteo[[#This Row],[Diferencia]]=0,"✔ Cuadra",IF(tblConteo[[#This Row],[Diferencia]]&gt;0,"▲ Sobrante","▼ Faltante")))</f>
        <v/>
      </c>
      <c r="M40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4" spans="2:13" x14ac:dyDescent="0.25">
      <c r="B404" s="40" t="str">
        <f>IF('05_PRODUCTOS'!$B404="","",'05_PRODUCTOS'!$B404)</f>
        <v/>
      </c>
      <c r="C404" s="43" t="str">
        <f>IF($B404="","",'05_PRODUCTOS'!$C404)</f>
        <v/>
      </c>
      <c r="D404" s="43" t="str">
        <f>IF($B404="","",'05_PRODUCTOS'!$D404)</f>
        <v/>
      </c>
      <c r="E404" s="40" t="str">
        <f>IF($B404="","",'05_PRODUCTOS'!$J404&amp;"")</f>
        <v/>
      </c>
      <c r="F404" s="40" t="str">
        <f>IF($B404="","",'05_PRODUCTOS'!$E404)</f>
        <v/>
      </c>
      <c r="G404" s="40" t="str">
        <f>IF($B404="","",IF('05_PRODUCTOS'!$K404="NO","NO","SI"))</f>
        <v/>
      </c>
      <c r="H404" s="49" t="str">
        <f>IF($B404="","",N('15_STOCK'!$J404))</f>
        <v/>
      </c>
      <c r="I404" s="39"/>
      <c r="J404" s="48" t="str">
        <f>IF(OR(tblConteo[[#This Row],[SKU]]="",tblConteo[[#This Row],[Conteo]]=""),"",tblConteo[[#This Row],[Conteo]]-tblConteo[[#This Row],[StockSistema]])</f>
        <v/>
      </c>
      <c r="K404" s="52" t="str">
        <f>IF($J404="","",$J404*N('15_STOCK'!$O404))</f>
        <v/>
      </c>
      <c r="L404" s="41" t="str">
        <f>IF(tblConteo[[#This Row],[Diferencia]]="","",IF(tblConteo[[#This Row],[Diferencia]]=0,"✔ Cuadra",IF(tblConteo[[#This Row],[Diferencia]]&gt;0,"▲ Sobrante","▼ Faltante")))</f>
        <v/>
      </c>
      <c r="M40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5" spans="2:13" x14ac:dyDescent="0.25">
      <c r="B405" s="40" t="str">
        <f>IF('05_PRODUCTOS'!$B405="","",'05_PRODUCTOS'!$B405)</f>
        <v/>
      </c>
      <c r="C405" s="43" t="str">
        <f>IF($B405="","",'05_PRODUCTOS'!$C405)</f>
        <v/>
      </c>
      <c r="D405" s="43" t="str">
        <f>IF($B405="","",'05_PRODUCTOS'!$D405)</f>
        <v/>
      </c>
      <c r="E405" s="40" t="str">
        <f>IF($B405="","",'05_PRODUCTOS'!$J405&amp;"")</f>
        <v/>
      </c>
      <c r="F405" s="40" t="str">
        <f>IF($B405="","",'05_PRODUCTOS'!$E405)</f>
        <v/>
      </c>
      <c r="G405" s="40" t="str">
        <f>IF($B405="","",IF('05_PRODUCTOS'!$K405="NO","NO","SI"))</f>
        <v/>
      </c>
      <c r="H405" s="49" t="str">
        <f>IF($B405="","",N('15_STOCK'!$J405))</f>
        <v/>
      </c>
      <c r="I405" s="39"/>
      <c r="J405" s="48" t="str">
        <f>IF(OR(tblConteo[[#This Row],[SKU]]="",tblConteo[[#This Row],[Conteo]]=""),"",tblConteo[[#This Row],[Conteo]]-tblConteo[[#This Row],[StockSistema]])</f>
        <v/>
      </c>
      <c r="K405" s="52" t="str">
        <f>IF($J405="","",$J405*N('15_STOCK'!$O405))</f>
        <v/>
      </c>
      <c r="L405" s="41" t="str">
        <f>IF(tblConteo[[#This Row],[Diferencia]]="","",IF(tblConteo[[#This Row],[Diferencia]]=0,"✔ Cuadra",IF(tblConteo[[#This Row],[Diferencia]]&gt;0,"▲ Sobrante","▼ Faltante")))</f>
        <v/>
      </c>
      <c r="M40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6" spans="2:13" x14ac:dyDescent="0.25">
      <c r="B406" s="40" t="str">
        <f>IF('05_PRODUCTOS'!$B406="","",'05_PRODUCTOS'!$B406)</f>
        <v/>
      </c>
      <c r="C406" s="43" t="str">
        <f>IF($B406="","",'05_PRODUCTOS'!$C406)</f>
        <v/>
      </c>
      <c r="D406" s="43" t="str">
        <f>IF($B406="","",'05_PRODUCTOS'!$D406)</f>
        <v/>
      </c>
      <c r="E406" s="40" t="str">
        <f>IF($B406="","",'05_PRODUCTOS'!$J406&amp;"")</f>
        <v/>
      </c>
      <c r="F406" s="40" t="str">
        <f>IF($B406="","",'05_PRODUCTOS'!$E406)</f>
        <v/>
      </c>
      <c r="G406" s="40" t="str">
        <f>IF($B406="","",IF('05_PRODUCTOS'!$K406="NO","NO","SI"))</f>
        <v/>
      </c>
      <c r="H406" s="49" t="str">
        <f>IF($B406="","",N('15_STOCK'!$J406))</f>
        <v/>
      </c>
      <c r="I406" s="39"/>
      <c r="J406" s="48" t="str">
        <f>IF(OR(tblConteo[[#This Row],[SKU]]="",tblConteo[[#This Row],[Conteo]]=""),"",tblConteo[[#This Row],[Conteo]]-tblConteo[[#This Row],[StockSistema]])</f>
        <v/>
      </c>
      <c r="K406" s="52" t="str">
        <f>IF($J406="","",$J406*N('15_STOCK'!$O406))</f>
        <v/>
      </c>
      <c r="L406" s="41" t="str">
        <f>IF(tblConteo[[#This Row],[Diferencia]]="","",IF(tblConteo[[#This Row],[Diferencia]]=0,"✔ Cuadra",IF(tblConteo[[#This Row],[Diferencia]]&gt;0,"▲ Sobrante","▼ Faltante")))</f>
        <v/>
      </c>
      <c r="M40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7" spans="2:13" x14ac:dyDescent="0.25">
      <c r="B407" s="40" t="str">
        <f>IF('05_PRODUCTOS'!$B407="","",'05_PRODUCTOS'!$B407)</f>
        <v/>
      </c>
      <c r="C407" s="43" t="str">
        <f>IF($B407="","",'05_PRODUCTOS'!$C407)</f>
        <v/>
      </c>
      <c r="D407" s="43" t="str">
        <f>IF($B407="","",'05_PRODUCTOS'!$D407)</f>
        <v/>
      </c>
      <c r="E407" s="40" t="str">
        <f>IF($B407="","",'05_PRODUCTOS'!$J407&amp;"")</f>
        <v/>
      </c>
      <c r="F407" s="40" t="str">
        <f>IF($B407="","",'05_PRODUCTOS'!$E407)</f>
        <v/>
      </c>
      <c r="G407" s="40" t="str">
        <f>IF($B407="","",IF('05_PRODUCTOS'!$K407="NO","NO","SI"))</f>
        <v/>
      </c>
      <c r="H407" s="49" t="str">
        <f>IF($B407="","",N('15_STOCK'!$J407))</f>
        <v/>
      </c>
      <c r="I407" s="39"/>
      <c r="J407" s="48" t="str">
        <f>IF(OR(tblConteo[[#This Row],[SKU]]="",tblConteo[[#This Row],[Conteo]]=""),"",tblConteo[[#This Row],[Conteo]]-tblConteo[[#This Row],[StockSistema]])</f>
        <v/>
      </c>
      <c r="K407" s="52" t="str">
        <f>IF($J407="","",$J407*N('15_STOCK'!$O407))</f>
        <v/>
      </c>
      <c r="L407" s="41" t="str">
        <f>IF(tblConteo[[#This Row],[Diferencia]]="","",IF(tblConteo[[#This Row],[Diferencia]]=0,"✔ Cuadra",IF(tblConteo[[#This Row],[Diferencia]]&gt;0,"▲ Sobrante","▼ Faltante")))</f>
        <v/>
      </c>
      <c r="M40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8" spans="2:13" x14ac:dyDescent="0.25">
      <c r="B408" s="40" t="str">
        <f>IF('05_PRODUCTOS'!$B408="","",'05_PRODUCTOS'!$B408)</f>
        <v/>
      </c>
      <c r="C408" s="43" t="str">
        <f>IF($B408="","",'05_PRODUCTOS'!$C408)</f>
        <v/>
      </c>
      <c r="D408" s="43" t="str">
        <f>IF($B408="","",'05_PRODUCTOS'!$D408)</f>
        <v/>
      </c>
      <c r="E408" s="40" t="str">
        <f>IF($B408="","",'05_PRODUCTOS'!$J408&amp;"")</f>
        <v/>
      </c>
      <c r="F408" s="40" t="str">
        <f>IF($B408="","",'05_PRODUCTOS'!$E408)</f>
        <v/>
      </c>
      <c r="G408" s="40" t="str">
        <f>IF($B408="","",IF('05_PRODUCTOS'!$K408="NO","NO","SI"))</f>
        <v/>
      </c>
      <c r="H408" s="49" t="str">
        <f>IF($B408="","",N('15_STOCK'!$J408))</f>
        <v/>
      </c>
      <c r="I408" s="39"/>
      <c r="J408" s="48" t="str">
        <f>IF(OR(tblConteo[[#This Row],[SKU]]="",tblConteo[[#This Row],[Conteo]]=""),"",tblConteo[[#This Row],[Conteo]]-tblConteo[[#This Row],[StockSistema]])</f>
        <v/>
      </c>
      <c r="K408" s="52" t="str">
        <f>IF($J408="","",$J408*N('15_STOCK'!$O408))</f>
        <v/>
      </c>
      <c r="L408" s="41" t="str">
        <f>IF(tblConteo[[#This Row],[Diferencia]]="","",IF(tblConteo[[#This Row],[Diferencia]]=0,"✔ Cuadra",IF(tblConteo[[#This Row],[Diferencia]]&gt;0,"▲ Sobrante","▼ Faltante")))</f>
        <v/>
      </c>
      <c r="M40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09" spans="2:13" x14ac:dyDescent="0.25">
      <c r="B409" s="40" t="str">
        <f>IF('05_PRODUCTOS'!$B409="","",'05_PRODUCTOS'!$B409)</f>
        <v/>
      </c>
      <c r="C409" s="43" t="str">
        <f>IF($B409="","",'05_PRODUCTOS'!$C409)</f>
        <v/>
      </c>
      <c r="D409" s="43" t="str">
        <f>IF($B409="","",'05_PRODUCTOS'!$D409)</f>
        <v/>
      </c>
      <c r="E409" s="40" t="str">
        <f>IF($B409="","",'05_PRODUCTOS'!$J409&amp;"")</f>
        <v/>
      </c>
      <c r="F409" s="40" t="str">
        <f>IF($B409="","",'05_PRODUCTOS'!$E409)</f>
        <v/>
      </c>
      <c r="G409" s="40" t="str">
        <f>IF($B409="","",IF('05_PRODUCTOS'!$K409="NO","NO","SI"))</f>
        <v/>
      </c>
      <c r="H409" s="49" t="str">
        <f>IF($B409="","",N('15_STOCK'!$J409))</f>
        <v/>
      </c>
      <c r="I409" s="39"/>
      <c r="J409" s="48" t="str">
        <f>IF(OR(tblConteo[[#This Row],[SKU]]="",tblConteo[[#This Row],[Conteo]]=""),"",tblConteo[[#This Row],[Conteo]]-tblConteo[[#This Row],[StockSistema]])</f>
        <v/>
      </c>
      <c r="K409" s="52" t="str">
        <f>IF($J409="","",$J409*N('15_STOCK'!$O409))</f>
        <v/>
      </c>
      <c r="L409" s="41" t="str">
        <f>IF(tblConteo[[#This Row],[Diferencia]]="","",IF(tblConteo[[#This Row],[Diferencia]]=0,"✔ Cuadra",IF(tblConteo[[#This Row],[Diferencia]]&gt;0,"▲ Sobrante","▼ Faltante")))</f>
        <v/>
      </c>
      <c r="M40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0" spans="2:13" x14ac:dyDescent="0.25">
      <c r="B410" s="40" t="str">
        <f>IF('05_PRODUCTOS'!$B410="","",'05_PRODUCTOS'!$B410)</f>
        <v/>
      </c>
      <c r="C410" s="43" t="str">
        <f>IF($B410="","",'05_PRODUCTOS'!$C410)</f>
        <v/>
      </c>
      <c r="D410" s="43" t="str">
        <f>IF($B410="","",'05_PRODUCTOS'!$D410)</f>
        <v/>
      </c>
      <c r="E410" s="40" t="str">
        <f>IF($B410="","",'05_PRODUCTOS'!$J410&amp;"")</f>
        <v/>
      </c>
      <c r="F410" s="40" t="str">
        <f>IF($B410="","",'05_PRODUCTOS'!$E410)</f>
        <v/>
      </c>
      <c r="G410" s="40" t="str">
        <f>IF($B410="","",IF('05_PRODUCTOS'!$K410="NO","NO","SI"))</f>
        <v/>
      </c>
      <c r="H410" s="49" t="str">
        <f>IF($B410="","",N('15_STOCK'!$J410))</f>
        <v/>
      </c>
      <c r="I410" s="39"/>
      <c r="J410" s="48" t="str">
        <f>IF(OR(tblConteo[[#This Row],[SKU]]="",tblConteo[[#This Row],[Conteo]]=""),"",tblConteo[[#This Row],[Conteo]]-tblConteo[[#This Row],[StockSistema]])</f>
        <v/>
      </c>
      <c r="K410" s="52" t="str">
        <f>IF($J410="","",$J410*N('15_STOCK'!$O410))</f>
        <v/>
      </c>
      <c r="L410" s="41" t="str">
        <f>IF(tblConteo[[#This Row],[Diferencia]]="","",IF(tblConteo[[#This Row],[Diferencia]]=0,"✔ Cuadra",IF(tblConteo[[#This Row],[Diferencia]]&gt;0,"▲ Sobrante","▼ Faltante")))</f>
        <v/>
      </c>
      <c r="M41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1" spans="2:13" x14ac:dyDescent="0.25">
      <c r="B411" s="40" t="str">
        <f>IF('05_PRODUCTOS'!$B411="","",'05_PRODUCTOS'!$B411)</f>
        <v/>
      </c>
      <c r="C411" s="43" t="str">
        <f>IF($B411="","",'05_PRODUCTOS'!$C411)</f>
        <v/>
      </c>
      <c r="D411" s="43" t="str">
        <f>IF($B411="","",'05_PRODUCTOS'!$D411)</f>
        <v/>
      </c>
      <c r="E411" s="40" t="str">
        <f>IF($B411="","",'05_PRODUCTOS'!$J411&amp;"")</f>
        <v/>
      </c>
      <c r="F411" s="40" t="str">
        <f>IF($B411="","",'05_PRODUCTOS'!$E411)</f>
        <v/>
      </c>
      <c r="G411" s="40" t="str">
        <f>IF($B411="","",IF('05_PRODUCTOS'!$K411="NO","NO","SI"))</f>
        <v/>
      </c>
      <c r="H411" s="49" t="str">
        <f>IF($B411="","",N('15_STOCK'!$J411))</f>
        <v/>
      </c>
      <c r="I411" s="39"/>
      <c r="J411" s="48" t="str">
        <f>IF(OR(tblConteo[[#This Row],[SKU]]="",tblConteo[[#This Row],[Conteo]]=""),"",tblConteo[[#This Row],[Conteo]]-tblConteo[[#This Row],[StockSistema]])</f>
        <v/>
      </c>
      <c r="K411" s="52" t="str">
        <f>IF($J411="","",$J411*N('15_STOCK'!$O411))</f>
        <v/>
      </c>
      <c r="L411" s="41" t="str">
        <f>IF(tblConteo[[#This Row],[Diferencia]]="","",IF(tblConteo[[#This Row],[Diferencia]]=0,"✔ Cuadra",IF(tblConteo[[#This Row],[Diferencia]]&gt;0,"▲ Sobrante","▼ Faltante")))</f>
        <v/>
      </c>
      <c r="M41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2" spans="2:13" x14ac:dyDescent="0.25">
      <c r="B412" s="40" t="str">
        <f>IF('05_PRODUCTOS'!$B412="","",'05_PRODUCTOS'!$B412)</f>
        <v/>
      </c>
      <c r="C412" s="43" t="str">
        <f>IF($B412="","",'05_PRODUCTOS'!$C412)</f>
        <v/>
      </c>
      <c r="D412" s="43" t="str">
        <f>IF($B412="","",'05_PRODUCTOS'!$D412)</f>
        <v/>
      </c>
      <c r="E412" s="40" t="str">
        <f>IF($B412="","",'05_PRODUCTOS'!$J412&amp;"")</f>
        <v/>
      </c>
      <c r="F412" s="40" t="str">
        <f>IF($B412="","",'05_PRODUCTOS'!$E412)</f>
        <v/>
      </c>
      <c r="G412" s="40" t="str">
        <f>IF($B412="","",IF('05_PRODUCTOS'!$K412="NO","NO","SI"))</f>
        <v/>
      </c>
      <c r="H412" s="49" t="str">
        <f>IF($B412="","",N('15_STOCK'!$J412))</f>
        <v/>
      </c>
      <c r="I412" s="39"/>
      <c r="J412" s="48" t="str">
        <f>IF(OR(tblConteo[[#This Row],[SKU]]="",tblConteo[[#This Row],[Conteo]]=""),"",tblConteo[[#This Row],[Conteo]]-tblConteo[[#This Row],[StockSistema]])</f>
        <v/>
      </c>
      <c r="K412" s="52" t="str">
        <f>IF($J412="","",$J412*N('15_STOCK'!$O412))</f>
        <v/>
      </c>
      <c r="L412" s="41" t="str">
        <f>IF(tblConteo[[#This Row],[Diferencia]]="","",IF(tblConteo[[#This Row],[Diferencia]]=0,"✔ Cuadra",IF(tblConteo[[#This Row],[Diferencia]]&gt;0,"▲ Sobrante","▼ Faltante")))</f>
        <v/>
      </c>
      <c r="M41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3" spans="2:13" x14ac:dyDescent="0.25">
      <c r="B413" s="40" t="str">
        <f>IF('05_PRODUCTOS'!$B413="","",'05_PRODUCTOS'!$B413)</f>
        <v/>
      </c>
      <c r="C413" s="43" t="str">
        <f>IF($B413="","",'05_PRODUCTOS'!$C413)</f>
        <v/>
      </c>
      <c r="D413" s="43" t="str">
        <f>IF($B413="","",'05_PRODUCTOS'!$D413)</f>
        <v/>
      </c>
      <c r="E413" s="40" t="str">
        <f>IF($B413="","",'05_PRODUCTOS'!$J413&amp;"")</f>
        <v/>
      </c>
      <c r="F413" s="40" t="str">
        <f>IF($B413="","",'05_PRODUCTOS'!$E413)</f>
        <v/>
      </c>
      <c r="G413" s="40" t="str">
        <f>IF($B413="","",IF('05_PRODUCTOS'!$K413="NO","NO","SI"))</f>
        <v/>
      </c>
      <c r="H413" s="49" t="str">
        <f>IF($B413="","",N('15_STOCK'!$J413))</f>
        <v/>
      </c>
      <c r="I413" s="39"/>
      <c r="J413" s="48" t="str">
        <f>IF(OR(tblConteo[[#This Row],[SKU]]="",tblConteo[[#This Row],[Conteo]]=""),"",tblConteo[[#This Row],[Conteo]]-tblConteo[[#This Row],[StockSistema]])</f>
        <v/>
      </c>
      <c r="K413" s="52" t="str">
        <f>IF($J413="","",$J413*N('15_STOCK'!$O413))</f>
        <v/>
      </c>
      <c r="L413" s="41" t="str">
        <f>IF(tblConteo[[#This Row],[Diferencia]]="","",IF(tblConteo[[#This Row],[Diferencia]]=0,"✔ Cuadra",IF(tblConteo[[#This Row],[Diferencia]]&gt;0,"▲ Sobrante","▼ Faltante")))</f>
        <v/>
      </c>
      <c r="M41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4" spans="2:13" x14ac:dyDescent="0.25">
      <c r="B414" s="40" t="str">
        <f>IF('05_PRODUCTOS'!$B414="","",'05_PRODUCTOS'!$B414)</f>
        <v/>
      </c>
      <c r="C414" s="43" t="str">
        <f>IF($B414="","",'05_PRODUCTOS'!$C414)</f>
        <v/>
      </c>
      <c r="D414" s="43" t="str">
        <f>IF($B414="","",'05_PRODUCTOS'!$D414)</f>
        <v/>
      </c>
      <c r="E414" s="40" t="str">
        <f>IF($B414="","",'05_PRODUCTOS'!$J414&amp;"")</f>
        <v/>
      </c>
      <c r="F414" s="40" t="str">
        <f>IF($B414="","",'05_PRODUCTOS'!$E414)</f>
        <v/>
      </c>
      <c r="G414" s="40" t="str">
        <f>IF($B414="","",IF('05_PRODUCTOS'!$K414="NO","NO","SI"))</f>
        <v/>
      </c>
      <c r="H414" s="49" t="str">
        <f>IF($B414="","",N('15_STOCK'!$J414))</f>
        <v/>
      </c>
      <c r="I414" s="39"/>
      <c r="J414" s="48" t="str">
        <f>IF(OR(tblConteo[[#This Row],[SKU]]="",tblConteo[[#This Row],[Conteo]]=""),"",tblConteo[[#This Row],[Conteo]]-tblConteo[[#This Row],[StockSistema]])</f>
        <v/>
      </c>
      <c r="K414" s="52" t="str">
        <f>IF($J414="","",$J414*N('15_STOCK'!$O414))</f>
        <v/>
      </c>
      <c r="L414" s="41" t="str">
        <f>IF(tblConteo[[#This Row],[Diferencia]]="","",IF(tblConteo[[#This Row],[Diferencia]]=0,"✔ Cuadra",IF(tblConteo[[#This Row],[Diferencia]]&gt;0,"▲ Sobrante","▼ Faltante")))</f>
        <v/>
      </c>
      <c r="M41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5" spans="2:13" x14ac:dyDescent="0.25">
      <c r="B415" s="40" t="str">
        <f>IF('05_PRODUCTOS'!$B415="","",'05_PRODUCTOS'!$B415)</f>
        <v/>
      </c>
      <c r="C415" s="43" t="str">
        <f>IF($B415="","",'05_PRODUCTOS'!$C415)</f>
        <v/>
      </c>
      <c r="D415" s="43" t="str">
        <f>IF($B415="","",'05_PRODUCTOS'!$D415)</f>
        <v/>
      </c>
      <c r="E415" s="40" t="str">
        <f>IF($B415="","",'05_PRODUCTOS'!$J415&amp;"")</f>
        <v/>
      </c>
      <c r="F415" s="40" t="str">
        <f>IF($B415="","",'05_PRODUCTOS'!$E415)</f>
        <v/>
      </c>
      <c r="G415" s="40" t="str">
        <f>IF($B415="","",IF('05_PRODUCTOS'!$K415="NO","NO","SI"))</f>
        <v/>
      </c>
      <c r="H415" s="49" t="str">
        <f>IF($B415="","",N('15_STOCK'!$J415))</f>
        <v/>
      </c>
      <c r="I415" s="39"/>
      <c r="J415" s="48" t="str">
        <f>IF(OR(tblConteo[[#This Row],[SKU]]="",tblConteo[[#This Row],[Conteo]]=""),"",tblConteo[[#This Row],[Conteo]]-tblConteo[[#This Row],[StockSistema]])</f>
        <v/>
      </c>
      <c r="K415" s="52" t="str">
        <f>IF($J415="","",$J415*N('15_STOCK'!$O415))</f>
        <v/>
      </c>
      <c r="L415" s="41" t="str">
        <f>IF(tblConteo[[#This Row],[Diferencia]]="","",IF(tblConteo[[#This Row],[Diferencia]]=0,"✔ Cuadra",IF(tblConteo[[#This Row],[Diferencia]]&gt;0,"▲ Sobrante","▼ Faltante")))</f>
        <v/>
      </c>
      <c r="M41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6" spans="2:13" x14ac:dyDescent="0.25">
      <c r="B416" s="40" t="str">
        <f>IF('05_PRODUCTOS'!$B416="","",'05_PRODUCTOS'!$B416)</f>
        <v/>
      </c>
      <c r="C416" s="43" t="str">
        <f>IF($B416="","",'05_PRODUCTOS'!$C416)</f>
        <v/>
      </c>
      <c r="D416" s="43" t="str">
        <f>IF($B416="","",'05_PRODUCTOS'!$D416)</f>
        <v/>
      </c>
      <c r="E416" s="40" t="str">
        <f>IF($B416="","",'05_PRODUCTOS'!$J416&amp;"")</f>
        <v/>
      </c>
      <c r="F416" s="40" t="str">
        <f>IF($B416="","",'05_PRODUCTOS'!$E416)</f>
        <v/>
      </c>
      <c r="G416" s="40" t="str">
        <f>IF($B416="","",IF('05_PRODUCTOS'!$K416="NO","NO","SI"))</f>
        <v/>
      </c>
      <c r="H416" s="49" t="str">
        <f>IF($B416="","",N('15_STOCK'!$J416))</f>
        <v/>
      </c>
      <c r="I416" s="39"/>
      <c r="J416" s="48" t="str">
        <f>IF(OR(tblConteo[[#This Row],[SKU]]="",tblConteo[[#This Row],[Conteo]]=""),"",tblConteo[[#This Row],[Conteo]]-tblConteo[[#This Row],[StockSistema]])</f>
        <v/>
      </c>
      <c r="K416" s="52" t="str">
        <f>IF($J416="","",$J416*N('15_STOCK'!$O416))</f>
        <v/>
      </c>
      <c r="L416" s="41" t="str">
        <f>IF(tblConteo[[#This Row],[Diferencia]]="","",IF(tblConteo[[#This Row],[Diferencia]]=0,"✔ Cuadra",IF(tblConteo[[#This Row],[Diferencia]]&gt;0,"▲ Sobrante","▼ Faltante")))</f>
        <v/>
      </c>
      <c r="M41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7" spans="2:13" x14ac:dyDescent="0.25">
      <c r="B417" s="40" t="str">
        <f>IF('05_PRODUCTOS'!$B417="","",'05_PRODUCTOS'!$B417)</f>
        <v/>
      </c>
      <c r="C417" s="43" t="str">
        <f>IF($B417="","",'05_PRODUCTOS'!$C417)</f>
        <v/>
      </c>
      <c r="D417" s="43" t="str">
        <f>IF($B417="","",'05_PRODUCTOS'!$D417)</f>
        <v/>
      </c>
      <c r="E417" s="40" t="str">
        <f>IF($B417="","",'05_PRODUCTOS'!$J417&amp;"")</f>
        <v/>
      </c>
      <c r="F417" s="40" t="str">
        <f>IF($B417="","",'05_PRODUCTOS'!$E417)</f>
        <v/>
      </c>
      <c r="G417" s="40" t="str">
        <f>IF($B417="","",IF('05_PRODUCTOS'!$K417="NO","NO","SI"))</f>
        <v/>
      </c>
      <c r="H417" s="49" t="str">
        <f>IF($B417="","",N('15_STOCK'!$J417))</f>
        <v/>
      </c>
      <c r="I417" s="39"/>
      <c r="J417" s="48" t="str">
        <f>IF(OR(tblConteo[[#This Row],[SKU]]="",tblConteo[[#This Row],[Conteo]]=""),"",tblConteo[[#This Row],[Conteo]]-tblConteo[[#This Row],[StockSistema]])</f>
        <v/>
      </c>
      <c r="K417" s="52" t="str">
        <f>IF($J417="","",$J417*N('15_STOCK'!$O417))</f>
        <v/>
      </c>
      <c r="L417" s="41" t="str">
        <f>IF(tblConteo[[#This Row],[Diferencia]]="","",IF(tblConteo[[#This Row],[Diferencia]]=0,"✔ Cuadra",IF(tblConteo[[#This Row],[Diferencia]]&gt;0,"▲ Sobrante","▼ Faltante")))</f>
        <v/>
      </c>
      <c r="M41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8" spans="2:13" x14ac:dyDescent="0.25">
      <c r="B418" s="40" t="str">
        <f>IF('05_PRODUCTOS'!$B418="","",'05_PRODUCTOS'!$B418)</f>
        <v/>
      </c>
      <c r="C418" s="43" t="str">
        <f>IF($B418="","",'05_PRODUCTOS'!$C418)</f>
        <v/>
      </c>
      <c r="D418" s="43" t="str">
        <f>IF($B418="","",'05_PRODUCTOS'!$D418)</f>
        <v/>
      </c>
      <c r="E418" s="40" t="str">
        <f>IF($B418="","",'05_PRODUCTOS'!$J418&amp;"")</f>
        <v/>
      </c>
      <c r="F418" s="40" t="str">
        <f>IF($B418="","",'05_PRODUCTOS'!$E418)</f>
        <v/>
      </c>
      <c r="G418" s="40" t="str">
        <f>IF($B418="","",IF('05_PRODUCTOS'!$K418="NO","NO","SI"))</f>
        <v/>
      </c>
      <c r="H418" s="49" t="str">
        <f>IF($B418="","",N('15_STOCK'!$J418))</f>
        <v/>
      </c>
      <c r="I418" s="39"/>
      <c r="J418" s="48" t="str">
        <f>IF(OR(tblConteo[[#This Row],[SKU]]="",tblConteo[[#This Row],[Conteo]]=""),"",tblConteo[[#This Row],[Conteo]]-tblConteo[[#This Row],[StockSistema]])</f>
        <v/>
      </c>
      <c r="K418" s="52" t="str">
        <f>IF($J418="","",$J418*N('15_STOCK'!$O418))</f>
        <v/>
      </c>
      <c r="L418" s="41" t="str">
        <f>IF(tblConteo[[#This Row],[Diferencia]]="","",IF(tblConteo[[#This Row],[Diferencia]]=0,"✔ Cuadra",IF(tblConteo[[#This Row],[Diferencia]]&gt;0,"▲ Sobrante","▼ Faltante")))</f>
        <v/>
      </c>
      <c r="M41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19" spans="2:13" x14ac:dyDescent="0.25">
      <c r="B419" s="40" t="str">
        <f>IF('05_PRODUCTOS'!$B419="","",'05_PRODUCTOS'!$B419)</f>
        <v/>
      </c>
      <c r="C419" s="43" t="str">
        <f>IF($B419="","",'05_PRODUCTOS'!$C419)</f>
        <v/>
      </c>
      <c r="D419" s="43" t="str">
        <f>IF($B419="","",'05_PRODUCTOS'!$D419)</f>
        <v/>
      </c>
      <c r="E419" s="40" t="str">
        <f>IF($B419="","",'05_PRODUCTOS'!$J419&amp;"")</f>
        <v/>
      </c>
      <c r="F419" s="40" t="str">
        <f>IF($B419="","",'05_PRODUCTOS'!$E419)</f>
        <v/>
      </c>
      <c r="G419" s="40" t="str">
        <f>IF($B419="","",IF('05_PRODUCTOS'!$K419="NO","NO","SI"))</f>
        <v/>
      </c>
      <c r="H419" s="49" t="str">
        <f>IF($B419="","",N('15_STOCK'!$J419))</f>
        <v/>
      </c>
      <c r="I419" s="39"/>
      <c r="J419" s="48" t="str">
        <f>IF(OR(tblConteo[[#This Row],[SKU]]="",tblConteo[[#This Row],[Conteo]]=""),"",tblConteo[[#This Row],[Conteo]]-tblConteo[[#This Row],[StockSistema]])</f>
        <v/>
      </c>
      <c r="K419" s="52" t="str">
        <f>IF($J419="","",$J419*N('15_STOCK'!$O419))</f>
        <v/>
      </c>
      <c r="L419" s="41" t="str">
        <f>IF(tblConteo[[#This Row],[Diferencia]]="","",IF(tblConteo[[#This Row],[Diferencia]]=0,"✔ Cuadra",IF(tblConteo[[#This Row],[Diferencia]]&gt;0,"▲ Sobrante","▼ Faltante")))</f>
        <v/>
      </c>
      <c r="M41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0" spans="2:13" x14ac:dyDescent="0.25">
      <c r="B420" s="40" t="str">
        <f>IF('05_PRODUCTOS'!$B420="","",'05_PRODUCTOS'!$B420)</f>
        <v/>
      </c>
      <c r="C420" s="43" t="str">
        <f>IF($B420="","",'05_PRODUCTOS'!$C420)</f>
        <v/>
      </c>
      <c r="D420" s="43" t="str">
        <f>IF($B420="","",'05_PRODUCTOS'!$D420)</f>
        <v/>
      </c>
      <c r="E420" s="40" t="str">
        <f>IF($B420="","",'05_PRODUCTOS'!$J420&amp;"")</f>
        <v/>
      </c>
      <c r="F420" s="40" t="str">
        <f>IF($B420="","",'05_PRODUCTOS'!$E420)</f>
        <v/>
      </c>
      <c r="G420" s="40" t="str">
        <f>IF($B420="","",IF('05_PRODUCTOS'!$K420="NO","NO","SI"))</f>
        <v/>
      </c>
      <c r="H420" s="49" t="str">
        <f>IF($B420="","",N('15_STOCK'!$J420))</f>
        <v/>
      </c>
      <c r="I420" s="39"/>
      <c r="J420" s="48" t="str">
        <f>IF(OR(tblConteo[[#This Row],[SKU]]="",tblConteo[[#This Row],[Conteo]]=""),"",tblConteo[[#This Row],[Conteo]]-tblConteo[[#This Row],[StockSistema]])</f>
        <v/>
      </c>
      <c r="K420" s="52" t="str">
        <f>IF($J420="","",$J420*N('15_STOCK'!$O420))</f>
        <v/>
      </c>
      <c r="L420" s="41" t="str">
        <f>IF(tblConteo[[#This Row],[Diferencia]]="","",IF(tblConteo[[#This Row],[Diferencia]]=0,"✔ Cuadra",IF(tblConteo[[#This Row],[Diferencia]]&gt;0,"▲ Sobrante","▼ Faltante")))</f>
        <v/>
      </c>
      <c r="M42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1" spans="2:13" x14ac:dyDescent="0.25">
      <c r="B421" s="40" t="str">
        <f>IF('05_PRODUCTOS'!$B421="","",'05_PRODUCTOS'!$B421)</f>
        <v/>
      </c>
      <c r="C421" s="43" t="str">
        <f>IF($B421="","",'05_PRODUCTOS'!$C421)</f>
        <v/>
      </c>
      <c r="D421" s="43" t="str">
        <f>IF($B421="","",'05_PRODUCTOS'!$D421)</f>
        <v/>
      </c>
      <c r="E421" s="40" t="str">
        <f>IF($B421="","",'05_PRODUCTOS'!$J421&amp;"")</f>
        <v/>
      </c>
      <c r="F421" s="40" t="str">
        <f>IF($B421="","",'05_PRODUCTOS'!$E421)</f>
        <v/>
      </c>
      <c r="G421" s="40" t="str">
        <f>IF($B421="","",IF('05_PRODUCTOS'!$K421="NO","NO","SI"))</f>
        <v/>
      </c>
      <c r="H421" s="49" t="str">
        <f>IF($B421="","",N('15_STOCK'!$J421))</f>
        <v/>
      </c>
      <c r="I421" s="39"/>
      <c r="J421" s="48" t="str">
        <f>IF(OR(tblConteo[[#This Row],[SKU]]="",tblConteo[[#This Row],[Conteo]]=""),"",tblConteo[[#This Row],[Conteo]]-tblConteo[[#This Row],[StockSistema]])</f>
        <v/>
      </c>
      <c r="K421" s="52" t="str">
        <f>IF($J421="","",$J421*N('15_STOCK'!$O421))</f>
        <v/>
      </c>
      <c r="L421" s="41" t="str">
        <f>IF(tblConteo[[#This Row],[Diferencia]]="","",IF(tblConteo[[#This Row],[Diferencia]]=0,"✔ Cuadra",IF(tblConteo[[#This Row],[Diferencia]]&gt;0,"▲ Sobrante","▼ Faltante")))</f>
        <v/>
      </c>
      <c r="M42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2" spans="2:13" x14ac:dyDescent="0.25">
      <c r="B422" s="40" t="str">
        <f>IF('05_PRODUCTOS'!$B422="","",'05_PRODUCTOS'!$B422)</f>
        <v/>
      </c>
      <c r="C422" s="43" t="str">
        <f>IF($B422="","",'05_PRODUCTOS'!$C422)</f>
        <v/>
      </c>
      <c r="D422" s="43" t="str">
        <f>IF($B422="","",'05_PRODUCTOS'!$D422)</f>
        <v/>
      </c>
      <c r="E422" s="40" t="str">
        <f>IF($B422="","",'05_PRODUCTOS'!$J422&amp;"")</f>
        <v/>
      </c>
      <c r="F422" s="40" t="str">
        <f>IF($B422="","",'05_PRODUCTOS'!$E422)</f>
        <v/>
      </c>
      <c r="G422" s="40" t="str">
        <f>IF($B422="","",IF('05_PRODUCTOS'!$K422="NO","NO","SI"))</f>
        <v/>
      </c>
      <c r="H422" s="49" t="str">
        <f>IF($B422="","",N('15_STOCK'!$J422))</f>
        <v/>
      </c>
      <c r="I422" s="39"/>
      <c r="J422" s="48" t="str">
        <f>IF(OR(tblConteo[[#This Row],[SKU]]="",tblConteo[[#This Row],[Conteo]]=""),"",tblConteo[[#This Row],[Conteo]]-tblConteo[[#This Row],[StockSistema]])</f>
        <v/>
      </c>
      <c r="K422" s="52" t="str">
        <f>IF($J422="","",$J422*N('15_STOCK'!$O422))</f>
        <v/>
      </c>
      <c r="L422" s="41" t="str">
        <f>IF(tblConteo[[#This Row],[Diferencia]]="","",IF(tblConteo[[#This Row],[Diferencia]]=0,"✔ Cuadra",IF(tblConteo[[#This Row],[Diferencia]]&gt;0,"▲ Sobrante","▼ Faltante")))</f>
        <v/>
      </c>
      <c r="M42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3" spans="2:13" x14ac:dyDescent="0.25">
      <c r="B423" s="40" t="str">
        <f>IF('05_PRODUCTOS'!$B423="","",'05_PRODUCTOS'!$B423)</f>
        <v/>
      </c>
      <c r="C423" s="43" t="str">
        <f>IF($B423="","",'05_PRODUCTOS'!$C423)</f>
        <v/>
      </c>
      <c r="D423" s="43" t="str">
        <f>IF($B423="","",'05_PRODUCTOS'!$D423)</f>
        <v/>
      </c>
      <c r="E423" s="40" t="str">
        <f>IF($B423="","",'05_PRODUCTOS'!$J423&amp;"")</f>
        <v/>
      </c>
      <c r="F423" s="40" t="str">
        <f>IF($B423="","",'05_PRODUCTOS'!$E423)</f>
        <v/>
      </c>
      <c r="G423" s="40" t="str">
        <f>IF($B423="","",IF('05_PRODUCTOS'!$K423="NO","NO","SI"))</f>
        <v/>
      </c>
      <c r="H423" s="49" t="str">
        <f>IF($B423="","",N('15_STOCK'!$J423))</f>
        <v/>
      </c>
      <c r="I423" s="39"/>
      <c r="J423" s="48" t="str">
        <f>IF(OR(tblConteo[[#This Row],[SKU]]="",tblConteo[[#This Row],[Conteo]]=""),"",tblConteo[[#This Row],[Conteo]]-tblConteo[[#This Row],[StockSistema]])</f>
        <v/>
      </c>
      <c r="K423" s="52" t="str">
        <f>IF($J423="","",$J423*N('15_STOCK'!$O423))</f>
        <v/>
      </c>
      <c r="L423" s="41" t="str">
        <f>IF(tblConteo[[#This Row],[Diferencia]]="","",IF(tblConteo[[#This Row],[Diferencia]]=0,"✔ Cuadra",IF(tblConteo[[#This Row],[Diferencia]]&gt;0,"▲ Sobrante","▼ Faltante")))</f>
        <v/>
      </c>
      <c r="M42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4" spans="2:13" x14ac:dyDescent="0.25">
      <c r="B424" s="40" t="str">
        <f>IF('05_PRODUCTOS'!$B424="","",'05_PRODUCTOS'!$B424)</f>
        <v/>
      </c>
      <c r="C424" s="43" t="str">
        <f>IF($B424="","",'05_PRODUCTOS'!$C424)</f>
        <v/>
      </c>
      <c r="D424" s="43" t="str">
        <f>IF($B424="","",'05_PRODUCTOS'!$D424)</f>
        <v/>
      </c>
      <c r="E424" s="40" t="str">
        <f>IF($B424="","",'05_PRODUCTOS'!$J424&amp;"")</f>
        <v/>
      </c>
      <c r="F424" s="40" t="str">
        <f>IF($B424="","",'05_PRODUCTOS'!$E424)</f>
        <v/>
      </c>
      <c r="G424" s="40" t="str">
        <f>IF($B424="","",IF('05_PRODUCTOS'!$K424="NO","NO","SI"))</f>
        <v/>
      </c>
      <c r="H424" s="49" t="str">
        <f>IF($B424="","",N('15_STOCK'!$J424))</f>
        <v/>
      </c>
      <c r="I424" s="39"/>
      <c r="J424" s="48" t="str">
        <f>IF(OR(tblConteo[[#This Row],[SKU]]="",tblConteo[[#This Row],[Conteo]]=""),"",tblConteo[[#This Row],[Conteo]]-tblConteo[[#This Row],[StockSistema]])</f>
        <v/>
      </c>
      <c r="K424" s="52" t="str">
        <f>IF($J424="","",$J424*N('15_STOCK'!$O424))</f>
        <v/>
      </c>
      <c r="L424" s="41" t="str">
        <f>IF(tblConteo[[#This Row],[Diferencia]]="","",IF(tblConteo[[#This Row],[Diferencia]]=0,"✔ Cuadra",IF(tblConteo[[#This Row],[Diferencia]]&gt;0,"▲ Sobrante","▼ Faltante")))</f>
        <v/>
      </c>
      <c r="M42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5" spans="2:13" x14ac:dyDescent="0.25">
      <c r="B425" s="40" t="str">
        <f>IF('05_PRODUCTOS'!$B425="","",'05_PRODUCTOS'!$B425)</f>
        <v/>
      </c>
      <c r="C425" s="43" t="str">
        <f>IF($B425="","",'05_PRODUCTOS'!$C425)</f>
        <v/>
      </c>
      <c r="D425" s="43" t="str">
        <f>IF($B425="","",'05_PRODUCTOS'!$D425)</f>
        <v/>
      </c>
      <c r="E425" s="40" t="str">
        <f>IF($B425="","",'05_PRODUCTOS'!$J425&amp;"")</f>
        <v/>
      </c>
      <c r="F425" s="40" t="str">
        <f>IF($B425="","",'05_PRODUCTOS'!$E425)</f>
        <v/>
      </c>
      <c r="G425" s="40" t="str">
        <f>IF($B425="","",IF('05_PRODUCTOS'!$K425="NO","NO","SI"))</f>
        <v/>
      </c>
      <c r="H425" s="49" t="str">
        <f>IF($B425="","",N('15_STOCK'!$J425))</f>
        <v/>
      </c>
      <c r="I425" s="39"/>
      <c r="J425" s="48" t="str">
        <f>IF(OR(tblConteo[[#This Row],[SKU]]="",tblConteo[[#This Row],[Conteo]]=""),"",tblConteo[[#This Row],[Conteo]]-tblConteo[[#This Row],[StockSistema]])</f>
        <v/>
      </c>
      <c r="K425" s="52" t="str">
        <f>IF($J425="","",$J425*N('15_STOCK'!$O425))</f>
        <v/>
      </c>
      <c r="L425" s="41" t="str">
        <f>IF(tblConteo[[#This Row],[Diferencia]]="","",IF(tblConteo[[#This Row],[Diferencia]]=0,"✔ Cuadra",IF(tblConteo[[#This Row],[Diferencia]]&gt;0,"▲ Sobrante","▼ Faltante")))</f>
        <v/>
      </c>
      <c r="M42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6" spans="2:13" x14ac:dyDescent="0.25">
      <c r="B426" s="40" t="str">
        <f>IF('05_PRODUCTOS'!$B426="","",'05_PRODUCTOS'!$B426)</f>
        <v/>
      </c>
      <c r="C426" s="43" t="str">
        <f>IF($B426="","",'05_PRODUCTOS'!$C426)</f>
        <v/>
      </c>
      <c r="D426" s="43" t="str">
        <f>IF($B426="","",'05_PRODUCTOS'!$D426)</f>
        <v/>
      </c>
      <c r="E426" s="40" t="str">
        <f>IF($B426="","",'05_PRODUCTOS'!$J426&amp;"")</f>
        <v/>
      </c>
      <c r="F426" s="40" t="str">
        <f>IF($B426="","",'05_PRODUCTOS'!$E426)</f>
        <v/>
      </c>
      <c r="G426" s="40" t="str">
        <f>IF($B426="","",IF('05_PRODUCTOS'!$K426="NO","NO","SI"))</f>
        <v/>
      </c>
      <c r="H426" s="49" t="str">
        <f>IF($B426="","",N('15_STOCK'!$J426))</f>
        <v/>
      </c>
      <c r="I426" s="39"/>
      <c r="J426" s="48" t="str">
        <f>IF(OR(tblConteo[[#This Row],[SKU]]="",tblConteo[[#This Row],[Conteo]]=""),"",tblConteo[[#This Row],[Conteo]]-tblConteo[[#This Row],[StockSistema]])</f>
        <v/>
      </c>
      <c r="K426" s="52" t="str">
        <f>IF($J426="","",$J426*N('15_STOCK'!$O426))</f>
        <v/>
      </c>
      <c r="L426" s="41" t="str">
        <f>IF(tblConteo[[#This Row],[Diferencia]]="","",IF(tblConteo[[#This Row],[Diferencia]]=0,"✔ Cuadra",IF(tblConteo[[#This Row],[Diferencia]]&gt;0,"▲ Sobrante","▼ Faltante")))</f>
        <v/>
      </c>
      <c r="M42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7" spans="2:13" x14ac:dyDescent="0.25">
      <c r="B427" s="40" t="str">
        <f>IF('05_PRODUCTOS'!$B427="","",'05_PRODUCTOS'!$B427)</f>
        <v/>
      </c>
      <c r="C427" s="43" t="str">
        <f>IF($B427="","",'05_PRODUCTOS'!$C427)</f>
        <v/>
      </c>
      <c r="D427" s="43" t="str">
        <f>IF($B427="","",'05_PRODUCTOS'!$D427)</f>
        <v/>
      </c>
      <c r="E427" s="40" t="str">
        <f>IF($B427="","",'05_PRODUCTOS'!$J427&amp;"")</f>
        <v/>
      </c>
      <c r="F427" s="40" t="str">
        <f>IF($B427="","",'05_PRODUCTOS'!$E427)</f>
        <v/>
      </c>
      <c r="G427" s="40" t="str">
        <f>IF($B427="","",IF('05_PRODUCTOS'!$K427="NO","NO","SI"))</f>
        <v/>
      </c>
      <c r="H427" s="49" t="str">
        <f>IF($B427="","",N('15_STOCK'!$J427))</f>
        <v/>
      </c>
      <c r="I427" s="39"/>
      <c r="J427" s="48" t="str">
        <f>IF(OR(tblConteo[[#This Row],[SKU]]="",tblConteo[[#This Row],[Conteo]]=""),"",tblConteo[[#This Row],[Conteo]]-tblConteo[[#This Row],[StockSistema]])</f>
        <v/>
      </c>
      <c r="K427" s="52" t="str">
        <f>IF($J427="","",$J427*N('15_STOCK'!$O427))</f>
        <v/>
      </c>
      <c r="L427" s="41" t="str">
        <f>IF(tblConteo[[#This Row],[Diferencia]]="","",IF(tblConteo[[#This Row],[Diferencia]]=0,"✔ Cuadra",IF(tblConteo[[#This Row],[Diferencia]]&gt;0,"▲ Sobrante","▼ Faltante")))</f>
        <v/>
      </c>
      <c r="M42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8" spans="2:13" x14ac:dyDescent="0.25">
      <c r="B428" s="40" t="str">
        <f>IF('05_PRODUCTOS'!$B428="","",'05_PRODUCTOS'!$B428)</f>
        <v/>
      </c>
      <c r="C428" s="43" t="str">
        <f>IF($B428="","",'05_PRODUCTOS'!$C428)</f>
        <v/>
      </c>
      <c r="D428" s="43" t="str">
        <f>IF($B428="","",'05_PRODUCTOS'!$D428)</f>
        <v/>
      </c>
      <c r="E428" s="40" t="str">
        <f>IF($B428="","",'05_PRODUCTOS'!$J428&amp;"")</f>
        <v/>
      </c>
      <c r="F428" s="40" t="str">
        <f>IF($B428="","",'05_PRODUCTOS'!$E428)</f>
        <v/>
      </c>
      <c r="G428" s="40" t="str">
        <f>IF($B428="","",IF('05_PRODUCTOS'!$K428="NO","NO","SI"))</f>
        <v/>
      </c>
      <c r="H428" s="49" t="str">
        <f>IF($B428="","",N('15_STOCK'!$J428))</f>
        <v/>
      </c>
      <c r="I428" s="39"/>
      <c r="J428" s="48" t="str">
        <f>IF(OR(tblConteo[[#This Row],[SKU]]="",tblConteo[[#This Row],[Conteo]]=""),"",tblConteo[[#This Row],[Conteo]]-tblConteo[[#This Row],[StockSistema]])</f>
        <v/>
      </c>
      <c r="K428" s="52" t="str">
        <f>IF($J428="","",$J428*N('15_STOCK'!$O428))</f>
        <v/>
      </c>
      <c r="L428" s="41" t="str">
        <f>IF(tblConteo[[#This Row],[Diferencia]]="","",IF(tblConteo[[#This Row],[Diferencia]]=0,"✔ Cuadra",IF(tblConteo[[#This Row],[Diferencia]]&gt;0,"▲ Sobrante","▼ Faltante")))</f>
        <v/>
      </c>
      <c r="M42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29" spans="2:13" x14ac:dyDescent="0.25">
      <c r="B429" s="40" t="str">
        <f>IF('05_PRODUCTOS'!$B429="","",'05_PRODUCTOS'!$B429)</f>
        <v/>
      </c>
      <c r="C429" s="43" t="str">
        <f>IF($B429="","",'05_PRODUCTOS'!$C429)</f>
        <v/>
      </c>
      <c r="D429" s="43" t="str">
        <f>IF($B429="","",'05_PRODUCTOS'!$D429)</f>
        <v/>
      </c>
      <c r="E429" s="40" t="str">
        <f>IF($B429="","",'05_PRODUCTOS'!$J429&amp;"")</f>
        <v/>
      </c>
      <c r="F429" s="40" t="str">
        <f>IF($B429="","",'05_PRODUCTOS'!$E429)</f>
        <v/>
      </c>
      <c r="G429" s="40" t="str">
        <f>IF($B429="","",IF('05_PRODUCTOS'!$K429="NO","NO","SI"))</f>
        <v/>
      </c>
      <c r="H429" s="49" t="str">
        <f>IF($B429="","",N('15_STOCK'!$J429))</f>
        <v/>
      </c>
      <c r="I429" s="39"/>
      <c r="J429" s="48" t="str">
        <f>IF(OR(tblConteo[[#This Row],[SKU]]="",tblConteo[[#This Row],[Conteo]]=""),"",tblConteo[[#This Row],[Conteo]]-tblConteo[[#This Row],[StockSistema]])</f>
        <v/>
      </c>
      <c r="K429" s="52" t="str">
        <f>IF($J429="","",$J429*N('15_STOCK'!$O429))</f>
        <v/>
      </c>
      <c r="L429" s="41" t="str">
        <f>IF(tblConteo[[#This Row],[Diferencia]]="","",IF(tblConteo[[#This Row],[Diferencia]]=0,"✔ Cuadra",IF(tblConteo[[#This Row],[Diferencia]]&gt;0,"▲ Sobrante","▼ Faltante")))</f>
        <v/>
      </c>
      <c r="M42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0" spans="2:13" x14ac:dyDescent="0.25">
      <c r="B430" s="40" t="str">
        <f>IF('05_PRODUCTOS'!$B430="","",'05_PRODUCTOS'!$B430)</f>
        <v/>
      </c>
      <c r="C430" s="43" t="str">
        <f>IF($B430="","",'05_PRODUCTOS'!$C430)</f>
        <v/>
      </c>
      <c r="D430" s="43" t="str">
        <f>IF($B430="","",'05_PRODUCTOS'!$D430)</f>
        <v/>
      </c>
      <c r="E430" s="40" t="str">
        <f>IF($B430="","",'05_PRODUCTOS'!$J430&amp;"")</f>
        <v/>
      </c>
      <c r="F430" s="40" t="str">
        <f>IF($B430="","",'05_PRODUCTOS'!$E430)</f>
        <v/>
      </c>
      <c r="G430" s="40" t="str">
        <f>IF($B430="","",IF('05_PRODUCTOS'!$K430="NO","NO","SI"))</f>
        <v/>
      </c>
      <c r="H430" s="49" t="str">
        <f>IF($B430="","",N('15_STOCK'!$J430))</f>
        <v/>
      </c>
      <c r="I430" s="39"/>
      <c r="J430" s="48" t="str">
        <f>IF(OR(tblConteo[[#This Row],[SKU]]="",tblConteo[[#This Row],[Conteo]]=""),"",tblConteo[[#This Row],[Conteo]]-tblConteo[[#This Row],[StockSistema]])</f>
        <v/>
      </c>
      <c r="K430" s="52" t="str">
        <f>IF($J430="","",$J430*N('15_STOCK'!$O430))</f>
        <v/>
      </c>
      <c r="L430" s="41" t="str">
        <f>IF(tblConteo[[#This Row],[Diferencia]]="","",IF(tblConteo[[#This Row],[Diferencia]]=0,"✔ Cuadra",IF(tblConteo[[#This Row],[Diferencia]]&gt;0,"▲ Sobrante","▼ Faltante")))</f>
        <v/>
      </c>
      <c r="M43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1" spans="2:13" x14ac:dyDescent="0.25">
      <c r="B431" s="40" t="str">
        <f>IF('05_PRODUCTOS'!$B431="","",'05_PRODUCTOS'!$B431)</f>
        <v/>
      </c>
      <c r="C431" s="43" t="str">
        <f>IF($B431="","",'05_PRODUCTOS'!$C431)</f>
        <v/>
      </c>
      <c r="D431" s="43" t="str">
        <f>IF($B431="","",'05_PRODUCTOS'!$D431)</f>
        <v/>
      </c>
      <c r="E431" s="40" t="str">
        <f>IF($B431="","",'05_PRODUCTOS'!$J431&amp;"")</f>
        <v/>
      </c>
      <c r="F431" s="40" t="str">
        <f>IF($B431="","",'05_PRODUCTOS'!$E431)</f>
        <v/>
      </c>
      <c r="G431" s="40" t="str">
        <f>IF($B431="","",IF('05_PRODUCTOS'!$K431="NO","NO","SI"))</f>
        <v/>
      </c>
      <c r="H431" s="49" t="str">
        <f>IF($B431="","",N('15_STOCK'!$J431))</f>
        <v/>
      </c>
      <c r="I431" s="39"/>
      <c r="J431" s="48" t="str">
        <f>IF(OR(tblConteo[[#This Row],[SKU]]="",tblConteo[[#This Row],[Conteo]]=""),"",tblConteo[[#This Row],[Conteo]]-tblConteo[[#This Row],[StockSistema]])</f>
        <v/>
      </c>
      <c r="K431" s="52" t="str">
        <f>IF($J431="","",$J431*N('15_STOCK'!$O431))</f>
        <v/>
      </c>
      <c r="L431" s="41" t="str">
        <f>IF(tblConteo[[#This Row],[Diferencia]]="","",IF(tblConteo[[#This Row],[Diferencia]]=0,"✔ Cuadra",IF(tblConteo[[#This Row],[Diferencia]]&gt;0,"▲ Sobrante","▼ Faltante")))</f>
        <v/>
      </c>
      <c r="M43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2" spans="2:13" x14ac:dyDescent="0.25">
      <c r="B432" s="40" t="str">
        <f>IF('05_PRODUCTOS'!$B432="","",'05_PRODUCTOS'!$B432)</f>
        <v/>
      </c>
      <c r="C432" s="43" t="str">
        <f>IF($B432="","",'05_PRODUCTOS'!$C432)</f>
        <v/>
      </c>
      <c r="D432" s="43" t="str">
        <f>IF($B432="","",'05_PRODUCTOS'!$D432)</f>
        <v/>
      </c>
      <c r="E432" s="40" t="str">
        <f>IF($B432="","",'05_PRODUCTOS'!$J432&amp;"")</f>
        <v/>
      </c>
      <c r="F432" s="40" t="str">
        <f>IF($B432="","",'05_PRODUCTOS'!$E432)</f>
        <v/>
      </c>
      <c r="G432" s="40" t="str">
        <f>IF($B432="","",IF('05_PRODUCTOS'!$K432="NO","NO","SI"))</f>
        <v/>
      </c>
      <c r="H432" s="49" t="str">
        <f>IF($B432="","",N('15_STOCK'!$J432))</f>
        <v/>
      </c>
      <c r="I432" s="39"/>
      <c r="J432" s="48" t="str">
        <f>IF(OR(tblConteo[[#This Row],[SKU]]="",tblConteo[[#This Row],[Conteo]]=""),"",tblConteo[[#This Row],[Conteo]]-tblConteo[[#This Row],[StockSistema]])</f>
        <v/>
      </c>
      <c r="K432" s="52" t="str">
        <f>IF($J432="","",$J432*N('15_STOCK'!$O432))</f>
        <v/>
      </c>
      <c r="L432" s="41" t="str">
        <f>IF(tblConteo[[#This Row],[Diferencia]]="","",IF(tblConteo[[#This Row],[Diferencia]]=0,"✔ Cuadra",IF(tblConteo[[#This Row],[Diferencia]]&gt;0,"▲ Sobrante","▼ Faltante")))</f>
        <v/>
      </c>
      <c r="M43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3" spans="2:13" x14ac:dyDescent="0.25">
      <c r="B433" s="40" t="str">
        <f>IF('05_PRODUCTOS'!$B433="","",'05_PRODUCTOS'!$B433)</f>
        <v/>
      </c>
      <c r="C433" s="43" t="str">
        <f>IF($B433="","",'05_PRODUCTOS'!$C433)</f>
        <v/>
      </c>
      <c r="D433" s="43" t="str">
        <f>IF($B433="","",'05_PRODUCTOS'!$D433)</f>
        <v/>
      </c>
      <c r="E433" s="40" t="str">
        <f>IF($B433="","",'05_PRODUCTOS'!$J433&amp;"")</f>
        <v/>
      </c>
      <c r="F433" s="40" t="str">
        <f>IF($B433="","",'05_PRODUCTOS'!$E433)</f>
        <v/>
      </c>
      <c r="G433" s="40" t="str">
        <f>IF($B433="","",IF('05_PRODUCTOS'!$K433="NO","NO","SI"))</f>
        <v/>
      </c>
      <c r="H433" s="49" t="str">
        <f>IF($B433="","",N('15_STOCK'!$J433))</f>
        <v/>
      </c>
      <c r="I433" s="39"/>
      <c r="J433" s="48" t="str">
        <f>IF(OR(tblConteo[[#This Row],[SKU]]="",tblConteo[[#This Row],[Conteo]]=""),"",tblConteo[[#This Row],[Conteo]]-tblConteo[[#This Row],[StockSistema]])</f>
        <v/>
      </c>
      <c r="K433" s="52" t="str">
        <f>IF($J433="","",$J433*N('15_STOCK'!$O433))</f>
        <v/>
      </c>
      <c r="L433" s="41" t="str">
        <f>IF(tblConteo[[#This Row],[Diferencia]]="","",IF(tblConteo[[#This Row],[Diferencia]]=0,"✔ Cuadra",IF(tblConteo[[#This Row],[Diferencia]]&gt;0,"▲ Sobrante","▼ Faltante")))</f>
        <v/>
      </c>
      <c r="M43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4" spans="2:13" x14ac:dyDescent="0.25">
      <c r="B434" s="40" t="str">
        <f>IF('05_PRODUCTOS'!$B434="","",'05_PRODUCTOS'!$B434)</f>
        <v/>
      </c>
      <c r="C434" s="43" t="str">
        <f>IF($B434="","",'05_PRODUCTOS'!$C434)</f>
        <v/>
      </c>
      <c r="D434" s="43" t="str">
        <f>IF($B434="","",'05_PRODUCTOS'!$D434)</f>
        <v/>
      </c>
      <c r="E434" s="40" t="str">
        <f>IF($B434="","",'05_PRODUCTOS'!$J434&amp;"")</f>
        <v/>
      </c>
      <c r="F434" s="40" t="str">
        <f>IF($B434="","",'05_PRODUCTOS'!$E434)</f>
        <v/>
      </c>
      <c r="G434" s="40" t="str">
        <f>IF($B434="","",IF('05_PRODUCTOS'!$K434="NO","NO","SI"))</f>
        <v/>
      </c>
      <c r="H434" s="49" t="str">
        <f>IF($B434="","",N('15_STOCK'!$J434))</f>
        <v/>
      </c>
      <c r="I434" s="39"/>
      <c r="J434" s="48" t="str">
        <f>IF(OR(tblConteo[[#This Row],[SKU]]="",tblConteo[[#This Row],[Conteo]]=""),"",tblConteo[[#This Row],[Conteo]]-tblConteo[[#This Row],[StockSistema]])</f>
        <v/>
      </c>
      <c r="K434" s="52" t="str">
        <f>IF($J434="","",$J434*N('15_STOCK'!$O434))</f>
        <v/>
      </c>
      <c r="L434" s="41" t="str">
        <f>IF(tblConteo[[#This Row],[Diferencia]]="","",IF(tblConteo[[#This Row],[Diferencia]]=0,"✔ Cuadra",IF(tblConteo[[#This Row],[Diferencia]]&gt;0,"▲ Sobrante","▼ Faltante")))</f>
        <v/>
      </c>
      <c r="M43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5" spans="2:13" x14ac:dyDescent="0.25">
      <c r="B435" s="40" t="str">
        <f>IF('05_PRODUCTOS'!$B435="","",'05_PRODUCTOS'!$B435)</f>
        <v/>
      </c>
      <c r="C435" s="43" t="str">
        <f>IF($B435="","",'05_PRODUCTOS'!$C435)</f>
        <v/>
      </c>
      <c r="D435" s="43" t="str">
        <f>IF($B435="","",'05_PRODUCTOS'!$D435)</f>
        <v/>
      </c>
      <c r="E435" s="40" t="str">
        <f>IF($B435="","",'05_PRODUCTOS'!$J435&amp;"")</f>
        <v/>
      </c>
      <c r="F435" s="40" t="str">
        <f>IF($B435="","",'05_PRODUCTOS'!$E435)</f>
        <v/>
      </c>
      <c r="G435" s="40" t="str">
        <f>IF($B435="","",IF('05_PRODUCTOS'!$K435="NO","NO","SI"))</f>
        <v/>
      </c>
      <c r="H435" s="49" t="str">
        <f>IF($B435="","",N('15_STOCK'!$J435))</f>
        <v/>
      </c>
      <c r="I435" s="39"/>
      <c r="J435" s="48" t="str">
        <f>IF(OR(tblConteo[[#This Row],[SKU]]="",tblConteo[[#This Row],[Conteo]]=""),"",tblConteo[[#This Row],[Conteo]]-tblConteo[[#This Row],[StockSistema]])</f>
        <v/>
      </c>
      <c r="K435" s="52" t="str">
        <f>IF($J435="","",$J435*N('15_STOCK'!$O435))</f>
        <v/>
      </c>
      <c r="L435" s="41" t="str">
        <f>IF(tblConteo[[#This Row],[Diferencia]]="","",IF(tblConteo[[#This Row],[Diferencia]]=0,"✔ Cuadra",IF(tblConteo[[#This Row],[Diferencia]]&gt;0,"▲ Sobrante","▼ Faltante")))</f>
        <v/>
      </c>
      <c r="M43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6" spans="2:13" x14ac:dyDescent="0.25">
      <c r="B436" s="40" t="str">
        <f>IF('05_PRODUCTOS'!$B436="","",'05_PRODUCTOS'!$B436)</f>
        <v/>
      </c>
      <c r="C436" s="43" t="str">
        <f>IF($B436="","",'05_PRODUCTOS'!$C436)</f>
        <v/>
      </c>
      <c r="D436" s="43" t="str">
        <f>IF($B436="","",'05_PRODUCTOS'!$D436)</f>
        <v/>
      </c>
      <c r="E436" s="40" t="str">
        <f>IF($B436="","",'05_PRODUCTOS'!$J436&amp;"")</f>
        <v/>
      </c>
      <c r="F436" s="40" t="str">
        <f>IF($B436="","",'05_PRODUCTOS'!$E436)</f>
        <v/>
      </c>
      <c r="G436" s="40" t="str">
        <f>IF($B436="","",IF('05_PRODUCTOS'!$K436="NO","NO","SI"))</f>
        <v/>
      </c>
      <c r="H436" s="49" t="str">
        <f>IF($B436="","",N('15_STOCK'!$J436))</f>
        <v/>
      </c>
      <c r="I436" s="39"/>
      <c r="J436" s="48" t="str">
        <f>IF(OR(tblConteo[[#This Row],[SKU]]="",tblConteo[[#This Row],[Conteo]]=""),"",tblConteo[[#This Row],[Conteo]]-tblConteo[[#This Row],[StockSistema]])</f>
        <v/>
      </c>
      <c r="K436" s="52" t="str">
        <f>IF($J436="","",$J436*N('15_STOCK'!$O436))</f>
        <v/>
      </c>
      <c r="L436" s="41" t="str">
        <f>IF(tblConteo[[#This Row],[Diferencia]]="","",IF(tblConteo[[#This Row],[Diferencia]]=0,"✔ Cuadra",IF(tblConteo[[#This Row],[Diferencia]]&gt;0,"▲ Sobrante","▼ Faltante")))</f>
        <v/>
      </c>
      <c r="M43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7" spans="2:13" x14ac:dyDescent="0.25">
      <c r="B437" s="40" t="str">
        <f>IF('05_PRODUCTOS'!$B437="","",'05_PRODUCTOS'!$B437)</f>
        <v/>
      </c>
      <c r="C437" s="43" t="str">
        <f>IF($B437="","",'05_PRODUCTOS'!$C437)</f>
        <v/>
      </c>
      <c r="D437" s="43" t="str">
        <f>IF($B437="","",'05_PRODUCTOS'!$D437)</f>
        <v/>
      </c>
      <c r="E437" s="40" t="str">
        <f>IF($B437="","",'05_PRODUCTOS'!$J437&amp;"")</f>
        <v/>
      </c>
      <c r="F437" s="40" t="str">
        <f>IF($B437="","",'05_PRODUCTOS'!$E437)</f>
        <v/>
      </c>
      <c r="G437" s="40" t="str">
        <f>IF($B437="","",IF('05_PRODUCTOS'!$K437="NO","NO","SI"))</f>
        <v/>
      </c>
      <c r="H437" s="49" t="str">
        <f>IF($B437="","",N('15_STOCK'!$J437))</f>
        <v/>
      </c>
      <c r="I437" s="39"/>
      <c r="J437" s="48" t="str">
        <f>IF(OR(tblConteo[[#This Row],[SKU]]="",tblConteo[[#This Row],[Conteo]]=""),"",tblConteo[[#This Row],[Conteo]]-tblConteo[[#This Row],[StockSistema]])</f>
        <v/>
      </c>
      <c r="K437" s="52" t="str">
        <f>IF($J437="","",$J437*N('15_STOCK'!$O437))</f>
        <v/>
      </c>
      <c r="L437" s="41" t="str">
        <f>IF(tblConteo[[#This Row],[Diferencia]]="","",IF(tblConteo[[#This Row],[Diferencia]]=0,"✔ Cuadra",IF(tblConteo[[#This Row],[Diferencia]]&gt;0,"▲ Sobrante","▼ Faltante")))</f>
        <v/>
      </c>
      <c r="M43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8" spans="2:13" x14ac:dyDescent="0.25">
      <c r="B438" s="40" t="str">
        <f>IF('05_PRODUCTOS'!$B438="","",'05_PRODUCTOS'!$B438)</f>
        <v/>
      </c>
      <c r="C438" s="43" t="str">
        <f>IF($B438="","",'05_PRODUCTOS'!$C438)</f>
        <v/>
      </c>
      <c r="D438" s="43" t="str">
        <f>IF($B438="","",'05_PRODUCTOS'!$D438)</f>
        <v/>
      </c>
      <c r="E438" s="40" t="str">
        <f>IF($B438="","",'05_PRODUCTOS'!$J438&amp;"")</f>
        <v/>
      </c>
      <c r="F438" s="40" t="str">
        <f>IF($B438="","",'05_PRODUCTOS'!$E438)</f>
        <v/>
      </c>
      <c r="G438" s="40" t="str">
        <f>IF($B438="","",IF('05_PRODUCTOS'!$K438="NO","NO","SI"))</f>
        <v/>
      </c>
      <c r="H438" s="49" t="str">
        <f>IF($B438="","",N('15_STOCK'!$J438))</f>
        <v/>
      </c>
      <c r="I438" s="39"/>
      <c r="J438" s="48" t="str">
        <f>IF(OR(tblConteo[[#This Row],[SKU]]="",tblConteo[[#This Row],[Conteo]]=""),"",tblConteo[[#This Row],[Conteo]]-tblConteo[[#This Row],[StockSistema]])</f>
        <v/>
      </c>
      <c r="K438" s="52" t="str">
        <f>IF($J438="","",$J438*N('15_STOCK'!$O438))</f>
        <v/>
      </c>
      <c r="L438" s="41" t="str">
        <f>IF(tblConteo[[#This Row],[Diferencia]]="","",IF(tblConteo[[#This Row],[Diferencia]]=0,"✔ Cuadra",IF(tblConteo[[#This Row],[Diferencia]]&gt;0,"▲ Sobrante","▼ Faltante")))</f>
        <v/>
      </c>
      <c r="M43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39" spans="2:13" x14ac:dyDescent="0.25">
      <c r="B439" s="40" t="str">
        <f>IF('05_PRODUCTOS'!$B439="","",'05_PRODUCTOS'!$B439)</f>
        <v/>
      </c>
      <c r="C439" s="43" t="str">
        <f>IF($B439="","",'05_PRODUCTOS'!$C439)</f>
        <v/>
      </c>
      <c r="D439" s="43" t="str">
        <f>IF($B439="","",'05_PRODUCTOS'!$D439)</f>
        <v/>
      </c>
      <c r="E439" s="40" t="str">
        <f>IF($B439="","",'05_PRODUCTOS'!$J439&amp;"")</f>
        <v/>
      </c>
      <c r="F439" s="40" t="str">
        <f>IF($B439="","",'05_PRODUCTOS'!$E439)</f>
        <v/>
      </c>
      <c r="G439" s="40" t="str">
        <f>IF($B439="","",IF('05_PRODUCTOS'!$K439="NO","NO","SI"))</f>
        <v/>
      </c>
      <c r="H439" s="49" t="str">
        <f>IF($B439="","",N('15_STOCK'!$J439))</f>
        <v/>
      </c>
      <c r="I439" s="39"/>
      <c r="J439" s="48" t="str">
        <f>IF(OR(tblConteo[[#This Row],[SKU]]="",tblConteo[[#This Row],[Conteo]]=""),"",tblConteo[[#This Row],[Conteo]]-tblConteo[[#This Row],[StockSistema]])</f>
        <v/>
      </c>
      <c r="K439" s="52" t="str">
        <f>IF($J439="","",$J439*N('15_STOCK'!$O439))</f>
        <v/>
      </c>
      <c r="L439" s="41" t="str">
        <f>IF(tblConteo[[#This Row],[Diferencia]]="","",IF(tblConteo[[#This Row],[Diferencia]]=0,"✔ Cuadra",IF(tblConteo[[#This Row],[Diferencia]]&gt;0,"▲ Sobrante","▼ Faltante")))</f>
        <v/>
      </c>
      <c r="M43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0" spans="2:13" x14ac:dyDescent="0.25">
      <c r="B440" s="40" t="str">
        <f>IF('05_PRODUCTOS'!$B440="","",'05_PRODUCTOS'!$B440)</f>
        <v/>
      </c>
      <c r="C440" s="43" t="str">
        <f>IF($B440="","",'05_PRODUCTOS'!$C440)</f>
        <v/>
      </c>
      <c r="D440" s="43" t="str">
        <f>IF($B440="","",'05_PRODUCTOS'!$D440)</f>
        <v/>
      </c>
      <c r="E440" s="40" t="str">
        <f>IF($B440="","",'05_PRODUCTOS'!$J440&amp;"")</f>
        <v/>
      </c>
      <c r="F440" s="40" t="str">
        <f>IF($B440="","",'05_PRODUCTOS'!$E440)</f>
        <v/>
      </c>
      <c r="G440" s="40" t="str">
        <f>IF($B440="","",IF('05_PRODUCTOS'!$K440="NO","NO","SI"))</f>
        <v/>
      </c>
      <c r="H440" s="49" t="str">
        <f>IF($B440="","",N('15_STOCK'!$J440))</f>
        <v/>
      </c>
      <c r="I440" s="39"/>
      <c r="J440" s="48" t="str">
        <f>IF(OR(tblConteo[[#This Row],[SKU]]="",tblConteo[[#This Row],[Conteo]]=""),"",tblConteo[[#This Row],[Conteo]]-tblConteo[[#This Row],[StockSistema]])</f>
        <v/>
      </c>
      <c r="K440" s="52" t="str">
        <f>IF($J440="","",$J440*N('15_STOCK'!$O440))</f>
        <v/>
      </c>
      <c r="L440" s="41" t="str">
        <f>IF(tblConteo[[#This Row],[Diferencia]]="","",IF(tblConteo[[#This Row],[Diferencia]]=0,"✔ Cuadra",IF(tblConteo[[#This Row],[Diferencia]]&gt;0,"▲ Sobrante","▼ Faltante")))</f>
        <v/>
      </c>
      <c r="M44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1" spans="2:13" x14ac:dyDescent="0.25">
      <c r="B441" s="40" t="str">
        <f>IF('05_PRODUCTOS'!$B441="","",'05_PRODUCTOS'!$B441)</f>
        <v/>
      </c>
      <c r="C441" s="43" t="str">
        <f>IF($B441="","",'05_PRODUCTOS'!$C441)</f>
        <v/>
      </c>
      <c r="D441" s="43" t="str">
        <f>IF($B441="","",'05_PRODUCTOS'!$D441)</f>
        <v/>
      </c>
      <c r="E441" s="40" t="str">
        <f>IF($B441="","",'05_PRODUCTOS'!$J441&amp;"")</f>
        <v/>
      </c>
      <c r="F441" s="40" t="str">
        <f>IF($B441="","",'05_PRODUCTOS'!$E441)</f>
        <v/>
      </c>
      <c r="G441" s="40" t="str">
        <f>IF($B441="","",IF('05_PRODUCTOS'!$K441="NO","NO","SI"))</f>
        <v/>
      </c>
      <c r="H441" s="49" t="str">
        <f>IF($B441="","",N('15_STOCK'!$J441))</f>
        <v/>
      </c>
      <c r="I441" s="39"/>
      <c r="J441" s="48" t="str">
        <f>IF(OR(tblConteo[[#This Row],[SKU]]="",tblConteo[[#This Row],[Conteo]]=""),"",tblConteo[[#This Row],[Conteo]]-tblConteo[[#This Row],[StockSistema]])</f>
        <v/>
      </c>
      <c r="K441" s="52" t="str">
        <f>IF($J441="","",$J441*N('15_STOCK'!$O441))</f>
        <v/>
      </c>
      <c r="L441" s="41" t="str">
        <f>IF(tblConteo[[#This Row],[Diferencia]]="","",IF(tblConteo[[#This Row],[Diferencia]]=0,"✔ Cuadra",IF(tblConteo[[#This Row],[Diferencia]]&gt;0,"▲ Sobrante","▼ Faltante")))</f>
        <v/>
      </c>
      <c r="M44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2" spans="2:13" x14ac:dyDescent="0.25">
      <c r="B442" s="40" t="str">
        <f>IF('05_PRODUCTOS'!$B442="","",'05_PRODUCTOS'!$B442)</f>
        <v/>
      </c>
      <c r="C442" s="43" t="str">
        <f>IF($B442="","",'05_PRODUCTOS'!$C442)</f>
        <v/>
      </c>
      <c r="D442" s="43" t="str">
        <f>IF($B442="","",'05_PRODUCTOS'!$D442)</f>
        <v/>
      </c>
      <c r="E442" s="40" t="str">
        <f>IF($B442="","",'05_PRODUCTOS'!$J442&amp;"")</f>
        <v/>
      </c>
      <c r="F442" s="40" t="str">
        <f>IF($B442="","",'05_PRODUCTOS'!$E442)</f>
        <v/>
      </c>
      <c r="G442" s="40" t="str">
        <f>IF($B442="","",IF('05_PRODUCTOS'!$K442="NO","NO","SI"))</f>
        <v/>
      </c>
      <c r="H442" s="49" t="str">
        <f>IF($B442="","",N('15_STOCK'!$J442))</f>
        <v/>
      </c>
      <c r="I442" s="39"/>
      <c r="J442" s="48" t="str">
        <f>IF(OR(tblConteo[[#This Row],[SKU]]="",tblConteo[[#This Row],[Conteo]]=""),"",tblConteo[[#This Row],[Conteo]]-tblConteo[[#This Row],[StockSistema]])</f>
        <v/>
      </c>
      <c r="K442" s="52" t="str">
        <f>IF($J442="","",$J442*N('15_STOCK'!$O442))</f>
        <v/>
      </c>
      <c r="L442" s="41" t="str">
        <f>IF(tblConteo[[#This Row],[Diferencia]]="","",IF(tblConteo[[#This Row],[Diferencia]]=0,"✔ Cuadra",IF(tblConteo[[#This Row],[Diferencia]]&gt;0,"▲ Sobrante","▼ Faltante")))</f>
        <v/>
      </c>
      <c r="M44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3" spans="2:13" x14ac:dyDescent="0.25">
      <c r="B443" s="40" t="str">
        <f>IF('05_PRODUCTOS'!$B443="","",'05_PRODUCTOS'!$B443)</f>
        <v/>
      </c>
      <c r="C443" s="43" t="str">
        <f>IF($B443="","",'05_PRODUCTOS'!$C443)</f>
        <v/>
      </c>
      <c r="D443" s="43" t="str">
        <f>IF($B443="","",'05_PRODUCTOS'!$D443)</f>
        <v/>
      </c>
      <c r="E443" s="40" t="str">
        <f>IF($B443="","",'05_PRODUCTOS'!$J443&amp;"")</f>
        <v/>
      </c>
      <c r="F443" s="40" t="str">
        <f>IF($B443="","",'05_PRODUCTOS'!$E443)</f>
        <v/>
      </c>
      <c r="G443" s="40" t="str">
        <f>IF($B443="","",IF('05_PRODUCTOS'!$K443="NO","NO","SI"))</f>
        <v/>
      </c>
      <c r="H443" s="49" t="str">
        <f>IF($B443="","",N('15_STOCK'!$J443))</f>
        <v/>
      </c>
      <c r="I443" s="39"/>
      <c r="J443" s="48" t="str">
        <f>IF(OR(tblConteo[[#This Row],[SKU]]="",tblConteo[[#This Row],[Conteo]]=""),"",tblConteo[[#This Row],[Conteo]]-tblConteo[[#This Row],[StockSistema]])</f>
        <v/>
      </c>
      <c r="K443" s="52" t="str">
        <f>IF($J443="","",$J443*N('15_STOCK'!$O443))</f>
        <v/>
      </c>
      <c r="L443" s="41" t="str">
        <f>IF(tblConteo[[#This Row],[Diferencia]]="","",IF(tblConteo[[#This Row],[Diferencia]]=0,"✔ Cuadra",IF(tblConteo[[#This Row],[Diferencia]]&gt;0,"▲ Sobrante","▼ Faltante")))</f>
        <v/>
      </c>
      <c r="M44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4" spans="2:13" x14ac:dyDescent="0.25">
      <c r="B444" s="40" t="str">
        <f>IF('05_PRODUCTOS'!$B444="","",'05_PRODUCTOS'!$B444)</f>
        <v/>
      </c>
      <c r="C444" s="43" t="str">
        <f>IF($B444="","",'05_PRODUCTOS'!$C444)</f>
        <v/>
      </c>
      <c r="D444" s="43" t="str">
        <f>IF($B444="","",'05_PRODUCTOS'!$D444)</f>
        <v/>
      </c>
      <c r="E444" s="40" t="str">
        <f>IF($B444="","",'05_PRODUCTOS'!$J444&amp;"")</f>
        <v/>
      </c>
      <c r="F444" s="40" t="str">
        <f>IF($B444="","",'05_PRODUCTOS'!$E444)</f>
        <v/>
      </c>
      <c r="G444" s="40" t="str">
        <f>IF($B444="","",IF('05_PRODUCTOS'!$K444="NO","NO","SI"))</f>
        <v/>
      </c>
      <c r="H444" s="49" t="str">
        <f>IF($B444="","",N('15_STOCK'!$J444))</f>
        <v/>
      </c>
      <c r="I444" s="39"/>
      <c r="J444" s="48" t="str">
        <f>IF(OR(tblConteo[[#This Row],[SKU]]="",tblConteo[[#This Row],[Conteo]]=""),"",tblConteo[[#This Row],[Conteo]]-tblConteo[[#This Row],[StockSistema]])</f>
        <v/>
      </c>
      <c r="K444" s="52" t="str">
        <f>IF($J444="","",$J444*N('15_STOCK'!$O444))</f>
        <v/>
      </c>
      <c r="L444" s="41" t="str">
        <f>IF(tblConteo[[#This Row],[Diferencia]]="","",IF(tblConteo[[#This Row],[Diferencia]]=0,"✔ Cuadra",IF(tblConteo[[#This Row],[Diferencia]]&gt;0,"▲ Sobrante","▼ Faltante")))</f>
        <v/>
      </c>
      <c r="M44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5" spans="2:13" x14ac:dyDescent="0.25">
      <c r="B445" s="40" t="str">
        <f>IF('05_PRODUCTOS'!$B445="","",'05_PRODUCTOS'!$B445)</f>
        <v/>
      </c>
      <c r="C445" s="43" t="str">
        <f>IF($B445="","",'05_PRODUCTOS'!$C445)</f>
        <v/>
      </c>
      <c r="D445" s="43" t="str">
        <f>IF($B445="","",'05_PRODUCTOS'!$D445)</f>
        <v/>
      </c>
      <c r="E445" s="40" t="str">
        <f>IF($B445="","",'05_PRODUCTOS'!$J445&amp;"")</f>
        <v/>
      </c>
      <c r="F445" s="40" t="str">
        <f>IF($B445="","",'05_PRODUCTOS'!$E445)</f>
        <v/>
      </c>
      <c r="G445" s="40" t="str">
        <f>IF($B445="","",IF('05_PRODUCTOS'!$K445="NO","NO","SI"))</f>
        <v/>
      </c>
      <c r="H445" s="49" t="str">
        <f>IF($B445="","",N('15_STOCK'!$J445))</f>
        <v/>
      </c>
      <c r="I445" s="39"/>
      <c r="J445" s="48" t="str">
        <f>IF(OR(tblConteo[[#This Row],[SKU]]="",tblConteo[[#This Row],[Conteo]]=""),"",tblConteo[[#This Row],[Conteo]]-tblConteo[[#This Row],[StockSistema]])</f>
        <v/>
      </c>
      <c r="K445" s="52" t="str">
        <f>IF($J445="","",$J445*N('15_STOCK'!$O445))</f>
        <v/>
      </c>
      <c r="L445" s="41" t="str">
        <f>IF(tblConteo[[#This Row],[Diferencia]]="","",IF(tblConteo[[#This Row],[Diferencia]]=0,"✔ Cuadra",IF(tblConteo[[#This Row],[Diferencia]]&gt;0,"▲ Sobrante","▼ Faltante")))</f>
        <v/>
      </c>
      <c r="M44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6" spans="2:13" x14ac:dyDescent="0.25">
      <c r="B446" s="40" t="str">
        <f>IF('05_PRODUCTOS'!$B446="","",'05_PRODUCTOS'!$B446)</f>
        <v/>
      </c>
      <c r="C446" s="43" t="str">
        <f>IF($B446="","",'05_PRODUCTOS'!$C446)</f>
        <v/>
      </c>
      <c r="D446" s="43" t="str">
        <f>IF($B446="","",'05_PRODUCTOS'!$D446)</f>
        <v/>
      </c>
      <c r="E446" s="40" t="str">
        <f>IF($B446="","",'05_PRODUCTOS'!$J446&amp;"")</f>
        <v/>
      </c>
      <c r="F446" s="40" t="str">
        <f>IF($B446="","",'05_PRODUCTOS'!$E446)</f>
        <v/>
      </c>
      <c r="G446" s="40" t="str">
        <f>IF($B446="","",IF('05_PRODUCTOS'!$K446="NO","NO","SI"))</f>
        <v/>
      </c>
      <c r="H446" s="49" t="str">
        <f>IF($B446="","",N('15_STOCK'!$J446))</f>
        <v/>
      </c>
      <c r="I446" s="39"/>
      <c r="J446" s="48" t="str">
        <f>IF(OR(tblConteo[[#This Row],[SKU]]="",tblConteo[[#This Row],[Conteo]]=""),"",tblConteo[[#This Row],[Conteo]]-tblConteo[[#This Row],[StockSistema]])</f>
        <v/>
      </c>
      <c r="K446" s="52" t="str">
        <f>IF($J446="","",$J446*N('15_STOCK'!$O446))</f>
        <v/>
      </c>
      <c r="L446" s="41" t="str">
        <f>IF(tblConteo[[#This Row],[Diferencia]]="","",IF(tblConteo[[#This Row],[Diferencia]]=0,"✔ Cuadra",IF(tblConteo[[#This Row],[Diferencia]]&gt;0,"▲ Sobrante","▼ Faltante")))</f>
        <v/>
      </c>
      <c r="M44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7" spans="2:13" x14ac:dyDescent="0.25">
      <c r="B447" s="40" t="str">
        <f>IF('05_PRODUCTOS'!$B447="","",'05_PRODUCTOS'!$B447)</f>
        <v/>
      </c>
      <c r="C447" s="43" t="str">
        <f>IF($B447="","",'05_PRODUCTOS'!$C447)</f>
        <v/>
      </c>
      <c r="D447" s="43" t="str">
        <f>IF($B447="","",'05_PRODUCTOS'!$D447)</f>
        <v/>
      </c>
      <c r="E447" s="40" t="str">
        <f>IF($B447="","",'05_PRODUCTOS'!$J447&amp;"")</f>
        <v/>
      </c>
      <c r="F447" s="40" t="str">
        <f>IF($B447="","",'05_PRODUCTOS'!$E447)</f>
        <v/>
      </c>
      <c r="G447" s="40" t="str">
        <f>IF($B447="","",IF('05_PRODUCTOS'!$K447="NO","NO","SI"))</f>
        <v/>
      </c>
      <c r="H447" s="49" t="str">
        <f>IF($B447="","",N('15_STOCK'!$J447))</f>
        <v/>
      </c>
      <c r="I447" s="39"/>
      <c r="J447" s="48" t="str">
        <f>IF(OR(tblConteo[[#This Row],[SKU]]="",tblConteo[[#This Row],[Conteo]]=""),"",tblConteo[[#This Row],[Conteo]]-tblConteo[[#This Row],[StockSistema]])</f>
        <v/>
      </c>
      <c r="K447" s="52" t="str">
        <f>IF($J447="","",$J447*N('15_STOCK'!$O447))</f>
        <v/>
      </c>
      <c r="L447" s="41" t="str">
        <f>IF(tblConteo[[#This Row],[Diferencia]]="","",IF(tblConteo[[#This Row],[Diferencia]]=0,"✔ Cuadra",IF(tblConteo[[#This Row],[Diferencia]]&gt;0,"▲ Sobrante","▼ Faltante")))</f>
        <v/>
      </c>
      <c r="M44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8" spans="2:13" x14ac:dyDescent="0.25">
      <c r="B448" s="40" t="str">
        <f>IF('05_PRODUCTOS'!$B448="","",'05_PRODUCTOS'!$B448)</f>
        <v/>
      </c>
      <c r="C448" s="43" t="str">
        <f>IF($B448="","",'05_PRODUCTOS'!$C448)</f>
        <v/>
      </c>
      <c r="D448" s="43" t="str">
        <f>IF($B448="","",'05_PRODUCTOS'!$D448)</f>
        <v/>
      </c>
      <c r="E448" s="40" t="str">
        <f>IF($B448="","",'05_PRODUCTOS'!$J448&amp;"")</f>
        <v/>
      </c>
      <c r="F448" s="40" t="str">
        <f>IF($B448="","",'05_PRODUCTOS'!$E448)</f>
        <v/>
      </c>
      <c r="G448" s="40" t="str">
        <f>IF($B448="","",IF('05_PRODUCTOS'!$K448="NO","NO","SI"))</f>
        <v/>
      </c>
      <c r="H448" s="49" t="str">
        <f>IF($B448="","",N('15_STOCK'!$J448))</f>
        <v/>
      </c>
      <c r="I448" s="39"/>
      <c r="J448" s="48" t="str">
        <f>IF(OR(tblConteo[[#This Row],[SKU]]="",tblConteo[[#This Row],[Conteo]]=""),"",tblConteo[[#This Row],[Conteo]]-tblConteo[[#This Row],[StockSistema]])</f>
        <v/>
      </c>
      <c r="K448" s="52" t="str">
        <f>IF($J448="","",$J448*N('15_STOCK'!$O448))</f>
        <v/>
      </c>
      <c r="L448" s="41" t="str">
        <f>IF(tblConteo[[#This Row],[Diferencia]]="","",IF(tblConteo[[#This Row],[Diferencia]]=0,"✔ Cuadra",IF(tblConteo[[#This Row],[Diferencia]]&gt;0,"▲ Sobrante","▼ Faltante")))</f>
        <v/>
      </c>
      <c r="M44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49" spans="2:13" x14ac:dyDescent="0.25">
      <c r="B449" s="40" t="str">
        <f>IF('05_PRODUCTOS'!$B449="","",'05_PRODUCTOS'!$B449)</f>
        <v/>
      </c>
      <c r="C449" s="43" t="str">
        <f>IF($B449="","",'05_PRODUCTOS'!$C449)</f>
        <v/>
      </c>
      <c r="D449" s="43" t="str">
        <f>IF($B449="","",'05_PRODUCTOS'!$D449)</f>
        <v/>
      </c>
      <c r="E449" s="40" t="str">
        <f>IF($B449="","",'05_PRODUCTOS'!$J449&amp;"")</f>
        <v/>
      </c>
      <c r="F449" s="40" t="str">
        <f>IF($B449="","",'05_PRODUCTOS'!$E449)</f>
        <v/>
      </c>
      <c r="G449" s="40" t="str">
        <f>IF($B449="","",IF('05_PRODUCTOS'!$K449="NO","NO","SI"))</f>
        <v/>
      </c>
      <c r="H449" s="49" t="str">
        <f>IF($B449="","",N('15_STOCK'!$J449))</f>
        <v/>
      </c>
      <c r="I449" s="39"/>
      <c r="J449" s="48" t="str">
        <f>IF(OR(tblConteo[[#This Row],[SKU]]="",tblConteo[[#This Row],[Conteo]]=""),"",tblConteo[[#This Row],[Conteo]]-tblConteo[[#This Row],[StockSistema]])</f>
        <v/>
      </c>
      <c r="K449" s="52" t="str">
        <f>IF($J449="","",$J449*N('15_STOCK'!$O449))</f>
        <v/>
      </c>
      <c r="L449" s="41" t="str">
        <f>IF(tblConteo[[#This Row],[Diferencia]]="","",IF(tblConteo[[#This Row],[Diferencia]]=0,"✔ Cuadra",IF(tblConteo[[#This Row],[Diferencia]]&gt;0,"▲ Sobrante","▼ Faltante")))</f>
        <v/>
      </c>
      <c r="M44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0" spans="2:13" x14ac:dyDescent="0.25">
      <c r="B450" s="40" t="str">
        <f>IF('05_PRODUCTOS'!$B450="","",'05_PRODUCTOS'!$B450)</f>
        <v/>
      </c>
      <c r="C450" s="43" t="str">
        <f>IF($B450="","",'05_PRODUCTOS'!$C450)</f>
        <v/>
      </c>
      <c r="D450" s="43" t="str">
        <f>IF($B450="","",'05_PRODUCTOS'!$D450)</f>
        <v/>
      </c>
      <c r="E450" s="40" t="str">
        <f>IF($B450="","",'05_PRODUCTOS'!$J450&amp;"")</f>
        <v/>
      </c>
      <c r="F450" s="40" t="str">
        <f>IF($B450="","",'05_PRODUCTOS'!$E450)</f>
        <v/>
      </c>
      <c r="G450" s="40" t="str">
        <f>IF($B450="","",IF('05_PRODUCTOS'!$K450="NO","NO","SI"))</f>
        <v/>
      </c>
      <c r="H450" s="49" t="str">
        <f>IF($B450="","",N('15_STOCK'!$J450))</f>
        <v/>
      </c>
      <c r="I450" s="39"/>
      <c r="J450" s="48" t="str">
        <f>IF(OR(tblConteo[[#This Row],[SKU]]="",tblConteo[[#This Row],[Conteo]]=""),"",tblConteo[[#This Row],[Conteo]]-tblConteo[[#This Row],[StockSistema]])</f>
        <v/>
      </c>
      <c r="K450" s="52" t="str">
        <f>IF($J450="","",$J450*N('15_STOCK'!$O450))</f>
        <v/>
      </c>
      <c r="L450" s="41" t="str">
        <f>IF(tblConteo[[#This Row],[Diferencia]]="","",IF(tblConteo[[#This Row],[Diferencia]]=0,"✔ Cuadra",IF(tblConteo[[#This Row],[Diferencia]]&gt;0,"▲ Sobrante","▼ Faltante")))</f>
        <v/>
      </c>
      <c r="M45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1" spans="2:13" x14ac:dyDescent="0.25">
      <c r="B451" s="40" t="str">
        <f>IF('05_PRODUCTOS'!$B451="","",'05_PRODUCTOS'!$B451)</f>
        <v/>
      </c>
      <c r="C451" s="43" t="str">
        <f>IF($B451="","",'05_PRODUCTOS'!$C451)</f>
        <v/>
      </c>
      <c r="D451" s="43" t="str">
        <f>IF($B451="","",'05_PRODUCTOS'!$D451)</f>
        <v/>
      </c>
      <c r="E451" s="40" t="str">
        <f>IF($B451="","",'05_PRODUCTOS'!$J451&amp;"")</f>
        <v/>
      </c>
      <c r="F451" s="40" t="str">
        <f>IF($B451="","",'05_PRODUCTOS'!$E451)</f>
        <v/>
      </c>
      <c r="G451" s="40" t="str">
        <f>IF($B451="","",IF('05_PRODUCTOS'!$K451="NO","NO","SI"))</f>
        <v/>
      </c>
      <c r="H451" s="49" t="str">
        <f>IF($B451="","",N('15_STOCK'!$J451))</f>
        <v/>
      </c>
      <c r="I451" s="39"/>
      <c r="J451" s="48" t="str">
        <f>IF(OR(tblConteo[[#This Row],[SKU]]="",tblConteo[[#This Row],[Conteo]]=""),"",tblConteo[[#This Row],[Conteo]]-tblConteo[[#This Row],[StockSistema]])</f>
        <v/>
      </c>
      <c r="K451" s="52" t="str">
        <f>IF($J451="","",$J451*N('15_STOCK'!$O451))</f>
        <v/>
      </c>
      <c r="L451" s="41" t="str">
        <f>IF(tblConteo[[#This Row],[Diferencia]]="","",IF(tblConteo[[#This Row],[Diferencia]]=0,"✔ Cuadra",IF(tblConteo[[#This Row],[Diferencia]]&gt;0,"▲ Sobrante","▼ Faltante")))</f>
        <v/>
      </c>
      <c r="M45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2" spans="2:13" x14ac:dyDescent="0.25">
      <c r="B452" s="40" t="str">
        <f>IF('05_PRODUCTOS'!$B452="","",'05_PRODUCTOS'!$B452)</f>
        <v/>
      </c>
      <c r="C452" s="43" t="str">
        <f>IF($B452="","",'05_PRODUCTOS'!$C452)</f>
        <v/>
      </c>
      <c r="D452" s="43" t="str">
        <f>IF($B452="","",'05_PRODUCTOS'!$D452)</f>
        <v/>
      </c>
      <c r="E452" s="40" t="str">
        <f>IF($B452="","",'05_PRODUCTOS'!$J452&amp;"")</f>
        <v/>
      </c>
      <c r="F452" s="40" t="str">
        <f>IF($B452="","",'05_PRODUCTOS'!$E452)</f>
        <v/>
      </c>
      <c r="G452" s="40" t="str">
        <f>IF($B452="","",IF('05_PRODUCTOS'!$K452="NO","NO","SI"))</f>
        <v/>
      </c>
      <c r="H452" s="49" t="str">
        <f>IF($B452="","",N('15_STOCK'!$J452))</f>
        <v/>
      </c>
      <c r="I452" s="39"/>
      <c r="J452" s="48" t="str">
        <f>IF(OR(tblConteo[[#This Row],[SKU]]="",tblConteo[[#This Row],[Conteo]]=""),"",tblConteo[[#This Row],[Conteo]]-tblConteo[[#This Row],[StockSistema]])</f>
        <v/>
      </c>
      <c r="K452" s="52" t="str">
        <f>IF($J452="","",$J452*N('15_STOCK'!$O452))</f>
        <v/>
      </c>
      <c r="L452" s="41" t="str">
        <f>IF(tblConteo[[#This Row],[Diferencia]]="","",IF(tblConteo[[#This Row],[Diferencia]]=0,"✔ Cuadra",IF(tblConteo[[#This Row],[Diferencia]]&gt;0,"▲ Sobrante","▼ Faltante")))</f>
        <v/>
      </c>
      <c r="M45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3" spans="2:13" x14ac:dyDescent="0.25">
      <c r="B453" s="40" t="str">
        <f>IF('05_PRODUCTOS'!$B453="","",'05_PRODUCTOS'!$B453)</f>
        <v/>
      </c>
      <c r="C453" s="43" t="str">
        <f>IF($B453="","",'05_PRODUCTOS'!$C453)</f>
        <v/>
      </c>
      <c r="D453" s="43" t="str">
        <f>IF($B453="","",'05_PRODUCTOS'!$D453)</f>
        <v/>
      </c>
      <c r="E453" s="40" t="str">
        <f>IF($B453="","",'05_PRODUCTOS'!$J453&amp;"")</f>
        <v/>
      </c>
      <c r="F453" s="40" t="str">
        <f>IF($B453="","",'05_PRODUCTOS'!$E453)</f>
        <v/>
      </c>
      <c r="G453" s="40" t="str">
        <f>IF($B453="","",IF('05_PRODUCTOS'!$K453="NO","NO","SI"))</f>
        <v/>
      </c>
      <c r="H453" s="49" t="str">
        <f>IF($B453="","",N('15_STOCK'!$J453))</f>
        <v/>
      </c>
      <c r="I453" s="39"/>
      <c r="J453" s="48" t="str">
        <f>IF(OR(tblConteo[[#This Row],[SKU]]="",tblConteo[[#This Row],[Conteo]]=""),"",tblConteo[[#This Row],[Conteo]]-tblConteo[[#This Row],[StockSistema]])</f>
        <v/>
      </c>
      <c r="K453" s="52" t="str">
        <f>IF($J453="","",$J453*N('15_STOCK'!$O453))</f>
        <v/>
      </c>
      <c r="L453" s="41" t="str">
        <f>IF(tblConteo[[#This Row],[Diferencia]]="","",IF(tblConteo[[#This Row],[Diferencia]]=0,"✔ Cuadra",IF(tblConteo[[#This Row],[Diferencia]]&gt;0,"▲ Sobrante","▼ Faltante")))</f>
        <v/>
      </c>
      <c r="M45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4" spans="2:13" x14ac:dyDescent="0.25">
      <c r="B454" s="40" t="str">
        <f>IF('05_PRODUCTOS'!$B454="","",'05_PRODUCTOS'!$B454)</f>
        <v/>
      </c>
      <c r="C454" s="43" t="str">
        <f>IF($B454="","",'05_PRODUCTOS'!$C454)</f>
        <v/>
      </c>
      <c r="D454" s="43" t="str">
        <f>IF($B454="","",'05_PRODUCTOS'!$D454)</f>
        <v/>
      </c>
      <c r="E454" s="40" t="str">
        <f>IF($B454="","",'05_PRODUCTOS'!$J454&amp;"")</f>
        <v/>
      </c>
      <c r="F454" s="40" t="str">
        <f>IF($B454="","",'05_PRODUCTOS'!$E454)</f>
        <v/>
      </c>
      <c r="G454" s="40" t="str">
        <f>IF($B454="","",IF('05_PRODUCTOS'!$K454="NO","NO","SI"))</f>
        <v/>
      </c>
      <c r="H454" s="49" t="str">
        <f>IF($B454="","",N('15_STOCK'!$J454))</f>
        <v/>
      </c>
      <c r="I454" s="39"/>
      <c r="J454" s="48" t="str">
        <f>IF(OR(tblConteo[[#This Row],[SKU]]="",tblConteo[[#This Row],[Conteo]]=""),"",tblConteo[[#This Row],[Conteo]]-tblConteo[[#This Row],[StockSistema]])</f>
        <v/>
      </c>
      <c r="K454" s="52" t="str">
        <f>IF($J454="","",$J454*N('15_STOCK'!$O454))</f>
        <v/>
      </c>
      <c r="L454" s="41" t="str">
        <f>IF(tblConteo[[#This Row],[Diferencia]]="","",IF(tblConteo[[#This Row],[Diferencia]]=0,"✔ Cuadra",IF(tblConteo[[#This Row],[Diferencia]]&gt;0,"▲ Sobrante","▼ Faltante")))</f>
        <v/>
      </c>
      <c r="M45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5" spans="2:13" x14ac:dyDescent="0.25">
      <c r="B455" s="40" t="str">
        <f>IF('05_PRODUCTOS'!$B455="","",'05_PRODUCTOS'!$B455)</f>
        <v/>
      </c>
      <c r="C455" s="43" t="str">
        <f>IF($B455="","",'05_PRODUCTOS'!$C455)</f>
        <v/>
      </c>
      <c r="D455" s="43" t="str">
        <f>IF($B455="","",'05_PRODUCTOS'!$D455)</f>
        <v/>
      </c>
      <c r="E455" s="40" t="str">
        <f>IF($B455="","",'05_PRODUCTOS'!$J455&amp;"")</f>
        <v/>
      </c>
      <c r="F455" s="40" t="str">
        <f>IF($B455="","",'05_PRODUCTOS'!$E455)</f>
        <v/>
      </c>
      <c r="G455" s="40" t="str">
        <f>IF($B455="","",IF('05_PRODUCTOS'!$K455="NO","NO","SI"))</f>
        <v/>
      </c>
      <c r="H455" s="49" t="str">
        <f>IF($B455="","",N('15_STOCK'!$J455))</f>
        <v/>
      </c>
      <c r="I455" s="39"/>
      <c r="J455" s="48" t="str">
        <f>IF(OR(tblConteo[[#This Row],[SKU]]="",tblConteo[[#This Row],[Conteo]]=""),"",tblConteo[[#This Row],[Conteo]]-tblConteo[[#This Row],[StockSistema]])</f>
        <v/>
      </c>
      <c r="K455" s="52" t="str">
        <f>IF($J455="","",$J455*N('15_STOCK'!$O455))</f>
        <v/>
      </c>
      <c r="L455" s="41" t="str">
        <f>IF(tblConteo[[#This Row],[Diferencia]]="","",IF(tblConteo[[#This Row],[Diferencia]]=0,"✔ Cuadra",IF(tblConteo[[#This Row],[Diferencia]]&gt;0,"▲ Sobrante","▼ Faltante")))</f>
        <v/>
      </c>
      <c r="M45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6" spans="2:13" x14ac:dyDescent="0.25">
      <c r="B456" s="40" t="str">
        <f>IF('05_PRODUCTOS'!$B456="","",'05_PRODUCTOS'!$B456)</f>
        <v/>
      </c>
      <c r="C456" s="43" t="str">
        <f>IF($B456="","",'05_PRODUCTOS'!$C456)</f>
        <v/>
      </c>
      <c r="D456" s="43" t="str">
        <f>IF($B456="","",'05_PRODUCTOS'!$D456)</f>
        <v/>
      </c>
      <c r="E456" s="40" t="str">
        <f>IF($B456="","",'05_PRODUCTOS'!$J456&amp;"")</f>
        <v/>
      </c>
      <c r="F456" s="40" t="str">
        <f>IF($B456="","",'05_PRODUCTOS'!$E456)</f>
        <v/>
      </c>
      <c r="G456" s="40" t="str">
        <f>IF($B456="","",IF('05_PRODUCTOS'!$K456="NO","NO","SI"))</f>
        <v/>
      </c>
      <c r="H456" s="49" t="str">
        <f>IF($B456="","",N('15_STOCK'!$J456))</f>
        <v/>
      </c>
      <c r="I456" s="39"/>
      <c r="J456" s="48" t="str">
        <f>IF(OR(tblConteo[[#This Row],[SKU]]="",tblConteo[[#This Row],[Conteo]]=""),"",tblConteo[[#This Row],[Conteo]]-tblConteo[[#This Row],[StockSistema]])</f>
        <v/>
      </c>
      <c r="K456" s="52" t="str">
        <f>IF($J456="","",$J456*N('15_STOCK'!$O456))</f>
        <v/>
      </c>
      <c r="L456" s="41" t="str">
        <f>IF(tblConteo[[#This Row],[Diferencia]]="","",IF(tblConteo[[#This Row],[Diferencia]]=0,"✔ Cuadra",IF(tblConteo[[#This Row],[Diferencia]]&gt;0,"▲ Sobrante","▼ Faltante")))</f>
        <v/>
      </c>
      <c r="M45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7" spans="2:13" x14ac:dyDescent="0.25">
      <c r="B457" s="40" t="str">
        <f>IF('05_PRODUCTOS'!$B457="","",'05_PRODUCTOS'!$B457)</f>
        <v/>
      </c>
      <c r="C457" s="43" t="str">
        <f>IF($B457="","",'05_PRODUCTOS'!$C457)</f>
        <v/>
      </c>
      <c r="D457" s="43" t="str">
        <f>IF($B457="","",'05_PRODUCTOS'!$D457)</f>
        <v/>
      </c>
      <c r="E457" s="40" t="str">
        <f>IF($B457="","",'05_PRODUCTOS'!$J457&amp;"")</f>
        <v/>
      </c>
      <c r="F457" s="40" t="str">
        <f>IF($B457="","",'05_PRODUCTOS'!$E457)</f>
        <v/>
      </c>
      <c r="G457" s="40" t="str">
        <f>IF($B457="","",IF('05_PRODUCTOS'!$K457="NO","NO","SI"))</f>
        <v/>
      </c>
      <c r="H457" s="49" t="str">
        <f>IF($B457="","",N('15_STOCK'!$J457))</f>
        <v/>
      </c>
      <c r="I457" s="39"/>
      <c r="J457" s="48" t="str">
        <f>IF(OR(tblConteo[[#This Row],[SKU]]="",tblConteo[[#This Row],[Conteo]]=""),"",tblConteo[[#This Row],[Conteo]]-tblConteo[[#This Row],[StockSistema]])</f>
        <v/>
      </c>
      <c r="K457" s="52" t="str">
        <f>IF($J457="","",$J457*N('15_STOCK'!$O457))</f>
        <v/>
      </c>
      <c r="L457" s="41" t="str">
        <f>IF(tblConteo[[#This Row],[Diferencia]]="","",IF(tblConteo[[#This Row],[Diferencia]]=0,"✔ Cuadra",IF(tblConteo[[#This Row],[Diferencia]]&gt;0,"▲ Sobrante","▼ Faltante")))</f>
        <v/>
      </c>
      <c r="M45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8" spans="2:13" x14ac:dyDescent="0.25">
      <c r="B458" s="40" t="str">
        <f>IF('05_PRODUCTOS'!$B458="","",'05_PRODUCTOS'!$B458)</f>
        <v/>
      </c>
      <c r="C458" s="43" t="str">
        <f>IF($B458="","",'05_PRODUCTOS'!$C458)</f>
        <v/>
      </c>
      <c r="D458" s="43" t="str">
        <f>IF($B458="","",'05_PRODUCTOS'!$D458)</f>
        <v/>
      </c>
      <c r="E458" s="40" t="str">
        <f>IF($B458="","",'05_PRODUCTOS'!$J458&amp;"")</f>
        <v/>
      </c>
      <c r="F458" s="40" t="str">
        <f>IF($B458="","",'05_PRODUCTOS'!$E458)</f>
        <v/>
      </c>
      <c r="G458" s="40" t="str">
        <f>IF($B458="","",IF('05_PRODUCTOS'!$K458="NO","NO","SI"))</f>
        <v/>
      </c>
      <c r="H458" s="49" t="str">
        <f>IF($B458="","",N('15_STOCK'!$J458))</f>
        <v/>
      </c>
      <c r="I458" s="39"/>
      <c r="J458" s="48" t="str">
        <f>IF(OR(tblConteo[[#This Row],[SKU]]="",tblConteo[[#This Row],[Conteo]]=""),"",tblConteo[[#This Row],[Conteo]]-tblConteo[[#This Row],[StockSistema]])</f>
        <v/>
      </c>
      <c r="K458" s="52" t="str">
        <f>IF($J458="","",$J458*N('15_STOCK'!$O458))</f>
        <v/>
      </c>
      <c r="L458" s="41" t="str">
        <f>IF(tblConteo[[#This Row],[Diferencia]]="","",IF(tblConteo[[#This Row],[Diferencia]]=0,"✔ Cuadra",IF(tblConteo[[#This Row],[Diferencia]]&gt;0,"▲ Sobrante","▼ Faltante")))</f>
        <v/>
      </c>
      <c r="M45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59" spans="2:13" x14ac:dyDescent="0.25">
      <c r="B459" s="40" t="str">
        <f>IF('05_PRODUCTOS'!$B459="","",'05_PRODUCTOS'!$B459)</f>
        <v/>
      </c>
      <c r="C459" s="43" t="str">
        <f>IF($B459="","",'05_PRODUCTOS'!$C459)</f>
        <v/>
      </c>
      <c r="D459" s="43" t="str">
        <f>IF($B459="","",'05_PRODUCTOS'!$D459)</f>
        <v/>
      </c>
      <c r="E459" s="40" t="str">
        <f>IF($B459="","",'05_PRODUCTOS'!$J459&amp;"")</f>
        <v/>
      </c>
      <c r="F459" s="40" t="str">
        <f>IF($B459="","",'05_PRODUCTOS'!$E459)</f>
        <v/>
      </c>
      <c r="G459" s="40" t="str">
        <f>IF($B459="","",IF('05_PRODUCTOS'!$K459="NO","NO","SI"))</f>
        <v/>
      </c>
      <c r="H459" s="49" t="str">
        <f>IF($B459="","",N('15_STOCK'!$J459))</f>
        <v/>
      </c>
      <c r="I459" s="39"/>
      <c r="J459" s="48" t="str">
        <f>IF(OR(tblConteo[[#This Row],[SKU]]="",tblConteo[[#This Row],[Conteo]]=""),"",tblConteo[[#This Row],[Conteo]]-tblConteo[[#This Row],[StockSistema]])</f>
        <v/>
      </c>
      <c r="K459" s="52" t="str">
        <f>IF($J459="","",$J459*N('15_STOCK'!$O459))</f>
        <v/>
      </c>
      <c r="L459" s="41" t="str">
        <f>IF(tblConteo[[#This Row],[Diferencia]]="","",IF(tblConteo[[#This Row],[Diferencia]]=0,"✔ Cuadra",IF(tblConteo[[#This Row],[Diferencia]]&gt;0,"▲ Sobrante","▼ Faltante")))</f>
        <v/>
      </c>
      <c r="M45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0" spans="2:13" x14ac:dyDescent="0.25">
      <c r="B460" s="40" t="str">
        <f>IF('05_PRODUCTOS'!$B460="","",'05_PRODUCTOS'!$B460)</f>
        <v/>
      </c>
      <c r="C460" s="43" t="str">
        <f>IF($B460="","",'05_PRODUCTOS'!$C460)</f>
        <v/>
      </c>
      <c r="D460" s="43" t="str">
        <f>IF($B460="","",'05_PRODUCTOS'!$D460)</f>
        <v/>
      </c>
      <c r="E460" s="40" t="str">
        <f>IF($B460="","",'05_PRODUCTOS'!$J460&amp;"")</f>
        <v/>
      </c>
      <c r="F460" s="40" t="str">
        <f>IF($B460="","",'05_PRODUCTOS'!$E460)</f>
        <v/>
      </c>
      <c r="G460" s="40" t="str">
        <f>IF($B460="","",IF('05_PRODUCTOS'!$K460="NO","NO","SI"))</f>
        <v/>
      </c>
      <c r="H460" s="49" t="str">
        <f>IF($B460="","",N('15_STOCK'!$J460))</f>
        <v/>
      </c>
      <c r="I460" s="39"/>
      <c r="J460" s="48" t="str">
        <f>IF(OR(tblConteo[[#This Row],[SKU]]="",tblConteo[[#This Row],[Conteo]]=""),"",tblConteo[[#This Row],[Conteo]]-tblConteo[[#This Row],[StockSistema]])</f>
        <v/>
      </c>
      <c r="K460" s="52" t="str">
        <f>IF($J460="","",$J460*N('15_STOCK'!$O460))</f>
        <v/>
      </c>
      <c r="L460" s="41" t="str">
        <f>IF(tblConteo[[#This Row],[Diferencia]]="","",IF(tblConteo[[#This Row],[Diferencia]]=0,"✔ Cuadra",IF(tblConteo[[#This Row],[Diferencia]]&gt;0,"▲ Sobrante","▼ Faltante")))</f>
        <v/>
      </c>
      <c r="M46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1" spans="2:13" x14ac:dyDescent="0.25">
      <c r="B461" s="40" t="str">
        <f>IF('05_PRODUCTOS'!$B461="","",'05_PRODUCTOS'!$B461)</f>
        <v/>
      </c>
      <c r="C461" s="43" t="str">
        <f>IF($B461="","",'05_PRODUCTOS'!$C461)</f>
        <v/>
      </c>
      <c r="D461" s="43" t="str">
        <f>IF($B461="","",'05_PRODUCTOS'!$D461)</f>
        <v/>
      </c>
      <c r="E461" s="40" t="str">
        <f>IF($B461="","",'05_PRODUCTOS'!$J461&amp;"")</f>
        <v/>
      </c>
      <c r="F461" s="40" t="str">
        <f>IF($B461="","",'05_PRODUCTOS'!$E461)</f>
        <v/>
      </c>
      <c r="G461" s="40" t="str">
        <f>IF($B461="","",IF('05_PRODUCTOS'!$K461="NO","NO","SI"))</f>
        <v/>
      </c>
      <c r="H461" s="49" t="str">
        <f>IF($B461="","",N('15_STOCK'!$J461))</f>
        <v/>
      </c>
      <c r="I461" s="39"/>
      <c r="J461" s="48" t="str">
        <f>IF(OR(tblConteo[[#This Row],[SKU]]="",tblConteo[[#This Row],[Conteo]]=""),"",tblConteo[[#This Row],[Conteo]]-tblConteo[[#This Row],[StockSistema]])</f>
        <v/>
      </c>
      <c r="K461" s="52" t="str">
        <f>IF($J461="","",$J461*N('15_STOCK'!$O461))</f>
        <v/>
      </c>
      <c r="L461" s="41" t="str">
        <f>IF(tblConteo[[#This Row],[Diferencia]]="","",IF(tblConteo[[#This Row],[Diferencia]]=0,"✔ Cuadra",IF(tblConteo[[#This Row],[Diferencia]]&gt;0,"▲ Sobrante","▼ Faltante")))</f>
        <v/>
      </c>
      <c r="M46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2" spans="2:13" x14ac:dyDescent="0.25">
      <c r="B462" s="40" t="str">
        <f>IF('05_PRODUCTOS'!$B462="","",'05_PRODUCTOS'!$B462)</f>
        <v/>
      </c>
      <c r="C462" s="43" t="str">
        <f>IF($B462="","",'05_PRODUCTOS'!$C462)</f>
        <v/>
      </c>
      <c r="D462" s="43" t="str">
        <f>IF($B462="","",'05_PRODUCTOS'!$D462)</f>
        <v/>
      </c>
      <c r="E462" s="40" t="str">
        <f>IF($B462="","",'05_PRODUCTOS'!$J462&amp;"")</f>
        <v/>
      </c>
      <c r="F462" s="40" t="str">
        <f>IF($B462="","",'05_PRODUCTOS'!$E462)</f>
        <v/>
      </c>
      <c r="G462" s="40" t="str">
        <f>IF($B462="","",IF('05_PRODUCTOS'!$K462="NO","NO","SI"))</f>
        <v/>
      </c>
      <c r="H462" s="49" t="str">
        <f>IF($B462="","",N('15_STOCK'!$J462))</f>
        <v/>
      </c>
      <c r="I462" s="39"/>
      <c r="J462" s="48" t="str">
        <f>IF(OR(tblConteo[[#This Row],[SKU]]="",tblConteo[[#This Row],[Conteo]]=""),"",tblConteo[[#This Row],[Conteo]]-tblConteo[[#This Row],[StockSistema]])</f>
        <v/>
      </c>
      <c r="K462" s="52" t="str">
        <f>IF($J462="","",$J462*N('15_STOCK'!$O462))</f>
        <v/>
      </c>
      <c r="L462" s="41" t="str">
        <f>IF(tblConteo[[#This Row],[Diferencia]]="","",IF(tblConteo[[#This Row],[Diferencia]]=0,"✔ Cuadra",IF(tblConteo[[#This Row],[Diferencia]]&gt;0,"▲ Sobrante","▼ Faltante")))</f>
        <v/>
      </c>
      <c r="M46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3" spans="2:13" x14ac:dyDescent="0.25">
      <c r="B463" s="40" t="str">
        <f>IF('05_PRODUCTOS'!$B463="","",'05_PRODUCTOS'!$B463)</f>
        <v/>
      </c>
      <c r="C463" s="43" t="str">
        <f>IF($B463="","",'05_PRODUCTOS'!$C463)</f>
        <v/>
      </c>
      <c r="D463" s="43" t="str">
        <f>IF($B463="","",'05_PRODUCTOS'!$D463)</f>
        <v/>
      </c>
      <c r="E463" s="40" t="str">
        <f>IF($B463="","",'05_PRODUCTOS'!$J463&amp;"")</f>
        <v/>
      </c>
      <c r="F463" s="40" t="str">
        <f>IF($B463="","",'05_PRODUCTOS'!$E463)</f>
        <v/>
      </c>
      <c r="G463" s="40" t="str">
        <f>IF($B463="","",IF('05_PRODUCTOS'!$K463="NO","NO","SI"))</f>
        <v/>
      </c>
      <c r="H463" s="49" t="str">
        <f>IF($B463="","",N('15_STOCK'!$J463))</f>
        <v/>
      </c>
      <c r="I463" s="39"/>
      <c r="J463" s="48" t="str">
        <f>IF(OR(tblConteo[[#This Row],[SKU]]="",tblConteo[[#This Row],[Conteo]]=""),"",tblConteo[[#This Row],[Conteo]]-tblConteo[[#This Row],[StockSistema]])</f>
        <v/>
      </c>
      <c r="K463" s="52" t="str">
        <f>IF($J463="","",$J463*N('15_STOCK'!$O463))</f>
        <v/>
      </c>
      <c r="L463" s="41" t="str">
        <f>IF(tblConteo[[#This Row],[Diferencia]]="","",IF(tblConteo[[#This Row],[Diferencia]]=0,"✔ Cuadra",IF(tblConteo[[#This Row],[Diferencia]]&gt;0,"▲ Sobrante","▼ Faltante")))</f>
        <v/>
      </c>
      <c r="M46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4" spans="2:13" x14ac:dyDescent="0.25">
      <c r="B464" s="40" t="str">
        <f>IF('05_PRODUCTOS'!$B464="","",'05_PRODUCTOS'!$B464)</f>
        <v/>
      </c>
      <c r="C464" s="43" t="str">
        <f>IF($B464="","",'05_PRODUCTOS'!$C464)</f>
        <v/>
      </c>
      <c r="D464" s="43" t="str">
        <f>IF($B464="","",'05_PRODUCTOS'!$D464)</f>
        <v/>
      </c>
      <c r="E464" s="40" t="str">
        <f>IF($B464="","",'05_PRODUCTOS'!$J464&amp;"")</f>
        <v/>
      </c>
      <c r="F464" s="40" t="str">
        <f>IF($B464="","",'05_PRODUCTOS'!$E464)</f>
        <v/>
      </c>
      <c r="G464" s="40" t="str">
        <f>IF($B464="","",IF('05_PRODUCTOS'!$K464="NO","NO","SI"))</f>
        <v/>
      </c>
      <c r="H464" s="49" t="str">
        <f>IF($B464="","",N('15_STOCK'!$J464))</f>
        <v/>
      </c>
      <c r="I464" s="39"/>
      <c r="J464" s="48" t="str">
        <f>IF(OR(tblConteo[[#This Row],[SKU]]="",tblConteo[[#This Row],[Conteo]]=""),"",tblConteo[[#This Row],[Conteo]]-tblConteo[[#This Row],[StockSistema]])</f>
        <v/>
      </c>
      <c r="K464" s="52" t="str">
        <f>IF($J464="","",$J464*N('15_STOCK'!$O464))</f>
        <v/>
      </c>
      <c r="L464" s="41" t="str">
        <f>IF(tblConteo[[#This Row],[Diferencia]]="","",IF(tblConteo[[#This Row],[Diferencia]]=0,"✔ Cuadra",IF(tblConteo[[#This Row],[Diferencia]]&gt;0,"▲ Sobrante","▼ Faltante")))</f>
        <v/>
      </c>
      <c r="M46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5" spans="2:13" x14ac:dyDescent="0.25">
      <c r="B465" s="40" t="str">
        <f>IF('05_PRODUCTOS'!$B465="","",'05_PRODUCTOS'!$B465)</f>
        <v/>
      </c>
      <c r="C465" s="43" t="str">
        <f>IF($B465="","",'05_PRODUCTOS'!$C465)</f>
        <v/>
      </c>
      <c r="D465" s="43" t="str">
        <f>IF($B465="","",'05_PRODUCTOS'!$D465)</f>
        <v/>
      </c>
      <c r="E465" s="40" t="str">
        <f>IF($B465="","",'05_PRODUCTOS'!$J465&amp;"")</f>
        <v/>
      </c>
      <c r="F465" s="40" t="str">
        <f>IF($B465="","",'05_PRODUCTOS'!$E465)</f>
        <v/>
      </c>
      <c r="G465" s="40" t="str">
        <f>IF($B465="","",IF('05_PRODUCTOS'!$K465="NO","NO","SI"))</f>
        <v/>
      </c>
      <c r="H465" s="49" t="str">
        <f>IF($B465="","",N('15_STOCK'!$J465))</f>
        <v/>
      </c>
      <c r="I465" s="39"/>
      <c r="J465" s="48" t="str">
        <f>IF(OR(tblConteo[[#This Row],[SKU]]="",tblConteo[[#This Row],[Conteo]]=""),"",tblConteo[[#This Row],[Conteo]]-tblConteo[[#This Row],[StockSistema]])</f>
        <v/>
      </c>
      <c r="K465" s="52" t="str">
        <f>IF($J465="","",$J465*N('15_STOCK'!$O465))</f>
        <v/>
      </c>
      <c r="L465" s="41" t="str">
        <f>IF(tblConteo[[#This Row],[Diferencia]]="","",IF(tblConteo[[#This Row],[Diferencia]]=0,"✔ Cuadra",IF(tblConteo[[#This Row],[Diferencia]]&gt;0,"▲ Sobrante","▼ Faltante")))</f>
        <v/>
      </c>
      <c r="M46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6" spans="2:13" x14ac:dyDescent="0.25">
      <c r="B466" s="40" t="str">
        <f>IF('05_PRODUCTOS'!$B466="","",'05_PRODUCTOS'!$B466)</f>
        <v/>
      </c>
      <c r="C466" s="43" t="str">
        <f>IF($B466="","",'05_PRODUCTOS'!$C466)</f>
        <v/>
      </c>
      <c r="D466" s="43" t="str">
        <f>IF($B466="","",'05_PRODUCTOS'!$D466)</f>
        <v/>
      </c>
      <c r="E466" s="40" t="str">
        <f>IF($B466="","",'05_PRODUCTOS'!$J466&amp;"")</f>
        <v/>
      </c>
      <c r="F466" s="40" t="str">
        <f>IF($B466="","",'05_PRODUCTOS'!$E466)</f>
        <v/>
      </c>
      <c r="G466" s="40" t="str">
        <f>IF($B466="","",IF('05_PRODUCTOS'!$K466="NO","NO","SI"))</f>
        <v/>
      </c>
      <c r="H466" s="49" t="str">
        <f>IF($B466="","",N('15_STOCK'!$J466))</f>
        <v/>
      </c>
      <c r="I466" s="39"/>
      <c r="J466" s="48" t="str">
        <f>IF(OR(tblConteo[[#This Row],[SKU]]="",tblConteo[[#This Row],[Conteo]]=""),"",tblConteo[[#This Row],[Conteo]]-tblConteo[[#This Row],[StockSistema]])</f>
        <v/>
      </c>
      <c r="K466" s="52" t="str">
        <f>IF($J466="","",$J466*N('15_STOCK'!$O466))</f>
        <v/>
      </c>
      <c r="L466" s="41" t="str">
        <f>IF(tblConteo[[#This Row],[Diferencia]]="","",IF(tblConteo[[#This Row],[Diferencia]]=0,"✔ Cuadra",IF(tblConteo[[#This Row],[Diferencia]]&gt;0,"▲ Sobrante","▼ Faltante")))</f>
        <v/>
      </c>
      <c r="M46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7" spans="2:13" x14ac:dyDescent="0.25">
      <c r="B467" s="40" t="str">
        <f>IF('05_PRODUCTOS'!$B467="","",'05_PRODUCTOS'!$B467)</f>
        <v/>
      </c>
      <c r="C467" s="43" t="str">
        <f>IF($B467="","",'05_PRODUCTOS'!$C467)</f>
        <v/>
      </c>
      <c r="D467" s="43" t="str">
        <f>IF($B467="","",'05_PRODUCTOS'!$D467)</f>
        <v/>
      </c>
      <c r="E467" s="40" t="str">
        <f>IF($B467="","",'05_PRODUCTOS'!$J467&amp;"")</f>
        <v/>
      </c>
      <c r="F467" s="40" t="str">
        <f>IF($B467="","",'05_PRODUCTOS'!$E467)</f>
        <v/>
      </c>
      <c r="G467" s="40" t="str">
        <f>IF($B467="","",IF('05_PRODUCTOS'!$K467="NO","NO","SI"))</f>
        <v/>
      </c>
      <c r="H467" s="49" t="str">
        <f>IF($B467="","",N('15_STOCK'!$J467))</f>
        <v/>
      </c>
      <c r="I467" s="39"/>
      <c r="J467" s="48" t="str">
        <f>IF(OR(tblConteo[[#This Row],[SKU]]="",tblConteo[[#This Row],[Conteo]]=""),"",tblConteo[[#This Row],[Conteo]]-tblConteo[[#This Row],[StockSistema]])</f>
        <v/>
      </c>
      <c r="K467" s="52" t="str">
        <f>IF($J467="","",$J467*N('15_STOCK'!$O467))</f>
        <v/>
      </c>
      <c r="L467" s="41" t="str">
        <f>IF(tblConteo[[#This Row],[Diferencia]]="","",IF(tblConteo[[#This Row],[Diferencia]]=0,"✔ Cuadra",IF(tblConteo[[#This Row],[Diferencia]]&gt;0,"▲ Sobrante","▼ Faltante")))</f>
        <v/>
      </c>
      <c r="M46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8" spans="2:13" x14ac:dyDescent="0.25">
      <c r="B468" s="40" t="str">
        <f>IF('05_PRODUCTOS'!$B468="","",'05_PRODUCTOS'!$B468)</f>
        <v/>
      </c>
      <c r="C468" s="43" t="str">
        <f>IF($B468="","",'05_PRODUCTOS'!$C468)</f>
        <v/>
      </c>
      <c r="D468" s="43" t="str">
        <f>IF($B468="","",'05_PRODUCTOS'!$D468)</f>
        <v/>
      </c>
      <c r="E468" s="40" t="str">
        <f>IF($B468="","",'05_PRODUCTOS'!$J468&amp;"")</f>
        <v/>
      </c>
      <c r="F468" s="40" t="str">
        <f>IF($B468="","",'05_PRODUCTOS'!$E468)</f>
        <v/>
      </c>
      <c r="G468" s="40" t="str">
        <f>IF($B468="","",IF('05_PRODUCTOS'!$K468="NO","NO","SI"))</f>
        <v/>
      </c>
      <c r="H468" s="49" t="str">
        <f>IF($B468="","",N('15_STOCK'!$J468))</f>
        <v/>
      </c>
      <c r="I468" s="39"/>
      <c r="J468" s="48" t="str">
        <f>IF(OR(tblConteo[[#This Row],[SKU]]="",tblConteo[[#This Row],[Conteo]]=""),"",tblConteo[[#This Row],[Conteo]]-tblConteo[[#This Row],[StockSistema]])</f>
        <v/>
      </c>
      <c r="K468" s="52" t="str">
        <f>IF($J468="","",$J468*N('15_STOCK'!$O468))</f>
        <v/>
      </c>
      <c r="L468" s="41" t="str">
        <f>IF(tblConteo[[#This Row],[Diferencia]]="","",IF(tblConteo[[#This Row],[Diferencia]]=0,"✔ Cuadra",IF(tblConteo[[#This Row],[Diferencia]]&gt;0,"▲ Sobrante","▼ Faltante")))</f>
        <v/>
      </c>
      <c r="M46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69" spans="2:13" x14ac:dyDescent="0.25">
      <c r="B469" s="40" t="str">
        <f>IF('05_PRODUCTOS'!$B469="","",'05_PRODUCTOS'!$B469)</f>
        <v/>
      </c>
      <c r="C469" s="43" t="str">
        <f>IF($B469="","",'05_PRODUCTOS'!$C469)</f>
        <v/>
      </c>
      <c r="D469" s="43" t="str">
        <f>IF($B469="","",'05_PRODUCTOS'!$D469)</f>
        <v/>
      </c>
      <c r="E469" s="40" t="str">
        <f>IF($B469="","",'05_PRODUCTOS'!$J469&amp;"")</f>
        <v/>
      </c>
      <c r="F469" s="40" t="str">
        <f>IF($B469="","",'05_PRODUCTOS'!$E469)</f>
        <v/>
      </c>
      <c r="G469" s="40" t="str">
        <f>IF($B469="","",IF('05_PRODUCTOS'!$K469="NO","NO","SI"))</f>
        <v/>
      </c>
      <c r="H469" s="49" t="str">
        <f>IF($B469="","",N('15_STOCK'!$J469))</f>
        <v/>
      </c>
      <c r="I469" s="39"/>
      <c r="J469" s="48" t="str">
        <f>IF(OR(tblConteo[[#This Row],[SKU]]="",tblConteo[[#This Row],[Conteo]]=""),"",tblConteo[[#This Row],[Conteo]]-tblConteo[[#This Row],[StockSistema]])</f>
        <v/>
      </c>
      <c r="K469" s="52" t="str">
        <f>IF($J469="","",$J469*N('15_STOCK'!$O469))</f>
        <v/>
      </c>
      <c r="L469" s="41" t="str">
        <f>IF(tblConteo[[#This Row],[Diferencia]]="","",IF(tblConteo[[#This Row],[Diferencia]]=0,"✔ Cuadra",IF(tblConteo[[#This Row],[Diferencia]]&gt;0,"▲ Sobrante","▼ Faltante")))</f>
        <v/>
      </c>
      <c r="M46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0" spans="2:13" x14ac:dyDescent="0.25">
      <c r="B470" s="40" t="str">
        <f>IF('05_PRODUCTOS'!$B470="","",'05_PRODUCTOS'!$B470)</f>
        <v/>
      </c>
      <c r="C470" s="43" t="str">
        <f>IF($B470="","",'05_PRODUCTOS'!$C470)</f>
        <v/>
      </c>
      <c r="D470" s="43" t="str">
        <f>IF($B470="","",'05_PRODUCTOS'!$D470)</f>
        <v/>
      </c>
      <c r="E470" s="40" t="str">
        <f>IF($B470="","",'05_PRODUCTOS'!$J470&amp;"")</f>
        <v/>
      </c>
      <c r="F470" s="40" t="str">
        <f>IF($B470="","",'05_PRODUCTOS'!$E470)</f>
        <v/>
      </c>
      <c r="G470" s="40" t="str">
        <f>IF($B470="","",IF('05_PRODUCTOS'!$K470="NO","NO","SI"))</f>
        <v/>
      </c>
      <c r="H470" s="49" t="str">
        <f>IF($B470="","",N('15_STOCK'!$J470))</f>
        <v/>
      </c>
      <c r="I470" s="39"/>
      <c r="J470" s="48" t="str">
        <f>IF(OR(tblConteo[[#This Row],[SKU]]="",tblConteo[[#This Row],[Conteo]]=""),"",tblConteo[[#This Row],[Conteo]]-tblConteo[[#This Row],[StockSistema]])</f>
        <v/>
      </c>
      <c r="K470" s="52" t="str">
        <f>IF($J470="","",$J470*N('15_STOCK'!$O470))</f>
        <v/>
      </c>
      <c r="L470" s="41" t="str">
        <f>IF(tblConteo[[#This Row],[Diferencia]]="","",IF(tblConteo[[#This Row],[Diferencia]]=0,"✔ Cuadra",IF(tblConteo[[#This Row],[Diferencia]]&gt;0,"▲ Sobrante","▼ Faltante")))</f>
        <v/>
      </c>
      <c r="M47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1" spans="2:13" x14ac:dyDescent="0.25">
      <c r="B471" s="40" t="str">
        <f>IF('05_PRODUCTOS'!$B471="","",'05_PRODUCTOS'!$B471)</f>
        <v/>
      </c>
      <c r="C471" s="43" t="str">
        <f>IF($B471="","",'05_PRODUCTOS'!$C471)</f>
        <v/>
      </c>
      <c r="D471" s="43" t="str">
        <f>IF($B471="","",'05_PRODUCTOS'!$D471)</f>
        <v/>
      </c>
      <c r="E471" s="40" t="str">
        <f>IF($B471="","",'05_PRODUCTOS'!$J471&amp;"")</f>
        <v/>
      </c>
      <c r="F471" s="40" t="str">
        <f>IF($B471="","",'05_PRODUCTOS'!$E471)</f>
        <v/>
      </c>
      <c r="G471" s="40" t="str">
        <f>IF($B471="","",IF('05_PRODUCTOS'!$K471="NO","NO","SI"))</f>
        <v/>
      </c>
      <c r="H471" s="49" t="str">
        <f>IF($B471="","",N('15_STOCK'!$J471))</f>
        <v/>
      </c>
      <c r="I471" s="39"/>
      <c r="J471" s="48" t="str">
        <f>IF(OR(tblConteo[[#This Row],[SKU]]="",tblConteo[[#This Row],[Conteo]]=""),"",tblConteo[[#This Row],[Conteo]]-tblConteo[[#This Row],[StockSistema]])</f>
        <v/>
      </c>
      <c r="K471" s="52" t="str">
        <f>IF($J471="","",$J471*N('15_STOCK'!$O471))</f>
        <v/>
      </c>
      <c r="L471" s="41" t="str">
        <f>IF(tblConteo[[#This Row],[Diferencia]]="","",IF(tblConteo[[#This Row],[Diferencia]]=0,"✔ Cuadra",IF(tblConteo[[#This Row],[Diferencia]]&gt;0,"▲ Sobrante","▼ Faltante")))</f>
        <v/>
      </c>
      <c r="M47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2" spans="2:13" x14ac:dyDescent="0.25">
      <c r="B472" s="40" t="str">
        <f>IF('05_PRODUCTOS'!$B472="","",'05_PRODUCTOS'!$B472)</f>
        <v/>
      </c>
      <c r="C472" s="43" t="str">
        <f>IF($B472="","",'05_PRODUCTOS'!$C472)</f>
        <v/>
      </c>
      <c r="D472" s="43" t="str">
        <f>IF($B472="","",'05_PRODUCTOS'!$D472)</f>
        <v/>
      </c>
      <c r="E472" s="40" t="str">
        <f>IF($B472="","",'05_PRODUCTOS'!$J472&amp;"")</f>
        <v/>
      </c>
      <c r="F472" s="40" t="str">
        <f>IF($B472="","",'05_PRODUCTOS'!$E472)</f>
        <v/>
      </c>
      <c r="G472" s="40" t="str">
        <f>IF($B472="","",IF('05_PRODUCTOS'!$K472="NO","NO","SI"))</f>
        <v/>
      </c>
      <c r="H472" s="49" t="str">
        <f>IF($B472="","",N('15_STOCK'!$J472))</f>
        <v/>
      </c>
      <c r="I472" s="39"/>
      <c r="J472" s="48" t="str">
        <f>IF(OR(tblConteo[[#This Row],[SKU]]="",tblConteo[[#This Row],[Conteo]]=""),"",tblConteo[[#This Row],[Conteo]]-tblConteo[[#This Row],[StockSistema]])</f>
        <v/>
      </c>
      <c r="K472" s="52" t="str">
        <f>IF($J472="","",$J472*N('15_STOCK'!$O472))</f>
        <v/>
      </c>
      <c r="L472" s="41" t="str">
        <f>IF(tblConteo[[#This Row],[Diferencia]]="","",IF(tblConteo[[#This Row],[Diferencia]]=0,"✔ Cuadra",IF(tblConteo[[#This Row],[Diferencia]]&gt;0,"▲ Sobrante","▼ Faltante")))</f>
        <v/>
      </c>
      <c r="M47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3" spans="2:13" x14ac:dyDescent="0.25">
      <c r="B473" s="40" t="str">
        <f>IF('05_PRODUCTOS'!$B473="","",'05_PRODUCTOS'!$B473)</f>
        <v/>
      </c>
      <c r="C473" s="43" t="str">
        <f>IF($B473="","",'05_PRODUCTOS'!$C473)</f>
        <v/>
      </c>
      <c r="D473" s="43" t="str">
        <f>IF($B473="","",'05_PRODUCTOS'!$D473)</f>
        <v/>
      </c>
      <c r="E473" s="40" t="str">
        <f>IF($B473="","",'05_PRODUCTOS'!$J473&amp;"")</f>
        <v/>
      </c>
      <c r="F473" s="40" t="str">
        <f>IF($B473="","",'05_PRODUCTOS'!$E473)</f>
        <v/>
      </c>
      <c r="G473" s="40" t="str">
        <f>IF($B473="","",IF('05_PRODUCTOS'!$K473="NO","NO","SI"))</f>
        <v/>
      </c>
      <c r="H473" s="49" t="str">
        <f>IF($B473="","",N('15_STOCK'!$J473))</f>
        <v/>
      </c>
      <c r="I473" s="39"/>
      <c r="J473" s="48" t="str">
        <f>IF(OR(tblConteo[[#This Row],[SKU]]="",tblConteo[[#This Row],[Conteo]]=""),"",tblConteo[[#This Row],[Conteo]]-tblConteo[[#This Row],[StockSistema]])</f>
        <v/>
      </c>
      <c r="K473" s="52" t="str">
        <f>IF($J473="","",$J473*N('15_STOCK'!$O473))</f>
        <v/>
      </c>
      <c r="L473" s="41" t="str">
        <f>IF(tblConteo[[#This Row],[Diferencia]]="","",IF(tblConteo[[#This Row],[Diferencia]]=0,"✔ Cuadra",IF(tblConteo[[#This Row],[Diferencia]]&gt;0,"▲ Sobrante","▼ Faltante")))</f>
        <v/>
      </c>
      <c r="M47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4" spans="2:13" x14ac:dyDescent="0.25">
      <c r="B474" s="40" t="str">
        <f>IF('05_PRODUCTOS'!$B474="","",'05_PRODUCTOS'!$B474)</f>
        <v/>
      </c>
      <c r="C474" s="43" t="str">
        <f>IF($B474="","",'05_PRODUCTOS'!$C474)</f>
        <v/>
      </c>
      <c r="D474" s="43" t="str">
        <f>IF($B474="","",'05_PRODUCTOS'!$D474)</f>
        <v/>
      </c>
      <c r="E474" s="40" t="str">
        <f>IF($B474="","",'05_PRODUCTOS'!$J474&amp;"")</f>
        <v/>
      </c>
      <c r="F474" s="40" t="str">
        <f>IF($B474="","",'05_PRODUCTOS'!$E474)</f>
        <v/>
      </c>
      <c r="G474" s="40" t="str">
        <f>IF($B474="","",IF('05_PRODUCTOS'!$K474="NO","NO","SI"))</f>
        <v/>
      </c>
      <c r="H474" s="49" t="str">
        <f>IF($B474="","",N('15_STOCK'!$J474))</f>
        <v/>
      </c>
      <c r="I474" s="39"/>
      <c r="J474" s="48" t="str">
        <f>IF(OR(tblConteo[[#This Row],[SKU]]="",tblConteo[[#This Row],[Conteo]]=""),"",tblConteo[[#This Row],[Conteo]]-tblConteo[[#This Row],[StockSistema]])</f>
        <v/>
      </c>
      <c r="K474" s="52" t="str">
        <f>IF($J474="","",$J474*N('15_STOCK'!$O474))</f>
        <v/>
      </c>
      <c r="L474" s="41" t="str">
        <f>IF(tblConteo[[#This Row],[Diferencia]]="","",IF(tblConteo[[#This Row],[Diferencia]]=0,"✔ Cuadra",IF(tblConteo[[#This Row],[Diferencia]]&gt;0,"▲ Sobrante","▼ Faltante")))</f>
        <v/>
      </c>
      <c r="M47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5" spans="2:13" x14ac:dyDescent="0.25">
      <c r="B475" s="40" t="str">
        <f>IF('05_PRODUCTOS'!$B475="","",'05_PRODUCTOS'!$B475)</f>
        <v/>
      </c>
      <c r="C475" s="43" t="str">
        <f>IF($B475="","",'05_PRODUCTOS'!$C475)</f>
        <v/>
      </c>
      <c r="D475" s="43" t="str">
        <f>IF($B475="","",'05_PRODUCTOS'!$D475)</f>
        <v/>
      </c>
      <c r="E475" s="40" t="str">
        <f>IF($B475="","",'05_PRODUCTOS'!$J475&amp;"")</f>
        <v/>
      </c>
      <c r="F475" s="40" t="str">
        <f>IF($B475="","",'05_PRODUCTOS'!$E475)</f>
        <v/>
      </c>
      <c r="G475" s="40" t="str">
        <f>IF($B475="","",IF('05_PRODUCTOS'!$K475="NO","NO","SI"))</f>
        <v/>
      </c>
      <c r="H475" s="49" t="str">
        <f>IF($B475="","",N('15_STOCK'!$J475))</f>
        <v/>
      </c>
      <c r="I475" s="39"/>
      <c r="J475" s="48" t="str">
        <f>IF(OR(tblConteo[[#This Row],[SKU]]="",tblConteo[[#This Row],[Conteo]]=""),"",tblConteo[[#This Row],[Conteo]]-tblConteo[[#This Row],[StockSistema]])</f>
        <v/>
      </c>
      <c r="K475" s="52" t="str">
        <f>IF($J475="","",$J475*N('15_STOCK'!$O475))</f>
        <v/>
      </c>
      <c r="L475" s="41" t="str">
        <f>IF(tblConteo[[#This Row],[Diferencia]]="","",IF(tblConteo[[#This Row],[Diferencia]]=0,"✔ Cuadra",IF(tblConteo[[#This Row],[Diferencia]]&gt;0,"▲ Sobrante","▼ Faltante")))</f>
        <v/>
      </c>
      <c r="M47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6" spans="2:13" x14ac:dyDescent="0.25">
      <c r="B476" s="40" t="str">
        <f>IF('05_PRODUCTOS'!$B476="","",'05_PRODUCTOS'!$B476)</f>
        <v/>
      </c>
      <c r="C476" s="43" t="str">
        <f>IF($B476="","",'05_PRODUCTOS'!$C476)</f>
        <v/>
      </c>
      <c r="D476" s="43" t="str">
        <f>IF($B476="","",'05_PRODUCTOS'!$D476)</f>
        <v/>
      </c>
      <c r="E476" s="40" t="str">
        <f>IF($B476="","",'05_PRODUCTOS'!$J476&amp;"")</f>
        <v/>
      </c>
      <c r="F476" s="40" t="str">
        <f>IF($B476="","",'05_PRODUCTOS'!$E476)</f>
        <v/>
      </c>
      <c r="G476" s="40" t="str">
        <f>IF($B476="","",IF('05_PRODUCTOS'!$K476="NO","NO","SI"))</f>
        <v/>
      </c>
      <c r="H476" s="49" t="str">
        <f>IF($B476="","",N('15_STOCK'!$J476))</f>
        <v/>
      </c>
      <c r="I476" s="39"/>
      <c r="J476" s="48" t="str">
        <f>IF(OR(tblConteo[[#This Row],[SKU]]="",tblConteo[[#This Row],[Conteo]]=""),"",tblConteo[[#This Row],[Conteo]]-tblConteo[[#This Row],[StockSistema]])</f>
        <v/>
      </c>
      <c r="K476" s="52" t="str">
        <f>IF($J476="","",$J476*N('15_STOCK'!$O476))</f>
        <v/>
      </c>
      <c r="L476" s="41" t="str">
        <f>IF(tblConteo[[#This Row],[Diferencia]]="","",IF(tblConteo[[#This Row],[Diferencia]]=0,"✔ Cuadra",IF(tblConteo[[#This Row],[Diferencia]]&gt;0,"▲ Sobrante","▼ Faltante")))</f>
        <v/>
      </c>
      <c r="M47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7" spans="2:13" x14ac:dyDescent="0.25">
      <c r="B477" s="40" t="str">
        <f>IF('05_PRODUCTOS'!$B477="","",'05_PRODUCTOS'!$B477)</f>
        <v/>
      </c>
      <c r="C477" s="43" t="str">
        <f>IF($B477="","",'05_PRODUCTOS'!$C477)</f>
        <v/>
      </c>
      <c r="D477" s="43" t="str">
        <f>IF($B477="","",'05_PRODUCTOS'!$D477)</f>
        <v/>
      </c>
      <c r="E477" s="40" t="str">
        <f>IF($B477="","",'05_PRODUCTOS'!$J477&amp;"")</f>
        <v/>
      </c>
      <c r="F477" s="40" t="str">
        <f>IF($B477="","",'05_PRODUCTOS'!$E477)</f>
        <v/>
      </c>
      <c r="G477" s="40" t="str">
        <f>IF($B477="","",IF('05_PRODUCTOS'!$K477="NO","NO","SI"))</f>
        <v/>
      </c>
      <c r="H477" s="49" t="str">
        <f>IF($B477="","",N('15_STOCK'!$J477))</f>
        <v/>
      </c>
      <c r="I477" s="39"/>
      <c r="J477" s="48" t="str">
        <f>IF(OR(tblConteo[[#This Row],[SKU]]="",tblConteo[[#This Row],[Conteo]]=""),"",tblConteo[[#This Row],[Conteo]]-tblConteo[[#This Row],[StockSistema]])</f>
        <v/>
      </c>
      <c r="K477" s="52" t="str">
        <f>IF($J477="","",$J477*N('15_STOCK'!$O477))</f>
        <v/>
      </c>
      <c r="L477" s="41" t="str">
        <f>IF(tblConteo[[#This Row],[Diferencia]]="","",IF(tblConteo[[#This Row],[Diferencia]]=0,"✔ Cuadra",IF(tblConteo[[#This Row],[Diferencia]]&gt;0,"▲ Sobrante","▼ Faltante")))</f>
        <v/>
      </c>
      <c r="M47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8" spans="2:13" x14ac:dyDescent="0.25">
      <c r="B478" s="40" t="str">
        <f>IF('05_PRODUCTOS'!$B478="","",'05_PRODUCTOS'!$B478)</f>
        <v/>
      </c>
      <c r="C478" s="43" t="str">
        <f>IF($B478="","",'05_PRODUCTOS'!$C478)</f>
        <v/>
      </c>
      <c r="D478" s="43" t="str">
        <f>IF($B478="","",'05_PRODUCTOS'!$D478)</f>
        <v/>
      </c>
      <c r="E478" s="40" t="str">
        <f>IF($B478="","",'05_PRODUCTOS'!$J478&amp;"")</f>
        <v/>
      </c>
      <c r="F478" s="40" t="str">
        <f>IF($B478="","",'05_PRODUCTOS'!$E478)</f>
        <v/>
      </c>
      <c r="G478" s="40" t="str">
        <f>IF($B478="","",IF('05_PRODUCTOS'!$K478="NO","NO","SI"))</f>
        <v/>
      </c>
      <c r="H478" s="49" t="str">
        <f>IF($B478="","",N('15_STOCK'!$J478))</f>
        <v/>
      </c>
      <c r="I478" s="39"/>
      <c r="J478" s="48" t="str">
        <f>IF(OR(tblConteo[[#This Row],[SKU]]="",tblConteo[[#This Row],[Conteo]]=""),"",tblConteo[[#This Row],[Conteo]]-tblConteo[[#This Row],[StockSistema]])</f>
        <v/>
      </c>
      <c r="K478" s="52" t="str">
        <f>IF($J478="","",$J478*N('15_STOCK'!$O478))</f>
        <v/>
      </c>
      <c r="L478" s="41" t="str">
        <f>IF(tblConteo[[#This Row],[Diferencia]]="","",IF(tblConteo[[#This Row],[Diferencia]]=0,"✔ Cuadra",IF(tblConteo[[#This Row],[Diferencia]]&gt;0,"▲ Sobrante","▼ Faltante")))</f>
        <v/>
      </c>
      <c r="M47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79" spans="2:13" x14ac:dyDescent="0.25">
      <c r="B479" s="40" t="str">
        <f>IF('05_PRODUCTOS'!$B479="","",'05_PRODUCTOS'!$B479)</f>
        <v/>
      </c>
      <c r="C479" s="43" t="str">
        <f>IF($B479="","",'05_PRODUCTOS'!$C479)</f>
        <v/>
      </c>
      <c r="D479" s="43" t="str">
        <f>IF($B479="","",'05_PRODUCTOS'!$D479)</f>
        <v/>
      </c>
      <c r="E479" s="40" t="str">
        <f>IF($B479="","",'05_PRODUCTOS'!$J479&amp;"")</f>
        <v/>
      </c>
      <c r="F479" s="40" t="str">
        <f>IF($B479="","",'05_PRODUCTOS'!$E479)</f>
        <v/>
      </c>
      <c r="G479" s="40" t="str">
        <f>IF($B479="","",IF('05_PRODUCTOS'!$K479="NO","NO","SI"))</f>
        <v/>
      </c>
      <c r="H479" s="49" t="str">
        <f>IF($B479="","",N('15_STOCK'!$J479))</f>
        <v/>
      </c>
      <c r="I479" s="39"/>
      <c r="J479" s="48" t="str">
        <f>IF(OR(tblConteo[[#This Row],[SKU]]="",tblConteo[[#This Row],[Conteo]]=""),"",tblConteo[[#This Row],[Conteo]]-tblConteo[[#This Row],[StockSistema]])</f>
        <v/>
      </c>
      <c r="K479" s="52" t="str">
        <f>IF($J479="","",$J479*N('15_STOCK'!$O479))</f>
        <v/>
      </c>
      <c r="L479" s="41" t="str">
        <f>IF(tblConteo[[#This Row],[Diferencia]]="","",IF(tblConteo[[#This Row],[Diferencia]]=0,"✔ Cuadra",IF(tblConteo[[#This Row],[Diferencia]]&gt;0,"▲ Sobrante","▼ Faltante")))</f>
        <v/>
      </c>
      <c r="M47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0" spans="2:13" x14ac:dyDescent="0.25">
      <c r="B480" s="40" t="str">
        <f>IF('05_PRODUCTOS'!$B480="","",'05_PRODUCTOS'!$B480)</f>
        <v/>
      </c>
      <c r="C480" s="43" t="str">
        <f>IF($B480="","",'05_PRODUCTOS'!$C480)</f>
        <v/>
      </c>
      <c r="D480" s="43" t="str">
        <f>IF($B480="","",'05_PRODUCTOS'!$D480)</f>
        <v/>
      </c>
      <c r="E480" s="40" t="str">
        <f>IF($B480="","",'05_PRODUCTOS'!$J480&amp;"")</f>
        <v/>
      </c>
      <c r="F480" s="40" t="str">
        <f>IF($B480="","",'05_PRODUCTOS'!$E480)</f>
        <v/>
      </c>
      <c r="G480" s="40" t="str">
        <f>IF($B480="","",IF('05_PRODUCTOS'!$K480="NO","NO","SI"))</f>
        <v/>
      </c>
      <c r="H480" s="49" t="str">
        <f>IF($B480="","",N('15_STOCK'!$J480))</f>
        <v/>
      </c>
      <c r="I480" s="39"/>
      <c r="J480" s="48" t="str">
        <f>IF(OR(tblConteo[[#This Row],[SKU]]="",tblConteo[[#This Row],[Conteo]]=""),"",tblConteo[[#This Row],[Conteo]]-tblConteo[[#This Row],[StockSistema]])</f>
        <v/>
      </c>
      <c r="K480" s="52" t="str">
        <f>IF($J480="","",$J480*N('15_STOCK'!$O480))</f>
        <v/>
      </c>
      <c r="L480" s="41" t="str">
        <f>IF(tblConteo[[#This Row],[Diferencia]]="","",IF(tblConteo[[#This Row],[Diferencia]]=0,"✔ Cuadra",IF(tblConteo[[#This Row],[Diferencia]]&gt;0,"▲ Sobrante","▼ Faltante")))</f>
        <v/>
      </c>
      <c r="M48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1" spans="2:13" x14ac:dyDescent="0.25">
      <c r="B481" s="40" t="str">
        <f>IF('05_PRODUCTOS'!$B481="","",'05_PRODUCTOS'!$B481)</f>
        <v/>
      </c>
      <c r="C481" s="43" t="str">
        <f>IF($B481="","",'05_PRODUCTOS'!$C481)</f>
        <v/>
      </c>
      <c r="D481" s="43" t="str">
        <f>IF($B481="","",'05_PRODUCTOS'!$D481)</f>
        <v/>
      </c>
      <c r="E481" s="40" t="str">
        <f>IF($B481="","",'05_PRODUCTOS'!$J481&amp;"")</f>
        <v/>
      </c>
      <c r="F481" s="40" t="str">
        <f>IF($B481="","",'05_PRODUCTOS'!$E481)</f>
        <v/>
      </c>
      <c r="G481" s="40" t="str">
        <f>IF($B481="","",IF('05_PRODUCTOS'!$K481="NO","NO","SI"))</f>
        <v/>
      </c>
      <c r="H481" s="49" t="str">
        <f>IF($B481="","",N('15_STOCK'!$J481))</f>
        <v/>
      </c>
      <c r="I481" s="39"/>
      <c r="J481" s="48" t="str">
        <f>IF(OR(tblConteo[[#This Row],[SKU]]="",tblConteo[[#This Row],[Conteo]]=""),"",tblConteo[[#This Row],[Conteo]]-tblConteo[[#This Row],[StockSistema]])</f>
        <v/>
      </c>
      <c r="K481" s="52" t="str">
        <f>IF($J481="","",$J481*N('15_STOCK'!$O481))</f>
        <v/>
      </c>
      <c r="L481" s="41" t="str">
        <f>IF(tblConteo[[#This Row],[Diferencia]]="","",IF(tblConteo[[#This Row],[Diferencia]]=0,"✔ Cuadra",IF(tblConteo[[#This Row],[Diferencia]]&gt;0,"▲ Sobrante","▼ Faltante")))</f>
        <v/>
      </c>
      <c r="M48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2" spans="2:13" x14ac:dyDescent="0.25">
      <c r="B482" s="40" t="str">
        <f>IF('05_PRODUCTOS'!$B482="","",'05_PRODUCTOS'!$B482)</f>
        <v/>
      </c>
      <c r="C482" s="43" t="str">
        <f>IF($B482="","",'05_PRODUCTOS'!$C482)</f>
        <v/>
      </c>
      <c r="D482" s="43" t="str">
        <f>IF($B482="","",'05_PRODUCTOS'!$D482)</f>
        <v/>
      </c>
      <c r="E482" s="40" t="str">
        <f>IF($B482="","",'05_PRODUCTOS'!$J482&amp;"")</f>
        <v/>
      </c>
      <c r="F482" s="40" t="str">
        <f>IF($B482="","",'05_PRODUCTOS'!$E482)</f>
        <v/>
      </c>
      <c r="G482" s="40" t="str">
        <f>IF($B482="","",IF('05_PRODUCTOS'!$K482="NO","NO","SI"))</f>
        <v/>
      </c>
      <c r="H482" s="49" t="str">
        <f>IF($B482="","",N('15_STOCK'!$J482))</f>
        <v/>
      </c>
      <c r="I482" s="39"/>
      <c r="J482" s="48" t="str">
        <f>IF(OR(tblConteo[[#This Row],[SKU]]="",tblConteo[[#This Row],[Conteo]]=""),"",tblConteo[[#This Row],[Conteo]]-tblConteo[[#This Row],[StockSistema]])</f>
        <v/>
      </c>
      <c r="K482" s="52" t="str">
        <f>IF($J482="","",$J482*N('15_STOCK'!$O482))</f>
        <v/>
      </c>
      <c r="L482" s="41" t="str">
        <f>IF(tblConteo[[#This Row],[Diferencia]]="","",IF(tblConteo[[#This Row],[Diferencia]]=0,"✔ Cuadra",IF(tblConteo[[#This Row],[Diferencia]]&gt;0,"▲ Sobrante","▼ Faltante")))</f>
        <v/>
      </c>
      <c r="M48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3" spans="2:13" x14ac:dyDescent="0.25">
      <c r="B483" s="40" t="str">
        <f>IF('05_PRODUCTOS'!$B483="","",'05_PRODUCTOS'!$B483)</f>
        <v/>
      </c>
      <c r="C483" s="43" t="str">
        <f>IF($B483="","",'05_PRODUCTOS'!$C483)</f>
        <v/>
      </c>
      <c r="D483" s="43" t="str">
        <f>IF($B483="","",'05_PRODUCTOS'!$D483)</f>
        <v/>
      </c>
      <c r="E483" s="40" t="str">
        <f>IF($B483="","",'05_PRODUCTOS'!$J483&amp;"")</f>
        <v/>
      </c>
      <c r="F483" s="40" t="str">
        <f>IF($B483="","",'05_PRODUCTOS'!$E483)</f>
        <v/>
      </c>
      <c r="G483" s="40" t="str">
        <f>IF($B483="","",IF('05_PRODUCTOS'!$K483="NO","NO","SI"))</f>
        <v/>
      </c>
      <c r="H483" s="49" t="str">
        <f>IF($B483="","",N('15_STOCK'!$J483))</f>
        <v/>
      </c>
      <c r="I483" s="39"/>
      <c r="J483" s="48" t="str">
        <f>IF(OR(tblConteo[[#This Row],[SKU]]="",tblConteo[[#This Row],[Conteo]]=""),"",tblConteo[[#This Row],[Conteo]]-tblConteo[[#This Row],[StockSistema]])</f>
        <v/>
      </c>
      <c r="K483" s="52" t="str">
        <f>IF($J483="","",$J483*N('15_STOCK'!$O483))</f>
        <v/>
      </c>
      <c r="L483" s="41" t="str">
        <f>IF(tblConteo[[#This Row],[Diferencia]]="","",IF(tblConteo[[#This Row],[Diferencia]]=0,"✔ Cuadra",IF(tblConteo[[#This Row],[Diferencia]]&gt;0,"▲ Sobrante","▼ Faltante")))</f>
        <v/>
      </c>
      <c r="M48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4" spans="2:13" x14ac:dyDescent="0.25">
      <c r="B484" s="40" t="str">
        <f>IF('05_PRODUCTOS'!$B484="","",'05_PRODUCTOS'!$B484)</f>
        <v/>
      </c>
      <c r="C484" s="43" t="str">
        <f>IF($B484="","",'05_PRODUCTOS'!$C484)</f>
        <v/>
      </c>
      <c r="D484" s="43" t="str">
        <f>IF($B484="","",'05_PRODUCTOS'!$D484)</f>
        <v/>
      </c>
      <c r="E484" s="40" t="str">
        <f>IF($B484="","",'05_PRODUCTOS'!$J484&amp;"")</f>
        <v/>
      </c>
      <c r="F484" s="40" t="str">
        <f>IF($B484="","",'05_PRODUCTOS'!$E484)</f>
        <v/>
      </c>
      <c r="G484" s="40" t="str">
        <f>IF($B484="","",IF('05_PRODUCTOS'!$K484="NO","NO","SI"))</f>
        <v/>
      </c>
      <c r="H484" s="49" t="str">
        <f>IF($B484="","",N('15_STOCK'!$J484))</f>
        <v/>
      </c>
      <c r="I484" s="39"/>
      <c r="J484" s="48" t="str">
        <f>IF(OR(tblConteo[[#This Row],[SKU]]="",tblConteo[[#This Row],[Conteo]]=""),"",tblConteo[[#This Row],[Conteo]]-tblConteo[[#This Row],[StockSistema]])</f>
        <v/>
      </c>
      <c r="K484" s="52" t="str">
        <f>IF($J484="","",$J484*N('15_STOCK'!$O484))</f>
        <v/>
      </c>
      <c r="L484" s="41" t="str">
        <f>IF(tblConteo[[#This Row],[Diferencia]]="","",IF(tblConteo[[#This Row],[Diferencia]]=0,"✔ Cuadra",IF(tblConteo[[#This Row],[Diferencia]]&gt;0,"▲ Sobrante","▼ Faltante")))</f>
        <v/>
      </c>
      <c r="M48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5" spans="2:13" x14ac:dyDescent="0.25">
      <c r="B485" s="40" t="str">
        <f>IF('05_PRODUCTOS'!$B485="","",'05_PRODUCTOS'!$B485)</f>
        <v/>
      </c>
      <c r="C485" s="43" t="str">
        <f>IF($B485="","",'05_PRODUCTOS'!$C485)</f>
        <v/>
      </c>
      <c r="D485" s="43" t="str">
        <f>IF($B485="","",'05_PRODUCTOS'!$D485)</f>
        <v/>
      </c>
      <c r="E485" s="40" t="str">
        <f>IF($B485="","",'05_PRODUCTOS'!$J485&amp;"")</f>
        <v/>
      </c>
      <c r="F485" s="40" t="str">
        <f>IF($B485="","",'05_PRODUCTOS'!$E485)</f>
        <v/>
      </c>
      <c r="G485" s="40" t="str">
        <f>IF($B485="","",IF('05_PRODUCTOS'!$K485="NO","NO","SI"))</f>
        <v/>
      </c>
      <c r="H485" s="49" t="str">
        <f>IF($B485="","",N('15_STOCK'!$J485))</f>
        <v/>
      </c>
      <c r="I485" s="39"/>
      <c r="J485" s="48" t="str">
        <f>IF(OR(tblConteo[[#This Row],[SKU]]="",tblConteo[[#This Row],[Conteo]]=""),"",tblConteo[[#This Row],[Conteo]]-tblConteo[[#This Row],[StockSistema]])</f>
        <v/>
      </c>
      <c r="K485" s="52" t="str">
        <f>IF($J485="","",$J485*N('15_STOCK'!$O485))</f>
        <v/>
      </c>
      <c r="L485" s="41" t="str">
        <f>IF(tblConteo[[#This Row],[Diferencia]]="","",IF(tblConteo[[#This Row],[Diferencia]]=0,"✔ Cuadra",IF(tblConteo[[#This Row],[Diferencia]]&gt;0,"▲ Sobrante","▼ Faltante")))</f>
        <v/>
      </c>
      <c r="M48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6" spans="2:13" x14ac:dyDescent="0.25">
      <c r="B486" s="40" t="str">
        <f>IF('05_PRODUCTOS'!$B486="","",'05_PRODUCTOS'!$B486)</f>
        <v/>
      </c>
      <c r="C486" s="43" t="str">
        <f>IF($B486="","",'05_PRODUCTOS'!$C486)</f>
        <v/>
      </c>
      <c r="D486" s="43" t="str">
        <f>IF($B486="","",'05_PRODUCTOS'!$D486)</f>
        <v/>
      </c>
      <c r="E486" s="40" t="str">
        <f>IF($B486="","",'05_PRODUCTOS'!$J486&amp;"")</f>
        <v/>
      </c>
      <c r="F486" s="40" t="str">
        <f>IF($B486="","",'05_PRODUCTOS'!$E486)</f>
        <v/>
      </c>
      <c r="G486" s="40" t="str">
        <f>IF($B486="","",IF('05_PRODUCTOS'!$K486="NO","NO","SI"))</f>
        <v/>
      </c>
      <c r="H486" s="49" t="str">
        <f>IF($B486="","",N('15_STOCK'!$J486))</f>
        <v/>
      </c>
      <c r="I486" s="39"/>
      <c r="J486" s="48" t="str">
        <f>IF(OR(tblConteo[[#This Row],[SKU]]="",tblConteo[[#This Row],[Conteo]]=""),"",tblConteo[[#This Row],[Conteo]]-tblConteo[[#This Row],[StockSistema]])</f>
        <v/>
      </c>
      <c r="K486" s="52" t="str">
        <f>IF($J486="","",$J486*N('15_STOCK'!$O486))</f>
        <v/>
      </c>
      <c r="L486" s="41" t="str">
        <f>IF(tblConteo[[#This Row],[Diferencia]]="","",IF(tblConteo[[#This Row],[Diferencia]]=0,"✔ Cuadra",IF(tblConteo[[#This Row],[Diferencia]]&gt;0,"▲ Sobrante","▼ Faltante")))</f>
        <v/>
      </c>
      <c r="M48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7" spans="2:13" x14ac:dyDescent="0.25">
      <c r="B487" s="40" t="str">
        <f>IF('05_PRODUCTOS'!$B487="","",'05_PRODUCTOS'!$B487)</f>
        <v/>
      </c>
      <c r="C487" s="43" t="str">
        <f>IF($B487="","",'05_PRODUCTOS'!$C487)</f>
        <v/>
      </c>
      <c r="D487" s="43" t="str">
        <f>IF($B487="","",'05_PRODUCTOS'!$D487)</f>
        <v/>
      </c>
      <c r="E487" s="40" t="str">
        <f>IF($B487="","",'05_PRODUCTOS'!$J487&amp;"")</f>
        <v/>
      </c>
      <c r="F487" s="40" t="str">
        <f>IF($B487="","",'05_PRODUCTOS'!$E487)</f>
        <v/>
      </c>
      <c r="G487" s="40" t="str">
        <f>IF($B487="","",IF('05_PRODUCTOS'!$K487="NO","NO","SI"))</f>
        <v/>
      </c>
      <c r="H487" s="49" t="str">
        <f>IF($B487="","",N('15_STOCK'!$J487))</f>
        <v/>
      </c>
      <c r="I487" s="39"/>
      <c r="J487" s="48" t="str">
        <f>IF(OR(tblConteo[[#This Row],[SKU]]="",tblConteo[[#This Row],[Conteo]]=""),"",tblConteo[[#This Row],[Conteo]]-tblConteo[[#This Row],[StockSistema]])</f>
        <v/>
      </c>
      <c r="K487" s="52" t="str">
        <f>IF($J487="","",$J487*N('15_STOCK'!$O487))</f>
        <v/>
      </c>
      <c r="L487" s="41" t="str">
        <f>IF(tblConteo[[#This Row],[Diferencia]]="","",IF(tblConteo[[#This Row],[Diferencia]]=0,"✔ Cuadra",IF(tblConteo[[#This Row],[Diferencia]]&gt;0,"▲ Sobrante","▼ Faltante")))</f>
        <v/>
      </c>
      <c r="M48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8" spans="2:13" x14ac:dyDescent="0.25">
      <c r="B488" s="40" t="str">
        <f>IF('05_PRODUCTOS'!$B488="","",'05_PRODUCTOS'!$B488)</f>
        <v/>
      </c>
      <c r="C488" s="43" t="str">
        <f>IF($B488="","",'05_PRODUCTOS'!$C488)</f>
        <v/>
      </c>
      <c r="D488" s="43" t="str">
        <f>IF($B488="","",'05_PRODUCTOS'!$D488)</f>
        <v/>
      </c>
      <c r="E488" s="40" t="str">
        <f>IF($B488="","",'05_PRODUCTOS'!$J488&amp;"")</f>
        <v/>
      </c>
      <c r="F488" s="40" t="str">
        <f>IF($B488="","",'05_PRODUCTOS'!$E488)</f>
        <v/>
      </c>
      <c r="G488" s="40" t="str">
        <f>IF($B488="","",IF('05_PRODUCTOS'!$K488="NO","NO","SI"))</f>
        <v/>
      </c>
      <c r="H488" s="49" t="str">
        <f>IF($B488="","",N('15_STOCK'!$J488))</f>
        <v/>
      </c>
      <c r="I488" s="39"/>
      <c r="J488" s="48" t="str">
        <f>IF(OR(tblConteo[[#This Row],[SKU]]="",tblConteo[[#This Row],[Conteo]]=""),"",tblConteo[[#This Row],[Conteo]]-tblConteo[[#This Row],[StockSistema]])</f>
        <v/>
      </c>
      <c r="K488" s="52" t="str">
        <f>IF($J488="","",$J488*N('15_STOCK'!$O488))</f>
        <v/>
      </c>
      <c r="L488" s="41" t="str">
        <f>IF(tblConteo[[#This Row],[Diferencia]]="","",IF(tblConteo[[#This Row],[Diferencia]]=0,"✔ Cuadra",IF(tblConteo[[#This Row],[Diferencia]]&gt;0,"▲ Sobrante","▼ Faltante")))</f>
        <v/>
      </c>
      <c r="M48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89" spans="2:13" x14ac:dyDescent="0.25">
      <c r="B489" s="40" t="str">
        <f>IF('05_PRODUCTOS'!$B489="","",'05_PRODUCTOS'!$B489)</f>
        <v/>
      </c>
      <c r="C489" s="43" t="str">
        <f>IF($B489="","",'05_PRODUCTOS'!$C489)</f>
        <v/>
      </c>
      <c r="D489" s="43" t="str">
        <f>IF($B489="","",'05_PRODUCTOS'!$D489)</f>
        <v/>
      </c>
      <c r="E489" s="40" t="str">
        <f>IF($B489="","",'05_PRODUCTOS'!$J489&amp;"")</f>
        <v/>
      </c>
      <c r="F489" s="40" t="str">
        <f>IF($B489="","",'05_PRODUCTOS'!$E489)</f>
        <v/>
      </c>
      <c r="G489" s="40" t="str">
        <f>IF($B489="","",IF('05_PRODUCTOS'!$K489="NO","NO","SI"))</f>
        <v/>
      </c>
      <c r="H489" s="49" t="str">
        <f>IF($B489="","",N('15_STOCK'!$J489))</f>
        <v/>
      </c>
      <c r="I489" s="39"/>
      <c r="J489" s="48" t="str">
        <f>IF(OR(tblConteo[[#This Row],[SKU]]="",tblConteo[[#This Row],[Conteo]]=""),"",tblConteo[[#This Row],[Conteo]]-tblConteo[[#This Row],[StockSistema]])</f>
        <v/>
      </c>
      <c r="K489" s="52" t="str">
        <f>IF($J489="","",$J489*N('15_STOCK'!$O489))</f>
        <v/>
      </c>
      <c r="L489" s="41" t="str">
        <f>IF(tblConteo[[#This Row],[Diferencia]]="","",IF(tblConteo[[#This Row],[Diferencia]]=0,"✔ Cuadra",IF(tblConteo[[#This Row],[Diferencia]]&gt;0,"▲ Sobrante","▼ Faltante")))</f>
        <v/>
      </c>
      <c r="M48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0" spans="2:13" x14ac:dyDescent="0.25">
      <c r="B490" s="40" t="str">
        <f>IF('05_PRODUCTOS'!$B490="","",'05_PRODUCTOS'!$B490)</f>
        <v/>
      </c>
      <c r="C490" s="43" t="str">
        <f>IF($B490="","",'05_PRODUCTOS'!$C490)</f>
        <v/>
      </c>
      <c r="D490" s="43" t="str">
        <f>IF($B490="","",'05_PRODUCTOS'!$D490)</f>
        <v/>
      </c>
      <c r="E490" s="40" t="str">
        <f>IF($B490="","",'05_PRODUCTOS'!$J490&amp;"")</f>
        <v/>
      </c>
      <c r="F490" s="40" t="str">
        <f>IF($B490="","",'05_PRODUCTOS'!$E490)</f>
        <v/>
      </c>
      <c r="G490" s="40" t="str">
        <f>IF($B490="","",IF('05_PRODUCTOS'!$K490="NO","NO","SI"))</f>
        <v/>
      </c>
      <c r="H490" s="49" t="str">
        <f>IF($B490="","",N('15_STOCK'!$J490))</f>
        <v/>
      </c>
      <c r="I490" s="39"/>
      <c r="J490" s="48" t="str">
        <f>IF(OR(tblConteo[[#This Row],[SKU]]="",tblConteo[[#This Row],[Conteo]]=""),"",tblConteo[[#This Row],[Conteo]]-tblConteo[[#This Row],[StockSistema]])</f>
        <v/>
      </c>
      <c r="K490" s="52" t="str">
        <f>IF($J490="","",$J490*N('15_STOCK'!$O490))</f>
        <v/>
      </c>
      <c r="L490" s="41" t="str">
        <f>IF(tblConteo[[#This Row],[Diferencia]]="","",IF(tblConteo[[#This Row],[Diferencia]]=0,"✔ Cuadra",IF(tblConteo[[#This Row],[Diferencia]]&gt;0,"▲ Sobrante","▼ Faltante")))</f>
        <v/>
      </c>
      <c r="M49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1" spans="2:13" x14ac:dyDescent="0.25">
      <c r="B491" s="40" t="str">
        <f>IF('05_PRODUCTOS'!$B491="","",'05_PRODUCTOS'!$B491)</f>
        <v/>
      </c>
      <c r="C491" s="43" t="str">
        <f>IF($B491="","",'05_PRODUCTOS'!$C491)</f>
        <v/>
      </c>
      <c r="D491" s="43" t="str">
        <f>IF($B491="","",'05_PRODUCTOS'!$D491)</f>
        <v/>
      </c>
      <c r="E491" s="40" t="str">
        <f>IF($B491="","",'05_PRODUCTOS'!$J491&amp;"")</f>
        <v/>
      </c>
      <c r="F491" s="40" t="str">
        <f>IF($B491="","",'05_PRODUCTOS'!$E491)</f>
        <v/>
      </c>
      <c r="G491" s="40" t="str">
        <f>IF($B491="","",IF('05_PRODUCTOS'!$K491="NO","NO","SI"))</f>
        <v/>
      </c>
      <c r="H491" s="49" t="str">
        <f>IF($B491="","",N('15_STOCK'!$J491))</f>
        <v/>
      </c>
      <c r="I491" s="39"/>
      <c r="J491" s="48" t="str">
        <f>IF(OR(tblConteo[[#This Row],[SKU]]="",tblConteo[[#This Row],[Conteo]]=""),"",tblConteo[[#This Row],[Conteo]]-tblConteo[[#This Row],[StockSistema]])</f>
        <v/>
      </c>
      <c r="K491" s="52" t="str">
        <f>IF($J491="","",$J491*N('15_STOCK'!$O491))</f>
        <v/>
      </c>
      <c r="L491" s="41" t="str">
        <f>IF(tblConteo[[#This Row],[Diferencia]]="","",IF(tblConteo[[#This Row],[Diferencia]]=0,"✔ Cuadra",IF(tblConteo[[#This Row],[Diferencia]]&gt;0,"▲ Sobrante","▼ Faltante")))</f>
        <v/>
      </c>
      <c r="M49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2" spans="2:13" x14ac:dyDescent="0.25">
      <c r="B492" s="40" t="str">
        <f>IF('05_PRODUCTOS'!$B492="","",'05_PRODUCTOS'!$B492)</f>
        <v/>
      </c>
      <c r="C492" s="43" t="str">
        <f>IF($B492="","",'05_PRODUCTOS'!$C492)</f>
        <v/>
      </c>
      <c r="D492" s="43" t="str">
        <f>IF($B492="","",'05_PRODUCTOS'!$D492)</f>
        <v/>
      </c>
      <c r="E492" s="40" t="str">
        <f>IF($B492="","",'05_PRODUCTOS'!$J492&amp;"")</f>
        <v/>
      </c>
      <c r="F492" s="40" t="str">
        <f>IF($B492="","",'05_PRODUCTOS'!$E492)</f>
        <v/>
      </c>
      <c r="G492" s="40" t="str">
        <f>IF($B492="","",IF('05_PRODUCTOS'!$K492="NO","NO","SI"))</f>
        <v/>
      </c>
      <c r="H492" s="49" t="str">
        <f>IF($B492="","",N('15_STOCK'!$J492))</f>
        <v/>
      </c>
      <c r="I492" s="39"/>
      <c r="J492" s="48" t="str">
        <f>IF(OR(tblConteo[[#This Row],[SKU]]="",tblConteo[[#This Row],[Conteo]]=""),"",tblConteo[[#This Row],[Conteo]]-tblConteo[[#This Row],[StockSistema]])</f>
        <v/>
      </c>
      <c r="K492" s="52" t="str">
        <f>IF($J492="","",$J492*N('15_STOCK'!$O492))</f>
        <v/>
      </c>
      <c r="L492" s="41" t="str">
        <f>IF(tblConteo[[#This Row],[Diferencia]]="","",IF(tblConteo[[#This Row],[Diferencia]]=0,"✔ Cuadra",IF(tblConteo[[#This Row],[Diferencia]]&gt;0,"▲ Sobrante","▼ Faltante")))</f>
        <v/>
      </c>
      <c r="M49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3" spans="2:13" x14ac:dyDescent="0.25">
      <c r="B493" s="40" t="str">
        <f>IF('05_PRODUCTOS'!$B493="","",'05_PRODUCTOS'!$B493)</f>
        <v/>
      </c>
      <c r="C493" s="43" t="str">
        <f>IF($B493="","",'05_PRODUCTOS'!$C493)</f>
        <v/>
      </c>
      <c r="D493" s="43" t="str">
        <f>IF($B493="","",'05_PRODUCTOS'!$D493)</f>
        <v/>
      </c>
      <c r="E493" s="40" t="str">
        <f>IF($B493="","",'05_PRODUCTOS'!$J493&amp;"")</f>
        <v/>
      </c>
      <c r="F493" s="40" t="str">
        <f>IF($B493="","",'05_PRODUCTOS'!$E493)</f>
        <v/>
      </c>
      <c r="G493" s="40" t="str">
        <f>IF($B493="","",IF('05_PRODUCTOS'!$K493="NO","NO","SI"))</f>
        <v/>
      </c>
      <c r="H493" s="49" t="str">
        <f>IF($B493="","",N('15_STOCK'!$J493))</f>
        <v/>
      </c>
      <c r="I493" s="39"/>
      <c r="J493" s="48" t="str">
        <f>IF(OR(tblConteo[[#This Row],[SKU]]="",tblConteo[[#This Row],[Conteo]]=""),"",tblConteo[[#This Row],[Conteo]]-tblConteo[[#This Row],[StockSistema]])</f>
        <v/>
      </c>
      <c r="K493" s="52" t="str">
        <f>IF($J493="","",$J493*N('15_STOCK'!$O493))</f>
        <v/>
      </c>
      <c r="L493" s="41" t="str">
        <f>IF(tblConteo[[#This Row],[Diferencia]]="","",IF(tblConteo[[#This Row],[Diferencia]]=0,"✔ Cuadra",IF(tblConteo[[#This Row],[Diferencia]]&gt;0,"▲ Sobrante","▼ Faltante")))</f>
        <v/>
      </c>
      <c r="M49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4" spans="2:13" x14ac:dyDescent="0.25">
      <c r="B494" s="40" t="str">
        <f>IF('05_PRODUCTOS'!$B494="","",'05_PRODUCTOS'!$B494)</f>
        <v/>
      </c>
      <c r="C494" s="43" t="str">
        <f>IF($B494="","",'05_PRODUCTOS'!$C494)</f>
        <v/>
      </c>
      <c r="D494" s="43" t="str">
        <f>IF($B494="","",'05_PRODUCTOS'!$D494)</f>
        <v/>
      </c>
      <c r="E494" s="40" t="str">
        <f>IF($B494="","",'05_PRODUCTOS'!$J494&amp;"")</f>
        <v/>
      </c>
      <c r="F494" s="40" t="str">
        <f>IF($B494="","",'05_PRODUCTOS'!$E494)</f>
        <v/>
      </c>
      <c r="G494" s="40" t="str">
        <f>IF($B494="","",IF('05_PRODUCTOS'!$K494="NO","NO","SI"))</f>
        <v/>
      </c>
      <c r="H494" s="49" t="str">
        <f>IF($B494="","",N('15_STOCK'!$J494))</f>
        <v/>
      </c>
      <c r="I494" s="39"/>
      <c r="J494" s="48" t="str">
        <f>IF(OR(tblConteo[[#This Row],[SKU]]="",tblConteo[[#This Row],[Conteo]]=""),"",tblConteo[[#This Row],[Conteo]]-tblConteo[[#This Row],[StockSistema]])</f>
        <v/>
      </c>
      <c r="K494" s="52" t="str">
        <f>IF($J494="","",$J494*N('15_STOCK'!$O494))</f>
        <v/>
      </c>
      <c r="L494" s="41" t="str">
        <f>IF(tblConteo[[#This Row],[Diferencia]]="","",IF(tblConteo[[#This Row],[Diferencia]]=0,"✔ Cuadra",IF(tblConteo[[#This Row],[Diferencia]]&gt;0,"▲ Sobrante","▼ Faltante")))</f>
        <v/>
      </c>
      <c r="M49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5" spans="2:13" x14ac:dyDescent="0.25">
      <c r="B495" s="40" t="str">
        <f>IF('05_PRODUCTOS'!$B495="","",'05_PRODUCTOS'!$B495)</f>
        <v/>
      </c>
      <c r="C495" s="43" t="str">
        <f>IF($B495="","",'05_PRODUCTOS'!$C495)</f>
        <v/>
      </c>
      <c r="D495" s="43" t="str">
        <f>IF($B495="","",'05_PRODUCTOS'!$D495)</f>
        <v/>
      </c>
      <c r="E495" s="40" t="str">
        <f>IF($B495="","",'05_PRODUCTOS'!$J495&amp;"")</f>
        <v/>
      </c>
      <c r="F495" s="40" t="str">
        <f>IF($B495="","",'05_PRODUCTOS'!$E495)</f>
        <v/>
      </c>
      <c r="G495" s="40" t="str">
        <f>IF($B495="","",IF('05_PRODUCTOS'!$K495="NO","NO","SI"))</f>
        <v/>
      </c>
      <c r="H495" s="49" t="str">
        <f>IF($B495="","",N('15_STOCK'!$J495))</f>
        <v/>
      </c>
      <c r="I495" s="39"/>
      <c r="J495" s="48" t="str">
        <f>IF(OR(tblConteo[[#This Row],[SKU]]="",tblConteo[[#This Row],[Conteo]]=""),"",tblConteo[[#This Row],[Conteo]]-tblConteo[[#This Row],[StockSistema]])</f>
        <v/>
      </c>
      <c r="K495" s="52" t="str">
        <f>IF($J495="","",$J495*N('15_STOCK'!$O495))</f>
        <v/>
      </c>
      <c r="L495" s="41" t="str">
        <f>IF(tblConteo[[#This Row],[Diferencia]]="","",IF(tblConteo[[#This Row],[Diferencia]]=0,"✔ Cuadra",IF(tblConteo[[#This Row],[Diferencia]]&gt;0,"▲ Sobrante","▼ Faltante")))</f>
        <v/>
      </c>
      <c r="M49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6" spans="2:13" x14ac:dyDescent="0.25">
      <c r="B496" s="40" t="str">
        <f>IF('05_PRODUCTOS'!$B496="","",'05_PRODUCTOS'!$B496)</f>
        <v/>
      </c>
      <c r="C496" s="43" t="str">
        <f>IF($B496="","",'05_PRODUCTOS'!$C496)</f>
        <v/>
      </c>
      <c r="D496" s="43" t="str">
        <f>IF($B496="","",'05_PRODUCTOS'!$D496)</f>
        <v/>
      </c>
      <c r="E496" s="40" t="str">
        <f>IF($B496="","",'05_PRODUCTOS'!$J496&amp;"")</f>
        <v/>
      </c>
      <c r="F496" s="40" t="str">
        <f>IF($B496="","",'05_PRODUCTOS'!$E496)</f>
        <v/>
      </c>
      <c r="G496" s="40" t="str">
        <f>IF($B496="","",IF('05_PRODUCTOS'!$K496="NO","NO","SI"))</f>
        <v/>
      </c>
      <c r="H496" s="49" t="str">
        <f>IF($B496="","",N('15_STOCK'!$J496))</f>
        <v/>
      </c>
      <c r="I496" s="39"/>
      <c r="J496" s="48" t="str">
        <f>IF(OR(tblConteo[[#This Row],[SKU]]="",tblConteo[[#This Row],[Conteo]]=""),"",tblConteo[[#This Row],[Conteo]]-tblConteo[[#This Row],[StockSistema]])</f>
        <v/>
      </c>
      <c r="K496" s="52" t="str">
        <f>IF($J496="","",$J496*N('15_STOCK'!$O496))</f>
        <v/>
      </c>
      <c r="L496" s="41" t="str">
        <f>IF(tblConteo[[#This Row],[Diferencia]]="","",IF(tblConteo[[#This Row],[Diferencia]]=0,"✔ Cuadra",IF(tblConteo[[#This Row],[Diferencia]]&gt;0,"▲ Sobrante","▼ Faltante")))</f>
        <v/>
      </c>
      <c r="M49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7" spans="2:13" x14ac:dyDescent="0.25">
      <c r="B497" s="40" t="str">
        <f>IF('05_PRODUCTOS'!$B497="","",'05_PRODUCTOS'!$B497)</f>
        <v/>
      </c>
      <c r="C497" s="43" t="str">
        <f>IF($B497="","",'05_PRODUCTOS'!$C497)</f>
        <v/>
      </c>
      <c r="D497" s="43" t="str">
        <f>IF($B497="","",'05_PRODUCTOS'!$D497)</f>
        <v/>
      </c>
      <c r="E497" s="40" t="str">
        <f>IF($B497="","",'05_PRODUCTOS'!$J497&amp;"")</f>
        <v/>
      </c>
      <c r="F497" s="40" t="str">
        <f>IF($B497="","",'05_PRODUCTOS'!$E497)</f>
        <v/>
      </c>
      <c r="G497" s="40" t="str">
        <f>IF($B497="","",IF('05_PRODUCTOS'!$K497="NO","NO","SI"))</f>
        <v/>
      </c>
      <c r="H497" s="49" t="str">
        <f>IF($B497="","",N('15_STOCK'!$J497))</f>
        <v/>
      </c>
      <c r="I497" s="39"/>
      <c r="J497" s="48" t="str">
        <f>IF(OR(tblConteo[[#This Row],[SKU]]="",tblConteo[[#This Row],[Conteo]]=""),"",tblConteo[[#This Row],[Conteo]]-tblConteo[[#This Row],[StockSistema]])</f>
        <v/>
      </c>
      <c r="K497" s="52" t="str">
        <f>IF($J497="","",$J497*N('15_STOCK'!$O497))</f>
        <v/>
      </c>
      <c r="L497" s="41" t="str">
        <f>IF(tblConteo[[#This Row],[Diferencia]]="","",IF(tblConteo[[#This Row],[Diferencia]]=0,"✔ Cuadra",IF(tblConteo[[#This Row],[Diferencia]]&gt;0,"▲ Sobrante","▼ Faltante")))</f>
        <v/>
      </c>
      <c r="M49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8" spans="2:13" x14ac:dyDescent="0.25">
      <c r="B498" s="40" t="str">
        <f>IF('05_PRODUCTOS'!$B498="","",'05_PRODUCTOS'!$B498)</f>
        <v/>
      </c>
      <c r="C498" s="43" t="str">
        <f>IF($B498="","",'05_PRODUCTOS'!$C498)</f>
        <v/>
      </c>
      <c r="D498" s="43" t="str">
        <f>IF($B498="","",'05_PRODUCTOS'!$D498)</f>
        <v/>
      </c>
      <c r="E498" s="40" t="str">
        <f>IF($B498="","",'05_PRODUCTOS'!$J498&amp;"")</f>
        <v/>
      </c>
      <c r="F498" s="40" t="str">
        <f>IF($B498="","",'05_PRODUCTOS'!$E498)</f>
        <v/>
      </c>
      <c r="G498" s="40" t="str">
        <f>IF($B498="","",IF('05_PRODUCTOS'!$K498="NO","NO","SI"))</f>
        <v/>
      </c>
      <c r="H498" s="49" t="str">
        <f>IF($B498="","",N('15_STOCK'!$J498))</f>
        <v/>
      </c>
      <c r="I498" s="39"/>
      <c r="J498" s="48" t="str">
        <f>IF(OR(tblConteo[[#This Row],[SKU]]="",tblConteo[[#This Row],[Conteo]]=""),"",tblConteo[[#This Row],[Conteo]]-tblConteo[[#This Row],[StockSistema]])</f>
        <v/>
      </c>
      <c r="K498" s="52" t="str">
        <f>IF($J498="","",$J498*N('15_STOCK'!$O498))</f>
        <v/>
      </c>
      <c r="L498" s="41" t="str">
        <f>IF(tblConteo[[#This Row],[Diferencia]]="","",IF(tblConteo[[#This Row],[Diferencia]]=0,"✔ Cuadra",IF(tblConteo[[#This Row],[Diferencia]]&gt;0,"▲ Sobrante","▼ Faltante")))</f>
        <v/>
      </c>
      <c r="M498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499" spans="2:13" x14ac:dyDescent="0.25">
      <c r="B499" s="40" t="str">
        <f>IF('05_PRODUCTOS'!$B499="","",'05_PRODUCTOS'!$B499)</f>
        <v/>
      </c>
      <c r="C499" s="43" t="str">
        <f>IF($B499="","",'05_PRODUCTOS'!$C499)</f>
        <v/>
      </c>
      <c r="D499" s="43" t="str">
        <f>IF($B499="","",'05_PRODUCTOS'!$D499)</f>
        <v/>
      </c>
      <c r="E499" s="40" t="str">
        <f>IF($B499="","",'05_PRODUCTOS'!$J499&amp;"")</f>
        <v/>
      </c>
      <c r="F499" s="40" t="str">
        <f>IF($B499="","",'05_PRODUCTOS'!$E499)</f>
        <v/>
      </c>
      <c r="G499" s="40" t="str">
        <f>IF($B499="","",IF('05_PRODUCTOS'!$K499="NO","NO","SI"))</f>
        <v/>
      </c>
      <c r="H499" s="49" t="str">
        <f>IF($B499="","",N('15_STOCK'!$J499))</f>
        <v/>
      </c>
      <c r="I499" s="39"/>
      <c r="J499" s="48" t="str">
        <f>IF(OR(tblConteo[[#This Row],[SKU]]="",tblConteo[[#This Row],[Conteo]]=""),"",tblConteo[[#This Row],[Conteo]]-tblConteo[[#This Row],[StockSistema]])</f>
        <v/>
      </c>
      <c r="K499" s="52" t="str">
        <f>IF($J499="","",$J499*N('15_STOCK'!$O499))</f>
        <v/>
      </c>
      <c r="L499" s="41" t="str">
        <f>IF(tblConteo[[#This Row],[Diferencia]]="","",IF(tblConteo[[#This Row],[Diferencia]]=0,"✔ Cuadra",IF(tblConteo[[#This Row],[Diferencia]]&gt;0,"▲ Sobrante","▼ Faltante")))</f>
        <v/>
      </c>
      <c r="M499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0" spans="2:13" x14ac:dyDescent="0.25">
      <c r="B500" s="40" t="str">
        <f>IF('05_PRODUCTOS'!$B500="","",'05_PRODUCTOS'!$B500)</f>
        <v/>
      </c>
      <c r="C500" s="43" t="str">
        <f>IF($B500="","",'05_PRODUCTOS'!$C500)</f>
        <v/>
      </c>
      <c r="D500" s="43" t="str">
        <f>IF($B500="","",'05_PRODUCTOS'!$D500)</f>
        <v/>
      </c>
      <c r="E500" s="40" t="str">
        <f>IF($B500="","",'05_PRODUCTOS'!$J500&amp;"")</f>
        <v/>
      </c>
      <c r="F500" s="40" t="str">
        <f>IF($B500="","",'05_PRODUCTOS'!$E500)</f>
        <v/>
      </c>
      <c r="G500" s="40" t="str">
        <f>IF($B500="","",IF('05_PRODUCTOS'!$K500="NO","NO","SI"))</f>
        <v/>
      </c>
      <c r="H500" s="49" t="str">
        <f>IF($B500="","",N('15_STOCK'!$J500))</f>
        <v/>
      </c>
      <c r="I500" s="39"/>
      <c r="J500" s="48" t="str">
        <f>IF(OR(tblConteo[[#This Row],[SKU]]="",tblConteo[[#This Row],[Conteo]]=""),"",tblConteo[[#This Row],[Conteo]]-tblConteo[[#This Row],[StockSistema]])</f>
        <v/>
      </c>
      <c r="K500" s="52" t="str">
        <f>IF($J500="","",$J500*N('15_STOCK'!$O500))</f>
        <v/>
      </c>
      <c r="L500" s="41" t="str">
        <f>IF(tblConteo[[#This Row],[Diferencia]]="","",IF(tblConteo[[#This Row],[Diferencia]]=0,"✔ Cuadra",IF(tblConteo[[#This Row],[Diferencia]]&gt;0,"▲ Sobrante","▼ Faltante")))</f>
        <v/>
      </c>
      <c r="M500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1" spans="2:13" x14ac:dyDescent="0.25">
      <c r="B501" s="40" t="str">
        <f>IF('05_PRODUCTOS'!$B501="","",'05_PRODUCTOS'!$B501)</f>
        <v/>
      </c>
      <c r="C501" s="43" t="str">
        <f>IF($B501="","",'05_PRODUCTOS'!$C501)</f>
        <v/>
      </c>
      <c r="D501" s="43" t="str">
        <f>IF($B501="","",'05_PRODUCTOS'!$D501)</f>
        <v/>
      </c>
      <c r="E501" s="40" t="str">
        <f>IF($B501="","",'05_PRODUCTOS'!$J501&amp;"")</f>
        <v/>
      </c>
      <c r="F501" s="40" t="str">
        <f>IF($B501="","",'05_PRODUCTOS'!$E501)</f>
        <v/>
      </c>
      <c r="G501" s="40" t="str">
        <f>IF($B501="","",IF('05_PRODUCTOS'!$K501="NO","NO","SI"))</f>
        <v/>
      </c>
      <c r="H501" s="49" t="str">
        <f>IF($B501="","",N('15_STOCK'!$J501))</f>
        <v/>
      </c>
      <c r="I501" s="39"/>
      <c r="J501" s="48" t="str">
        <f>IF(OR(tblConteo[[#This Row],[SKU]]="",tblConteo[[#This Row],[Conteo]]=""),"",tblConteo[[#This Row],[Conteo]]-tblConteo[[#This Row],[StockSistema]])</f>
        <v/>
      </c>
      <c r="K501" s="52" t="str">
        <f>IF($J501="","",$J501*N('15_STOCK'!$O501))</f>
        <v/>
      </c>
      <c r="L501" s="41" t="str">
        <f>IF(tblConteo[[#This Row],[Diferencia]]="","",IF(tblConteo[[#This Row],[Diferencia]]=0,"✔ Cuadra",IF(tblConteo[[#This Row],[Diferencia]]&gt;0,"▲ Sobrante","▼ Faltante")))</f>
        <v/>
      </c>
      <c r="M501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2" spans="2:13" x14ac:dyDescent="0.25">
      <c r="B502" s="40" t="str">
        <f>IF('05_PRODUCTOS'!$B502="","",'05_PRODUCTOS'!$B502)</f>
        <v/>
      </c>
      <c r="C502" s="43" t="str">
        <f>IF($B502="","",'05_PRODUCTOS'!$C502)</f>
        <v/>
      </c>
      <c r="D502" s="43" t="str">
        <f>IF($B502="","",'05_PRODUCTOS'!$D502)</f>
        <v/>
      </c>
      <c r="E502" s="40" t="str">
        <f>IF($B502="","",'05_PRODUCTOS'!$J502&amp;"")</f>
        <v/>
      </c>
      <c r="F502" s="40" t="str">
        <f>IF($B502="","",'05_PRODUCTOS'!$E502)</f>
        <v/>
      </c>
      <c r="G502" s="40" t="str">
        <f>IF($B502="","",IF('05_PRODUCTOS'!$K502="NO","NO","SI"))</f>
        <v/>
      </c>
      <c r="H502" s="49" t="str">
        <f>IF($B502="","",N('15_STOCK'!$J502))</f>
        <v/>
      </c>
      <c r="I502" s="39"/>
      <c r="J502" s="48" t="str">
        <f>IF(OR(tblConteo[[#This Row],[SKU]]="",tblConteo[[#This Row],[Conteo]]=""),"",tblConteo[[#This Row],[Conteo]]-tblConteo[[#This Row],[StockSistema]])</f>
        <v/>
      </c>
      <c r="K502" s="52" t="str">
        <f>IF($J502="","",$J502*N('15_STOCK'!$O502))</f>
        <v/>
      </c>
      <c r="L502" s="41" t="str">
        <f>IF(tblConteo[[#This Row],[Diferencia]]="","",IF(tblConteo[[#This Row],[Diferencia]]=0,"✔ Cuadra",IF(tblConteo[[#This Row],[Diferencia]]&gt;0,"▲ Sobrante","▼ Faltante")))</f>
        <v/>
      </c>
      <c r="M502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3" spans="2:13" x14ac:dyDescent="0.25">
      <c r="B503" s="40" t="str">
        <f>IF('05_PRODUCTOS'!$B503="","",'05_PRODUCTOS'!$B503)</f>
        <v/>
      </c>
      <c r="C503" s="43" t="str">
        <f>IF($B503="","",'05_PRODUCTOS'!$C503)</f>
        <v/>
      </c>
      <c r="D503" s="43" t="str">
        <f>IF($B503="","",'05_PRODUCTOS'!$D503)</f>
        <v/>
      </c>
      <c r="E503" s="40" t="str">
        <f>IF($B503="","",'05_PRODUCTOS'!$J503&amp;"")</f>
        <v/>
      </c>
      <c r="F503" s="40" t="str">
        <f>IF($B503="","",'05_PRODUCTOS'!$E503)</f>
        <v/>
      </c>
      <c r="G503" s="40" t="str">
        <f>IF($B503="","",IF('05_PRODUCTOS'!$K503="NO","NO","SI"))</f>
        <v/>
      </c>
      <c r="H503" s="49" t="str">
        <f>IF($B503="","",N('15_STOCK'!$J503))</f>
        <v/>
      </c>
      <c r="I503" s="39"/>
      <c r="J503" s="48" t="str">
        <f>IF(OR(tblConteo[[#This Row],[SKU]]="",tblConteo[[#This Row],[Conteo]]=""),"",tblConteo[[#This Row],[Conteo]]-tblConteo[[#This Row],[StockSistema]])</f>
        <v/>
      </c>
      <c r="K503" s="52" t="str">
        <f>IF($J503="","",$J503*N('15_STOCK'!$O503))</f>
        <v/>
      </c>
      <c r="L503" s="41" t="str">
        <f>IF(tblConteo[[#This Row],[Diferencia]]="","",IF(tblConteo[[#This Row],[Diferencia]]=0,"✔ Cuadra",IF(tblConteo[[#This Row],[Diferencia]]&gt;0,"▲ Sobrante","▼ Faltante")))</f>
        <v/>
      </c>
      <c r="M503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4" spans="2:13" x14ac:dyDescent="0.25">
      <c r="B504" s="40" t="str">
        <f>IF('05_PRODUCTOS'!$B504="","",'05_PRODUCTOS'!$B504)</f>
        <v/>
      </c>
      <c r="C504" s="43" t="str">
        <f>IF($B504="","",'05_PRODUCTOS'!$C504)</f>
        <v/>
      </c>
      <c r="D504" s="43" t="str">
        <f>IF($B504="","",'05_PRODUCTOS'!$D504)</f>
        <v/>
      </c>
      <c r="E504" s="40" t="str">
        <f>IF($B504="","",'05_PRODUCTOS'!$J504&amp;"")</f>
        <v/>
      </c>
      <c r="F504" s="40" t="str">
        <f>IF($B504="","",'05_PRODUCTOS'!$E504)</f>
        <v/>
      </c>
      <c r="G504" s="40" t="str">
        <f>IF($B504="","",IF('05_PRODUCTOS'!$K504="NO","NO","SI"))</f>
        <v/>
      </c>
      <c r="H504" s="49" t="str">
        <f>IF($B504="","",N('15_STOCK'!$J504))</f>
        <v/>
      </c>
      <c r="I504" s="39"/>
      <c r="J504" s="48" t="str">
        <f>IF(OR(tblConteo[[#This Row],[SKU]]="",tblConteo[[#This Row],[Conteo]]=""),"",tblConteo[[#This Row],[Conteo]]-tblConteo[[#This Row],[StockSistema]])</f>
        <v/>
      </c>
      <c r="K504" s="52" t="str">
        <f>IF($J504="","",$J504*N('15_STOCK'!$O504))</f>
        <v/>
      </c>
      <c r="L504" s="41" t="str">
        <f>IF(tblConteo[[#This Row],[Diferencia]]="","",IF(tblConteo[[#This Row],[Diferencia]]=0,"✔ Cuadra",IF(tblConteo[[#This Row],[Diferencia]]&gt;0,"▲ Sobrante","▼ Faltante")))</f>
        <v/>
      </c>
      <c r="M504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5" spans="2:13" x14ac:dyDescent="0.25">
      <c r="B505" s="40" t="str">
        <f>IF('05_PRODUCTOS'!$B505="","",'05_PRODUCTOS'!$B505)</f>
        <v/>
      </c>
      <c r="C505" s="43" t="str">
        <f>IF($B505="","",'05_PRODUCTOS'!$C505)</f>
        <v/>
      </c>
      <c r="D505" s="43" t="str">
        <f>IF($B505="","",'05_PRODUCTOS'!$D505)</f>
        <v/>
      </c>
      <c r="E505" s="40" t="str">
        <f>IF($B505="","",'05_PRODUCTOS'!$J505&amp;"")</f>
        <v/>
      </c>
      <c r="F505" s="40" t="str">
        <f>IF($B505="","",'05_PRODUCTOS'!$E505)</f>
        <v/>
      </c>
      <c r="G505" s="40" t="str">
        <f>IF($B505="","",IF('05_PRODUCTOS'!$K505="NO","NO","SI"))</f>
        <v/>
      </c>
      <c r="H505" s="49" t="str">
        <f>IF($B505="","",N('15_STOCK'!$J505))</f>
        <v/>
      </c>
      <c r="I505" s="39"/>
      <c r="J505" s="48" t="str">
        <f>IF(OR(tblConteo[[#This Row],[SKU]]="",tblConteo[[#This Row],[Conteo]]=""),"",tblConteo[[#This Row],[Conteo]]-tblConteo[[#This Row],[StockSistema]])</f>
        <v/>
      </c>
      <c r="K505" s="52" t="str">
        <f>IF($J505="","",$J505*N('15_STOCK'!$O505))</f>
        <v/>
      </c>
      <c r="L505" s="41" t="str">
        <f>IF(tblConteo[[#This Row],[Diferencia]]="","",IF(tblConteo[[#This Row],[Diferencia]]=0,"✔ Cuadra",IF(tblConteo[[#This Row],[Diferencia]]&gt;0,"▲ Sobrante","▼ Faltante")))</f>
        <v/>
      </c>
      <c r="M505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6" spans="2:13" x14ac:dyDescent="0.25">
      <c r="B506" s="40" t="str">
        <f>IF('05_PRODUCTOS'!$B506="","",'05_PRODUCTOS'!$B506)</f>
        <v/>
      </c>
      <c r="C506" s="43" t="str">
        <f>IF($B506="","",'05_PRODUCTOS'!$C506)</f>
        <v/>
      </c>
      <c r="D506" s="43" t="str">
        <f>IF($B506="","",'05_PRODUCTOS'!$D506)</f>
        <v/>
      </c>
      <c r="E506" s="40" t="str">
        <f>IF($B506="","",'05_PRODUCTOS'!$J506&amp;"")</f>
        <v/>
      </c>
      <c r="F506" s="40" t="str">
        <f>IF($B506="","",'05_PRODUCTOS'!$E506)</f>
        <v/>
      </c>
      <c r="G506" s="40" t="str">
        <f>IF($B506="","",IF('05_PRODUCTOS'!$K506="NO","NO","SI"))</f>
        <v/>
      </c>
      <c r="H506" s="49" t="str">
        <f>IF($B506="","",N('15_STOCK'!$J506))</f>
        <v/>
      </c>
      <c r="I506" s="39"/>
      <c r="J506" s="48" t="str">
        <f>IF(OR(tblConteo[[#This Row],[SKU]]="",tblConteo[[#This Row],[Conteo]]=""),"",tblConteo[[#This Row],[Conteo]]-tblConteo[[#This Row],[StockSistema]])</f>
        <v/>
      </c>
      <c r="K506" s="52" t="str">
        <f>IF($J506="","",$J506*N('15_STOCK'!$O506))</f>
        <v/>
      </c>
      <c r="L506" s="41" t="str">
        <f>IF(tblConteo[[#This Row],[Diferencia]]="","",IF(tblConteo[[#This Row],[Diferencia]]=0,"✔ Cuadra",IF(tblConteo[[#This Row],[Diferencia]]&gt;0,"▲ Sobrante","▼ Faltante")))</f>
        <v/>
      </c>
      <c r="M506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  <row r="507" spans="2:13" x14ac:dyDescent="0.25">
      <c r="B507" s="40" t="str">
        <f>IF('05_PRODUCTOS'!$B507="","",'05_PRODUCTOS'!$B507)</f>
        <v/>
      </c>
      <c r="C507" s="43" t="str">
        <f>IF($B507="","",'05_PRODUCTOS'!$C507)</f>
        <v/>
      </c>
      <c r="D507" s="43" t="str">
        <f>IF($B507="","",'05_PRODUCTOS'!$D507)</f>
        <v/>
      </c>
      <c r="E507" s="40" t="str">
        <f>IF($B507="","",'05_PRODUCTOS'!$J507&amp;"")</f>
        <v/>
      </c>
      <c r="F507" s="40" t="str">
        <f>IF($B507="","",'05_PRODUCTOS'!$E507)</f>
        <v/>
      </c>
      <c r="G507" s="40" t="str">
        <f>IF($B507="","",IF('05_PRODUCTOS'!$K507="NO","NO","SI"))</f>
        <v/>
      </c>
      <c r="H507" s="49" t="str">
        <f>IF($B507="","",N('15_STOCK'!$J507))</f>
        <v/>
      </c>
      <c r="I507" s="39"/>
      <c r="J507" s="48" t="str">
        <f>IF(OR(tblConteo[[#This Row],[SKU]]="",tblConteo[[#This Row],[Conteo]]=""),"",tblConteo[[#This Row],[Conteo]]-tblConteo[[#This Row],[StockSistema]])</f>
        <v/>
      </c>
      <c r="K507" s="52" t="str">
        <f>IF($J507="","",$J507*N('15_STOCK'!$O507))</f>
        <v/>
      </c>
      <c r="L507" s="41" t="str">
        <f>IF(tblConteo[[#This Row],[Diferencia]]="","",IF(tblConteo[[#This Row],[Diferencia]]=0,"✔ Cuadra",IF(tblConteo[[#This Row],[Diferencia]]&gt;0,"▲ Sobrante","▼ Faltante")))</f>
        <v/>
      </c>
      <c r="M507" s="43" t="str">
        <f>IF(OR(tblConteo[[#This Row],[Diferencia]]="",tblConteo[[#This Row],[Diferencia]]=0),"",IF(tblConteo[[#This Row],[Diferencia]]&gt;0,"AJUSTE (+) ","AJUSTE (-) ")&amp;ABS(tblConteo[[#This Row],[Diferencia]])&amp;" "&amp;tblConteo[[#This Row],[Unidad]])</f>
        <v/>
      </c>
    </row>
  </sheetData>
  <sheetProtection password="930D" sheet="1" objects="1" scenarios="1" formatColumns="0" autoFilter="0"/>
  <conditionalFormatting sqref="B8:M507">
    <cfRule type="expression" dxfId="90" priority="11">
      <formula>$G8="NO"</formula>
    </cfRule>
  </conditionalFormatting>
  <conditionalFormatting sqref="H8:H507">
    <cfRule type="expression" dxfId="89" priority="12">
      <formula>AND(ISNUMBER(H8),H8&lt;&gt;INT(H8))</formula>
    </cfRule>
  </conditionalFormatting>
  <conditionalFormatting sqref="I8:I507">
    <cfRule type="expression" dxfId="88" priority="1">
      <formula>$I8&lt;&gt;""</formula>
    </cfRule>
    <cfRule type="expression" dxfId="87" priority="13">
      <formula>AND(ISNUMBER(I8),I8&lt;&gt;INT(I8))</formula>
    </cfRule>
  </conditionalFormatting>
  <conditionalFormatting sqref="J8:J507">
    <cfRule type="expression" dxfId="86" priority="5">
      <formula>AND(ISNUMBER($J8),$J8&gt;0)</formula>
    </cfRule>
    <cfRule type="expression" dxfId="85" priority="6">
      <formula>AND(ISNUMBER($J8),$J8&lt;0)</formula>
    </cfRule>
    <cfRule type="expression" dxfId="84" priority="14">
      <formula>AND(ISNUMBER(J8),J8&lt;&gt;INT(J8))</formula>
    </cfRule>
  </conditionalFormatting>
  <conditionalFormatting sqref="K8:K507">
    <cfRule type="expression" dxfId="83" priority="7">
      <formula>AND(ISNUMBER($J8),$J8&gt;0)</formula>
    </cfRule>
    <cfRule type="expression" dxfId="82" priority="8">
      <formula>AND(ISNUMBER($J8),$J8&lt;0)</formula>
    </cfRule>
  </conditionalFormatting>
  <conditionalFormatting sqref="L8:L507">
    <cfRule type="expression" dxfId="81" priority="2">
      <formula>LEFT($L8,1)="✔"</formula>
    </cfRule>
    <cfRule type="expression" dxfId="80" priority="3">
      <formula>LEFT($L8,1)="▲"</formula>
    </cfRule>
    <cfRule type="expression" dxfId="79" priority="4">
      <formula>LEFT($L8,1)="▼"</formula>
    </cfRule>
  </conditionalFormatting>
  <conditionalFormatting sqref="M8:M507">
    <cfRule type="expression" dxfId="78" priority="9">
      <formula>AND(ISNUMBER($J8),$J8&gt;0)</formula>
    </cfRule>
    <cfRule type="expression" dxfId="77" priority="10">
      <formula>AND(ISNUMBER($J8),$J8&lt;0)</formula>
    </cfRule>
  </conditionalFormatting>
  <dataValidations count="11">
    <dataValidation allowBlank="1" showInputMessage="1" showErrorMessage="1" promptTitle="ƒx SKU" prompt="Espejo de 05_PRODUCTOS (misma fila)." sqref="B7" xr:uid="{00000000-0002-0000-0700-000000000000}"/>
    <dataValidation allowBlank="1" showInputMessage="1" showErrorMessage="1" promptTitle="ƒx Ubicación" prompt="Ubicación en bodega: filtre por ella para recorrer la bodega en orden." sqref="E7" xr:uid="{00000000-0002-0000-0700-000001000000}"/>
    <dataValidation allowBlank="1" showInputMessage="1" showErrorMessage="1" promptTitle="ƒx StockSistema" prompt="Stock actual según la bitácora (15_STOCK). Para un conteo ciego, oculte esta columna antes de imprimir." sqref="H7" xr:uid="{00000000-0002-0000-0700-000002000000}"/>
    <dataValidation allowBlank="1" showInputMessage="1" showErrorMessage="1" promptTitle="✎ Conteo" prompt="Cantidad contada físicamente. Deje vacío lo que no contó: solo se ajustan los productos con conteo." sqref="I7" xr:uid="{00000000-0002-0000-0700-000003000000}"/>
    <dataValidation allowBlank="1" showInputMessage="1" showErrorMessage="1" promptTitle="ƒx Diferencia" prompt="Conteo − stock del sistema. Positiva = sobrante; negativa = faltante." sqref="J7" xr:uid="{00000000-0002-0000-0700-000004000000}"/>
    <dataValidation allowBlank="1" showInputMessage="1" showErrorMessage="1" promptTitle="ƒx ValorDiferencia" prompt="Diferencia × costo unitario del catálogo." sqref="K7" xr:uid="{00000000-0002-0000-0700-000005000000}"/>
    <dataValidation allowBlank="1" showInputMessage="1" showErrorMessage="1" promptTitle="ƒx Resultado" prompt="✔ cuadra · ▲ sobrante · ▼ faltante." sqref="L7" xr:uid="{00000000-0002-0000-0700-000006000000}"/>
    <dataValidation allowBlank="1" showInputMessage="1" showErrorMessage="1" promptTitle="ƒx AjusteSugerido" prompt="Movimiento que corrige la diferencia en la bitácora." sqref="M7" xr:uid="{00000000-0002-0000-0700-000007000000}"/>
    <dataValidation type="custom" allowBlank="1" showInputMessage="1" showErrorMessage="1" errorTitle="Conteo no válido" error="Escriba un número mayor o igual a 0. Esta unidad no admite decimales." promptTitle="Conteo físico" prompt="Cantidad encontrada en bodega (0 o más). Deje vacío si no contó este producto." sqref="I8:I507" xr:uid="{00000000-0002-0000-0700-000008000000}">
      <formula1>AND(ISNUMBER(I8),I8&gt;=0,IFERROR(OR(INDEX(lstUniDec,MATCH($F8,lstUniCod,0))="SI",I8=INT(I8)),TRUE))</formula1>
    </dataValidation>
    <dataValidation type="date" allowBlank="1" showInputMessage="1" showErrorMessage="1" errorTitle="Fecha no válida" error="No se permiten fechas futuras ni anteriores a la mínima." promptTitle="Fecha del conteo" prompt="Vacía = hoy. Es la fecha que llevarán los ajustes." sqref="K5" xr:uid="{00000000-0002-0000-0700-000009000000}">
      <formula1>cfgFechaMin</formula1>
      <formula2>TODAY()</formula2>
    </dataValidation>
    <dataValidation type="list" allowBlank="1" showInputMessage="1" showErrorMessage="1" errorTitle="Responsable no válido" error="Seleccione un nombre de la lista." promptTitle="Responsable del conteo" prompt="Quién realizó el conteo (se registra en los ajustes)." sqref="M5" xr:uid="{00000000-0002-0000-0700-00000A000000}">
      <formula1>lstResponsables</formula1>
    </dataValidation>
  </dataValidations>
  <pageMargins left="0.4" right="0.4" top="0.7" bottom="0.6" header="0.3" footer="0.3"/>
  <pageSetup fitToHeight="0" orientation="landscape"/>
  <headerFooter>
    <oddHeader>&amp;L&amp;"Segoe UI,Bold"&amp;9M-INV · Toma física de inventario&amp;R&amp;"Segoe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96B"/>
    <pageSetUpPr fitToPage="1"/>
  </sheetPr>
  <dimension ref="B1:R507"/>
  <sheetViews>
    <sheetView showGridLines="0" showRowColHeaders="0" zoomScale="90" zoomScaleNormal="90" workbookViewId="0">
      <pane ySplit="7" topLeftCell="A8" activePane="bottomLeft" state="frozen"/>
      <selection pane="bottomLeft" activeCell="B8" sqref="B8"/>
    </sheetView>
  </sheetViews>
  <sheetFormatPr baseColWidth="10" defaultColWidth="0" defaultRowHeight="15" zeroHeight="1" x14ac:dyDescent="0.25"/>
  <cols>
    <col min="1" max="1" width="2.28515625" customWidth="1"/>
    <col min="2" max="2" width="12" customWidth="1"/>
    <col min="3" max="3" width="38.5703125" customWidth="1"/>
    <col min="4" max="4" width="24" customWidth="1"/>
    <col min="5" max="5" width="28.5703125" customWidth="1"/>
    <col min="6" max="6" width="11.140625" customWidth="1"/>
    <col min="7" max="7" width="10.5703125" customWidth="1"/>
    <col min="8" max="9" width="12.5703125" customWidth="1"/>
    <col min="10" max="10" width="16" customWidth="1"/>
    <col min="11" max="12" width="13.42578125" customWidth="1"/>
    <col min="13" max="13" width="16.5703125" customWidth="1"/>
    <col min="14" max="14" width="19.7109375" customWidth="1"/>
    <col min="15" max="15" width="17.140625" customWidth="1"/>
    <col min="16" max="16" width="19.42578125" customWidth="1"/>
    <col min="17" max="17" width="16" customWidth="1"/>
    <col min="18" max="18" width="16.28515625" customWidth="1"/>
    <col min="19" max="19" width="2.28515625" customWidth="1"/>
    <col min="20" max="20" width="0" hidden="1" customWidth="1"/>
  </cols>
  <sheetData>
    <row r="1" spans="2:18" s="1" customFormat="1" ht="6" customHeight="1" x14ac:dyDescent="0.25"/>
    <row r="2" spans="2:18" s="1" customFormat="1" ht="24" customHeight="1" x14ac:dyDescent="0.25">
      <c r="B2" s="12" t="s">
        <v>181</v>
      </c>
    </row>
    <row r="3" spans="2:18" s="1" customFormat="1" ht="14.25" x14ac:dyDescent="0.25">
      <c r="B3" s="13" t="s">
        <v>182</v>
      </c>
    </row>
    <row r="4" spans="2:18" s="1" customFormat="1" ht="7.5" customHeight="1" x14ac:dyDescent="0.25"/>
    <row r="5" spans="2:18" s="4" customFormat="1" ht="25.5" customHeight="1" x14ac:dyDescent="0.25"/>
    <row r="6" spans="2:18" s="4" customFormat="1" ht="12" customHeight="1" x14ac:dyDescent="0.25">
      <c r="B6" s="36" t="s">
        <v>149</v>
      </c>
      <c r="C6" s="36" t="s">
        <v>149</v>
      </c>
      <c r="D6" s="36" t="s">
        <v>149</v>
      </c>
      <c r="E6" s="36" t="s">
        <v>149</v>
      </c>
      <c r="F6" s="36" t="s">
        <v>149</v>
      </c>
      <c r="G6" s="36" t="s">
        <v>149</v>
      </c>
      <c r="H6" s="36" t="s">
        <v>149</v>
      </c>
      <c r="I6" s="36" t="s">
        <v>149</v>
      </c>
      <c r="J6" s="36" t="s">
        <v>149</v>
      </c>
      <c r="K6" s="36" t="s">
        <v>149</v>
      </c>
      <c r="L6" s="36" t="s">
        <v>149</v>
      </c>
      <c r="M6" s="36" t="s">
        <v>149</v>
      </c>
      <c r="N6" s="36" t="s">
        <v>149</v>
      </c>
      <c r="O6" s="36" t="s">
        <v>149</v>
      </c>
      <c r="P6" s="36" t="s">
        <v>149</v>
      </c>
      <c r="Q6" s="36" t="s">
        <v>149</v>
      </c>
      <c r="R6" s="36" t="s">
        <v>149</v>
      </c>
    </row>
    <row r="7" spans="2:18" ht="25.5" customHeight="1" x14ac:dyDescent="0.25">
      <c r="B7" s="15" t="s">
        <v>152</v>
      </c>
      <c r="C7" s="15" t="s">
        <v>153</v>
      </c>
      <c r="D7" s="15" t="s">
        <v>86</v>
      </c>
      <c r="E7" s="15" t="s">
        <v>139</v>
      </c>
      <c r="F7" s="15" t="s">
        <v>107</v>
      </c>
      <c r="G7" s="15" t="s">
        <v>158</v>
      </c>
      <c r="H7" s="15" t="s">
        <v>183</v>
      </c>
      <c r="I7" s="15" t="s">
        <v>184</v>
      </c>
      <c r="J7" s="15" t="s">
        <v>185</v>
      </c>
      <c r="K7" s="15" t="s">
        <v>154</v>
      </c>
      <c r="L7" s="15" t="s">
        <v>155</v>
      </c>
      <c r="M7" s="15" t="s">
        <v>186</v>
      </c>
      <c r="N7" s="15" t="s">
        <v>50</v>
      </c>
      <c r="O7" s="15" t="s">
        <v>156</v>
      </c>
      <c r="P7" s="15" t="s">
        <v>187</v>
      </c>
      <c r="Q7" s="15" t="s">
        <v>188</v>
      </c>
      <c r="R7" s="15" t="s">
        <v>189</v>
      </c>
    </row>
    <row r="8" spans="2:18" x14ac:dyDescent="0.25">
      <c r="B8" s="53" t="str">
        <f>IF('05_PRODUCTOS'!$B8="","",'05_PRODUCTOS'!$B8)</f>
        <v/>
      </c>
      <c r="C8" s="54" t="str">
        <f>IF($B8="","",'05_PRODUCTOS'!$C8)</f>
        <v/>
      </c>
      <c r="D8" s="54" t="str">
        <f>IF($B8="","",'05_PRODUCTOS'!$D8)</f>
        <v/>
      </c>
      <c r="E8" s="54" t="str">
        <f>IF($B8="","",'05_PRODUCTOS'!$I8&amp;"")</f>
        <v/>
      </c>
      <c r="F8" s="53" t="str">
        <f>IF($B8="","",'05_PRODUCTOS'!$E8)</f>
        <v/>
      </c>
      <c r="G8" s="53" t="str">
        <f>IF($B8="","",IF('05_PRODUCTOS'!$K8="NO","NO","SI"))</f>
        <v/>
      </c>
      <c r="H8" s="55" t="str">
        <f>IF(tblStock[[#This Row],[SKU]]="","",SUMIFS(tblMovimientos[CantidadNeta],tblMovimientos[SKU],tblStock[[#This Row],[SKU]],tblMovimientos[FactorStock],1))</f>
        <v/>
      </c>
      <c r="I8" s="55" t="str">
        <f>IF(tblStock[[#This Row],[SKU]]="","",-SUMIFS(tblMovimientos[CantidadNeta],tblMovimientos[SKU],tblStock[[#This Row],[SKU]],tblMovimientos[FactorStock],-1))</f>
        <v/>
      </c>
      <c r="J8" s="56" t="str">
        <f>IF(tblStock[[#This Row],[SKU]]="","",SUMIFS(tblMovimientos[CantidadNeta],tblMovimientos[SKU],tblStock[[#This Row],[SKU]]))</f>
        <v/>
      </c>
      <c r="K8" s="55" t="str">
        <f>IF($B8="","",N('05_PRODUCTOS'!$F8))</f>
        <v/>
      </c>
      <c r="L8" s="55" t="str">
        <f>IF($B8="","",N('05_PRODUCTOS'!$G8))</f>
        <v/>
      </c>
      <c r="M8" s="57" t="str">
        <f>IF(OR(tblStock[[#This Row],[SKU]]="",N(tblStock[[#This Row],[StockMax]])=0),"",MAX(0,tblStock[[#This Row],[StockActual]])/tblStock[[#This Row],[StockMax]])</f>
        <v/>
      </c>
      <c r="N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" s="59" t="str">
        <f>IF($B8="","",N('05_PRODUCTOS'!$H8))</f>
        <v/>
      </c>
      <c r="P8" s="59" t="str">
        <f>IF(tblStock[[#This Row],[SKU]]="","",MAX(0,tblStock[[#This Row],[StockActual]])*tblStock[[#This Row],[CostoUnitario]])</f>
        <v/>
      </c>
      <c r="Q8" s="60" t="str">
        <f>IF(tblStock[[#This Row],[SKU]]="","",IFERROR(_xlfn.AGGREGATE(14,6,tblMovimientos[Fecha]/(tblMovimientos[SKU]=tblStock[[#This Row],[SKU]]),1),""))</f>
        <v/>
      </c>
      <c r="R8" s="61" t="str">
        <f ca="1">IF(OR(tblStock[[#This Row],[SKU]]="",tblStock[[#This Row],[UltimoMov]]=""),"",TODAY()-tblStock[[#This Row],[UltimoMov]])</f>
        <v/>
      </c>
    </row>
    <row r="9" spans="2:18" x14ac:dyDescent="0.25">
      <c r="B9" s="53" t="str">
        <f>IF('05_PRODUCTOS'!$B9="","",'05_PRODUCTOS'!$B9)</f>
        <v/>
      </c>
      <c r="C9" s="54" t="str">
        <f>IF($B9="","",'05_PRODUCTOS'!$C9)</f>
        <v/>
      </c>
      <c r="D9" s="54" t="str">
        <f>IF($B9="","",'05_PRODUCTOS'!$D9)</f>
        <v/>
      </c>
      <c r="E9" s="54" t="str">
        <f>IF($B9="","",'05_PRODUCTOS'!$I9&amp;"")</f>
        <v/>
      </c>
      <c r="F9" s="53" t="str">
        <f>IF($B9="","",'05_PRODUCTOS'!$E9)</f>
        <v/>
      </c>
      <c r="G9" s="53" t="str">
        <f>IF($B9="","",IF('05_PRODUCTOS'!$K9="NO","NO","SI"))</f>
        <v/>
      </c>
      <c r="H9" s="55" t="str">
        <f>IF(tblStock[[#This Row],[SKU]]="","",SUMIFS(tblMovimientos[CantidadNeta],tblMovimientos[SKU],tblStock[[#This Row],[SKU]],tblMovimientos[FactorStock],1))</f>
        <v/>
      </c>
      <c r="I9" s="55" t="str">
        <f>IF(tblStock[[#This Row],[SKU]]="","",-SUMIFS(tblMovimientos[CantidadNeta],tblMovimientos[SKU],tblStock[[#This Row],[SKU]],tblMovimientos[FactorStock],-1))</f>
        <v/>
      </c>
      <c r="J9" s="56" t="str">
        <f>IF(tblStock[[#This Row],[SKU]]="","",SUMIFS(tblMovimientos[CantidadNeta],tblMovimientos[SKU],tblStock[[#This Row],[SKU]]))</f>
        <v/>
      </c>
      <c r="K9" s="55" t="str">
        <f>IF($B9="","",N('05_PRODUCTOS'!$F9))</f>
        <v/>
      </c>
      <c r="L9" s="55" t="str">
        <f>IF($B9="","",N('05_PRODUCTOS'!$G9))</f>
        <v/>
      </c>
      <c r="M9" s="57" t="str">
        <f>IF(OR(tblStock[[#This Row],[SKU]]="",N(tblStock[[#This Row],[StockMax]])=0),"",MAX(0,tblStock[[#This Row],[StockActual]])/tblStock[[#This Row],[StockMax]])</f>
        <v/>
      </c>
      <c r="N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" s="59" t="str">
        <f>IF($B9="","",N('05_PRODUCTOS'!$H9))</f>
        <v/>
      </c>
      <c r="P9" s="59" t="str">
        <f>IF(tblStock[[#This Row],[SKU]]="","",MAX(0,tblStock[[#This Row],[StockActual]])*tblStock[[#This Row],[CostoUnitario]])</f>
        <v/>
      </c>
      <c r="Q9" s="60" t="str">
        <f>IF(tblStock[[#This Row],[SKU]]="","",IFERROR(_xlfn.AGGREGATE(14,6,tblMovimientos[Fecha]/(tblMovimientos[SKU]=tblStock[[#This Row],[SKU]]),1),""))</f>
        <v/>
      </c>
      <c r="R9" s="61" t="str">
        <f ca="1">IF(OR(tblStock[[#This Row],[SKU]]="",tblStock[[#This Row],[UltimoMov]]=""),"",TODAY()-tblStock[[#This Row],[UltimoMov]])</f>
        <v/>
      </c>
    </row>
    <row r="10" spans="2:18" x14ac:dyDescent="0.25">
      <c r="B10" s="53" t="str">
        <f>IF('05_PRODUCTOS'!$B10="","",'05_PRODUCTOS'!$B10)</f>
        <v/>
      </c>
      <c r="C10" s="54" t="str">
        <f>IF($B10="","",'05_PRODUCTOS'!$C10)</f>
        <v/>
      </c>
      <c r="D10" s="54" t="str">
        <f>IF($B10="","",'05_PRODUCTOS'!$D10)</f>
        <v/>
      </c>
      <c r="E10" s="54" t="str">
        <f>IF($B10="","",'05_PRODUCTOS'!$I10&amp;"")</f>
        <v/>
      </c>
      <c r="F10" s="53" t="str">
        <f>IF($B10="","",'05_PRODUCTOS'!$E10)</f>
        <v/>
      </c>
      <c r="G10" s="53" t="str">
        <f>IF($B10="","",IF('05_PRODUCTOS'!$K10="NO","NO","SI"))</f>
        <v/>
      </c>
      <c r="H10" s="55" t="str">
        <f>IF(tblStock[[#This Row],[SKU]]="","",SUMIFS(tblMovimientos[CantidadNeta],tblMovimientos[SKU],tblStock[[#This Row],[SKU]],tblMovimientos[FactorStock],1))</f>
        <v/>
      </c>
      <c r="I10" s="55" t="str">
        <f>IF(tblStock[[#This Row],[SKU]]="","",-SUMIFS(tblMovimientos[CantidadNeta],tblMovimientos[SKU],tblStock[[#This Row],[SKU]],tblMovimientos[FactorStock],-1))</f>
        <v/>
      </c>
      <c r="J10" s="56" t="str">
        <f>IF(tblStock[[#This Row],[SKU]]="","",SUMIFS(tblMovimientos[CantidadNeta],tblMovimientos[SKU],tblStock[[#This Row],[SKU]]))</f>
        <v/>
      </c>
      <c r="K10" s="55" t="str">
        <f>IF($B10="","",N('05_PRODUCTOS'!$F10))</f>
        <v/>
      </c>
      <c r="L10" s="55" t="str">
        <f>IF($B10="","",N('05_PRODUCTOS'!$G10))</f>
        <v/>
      </c>
      <c r="M10" s="57" t="str">
        <f>IF(OR(tblStock[[#This Row],[SKU]]="",N(tblStock[[#This Row],[StockMax]])=0),"",MAX(0,tblStock[[#This Row],[StockActual]])/tblStock[[#This Row],[StockMax]])</f>
        <v/>
      </c>
      <c r="N1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" s="59" t="str">
        <f>IF($B10="","",N('05_PRODUCTOS'!$H10))</f>
        <v/>
      </c>
      <c r="P10" s="59" t="str">
        <f>IF(tblStock[[#This Row],[SKU]]="","",MAX(0,tblStock[[#This Row],[StockActual]])*tblStock[[#This Row],[CostoUnitario]])</f>
        <v/>
      </c>
      <c r="Q10" s="60" t="str">
        <f>IF(tblStock[[#This Row],[SKU]]="","",IFERROR(_xlfn.AGGREGATE(14,6,tblMovimientos[Fecha]/(tblMovimientos[SKU]=tblStock[[#This Row],[SKU]]),1),""))</f>
        <v/>
      </c>
      <c r="R10" s="61" t="str">
        <f ca="1">IF(OR(tblStock[[#This Row],[SKU]]="",tblStock[[#This Row],[UltimoMov]]=""),"",TODAY()-tblStock[[#This Row],[UltimoMov]])</f>
        <v/>
      </c>
    </row>
    <row r="11" spans="2:18" x14ac:dyDescent="0.25">
      <c r="B11" s="53" t="str">
        <f>IF('05_PRODUCTOS'!$B11="","",'05_PRODUCTOS'!$B11)</f>
        <v/>
      </c>
      <c r="C11" s="54" t="str">
        <f>IF($B11="","",'05_PRODUCTOS'!$C11)</f>
        <v/>
      </c>
      <c r="D11" s="54" t="str">
        <f>IF($B11="","",'05_PRODUCTOS'!$D11)</f>
        <v/>
      </c>
      <c r="E11" s="54" t="str">
        <f>IF($B11="","",'05_PRODUCTOS'!$I11&amp;"")</f>
        <v/>
      </c>
      <c r="F11" s="53" t="str">
        <f>IF($B11="","",'05_PRODUCTOS'!$E11)</f>
        <v/>
      </c>
      <c r="G11" s="53" t="str">
        <f>IF($B11="","",IF('05_PRODUCTOS'!$K11="NO","NO","SI"))</f>
        <v/>
      </c>
      <c r="H11" s="55" t="str">
        <f>IF(tblStock[[#This Row],[SKU]]="","",SUMIFS(tblMovimientos[CantidadNeta],tblMovimientos[SKU],tblStock[[#This Row],[SKU]],tblMovimientos[FactorStock],1))</f>
        <v/>
      </c>
      <c r="I11" s="55" t="str">
        <f>IF(tblStock[[#This Row],[SKU]]="","",-SUMIFS(tblMovimientos[CantidadNeta],tblMovimientos[SKU],tblStock[[#This Row],[SKU]],tblMovimientos[FactorStock],-1))</f>
        <v/>
      </c>
      <c r="J11" s="56" t="str">
        <f>IF(tblStock[[#This Row],[SKU]]="","",SUMIFS(tblMovimientos[CantidadNeta],tblMovimientos[SKU],tblStock[[#This Row],[SKU]]))</f>
        <v/>
      </c>
      <c r="K11" s="55" t="str">
        <f>IF($B11="","",N('05_PRODUCTOS'!$F11))</f>
        <v/>
      </c>
      <c r="L11" s="55" t="str">
        <f>IF($B11="","",N('05_PRODUCTOS'!$G11))</f>
        <v/>
      </c>
      <c r="M11" s="57" t="str">
        <f>IF(OR(tblStock[[#This Row],[SKU]]="",N(tblStock[[#This Row],[StockMax]])=0),"",MAX(0,tblStock[[#This Row],[StockActual]])/tblStock[[#This Row],[StockMax]])</f>
        <v/>
      </c>
      <c r="N1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" s="59" t="str">
        <f>IF($B11="","",N('05_PRODUCTOS'!$H11))</f>
        <v/>
      </c>
      <c r="P11" s="59" t="str">
        <f>IF(tblStock[[#This Row],[SKU]]="","",MAX(0,tblStock[[#This Row],[StockActual]])*tblStock[[#This Row],[CostoUnitario]])</f>
        <v/>
      </c>
      <c r="Q11" s="60" t="str">
        <f>IF(tblStock[[#This Row],[SKU]]="","",IFERROR(_xlfn.AGGREGATE(14,6,tblMovimientos[Fecha]/(tblMovimientos[SKU]=tblStock[[#This Row],[SKU]]),1),""))</f>
        <v/>
      </c>
      <c r="R11" s="61" t="str">
        <f ca="1">IF(OR(tblStock[[#This Row],[SKU]]="",tblStock[[#This Row],[UltimoMov]]=""),"",TODAY()-tblStock[[#This Row],[UltimoMov]])</f>
        <v/>
      </c>
    </row>
    <row r="12" spans="2:18" x14ac:dyDescent="0.25">
      <c r="B12" s="53" t="str">
        <f>IF('05_PRODUCTOS'!$B12="","",'05_PRODUCTOS'!$B12)</f>
        <v/>
      </c>
      <c r="C12" s="54" t="str">
        <f>IF($B12="","",'05_PRODUCTOS'!$C12)</f>
        <v/>
      </c>
      <c r="D12" s="54" t="str">
        <f>IF($B12="","",'05_PRODUCTOS'!$D12)</f>
        <v/>
      </c>
      <c r="E12" s="54" t="str">
        <f>IF($B12="","",'05_PRODUCTOS'!$I12&amp;"")</f>
        <v/>
      </c>
      <c r="F12" s="53" t="str">
        <f>IF($B12="","",'05_PRODUCTOS'!$E12)</f>
        <v/>
      </c>
      <c r="G12" s="53" t="str">
        <f>IF($B12="","",IF('05_PRODUCTOS'!$K12="NO","NO","SI"))</f>
        <v/>
      </c>
      <c r="H12" s="55" t="str">
        <f>IF(tblStock[[#This Row],[SKU]]="","",SUMIFS(tblMovimientos[CantidadNeta],tblMovimientos[SKU],tblStock[[#This Row],[SKU]],tblMovimientos[FactorStock],1))</f>
        <v/>
      </c>
      <c r="I12" s="55" t="str">
        <f>IF(tblStock[[#This Row],[SKU]]="","",-SUMIFS(tblMovimientos[CantidadNeta],tblMovimientos[SKU],tblStock[[#This Row],[SKU]],tblMovimientos[FactorStock],-1))</f>
        <v/>
      </c>
      <c r="J12" s="56" t="str">
        <f>IF(tblStock[[#This Row],[SKU]]="","",SUMIFS(tblMovimientos[CantidadNeta],tblMovimientos[SKU],tblStock[[#This Row],[SKU]]))</f>
        <v/>
      </c>
      <c r="K12" s="55" t="str">
        <f>IF($B12="","",N('05_PRODUCTOS'!$F12))</f>
        <v/>
      </c>
      <c r="L12" s="55" t="str">
        <f>IF($B12="","",N('05_PRODUCTOS'!$G12))</f>
        <v/>
      </c>
      <c r="M12" s="57" t="str">
        <f>IF(OR(tblStock[[#This Row],[SKU]]="",N(tblStock[[#This Row],[StockMax]])=0),"",MAX(0,tblStock[[#This Row],[StockActual]])/tblStock[[#This Row],[StockMax]])</f>
        <v/>
      </c>
      <c r="N1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" s="59" t="str">
        <f>IF($B12="","",N('05_PRODUCTOS'!$H12))</f>
        <v/>
      </c>
      <c r="P12" s="59" t="str">
        <f>IF(tblStock[[#This Row],[SKU]]="","",MAX(0,tblStock[[#This Row],[StockActual]])*tblStock[[#This Row],[CostoUnitario]])</f>
        <v/>
      </c>
      <c r="Q12" s="60" t="str">
        <f>IF(tblStock[[#This Row],[SKU]]="","",IFERROR(_xlfn.AGGREGATE(14,6,tblMovimientos[Fecha]/(tblMovimientos[SKU]=tblStock[[#This Row],[SKU]]),1),""))</f>
        <v/>
      </c>
      <c r="R12" s="61" t="str">
        <f ca="1">IF(OR(tblStock[[#This Row],[SKU]]="",tblStock[[#This Row],[UltimoMov]]=""),"",TODAY()-tblStock[[#This Row],[UltimoMov]])</f>
        <v/>
      </c>
    </row>
    <row r="13" spans="2:18" x14ac:dyDescent="0.25">
      <c r="B13" s="53" t="str">
        <f>IF('05_PRODUCTOS'!$B13="","",'05_PRODUCTOS'!$B13)</f>
        <v/>
      </c>
      <c r="C13" s="54" t="str">
        <f>IF($B13="","",'05_PRODUCTOS'!$C13)</f>
        <v/>
      </c>
      <c r="D13" s="54" t="str">
        <f>IF($B13="","",'05_PRODUCTOS'!$D13)</f>
        <v/>
      </c>
      <c r="E13" s="54" t="str">
        <f>IF($B13="","",'05_PRODUCTOS'!$I13&amp;"")</f>
        <v/>
      </c>
      <c r="F13" s="53" t="str">
        <f>IF($B13="","",'05_PRODUCTOS'!$E13)</f>
        <v/>
      </c>
      <c r="G13" s="53" t="str">
        <f>IF($B13="","",IF('05_PRODUCTOS'!$K13="NO","NO","SI"))</f>
        <v/>
      </c>
      <c r="H13" s="55" t="str">
        <f>IF(tblStock[[#This Row],[SKU]]="","",SUMIFS(tblMovimientos[CantidadNeta],tblMovimientos[SKU],tblStock[[#This Row],[SKU]],tblMovimientos[FactorStock],1))</f>
        <v/>
      </c>
      <c r="I13" s="55" t="str">
        <f>IF(tblStock[[#This Row],[SKU]]="","",-SUMIFS(tblMovimientos[CantidadNeta],tblMovimientos[SKU],tblStock[[#This Row],[SKU]],tblMovimientos[FactorStock],-1))</f>
        <v/>
      </c>
      <c r="J13" s="56" t="str">
        <f>IF(tblStock[[#This Row],[SKU]]="","",SUMIFS(tblMovimientos[CantidadNeta],tblMovimientos[SKU],tblStock[[#This Row],[SKU]]))</f>
        <v/>
      </c>
      <c r="K13" s="55" t="str">
        <f>IF($B13="","",N('05_PRODUCTOS'!$F13))</f>
        <v/>
      </c>
      <c r="L13" s="55" t="str">
        <f>IF($B13="","",N('05_PRODUCTOS'!$G13))</f>
        <v/>
      </c>
      <c r="M13" s="57" t="str">
        <f>IF(OR(tblStock[[#This Row],[SKU]]="",N(tblStock[[#This Row],[StockMax]])=0),"",MAX(0,tblStock[[#This Row],[StockActual]])/tblStock[[#This Row],[StockMax]])</f>
        <v/>
      </c>
      <c r="N1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" s="59" t="str">
        <f>IF($B13="","",N('05_PRODUCTOS'!$H13))</f>
        <v/>
      </c>
      <c r="P13" s="59" t="str">
        <f>IF(tblStock[[#This Row],[SKU]]="","",MAX(0,tblStock[[#This Row],[StockActual]])*tblStock[[#This Row],[CostoUnitario]])</f>
        <v/>
      </c>
      <c r="Q13" s="60" t="str">
        <f>IF(tblStock[[#This Row],[SKU]]="","",IFERROR(_xlfn.AGGREGATE(14,6,tblMovimientos[Fecha]/(tblMovimientos[SKU]=tblStock[[#This Row],[SKU]]),1),""))</f>
        <v/>
      </c>
      <c r="R13" s="61" t="str">
        <f ca="1">IF(OR(tblStock[[#This Row],[SKU]]="",tblStock[[#This Row],[UltimoMov]]=""),"",TODAY()-tblStock[[#This Row],[UltimoMov]])</f>
        <v/>
      </c>
    </row>
    <row r="14" spans="2:18" x14ac:dyDescent="0.25">
      <c r="B14" s="53" t="str">
        <f>IF('05_PRODUCTOS'!$B14="","",'05_PRODUCTOS'!$B14)</f>
        <v/>
      </c>
      <c r="C14" s="54" t="str">
        <f>IF($B14="","",'05_PRODUCTOS'!$C14)</f>
        <v/>
      </c>
      <c r="D14" s="54" t="str">
        <f>IF($B14="","",'05_PRODUCTOS'!$D14)</f>
        <v/>
      </c>
      <c r="E14" s="54" t="str">
        <f>IF($B14="","",'05_PRODUCTOS'!$I14&amp;"")</f>
        <v/>
      </c>
      <c r="F14" s="53" t="str">
        <f>IF($B14="","",'05_PRODUCTOS'!$E14)</f>
        <v/>
      </c>
      <c r="G14" s="53" t="str">
        <f>IF($B14="","",IF('05_PRODUCTOS'!$K14="NO","NO","SI"))</f>
        <v/>
      </c>
      <c r="H14" s="55" t="str">
        <f>IF(tblStock[[#This Row],[SKU]]="","",SUMIFS(tblMovimientos[CantidadNeta],tblMovimientos[SKU],tblStock[[#This Row],[SKU]],tblMovimientos[FactorStock],1))</f>
        <v/>
      </c>
      <c r="I14" s="55" t="str">
        <f>IF(tblStock[[#This Row],[SKU]]="","",-SUMIFS(tblMovimientos[CantidadNeta],tblMovimientos[SKU],tblStock[[#This Row],[SKU]],tblMovimientos[FactorStock],-1))</f>
        <v/>
      </c>
      <c r="J14" s="56" t="str">
        <f>IF(tblStock[[#This Row],[SKU]]="","",SUMIFS(tblMovimientos[CantidadNeta],tblMovimientos[SKU],tblStock[[#This Row],[SKU]]))</f>
        <v/>
      </c>
      <c r="K14" s="55" t="str">
        <f>IF($B14="","",N('05_PRODUCTOS'!$F14))</f>
        <v/>
      </c>
      <c r="L14" s="55" t="str">
        <f>IF($B14="","",N('05_PRODUCTOS'!$G14))</f>
        <v/>
      </c>
      <c r="M14" s="57" t="str">
        <f>IF(OR(tblStock[[#This Row],[SKU]]="",N(tblStock[[#This Row],[StockMax]])=0),"",MAX(0,tblStock[[#This Row],[StockActual]])/tblStock[[#This Row],[StockMax]])</f>
        <v/>
      </c>
      <c r="N1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" s="59" t="str">
        <f>IF($B14="","",N('05_PRODUCTOS'!$H14))</f>
        <v/>
      </c>
      <c r="P14" s="59" t="str">
        <f>IF(tblStock[[#This Row],[SKU]]="","",MAX(0,tblStock[[#This Row],[StockActual]])*tblStock[[#This Row],[CostoUnitario]])</f>
        <v/>
      </c>
      <c r="Q14" s="60" t="str">
        <f>IF(tblStock[[#This Row],[SKU]]="","",IFERROR(_xlfn.AGGREGATE(14,6,tblMovimientos[Fecha]/(tblMovimientos[SKU]=tblStock[[#This Row],[SKU]]),1),""))</f>
        <v/>
      </c>
      <c r="R14" s="61" t="str">
        <f ca="1">IF(OR(tblStock[[#This Row],[SKU]]="",tblStock[[#This Row],[UltimoMov]]=""),"",TODAY()-tblStock[[#This Row],[UltimoMov]])</f>
        <v/>
      </c>
    </row>
    <row r="15" spans="2:18" x14ac:dyDescent="0.25">
      <c r="B15" s="53" t="str">
        <f>IF('05_PRODUCTOS'!$B15="","",'05_PRODUCTOS'!$B15)</f>
        <v/>
      </c>
      <c r="C15" s="54" t="str">
        <f>IF($B15="","",'05_PRODUCTOS'!$C15)</f>
        <v/>
      </c>
      <c r="D15" s="54" t="str">
        <f>IF($B15="","",'05_PRODUCTOS'!$D15)</f>
        <v/>
      </c>
      <c r="E15" s="54" t="str">
        <f>IF($B15="","",'05_PRODUCTOS'!$I15&amp;"")</f>
        <v/>
      </c>
      <c r="F15" s="53" t="str">
        <f>IF($B15="","",'05_PRODUCTOS'!$E15)</f>
        <v/>
      </c>
      <c r="G15" s="53" t="str">
        <f>IF($B15="","",IF('05_PRODUCTOS'!$K15="NO","NO","SI"))</f>
        <v/>
      </c>
      <c r="H15" s="55" t="str">
        <f>IF(tblStock[[#This Row],[SKU]]="","",SUMIFS(tblMovimientos[CantidadNeta],tblMovimientos[SKU],tblStock[[#This Row],[SKU]],tblMovimientos[FactorStock],1))</f>
        <v/>
      </c>
      <c r="I15" s="55" t="str">
        <f>IF(tblStock[[#This Row],[SKU]]="","",-SUMIFS(tblMovimientos[CantidadNeta],tblMovimientos[SKU],tblStock[[#This Row],[SKU]],tblMovimientos[FactorStock],-1))</f>
        <v/>
      </c>
      <c r="J15" s="56" t="str">
        <f>IF(tblStock[[#This Row],[SKU]]="","",SUMIFS(tblMovimientos[CantidadNeta],tblMovimientos[SKU],tblStock[[#This Row],[SKU]]))</f>
        <v/>
      </c>
      <c r="K15" s="55" t="str">
        <f>IF($B15="","",N('05_PRODUCTOS'!$F15))</f>
        <v/>
      </c>
      <c r="L15" s="55" t="str">
        <f>IF($B15="","",N('05_PRODUCTOS'!$G15))</f>
        <v/>
      </c>
      <c r="M15" s="57" t="str">
        <f>IF(OR(tblStock[[#This Row],[SKU]]="",N(tblStock[[#This Row],[StockMax]])=0),"",MAX(0,tblStock[[#This Row],[StockActual]])/tblStock[[#This Row],[StockMax]])</f>
        <v/>
      </c>
      <c r="N1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" s="59" t="str">
        <f>IF($B15="","",N('05_PRODUCTOS'!$H15))</f>
        <v/>
      </c>
      <c r="P15" s="59" t="str">
        <f>IF(tblStock[[#This Row],[SKU]]="","",MAX(0,tblStock[[#This Row],[StockActual]])*tblStock[[#This Row],[CostoUnitario]])</f>
        <v/>
      </c>
      <c r="Q15" s="60" t="str">
        <f>IF(tblStock[[#This Row],[SKU]]="","",IFERROR(_xlfn.AGGREGATE(14,6,tblMovimientos[Fecha]/(tblMovimientos[SKU]=tblStock[[#This Row],[SKU]]),1),""))</f>
        <v/>
      </c>
      <c r="R15" s="61" t="str">
        <f ca="1">IF(OR(tblStock[[#This Row],[SKU]]="",tblStock[[#This Row],[UltimoMov]]=""),"",TODAY()-tblStock[[#This Row],[UltimoMov]])</f>
        <v/>
      </c>
    </row>
    <row r="16" spans="2:18" x14ac:dyDescent="0.25">
      <c r="B16" s="53" t="str">
        <f>IF('05_PRODUCTOS'!$B16="","",'05_PRODUCTOS'!$B16)</f>
        <v/>
      </c>
      <c r="C16" s="54" t="str">
        <f>IF($B16="","",'05_PRODUCTOS'!$C16)</f>
        <v/>
      </c>
      <c r="D16" s="54" t="str">
        <f>IF($B16="","",'05_PRODUCTOS'!$D16)</f>
        <v/>
      </c>
      <c r="E16" s="54" t="str">
        <f>IF($B16="","",'05_PRODUCTOS'!$I16&amp;"")</f>
        <v/>
      </c>
      <c r="F16" s="53" t="str">
        <f>IF($B16="","",'05_PRODUCTOS'!$E16)</f>
        <v/>
      </c>
      <c r="G16" s="53" t="str">
        <f>IF($B16="","",IF('05_PRODUCTOS'!$K16="NO","NO","SI"))</f>
        <v/>
      </c>
      <c r="H16" s="55" t="str">
        <f>IF(tblStock[[#This Row],[SKU]]="","",SUMIFS(tblMovimientos[CantidadNeta],tblMovimientos[SKU],tblStock[[#This Row],[SKU]],tblMovimientos[FactorStock],1))</f>
        <v/>
      </c>
      <c r="I16" s="55" t="str">
        <f>IF(tblStock[[#This Row],[SKU]]="","",-SUMIFS(tblMovimientos[CantidadNeta],tblMovimientos[SKU],tblStock[[#This Row],[SKU]],tblMovimientos[FactorStock],-1))</f>
        <v/>
      </c>
      <c r="J16" s="56" t="str">
        <f>IF(tblStock[[#This Row],[SKU]]="","",SUMIFS(tblMovimientos[CantidadNeta],tblMovimientos[SKU],tblStock[[#This Row],[SKU]]))</f>
        <v/>
      </c>
      <c r="K16" s="55" t="str">
        <f>IF($B16="","",N('05_PRODUCTOS'!$F16))</f>
        <v/>
      </c>
      <c r="L16" s="55" t="str">
        <f>IF($B16="","",N('05_PRODUCTOS'!$G16))</f>
        <v/>
      </c>
      <c r="M16" s="57" t="str">
        <f>IF(OR(tblStock[[#This Row],[SKU]]="",N(tblStock[[#This Row],[StockMax]])=0),"",MAX(0,tblStock[[#This Row],[StockActual]])/tblStock[[#This Row],[StockMax]])</f>
        <v/>
      </c>
      <c r="N1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" s="59" t="str">
        <f>IF($B16="","",N('05_PRODUCTOS'!$H16))</f>
        <v/>
      </c>
      <c r="P16" s="59" t="str">
        <f>IF(tblStock[[#This Row],[SKU]]="","",MAX(0,tblStock[[#This Row],[StockActual]])*tblStock[[#This Row],[CostoUnitario]])</f>
        <v/>
      </c>
      <c r="Q16" s="60" t="str">
        <f>IF(tblStock[[#This Row],[SKU]]="","",IFERROR(_xlfn.AGGREGATE(14,6,tblMovimientos[Fecha]/(tblMovimientos[SKU]=tblStock[[#This Row],[SKU]]),1),""))</f>
        <v/>
      </c>
      <c r="R16" s="61" t="str">
        <f ca="1">IF(OR(tblStock[[#This Row],[SKU]]="",tblStock[[#This Row],[UltimoMov]]=""),"",TODAY()-tblStock[[#This Row],[UltimoMov]])</f>
        <v/>
      </c>
    </row>
    <row r="17" spans="2:18" x14ac:dyDescent="0.25">
      <c r="B17" s="53" t="str">
        <f>IF('05_PRODUCTOS'!$B17="","",'05_PRODUCTOS'!$B17)</f>
        <v/>
      </c>
      <c r="C17" s="54" t="str">
        <f>IF($B17="","",'05_PRODUCTOS'!$C17)</f>
        <v/>
      </c>
      <c r="D17" s="54" t="str">
        <f>IF($B17="","",'05_PRODUCTOS'!$D17)</f>
        <v/>
      </c>
      <c r="E17" s="54" t="str">
        <f>IF($B17="","",'05_PRODUCTOS'!$I17&amp;"")</f>
        <v/>
      </c>
      <c r="F17" s="53" t="str">
        <f>IF($B17="","",'05_PRODUCTOS'!$E17)</f>
        <v/>
      </c>
      <c r="G17" s="53" t="str">
        <f>IF($B17="","",IF('05_PRODUCTOS'!$K17="NO","NO","SI"))</f>
        <v/>
      </c>
      <c r="H17" s="55" t="str">
        <f>IF(tblStock[[#This Row],[SKU]]="","",SUMIFS(tblMovimientos[CantidadNeta],tblMovimientos[SKU],tblStock[[#This Row],[SKU]],tblMovimientos[FactorStock],1))</f>
        <v/>
      </c>
      <c r="I17" s="55" t="str">
        <f>IF(tblStock[[#This Row],[SKU]]="","",-SUMIFS(tblMovimientos[CantidadNeta],tblMovimientos[SKU],tblStock[[#This Row],[SKU]],tblMovimientos[FactorStock],-1))</f>
        <v/>
      </c>
      <c r="J17" s="56" t="str">
        <f>IF(tblStock[[#This Row],[SKU]]="","",SUMIFS(tblMovimientos[CantidadNeta],tblMovimientos[SKU],tblStock[[#This Row],[SKU]]))</f>
        <v/>
      </c>
      <c r="K17" s="55" t="str">
        <f>IF($B17="","",N('05_PRODUCTOS'!$F17))</f>
        <v/>
      </c>
      <c r="L17" s="55" t="str">
        <f>IF($B17="","",N('05_PRODUCTOS'!$G17))</f>
        <v/>
      </c>
      <c r="M17" s="57" t="str">
        <f>IF(OR(tblStock[[#This Row],[SKU]]="",N(tblStock[[#This Row],[StockMax]])=0),"",MAX(0,tblStock[[#This Row],[StockActual]])/tblStock[[#This Row],[StockMax]])</f>
        <v/>
      </c>
      <c r="N1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" s="59" t="str">
        <f>IF($B17="","",N('05_PRODUCTOS'!$H17))</f>
        <v/>
      </c>
      <c r="P17" s="59" t="str">
        <f>IF(tblStock[[#This Row],[SKU]]="","",MAX(0,tblStock[[#This Row],[StockActual]])*tblStock[[#This Row],[CostoUnitario]])</f>
        <v/>
      </c>
      <c r="Q17" s="60" t="str">
        <f>IF(tblStock[[#This Row],[SKU]]="","",IFERROR(_xlfn.AGGREGATE(14,6,tblMovimientos[Fecha]/(tblMovimientos[SKU]=tblStock[[#This Row],[SKU]]),1),""))</f>
        <v/>
      </c>
      <c r="R17" s="61" t="str">
        <f ca="1">IF(OR(tblStock[[#This Row],[SKU]]="",tblStock[[#This Row],[UltimoMov]]=""),"",TODAY()-tblStock[[#This Row],[UltimoMov]])</f>
        <v/>
      </c>
    </row>
    <row r="18" spans="2:18" x14ac:dyDescent="0.25">
      <c r="B18" s="53" t="str">
        <f>IF('05_PRODUCTOS'!$B18="","",'05_PRODUCTOS'!$B18)</f>
        <v/>
      </c>
      <c r="C18" s="54" t="str">
        <f>IF($B18="","",'05_PRODUCTOS'!$C18)</f>
        <v/>
      </c>
      <c r="D18" s="54" t="str">
        <f>IF($B18="","",'05_PRODUCTOS'!$D18)</f>
        <v/>
      </c>
      <c r="E18" s="54" t="str">
        <f>IF($B18="","",'05_PRODUCTOS'!$I18&amp;"")</f>
        <v/>
      </c>
      <c r="F18" s="53" t="str">
        <f>IF($B18="","",'05_PRODUCTOS'!$E18)</f>
        <v/>
      </c>
      <c r="G18" s="53" t="str">
        <f>IF($B18="","",IF('05_PRODUCTOS'!$K18="NO","NO","SI"))</f>
        <v/>
      </c>
      <c r="H18" s="55" t="str">
        <f>IF(tblStock[[#This Row],[SKU]]="","",SUMIFS(tblMovimientos[CantidadNeta],tblMovimientos[SKU],tblStock[[#This Row],[SKU]],tblMovimientos[FactorStock],1))</f>
        <v/>
      </c>
      <c r="I18" s="55" t="str">
        <f>IF(tblStock[[#This Row],[SKU]]="","",-SUMIFS(tblMovimientos[CantidadNeta],tblMovimientos[SKU],tblStock[[#This Row],[SKU]],tblMovimientos[FactorStock],-1))</f>
        <v/>
      </c>
      <c r="J18" s="56" t="str">
        <f>IF(tblStock[[#This Row],[SKU]]="","",SUMIFS(tblMovimientos[CantidadNeta],tblMovimientos[SKU],tblStock[[#This Row],[SKU]]))</f>
        <v/>
      </c>
      <c r="K18" s="55" t="str">
        <f>IF($B18="","",N('05_PRODUCTOS'!$F18))</f>
        <v/>
      </c>
      <c r="L18" s="55" t="str">
        <f>IF($B18="","",N('05_PRODUCTOS'!$G18))</f>
        <v/>
      </c>
      <c r="M18" s="57" t="str">
        <f>IF(OR(tblStock[[#This Row],[SKU]]="",N(tblStock[[#This Row],[StockMax]])=0),"",MAX(0,tblStock[[#This Row],[StockActual]])/tblStock[[#This Row],[StockMax]])</f>
        <v/>
      </c>
      <c r="N1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" s="59" t="str">
        <f>IF($B18="","",N('05_PRODUCTOS'!$H18))</f>
        <v/>
      </c>
      <c r="P18" s="59" t="str">
        <f>IF(tblStock[[#This Row],[SKU]]="","",MAX(0,tblStock[[#This Row],[StockActual]])*tblStock[[#This Row],[CostoUnitario]])</f>
        <v/>
      </c>
      <c r="Q18" s="60" t="str">
        <f>IF(tblStock[[#This Row],[SKU]]="","",IFERROR(_xlfn.AGGREGATE(14,6,tblMovimientos[Fecha]/(tblMovimientos[SKU]=tblStock[[#This Row],[SKU]]),1),""))</f>
        <v/>
      </c>
      <c r="R18" s="61" t="str">
        <f ca="1">IF(OR(tblStock[[#This Row],[SKU]]="",tblStock[[#This Row],[UltimoMov]]=""),"",TODAY()-tblStock[[#This Row],[UltimoMov]])</f>
        <v/>
      </c>
    </row>
    <row r="19" spans="2:18" x14ac:dyDescent="0.25">
      <c r="B19" s="53" t="str">
        <f>IF('05_PRODUCTOS'!$B19="","",'05_PRODUCTOS'!$B19)</f>
        <v/>
      </c>
      <c r="C19" s="54" t="str">
        <f>IF($B19="","",'05_PRODUCTOS'!$C19)</f>
        <v/>
      </c>
      <c r="D19" s="54" t="str">
        <f>IF($B19="","",'05_PRODUCTOS'!$D19)</f>
        <v/>
      </c>
      <c r="E19" s="54" t="str">
        <f>IF($B19="","",'05_PRODUCTOS'!$I19&amp;"")</f>
        <v/>
      </c>
      <c r="F19" s="53" t="str">
        <f>IF($B19="","",'05_PRODUCTOS'!$E19)</f>
        <v/>
      </c>
      <c r="G19" s="53" t="str">
        <f>IF($B19="","",IF('05_PRODUCTOS'!$K19="NO","NO","SI"))</f>
        <v/>
      </c>
      <c r="H19" s="55" t="str">
        <f>IF(tblStock[[#This Row],[SKU]]="","",SUMIFS(tblMovimientos[CantidadNeta],tblMovimientos[SKU],tblStock[[#This Row],[SKU]],tblMovimientos[FactorStock],1))</f>
        <v/>
      </c>
      <c r="I19" s="55" t="str">
        <f>IF(tblStock[[#This Row],[SKU]]="","",-SUMIFS(tblMovimientos[CantidadNeta],tblMovimientos[SKU],tblStock[[#This Row],[SKU]],tblMovimientos[FactorStock],-1))</f>
        <v/>
      </c>
      <c r="J19" s="56" t="str">
        <f>IF(tblStock[[#This Row],[SKU]]="","",SUMIFS(tblMovimientos[CantidadNeta],tblMovimientos[SKU],tblStock[[#This Row],[SKU]]))</f>
        <v/>
      </c>
      <c r="K19" s="55" t="str">
        <f>IF($B19="","",N('05_PRODUCTOS'!$F19))</f>
        <v/>
      </c>
      <c r="L19" s="55" t="str">
        <f>IF($B19="","",N('05_PRODUCTOS'!$G19))</f>
        <v/>
      </c>
      <c r="M19" s="57" t="str">
        <f>IF(OR(tblStock[[#This Row],[SKU]]="",N(tblStock[[#This Row],[StockMax]])=0),"",MAX(0,tblStock[[#This Row],[StockActual]])/tblStock[[#This Row],[StockMax]])</f>
        <v/>
      </c>
      <c r="N1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" s="59" t="str">
        <f>IF($B19="","",N('05_PRODUCTOS'!$H19))</f>
        <v/>
      </c>
      <c r="P19" s="59" t="str">
        <f>IF(tblStock[[#This Row],[SKU]]="","",MAX(0,tblStock[[#This Row],[StockActual]])*tblStock[[#This Row],[CostoUnitario]])</f>
        <v/>
      </c>
      <c r="Q19" s="60" t="str">
        <f>IF(tblStock[[#This Row],[SKU]]="","",IFERROR(_xlfn.AGGREGATE(14,6,tblMovimientos[Fecha]/(tblMovimientos[SKU]=tblStock[[#This Row],[SKU]]),1),""))</f>
        <v/>
      </c>
      <c r="R19" s="61" t="str">
        <f ca="1">IF(OR(tblStock[[#This Row],[SKU]]="",tblStock[[#This Row],[UltimoMov]]=""),"",TODAY()-tblStock[[#This Row],[UltimoMov]])</f>
        <v/>
      </c>
    </row>
    <row r="20" spans="2:18" x14ac:dyDescent="0.25">
      <c r="B20" s="53" t="str">
        <f>IF('05_PRODUCTOS'!$B20="","",'05_PRODUCTOS'!$B20)</f>
        <v/>
      </c>
      <c r="C20" s="54" t="str">
        <f>IF($B20="","",'05_PRODUCTOS'!$C20)</f>
        <v/>
      </c>
      <c r="D20" s="54" t="str">
        <f>IF($B20="","",'05_PRODUCTOS'!$D20)</f>
        <v/>
      </c>
      <c r="E20" s="54" t="str">
        <f>IF($B20="","",'05_PRODUCTOS'!$I20&amp;"")</f>
        <v/>
      </c>
      <c r="F20" s="53" t="str">
        <f>IF($B20="","",'05_PRODUCTOS'!$E20)</f>
        <v/>
      </c>
      <c r="G20" s="53" t="str">
        <f>IF($B20="","",IF('05_PRODUCTOS'!$K20="NO","NO","SI"))</f>
        <v/>
      </c>
      <c r="H20" s="55" t="str">
        <f>IF(tblStock[[#This Row],[SKU]]="","",SUMIFS(tblMovimientos[CantidadNeta],tblMovimientos[SKU],tblStock[[#This Row],[SKU]],tblMovimientos[FactorStock],1))</f>
        <v/>
      </c>
      <c r="I20" s="55" t="str">
        <f>IF(tblStock[[#This Row],[SKU]]="","",-SUMIFS(tblMovimientos[CantidadNeta],tblMovimientos[SKU],tblStock[[#This Row],[SKU]],tblMovimientos[FactorStock],-1))</f>
        <v/>
      </c>
      <c r="J20" s="56" t="str">
        <f>IF(tblStock[[#This Row],[SKU]]="","",SUMIFS(tblMovimientos[CantidadNeta],tblMovimientos[SKU],tblStock[[#This Row],[SKU]]))</f>
        <v/>
      </c>
      <c r="K20" s="55" t="str">
        <f>IF($B20="","",N('05_PRODUCTOS'!$F20))</f>
        <v/>
      </c>
      <c r="L20" s="55" t="str">
        <f>IF($B20="","",N('05_PRODUCTOS'!$G20))</f>
        <v/>
      </c>
      <c r="M20" s="57" t="str">
        <f>IF(OR(tblStock[[#This Row],[SKU]]="",N(tblStock[[#This Row],[StockMax]])=0),"",MAX(0,tblStock[[#This Row],[StockActual]])/tblStock[[#This Row],[StockMax]])</f>
        <v/>
      </c>
      <c r="N2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" s="59" t="str">
        <f>IF($B20="","",N('05_PRODUCTOS'!$H20))</f>
        <v/>
      </c>
      <c r="P20" s="59" t="str">
        <f>IF(tblStock[[#This Row],[SKU]]="","",MAX(0,tblStock[[#This Row],[StockActual]])*tblStock[[#This Row],[CostoUnitario]])</f>
        <v/>
      </c>
      <c r="Q20" s="60" t="str">
        <f>IF(tblStock[[#This Row],[SKU]]="","",IFERROR(_xlfn.AGGREGATE(14,6,tblMovimientos[Fecha]/(tblMovimientos[SKU]=tblStock[[#This Row],[SKU]]),1),""))</f>
        <v/>
      </c>
      <c r="R20" s="61" t="str">
        <f ca="1">IF(OR(tblStock[[#This Row],[SKU]]="",tblStock[[#This Row],[UltimoMov]]=""),"",TODAY()-tblStock[[#This Row],[UltimoMov]])</f>
        <v/>
      </c>
    </row>
    <row r="21" spans="2:18" x14ac:dyDescent="0.25">
      <c r="B21" s="53" t="str">
        <f>IF('05_PRODUCTOS'!$B21="","",'05_PRODUCTOS'!$B21)</f>
        <v/>
      </c>
      <c r="C21" s="54" t="str">
        <f>IF($B21="","",'05_PRODUCTOS'!$C21)</f>
        <v/>
      </c>
      <c r="D21" s="54" t="str">
        <f>IF($B21="","",'05_PRODUCTOS'!$D21)</f>
        <v/>
      </c>
      <c r="E21" s="54" t="str">
        <f>IF($B21="","",'05_PRODUCTOS'!$I21&amp;"")</f>
        <v/>
      </c>
      <c r="F21" s="53" t="str">
        <f>IF($B21="","",'05_PRODUCTOS'!$E21)</f>
        <v/>
      </c>
      <c r="G21" s="53" t="str">
        <f>IF($B21="","",IF('05_PRODUCTOS'!$K21="NO","NO","SI"))</f>
        <v/>
      </c>
      <c r="H21" s="55" t="str">
        <f>IF(tblStock[[#This Row],[SKU]]="","",SUMIFS(tblMovimientos[CantidadNeta],tblMovimientos[SKU],tblStock[[#This Row],[SKU]],tblMovimientos[FactorStock],1))</f>
        <v/>
      </c>
      <c r="I21" s="55" t="str">
        <f>IF(tblStock[[#This Row],[SKU]]="","",-SUMIFS(tblMovimientos[CantidadNeta],tblMovimientos[SKU],tblStock[[#This Row],[SKU]],tblMovimientos[FactorStock],-1))</f>
        <v/>
      </c>
      <c r="J21" s="56" t="str">
        <f>IF(tblStock[[#This Row],[SKU]]="","",SUMIFS(tblMovimientos[CantidadNeta],tblMovimientos[SKU],tblStock[[#This Row],[SKU]]))</f>
        <v/>
      </c>
      <c r="K21" s="55" t="str">
        <f>IF($B21="","",N('05_PRODUCTOS'!$F21))</f>
        <v/>
      </c>
      <c r="L21" s="55" t="str">
        <f>IF($B21="","",N('05_PRODUCTOS'!$G21))</f>
        <v/>
      </c>
      <c r="M21" s="57" t="str">
        <f>IF(OR(tblStock[[#This Row],[SKU]]="",N(tblStock[[#This Row],[StockMax]])=0),"",MAX(0,tblStock[[#This Row],[StockActual]])/tblStock[[#This Row],[StockMax]])</f>
        <v/>
      </c>
      <c r="N2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" s="59" t="str">
        <f>IF($B21="","",N('05_PRODUCTOS'!$H21))</f>
        <v/>
      </c>
      <c r="P21" s="59" t="str">
        <f>IF(tblStock[[#This Row],[SKU]]="","",MAX(0,tblStock[[#This Row],[StockActual]])*tblStock[[#This Row],[CostoUnitario]])</f>
        <v/>
      </c>
      <c r="Q21" s="60" t="str">
        <f>IF(tblStock[[#This Row],[SKU]]="","",IFERROR(_xlfn.AGGREGATE(14,6,tblMovimientos[Fecha]/(tblMovimientos[SKU]=tblStock[[#This Row],[SKU]]),1),""))</f>
        <v/>
      </c>
      <c r="R21" s="61" t="str">
        <f ca="1">IF(OR(tblStock[[#This Row],[SKU]]="",tblStock[[#This Row],[UltimoMov]]=""),"",TODAY()-tblStock[[#This Row],[UltimoMov]])</f>
        <v/>
      </c>
    </row>
    <row r="22" spans="2:18" x14ac:dyDescent="0.25">
      <c r="B22" s="53" t="str">
        <f>IF('05_PRODUCTOS'!$B22="","",'05_PRODUCTOS'!$B22)</f>
        <v/>
      </c>
      <c r="C22" s="54" t="str">
        <f>IF($B22="","",'05_PRODUCTOS'!$C22)</f>
        <v/>
      </c>
      <c r="D22" s="54" t="str">
        <f>IF($B22="","",'05_PRODUCTOS'!$D22)</f>
        <v/>
      </c>
      <c r="E22" s="54" t="str">
        <f>IF($B22="","",'05_PRODUCTOS'!$I22&amp;"")</f>
        <v/>
      </c>
      <c r="F22" s="53" t="str">
        <f>IF($B22="","",'05_PRODUCTOS'!$E22)</f>
        <v/>
      </c>
      <c r="G22" s="53" t="str">
        <f>IF($B22="","",IF('05_PRODUCTOS'!$K22="NO","NO","SI"))</f>
        <v/>
      </c>
      <c r="H22" s="55" t="str">
        <f>IF(tblStock[[#This Row],[SKU]]="","",SUMIFS(tblMovimientos[CantidadNeta],tblMovimientos[SKU],tblStock[[#This Row],[SKU]],tblMovimientos[FactorStock],1))</f>
        <v/>
      </c>
      <c r="I22" s="55" t="str">
        <f>IF(tblStock[[#This Row],[SKU]]="","",-SUMIFS(tblMovimientos[CantidadNeta],tblMovimientos[SKU],tblStock[[#This Row],[SKU]],tblMovimientos[FactorStock],-1))</f>
        <v/>
      </c>
      <c r="J22" s="56" t="str">
        <f>IF(tblStock[[#This Row],[SKU]]="","",SUMIFS(tblMovimientos[CantidadNeta],tblMovimientos[SKU],tblStock[[#This Row],[SKU]]))</f>
        <v/>
      </c>
      <c r="K22" s="55" t="str">
        <f>IF($B22="","",N('05_PRODUCTOS'!$F22))</f>
        <v/>
      </c>
      <c r="L22" s="55" t="str">
        <f>IF($B22="","",N('05_PRODUCTOS'!$G22))</f>
        <v/>
      </c>
      <c r="M22" s="57" t="str">
        <f>IF(OR(tblStock[[#This Row],[SKU]]="",N(tblStock[[#This Row],[StockMax]])=0),"",MAX(0,tblStock[[#This Row],[StockActual]])/tblStock[[#This Row],[StockMax]])</f>
        <v/>
      </c>
      <c r="N2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" s="59" t="str">
        <f>IF($B22="","",N('05_PRODUCTOS'!$H22))</f>
        <v/>
      </c>
      <c r="P22" s="59" t="str">
        <f>IF(tblStock[[#This Row],[SKU]]="","",MAX(0,tblStock[[#This Row],[StockActual]])*tblStock[[#This Row],[CostoUnitario]])</f>
        <v/>
      </c>
      <c r="Q22" s="60" t="str">
        <f>IF(tblStock[[#This Row],[SKU]]="","",IFERROR(_xlfn.AGGREGATE(14,6,tblMovimientos[Fecha]/(tblMovimientos[SKU]=tblStock[[#This Row],[SKU]]),1),""))</f>
        <v/>
      </c>
      <c r="R22" s="61" t="str">
        <f ca="1">IF(OR(tblStock[[#This Row],[SKU]]="",tblStock[[#This Row],[UltimoMov]]=""),"",TODAY()-tblStock[[#This Row],[UltimoMov]])</f>
        <v/>
      </c>
    </row>
    <row r="23" spans="2:18" x14ac:dyDescent="0.25">
      <c r="B23" s="53" t="str">
        <f>IF('05_PRODUCTOS'!$B23="","",'05_PRODUCTOS'!$B23)</f>
        <v/>
      </c>
      <c r="C23" s="54" t="str">
        <f>IF($B23="","",'05_PRODUCTOS'!$C23)</f>
        <v/>
      </c>
      <c r="D23" s="54" t="str">
        <f>IF($B23="","",'05_PRODUCTOS'!$D23)</f>
        <v/>
      </c>
      <c r="E23" s="54" t="str">
        <f>IF($B23="","",'05_PRODUCTOS'!$I23&amp;"")</f>
        <v/>
      </c>
      <c r="F23" s="53" t="str">
        <f>IF($B23="","",'05_PRODUCTOS'!$E23)</f>
        <v/>
      </c>
      <c r="G23" s="53" t="str">
        <f>IF($B23="","",IF('05_PRODUCTOS'!$K23="NO","NO","SI"))</f>
        <v/>
      </c>
      <c r="H23" s="55" t="str">
        <f>IF(tblStock[[#This Row],[SKU]]="","",SUMIFS(tblMovimientos[CantidadNeta],tblMovimientos[SKU],tblStock[[#This Row],[SKU]],tblMovimientos[FactorStock],1))</f>
        <v/>
      </c>
      <c r="I23" s="55" t="str">
        <f>IF(tblStock[[#This Row],[SKU]]="","",-SUMIFS(tblMovimientos[CantidadNeta],tblMovimientos[SKU],tblStock[[#This Row],[SKU]],tblMovimientos[FactorStock],-1))</f>
        <v/>
      </c>
      <c r="J23" s="56" t="str">
        <f>IF(tblStock[[#This Row],[SKU]]="","",SUMIFS(tblMovimientos[CantidadNeta],tblMovimientos[SKU],tblStock[[#This Row],[SKU]]))</f>
        <v/>
      </c>
      <c r="K23" s="55" t="str">
        <f>IF($B23="","",N('05_PRODUCTOS'!$F23))</f>
        <v/>
      </c>
      <c r="L23" s="55" t="str">
        <f>IF($B23="","",N('05_PRODUCTOS'!$G23))</f>
        <v/>
      </c>
      <c r="M23" s="57" t="str">
        <f>IF(OR(tblStock[[#This Row],[SKU]]="",N(tblStock[[#This Row],[StockMax]])=0),"",MAX(0,tblStock[[#This Row],[StockActual]])/tblStock[[#This Row],[StockMax]])</f>
        <v/>
      </c>
      <c r="N2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" s="59" t="str">
        <f>IF($B23="","",N('05_PRODUCTOS'!$H23))</f>
        <v/>
      </c>
      <c r="P23" s="59" t="str">
        <f>IF(tblStock[[#This Row],[SKU]]="","",MAX(0,tblStock[[#This Row],[StockActual]])*tblStock[[#This Row],[CostoUnitario]])</f>
        <v/>
      </c>
      <c r="Q23" s="60" t="str">
        <f>IF(tblStock[[#This Row],[SKU]]="","",IFERROR(_xlfn.AGGREGATE(14,6,tblMovimientos[Fecha]/(tblMovimientos[SKU]=tblStock[[#This Row],[SKU]]),1),""))</f>
        <v/>
      </c>
      <c r="R23" s="61" t="str">
        <f ca="1">IF(OR(tblStock[[#This Row],[SKU]]="",tblStock[[#This Row],[UltimoMov]]=""),"",TODAY()-tblStock[[#This Row],[UltimoMov]])</f>
        <v/>
      </c>
    </row>
    <row r="24" spans="2:18" x14ac:dyDescent="0.25">
      <c r="B24" s="53" t="str">
        <f>IF('05_PRODUCTOS'!$B24="","",'05_PRODUCTOS'!$B24)</f>
        <v/>
      </c>
      <c r="C24" s="54" t="str">
        <f>IF($B24="","",'05_PRODUCTOS'!$C24)</f>
        <v/>
      </c>
      <c r="D24" s="54" t="str">
        <f>IF($B24="","",'05_PRODUCTOS'!$D24)</f>
        <v/>
      </c>
      <c r="E24" s="54" t="str">
        <f>IF($B24="","",'05_PRODUCTOS'!$I24&amp;"")</f>
        <v/>
      </c>
      <c r="F24" s="53" t="str">
        <f>IF($B24="","",'05_PRODUCTOS'!$E24)</f>
        <v/>
      </c>
      <c r="G24" s="53" t="str">
        <f>IF($B24="","",IF('05_PRODUCTOS'!$K24="NO","NO","SI"))</f>
        <v/>
      </c>
      <c r="H24" s="55" t="str">
        <f>IF(tblStock[[#This Row],[SKU]]="","",SUMIFS(tblMovimientos[CantidadNeta],tblMovimientos[SKU],tblStock[[#This Row],[SKU]],tblMovimientos[FactorStock],1))</f>
        <v/>
      </c>
      <c r="I24" s="55" t="str">
        <f>IF(tblStock[[#This Row],[SKU]]="","",-SUMIFS(tblMovimientos[CantidadNeta],tblMovimientos[SKU],tblStock[[#This Row],[SKU]],tblMovimientos[FactorStock],-1))</f>
        <v/>
      </c>
      <c r="J24" s="56" t="str">
        <f>IF(tblStock[[#This Row],[SKU]]="","",SUMIFS(tblMovimientos[CantidadNeta],tblMovimientos[SKU],tblStock[[#This Row],[SKU]]))</f>
        <v/>
      </c>
      <c r="K24" s="55" t="str">
        <f>IF($B24="","",N('05_PRODUCTOS'!$F24))</f>
        <v/>
      </c>
      <c r="L24" s="55" t="str">
        <f>IF($B24="","",N('05_PRODUCTOS'!$G24))</f>
        <v/>
      </c>
      <c r="M24" s="57" t="str">
        <f>IF(OR(tblStock[[#This Row],[SKU]]="",N(tblStock[[#This Row],[StockMax]])=0),"",MAX(0,tblStock[[#This Row],[StockActual]])/tblStock[[#This Row],[StockMax]])</f>
        <v/>
      </c>
      <c r="N2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" s="59" t="str">
        <f>IF($B24="","",N('05_PRODUCTOS'!$H24))</f>
        <v/>
      </c>
      <c r="P24" s="59" t="str">
        <f>IF(tblStock[[#This Row],[SKU]]="","",MAX(0,tblStock[[#This Row],[StockActual]])*tblStock[[#This Row],[CostoUnitario]])</f>
        <v/>
      </c>
      <c r="Q24" s="60" t="str">
        <f>IF(tblStock[[#This Row],[SKU]]="","",IFERROR(_xlfn.AGGREGATE(14,6,tblMovimientos[Fecha]/(tblMovimientos[SKU]=tblStock[[#This Row],[SKU]]),1),""))</f>
        <v/>
      </c>
      <c r="R24" s="61" t="str">
        <f ca="1">IF(OR(tblStock[[#This Row],[SKU]]="",tblStock[[#This Row],[UltimoMov]]=""),"",TODAY()-tblStock[[#This Row],[UltimoMov]])</f>
        <v/>
      </c>
    </row>
    <row r="25" spans="2:18" x14ac:dyDescent="0.25">
      <c r="B25" s="53" t="str">
        <f>IF('05_PRODUCTOS'!$B25="","",'05_PRODUCTOS'!$B25)</f>
        <v/>
      </c>
      <c r="C25" s="54" t="str">
        <f>IF($B25="","",'05_PRODUCTOS'!$C25)</f>
        <v/>
      </c>
      <c r="D25" s="54" t="str">
        <f>IF($B25="","",'05_PRODUCTOS'!$D25)</f>
        <v/>
      </c>
      <c r="E25" s="54" t="str">
        <f>IF($B25="","",'05_PRODUCTOS'!$I25&amp;"")</f>
        <v/>
      </c>
      <c r="F25" s="53" t="str">
        <f>IF($B25="","",'05_PRODUCTOS'!$E25)</f>
        <v/>
      </c>
      <c r="G25" s="53" t="str">
        <f>IF($B25="","",IF('05_PRODUCTOS'!$K25="NO","NO","SI"))</f>
        <v/>
      </c>
      <c r="H25" s="55" t="str">
        <f>IF(tblStock[[#This Row],[SKU]]="","",SUMIFS(tblMovimientos[CantidadNeta],tblMovimientos[SKU],tblStock[[#This Row],[SKU]],tblMovimientos[FactorStock],1))</f>
        <v/>
      </c>
      <c r="I25" s="55" t="str">
        <f>IF(tblStock[[#This Row],[SKU]]="","",-SUMIFS(tblMovimientos[CantidadNeta],tblMovimientos[SKU],tblStock[[#This Row],[SKU]],tblMovimientos[FactorStock],-1))</f>
        <v/>
      </c>
      <c r="J25" s="56" t="str">
        <f>IF(tblStock[[#This Row],[SKU]]="","",SUMIFS(tblMovimientos[CantidadNeta],tblMovimientos[SKU],tblStock[[#This Row],[SKU]]))</f>
        <v/>
      </c>
      <c r="K25" s="55" t="str">
        <f>IF($B25="","",N('05_PRODUCTOS'!$F25))</f>
        <v/>
      </c>
      <c r="L25" s="55" t="str">
        <f>IF($B25="","",N('05_PRODUCTOS'!$G25))</f>
        <v/>
      </c>
      <c r="M25" s="57" t="str">
        <f>IF(OR(tblStock[[#This Row],[SKU]]="",N(tblStock[[#This Row],[StockMax]])=0),"",MAX(0,tblStock[[#This Row],[StockActual]])/tblStock[[#This Row],[StockMax]])</f>
        <v/>
      </c>
      <c r="N2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" s="59" t="str">
        <f>IF($B25="","",N('05_PRODUCTOS'!$H25))</f>
        <v/>
      </c>
      <c r="P25" s="59" t="str">
        <f>IF(tblStock[[#This Row],[SKU]]="","",MAX(0,tblStock[[#This Row],[StockActual]])*tblStock[[#This Row],[CostoUnitario]])</f>
        <v/>
      </c>
      <c r="Q25" s="60" t="str">
        <f>IF(tblStock[[#This Row],[SKU]]="","",IFERROR(_xlfn.AGGREGATE(14,6,tblMovimientos[Fecha]/(tblMovimientos[SKU]=tblStock[[#This Row],[SKU]]),1),""))</f>
        <v/>
      </c>
      <c r="R25" s="61" t="str">
        <f ca="1">IF(OR(tblStock[[#This Row],[SKU]]="",tblStock[[#This Row],[UltimoMov]]=""),"",TODAY()-tblStock[[#This Row],[UltimoMov]])</f>
        <v/>
      </c>
    </row>
    <row r="26" spans="2:18" x14ac:dyDescent="0.25">
      <c r="B26" s="53" t="str">
        <f>IF('05_PRODUCTOS'!$B26="","",'05_PRODUCTOS'!$B26)</f>
        <v/>
      </c>
      <c r="C26" s="54" t="str">
        <f>IF($B26="","",'05_PRODUCTOS'!$C26)</f>
        <v/>
      </c>
      <c r="D26" s="54" t="str">
        <f>IF($B26="","",'05_PRODUCTOS'!$D26)</f>
        <v/>
      </c>
      <c r="E26" s="54" t="str">
        <f>IF($B26="","",'05_PRODUCTOS'!$I26&amp;"")</f>
        <v/>
      </c>
      <c r="F26" s="53" t="str">
        <f>IF($B26="","",'05_PRODUCTOS'!$E26)</f>
        <v/>
      </c>
      <c r="G26" s="53" t="str">
        <f>IF($B26="","",IF('05_PRODUCTOS'!$K26="NO","NO","SI"))</f>
        <v/>
      </c>
      <c r="H26" s="55" t="str">
        <f>IF(tblStock[[#This Row],[SKU]]="","",SUMIFS(tblMovimientos[CantidadNeta],tblMovimientos[SKU],tblStock[[#This Row],[SKU]],tblMovimientos[FactorStock],1))</f>
        <v/>
      </c>
      <c r="I26" s="55" t="str">
        <f>IF(tblStock[[#This Row],[SKU]]="","",-SUMIFS(tblMovimientos[CantidadNeta],tblMovimientos[SKU],tblStock[[#This Row],[SKU]],tblMovimientos[FactorStock],-1))</f>
        <v/>
      </c>
      <c r="J26" s="56" t="str">
        <f>IF(tblStock[[#This Row],[SKU]]="","",SUMIFS(tblMovimientos[CantidadNeta],tblMovimientos[SKU],tblStock[[#This Row],[SKU]]))</f>
        <v/>
      </c>
      <c r="K26" s="55" t="str">
        <f>IF($B26="","",N('05_PRODUCTOS'!$F26))</f>
        <v/>
      </c>
      <c r="L26" s="55" t="str">
        <f>IF($B26="","",N('05_PRODUCTOS'!$G26))</f>
        <v/>
      </c>
      <c r="M26" s="57" t="str">
        <f>IF(OR(tblStock[[#This Row],[SKU]]="",N(tblStock[[#This Row],[StockMax]])=0),"",MAX(0,tblStock[[#This Row],[StockActual]])/tblStock[[#This Row],[StockMax]])</f>
        <v/>
      </c>
      <c r="N2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" s="59" t="str">
        <f>IF($B26="","",N('05_PRODUCTOS'!$H26))</f>
        <v/>
      </c>
      <c r="P26" s="59" t="str">
        <f>IF(tblStock[[#This Row],[SKU]]="","",MAX(0,tblStock[[#This Row],[StockActual]])*tblStock[[#This Row],[CostoUnitario]])</f>
        <v/>
      </c>
      <c r="Q26" s="60" t="str">
        <f>IF(tblStock[[#This Row],[SKU]]="","",IFERROR(_xlfn.AGGREGATE(14,6,tblMovimientos[Fecha]/(tblMovimientos[SKU]=tblStock[[#This Row],[SKU]]),1),""))</f>
        <v/>
      </c>
      <c r="R26" s="61" t="str">
        <f ca="1">IF(OR(tblStock[[#This Row],[SKU]]="",tblStock[[#This Row],[UltimoMov]]=""),"",TODAY()-tblStock[[#This Row],[UltimoMov]])</f>
        <v/>
      </c>
    </row>
    <row r="27" spans="2:18" x14ac:dyDescent="0.25">
      <c r="B27" s="53" t="str">
        <f>IF('05_PRODUCTOS'!$B27="","",'05_PRODUCTOS'!$B27)</f>
        <v/>
      </c>
      <c r="C27" s="54" t="str">
        <f>IF($B27="","",'05_PRODUCTOS'!$C27)</f>
        <v/>
      </c>
      <c r="D27" s="54" t="str">
        <f>IF($B27="","",'05_PRODUCTOS'!$D27)</f>
        <v/>
      </c>
      <c r="E27" s="54" t="str">
        <f>IF($B27="","",'05_PRODUCTOS'!$I27&amp;"")</f>
        <v/>
      </c>
      <c r="F27" s="53" t="str">
        <f>IF($B27="","",'05_PRODUCTOS'!$E27)</f>
        <v/>
      </c>
      <c r="G27" s="53" t="str">
        <f>IF($B27="","",IF('05_PRODUCTOS'!$K27="NO","NO","SI"))</f>
        <v/>
      </c>
      <c r="H27" s="55" t="str">
        <f>IF(tblStock[[#This Row],[SKU]]="","",SUMIFS(tblMovimientos[CantidadNeta],tblMovimientos[SKU],tblStock[[#This Row],[SKU]],tblMovimientos[FactorStock],1))</f>
        <v/>
      </c>
      <c r="I27" s="55" t="str">
        <f>IF(tblStock[[#This Row],[SKU]]="","",-SUMIFS(tblMovimientos[CantidadNeta],tblMovimientos[SKU],tblStock[[#This Row],[SKU]],tblMovimientos[FactorStock],-1))</f>
        <v/>
      </c>
      <c r="J27" s="56" t="str">
        <f>IF(tblStock[[#This Row],[SKU]]="","",SUMIFS(tblMovimientos[CantidadNeta],tblMovimientos[SKU],tblStock[[#This Row],[SKU]]))</f>
        <v/>
      </c>
      <c r="K27" s="55" t="str">
        <f>IF($B27="","",N('05_PRODUCTOS'!$F27))</f>
        <v/>
      </c>
      <c r="L27" s="55" t="str">
        <f>IF($B27="","",N('05_PRODUCTOS'!$G27))</f>
        <v/>
      </c>
      <c r="M27" s="57" t="str">
        <f>IF(OR(tblStock[[#This Row],[SKU]]="",N(tblStock[[#This Row],[StockMax]])=0),"",MAX(0,tblStock[[#This Row],[StockActual]])/tblStock[[#This Row],[StockMax]])</f>
        <v/>
      </c>
      <c r="N2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" s="59" t="str">
        <f>IF($B27="","",N('05_PRODUCTOS'!$H27))</f>
        <v/>
      </c>
      <c r="P27" s="59" t="str">
        <f>IF(tblStock[[#This Row],[SKU]]="","",MAX(0,tblStock[[#This Row],[StockActual]])*tblStock[[#This Row],[CostoUnitario]])</f>
        <v/>
      </c>
      <c r="Q27" s="60" t="str">
        <f>IF(tblStock[[#This Row],[SKU]]="","",IFERROR(_xlfn.AGGREGATE(14,6,tblMovimientos[Fecha]/(tblMovimientos[SKU]=tblStock[[#This Row],[SKU]]),1),""))</f>
        <v/>
      </c>
      <c r="R27" s="61" t="str">
        <f ca="1">IF(OR(tblStock[[#This Row],[SKU]]="",tblStock[[#This Row],[UltimoMov]]=""),"",TODAY()-tblStock[[#This Row],[UltimoMov]])</f>
        <v/>
      </c>
    </row>
    <row r="28" spans="2:18" x14ac:dyDescent="0.25">
      <c r="B28" s="53" t="str">
        <f>IF('05_PRODUCTOS'!$B28="","",'05_PRODUCTOS'!$B28)</f>
        <v/>
      </c>
      <c r="C28" s="54" t="str">
        <f>IF($B28="","",'05_PRODUCTOS'!$C28)</f>
        <v/>
      </c>
      <c r="D28" s="54" t="str">
        <f>IF($B28="","",'05_PRODUCTOS'!$D28)</f>
        <v/>
      </c>
      <c r="E28" s="54" t="str">
        <f>IF($B28="","",'05_PRODUCTOS'!$I28&amp;"")</f>
        <v/>
      </c>
      <c r="F28" s="53" t="str">
        <f>IF($B28="","",'05_PRODUCTOS'!$E28)</f>
        <v/>
      </c>
      <c r="G28" s="53" t="str">
        <f>IF($B28="","",IF('05_PRODUCTOS'!$K28="NO","NO","SI"))</f>
        <v/>
      </c>
      <c r="H28" s="55" t="str">
        <f>IF(tblStock[[#This Row],[SKU]]="","",SUMIFS(tblMovimientos[CantidadNeta],tblMovimientos[SKU],tblStock[[#This Row],[SKU]],tblMovimientos[FactorStock],1))</f>
        <v/>
      </c>
      <c r="I28" s="55" t="str">
        <f>IF(tblStock[[#This Row],[SKU]]="","",-SUMIFS(tblMovimientos[CantidadNeta],tblMovimientos[SKU],tblStock[[#This Row],[SKU]],tblMovimientos[FactorStock],-1))</f>
        <v/>
      </c>
      <c r="J28" s="56" t="str">
        <f>IF(tblStock[[#This Row],[SKU]]="","",SUMIFS(tblMovimientos[CantidadNeta],tblMovimientos[SKU],tblStock[[#This Row],[SKU]]))</f>
        <v/>
      </c>
      <c r="K28" s="55" t="str">
        <f>IF($B28="","",N('05_PRODUCTOS'!$F28))</f>
        <v/>
      </c>
      <c r="L28" s="55" t="str">
        <f>IF($B28="","",N('05_PRODUCTOS'!$G28))</f>
        <v/>
      </c>
      <c r="M28" s="57" t="str">
        <f>IF(OR(tblStock[[#This Row],[SKU]]="",N(tblStock[[#This Row],[StockMax]])=0),"",MAX(0,tblStock[[#This Row],[StockActual]])/tblStock[[#This Row],[StockMax]])</f>
        <v/>
      </c>
      <c r="N2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" s="59" t="str">
        <f>IF($B28="","",N('05_PRODUCTOS'!$H28))</f>
        <v/>
      </c>
      <c r="P28" s="59" t="str">
        <f>IF(tblStock[[#This Row],[SKU]]="","",MAX(0,tblStock[[#This Row],[StockActual]])*tblStock[[#This Row],[CostoUnitario]])</f>
        <v/>
      </c>
      <c r="Q28" s="60" t="str">
        <f>IF(tblStock[[#This Row],[SKU]]="","",IFERROR(_xlfn.AGGREGATE(14,6,tblMovimientos[Fecha]/(tblMovimientos[SKU]=tblStock[[#This Row],[SKU]]),1),""))</f>
        <v/>
      </c>
      <c r="R28" s="61" t="str">
        <f ca="1">IF(OR(tblStock[[#This Row],[SKU]]="",tblStock[[#This Row],[UltimoMov]]=""),"",TODAY()-tblStock[[#This Row],[UltimoMov]])</f>
        <v/>
      </c>
    </row>
    <row r="29" spans="2:18" x14ac:dyDescent="0.25">
      <c r="B29" s="53" t="str">
        <f>IF('05_PRODUCTOS'!$B29="","",'05_PRODUCTOS'!$B29)</f>
        <v/>
      </c>
      <c r="C29" s="54" t="str">
        <f>IF($B29="","",'05_PRODUCTOS'!$C29)</f>
        <v/>
      </c>
      <c r="D29" s="54" t="str">
        <f>IF($B29="","",'05_PRODUCTOS'!$D29)</f>
        <v/>
      </c>
      <c r="E29" s="54" t="str">
        <f>IF($B29="","",'05_PRODUCTOS'!$I29&amp;"")</f>
        <v/>
      </c>
      <c r="F29" s="53" t="str">
        <f>IF($B29="","",'05_PRODUCTOS'!$E29)</f>
        <v/>
      </c>
      <c r="G29" s="53" t="str">
        <f>IF($B29="","",IF('05_PRODUCTOS'!$K29="NO","NO","SI"))</f>
        <v/>
      </c>
      <c r="H29" s="55" t="str">
        <f>IF(tblStock[[#This Row],[SKU]]="","",SUMIFS(tblMovimientos[CantidadNeta],tblMovimientos[SKU],tblStock[[#This Row],[SKU]],tblMovimientos[FactorStock],1))</f>
        <v/>
      </c>
      <c r="I29" s="55" t="str">
        <f>IF(tblStock[[#This Row],[SKU]]="","",-SUMIFS(tblMovimientos[CantidadNeta],tblMovimientos[SKU],tblStock[[#This Row],[SKU]],tblMovimientos[FactorStock],-1))</f>
        <v/>
      </c>
      <c r="J29" s="56" t="str">
        <f>IF(tblStock[[#This Row],[SKU]]="","",SUMIFS(tblMovimientos[CantidadNeta],tblMovimientos[SKU],tblStock[[#This Row],[SKU]]))</f>
        <v/>
      </c>
      <c r="K29" s="55" t="str">
        <f>IF($B29="","",N('05_PRODUCTOS'!$F29))</f>
        <v/>
      </c>
      <c r="L29" s="55" t="str">
        <f>IF($B29="","",N('05_PRODUCTOS'!$G29))</f>
        <v/>
      </c>
      <c r="M29" s="57" t="str">
        <f>IF(OR(tblStock[[#This Row],[SKU]]="",N(tblStock[[#This Row],[StockMax]])=0),"",MAX(0,tblStock[[#This Row],[StockActual]])/tblStock[[#This Row],[StockMax]])</f>
        <v/>
      </c>
      <c r="N2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" s="59" t="str">
        <f>IF($B29="","",N('05_PRODUCTOS'!$H29))</f>
        <v/>
      </c>
      <c r="P29" s="59" t="str">
        <f>IF(tblStock[[#This Row],[SKU]]="","",MAX(0,tblStock[[#This Row],[StockActual]])*tblStock[[#This Row],[CostoUnitario]])</f>
        <v/>
      </c>
      <c r="Q29" s="60" t="str">
        <f>IF(tblStock[[#This Row],[SKU]]="","",IFERROR(_xlfn.AGGREGATE(14,6,tblMovimientos[Fecha]/(tblMovimientos[SKU]=tblStock[[#This Row],[SKU]]),1),""))</f>
        <v/>
      </c>
      <c r="R29" s="61" t="str">
        <f ca="1">IF(OR(tblStock[[#This Row],[SKU]]="",tblStock[[#This Row],[UltimoMov]]=""),"",TODAY()-tblStock[[#This Row],[UltimoMov]])</f>
        <v/>
      </c>
    </row>
    <row r="30" spans="2:18" x14ac:dyDescent="0.25">
      <c r="B30" s="53" t="str">
        <f>IF('05_PRODUCTOS'!$B30="","",'05_PRODUCTOS'!$B30)</f>
        <v/>
      </c>
      <c r="C30" s="54" t="str">
        <f>IF($B30="","",'05_PRODUCTOS'!$C30)</f>
        <v/>
      </c>
      <c r="D30" s="54" t="str">
        <f>IF($B30="","",'05_PRODUCTOS'!$D30)</f>
        <v/>
      </c>
      <c r="E30" s="54" t="str">
        <f>IF($B30="","",'05_PRODUCTOS'!$I30&amp;"")</f>
        <v/>
      </c>
      <c r="F30" s="53" t="str">
        <f>IF($B30="","",'05_PRODUCTOS'!$E30)</f>
        <v/>
      </c>
      <c r="G30" s="53" t="str">
        <f>IF($B30="","",IF('05_PRODUCTOS'!$K30="NO","NO","SI"))</f>
        <v/>
      </c>
      <c r="H30" s="55" t="str">
        <f>IF(tblStock[[#This Row],[SKU]]="","",SUMIFS(tblMovimientos[CantidadNeta],tblMovimientos[SKU],tblStock[[#This Row],[SKU]],tblMovimientos[FactorStock],1))</f>
        <v/>
      </c>
      <c r="I30" s="55" t="str">
        <f>IF(tblStock[[#This Row],[SKU]]="","",-SUMIFS(tblMovimientos[CantidadNeta],tblMovimientos[SKU],tblStock[[#This Row],[SKU]],tblMovimientos[FactorStock],-1))</f>
        <v/>
      </c>
      <c r="J30" s="56" t="str">
        <f>IF(tblStock[[#This Row],[SKU]]="","",SUMIFS(tblMovimientos[CantidadNeta],tblMovimientos[SKU],tblStock[[#This Row],[SKU]]))</f>
        <v/>
      </c>
      <c r="K30" s="55" t="str">
        <f>IF($B30="","",N('05_PRODUCTOS'!$F30))</f>
        <v/>
      </c>
      <c r="L30" s="55" t="str">
        <f>IF($B30="","",N('05_PRODUCTOS'!$G30))</f>
        <v/>
      </c>
      <c r="M30" s="57" t="str">
        <f>IF(OR(tblStock[[#This Row],[SKU]]="",N(tblStock[[#This Row],[StockMax]])=0),"",MAX(0,tblStock[[#This Row],[StockActual]])/tblStock[[#This Row],[StockMax]])</f>
        <v/>
      </c>
      <c r="N3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" s="59" t="str">
        <f>IF($B30="","",N('05_PRODUCTOS'!$H30))</f>
        <v/>
      </c>
      <c r="P30" s="59" t="str">
        <f>IF(tblStock[[#This Row],[SKU]]="","",MAX(0,tblStock[[#This Row],[StockActual]])*tblStock[[#This Row],[CostoUnitario]])</f>
        <v/>
      </c>
      <c r="Q30" s="60" t="str">
        <f>IF(tblStock[[#This Row],[SKU]]="","",IFERROR(_xlfn.AGGREGATE(14,6,tblMovimientos[Fecha]/(tblMovimientos[SKU]=tblStock[[#This Row],[SKU]]),1),""))</f>
        <v/>
      </c>
      <c r="R30" s="61" t="str">
        <f ca="1">IF(OR(tblStock[[#This Row],[SKU]]="",tblStock[[#This Row],[UltimoMov]]=""),"",TODAY()-tblStock[[#This Row],[UltimoMov]])</f>
        <v/>
      </c>
    </row>
    <row r="31" spans="2:18" x14ac:dyDescent="0.25">
      <c r="B31" s="53" t="str">
        <f>IF('05_PRODUCTOS'!$B31="","",'05_PRODUCTOS'!$B31)</f>
        <v/>
      </c>
      <c r="C31" s="54" t="str">
        <f>IF($B31="","",'05_PRODUCTOS'!$C31)</f>
        <v/>
      </c>
      <c r="D31" s="54" t="str">
        <f>IF($B31="","",'05_PRODUCTOS'!$D31)</f>
        <v/>
      </c>
      <c r="E31" s="54" t="str">
        <f>IF($B31="","",'05_PRODUCTOS'!$I31&amp;"")</f>
        <v/>
      </c>
      <c r="F31" s="53" t="str">
        <f>IF($B31="","",'05_PRODUCTOS'!$E31)</f>
        <v/>
      </c>
      <c r="G31" s="53" t="str">
        <f>IF($B31="","",IF('05_PRODUCTOS'!$K31="NO","NO","SI"))</f>
        <v/>
      </c>
      <c r="H31" s="55" t="str">
        <f>IF(tblStock[[#This Row],[SKU]]="","",SUMIFS(tblMovimientos[CantidadNeta],tblMovimientos[SKU],tblStock[[#This Row],[SKU]],tblMovimientos[FactorStock],1))</f>
        <v/>
      </c>
      <c r="I31" s="55" t="str">
        <f>IF(tblStock[[#This Row],[SKU]]="","",-SUMIFS(tblMovimientos[CantidadNeta],tblMovimientos[SKU],tblStock[[#This Row],[SKU]],tblMovimientos[FactorStock],-1))</f>
        <v/>
      </c>
      <c r="J31" s="56" t="str">
        <f>IF(tblStock[[#This Row],[SKU]]="","",SUMIFS(tblMovimientos[CantidadNeta],tblMovimientos[SKU],tblStock[[#This Row],[SKU]]))</f>
        <v/>
      </c>
      <c r="K31" s="55" t="str">
        <f>IF($B31="","",N('05_PRODUCTOS'!$F31))</f>
        <v/>
      </c>
      <c r="L31" s="55" t="str">
        <f>IF($B31="","",N('05_PRODUCTOS'!$G31))</f>
        <v/>
      </c>
      <c r="M31" s="57" t="str">
        <f>IF(OR(tblStock[[#This Row],[SKU]]="",N(tblStock[[#This Row],[StockMax]])=0),"",MAX(0,tblStock[[#This Row],[StockActual]])/tblStock[[#This Row],[StockMax]])</f>
        <v/>
      </c>
      <c r="N3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" s="59" t="str">
        <f>IF($B31="","",N('05_PRODUCTOS'!$H31))</f>
        <v/>
      </c>
      <c r="P31" s="59" t="str">
        <f>IF(tblStock[[#This Row],[SKU]]="","",MAX(0,tblStock[[#This Row],[StockActual]])*tblStock[[#This Row],[CostoUnitario]])</f>
        <v/>
      </c>
      <c r="Q31" s="60" t="str">
        <f>IF(tblStock[[#This Row],[SKU]]="","",IFERROR(_xlfn.AGGREGATE(14,6,tblMovimientos[Fecha]/(tblMovimientos[SKU]=tblStock[[#This Row],[SKU]]),1),""))</f>
        <v/>
      </c>
      <c r="R31" s="61" t="str">
        <f ca="1">IF(OR(tblStock[[#This Row],[SKU]]="",tblStock[[#This Row],[UltimoMov]]=""),"",TODAY()-tblStock[[#This Row],[UltimoMov]])</f>
        <v/>
      </c>
    </row>
    <row r="32" spans="2:18" x14ac:dyDescent="0.25">
      <c r="B32" s="53" t="str">
        <f>IF('05_PRODUCTOS'!$B32="","",'05_PRODUCTOS'!$B32)</f>
        <v/>
      </c>
      <c r="C32" s="54" t="str">
        <f>IF($B32="","",'05_PRODUCTOS'!$C32)</f>
        <v/>
      </c>
      <c r="D32" s="54" t="str">
        <f>IF($B32="","",'05_PRODUCTOS'!$D32)</f>
        <v/>
      </c>
      <c r="E32" s="54" t="str">
        <f>IF($B32="","",'05_PRODUCTOS'!$I32&amp;"")</f>
        <v/>
      </c>
      <c r="F32" s="53" t="str">
        <f>IF($B32="","",'05_PRODUCTOS'!$E32)</f>
        <v/>
      </c>
      <c r="G32" s="53" t="str">
        <f>IF($B32="","",IF('05_PRODUCTOS'!$K32="NO","NO","SI"))</f>
        <v/>
      </c>
      <c r="H32" s="55" t="str">
        <f>IF(tblStock[[#This Row],[SKU]]="","",SUMIFS(tblMovimientos[CantidadNeta],tblMovimientos[SKU],tblStock[[#This Row],[SKU]],tblMovimientos[FactorStock],1))</f>
        <v/>
      </c>
      <c r="I32" s="55" t="str">
        <f>IF(tblStock[[#This Row],[SKU]]="","",-SUMIFS(tblMovimientos[CantidadNeta],tblMovimientos[SKU],tblStock[[#This Row],[SKU]],tblMovimientos[FactorStock],-1))</f>
        <v/>
      </c>
      <c r="J32" s="56" t="str">
        <f>IF(tblStock[[#This Row],[SKU]]="","",SUMIFS(tblMovimientos[CantidadNeta],tblMovimientos[SKU],tblStock[[#This Row],[SKU]]))</f>
        <v/>
      </c>
      <c r="K32" s="55" t="str">
        <f>IF($B32="","",N('05_PRODUCTOS'!$F32))</f>
        <v/>
      </c>
      <c r="L32" s="55" t="str">
        <f>IF($B32="","",N('05_PRODUCTOS'!$G32))</f>
        <v/>
      </c>
      <c r="M32" s="57" t="str">
        <f>IF(OR(tblStock[[#This Row],[SKU]]="",N(tblStock[[#This Row],[StockMax]])=0),"",MAX(0,tblStock[[#This Row],[StockActual]])/tblStock[[#This Row],[StockMax]])</f>
        <v/>
      </c>
      <c r="N3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" s="59" t="str">
        <f>IF($B32="","",N('05_PRODUCTOS'!$H32))</f>
        <v/>
      </c>
      <c r="P32" s="59" t="str">
        <f>IF(tblStock[[#This Row],[SKU]]="","",MAX(0,tblStock[[#This Row],[StockActual]])*tblStock[[#This Row],[CostoUnitario]])</f>
        <v/>
      </c>
      <c r="Q32" s="60" t="str">
        <f>IF(tblStock[[#This Row],[SKU]]="","",IFERROR(_xlfn.AGGREGATE(14,6,tblMovimientos[Fecha]/(tblMovimientos[SKU]=tblStock[[#This Row],[SKU]]),1),""))</f>
        <v/>
      </c>
      <c r="R32" s="61" t="str">
        <f ca="1">IF(OR(tblStock[[#This Row],[SKU]]="",tblStock[[#This Row],[UltimoMov]]=""),"",TODAY()-tblStock[[#This Row],[UltimoMov]])</f>
        <v/>
      </c>
    </row>
    <row r="33" spans="2:18" x14ac:dyDescent="0.25">
      <c r="B33" s="53" t="str">
        <f>IF('05_PRODUCTOS'!$B33="","",'05_PRODUCTOS'!$B33)</f>
        <v/>
      </c>
      <c r="C33" s="54" t="str">
        <f>IF($B33="","",'05_PRODUCTOS'!$C33)</f>
        <v/>
      </c>
      <c r="D33" s="54" t="str">
        <f>IF($B33="","",'05_PRODUCTOS'!$D33)</f>
        <v/>
      </c>
      <c r="E33" s="54" t="str">
        <f>IF($B33="","",'05_PRODUCTOS'!$I33&amp;"")</f>
        <v/>
      </c>
      <c r="F33" s="53" t="str">
        <f>IF($B33="","",'05_PRODUCTOS'!$E33)</f>
        <v/>
      </c>
      <c r="G33" s="53" t="str">
        <f>IF($B33="","",IF('05_PRODUCTOS'!$K33="NO","NO","SI"))</f>
        <v/>
      </c>
      <c r="H33" s="55" t="str">
        <f>IF(tblStock[[#This Row],[SKU]]="","",SUMIFS(tblMovimientos[CantidadNeta],tblMovimientos[SKU],tblStock[[#This Row],[SKU]],tblMovimientos[FactorStock],1))</f>
        <v/>
      </c>
      <c r="I33" s="55" t="str">
        <f>IF(tblStock[[#This Row],[SKU]]="","",-SUMIFS(tblMovimientos[CantidadNeta],tblMovimientos[SKU],tblStock[[#This Row],[SKU]],tblMovimientos[FactorStock],-1))</f>
        <v/>
      </c>
      <c r="J33" s="56" t="str">
        <f>IF(tblStock[[#This Row],[SKU]]="","",SUMIFS(tblMovimientos[CantidadNeta],tblMovimientos[SKU],tblStock[[#This Row],[SKU]]))</f>
        <v/>
      </c>
      <c r="K33" s="55" t="str">
        <f>IF($B33="","",N('05_PRODUCTOS'!$F33))</f>
        <v/>
      </c>
      <c r="L33" s="55" t="str">
        <f>IF($B33="","",N('05_PRODUCTOS'!$G33))</f>
        <v/>
      </c>
      <c r="M33" s="57" t="str">
        <f>IF(OR(tblStock[[#This Row],[SKU]]="",N(tblStock[[#This Row],[StockMax]])=0),"",MAX(0,tblStock[[#This Row],[StockActual]])/tblStock[[#This Row],[StockMax]])</f>
        <v/>
      </c>
      <c r="N3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" s="59" t="str">
        <f>IF($B33="","",N('05_PRODUCTOS'!$H33))</f>
        <v/>
      </c>
      <c r="P33" s="59" t="str">
        <f>IF(tblStock[[#This Row],[SKU]]="","",MAX(0,tblStock[[#This Row],[StockActual]])*tblStock[[#This Row],[CostoUnitario]])</f>
        <v/>
      </c>
      <c r="Q33" s="60" t="str">
        <f>IF(tblStock[[#This Row],[SKU]]="","",IFERROR(_xlfn.AGGREGATE(14,6,tblMovimientos[Fecha]/(tblMovimientos[SKU]=tblStock[[#This Row],[SKU]]),1),""))</f>
        <v/>
      </c>
      <c r="R33" s="61" t="str">
        <f ca="1">IF(OR(tblStock[[#This Row],[SKU]]="",tblStock[[#This Row],[UltimoMov]]=""),"",TODAY()-tblStock[[#This Row],[UltimoMov]])</f>
        <v/>
      </c>
    </row>
    <row r="34" spans="2:18" x14ac:dyDescent="0.25">
      <c r="B34" s="53" t="str">
        <f>IF('05_PRODUCTOS'!$B34="","",'05_PRODUCTOS'!$B34)</f>
        <v/>
      </c>
      <c r="C34" s="54" t="str">
        <f>IF($B34="","",'05_PRODUCTOS'!$C34)</f>
        <v/>
      </c>
      <c r="D34" s="54" t="str">
        <f>IF($B34="","",'05_PRODUCTOS'!$D34)</f>
        <v/>
      </c>
      <c r="E34" s="54" t="str">
        <f>IF($B34="","",'05_PRODUCTOS'!$I34&amp;"")</f>
        <v/>
      </c>
      <c r="F34" s="53" t="str">
        <f>IF($B34="","",'05_PRODUCTOS'!$E34)</f>
        <v/>
      </c>
      <c r="G34" s="53" t="str">
        <f>IF($B34="","",IF('05_PRODUCTOS'!$K34="NO","NO","SI"))</f>
        <v/>
      </c>
      <c r="H34" s="55" t="str">
        <f>IF(tblStock[[#This Row],[SKU]]="","",SUMIFS(tblMovimientos[CantidadNeta],tblMovimientos[SKU],tblStock[[#This Row],[SKU]],tblMovimientos[FactorStock],1))</f>
        <v/>
      </c>
      <c r="I34" s="55" t="str">
        <f>IF(tblStock[[#This Row],[SKU]]="","",-SUMIFS(tblMovimientos[CantidadNeta],tblMovimientos[SKU],tblStock[[#This Row],[SKU]],tblMovimientos[FactorStock],-1))</f>
        <v/>
      </c>
      <c r="J34" s="56" t="str">
        <f>IF(tblStock[[#This Row],[SKU]]="","",SUMIFS(tblMovimientos[CantidadNeta],tblMovimientos[SKU],tblStock[[#This Row],[SKU]]))</f>
        <v/>
      </c>
      <c r="K34" s="55" t="str">
        <f>IF($B34="","",N('05_PRODUCTOS'!$F34))</f>
        <v/>
      </c>
      <c r="L34" s="55" t="str">
        <f>IF($B34="","",N('05_PRODUCTOS'!$G34))</f>
        <v/>
      </c>
      <c r="M34" s="57" t="str">
        <f>IF(OR(tblStock[[#This Row],[SKU]]="",N(tblStock[[#This Row],[StockMax]])=0),"",MAX(0,tblStock[[#This Row],[StockActual]])/tblStock[[#This Row],[StockMax]])</f>
        <v/>
      </c>
      <c r="N3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" s="59" t="str">
        <f>IF($B34="","",N('05_PRODUCTOS'!$H34))</f>
        <v/>
      </c>
      <c r="P34" s="59" t="str">
        <f>IF(tblStock[[#This Row],[SKU]]="","",MAX(0,tblStock[[#This Row],[StockActual]])*tblStock[[#This Row],[CostoUnitario]])</f>
        <v/>
      </c>
      <c r="Q34" s="60" t="str">
        <f>IF(tblStock[[#This Row],[SKU]]="","",IFERROR(_xlfn.AGGREGATE(14,6,tblMovimientos[Fecha]/(tblMovimientos[SKU]=tblStock[[#This Row],[SKU]]),1),""))</f>
        <v/>
      </c>
      <c r="R34" s="61" t="str">
        <f ca="1">IF(OR(tblStock[[#This Row],[SKU]]="",tblStock[[#This Row],[UltimoMov]]=""),"",TODAY()-tblStock[[#This Row],[UltimoMov]])</f>
        <v/>
      </c>
    </row>
    <row r="35" spans="2:18" x14ac:dyDescent="0.25">
      <c r="B35" s="53" t="str">
        <f>IF('05_PRODUCTOS'!$B35="","",'05_PRODUCTOS'!$B35)</f>
        <v/>
      </c>
      <c r="C35" s="54" t="str">
        <f>IF($B35="","",'05_PRODUCTOS'!$C35)</f>
        <v/>
      </c>
      <c r="D35" s="54" t="str">
        <f>IF($B35="","",'05_PRODUCTOS'!$D35)</f>
        <v/>
      </c>
      <c r="E35" s="54" t="str">
        <f>IF($B35="","",'05_PRODUCTOS'!$I35&amp;"")</f>
        <v/>
      </c>
      <c r="F35" s="53" t="str">
        <f>IF($B35="","",'05_PRODUCTOS'!$E35)</f>
        <v/>
      </c>
      <c r="G35" s="53" t="str">
        <f>IF($B35="","",IF('05_PRODUCTOS'!$K35="NO","NO","SI"))</f>
        <v/>
      </c>
      <c r="H35" s="55" t="str">
        <f>IF(tblStock[[#This Row],[SKU]]="","",SUMIFS(tblMovimientos[CantidadNeta],tblMovimientos[SKU],tblStock[[#This Row],[SKU]],tblMovimientos[FactorStock],1))</f>
        <v/>
      </c>
      <c r="I35" s="55" t="str">
        <f>IF(tblStock[[#This Row],[SKU]]="","",-SUMIFS(tblMovimientos[CantidadNeta],tblMovimientos[SKU],tblStock[[#This Row],[SKU]],tblMovimientos[FactorStock],-1))</f>
        <v/>
      </c>
      <c r="J35" s="56" t="str">
        <f>IF(tblStock[[#This Row],[SKU]]="","",SUMIFS(tblMovimientos[CantidadNeta],tblMovimientos[SKU],tblStock[[#This Row],[SKU]]))</f>
        <v/>
      </c>
      <c r="K35" s="55" t="str">
        <f>IF($B35="","",N('05_PRODUCTOS'!$F35))</f>
        <v/>
      </c>
      <c r="L35" s="55" t="str">
        <f>IF($B35="","",N('05_PRODUCTOS'!$G35))</f>
        <v/>
      </c>
      <c r="M35" s="57" t="str">
        <f>IF(OR(tblStock[[#This Row],[SKU]]="",N(tblStock[[#This Row],[StockMax]])=0),"",MAX(0,tblStock[[#This Row],[StockActual]])/tblStock[[#This Row],[StockMax]])</f>
        <v/>
      </c>
      <c r="N3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" s="59" t="str">
        <f>IF($B35="","",N('05_PRODUCTOS'!$H35))</f>
        <v/>
      </c>
      <c r="P35" s="59" t="str">
        <f>IF(tblStock[[#This Row],[SKU]]="","",MAX(0,tblStock[[#This Row],[StockActual]])*tblStock[[#This Row],[CostoUnitario]])</f>
        <v/>
      </c>
      <c r="Q35" s="60" t="str">
        <f>IF(tblStock[[#This Row],[SKU]]="","",IFERROR(_xlfn.AGGREGATE(14,6,tblMovimientos[Fecha]/(tblMovimientos[SKU]=tblStock[[#This Row],[SKU]]),1),""))</f>
        <v/>
      </c>
      <c r="R35" s="61" t="str">
        <f ca="1">IF(OR(tblStock[[#This Row],[SKU]]="",tblStock[[#This Row],[UltimoMov]]=""),"",TODAY()-tblStock[[#This Row],[UltimoMov]])</f>
        <v/>
      </c>
    </row>
    <row r="36" spans="2:18" x14ac:dyDescent="0.25">
      <c r="B36" s="53" t="str">
        <f>IF('05_PRODUCTOS'!$B36="","",'05_PRODUCTOS'!$B36)</f>
        <v/>
      </c>
      <c r="C36" s="54" t="str">
        <f>IF($B36="","",'05_PRODUCTOS'!$C36)</f>
        <v/>
      </c>
      <c r="D36" s="54" t="str">
        <f>IF($B36="","",'05_PRODUCTOS'!$D36)</f>
        <v/>
      </c>
      <c r="E36" s="54" t="str">
        <f>IF($B36="","",'05_PRODUCTOS'!$I36&amp;"")</f>
        <v/>
      </c>
      <c r="F36" s="53" t="str">
        <f>IF($B36="","",'05_PRODUCTOS'!$E36)</f>
        <v/>
      </c>
      <c r="G36" s="53" t="str">
        <f>IF($B36="","",IF('05_PRODUCTOS'!$K36="NO","NO","SI"))</f>
        <v/>
      </c>
      <c r="H36" s="55" t="str">
        <f>IF(tblStock[[#This Row],[SKU]]="","",SUMIFS(tblMovimientos[CantidadNeta],tblMovimientos[SKU],tblStock[[#This Row],[SKU]],tblMovimientos[FactorStock],1))</f>
        <v/>
      </c>
      <c r="I36" s="55" t="str">
        <f>IF(tblStock[[#This Row],[SKU]]="","",-SUMIFS(tblMovimientos[CantidadNeta],tblMovimientos[SKU],tblStock[[#This Row],[SKU]],tblMovimientos[FactorStock],-1))</f>
        <v/>
      </c>
      <c r="J36" s="56" t="str">
        <f>IF(tblStock[[#This Row],[SKU]]="","",SUMIFS(tblMovimientos[CantidadNeta],tblMovimientos[SKU],tblStock[[#This Row],[SKU]]))</f>
        <v/>
      </c>
      <c r="K36" s="55" t="str">
        <f>IF($B36="","",N('05_PRODUCTOS'!$F36))</f>
        <v/>
      </c>
      <c r="L36" s="55" t="str">
        <f>IF($B36="","",N('05_PRODUCTOS'!$G36))</f>
        <v/>
      </c>
      <c r="M36" s="57" t="str">
        <f>IF(OR(tblStock[[#This Row],[SKU]]="",N(tblStock[[#This Row],[StockMax]])=0),"",MAX(0,tblStock[[#This Row],[StockActual]])/tblStock[[#This Row],[StockMax]])</f>
        <v/>
      </c>
      <c r="N3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" s="59" t="str">
        <f>IF($B36="","",N('05_PRODUCTOS'!$H36))</f>
        <v/>
      </c>
      <c r="P36" s="59" t="str">
        <f>IF(tblStock[[#This Row],[SKU]]="","",MAX(0,tblStock[[#This Row],[StockActual]])*tblStock[[#This Row],[CostoUnitario]])</f>
        <v/>
      </c>
      <c r="Q36" s="60" t="str">
        <f>IF(tblStock[[#This Row],[SKU]]="","",IFERROR(_xlfn.AGGREGATE(14,6,tblMovimientos[Fecha]/(tblMovimientos[SKU]=tblStock[[#This Row],[SKU]]),1),""))</f>
        <v/>
      </c>
      <c r="R36" s="61" t="str">
        <f ca="1">IF(OR(tblStock[[#This Row],[SKU]]="",tblStock[[#This Row],[UltimoMov]]=""),"",TODAY()-tblStock[[#This Row],[UltimoMov]])</f>
        <v/>
      </c>
    </row>
    <row r="37" spans="2:18" x14ac:dyDescent="0.25">
      <c r="B37" s="53" t="str">
        <f>IF('05_PRODUCTOS'!$B37="","",'05_PRODUCTOS'!$B37)</f>
        <v/>
      </c>
      <c r="C37" s="54" t="str">
        <f>IF($B37="","",'05_PRODUCTOS'!$C37)</f>
        <v/>
      </c>
      <c r="D37" s="54" t="str">
        <f>IF($B37="","",'05_PRODUCTOS'!$D37)</f>
        <v/>
      </c>
      <c r="E37" s="54" t="str">
        <f>IF($B37="","",'05_PRODUCTOS'!$I37&amp;"")</f>
        <v/>
      </c>
      <c r="F37" s="53" t="str">
        <f>IF($B37="","",'05_PRODUCTOS'!$E37)</f>
        <v/>
      </c>
      <c r="G37" s="53" t="str">
        <f>IF($B37="","",IF('05_PRODUCTOS'!$K37="NO","NO","SI"))</f>
        <v/>
      </c>
      <c r="H37" s="55" t="str">
        <f>IF(tblStock[[#This Row],[SKU]]="","",SUMIFS(tblMovimientos[CantidadNeta],tblMovimientos[SKU],tblStock[[#This Row],[SKU]],tblMovimientos[FactorStock],1))</f>
        <v/>
      </c>
      <c r="I37" s="55" t="str">
        <f>IF(tblStock[[#This Row],[SKU]]="","",-SUMIFS(tblMovimientos[CantidadNeta],tblMovimientos[SKU],tblStock[[#This Row],[SKU]],tblMovimientos[FactorStock],-1))</f>
        <v/>
      </c>
      <c r="J37" s="56" t="str">
        <f>IF(tblStock[[#This Row],[SKU]]="","",SUMIFS(tblMovimientos[CantidadNeta],tblMovimientos[SKU],tblStock[[#This Row],[SKU]]))</f>
        <v/>
      </c>
      <c r="K37" s="55" t="str">
        <f>IF($B37="","",N('05_PRODUCTOS'!$F37))</f>
        <v/>
      </c>
      <c r="L37" s="55" t="str">
        <f>IF($B37="","",N('05_PRODUCTOS'!$G37))</f>
        <v/>
      </c>
      <c r="M37" s="57" t="str">
        <f>IF(OR(tblStock[[#This Row],[SKU]]="",N(tblStock[[#This Row],[StockMax]])=0),"",MAX(0,tblStock[[#This Row],[StockActual]])/tblStock[[#This Row],[StockMax]])</f>
        <v/>
      </c>
      <c r="N3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" s="59" t="str">
        <f>IF($B37="","",N('05_PRODUCTOS'!$H37))</f>
        <v/>
      </c>
      <c r="P37" s="59" t="str">
        <f>IF(tblStock[[#This Row],[SKU]]="","",MAX(0,tblStock[[#This Row],[StockActual]])*tblStock[[#This Row],[CostoUnitario]])</f>
        <v/>
      </c>
      <c r="Q37" s="60" t="str">
        <f>IF(tblStock[[#This Row],[SKU]]="","",IFERROR(_xlfn.AGGREGATE(14,6,tblMovimientos[Fecha]/(tblMovimientos[SKU]=tblStock[[#This Row],[SKU]]),1),""))</f>
        <v/>
      </c>
      <c r="R37" s="61" t="str">
        <f ca="1">IF(OR(tblStock[[#This Row],[SKU]]="",tblStock[[#This Row],[UltimoMov]]=""),"",TODAY()-tblStock[[#This Row],[UltimoMov]])</f>
        <v/>
      </c>
    </row>
    <row r="38" spans="2:18" x14ac:dyDescent="0.25">
      <c r="B38" s="53" t="str">
        <f>IF('05_PRODUCTOS'!$B38="","",'05_PRODUCTOS'!$B38)</f>
        <v/>
      </c>
      <c r="C38" s="54" t="str">
        <f>IF($B38="","",'05_PRODUCTOS'!$C38)</f>
        <v/>
      </c>
      <c r="D38" s="54" t="str">
        <f>IF($B38="","",'05_PRODUCTOS'!$D38)</f>
        <v/>
      </c>
      <c r="E38" s="54" t="str">
        <f>IF($B38="","",'05_PRODUCTOS'!$I38&amp;"")</f>
        <v/>
      </c>
      <c r="F38" s="53" t="str">
        <f>IF($B38="","",'05_PRODUCTOS'!$E38)</f>
        <v/>
      </c>
      <c r="G38" s="53" t="str">
        <f>IF($B38="","",IF('05_PRODUCTOS'!$K38="NO","NO","SI"))</f>
        <v/>
      </c>
      <c r="H38" s="55" t="str">
        <f>IF(tblStock[[#This Row],[SKU]]="","",SUMIFS(tblMovimientos[CantidadNeta],tblMovimientos[SKU],tblStock[[#This Row],[SKU]],tblMovimientos[FactorStock],1))</f>
        <v/>
      </c>
      <c r="I38" s="55" t="str">
        <f>IF(tblStock[[#This Row],[SKU]]="","",-SUMIFS(tblMovimientos[CantidadNeta],tblMovimientos[SKU],tblStock[[#This Row],[SKU]],tblMovimientos[FactorStock],-1))</f>
        <v/>
      </c>
      <c r="J38" s="56" t="str">
        <f>IF(tblStock[[#This Row],[SKU]]="","",SUMIFS(tblMovimientos[CantidadNeta],tblMovimientos[SKU],tblStock[[#This Row],[SKU]]))</f>
        <v/>
      </c>
      <c r="K38" s="55" t="str">
        <f>IF($B38="","",N('05_PRODUCTOS'!$F38))</f>
        <v/>
      </c>
      <c r="L38" s="55" t="str">
        <f>IF($B38="","",N('05_PRODUCTOS'!$G38))</f>
        <v/>
      </c>
      <c r="M38" s="57" t="str">
        <f>IF(OR(tblStock[[#This Row],[SKU]]="",N(tblStock[[#This Row],[StockMax]])=0),"",MAX(0,tblStock[[#This Row],[StockActual]])/tblStock[[#This Row],[StockMax]])</f>
        <v/>
      </c>
      <c r="N3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" s="59" t="str">
        <f>IF($B38="","",N('05_PRODUCTOS'!$H38))</f>
        <v/>
      </c>
      <c r="P38" s="59" t="str">
        <f>IF(tblStock[[#This Row],[SKU]]="","",MAX(0,tblStock[[#This Row],[StockActual]])*tblStock[[#This Row],[CostoUnitario]])</f>
        <v/>
      </c>
      <c r="Q38" s="60" t="str">
        <f>IF(tblStock[[#This Row],[SKU]]="","",IFERROR(_xlfn.AGGREGATE(14,6,tblMovimientos[Fecha]/(tblMovimientos[SKU]=tblStock[[#This Row],[SKU]]),1),""))</f>
        <v/>
      </c>
      <c r="R38" s="61" t="str">
        <f ca="1">IF(OR(tblStock[[#This Row],[SKU]]="",tblStock[[#This Row],[UltimoMov]]=""),"",TODAY()-tblStock[[#This Row],[UltimoMov]])</f>
        <v/>
      </c>
    </row>
    <row r="39" spans="2:18" x14ac:dyDescent="0.25">
      <c r="B39" s="53" t="str">
        <f>IF('05_PRODUCTOS'!$B39="","",'05_PRODUCTOS'!$B39)</f>
        <v/>
      </c>
      <c r="C39" s="54" t="str">
        <f>IF($B39="","",'05_PRODUCTOS'!$C39)</f>
        <v/>
      </c>
      <c r="D39" s="54" t="str">
        <f>IF($B39="","",'05_PRODUCTOS'!$D39)</f>
        <v/>
      </c>
      <c r="E39" s="54" t="str">
        <f>IF($B39="","",'05_PRODUCTOS'!$I39&amp;"")</f>
        <v/>
      </c>
      <c r="F39" s="53" t="str">
        <f>IF($B39="","",'05_PRODUCTOS'!$E39)</f>
        <v/>
      </c>
      <c r="G39" s="53" t="str">
        <f>IF($B39="","",IF('05_PRODUCTOS'!$K39="NO","NO","SI"))</f>
        <v/>
      </c>
      <c r="H39" s="55" t="str">
        <f>IF(tblStock[[#This Row],[SKU]]="","",SUMIFS(tblMovimientos[CantidadNeta],tblMovimientos[SKU],tblStock[[#This Row],[SKU]],tblMovimientos[FactorStock],1))</f>
        <v/>
      </c>
      <c r="I39" s="55" t="str">
        <f>IF(tblStock[[#This Row],[SKU]]="","",-SUMIFS(tblMovimientos[CantidadNeta],tblMovimientos[SKU],tblStock[[#This Row],[SKU]],tblMovimientos[FactorStock],-1))</f>
        <v/>
      </c>
      <c r="J39" s="56" t="str">
        <f>IF(tblStock[[#This Row],[SKU]]="","",SUMIFS(tblMovimientos[CantidadNeta],tblMovimientos[SKU],tblStock[[#This Row],[SKU]]))</f>
        <v/>
      </c>
      <c r="K39" s="55" t="str">
        <f>IF($B39="","",N('05_PRODUCTOS'!$F39))</f>
        <v/>
      </c>
      <c r="L39" s="55" t="str">
        <f>IF($B39="","",N('05_PRODUCTOS'!$G39))</f>
        <v/>
      </c>
      <c r="M39" s="57" t="str">
        <f>IF(OR(tblStock[[#This Row],[SKU]]="",N(tblStock[[#This Row],[StockMax]])=0),"",MAX(0,tblStock[[#This Row],[StockActual]])/tblStock[[#This Row],[StockMax]])</f>
        <v/>
      </c>
      <c r="N3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" s="59" t="str">
        <f>IF($B39="","",N('05_PRODUCTOS'!$H39))</f>
        <v/>
      </c>
      <c r="P39" s="59" t="str">
        <f>IF(tblStock[[#This Row],[SKU]]="","",MAX(0,tblStock[[#This Row],[StockActual]])*tblStock[[#This Row],[CostoUnitario]])</f>
        <v/>
      </c>
      <c r="Q39" s="60" t="str">
        <f>IF(tblStock[[#This Row],[SKU]]="","",IFERROR(_xlfn.AGGREGATE(14,6,tblMovimientos[Fecha]/(tblMovimientos[SKU]=tblStock[[#This Row],[SKU]]),1),""))</f>
        <v/>
      </c>
      <c r="R39" s="61" t="str">
        <f ca="1">IF(OR(tblStock[[#This Row],[SKU]]="",tblStock[[#This Row],[UltimoMov]]=""),"",TODAY()-tblStock[[#This Row],[UltimoMov]])</f>
        <v/>
      </c>
    </row>
    <row r="40" spans="2:18" x14ac:dyDescent="0.25">
      <c r="B40" s="53" t="str">
        <f>IF('05_PRODUCTOS'!$B40="","",'05_PRODUCTOS'!$B40)</f>
        <v/>
      </c>
      <c r="C40" s="54" t="str">
        <f>IF($B40="","",'05_PRODUCTOS'!$C40)</f>
        <v/>
      </c>
      <c r="D40" s="54" t="str">
        <f>IF($B40="","",'05_PRODUCTOS'!$D40)</f>
        <v/>
      </c>
      <c r="E40" s="54" t="str">
        <f>IF($B40="","",'05_PRODUCTOS'!$I40&amp;"")</f>
        <v/>
      </c>
      <c r="F40" s="53" t="str">
        <f>IF($B40="","",'05_PRODUCTOS'!$E40)</f>
        <v/>
      </c>
      <c r="G40" s="53" t="str">
        <f>IF($B40="","",IF('05_PRODUCTOS'!$K40="NO","NO","SI"))</f>
        <v/>
      </c>
      <c r="H40" s="55" t="str">
        <f>IF(tblStock[[#This Row],[SKU]]="","",SUMIFS(tblMovimientos[CantidadNeta],tblMovimientos[SKU],tblStock[[#This Row],[SKU]],tblMovimientos[FactorStock],1))</f>
        <v/>
      </c>
      <c r="I40" s="55" t="str">
        <f>IF(tblStock[[#This Row],[SKU]]="","",-SUMIFS(tblMovimientos[CantidadNeta],tblMovimientos[SKU],tblStock[[#This Row],[SKU]],tblMovimientos[FactorStock],-1))</f>
        <v/>
      </c>
      <c r="J40" s="56" t="str">
        <f>IF(tblStock[[#This Row],[SKU]]="","",SUMIFS(tblMovimientos[CantidadNeta],tblMovimientos[SKU],tblStock[[#This Row],[SKU]]))</f>
        <v/>
      </c>
      <c r="K40" s="55" t="str">
        <f>IF($B40="","",N('05_PRODUCTOS'!$F40))</f>
        <v/>
      </c>
      <c r="L40" s="55" t="str">
        <f>IF($B40="","",N('05_PRODUCTOS'!$G40))</f>
        <v/>
      </c>
      <c r="M40" s="57" t="str">
        <f>IF(OR(tblStock[[#This Row],[SKU]]="",N(tblStock[[#This Row],[StockMax]])=0),"",MAX(0,tblStock[[#This Row],[StockActual]])/tblStock[[#This Row],[StockMax]])</f>
        <v/>
      </c>
      <c r="N4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" s="59" t="str">
        <f>IF($B40="","",N('05_PRODUCTOS'!$H40))</f>
        <v/>
      </c>
      <c r="P40" s="59" t="str">
        <f>IF(tblStock[[#This Row],[SKU]]="","",MAX(0,tblStock[[#This Row],[StockActual]])*tblStock[[#This Row],[CostoUnitario]])</f>
        <v/>
      </c>
      <c r="Q40" s="60" t="str">
        <f>IF(tblStock[[#This Row],[SKU]]="","",IFERROR(_xlfn.AGGREGATE(14,6,tblMovimientos[Fecha]/(tblMovimientos[SKU]=tblStock[[#This Row],[SKU]]),1),""))</f>
        <v/>
      </c>
      <c r="R40" s="61" t="str">
        <f ca="1">IF(OR(tblStock[[#This Row],[SKU]]="",tblStock[[#This Row],[UltimoMov]]=""),"",TODAY()-tblStock[[#This Row],[UltimoMov]])</f>
        <v/>
      </c>
    </row>
    <row r="41" spans="2:18" x14ac:dyDescent="0.25">
      <c r="B41" s="53" t="str">
        <f>IF('05_PRODUCTOS'!$B41="","",'05_PRODUCTOS'!$B41)</f>
        <v/>
      </c>
      <c r="C41" s="54" t="str">
        <f>IF($B41="","",'05_PRODUCTOS'!$C41)</f>
        <v/>
      </c>
      <c r="D41" s="54" t="str">
        <f>IF($B41="","",'05_PRODUCTOS'!$D41)</f>
        <v/>
      </c>
      <c r="E41" s="54" t="str">
        <f>IF($B41="","",'05_PRODUCTOS'!$I41&amp;"")</f>
        <v/>
      </c>
      <c r="F41" s="53" t="str">
        <f>IF($B41="","",'05_PRODUCTOS'!$E41)</f>
        <v/>
      </c>
      <c r="G41" s="53" t="str">
        <f>IF($B41="","",IF('05_PRODUCTOS'!$K41="NO","NO","SI"))</f>
        <v/>
      </c>
      <c r="H41" s="55" t="str">
        <f>IF(tblStock[[#This Row],[SKU]]="","",SUMIFS(tblMovimientos[CantidadNeta],tblMovimientos[SKU],tblStock[[#This Row],[SKU]],tblMovimientos[FactorStock],1))</f>
        <v/>
      </c>
      <c r="I41" s="55" t="str">
        <f>IF(tblStock[[#This Row],[SKU]]="","",-SUMIFS(tblMovimientos[CantidadNeta],tblMovimientos[SKU],tblStock[[#This Row],[SKU]],tblMovimientos[FactorStock],-1))</f>
        <v/>
      </c>
      <c r="J41" s="56" t="str">
        <f>IF(tblStock[[#This Row],[SKU]]="","",SUMIFS(tblMovimientos[CantidadNeta],tblMovimientos[SKU],tblStock[[#This Row],[SKU]]))</f>
        <v/>
      </c>
      <c r="K41" s="55" t="str">
        <f>IF($B41="","",N('05_PRODUCTOS'!$F41))</f>
        <v/>
      </c>
      <c r="L41" s="55" t="str">
        <f>IF($B41="","",N('05_PRODUCTOS'!$G41))</f>
        <v/>
      </c>
      <c r="M41" s="57" t="str">
        <f>IF(OR(tblStock[[#This Row],[SKU]]="",N(tblStock[[#This Row],[StockMax]])=0),"",MAX(0,tblStock[[#This Row],[StockActual]])/tblStock[[#This Row],[StockMax]])</f>
        <v/>
      </c>
      <c r="N4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" s="59" t="str">
        <f>IF($B41="","",N('05_PRODUCTOS'!$H41))</f>
        <v/>
      </c>
      <c r="P41" s="59" t="str">
        <f>IF(tblStock[[#This Row],[SKU]]="","",MAX(0,tblStock[[#This Row],[StockActual]])*tblStock[[#This Row],[CostoUnitario]])</f>
        <v/>
      </c>
      <c r="Q41" s="60" t="str">
        <f>IF(tblStock[[#This Row],[SKU]]="","",IFERROR(_xlfn.AGGREGATE(14,6,tblMovimientos[Fecha]/(tblMovimientos[SKU]=tblStock[[#This Row],[SKU]]),1),""))</f>
        <v/>
      </c>
      <c r="R41" s="61" t="str">
        <f ca="1">IF(OR(tblStock[[#This Row],[SKU]]="",tblStock[[#This Row],[UltimoMov]]=""),"",TODAY()-tblStock[[#This Row],[UltimoMov]])</f>
        <v/>
      </c>
    </row>
    <row r="42" spans="2:18" x14ac:dyDescent="0.25">
      <c r="B42" s="53" t="str">
        <f>IF('05_PRODUCTOS'!$B42="","",'05_PRODUCTOS'!$B42)</f>
        <v/>
      </c>
      <c r="C42" s="54" t="str">
        <f>IF($B42="","",'05_PRODUCTOS'!$C42)</f>
        <v/>
      </c>
      <c r="D42" s="54" t="str">
        <f>IF($B42="","",'05_PRODUCTOS'!$D42)</f>
        <v/>
      </c>
      <c r="E42" s="54" t="str">
        <f>IF($B42="","",'05_PRODUCTOS'!$I42&amp;"")</f>
        <v/>
      </c>
      <c r="F42" s="53" t="str">
        <f>IF($B42="","",'05_PRODUCTOS'!$E42)</f>
        <v/>
      </c>
      <c r="G42" s="53" t="str">
        <f>IF($B42="","",IF('05_PRODUCTOS'!$K42="NO","NO","SI"))</f>
        <v/>
      </c>
      <c r="H42" s="55" t="str">
        <f>IF(tblStock[[#This Row],[SKU]]="","",SUMIFS(tblMovimientos[CantidadNeta],tblMovimientos[SKU],tblStock[[#This Row],[SKU]],tblMovimientos[FactorStock],1))</f>
        <v/>
      </c>
      <c r="I42" s="55" t="str">
        <f>IF(tblStock[[#This Row],[SKU]]="","",-SUMIFS(tblMovimientos[CantidadNeta],tblMovimientos[SKU],tblStock[[#This Row],[SKU]],tblMovimientos[FactorStock],-1))</f>
        <v/>
      </c>
      <c r="J42" s="56" t="str">
        <f>IF(tblStock[[#This Row],[SKU]]="","",SUMIFS(tblMovimientos[CantidadNeta],tblMovimientos[SKU],tblStock[[#This Row],[SKU]]))</f>
        <v/>
      </c>
      <c r="K42" s="55" t="str">
        <f>IF($B42="","",N('05_PRODUCTOS'!$F42))</f>
        <v/>
      </c>
      <c r="L42" s="55" t="str">
        <f>IF($B42="","",N('05_PRODUCTOS'!$G42))</f>
        <v/>
      </c>
      <c r="M42" s="57" t="str">
        <f>IF(OR(tblStock[[#This Row],[SKU]]="",N(tblStock[[#This Row],[StockMax]])=0),"",MAX(0,tblStock[[#This Row],[StockActual]])/tblStock[[#This Row],[StockMax]])</f>
        <v/>
      </c>
      <c r="N4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" s="59" t="str">
        <f>IF($B42="","",N('05_PRODUCTOS'!$H42))</f>
        <v/>
      </c>
      <c r="P42" s="59" t="str">
        <f>IF(tblStock[[#This Row],[SKU]]="","",MAX(0,tblStock[[#This Row],[StockActual]])*tblStock[[#This Row],[CostoUnitario]])</f>
        <v/>
      </c>
      <c r="Q42" s="60" t="str">
        <f>IF(tblStock[[#This Row],[SKU]]="","",IFERROR(_xlfn.AGGREGATE(14,6,tblMovimientos[Fecha]/(tblMovimientos[SKU]=tblStock[[#This Row],[SKU]]),1),""))</f>
        <v/>
      </c>
      <c r="R42" s="61" t="str">
        <f ca="1">IF(OR(tblStock[[#This Row],[SKU]]="",tblStock[[#This Row],[UltimoMov]]=""),"",TODAY()-tblStock[[#This Row],[UltimoMov]])</f>
        <v/>
      </c>
    </row>
    <row r="43" spans="2:18" x14ac:dyDescent="0.25">
      <c r="B43" s="53" t="str">
        <f>IF('05_PRODUCTOS'!$B43="","",'05_PRODUCTOS'!$B43)</f>
        <v/>
      </c>
      <c r="C43" s="54" t="str">
        <f>IF($B43="","",'05_PRODUCTOS'!$C43)</f>
        <v/>
      </c>
      <c r="D43" s="54" t="str">
        <f>IF($B43="","",'05_PRODUCTOS'!$D43)</f>
        <v/>
      </c>
      <c r="E43" s="54" t="str">
        <f>IF($B43="","",'05_PRODUCTOS'!$I43&amp;"")</f>
        <v/>
      </c>
      <c r="F43" s="53" t="str">
        <f>IF($B43="","",'05_PRODUCTOS'!$E43)</f>
        <v/>
      </c>
      <c r="G43" s="53" t="str">
        <f>IF($B43="","",IF('05_PRODUCTOS'!$K43="NO","NO","SI"))</f>
        <v/>
      </c>
      <c r="H43" s="55" t="str">
        <f>IF(tblStock[[#This Row],[SKU]]="","",SUMIFS(tblMovimientos[CantidadNeta],tblMovimientos[SKU],tblStock[[#This Row],[SKU]],tblMovimientos[FactorStock],1))</f>
        <v/>
      </c>
      <c r="I43" s="55" t="str">
        <f>IF(tblStock[[#This Row],[SKU]]="","",-SUMIFS(tblMovimientos[CantidadNeta],tblMovimientos[SKU],tblStock[[#This Row],[SKU]],tblMovimientos[FactorStock],-1))</f>
        <v/>
      </c>
      <c r="J43" s="56" t="str">
        <f>IF(tblStock[[#This Row],[SKU]]="","",SUMIFS(tblMovimientos[CantidadNeta],tblMovimientos[SKU],tblStock[[#This Row],[SKU]]))</f>
        <v/>
      </c>
      <c r="K43" s="55" t="str">
        <f>IF($B43="","",N('05_PRODUCTOS'!$F43))</f>
        <v/>
      </c>
      <c r="L43" s="55" t="str">
        <f>IF($B43="","",N('05_PRODUCTOS'!$G43))</f>
        <v/>
      </c>
      <c r="M43" s="57" t="str">
        <f>IF(OR(tblStock[[#This Row],[SKU]]="",N(tblStock[[#This Row],[StockMax]])=0),"",MAX(0,tblStock[[#This Row],[StockActual]])/tblStock[[#This Row],[StockMax]])</f>
        <v/>
      </c>
      <c r="N4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" s="59" t="str">
        <f>IF($B43="","",N('05_PRODUCTOS'!$H43))</f>
        <v/>
      </c>
      <c r="P43" s="59" t="str">
        <f>IF(tblStock[[#This Row],[SKU]]="","",MAX(0,tblStock[[#This Row],[StockActual]])*tblStock[[#This Row],[CostoUnitario]])</f>
        <v/>
      </c>
      <c r="Q43" s="60" t="str">
        <f>IF(tblStock[[#This Row],[SKU]]="","",IFERROR(_xlfn.AGGREGATE(14,6,tblMovimientos[Fecha]/(tblMovimientos[SKU]=tblStock[[#This Row],[SKU]]),1),""))</f>
        <v/>
      </c>
      <c r="R43" s="61" t="str">
        <f ca="1">IF(OR(tblStock[[#This Row],[SKU]]="",tblStock[[#This Row],[UltimoMov]]=""),"",TODAY()-tblStock[[#This Row],[UltimoMov]])</f>
        <v/>
      </c>
    </row>
    <row r="44" spans="2:18" x14ac:dyDescent="0.25">
      <c r="B44" s="53" t="str">
        <f>IF('05_PRODUCTOS'!$B44="","",'05_PRODUCTOS'!$B44)</f>
        <v/>
      </c>
      <c r="C44" s="54" t="str">
        <f>IF($B44="","",'05_PRODUCTOS'!$C44)</f>
        <v/>
      </c>
      <c r="D44" s="54" t="str">
        <f>IF($B44="","",'05_PRODUCTOS'!$D44)</f>
        <v/>
      </c>
      <c r="E44" s="54" t="str">
        <f>IF($B44="","",'05_PRODUCTOS'!$I44&amp;"")</f>
        <v/>
      </c>
      <c r="F44" s="53" t="str">
        <f>IF($B44="","",'05_PRODUCTOS'!$E44)</f>
        <v/>
      </c>
      <c r="G44" s="53" t="str">
        <f>IF($B44="","",IF('05_PRODUCTOS'!$K44="NO","NO","SI"))</f>
        <v/>
      </c>
      <c r="H44" s="55" t="str">
        <f>IF(tblStock[[#This Row],[SKU]]="","",SUMIFS(tblMovimientos[CantidadNeta],tblMovimientos[SKU],tblStock[[#This Row],[SKU]],tblMovimientos[FactorStock],1))</f>
        <v/>
      </c>
      <c r="I44" s="55" t="str">
        <f>IF(tblStock[[#This Row],[SKU]]="","",-SUMIFS(tblMovimientos[CantidadNeta],tblMovimientos[SKU],tblStock[[#This Row],[SKU]],tblMovimientos[FactorStock],-1))</f>
        <v/>
      </c>
      <c r="J44" s="56" t="str">
        <f>IF(tblStock[[#This Row],[SKU]]="","",SUMIFS(tblMovimientos[CantidadNeta],tblMovimientos[SKU],tblStock[[#This Row],[SKU]]))</f>
        <v/>
      </c>
      <c r="K44" s="55" t="str">
        <f>IF($B44="","",N('05_PRODUCTOS'!$F44))</f>
        <v/>
      </c>
      <c r="L44" s="55" t="str">
        <f>IF($B44="","",N('05_PRODUCTOS'!$G44))</f>
        <v/>
      </c>
      <c r="M44" s="57" t="str">
        <f>IF(OR(tblStock[[#This Row],[SKU]]="",N(tblStock[[#This Row],[StockMax]])=0),"",MAX(0,tblStock[[#This Row],[StockActual]])/tblStock[[#This Row],[StockMax]])</f>
        <v/>
      </c>
      <c r="N4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" s="59" t="str">
        <f>IF($B44="","",N('05_PRODUCTOS'!$H44))</f>
        <v/>
      </c>
      <c r="P44" s="59" t="str">
        <f>IF(tblStock[[#This Row],[SKU]]="","",MAX(0,tblStock[[#This Row],[StockActual]])*tblStock[[#This Row],[CostoUnitario]])</f>
        <v/>
      </c>
      <c r="Q44" s="60" t="str">
        <f>IF(tblStock[[#This Row],[SKU]]="","",IFERROR(_xlfn.AGGREGATE(14,6,tblMovimientos[Fecha]/(tblMovimientos[SKU]=tblStock[[#This Row],[SKU]]),1),""))</f>
        <v/>
      </c>
      <c r="R44" s="61" t="str">
        <f ca="1">IF(OR(tblStock[[#This Row],[SKU]]="",tblStock[[#This Row],[UltimoMov]]=""),"",TODAY()-tblStock[[#This Row],[UltimoMov]])</f>
        <v/>
      </c>
    </row>
    <row r="45" spans="2:18" x14ac:dyDescent="0.25">
      <c r="B45" s="53" t="str">
        <f>IF('05_PRODUCTOS'!$B45="","",'05_PRODUCTOS'!$B45)</f>
        <v/>
      </c>
      <c r="C45" s="54" t="str">
        <f>IF($B45="","",'05_PRODUCTOS'!$C45)</f>
        <v/>
      </c>
      <c r="D45" s="54" t="str">
        <f>IF($B45="","",'05_PRODUCTOS'!$D45)</f>
        <v/>
      </c>
      <c r="E45" s="54" t="str">
        <f>IF($B45="","",'05_PRODUCTOS'!$I45&amp;"")</f>
        <v/>
      </c>
      <c r="F45" s="53" t="str">
        <f>IF($B45="","",'05_PRODUCTOS'!$E45)</f>
        <v/>
      </c>
      <c r="G45" s="53" t="str">
        <f>IF($B45="","",IF('05_PRODUCTOS'!$K45="NO","NO","SI"))</f>
        <v/>
      </c>
      <c r="H45" s="55" t="str">
        <f>IF(tblStock[[#This Row],[SKU]]="","",SUMIFS(tblMovimientos[CantidadNeta],tblMovimientos[SKU],tblStock[[#This Row],[SKU]],tblMovimientos[FactorStock],1))</f>
        <v/>
      </c>
      <c r="I45" s="55" t="str">
        <f>IF(tblStock[[#This Row],[SKU]]="","",-SUMIFS(tblMovimientos[CantidadNeta],tblMovimientos[SKU],tblStock[[#This Row],[SKU]],tblMovimientos[FactorStock],-1))</f>
        <v/>
      </c>
      <c r="J45" s="56" t="str">
        <f>IF(tblStock[[#This Row],[SKU]]="","",SUMIFS(tblMovimientos[CantidadNeta],tblMovimientos[SKU],tblStock[[#This Row],[SKU]]))</f>
        <v/>
      </c>
      <c r="K45" s="55" t="str">
        <f>IF($B45="","",N('05_PRODUCTOS'!$F45))</f>
        <v/>
      </c>
      <c r="L45" s="55" t="str">
        <f>IF($B45="","",N('05_PRODUCTOS'!$G45))</f>
        <v/>
      </c>
      <c r="M45" s="57" t="str">
        <f>IF(OR(tblStock[[#This Row],[SKU]]="",N(tblStock[[#This Row],[StockMax]])=0),"",MAX(0,tblStock[[#This Row],[StockActual]])/tblStock[[#This Row],[StockMax]])</f>
        <v/>
      </c>
      <c r="N4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" s="59" t="str">
        <f>IF($B45="","",N('05_PRODUCTOS'!$H45))</f>
        <v/>
      </c>
      <c r="P45" s="59" t="str">
        <f>IF(tblStock[[#This Row],[SKU]]="","",MAX(0,tblStock[[#This Row],[StockActual]])*tblStock[[#This Row],[CostoUnitario]])</f>
        <v/>
      </c>
      <c r="Q45" s="60" t="str">
        <f>IF(tblStock[[#This Row],[SKU]]="","",IFERROR(_xlfn.AGGREGATE(14,6,tblMovimientos[Fecha]/(tblMovimientos[SKU]=tblStock[[#This Row],[SKU]]),1),""))</f>
        <v/>
      </c>
      <c r="R45" s="61" t="str">
        <f ca="1">IF(OR(tblStock[[#This Row],[SKU]]="",tblStock[[#This Row],[UltimoMov]]=""),"",TODAY()-tblStock[[#This Row],[UltimoMov]])</f>
        <v/>
      </c>
    </row>
    <row r="46" spans="2:18" x14ac:dyDescent="0.25">
      <c r="B46" s="53" t="str">
        <f>IF('05_PRODUCTOS'!$B46="","",'05_PRODUCTOS'!$B46)</f>
        <v/>
      </c>
      <c r="C46" s="54" t="str">
        <f>IF($B46="","",'05_PRODUCTOS'!$C46)</f>
        <v/>
      </c>
      <c r="D46" s="54" t="str">
        <f>IF($B46="","",'05_PRODUCTOS'!$D46)</f>
        <v/>
      </c>
      <c r="E46" s="54" t="str">
        <f>IF($B46="","",'05_PRODUCTOS'!$I46&amp;"")</f>
        <v/>
      </c>
      <c r="F46" s="53" t="str">
        <f>IF($B46="","",'05_PRODUCTOS'!$E46)</f>
        <v/>
      </c>
      <c r="G46" s="53" t="str">
        <f>IF($B46="","",IF('05_PRODUCTOS'!$K46="NO","NO","SI"))</f>
        <v/>
      </c>
      <c r="H46" s="55" t="str">
        <f>IF(tblStock[[#This Row],[SKU]]="","",SUMIFS(tblMovimientos[CantidadNeta],tblMovimientos[SKU],tblStock[[#This Row],[SKU]],tblMovimientos[FactorStock],1))</f>
        <v/>
      </c>
      <c r="I46" s="55" t="str">
        <f>IF(tblStock[[#This Row],[SKU]]="","",-SUMIFS(tblMovimientos[CantidadNeta],tblMovimientos[SKU],tblStock[[#This Row],[SKU]],tblMovimientos[FactorStock],-1))</f>
        <v/>
      </c>
      <c r="J46" s="56" t="str">
        <f>IF(tblStock[[#This Row],[SKU]]="","",SUMIFS(tblMovimientos[CantidadNeta],tblMovimientos[SKU],tblStock[[#This Row],[SKU]]))</f>
        <v/>
      </c>
      <c r="K46" s="55" t="str">
        <f>IF($B46="","",N('05_PRODUCTOS'!$F46))</f>
        <v/>
      </c>
      <c r="L46" s="55" t="str">
        <f>IF($B46="","",N('05_PRODUCTOS'!$G46))</f>
        <v/>
      </c>
      <c r="M46" s="57" t="str">
        <f>IF(OR(tblStock[[#This Row],[SKU]]="",N(tblStock[[#This Row],[StockMax]])=0),"",MAX(0,tblStock[[#This Row],[StockActual]])/tblStock[[#This Row],[StockMax]])</f>
        <v/>
      </c>
      <c r="N4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" s="59" t="str">
        <f>IF($B46="","",N('05_PRODUCTOS'!$H46))</f>
        <v/>
      </c>
      <c r="P46" s="59" t="str">
        <f>IF(tblStock[[#This Row],[SKU]]="","",MAX(0,tblStock[[#This Row],[StockActual]])*tblStock[[#This Row],[CostoUnitario]])</f>
        <v/>
      </c>
      <c r="Q46" s="60" t="str">
        <f>IF(tblStock[[#This Row],[SKU]]="","",IFERROR(_xlfn.AGGREGATE(14,6,tblMovimientos[Fecha]/(tblMovimientos[SKU]=tblStock[[#This Row],[SKU]]),1),""))</f>
        <v/>
      </c>
      <c r="R46" s="61" t="str">
        <f ca="1">IF(OR(tblStock[[#This Row],[SKU]]="",tblStock[[#This Row],[UltimoMov]]=""),"",TODAY()-tblStock[[#This Row],[UltimoMov]])</f>
        <v/>
      </c>
    </row>
    <row r="47" spans="2:18" x14ac:dyDescent="0.25">
      <c r="B47" s="53" t="str">
        <f>IF('05_PRODUCTOS'!$B47="","",'05_PRODUCTOS'!$B47)</f>
        <v/>
      </c>
      <c r="C47" s="54" t="str">
        <f>IF($B47="","",'05_PRODUCTOS'!$C47)</f>
        <v/>
      </c>
      <c r="D47" s="54" t="str">
        <f>IF($B47="","",'05_PRODUCTOS'!$D47)</f>
        <v/>
      </c>
      <c r="E47" s="54" t="str">
        <f>IF($B47="","",'05_PRODUCTOS'!$I47&amp;"")</f>
        <v/>
      </c>
      <c r="F47" s="53" t="str">
        <f>IF($B47="","",'05_PRODUCTOS'!$E47)</f>
        <v/>
      </c>
      <c r="G47" s="53" t="str">
        <f>IF($B47="","",IF('05_PRODUCTOS'!$K47="NO","NO","SI"))</f>
        <v/>
      </c>
      <c r="H47" s="55" t="str">
        <f>IF(tblStock[[#This Row],[SKU]]="","",SUMIFS(tblMovimientos[CantidadNeta],tblMovimientos[SKU],tblStock[[#This Row],[SKU]],tblMovimientos[FactorStock],1))</f>
        <v/>
      </c>
      <c r="I47" s="55" t="str">
        <f>IF(tblStock[[#This Row],[SKU]]="","",-SUMIFS(tblMovimientos[CantidadNeta],tblMovimientos[SKU],tblStock[[#This Row],[SKU]],tblMovimientos[FactorStock],-1))</f>
        <v/>
      </c>
      <c r="J47" s="56" t="str">
        <f>IF(tblStock[[#This Row],[SKU]]="","",SUMIFS(tblMovimientos[CantidadNeta],tblMovimientos[SKU],tblStock[[#This Row],[SKU]]))</f>
        <v/>
      </c>
      <c r="K47" s="55" t="str">
        <f>IF($B47="","",N('05_PRODUCTOS'!$F47))</f>
        <v/>
      </c>
      <c r="L47" s="55" t="str">
        <f>IF($B47="","",N('05_PRODUCTOS'!$G47))</f>
        <v/>
      </c>
      <c r="M47" s="57" t="str">
        <f>IF(OR(tblStock[[#This Row],[SKU]]="",N(tblStock[[#This Row],[StockMax]])=0),"",MAX(0,tblStock[[#This Row],[StockActual]])/tblStock[[#This Row],[StockMax]])</f>
        <v/>
      </c>
      <c r="N4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" s="59" t="str">
        <f>IF($B47="","",N('05_PRODUCTOS'!$H47))</f>
        <v/>
      </c>
      <c r="P47" s="59" t="str">
        <f>IF(tblStock[[#This Row],[SKU]]="","",MAX(0,tblStock[[#This Row],[StockActual]])*tblStock[[#This Row],[CostoUnitario]])</f>
        <v/>
      </c>
      <c r="Q47" s="60" t="str">
        <f>IF(tblStock[[#This Row],[SKU]]="","",IFERROR(_xlfn.AGGREGATE(14,6,tblMovimientos[Fecha]/(tblMovimientos[SKU]=tblStock[[#This Row],[SKU]]),1),""))</f>
        <v/>
      </c>
      <c r="R47" s="61" t="str">
        <f ca="1">IF(OR(tblStock[[#This Row],[SKU]]="",tblStock[[#This Row],[UltimoMov]]=""),"",TODAY()-tblStock[[#This Row],[UltimoMov]])</f>
        <v/>
      </c>
    </row>
    <row r="48" spans="2:18" x14ac:dyDescent="0.25">
      <c r="B48" s="53" t="str">
        <f>IF('05_PRODUCTOS'!$B48="","",'05_PRODUCTOS'!$B48)</f>
        <v/>
      </c>
      <c r="C48" s="54" t="str">
        <f>IF($B48="","",'05_PRODUCTOS'!$C48)</f>
        <v/>
      </c>
      <c r="D48" s="54" t="str">
        <f>IF($B48="","",'05_PRODUCTOS'!$D48)</f>
        <v/>
      </c>
      <c r="E48" s="54" t="str">
        <f>IF($B48="","",'05_PRODUCTOS'!$I48&amp;"")</f>
        <v/>
      </c>
      <c r="F48" s="53" t="str">
        <f>IF($B48="","",'05_PRODUCTOS'!$E48)</f>
        <v/>
      </c>
      <c r="G48" s="53" t="str">
        <f>IF($B48="","",IF('05_PRODUCTOS'!$K48="NO","NO","SI"))</f>
        <v/>
      </c>
      <c r="H48" s="55" t="str">
        <f>IF(tblStock[[#This Row],[SKU]]="","",SUMIFS(tblMovimientos[CantidadNeta],tblMovimientos[SKU],tblStock[[#This Row],[SKU]],tblMovimientos[FactorStock],1))</f>
        <v/>
      </c>
      <c r="I48" s="55" t="str">
        <f>IF(tblStock[[#This Row],[SKU]]="","",-SUMIFS(tblMovimientos[CantidadNeta],tblMovimientos[SKU],tblStock[[#This Row],[SKU]],tblMovimientos[FactorStock],-1))</f>
        <v/>
      </c>
      <c r="J48" s="56" t="str">
        <f>IF(tblStock[[#This Row],[SKU]]="","",SUMIFS(tblMovimientos[CantidadNeta],tblMovimientos[SKU],tblStock[[#This Row],[SKU]]))</f>
        <v/>
      </c>
      <c r="K48" s="55" t="str">
        <f>IF($B48="","",N('05_PRODUCTOS'!$F48))</f>
        <v/>
      </c>
      <c r="L48" s="55" t="str">
        <f>IF($B48="","",N('05_PRODUCTOS'!$G48))</f>
        <v/>
      </c>
      <c r="M48" s="57" t="str">
        <f>IF(OR(tblStock[[#This Row],[SKU]]="",N(tblStock[[#This Row],[StockMax]])=0),"",MAX(0,tblStock[[#This Row],[StockActual]])/tblStock[[#This Row],[StockMax]])</f>
        <v/>
      </c>
      <c r="N4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" s="59" t="str">
        <f>IF($B48="","",N('05_PRODUCTOS'!$H48))</f>
        <v/>
      </c>
      <c r="P48" s="59" t="str">
        <f>IF(tblStock[[#This Row],[SKU]]="","",MAX(0,tblStock[[#This Row],[StockActual]])*tblStock[[#This Row],[CostoUnitario]])</f>
        <v/>
      </c>
      <c r="Q48" s="60" t="str">
        <f>IF(tblStock[[#This Row],[SKU]]="","",IFERROR(_xlfn.AGGREGATE(14,6,tblMovimientos[Fecha]/(tblMovimientos[SKU]=tblStock[[#This Row],[SKU]]),1),""))</f>
        <v/>
      </c>
      <c r="R48" s="61" t="str">
        <f ca="1">IF(OR(tblStock[[#This Row],[SKU]]="",tblStock[[#This Row],[UltimoMov]]=""),"",TODAY()-tblStock[[#This Row],[UltimoMov]])</f>
        <v/>
      </c>
    </row>
    <row r="49" spans="2:18" x14ac:dyDescent="0.25">
      <c r="B49" s="53" t="str">
        <f>IF('05_PRODUCTOS'!$B49="","",'05_PRODUCTOS'!$B49)</f>
        <v/>
      </c>
      <c r="C49" s="54" t="str">
        <f>IF($B49="","",'05_PRODUCTOS'!$C49)</f>
        <v/>
      </c>
      <c r="D49" s="54" t="str">
        <f>IF($B49="","",'05_PRODUCTOS'!$D49)</f>
        <v/>
      </c>
      <c r="E49" s="54" t="str">
        <f>IF($B49="","",'05_PRODUCTOS'!$I49&amp;"")</f>
        <v/>
      </c>
      <c r="F49" s="53" t="str">
        <f>IF($B49="","",'05_PRODUCTOS'!$E49)</f>
        <v/>
      </c>
      <c r="G49" s="53" t="str">
        <f>IF($B49="","",IF('05_PRODUCTOS'!$K49="NO","NO","SI"))</f>
        <v/>
      </c>
      <c r="H49" s="55" t="str">
        <f>IF(tblStock[[#This Row],[SKU]]="","",SUMIFS(tblMovimientos[CantidadNeta],tblMovimientos[SKU],tblStock[[#This Row],[SKU]],tblMovimientos[FactorStock],1))</f>
        <v/>
      </c>
      <c r="I49" s="55" t="str">
        <f>IF(tblStock[[#This Row],[SKU]]="","",-SUMIFS(tblMovimientos[CantidadNeta],tblMovimientos[SKU],tblStock[[#This Row],[SKU]],tblMovimientos[FactorStock],-1))</f>
        <v/>
      </c>
      <c r="J49" s="56" t="str">
        <f>IF(tblStock[[#This Row],[SKU]]="","",SUMIFS(tblMovimientos[CantidadNeta],tblMovimientos[SKU],tblStock[[#This Row],[SKU]]))</f>
        <v/>
      </c>
      <c r="K49" s="55" t="str">
        <f>IF($B49="","",N('05_PRODUCTOS'!$F49))</f>
        <v/>
      </c>
      <c r="L49" s="55" t="str">
        <f>IF($B49="","",N('05_PRODUCTOS'!$G49))</f>
        <v/>
      </c>
      <c r="M49" s="57" t="str">
        <f>IF(OR(tblStock[[#This Row],[SKU]]="",N(tblStock[[#This Row],[StockMax]])=0),"",MAX(0,tblStock[[#This Row],[StockActual]])/tblStock[[#This Row],[StockMax]])</f>
        <v/>
      </c>
      <c r="N4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" s="59" t="str">
        <f>IF($B49="","",N('05_PRODUCTOS'!$H49))</f>
        <v/>
      </c>
      <c r="P49" s="59" t="str">
        <f>IF(tblStock[[#This Row],[SKU]]="","",MAX(0,tblStock[[#This Row],[StockActual]])*tblStock[[#This Row],[CostoUnitario]])</f>
        <v/>
      </c>
      <c r="Q49" s="60" t="str">
        <f>IF(tblStock[[#This Row],[SKU]]="","",IFERROR(_xlfn.AGGREGATE(14,6,tblMovimientos[Fecha]/(tblMovimientos[SKU]=tblStock[[#This Row],[SKU]]),1),""))</f>
        <v/>
      </c>
      <c r="R49" s="61" t="str">
        <f ca="1">IF(OR(tblStock[[#This Row],[SKU]]="",tblStock[[#This Row],[UltimoMov]]=""),"",TODAY()-tblStock[[#This Row],[UltimoMov]])</f>
        <v/>
      </c>
    </row>
    <row r="50" spans="2:18" x14ac:dyDescent="0.25">
      <c r="B50" s="53" t="str">
        <f>IF('05_PRODUCTOS'!$B50="","",'05_PRODUCTOS'!$B50)</f>
        <v/>
      </c>
      <c r="C50" s="54" t="str">
        <f>IF($B50="","",'05_PRODUCTOS'!$C50)</f>
        <v/>
      </c>
      <c r="D50" s="54" t="str">
        <f>IF($B50="","",'05_PRODUCTOS'!$D50)</f>
        <v/>
      </c>
      <c r="E50" s="54" t="str">
        <f>IF($B50="","",'05_PRODUCTOS'!$I50&amp;"")</f>
        <v/>
      </c>
      <c r="F50" s="53" t="str">
        <f>IF($B50="","",'05_PRODUCTOS'!$E50)</f>
        <v/>
      </c>
      <c r="G50" s="53" t="str">
        <f>IF($B50="","",IF('05_PRODUCTOS'!$K50="NO","NO","SI"))</f>
        <v/>
      </c>
      <c r="H50" s="55" t="str">
        <f>IF(tblStock[[#This Row],[SKU]]="","",SUMIFS(tblMovimientos[CantidadNeta],tblMovimientos[SKU],tblStock[[#This Row],[SKU]],tblMovimientos[FactorStock],1))</f>
        <v/>
      </c>
      <c r="I50" s="55" t="str">
        <f>IF(tblStock[[#This Row],[SKU]]="","",-SUMIFS(tblMovimientos[CantidadNeta],tblMovimientos[SKU],tblStock[[#This Row],[SKU]],tblMovimientos[FactorStock],-1))</f>
        <v/>
      </c>
      <c r="J50" s="56" t="str">
        <f>IF(tblStock[[#This Row],[SKU]]="","",SUMIFS(tblMovimientos[CantidadNeta],tblMovimientos[SKU],tblStock[[#This Row],[SKU]]))</f>
        <v/>
      </c>
      <c r="K50" s="55" t="str">
        <f>IF($B50="","",N('05_PRODUCTOS'!$F50))</f>
        <v/>
      </c>
      <c r="L50" s="55" t="str">
        <f>IF($B50="","",N('05_PRODUCTOS'!$G50))</f>
        <v/>
      </c>
      <c r="M50" s="57" t="str">
        <f>IF(OR(tblStock[[#This Row],[SKU]]="",N(tblStock[[#This Row],[StockMax]])=0),"",MAX(0,tblStock[[#This Row],[StockActual]])/tblStock[[#This Row],[StockMax]])</f>
        <v/>
      </c>
      <c r="N5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" s="59" t="str">
        <f>IF($B50="","",N('05_PRODUCTOS'!$H50))</f>
        <v/>
      </c>
      <c r="P50" s="59" t="str">
        <f>IF(tblStock[[#This Row],[SKU]]="","",MAX(0,tblStock[[#This Row],[StockActual]])*tblStock[[#This Row],[CostoUnitario]])</f>
        <v/>
      </c>
      <c r="Q50" s="60" t="str">
        <f>IF(tblStock[[#This Row],[SKU]]="","",IFERROR(_xlfn.AGGREGATE(14,6,tblMovimientos[Fecha]/(tblMovimientos[SKU]=tblStock[[#This Row],[SKU]]),1),""))</f>
        <v/>
      </c>
      <c r="R50" s="61" t="str">
        <f ca="1">IF(OR(tblStock[[#This Row],[SKU]]="",tblStock[[#This Row],[UltimoMov]]=""),"",TODAY()-tblStock[[#This Row],[UltimoMov]])</f>
        <v/>
      </c>
    </row>
    <row r="51" spans="2:18" x14ac:dyDescent="0.25">
      <c r="B51" s="53" t="str">
        <f>IF('05_PRODUCTOS'!$B51="","",'05_PRODUCTOS'!$B51)</f>
        <v/>
      </c>
      <c r="C51" s="54" t="str">
        <f>IF($B51="","",'05_PRODUCTOS'!$C51)</f>
        <v/>
      </c>
      <c r="D51" s="54" t="str">
        <f>IF($B51="","",'05_PRODUCTOS'!$D51)</f>
        <v/>
      </c>
      <c r="E51" s="54" t="str">
        <f>IF($B51="","",'05_PRODUCTOS'!$I51&amp;"")</f>
        <v/>
      </c>
      <c r="F51" s="53" t="str">
        <f>IF($B51="","",'05_PRODUCTOS'!$E51)</f>
        <v/>
      </c>
      <c r="G51" s="53" t="str">
        <f>IF($B51="","",IF('05_PRODUCTOS'!$K51="NO","NO","SI"))</f>
        <v/>
      </c>
      <c r="H51" s="55" t="str">
        <f>IF(tblStock[[#This Row],[SKU]]="","",SUMIFS(tblMovimientos[CantidadNeta],tblMovimientos[SKU],tblStock[[#This Row],[SKU]],tblMovimientos[FactorStock],1))</f>
        <v/>
      </c>
      <c r="I51" s="55" t="str">
        <f>IF(tblStock[[#This Row],[SKU]]="","",-SUMIFS(tblMovimientos[CantidadNeta],tblMovimientos[SKU],tblStock[[#This Row],[SKU]],tblMovimientos[FactorStock],-1))</f>
        <v/>
      </c>
      <c r="J51" s="56" t="str">
        <f>IF(tblStock[[#This Row],[SKU]]="","",SUMIFS(tblMovimientos[CantidadNeta],tblMovimientos[SKU],tblStock[[#This Row],[SKU]]))</f>
        <v/>
      </c>
      <c r="K51" s="55" t="str">
        <f>IF($B51="","",N('05_PRODUCTOS'!$F51))</f>
        <v/>
      </c>
      <c r="L51" s="55" t="str">
        <f>IF($B51="","",N('05_PRODUCTOS'!$G51))</f>
        <v/>
      </c>
      <c r="M51" s="57" t="str">
        <f>IF(OR(tblStock[[#This Row],[SKU]]="",N(tblStock[[#This Row],[StockMax]])=0),"",MAX(0,tblStock[[#This Row],[StockActual]])/tblStock[[#This Row],[StockMax]])</f>
        <v/>
      </c>
      <c r="N5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1" s="59" t="str">
        <f>IF($B51="","",N('05_PRODUCTOS'!$H51))</f>
        <v/>
      </c>
      <c r="P51" s="59" t="str">
        <f>IF(tblStock[[#This Row],[SKU]]="","",MAX(0,tblStock[[#This Row],[StockActual]])*tblStock[[#This Row],[CostoUnitario]])</f>
        <v/>
      </c>
      <c r="Q51" s="60" t="str">
        <f>IF(tblStock[[#This Row],[SKU]]="","",IFERROR(_xlfn.AGGREGATE(14,6,tblMovimientos[Fecha]/(tblMovimientos[SKU]=tblStock[[#This Row],[SKU]]),1),""))</f>
        <v/>
      </c>
      <c r="R51" s="61" t="str">
        <f ca="1">IF(OR(tblStock[[#This Row],[SKU]]="",tblStock[[#This Row],[UltimoMov]]=""),"",TODAY()-tblStock[[#This Row],[UltimoMov]])</f>
        <v/>
      </c>
    </row>
    <row r="52" spans="2:18" x14ac:dyDescent="0.25">
      <c r="B52" s="53" t="str">
        <f>IF('05_PRODUCTOS'!$B52="","",'05_PRODUCTOS'!$B52)</f>
        <v/>
      </c>
      <c r="C52" s="54" t="str">
        <f>IF($B52="","",'05_PRODUCTOS'!$C52)</f>
        <v/>
      </c>
      <c r="D52" s="54" t="str">
        <f>IF($B52="","",'05_PRODUCTOS'!$D52)</f>
        <v/>
      </c>
      <c r="E52" s="54" t="str">
        <f>IF($B52="","",'05_PRODUCTOS'!$I52&amp;"")</f>
        <v/>
      </c>
      <c r="F52" s="53" t="str">
        <f>IF($B52="","",'05_PRODUCTOS'!$E52)</f>
        <v/>
      </c>
      <c r="G52" s="53" t="str">
        <f>IF($B52="","",IF('05_PRODUCTOS'!$K52="NO","NO","SI"))</f>
        <v/>
      </c>
      <c r="H52" s="55" t="str">
        <f>IF(tblStock[[#This Row],[SKU]]="","",SUMIFS(tblMovimientos[CantidadNeta],tblMovimientos[SKU],tblStock[[#This Row],[SKU]],tblMovimientos[FactorStock],1))</f>
        <v/>
      </c>
      <c r="I52" s="55" t="str">
        <f>IF(tblStock[[#This Row],[SKU]]="","",-SUMIFS(tblMovimientos[CantidadNeta],tblMovimientos[SKU],tblStock[[#This Row],[SKU]],tblMovimientos[FactorStock],-1))</f>
        <v/>
      </c>
      <c r="J52" s="56" t="str">
        <f>IF(tblStock[[#This Row],[SKU]]="","",SUMIFS(tblMovimientos[CantidadNeta],tblMovimientos[SKU],tblStock[[#This Row],[SKU]]))</f>
        <v/>
      </c>
      <c r="K52" s="55" t="str">
        <f>IF($B52="","",N('05_PRODUCTOS'!$F52))</f>
        <v/>
      </c>
      <c r="L52" s="55" t="str">
        <f>IF($B52="","",N('05_PRODUCTOS'!$G52))</f>
        <v/>
      </c>
      <c r="M52" s="57" t="str">
        <f>IF(OR(tblStock[[#This Row],[SKU]]="",N(tblStock[[#This Row],[StockMax]])=0),"",MAX(0,tblStock[[#This Row],[StockActual]])/tblStock[[#This Row],[StockMax]])</f>
        <v/>
      </c>
      <c r="N5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2" s="59" t="str">
        <f>IF($B52="","",N('05_PRODUCTOS'!$H52))</f>
        <v/>
      </c>
      <c r="P52" s="59" t="str">
        <f>IF(tblStock[[#This Row],[SKU]]="","",MAX(0,tblStock[[#This Row],[StockActual]])*tblStock[[#This Row],[CostoUnitario]])</f>
        <v/>
      </c>
      <c r="Q52" s="60" t="str">
        <f>IF(tblStock[[#This Row],[SKU]]="","",IFERROR(_xlfn.AGGREGATE(14,6,tblMovimientos[Fecha]/(tblMovimientos[SKU]=tblStock[[#This Row],[SKU]]),1),""))</f>
        <v/>
      </c>
      <c r="R52" s="61" t="str">
        <f ca="1">IF(OR(tblStock[[#This Row],[SKU]]="",tblStock[[#This Row],[UltimoMov]]=""),"",TODAY()-tblStock[[#This Row],[UltimoMov]])</f>
        <v/>
      </c>
    </row>
    <row r="53" spans="2:18" x14ac:dyDescent="0.25">
      <c r="B53" s="53" t="str">
        <f>IF('05_PRODUCTOS'!$B53="","",'05_PRODUCTOS'!$B53)</f>
        <v/>
      </c>
      <c r="C53" s="54" t="str">
        <f>IF($B53="","",'05_PRODUCTOS'!$C53)</f>
        <v/>
      </c>
      <c r="D53" s="54" t="str">
        <f>IF($B53="","",'05_PRODUCTOS'!$D53)</f>
        <v/>
      </c>
      <c r="E53" s="54" t="str">
        <f>IF($B53="","",'05_PRODUCTOS'!$I53&amp;"")</f>
        <v/>
      </c>
      <c r="F53" s="53" t="str">
        <f>IF($B53="","",'05_PRODUCTOS'!$E53)</f>
        <v/>
      </c>
      <c r="G53" s="53" t="str">
        <f>IF($B53="","",IF('05_PRODUCTOS'!$K53="NO","NO","SI"))</f>
        <v/>
      </c>
      <c r="H53" s="55" t="str">
        <f>IF(tblStock[[#This Row],[SKU]]="","",SUMIFS(tblMovimientos[CantidadNeta],tblMovimientos[SKU],tblStock[[#This Row],[SKU]],tblMovimientos[FactorStock],1))</f>
        <v/>
      </c>
      <c r="I53" s="55" t="str">
        <f>IF(tblStock[[#This Row],[SKU]]="","",-SUMIFS(tblMovimientos[CantidadNeta],tblMovimientos[SKU],tblStock[[#This Row],[SKU]],tblMovimientos[FactorStock],-1))</f>
        <v/>
      </c>
      <c r="J53" s="56" t="str">
        <f>IF(tblStock[[#This Row],[SKU]]="","",SUMIFS(tblMovimientos[CantidadNeta],tblMovimientos[SKU],tblStock[[#This Row],[SKU]]))</f>
        <v/>
      </c>
      <c r="K53" s="55" t="str">
        <f>IF($B53="","",N('05_PRODUCTOS'!$F53))</f>
        <v/>
      </c>
      <c r="L53" s="55" t="str">
        <f>IF($B53="","",N('05_PRODUCTOS'!$G53))</f>
        <v/>
      </c>
      <c r="M53" s="57" t="str">
        <f>IF(OR(tblStock[[#This Row],[SKU]]="",N(tblStock[[#This Row],[StockMax]])=0),"",MAX(0,tblStock[[#This Row],[StockActual]])/tblStock[[#This Row],[StockMax]])</f>
        <v/>
      </c>
      <c r="N5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3" s="59" t="str">
        <f>IF($B53="","",N('05_PRODUCTOS'!$H53))</f>
        <v/>
      </c>
      <c r="P53" s="59" t="str">
        <f>IF(tblStock[[#This Row],[SKU]]="","",MAX(0,tblStock[[#This Row],[StockActual]])*tblStock[[#This Row],[CostoUnitario]])</f>
        <v/>
      </c>
      <c r="Q53" s="60" t="str">
        <f>IF(tblStock[[#This Row],[SKU]]="","",IFERROR(_xlfn.AGGREGATE(14,6,tblMovimientos[Fecha]/(tblMovimientos[SKU]=tblStock[[#This Row],[SKU]]),1),""))</f>
        <v/>
      </c>
      <c r="R53" s="61" t="str">
        <f ca="1">IF(OR(tblStock[[#This Row],[SKU]]="",tblStock[[#This Row],[UltimoMov]]=""),"",TODAY()-tblStock[[#This Row],[UltimoMov]])</f>
        <v/>
      </c>
    </row>
    <row r="54" spans="2:18" x14ac:dyDescent="0.25">
      <c r="B54" s="53" t="str">
        <f>IF('05_PRODUCTOS'!$B54="","",'05_PRODUCTOS'!$B54)</f>
        <v/>
      </c>
      <c r="C54" s="54" t="str">
        <f>IF($B54="","",'05_PRODUCTOS'!$C54)</f>
        <v/>
      </c>
      <c r="D54" s="54" t="str">
        <f>IF($B54="","",'05_PRODUCTOS'!$D54)</f>
        <v/>
      </c>
      <c r="E54" s="54" t="str">
        <f>IF($B54="","",'05_PRODUCTOS'!$I54&amp;"")</f>
        <v/>
      </c>
      <c r="F54" s="53" t="str">
        <f>IF($B54="","",'05_PRODUCTOS'!$E54)</f>
        <v/>
      </c>
      <c r="G54" s="53" t="str">
        <f>IF($B54="","",IF('05_PRODUCTOS'!$K54="NO","NO","SI"))</f>
        <v/>
      </c>
      <c r="H54" s="55" t="str">
        <f>IF(tblStock[[#This Row],[SKU]]="","",SUMIFS(tblMovimientos[CantidadNeta],tblMovimientos[SKU],tblStock[[#This Row],[SKU]],tblMovimientos[FactorStock],1))</f>
        <v/>
      </c>
      <c r="I54" s="55" t="str">
        <f>IF(tblStock[[#This Row],[SKU]]="","",-SUMIFS(tblMovimientos[CantidadNeta],tblMovimientos[SKU],tblStock[[#This Row],[SKU]],tblMovimientos[FactorStock],-1))</f>
        <v/>
      </c>
      <c r="J54" s="56" t="str">
        <f>IF(tblStock[[#This Row],[SKU]]="","",SUMIFS(tblMovimientos[CantidadNeta],tblMovimientos[SKU],tblStock[[#This Row],[SKU]]))</f>
        <v/>
      </c>
      <c r="K54" s="55" t="str">
        <f>IF($B54="","",N('05_PRODUCTOS'!$F54))</f>
        <v/>
      </c>
      <c r="L54" s="55" t="str">
        <f>IF($B54="","",N('05_PRODUCTOS'!$G54))</f>
        <v/>
      </c>
      <c r="M54" s="57" t="str">
        <f>IF(OR(tblStock[[#This Row],[SKU]]="",N(tblStock[[#This Row],[StockMax]])=0),"",MAX(0,tblStock[[#This Row],[StockActual]])/tblStock[[#This Row],[StockMax]])</f>
        <v/>
      </c>
      <c r="N5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4" s="59" t="str">
        <f>IF($B54="","",N('05_PRODUCTOS'!$H54))</f>
        <v/>
      </c>
      <c r="P54" s="59" t="str">
        <f>IF(tblStock[[#This Row],[SKU]]="","",MAX(0,tblStock[[#This Row],[StockActual]])*tblStock[[#This Row],[CostoUnitario]])</f>
        <v/>
      </c>
      <c r="Q54" s="60" t="str">
        <f>IF(tblStock[[#This Row],[SKU]]="","",IFERROR(_xlfn.AGGREGATE(14,6,tblMovimientos[Fecha]/(tblMovimientos[SKU]=tblStock[[#This Row],[SKU]]),1),""))</f>
        <v/>
      </c>
      <c r="R54" s="61" t="str">
        <f ca="1">IF(OR(tblStock[[#This Row],[SKU]]="",tblStock[[#This Row],[UltimoMov]]=""),"",TODAY()-tblStock[[#This Row],[UltimoMov]])</f>
        <v/>
      </c>
    </row>
    <row r="55" spans="2:18" x14ac:dyDescent="0.25">
      <c r="B55" s="53" t="str">
        <f>IF('05_PRODUCTOS'!$B55="","",'05_PRODUCTOS'!$B55)</f>
        <v/>
      </c>
      <c r="C55" s="54" t="str">
        <f>IF($B55="","",'05_PRODUCTOS'!$C55)</f>
        <v/>
      </c>
      <c r="D55" s="54" t="str">
        <f>IF($B55="","",'05_PRODUCTOS'!$D55)</f>
        <v/>
      </c>
      <c r="E55" s="54" t="str">
        <f>IF($B55="","",'05_PRODUCTOS'!$I55&amp;"")</f>
        <v/>
      </c>
      <c r="F55" s="53" t="str">
        <f>IF($B55="","",'05_PRODUCTOS'!$E55)</f>
        <v/>
      </c>
      <c r="G55" s="53" t="str">
        <f>IF($B55="","",IF('05_PRODUCTOS'!$K55="NO","NO","SI"))</f>
        <v/>
      </c>
      <c r="H55" s="55" t="str">
        <f>IF(tblStock[[#This Row],[SKU]]="","",SUMIFS(tblMovimientos[CantidadNeta],tblMovimientos[SKU],tblStock[[#This Row],[SKU]],tblMovimientos[FactorStock],1))</f>
        <v/>
      </c>
      <c r="I55" s="55" t="str">
        <f>IF(tblStock[[#This Row],[SKU]]="","",-SUMIFS(tblMovimientos[CantidadNeta],tblMovimientos[SKU],tblStock[[#This Row],[SKU]],tblMovimientos[FactorStock],-1))</f>
        <v/>
      </c>
      <c r="J55" s="56" t="str">
        <f>IF(tblStock[[#This Row],[SKU]]="","",SUMIFS(tblMovimientos[CantidadNeta],tblMovimientos[SKU],tblStock[[#This Row],[SKU]]))</f>
        <v/>
      </c>
      <c r="K55" s="55" t="str">
        <f>IF($B55="","",N('05_PRODUCTOS'!$F55))</f>
        <v/>
      </c>
      <c r="L55" s="55" t="str">
        <f>IF($B55="","",N('05_PRODUCTOS'!$G55))</f>
        <v/>
      </c>
      <c r="M55" s="57" t="str">
        <f>IF(OR(tblStock[[#This Row],[SKU]]="",N(tblStock[[#This Row],[StockMax]])=0),"",MAX(0,tblStock[[#This Row],[StockActual]])/tblStock[[#This Row],[StockMax]])</f>
        <v/>
      </c>
      <c r="N5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5" s="59" t="str">
        <f>IF($B55="","",N('05_PRODUCTOS'!$H55))</f>
        <v/>
      </c>
      <c r="P55" s="59" t="str">
        <f>IF(tblStock[[#This Row],[SKU]]="","",MAX(0,tblStock[[#This Row],[StockActual]])*tblStock[[#This Row],[CostoUnitario]])</f>
        <v/>
      </c>
      <c r="Q55" s="60" t="str">
        <f>IF(tblStock[[#This Row],[SKU]]="","",IFERROR(_xlfn.AGGREGATE(14,6,tblMovimientos[Fecha]/(tblMovimientos[SKU]=tblStock[[#This Row],[SKU]]),1),""))</f>
        <v/>
      </c>
      <c r="R55" s="61" t="str">
        <f ca="1">IF(OR(tblStock[[#This Row],[SKU]]="",tblStock[[#This Row],[UltimoMov]]=""),"",TODAY()-tblStock[[#This Row],[UltimoMov]])</f>
        <v/>
      </c>
    </row>
    <row r="56" spans="2:18" x14ac:dyDescent="0.25">
      <c r="B56" s="53" t="str">
        <f>IF('05_PRODUCTOS'!$B56="","",'05_PRODUCTOS'!$B56)</f>
        <v/>
      </c>
      <c r="C56" s="54" t="str">
        <f>IF($B56="","",'05_PRODUCTOS'!$C56)</f>
        <v/>
      </c>
      <c r="D56" s="54" t="str">
        <f>IF($B56="","",'05_PRODUCTOS'!$D56)</f>
        <v/>
      </c>
      <c r="E56" s="54" t="str">
        <f>IF($B56="","",'05_PRODUCTOS'!$I56&amp;"")</f>
        <v/>
      </c>
      <c r="F56" s="53" t="str">
        <f>IF($B56="","",'05_PRODUCTOS'!$E56)</f>
        <v/>
      </c>
      <c r="G56" s="53" t="str">
        <f>IF($B56="","",IF('05_PRODUCTOS'!$K56="NO","NO","SI"))</f>
        <v/>
      </c>
      <c r="H56" s="55" t="str">
        <f>IF(tblStock[[#This Row],[SKU]]="","",SUMIFS(tblMovimientos[CantidadNeta],tblMovimientos[SKU],tblStock[[#This Row],[SKU]],tblMovimientos[FactorStock],1))</f>
        <v/>
      </c>
      <c r="I56" s="55" t="str">
        <f>IF(tblStock[[#This Row],[SKU]]="","",-SUMIFS(tblMovimientos[CantidadNeta],tblMovimientos[SKU],tblStock[[#This Row],[SKU]],tblMovimientos[FactorStock],-1))</f>
        <v/>
      </c>
      <c r="J56" s="56" t="str">
        <f>IF(tblStock[[#This Row],[SKU]]="","",SUMIFS(tblMovimientos[CantidadNeta],tblMovimientos[SKU],tblStock[[#This Row],[SKU]]))</f>
        <v/>
      </c>
      <c r="K56" s="55" t="str">
        <f>IF($B56="","",N('05_PRODUCTOS'!$F56))</f>
        <v/>
      </c>
      <c r="L56" s="55" t="str">
        <f>IF($B56="","",N('05_PRODUCTOS'!$G56))</f>
        <v/>
      </c>
      <c r="M56" s="57" t="str">
        <f>IF(OR(tblStock[[#This Row],[SKU]]="",N(tblStock[[#This Row],[StockMax]])=0),"",MAX(0,tblStock[[#This Row],[StockActual]])/tblStock[[#This Row],[StockMax]])</f>
        <v/>
      </c>
      <c r="N5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6" s="59" t="str">
        <f>IF($B56="","",N('05_PRODUCTOS'!$H56))</f>
        <v/>
      </c>
      <c r="P56" s="59" t="str">
        <f>IF(tblStock[[#This Row],[SKU]]="","",MAX(0,tblStock[[#This Row],[StockActual]])*tblStock[[#This Row],[CostoUnitario]])</f>
        <v/>
      </c>
      <c r="Q56" s="60" t="str">
        <f>IF(tblStock[[#This Row],[SKU]]="","",IFERROR(_xlfn.AGGREGATE(14,6,tblMovimientos[Fecha]/(tblMovimientos[SKU]=tblStock[[#This Row],[SKU]]),1),""))</f>
        <v/>
      </c>
      <c r="R56" s="61" t="str">
        <f ca="1">IF(OR(tblStock[[#This Row],[SKU]]="",tblStock[[#This Row],[UltimoMov]]=""),"",TODAY()-tblStock[[#This Row],[UltimoMov]])</f>
        <v/>
      </c>
    </row>
    <row r="57" spans="2:18" x14ac:dyDescent="0.25">
      <c r="B57" s="53" t="str">
        <f>IF('05_PRODUCTOS'!$B57="","",'05_PRODUCTOS'!$B57)</f>
        <v/>
      </c>
      <c r="C57" s="54" t="str">
        <f>IF($B57="","",'05_PRODUCTOS'!$C57)</f>
        <v/>
      </c>
      <c r="D57" s="54" t="str">
        <f>IF($B57="","",'05_PRODUCTOS'!$D57)</f>
        <v/>
      </c>
      <c r="E57" s="54" t="str">
        <f>IF($B57="","",'05_PRODUCTOS'!$I57&amp;"")</f>
        <v/>
      </c>
      <c r="F57" s="53" t="str">
        <f>IF($B57="","",'05_PRODUCTOS'!$E57)</f>
        <v/>
      </c>
      <c r="G57" s="53" t="str">
        <f>IF($B57="","",IF('05_PRODUCTOS'!$K57="NO","NO","SI"))</f>
        <v/>
      </c>
      <c r="H57" s="55" t="str">
        <f>IF(tblStock[[#This Row],[SKU]]="","",SUMIFS(tblMovimientos[CantidadNeta],tblMovimientos[SKU],tblStock[[#This Row],[SKU]],tblMovimientos[FactorStock],1))</f>
        <v/>
      </c>
      <c r="I57" s="55" t="str">
        <f>IF(tblStock[[#This Row],[SKU]]="","",-SUMIFS(tblMovimientos[CantidadNeta],tblMovimientos[SKU],tblStock[[#This Row],[SKU]],tblMovimientos[FactorStock],-1))</f>
        <v/>
      </c>
      <c r="J57" s="56" t="str">
        <f>IF(tblStock[[#This Row],[SKU]]="","",SUMIFS(tblMovimientos[CantidadNeta],tblMovimientos[SKU],tblStock[[#This Row],[SKU]]))</f>
        <v/>
      </c>
      <c r="K57" s="55" t="str">
        <f>IF($B57="","",N('05_PRODUCTOS'!$F57))</f>
        <v/>
      </c>
      <c r="L57" s="55" t="str">
        <f>IF($B57="","",N('05_PRODUCTOS'!$G57))</f>
        <v/>
      </c>
      <c r="M57" s="57" t="str">
        <f>IF(OR(tblStock[[#This Row],[SKU]]="",N(tblStock[[#This Row],[StockMax]])=0),"",MAX(0,tblStock[[#This Row],[StockActual]])/tblStock[[#This Row],[StockMax]])</f>
        <v/>
      </c>
      <c r="N5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7" s="59" t="str">
        <f>IF($B57="","",N('05_PRODUCTOS'!$H57))</f>
        <v/>
      </c>
      <c r="P57" s="59" t="str">
        <f>IF(tblStock[[#This Row],[SKU]]="","",MAX(0,tblStock[[#This Row],[StockActual]])*tblStock[[#This Row],[CostoUnitario]])</f>
        <v/>
      </c>
      <c r="Q57" s="60" t="str">
        <f>IF(tblStock[[#This Row],[SKU]]="","",IFERROR(_xlfn.AGGREGATE(14,6,tblMovimientos[Fecha]/(tblMovimientos[SKU]=tblStock[[#This Row],[SKU]]),1),""))</f>
        <v/>
      </c>
      <c r="R57" s="61" t="str">
        <f ca="1">IF(OR(tblStock[[#This Row],[SKU]]="",tblStock[[#This Row],[UltimoMov]]=""),"",TODAY()-tblStock[[#This Row],[UltimoMov]])</f>
        <v/>
      </c>
    </row>
    <row r="58" spans="2:18" x14ac:dyDescent="0.25">
      <c r="B58" s="53" t="str">
        <f>IF('05_PRODUCTOS'!$B58="","",'05_PRODUCTOS'!$B58)</f>
        <v/>
      </c>
      <c r="C58" s="54" t="str">
        <f>IF($B58="","",'05_PRODUCTOS'!$C58)</f>
        <v/>
      </c>
      <c r="D58" s="54" t="str">
        <f>IF($B58="","",'05_PRODUCTOS'!$D58)</f>
        <v/>
      </c>
      <c r="E58" s="54" t="str">
        <f>IF($B58="","",'05_PRODUCTOS'!$I58&amp;"")</f>
        <v/>
      </c>
      <c r="F58" s="53" t="str">
        <f>IF($B58="","",'05_PRODUCTOS'!$E58)</f>
        <v/>
      </c>
      <c r="G58" s="53" t="str">
        <f>IF($B58="","",IF('05_PRODUCTOS'!$K58="NO","NO","SI"))</f>
        <v/>
      </c>
      <c r="H58" s="55" t="str">
        <f>IF(tblStock[[#This Row],[SKU]]="","",SUMIFS(tblMovimientos[CantidadNeta],tblMovimientos[SKU],tblStock[[#This Row],[SKU]],tblMovimientos[FactorStock],1))</f>
        <v/>
      </c>
      <c r="I58" s="55" t="str">
        <f>IF(tblStock[[#This Row],[SKU]]="","",-SUMIFS(tblMovimientos[CantidadNeta],tblMovimientos[SKU],tblStock[[#This Row],[SKU]],tblMovimientos[FactorStock],-1))</f>
        <v/>
      </c>
      <c r="J58" s="56" t="str">
        <f>IF(tblStock[[#This Row],[SKU]]="","",SUMIFS(tblMovimientos[CantidadNeta],tblMovimientos[SKU],tblStock[[#This Row],[SKU]]))</f>
        <v/>
      </c>
      <c r="K58" s="55" t="str">
        <f>IF($B58="","",N('05_PRODUCTOS'!$F58))</f>
        <v/>
      </c>
      <c r="L58" s="55" t="str">
        <f>IF($B58="","",N('05_PRODUCTOS'!$G58))</f>
        <v/>
      </c>
      <c r="M58" s="57" t="str">
        <f>IF(OR(tblStock[[#This Row],[SKU]]="",N(tblStock[[#This Row],[StockMax]])=0),"",MAX(0,tblStock[[#This Row],[StockActual]])/tblStock[[#This Row],[StockMax]])</f>
        <v/>
      </c>
      <c r="N5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8" s="59" t="str">
        <f>IF($B58="","",N('05_PRODUCTOS'!$H58))</f>
        <v/>
      </c>
      <c r="P58" s="59" t="str">
        <f>IF(tblStock[[#This Row],[SKU]]="","",MAX(0,tblStock[[#This Row],[StockActual]])*tblStock[[#This Row],[CostoUnitario]])</f>
        <v/>
      </c>
      <c r="Q58" s="60" t="str">
        <f>IF(tblStock[[#This Row],[SKU]]="","",IFERROR(_xlfn.AGGREGATE(14,6,tblMovimientos[Fecha]/(tblMovimientos[SKU]=tblStock[[#This Row],[SKU]]),1),""))</f>
        <v/>
      </c>
      <c r="R58" s="61" t="str">
        <f ca="1">IF(OR(tblStock[[#This Row],[SKU]]="",tblStock[[#This Row],[UltimoMov]]=""),"",TODAY()-tblStock[[#This Row],[UltimoMov]])</f>
        <v/>
      </c>
    </row>
    <row r="59" spans="2:18" x14ac:dyDescent="0.25">
      <c r="B59" s="53" t="str">
        <f>IF('05_PRODUCTOS'!$B59="","",'05_PRODUCTOS'!$B59)</f>
        <v/>
      </c>
      <c r="C59" s="54" t="str">
        <f>IF($B59="","",'05_PRODUCTOS'!$C59)</f>
        <v/>
      </c>
      <c r="D59" s="54" t="str">
        <f>IF($B59="","",'05_PRODUCTOS'!$D59)</f>
        <v/>
      </c>
      <c r="E59" s="54" t="str">
        <f>IF($B59="","",'05_PRODUCTOS'!$I59&amp;"")</f>
        <v/>
      </c>
      <c r="F59" s="53" t="str">
        <f>IF($B59="","",'05_PRODUCTOS'!$E59)</f>
        <v/>
      </c>
      <c r="G59" s="53" t="str">
        <f>IF($B59="","",IF('05_PRODUCTOS'!$K59="NO","NO","SI"))</f>
        <v/>
      </c>
      <c r="H59" s="55" t="str">
        <f>IF(tblStock[[#This Row],[SKU]]="","",SUMIFS(tblMovimientos[CantidadNeta],tblMovimientos[SKU],tblStock[[#This Row],[SKU]],tblMovimientos[FactorStock],1))</f>
        <v/>
      </c>
      <c r="I59" s="55" t="str">
        <f>IF(tblStock[[#This Row],[SKU]]="","",-SUMIFS(tblMovimientos[CantidadNeta],tblMovimientos[SKU],tblStock[[#This Row],[SKU]],tblMovimientos[FactorStock],-1))</f>
        <v/>
      </c>
      <c r="J59" s="56" t="str">
        <f>IF(tblStock[[#This Row],[SKU]]="","",SUMIFS(tblMovimientos[CantidadNeta],tblMovimientos[SKU],tblStock[[#This Row],[SKU]]))</f>
        <v/>
      </c>
      <c r="K59" s="55" t="str">
        <f>IF($B59="","",N('05_PRODUCTOS'!$F59))</f>
        <v/>
      </c>
      <c r="L59" s="55" t="str">
        <f>IF($B59="","",N('05_PRODUCTOS'!$G59))</f>
        <v/>
      </c>
      <c r="M59" s="57" t="str">
        <f>IF(OR(tblStock[[#This Row],[SKU]]="",N(tblStock[[#This Row],[StockMax]])=0),"",MAX(0,tblStock[[#This Row],[StockActual]])/tblStock[[#This Row],[StockMax]])</f>
        <v/>
      </c>
      <c r="N5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9" s="59" t="str">
        <f>IF($B59="","",N('05_PRODUCTOS'!$H59))</f>
        <v/>
      </c>
      <c r="P59" s="59" t="str">
        <f>IF(tblStock[[#This Row],[SKU]]="","",MAX(0,tblStock[[#This Row],[StockActual]])*tblStock[[#This Row],[CostoUnitario]])</f>
        <v/>
      </c>
      <c r="Q59" s="60" t="str">
        <f>IF(tblStock[[#This Row],[SKU]]="","",IFERROR(_xlfn.AGGREGATE(14,6,tblMovimientos[Fecha]/(tblMovimientos[SKU]=tblStock[[#This Row],[SKU]]),1),""))</f>
        <v/>
      </c>
      <c r="R59" s="61" t="str">
        <f ca="1">IF(OR(tblStock[[#This Row],[SKU]]="",tblStock[[#This Row],[UltimoMov]]=""),"",TODAY()-tblStock[[#This Row],[UltimoMov]])</f>
        <v/>
      </c>
    </row>
    <row r="60" spans="2:18" x14ac:dyDescent="0.25">
      <c r="B60" s="53" t="str">
        <f>IF('05_PRODUCTOS'!$B60="","",'05_PRODUCTOS'!$B60)</f>
        <v/>
      </c>
      <c r="C60" s="54" t="str">
        <f>IF($B60="","",'05_PRODUCTOS'!$C60)</f>
        <v/>
      </c>
      <c r="D60" s="54" t="str">
        <f>IF($B60="","",'05_PRODUCTOS'!$D60)</f>
        <v/>
      </c>
      <c r="E60" s="54" t="str">
        <f>IF($B60="","",'05_PRODUCTOS'!$I60&amp;"")</f>
        <v/>
      </c>
      <c r="F60" s="53" t="str">
        <f>IF($B60="","",'05_PRODUCTOS'!$E60)</f>
        <v/>
      </c>
      <c r="G60" s="53" t="str">
        <f>IF($B60="","",IF('05_PRODUCTOS'!$K60="NO","NO","SI"))</f>
        <v/>
      </c>
      <c r="H60" s="55" t="str">
        <f>IF(tblStock[[#This Row],[SKU]]="","",SUMIFS(tblMovimientos[CantidadNeta],tblMovimientos[SKU],tblStock[[#This Row],[SKU]],tblMovimientos[FactorStock],1))</f>
        <v/>
      </c>
      <c r="I60" s="55" t="str">
        <f>IF(tblStock[[#This Row],[SKU]]="","",-SUMIFS(tblMovimientos[CantidadNeta],tblMovimientos[SKU],tblStock[[#This Row],[SKU]],tblMovimientos[FactorStock],-1))</f>
        <v/>
      </c>
      <c r="J60" s="56" t="str">
        <f>IF(tblStock[[#This Row],[SKU]]="","",SUMIFS(tblMovimientos[CantidadNeta],tblMovimientos[SKU],tblStock[[#This Row],[SKU]]))</f>
        <v/>
      </c>
      <c r="K60" s="55" t="str">
        <f>IF($B60="","",N('05_PRODUCTOS'!$F60))</f>
        <v/>
      </c>
      <c r="L60" s="55" t="str">
        <f>IF($B60="","",N('05_PRODUCTOS'!$G60))</f>
        <v/>
      </c>
      <c r="M60" s="57" t="str">
        <f>IF(OR(tblStock[[#This Row],[SKU]]="",N(tblStock[[#This Row],[StockMax]])=0),"",MAX(0,tblStock[[#This Row],[StockActual]])/tblStock[[#This Row],[StockMax]])</f>
        <v/>
      </c>
      <c r="N6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0" s="59" t="str">
        <f>IF($B60="","",N('05_PRODUCTOS'!$H60))</f>
        <v/>
      </c>
      <c r="P60" s="59" t="str">
        <f>IF(tblStock[[#This Row],[SKU]]="","",MAX(0,tblStock[[#This Row],[StockActual]])*tblStock[[#This Row],[CostoUnitario]])</f>
        <v/>
      </c>
      <c r="Q60" s="60" t="str">
        <f>IF(tblStock[[#This Row],[SKU]]="","",IFERROR(_xlfn.AGGREGATE(14,6,tblMovimientos[Fecha]/(tblMovimientos[SKU]=tblStock[[#This Row],[SKU]]),1),""))</f>
        <v/>
      </c>
      <c r="R60" s="61" t="str">
        <f ca="1">IF(OR(tblStock[[#This Row],[SKU]]="",tblStock[[#This Row],[UltimoMov]]=""),"",TODAY()-tblStock[[#This Row],[UltimoMov]])</f>
        <v/>
      </c>
    </row>
    <row r="61" spans="2:18" x14ac:dyDescent="0.25">
      <c r="B61" s="53" t="str">
        <f>IF('05_PRODUCTOS'!$B61="","",'05_PRODUCTOS'!$B61)</f>
        <v/>
      </c>
      <c r="C61" s="54" t="str">
        <f>IF($B61="","",'05_PRODUCTOS'!$C61)</f>
        <v/>
      </c>
      <c r="D61" s="54" t="str">
        <f>IF($B61="","",'05_PRODUCTOS'!$D61)</f>
        <v/>
      </c>
      <c r="E61" s="54" t="str">
        <f>IF($B61="","",'05_PRODUCTOS'!$I61&amp;"")</f>
        <v/>
      </c>
      <c r="F61" s="53" t="str">
        <f>IF($B61="","",'05_PRODUCTOS'!$E61)</f>
        <v/>
      </c>
      <c r="G61" s="53" t="str">
        <f>IF($B61="","",IF('05_PRODUCTOS'!$K61="NO","NO","SI"))</f>
        <v/>
      </c>
      <c r="H61" s="55" t="str">
        <f>IF(tblStock[[#This Row],[SKU]]="","",SUMIFS(tblMovimientos[CantidadNeta],tblMovimientos[SKU],tblStock[[#This Row],[SKU]],tblMovimientos[FactorStock],1))</f>
        <v/>
      </c>
      <c r="I61" s="55" t="str">
        <f>IF(tblStock[[#This Row],[SKU]]="","",-SUMIFS(tblMovimientos[CantidadNeta],tblMovimientos[SKU],tblStock[[#This Row],[SKU]],tblMovimientos[FactorStock],-1))</f>
        <v/>
      </c>
      <c r="J61" s="56" t="str">
        <f>IF(tblStock[[#This Row],[SKU]]="","",SUMIFS(tblMovimientos[CantidadNeta],tblMovimientos[SKU],tblStock[[#This Row],[SKU]]))</f>
        <v/>
      </c>
      <c r="K61" s="55" t="str">
        <f>IF($B61="","",N('05_PRODUCTOS'!$F61))</f>
        <v/>
      </c>
      <c r="L61" s="55" t="str">
        <f>IF($B61="","",N('05_PRODUCTOS'!$G61))</f>
        <v/>
      </c>
      <c r="M61" s="57" t="str">
        <f>IF(OR(tblStock[[#This Row],[SKU]]="",N(tblStock[[#This Row],[StockMax]])=0),"",MAX(0,tblStock[[#This Row],[StockActual]])/tblStock[[#This Row],[StockMax]])</f>
        <v/>
      </c>
      <c r="N6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1" s="59" t="str">
        <f>IF($B61="","",N('05_PRODUCTOS'!$H61))</f>
        <v/>
      </c>
      <c r="P61" s="59" t="str">
        <f>IF(tblStock[[#This Row],[SKU]]="","",MAX(0,tblStock[[#This Row],[StockActual]])*tblStock[[#This Row],[CostoUnitario]])</f>
        <v/>
      </c>
      <c r="Q61" s="60" t="str">
        <f>IF(tblStock[[#This Row],[SKU]]="","",IFERROR(_xlfn.AGGREGATE(14,6,tblMovimientos[Fecha]/(tblMovimientos[SKU]=tblStock[[#This Row],[SKU]]),1),""))</f>
        <v/>
      </c>
      <c r="R61" s="61" t="str">
        <f ca="1">IF(OR(tblStock[[#This Row],[SKU]]="",tblStock[[#This Row],[UltimoMov]]=""),"",TODAY()-tblStock[[#This Row],[UltimoMov]])</f>
        <v/>
      </c>
    </row>
    <row r="62" spans="2:18" x14ac:dyDescent="0.25">
      <c r="B62" s="53" t="str">
        <f>IF('05_PRODUCTOS'!$B62="","",'05_PRODUCTOS'!$B62)</f>
        <v/>
      </c>
      <c r="C62" s="54" t="str">
        <f>IF($B62="","",'05_PRODUCTOS'!$C62)</f>
        <v/>
      </c>
      <c r="D62" s="54" t="str">
        <f>IF($B62="","",'05_PRODUCTOS'!$D62)</f>
        <v/>
      </c>
      <c r="E62" s="54" t="str">
        <f>IF($B62="","",'05_PRODUCTOS'!$I62&amp;"")</f>
        <v/>
      </c>
      <c r="F62" s="53" t="str">
        <f>IF($B62="","",'05_PRODUCTOS'!$E62)</f>
        <v/>
      </c>
      <c r="G62" s="53" t="str">
        <f>IF($B62="","",IF('05_PRODUCTOS'!$K62="NO","NO","SI"))</f>
        <v/>
      </c>
      <c r="H62" s="55" t="str">
        <f>IF(tblStock[[#This Row],[SKU]]="","",SUMIFS(tblMovimientos[CantidadNeta],tblMovimientos[SKU],tblStock[[#This Row],[SKU]],tblMovimientos[FactorStock],1))</f>
        <v/>
      </c>
      <c r="I62" s="55" t="str">
        <f>IF(tblStock[[#This Row],[SKU]]="","",-SUMIFS(tblMovimientos[CantidadNeta],tblMovimientos[SKU],tblStock[[#This Row],[SKU]],tblMovimientos[FactorStock],-1))</f>
        <v/>
      </c>
      <c r="J62" s="56" t="str">
        <f>IF(tblStock[[#This Row],[SKU]]="","",SUMIFS(tblMovimientos[CantidadNeta],tblMovimientos[SKU],tblStock[[#This Row],[SKU]]))</f>
        <v/>
      </c>
      <c r="K62" s="55" t="str">
        <f>IF($B62="","",N('05_PRODUCTOS'!$F62))</f>
        <v/>
      </c>
      <c r="L62" s="55" t="str">
        <f>IF($B62="","",N('05_PRODUCTOS'!$G62))</f>
        <v/>
      </c>
      <c r="M62" s="57" t="str">
        <f>IF(OR(tblStock[[#This Row],[SKU]]="",N(tblStock[[#This Row],[StockMax]])=0),"",MAX(0,tblStock[[#This Row],[StockActual]])/tblStock[[#This Row],[StockMax]])</f>
        <v/>
      </c>
      <c r="N6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2" s="59" t="str">
        <f>IF($B62="","",N('05_PRODUCTOS'!$H62))</f>
        <v/>
      </c>
      <c r="P62" s="59" t="str">
        <f>IF(tblStock[[#This Row],[SKU]]="","",MAX(0,tblStock[[#This Row],[StockActual]])*tblStock[[#This Row],[CostoUnitario]])</f>
        <v/>
      </c>
      <c r="Q62" s="60" t="str">
        <f>IF(tblStock[[#This Row],[SKU]]="","",IFERROR(_xlfn.AGGREGATE(14,6,tblMovimientos[Fecha]/(tblMovimientos[SKU]=tblStock[[#This Row],[SKU]]),1),""))</f>
        <v/>
      </c>
      <c r="R62" s="61" t="str">
        <f ca="1">IF(OR(tblStock[[#This Row],[SKU]]="",tblStock[[#This Row],[UltimoMov]]=""),"",TODAY()-tblStock[[#This Row],[UltimoMov]])</f>
        <v/>
      </c>
    </row>
    <row r="63" spans="2:18" x14ac:dyDescent="0.25">
      <c r="B63" s="53" t="str">
        <f>IF('05_PRODUCTOS'!$B63="","",'05_PRODUCTOS'!$B63)</f>
        <v/>
      </c>
      <c r="C63" s="54" t="str">
        <f>IF($B63="","",'05_PRODUCTOS'!$C63)</f>
        <v/>
      </c>
      <c r="D63" s="54" t="str">
        <f>IF($B63="","",'05_PRODUCTOS'!$D63)</f>
        <v/>
      </c>
      <c r="E63" s="54" t="str">
        <f>IF($B63="","",'05_PRODUCTOS'!$I63&amp;"")</f>
        <v/>
      </c>
      <c r="F63" s="53" t="str">
        <f>IF($B63="","",'05_PRODUCTOS'!$E63)</f>
        <v/>
      </c>
      <c r="G63" s="53" t="str">
        <f>IF($B63="","",IF('05_PRODUCTOS'!$K63="NO","NO","SI"))</f>
        <v/>
      </c>
      <c r="H63" s="55" t="str">
        <f>IF(tblStock[[#This Row],[SKU]]="","",SUMIFS(tblMovimientos[CantidadNeta],tblMovimientos[SKU],tblStock[[#This Row],[SKU]],tblMovimientos[FactorStock],1))</f>
        <v/>
      </c>
      <c r="I63" s="55" t="str">
        <f>IF(tblStock[[#This Row],[SKU]]="","",-SUMIFS(tblMovimientos[CantidadNeta],tblMovimientos[SKU],tblStock[[#This Row],[SKU]],tblMovimientos[FactorStock],-1))</f>
        <v/>
      </c>
      <c r="J63" s="56" t="str">
        <f>IF(tblStock[[#This Row],[SKU]]="","",SUMIFS(tblMovimientos[CantidadNeta],tblMovimientos[SKU],tblStock[[#This Row],[SKU]]))</f>
        <v/>
      </c>
      <c r="K63" s="55" t="str">
        <f>IF($B63="","",N('05_PRODUCTOS'!$F63))</f>
        <v/>
      </c>
      <c r="L63" s="55" t="str">
        <f>IF($B63="","",N('05_PRODUCTOS'!$G63))</f>
        <v/>
      </c>
      <c r="M63" s="57" t="str">
        <f>IF(OR(tblStock[[#This Row],[SKU]]="",N(tblStock[[#This Row],[StockMax]])=0),"",MAX(0,tblStock[[#This Row],[StockActual]])/tblStock[[#This Row],[StockMax]])</f>
        <v/>
      </c>
      <c r="N6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3" s="59" t="str">
        <f>IF($B63="","",N('05_PRODUCTOS'!$H63))</f>
        <v/>
      </c>
      <c r="P63" s="59" t="str">
        <f>IF(tblStock[[#This Row],[SKU]]="","",MAX(0,tblStock[[#This Row],[StockActual]])*tblStock[[#This Row],[CostoUnitario]])</f>
        <v/>
      </c>
      <c r="Q63" s="60" t="str">
        <f>IF(tblStock[[#This Row],[SKU]]="","",IFERROR(_xlfn.AGGREGATE(14,6,tblMovimientos[Fecha]/(tblMovimientos[SKU]=tblStock[[#This Row],[SKU]]),1),""))</f>
        <v/>
      </c>
      <c r="R63" s="61" t="str">
        <f ca="1">IF(OR(tblStock[[#This Row],[SKU]]="",tblStock[[#This Row],[UltimoMov]]=""),"",TODAY()-tblStock[[#This Row],[UltimoMov]])</f>
        <v/>
      </c>
    </row>
    <row r="64" spans="2:18" x14ac:dyDescent="0.25">
      <c r="B64" s="53" t="str">
        <f>IF('05_PRODUCTOS'!$B64="","",'05_PRODUCTOS'!$B64)</f>
        <v/>
      </c>
      <c r="C64" s="54" t="str">
        <f>IF($B64="","",'05_PRODUCTOS'!$C64)</f>
        <v/>
      </c>
      <c r="D64" s="54" t="str">
        <f>IF($B64="","",'05_PRODUCTOS'!$D64)</f>
        <v/>
      </c>
      <c r="E64" s="54" t="str">
        <f>IF($B64="","",'05_PRODUCTOS'!$I64&amp;"")</f>
        <v/>
      </c>
      <c r="F64" s="53" t="str">
        <f>IF($B64="","",'05_PRODUCTOS'!$E64)</f>
        <v/>
      </c>
      <c r="G64" s="53" t="str">
        <f>IF($B64="","",IF('05_PRODUCTOS'!$K64="NO","NO","SI"))</f>
        <v/>
      </c>
      <c r="H64" s="55" t="str">
        <f>IF(tblStock[[#This Row],[SKU]]="","",SUMIFS(tblMovimientos[CantidadNeta],tblMovimientos[SKU],tblStock[[#This Row],[SKU]],tblMovimientos[FactorStock],1))</f>
        <v/>
      </c>
      <c r="I64" s="55" t="str">
        <f>IF(tblStock[[#This Row],[SKU]]="","",-SUMIFS(tblMovimientos[CantidadNeta],tblMovimientos[SKU],tblStock[[#This Row],[SKU]],tblMovimientos[FactorStock],-1))</f>
        <v/>
      </c>
      <c r="J64" s="56" t="str">
        <f>IF(tblStock[[#This Row],[SKU]]="","",SUMIFS(tblMovimientos[CantidadNeta],tblMovimientos[SKU],tblStock[[#This Row],[SKU]]))</f>
        <v/>
      </c>
      <c r="K64" s="55" t="str">
        <f>IF($B64="","",N('05_PRODUCTOS'!$F64))</f>
        <v/>
      </c>
      <c r="L64" s="55" t="str">
        <f>IF($B64="","",N('05_PRODUCTOS'!$G64))</f>
        <v/>
      </c>
      <c r="M64" s="57" t="str">
        <f>IF(OR(tblStock[[#This Row],[SKU]]="",N(tblStock[[#This Row],[StockMax]])=0),"",MAX(0,tblStock[[#This Row],[StockActual]])/tblStock[[#This Row],[StockMax]])</f>
        <v/>
      </c>
      <c r="N6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4" s="59" t="str">
        <f>IF($B64="","",N('05_PRODUCTOS'!$H64))</f>
        <v/>
      </c>
      <c r="P64" s="59" t="str">
        <f>IF(tblStock[[#This Row],[SKU]]="","",MAX(0,tblStock[[#This Row],[StockActual]])*tblStock[[#This Row],[CostoUnitario]])</f>
        <v/>
      </c>
      <c r="Q64" s="60" t="str">
        <f>IF(tblStock[[#This Row],[SKU]]="","",IFERROR(_xlfn.AGGREGATE(14,6,tblMovimientos[Fecha]/(tblMovimientos[SKU]=tblStock[[#This Row],[SKU]]),1),""))</f>
        <v/>
      </c>
      <c r="R64" s="61" t="str">
        <f ca="1">IF(OR(tblStock[[#This Row],[SKU]]="",tblStock[[#This Row],[UltimoMov]]=""),"",TODAY()-tblStock[[#This Row],[UltimoMov]])</f>
        <v/>
      </c>
    </row>
    <row r="65" spans="2:18" x14ac:dyDescent="0.25">
      <c r="B65" s="53" t="str">
        <f>IF('05_PRODUCTOS'!$B65="","",'05_PRODUCTOS'!$B65)</f>
        <v/>
      </c>
      <c r="C65" s="54" t="str">
        <f>IF($B65="","",'05_PRODUCTOS'!$C65)</f>
        <v/>
      </c>
      <c r="D65" s="54" t="str">
        <f>IF($B65="","",'05_PRODUCTOS'!$D65)</f>
        <v/>
      </c>
      <c r="E65" s="54" t="str">
        <f>IF($B65="","",'05_PRODUCTOS'!$I65&amp;"")</f>
        <v/>
      </c>
      <c r="F65" s="53" t="str">
        <f>IF($B65="","",'05_PRODUCTOS'!$E65)</f>
        <v/>
      </c>
      <c r="G65" s="53" t="str">
        <f>IF($B65="","",IF('05_PRODUCTOS'!$K65="NO","NO","SI"))</f>
        <v/>
      </c>
      <c r="H65" s="55" t="str">
        <f>IF(tblStock[[#This Row],[SKU]]="","",SUMIFS(tblMovimientos[CantidadNeta],tblMovimientos[SKU],tblStock[[#This Row],[SKU]],tblMovimientos[FactorStock],1))</f>
        <v/>
      </c>
      <c r="I65" s="55" t="str">
        <f>IF(tblStock[[#This Row],[SKU]]="","",-SUMIFS(tblMovimientos[CantidadNeta],tblMovimientos[SKU],tblStock[[#This Row],[SKU]],tblMovimientos[FactorStock],-1))</f>
        <v/>
      </c>
      <c r="J65" s="56" t="str">
        <f>IF(tblStock[[#This Row],[SKU]]="","",SUMIFS(tblMovimientos[CantidadNeta],tblMovimientos[SKU],tblStock[[#This Row],[SKU]]))</f>
        <v/>
      </c>
      <c r="K65" s="55" t="str">
        <f>IF($B65="","",N('05_PRODUCTOS'!$F65))</f>
        <v/>
      </c>
      <c r="L65" s="55" t="str">
        <f>IF($B65="","",N('05_PRODUCTOS'!$G65))</f>
        <v/>
      </c>
      <c r="M65" s="57" t="str">
        <f>IF(OR(tblStock[[#This Row],[SKU]]="",N(tblStock[[#This Row],[StockMax]])=0),"",MAX(0,tblStock[[#This Row],[StockActual]])/tblStock[[#This Row],[StockMax]])</f>
        <v/>
      </c>
      <c r="N6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5" s="59" t="str">
        <f>IF($B65="","",N('05_PRODUCTOS'!$H65))</f>
        <v/>
      </c>
      <c r="P65" s="59" t="str">
        <f>IF(tblStock[[#This Row],[SKU]]="","",MAX(0,tblStock[[#This Row],[StockActual]])*tblStock[[#This Row],[CostoUnitario]])</f>
        <v/>
      </c>
      <c r="Q65" s="60" t="str">
        <f>IF(tblStock[[#This Row],[SKU]]="","",IFERROR(_xlfn.AGGREGATE(14,6,tblMovimientos[Fecha]/(tblMovimientos[SKU]=tblStock[[#This Row],[SKU]]),1),""))</f>
        <v/>
      </c>
      <c r="R65" s="61" t="str">
        <f ca="1">IF(OR(tblStock[[#This Row],[SKU]]="",tblStock[[#This Row],[UltimoMov]]=""),"",TODAY()-tblStock[[#This Row],[UltimoMov]])</f>
        <v/>
      </c>
    </row>
    <row r="66" spans="2:18" x14ac:dyDescent="0.25">
      <c r="B66" s="53" t="str">
        <f>IF('05_PRODUCTOS'!$B66="","",'05_PRODUCTOS'!$B66)</f>
        <v/>
      </c>
      <c r="C66" s="54" t="str">
        <f>IF($B66="","",'05_PRODUCTOS'!$C66)</f>
        <v/>
      </c>
      <c r="D66" s="54" t="str">
        <f>IF($B66="","",'05_PRODUCTOS'!$D66)</f>
        <v/>
      </c>
      <c r="E66" s="54" t="str">
        <f>IF($B66="","",'05_PRODUCTOS'!$I66&amp;"")</f>
        <v/>
      </c>
      <c r="F66" s="53" t="str">
        <f>IF($B66="","",'05_PRODUCTOS'!$E66)</f>
        <v/>
      </c>
      <c r="G66" s="53" t="str">
        <f>IF($B66="","",IF('05_PRODUCTOS'!$K66="NO","NO","SI"))</f>
        <v/>
      </c>
      <c r="H66" s="55" t="str">
        <f>IF(tblStock[[#This Row],[SKU]]="","",SUMIFS(tblMovimientos[CantidadNeta],tblMovimientos[SKU],tblStock[[#This Row],[SKU]],tblMovimientos[FactorStock],1))</f>
        <v/>
      </c>
      <c r="I66" s="55" t="str">
        <f>IF(tblStock[[#This Row],[SKU]]="","",-SUMIFS(tblMovimientos[CantidadNeta],tblMovimientos[SKU],tblStock[[#This Row],[SKU]],tblMovimientos[FactorStock],-1))</f>
        <v/>
      </c>
      <c r="J66" s="56" t="str">
        <f>IF(tblStock[[#This Row],[SKU]]="","",SUMIFS(tblMovimientos[CantidadNeta],tblMovimientos[SKU],tblStock[[#This Row],[SKU]]))</f>
        <v/>
      </c>
      <c r="K66" s="55" t="str">
        <f>IF($B66="","",N('05_PRODUCTOS'!$F66))</f>
        <v/>
      </c>
      <c r="L66" s="55" t="str">
        <f>IF($B66="","",N('05_PRODUCTOS'!$G66))</f>
        <v/>
      </c>
      <c r="M66" s="57" t="str">
        <f>IF(OR(tblStock[[#This Row],[SKU]]="",N(tblStock[[#This Row],[StockMax]])=0),"",MAX(0,tblStock[[#This Row],[StockActual]])/tblStock[[#This Row],[StockMax]])</f>
        <v/>
      </c>
      <c r="N6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6" s="59" t="str">
        <f>IF($B66="","",N('05_PRODUCTOS'!$H66))</f>
        <v/>
      </c>
      <c r="P66" s="59" t="str">
        <f>IF(tblStock[[#This Row],[SKU]]="","",MAX(0,tblStock[[#This Row],[StockActual]])*tblStock[[#This Row],[CostoUnitario]])</f>
        <v/>
      </c>
      <c r="Q66" s="60" t="str">
        <f>IF(tblStock[[#This Row],[SKU]]="","",IFERROR(_xlfn.AGGREGATE(14,6,tblMovimientos[Fecha]/(tblMovimientos[SKU]=tblStock[[#This Row],[SKU]]),1),""))</f>
        <v/>
      </c>
      <c r="R66" s="61" t="str">
        <f ca="1">IF(OR(tblStock[[#This Row],[SKU]]="",tblStock[[#This Row],[UltimoMov]]=""),"",TODAY()-tblStock[[#This Row],[UltimoMov]])</f>
        <v/>
      </c>
    </row>
    <row r="67" spans="2:18" x14ac:dyDescent="0.25">
      <c r="B67" s="53" t="str">
        <f>IF('05_PRODUCTOS'!$B67="","",'05_PRODUCTOS'!$B67)</f>
        <v/>
      </c>
      <c r="C67" s="54" t="str">
        <f>IF($B67="","",'05_PRODUCTOS'!$C67)</f>
        <v/>
      </c>
      <c r="D67" s="54" t="str">
        <f>IF($B67="","",'05_PRODUCTOS'!$D67)</f>
        <v/>
      </c>
      <c r="E67" s="54" t="str">
        <f>IF($B67="","",'05_PRODUCTOS'!$I67&amp;"")</f>
        <v/>
      </c>
      <c r="F67" s="53" t="str">
        <f>IF($B67="","",'05_PRODUCTOS'!$E67)</f>
        <v/>
      </c>
      <c r="G67" s="53" t="str">
        <f>IF($B67="","",IF('05_PRODUCTOS'!$K67="NO","NO","SI"))</f>
        <v/>
      </c>
      <c r="H67" s="55" t="str">
        <f>IF(tblStock[[#This Row],[SKU]]="","",SUMIFS(tblMovimientos[CantidadNeta],tblMovimientos[SKU],tblStock[[#This Row],[SKU]],tblMovimientos[FactorStock],1))</f>
        <v/>
      </c>
      <c r="I67" s="55" t="str">
        <f>IF(tblStock[[#This Row],[SKU]]="","",-SUMIFS(tblMovimientos[CantidadNeta],tblMovimientos[SKU],tblStock[[#This Row],[SKU]],tblMovimientos[FactorStock],-1))</f>
        <v/>
      </c>
      <c r="J67" s="56" t="str">
        <f>IF(tblStock[[#This Row],[SKU]]="","",SUMIFS(tblMovimientos[CantidadNeta],tblMovimientos[SKU],tblStock[[#This Row],[SKU]]))</f>
        <v/>
      </c>
      <c r="K67" s="55" t="str">
        <f>IF($B67="","",N('05_PRODUCTOS'!$F67))</f>
        <v/>
      </c>
      <c r="L67" s="55" t="str">
        <f>IF($B67="","",N('05_PRODUCTOS'!$G67))</f>
        <v/>
      </c>
      <c r="M67" s="57" t="str">
        <f>IF(OR(tblStock[[#This Row],[SKU]]="",N(tblStock[[#This Row],[StockMax]])=0),"",MAX(0,tblStock[[#This Row],[StockActual]])/tblStock[[#This Row],[StockMax]])</f>
        <v/>
      </c>
      <c r="N6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7" s="59" t="str">
        <f>IF($B67="","",N('05_PRODUCTOS'!$H67))</f>
        <v/>
      </c>
      <c r="P67" s="59" t="str">
        <f>IF(tblStock[[#This Row],[SKU]]="","",MAX(0,tblStock[[#This Row],[StockActual]])*tblStock[[#This Row],[CostoUnitario]])</f>
        <v/>
      </c>
      <c r="Q67" s="60" t="str">
        <f>IF(tblStock[[#This Row],[SKU]]="","",IFERROR(_xlfn.AGGREGATE(14,6,tblMovimientos[Fecha]/(tblMovimientos[SKU]=tblStock[[#This Row],[SKU]]),1),""))</f>
        <v/>
      </c>
      <c r="R67" s="61" t="str">
        <f ca="1">IF(OR(tblStock[[#This Row],[SKU]]="",tblStock[[#This Row],[UltimoMov]]=""),"",TODAY()-tblStock[[#This Row],[UltimoMov]])</f>
        <v/>
      </c>
    </row>
    <row r="68" spans="2:18" x14ac:dyDescent="0.25">
      <c r="B68" s="53" t="str">
        <f>IF('05_PRODUCTOS'!$B68="","",'05_PRODUCTOS'!$B68)</f>
        <v/>
      </c>
      <c r="C68" s="54" t="str">
        <f>IF($B68="","",'05_PRODUCTOS'!$C68)</f>
        <v/>
      </c>
      <c r="D68" s="54" t="str">
        <f>IF($B68="","",'05_PRODUCTOS'!$D68)</f>
        <v/>
      </c>
      <c r="E68" s="54" t="str">
        <f>IF($B68="","",'05_PRODUCTOS'!$I68&amp;"")</f>
        <v/>
      </c>
      <c r="F68" s="53" t="str">
        <f>IF($B68="","",'05_PRODUCTOS'!$E68)</f>
        <v/>
      </c>
      <c r="G68" s="53" t="str">
        <f>IF($B68="","",IF('05_PRODUCTOS'!$K68="NO","NO","SI"))</f>
        <v/>
      </c>
      <c r="H68" s="55" t="str">
        <f>IF(tblStock[[#This Row],[SKU]]="","",SUMIFS(tblMovimientos[CantidadNeta],tblMovimientos[SKU],tblStock[[#This Row],[SKU]],tblMovimientos[FactorStock],1))</f>
        <v/>
      </c>
      <c r="I68" s="55" t="str">
        <f>IF(tblStock[[#This Row],[SKU]]="","",-SUMIFS(tblMovimientos[CantidadNeta],tblMovimientos[SKU],tblStock[[#This Row],[SKU]],tblMovimientos[FactorStock],-1))</f>
        <v/>
      </c>
      <c r="J68" s="56" t="str">
        <f>IF(tblStock[[#This Row],[SKU]]="","",SUMIFS(tblMovimientos[CantidadNeta],tblMovimientos[SKU],tblStock[[#This Row],[SKU]]))</f>
        <v/>
      </c>
      <c r="K68" s="55" t="str">
        <f>IF($B68="","",N('05_PRODUCTOS'!$F68))</f>
        <v/>
      </c>
      <c r="L68" s="55" t="str">
        <f>IF($B68="","",N('05_PRODUCTOS'!$G68))</f>
        <v/>
      </c>
      <c r="M68" s="57" t="str">
        <f>IF(OR(tblStock[[#This Row],[SKU]]="",N(tblStock[[#This Row],[StockMax]])=0),"",MAX(0,tblStock[[#This Row],[StockActual]])/tblStock[[#This Row],[StockMax]])</f>
        <v/>
      </c>
      <c r="N6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8" s="59" t="str">
        <f>IF($B68="","",N('05_PRODUCTOS'!$H68))</f>
        <v/>
      </c>
      <c r="P68" s="59" t="str">
        <f>IF(tblStock[[#This Row],[SKU]]="","",MAX(0,tblStock[[#This Row],[StockActual]])*tblStock[[#This Row],[CostoUnitario]])</f>
        <v/>
      </c>
      <c r="Q68" s="60" t="str">
        <f>IF(tblStock[[#This Row],[SKU]]="","",IFERROR(_xlfn.AGGREGATE(14,6,tblMovimientos[Fecha]/(tblMovimientos[SKU]=tblStock[[#This Row],[SKU]]),1),""))</f>
        <v/>
      </c>
      <c r="R68" s="61" t="str">
        <f ca="1">IF(OR(tblStock[[#This Row],[SKU]]="",tblStock[[#This Row],[UltimoMov]]=""),"",TODAY()-tblStock[[#This Row],[UltimoMov]])</f>
        <v/>
      </c>
    </row>
    <row r="69" spans="2:18" x14ac:dyDescent="0.25">
      <c r="B69" s="53" t="str">
        <f>IF('05_PRODUCTOS'!$B69="","",'05_PRODUCTOS'!$B69)</f>
        <v/>
      </c>
      <c r="C69" s="54" t="str">
        <f>IF($B69="","",'05_PRODUCTOS'!$C69)</f>
        <v/>
      </c>
      <c r="D69" s="54" t="str">
        <f>IF($B69="","",'05_PRODUCTOS'!$D69)</f>
        <v/>
      </c>
      <c r="E69" s="54" t="str">
        <f>IF($B69="","",'05_PRODUCTOS'!$I69&amp;"")</f>
        <v/>
      </c>
      <c r="F69" s="53" t="str">
        <f>IF($B69="","",'05_PRODUCTOS'!$E69)</f>
        <v/>
      </c>
      <c r="G69" s="53" t="str">
        <f>IF($B69="","",IF('05_PRODUCTOS'!$K69="NO","NO","SI"))</f>
        <v/>
      </c>
      <c r="H69" s="55" t="str">
        <f>IF(tblStock[[#This Row],[SKU]]="","",SUMIFS(tblMovimientos[CantidadNeta],tblMovimientos[SKU],tblStock[[#This Row],[SKU]],tblMovimientos[FactorStock],1))</f>
        <v/>
      </c>
      <c r="I69" s="55" t="str">
        <f>IF(tblStock[[#This Row],[SKU]]="","",-SUMIFS(tblMovimientos[CantidadNeta],tblMovimientos[SKU],tblStock[[#This Row],[SKU]],tblMovimientos[FactorStock],-1))</f>
        <v/>
      </c>
      <c r="J69" s="56" t="str">
        <f>IF(tblStock[[#This Row],[SKU]]="","",SUMIFS(tblMovimientos[CantidadNeta],tblMovimientos[SKU],tblStock[[#This Row],[SKU]]))</f>
        <v/>
      </c>
      <c r="K69" s="55" t="str">
        <f>IF($B69="","",N('05_PRODUCTOS'!$F69))</f>
        <v/>
      </c>
      <c r="L69" s="55" t="str">
        <f>IF($B69="","",N('05_PRODUCTOS'!$G69))</f>
        <v/>
      </c>
      <c r="M69" s="57" t="str">
        <f>IF(OR(tblStock[[#This Row],[SKU]]="",N(tblStock[[#This Row],[StockMax]])=0),"",MAX(0,tblStock[[#This Row],[StockActual]])/tblStock[[#This Row],[StockMax]])</f>
        <v/>
      </c>
      <c r="N6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69" s="59" t="str">
        <f>IF($B69="","",N('05_PRODUCTOS'!$H69))</f>
        <v/>
      </c>
      <c r="P69" s="59" t="str">
        <f>IF(tblStock[[#This Row],[SKU]]="","",MAX(0,tblStock[[#This Row],[StockActual]])*tblStock[[#This Row],[CostoUnitario]])</f>
        <v/>
      </c>
      <c r="Q69" s="60" t="str">
        <f>IF(tblStock[[#This Row],[SKU]]="","",IFERROR(_xlfn.AGGREGATE(14,6,tblMovimientos[Fecha]/(tblMovimientos[SKU]=tblStock[[#This Row],[SKU]]),1),""))</f>
        <v/>
      </c>
      <c r="R69" s="61" t="str">
        <f ca="1">IF(OR(tblStock[[#This Row],[SKU]]="",tblStock[[#This Row],[UltimoMov]]=""),"",TODAY()-tblStock[[#This Row],[UltimoMov]])</f>
        <v/>
      </c>
    </row>
    <row r="70" spans="2:18" x14ac:dyDescent="0.25">
      <c r="B70" s="53" t="str">
        <f>IF('05_PRODUCTOS'!$B70="","",'05_PRODUCTOS'!$B70)</f>
        <v/>
      </c>
      <c r="C70" s="54" t="str">
        <f>IF($B70="","",'05_PRODUCTOS'!$C70)</f>
        <v/>
      </c>
      <c r="D70" s="54" t="str">
        <f>IF($B70="","",'05_PRODUCTOS'!$D70)</f>
        <v/>
      </c>
      <c r="E70" s="54" t="str">
        <f>IF($B70="","",'05_PRODUCTOS'!$I70&amp;"")</f>
        <v/>
      </c>
      <c r="F70" s="53" t="str">
        <f>IF($B70="","",'05_PRODUCTOS'!$E70)</f>
        <v/>
      </c>
      <c r="G70" s="53" t="str">
        <f>IF($B70="","",IF('05_PRODUCTOS'!$K70="NO","NO","SI"))</f>
        <v/>
      </c>
      <c r="H70" s="55" t="str">
        <f>IF(tblStock[[#This Row],[SKU]]="","",SUMIFS(tblMovimientos[CantidadNeta],tblMovimientos[SKU],tblStock[[#This Row],[SKU]],tblMovimientos[FactorStock],1))</f>
        <v/>
      </c>
      <c r="I70" s="55" t="str">
        <f>IF(tblStock[[#This Row],[SKU]]="","",-SUMIFS(tblMovimientos[CantidadNeta],tblMovimientos[SKU],tblStock[[#This Row],[SKU]],tblMovimientos[FactorStock],-1))</f>
        <v/>
      </c>
      <c r="J70" s="56" t="str">
        <f>IF(tblStock[[#This Row],[SKU]]="","",SUMIFS(tblMovimientos[CantidadNeta],tblMovimientos[SKU],tblStock[[#This Row],[SKU]]))</f>
        <v/>
      </c>
      <c r="K70" s="55" t="str">
        <f>IF($B70="","",N('05_PRODUCTOS'!$F70))</f>
        <v/>
      </c>
      <c r="L70" s="55" t="str">
        <f>IF($B70="","",N('05_PRODUCTOS'!$G70))</f>
        <v/>
      </c>
      <c r="M70" s="57" t="str">
        <f>IF(OR(tblStock[[#This Row],[SKU]]="",N(tblStock[[#This Row],[StockMax]])=0),"",MAX(0,tblStock[[#This Row],[StockActual]])/tblStock[[#This Row],[StockMax]])</f>
        <v/>
      </c>
      <c r="N7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0" s="59" t="str">
        <f>IF($B70="","",N('05_PRODUCTOS'!$H70))</f>
        <v/>
      </c>
      <c r="P70" s="59" t="str">
        <f>IF(tblStock[[#This Row],[SKU]]="","",MAX(0,tblStock[[#This Row],[StockActual]])*tblStock[[#This Row],[CostoUnitario]])</f>
        <v/>
      </c>
      <c r="Q70" s="60" t="str">
        <f>IF(tblStock[[#This Row],[SKU]]="","",IFERROR(_xlfn.AGGREGATE(14,6,tblMovimientos[Fecha]/(tblMovimientos[SKU]=tblStock[[#This Row],[SKU]]),1),""))</f>
        <v/>
      </c>
      <c r="R70" s="61" t="str">
        <f ca="1">IF(OR(tblStock[[#This Row],[SKU]]="",tblStock[[#This Row],[UltimoMov]]=""),"",TODAY()-tblStock[[#This Row],[UltimoMov]])</f>
        <v/>
      </c>
    </row>
    <row r="71" spans="2:18" x14ac:dyDescent="0.25">
      <c r="B71" s="53" t="str">
        <f>IF('05_PRODUCTOS'!$B71="","",'05_PRODUCTOS'!$B71)</f>
        <v/>
      </c>
      <c r="C71" s="54" t="str">
        <f>IF($B71="","",'05_PRODUCTOS'!$C71)</f>
        <v/>
      </c>
      <c r="D71" s="54" t="str">
        <f>IF($B71="","",'05_PRODUCTOS'!$D71)</f>
        <v/>
      </c>
      <c r="E71" s="54" t="str">
        <f>IF($B71="","",'05_PRODUCTOS'!$I71&amp;"")</f>
        <v/>
      </c>
      <c r="F71" s="53" t="str">
        <f>IF($B71="","",'05_PRODUCTOS'!$E71)</f>
        <v/>
      </c>
      <c r="G71" s="53" t="str">
        <f>IF($B71="","",IF('05_PRODUCTOS'!$K71="NO","NO","SI"))</f>
        <v/>
      </c>
      <c r="H71" s="55" t="str">
        <f>IF(tblStock[[#This Row],[SKU]]="","",SUMIFS(tblMovimientos[CantidadNeta],tblMovimientos[SKU],tblStock[[#This Row],[SKU]],tblMovimientos[FactorStock],1))</f>
        <v/>
      </c>
      <c r="I71" s="55" t="str">
        <f>IF(tblStock[[#This Row],[SKU]]="","",-SUMIFS(tblMovimientos[CantidadNeta],tblMovimientos[SKU],tblStock[[#This Row],[SKU]],tblMovimientos[FactorStock],-1))</f>
        <v/>
      </c>
      <c r="J71" s="56" t="str">
        <f>IF(tblStock[[#This Row],[SKU]]="","",SUMIFS(tblMovimientos[CantidadNeta],tblMovimientos[SKU],tblStock[[#This Row],[SKU]]))</f>
        <v/>
      </c>
      <c r="K71" s="55" t="str">
        <f>IF($B71="","",N('05_PRODUCTOS'!$F71))</f>
        <v/>
      </c>
      <c r="L71" s="55" t="str">
        <f>IF($B71="","",N('05_PRODUCTOS'!$G71))</f>
        <v/>
      </c>
      <c r="M71" s="57" t="str">
        <f>IF(OR(tblStock[[#This Row],[SKU]]="",N(tblStock[[#This Row],[StockMax]])=0),"",MAX(0,tblStock[[#This Row],[StockActual]])/tblStock[[#This Row],[StockMax]])</f>
        <v/>
      </c>
      <c r="N7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1" s="59" t="str">
        <f>IF($B71="","",N('05_PRODUCTOS'!$H71))</f>
        <v/>
      </c>
      <c r="P71" s="59" t="str">
        <f>IF(tblStock[[#This Row],[SKU]]="","",MAX(0,tblStock[[#This Row],[StockActual]])*tblStock[[#This Row],[CostoUnitario]])</f>
        <v/>
      </c>
      <c r="Q71" s="60" t="str">
        <f>IF(tblStock[[#This Row],[SKU]]="","",IFERROR(_xlfn.AGGREGATE(14,6,tblMovimientos[Fecha]/(tblMovimientos[SKU]=tblStock[[#This Row],[SKU]]),1),""))</f>
        <v/>
      </c>
      <c r="R71" s="61" t="str">
        <f ca="1">IF(OR(tblStock[[#This Row],[SKU]]="",tblStock[[#This Row],[UltimoMov]]=""),"",TODAY()-tblStock[[#This Row],[UltimoMov]])</f>
        <v/>
      </c>
    </row>
    <row r="72" spans="2:18" x14ac:dyDescent="0.25">
      <c r="B72" s="53" t="str">
        <f>IF('05_PRODUCTOS'!$B72="","",'05_PRODUCTOS'!$B72)</f>
        <v/>
      </c>
      <c r="C72" s="54" t="str">
        <f>IF($B72="","",'05_PRODUCTOS'!$C72)</f>
        <v/>
      </c>
      <c r="D72" s="54" t="str">
        <f>IF($B72="","",'05_PRODUCTOS'!$D72)</f>
        <v/>
      </c>
      <c r="E72" s="54" t="str">
        <f>IF($B72="","",'05_PRODUCTOS'!$I72&amp;"")</f>
        <v/>
      </c>
      <c r="F72" s="53" t="str">
        <f>IF($B72="","",'05_PRODUCTOS'!$E72)</f>
        <v/>
      </c>
      <c r="G72" s="53" t="str">
        <f>IF($B72="","",IF('05_PRODUCTOS'!$K72="NO","NO","SI"))</f>
        <v/>
      </c>
      <c r="H72" s="55" t="str">
        <f>IF(tblStock[[#This Row],[SKU]]="","",SUMIFS(tblMovimientos[CantidadNeta],tblMovimientos[SKU],tblStock[[#This Row],[SKU]],tblMovimientos[FactorStock],1))</f>
        <v/>
      </c>
      <c r="I72" s="55" t="str">
        <f>IF(tblStock[[#This Row],[SKU]]="","",-SUMIFS(tblMovimientos[CantidadNeta],tblMovimientos[SKU],tblStock[[#This Row],[SKU]],tblMovimientos[FactorStock],-1))</f>
        <v/>
      </c>
      <c r="J72" s="56" t="str">
        <f>IF(tblStock[[#This Row],[SKU]]="","",SUMIFS(tblMovimientos[CantidadNeta],tblMovimientos[SKU],tblStock[[#This Row],[SKU]]))</f>
        <v/>
      </c>
      <c r="K72" s="55" t="str">
        <f>IF($B72="","",N('05_PRODUCTOS'!$F72))</f>
        <v/>
      </c>
      <c r="L72" s="55" t="str">
        <f>IF($B72="","",N('05_PRODUCTOS'!$G72))</f>
        <v/>
      </c>
      <c r="M72" s="57" t="str">
        <f>IF(OR(tblStock[[#This Row],[SKU]]="",N(tblStock[[#This Row],[StockMax]])=0),"",MAX(0,tblStock[[#This Row],[StockActual]])/tblStock[[#This Row],[StockMax]])</f>
        <v/>
      </c>
      <c r="N7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2" s="59" t="str">
        <f>IF($B72="","",N('05_PRODUCTOS'!$H72))</f>
        <v/>
      </c>
      <c r="P72" s="59" t="str">
        <f>IF(tblStock[[#This Row],[SKU]]="","",MAX(0,tblStock[[#This Row],[StockActual]])*tblStock[[#This Row],[CostoUnitario]])</f>
        <v/>
      </c>
      <c r="Q72" s="60" t="str">
        <f>IF(tblStock[[#This Row],[SKU]]="","",IFERROR(_xlfn.AGGREGATE(14,6,tblMovimientos[Fecha]/(tblMovimientos[SKU]=tblStock[[#This Row],[SKU]]),1),""))</f>
        <v/>
      </c>
      <c r="R72" s="61" t="str">
        <f ca="1">IF(OR(tblStock[[#This Row],[SKU]]="",tblStock[[#This Row],[UltimoMov]]=""),"",TODAY()-tblStock[[#This Row],[UltimoMov]])</f>
        <v/>
      </c>
    </row>
    <row r="73" spans="2:18" x14ac:dyDescent="0.25">
      <c r="B73" s="53" t="str">
        <f>IF('05_PRODUCTOS'!$B73="","",'05_PRODUCTOS'!$B73)</f>
        <v/>
      </c>
      <c r="C73" s="54" t="str">
        <f>IF($B73="","",'05_PRODUCTOS'!$C73)</f>
        <v/>
      </c>
      <c r="D73" s="54" t="str">
        <f>IF($B73="","",'05_PRODUCTOS'!$D73)</f>
        <v/>
      </c>
      <c r="E73" s="54" t="str">
        <f>IF($B73="","",'05_PRODUCTOS'!$I73&amp;"")</f>
        <v/>
      </c>
      <c r="F73" s="53" t="str">
        <f>IF($B73="","",'05_PRODUCTOS'!$E73)</f>
        <v/>
      </c>
      <c r="G73" s="53" t="str">
        <f>IF($B73="","",IF('05_PRODUCTOS'!$K73="NO","NO","SI"))</f>
        <v/>
      </c>
      <c r="H73" s="55" t="str">
        <f>IF(tblStock[[#This Row],[SKU]]="","",SUMIFS(tblMovimientos[CantidadNeta],tblMovimientos[SKU],tblStock[[#This Row],[SKU]],tblMovimientos[FactorStock],1))</f>
        <v/>
      </c>
      <c r="I73" s="55" t="str">
        <f>IF(tblStock[[#This Row],[SKU]]="","",-SUMIFS(tblMovimientos[CantidadNeta],tblMovimientos[SKU],tblStock[[#This Row],[SKU]],tblMovimientos[FactorStock],-1))</f>
        <v/>
      </c>
      <c r="J73" s="56" t="str">
        <f>IF(tblStock[[#This Row],[SKU]]="","",SUMIFS(tblMovimientos[CantidadNeta],tblMovimientos[SKU],tblStock[[#This Row],[SKU]]))</f>
        <v/>
      </c>
      <c r="K73" s="55" t="str">
        <f>IF($B73="","",N('05_PRODUCTOS'!$F73))</f>
        <v/>
      </c>
      <c r="L73" s="55" t="str">
        <f>IF($B73="","",N('05_PRODUCTOS'!$G73))</f>
        <v/>
      </c>
      <c r="M73" s="57" t="str">
        <f>IF(OR(tblStock[[#This Row],[SKU]]="",N(tblStock[[#This Row],[StockMax]])=0),"",MAX(0,tblStock[[#This Row],[StockActual]])/tblStock[[#This Row],[StockMax]])</f>
        <v/>
      </c>
      <c r="N7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3" s="59" t="str">
        <f>IF($B73="","",N('05_PRODUCTOS'!$H73))</f>
        <v/>
      </c>
      <c r="P73" s="59" t="str">
        <f>IF(tblStock[[#This Row],[SKU]]="","",MAX(0,tblStock[[#This Row],[StockActual]])*tblStock[[#This Row],[CostoUnitario]])</f>
        <v/>
      </c>
      <c r="Q73" s="60" t="str">
        <f>IF(tblStock[[#This Row],[SKU]]="","",IFERROR(_xlfn.AGGREGATE(14,6,tblMovimientos[Fecha]/(tblMovimientos[SKU]=tblStock[[#This Row],[SKU]]),1),""))</f>
        <v/>
      </c>
      <c r="R73" s="61" t="str">
        <f ca="1">IF(OR(tblStock[[#This Row],[SKU]]="",tblStock[[#This Row],[UltimoMov]]=""),"",TODAY()-tblStock[[#This Row],[UltimoMov]])</f>
        <v/>
      </c>
    </row>
    <row r="74" spans="2:18" x14ac:dyDescent="0.25">
      <c r="B74" s="53" t="str">
        <f>IF('05_PRODUCTOS'!$B74="","",'05_PRODUCTOS'!$B74)</f>
        <v/>
      </c>
      <c r="C74" s="54" t="str">
        <f>IF($B74="","",'05_PRODUCTOS'!$C74)</f>
        <v/>
      </c>
      <c r="D74" s="54" t="str">
        <f>IF($B74="","",'05_PRODUCTOS'!$D74)</f>
        <v/>
      </c>
      <c r="E74" s="54" t="str">
        <f>IF($B74="","",'05_PRODUCTOS'!$I74&amp;"")</f>
        <v/>
      </c>
      <c r="F74" s="53" t="str">
        <f>IF($B74="","",'05_PRODUCTOS'!$E74)</f>
        <v/>
      </c>
      <c r="G74" s="53" t="str">
        <f>IF($B74="","",IF('05_PRODUCTOS'!$K74="NO","NO","SI"))</f>
        <v/>
      </c>
      <c r="H74" s="55" t="str">
        <f>IF(tblStock[[#This Row],[SKU]]="","",SUMIFS(tblMovimientos[CantidadNeta],tblMovimientos[SKU],tblStock[[#This Row],[SKU]],tblMovimientos[FactorStock],1))</f>
        <v/>
      </c>
      <c r="I74" s="55" t="str">
        <f>IF(tblStock[[#This Row],[SKU]]="","",-SUMIFS(tblMovimientos[CantidadNeta],tblMovimientos[SKU],tblStock[[#This Row],[SKU]],tblMovimientos[FactorStock],-1))</f>
        <v/>
      </c>
      <c r="J74" s="56" t="str">
        <f>IF(tblStock[[#This Row],[SKU]]="","",SUMIFS(tblMovimientos[CantidadNeta],tblMovimientos[SKU],tblStock[[#This Row],[SKU]]))</f>
        <v/>
      </c>
      <c r="K74" s="55" t="str">
        <f>IF($B74="","",N('05_PRODUCTOS'!$F74))</f>
        <v/>
      </c>
      <c r="L74" s="55" t="str">
        <f>IF($B74="","",N('05_PRODUCTOS'!$G74))</f>
        <v/>
      </c>
      <c r="M74" s="57" t="str">
        <f>IF(OR(tblStock[[#This Row],[SKU]]="",N(tblStock[[#This Row],[StockMax]])=0),"",MAX(0,tblStock[[#This Row],[StockActual]])/tblStock[[#This Row],[StockMax]])</f>
        <v/>
      </c>
      <c r="N7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4" s="59" t="str">
        <f>IF($B74="","",N('05_PRODUCTOS'!$H74))</f>
        <v/>
      </c>
      <c r="P74" s="59" t="str">
        <f>IF(tblStock[[#This Row],[SKU]]="","",MAX(0,tblStock[[#This Row],[StockActual]])*tblStock[[#This Row],[CostoUnitario]])</f>
        <v/>
      </c>
      <c r="Q74" s="60" t="str">
        <f>IF(tblStock[[#This Row],[SKU]]="","",IFERROR(_xlfn.AGGREGATE(14,6,tblMovimientos[Fecha]/(tblMovimientos[SKU]=tblStock[[#This Row],[SKU]]),1),""))</f>
        <v/>
      </c>
      <c r="R74" s="61" t="str">
        <f ca="1">IF(OR(tblStock[[#This Row],[SKU]]="",tblStock[[#This Row],[UltimoMov]]=""),"",TODAY()-tblStock[[#This Row],[UltimoMov]])</f>
        <v/>
      </c>
    </row>
    <row r="75" spans="2:18" x14ac:dyDescent="0.25">
      <c r="B75" s="53" t="str">
        <f>IF('05_PRODUCTOS'!$B75="","",'05_PRODUCTOS'!$B75)</f>
        <v/>
      </c>
      <c r="C75" s="54" t="str">
        <f>IF($B75="","",'05_PRODUCTOS'!$C75)</f>
        <v/>
      </c>
      <c r="D75" s="54" t="str">
        <f>IF($B75="","",'05_PRODUCTOS'!$D75)</f>
        <v/>
      </c>
      <c r="E75" s="54" t="str">
        <f>IF($B75="","",'05_PRODUCTOS'!$I75&amp;"")</f>
        <v/>
      </c>
      <c r="F75" s="53" t="str">
        <f>IF($B75="","",'05_PRODUCTOS'!$E75)</f>
        <v/>
      </c>
      <c r="G75" s="53" t="str">
        <f>IF($B75="","",IF('05_PRODUCTOS'!$K75="NO","NO","SI"))</f>
        <v/>
      </c>
      <c r="H75" s="55" t="str">
        <f>IF(tblStock[[#This Row],[SKU]]="","",SUMIFS(tblMovimientos[CantidadNeta],tblMovimientos[SKU],tblStock[[#This Row],[SKU]],tblMovimientos[FactorStock],1))</f>
        <v/>
      </c>
      <c r="I75" s="55" t="str">
        <f>IF(tblStock[[#This Row],[SKU]]="","",-SUMIFS(tblMovimientos[CantidadNeta],tblMovimientos[SKU],tblStock[[#This Row],[SKU]],tblMovimientos[FactorStock],-1))</f>
        <v/>
      </c>
      <c r="J75" s="56" t="str">
        <f>IF(tblStock[[#This Row],[SKU]]="","",SUMIFS(tblMovimientos[CantidadNeta],tblMovimientos[SKU],tblStock[[#This Row],[SKU]]))</f>
        <v/>
      </c>
      <c r="K75" s="55" t="str">
        <f>IF($B75="","",N('05_PRODUCTOS'!$F75))</f>
        <v/>
      </c>
      <c r="L75" s="55" t="str">
        <f>IF($B75="","",N('05_PRODUCTOS'!$G75))</f>
        <v/>
      </c>
      <c r="M75" s="57" t="str">
        <f>IF(OR(tblStock[[#This Row],[SKU]]="",N(tblStock[[#This Row],[StockMax]])=0),"",MAX(0,tblStock[[#This Row],[StockActual]])/tblStock[[#This Row],[StockMax]])</f>
        <v/>
      </c>
      <c r="N7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5" s="59" t="str">
        <f>IF($B75="","",N('05_PRODUCTOS'!$H75))</f>
        <v/>
      </c>
      <c r="P75" s="59" t="str">
        <f>IF(tblStock[[#This Row],[SKU]]="","",MAX(0,tblStock[[#This Row],[StockActual]])*tblStock[[#This Row],[CostoUnitario]])</f>
        <v/>
      </c>
      <c r="Q75" s="60" t="str">
        <f>IF(tblStock[[#This Row],[SKU]]="","",IFERROR(_xlfn.AGGREGATE(14,6,tblMovimientos[Fecha]/(tblMovimientos[SKU]=tblStock[[#This Row],[SKU]]),1),""))</f>
        <v/>
      </c>
      <c r="R75" s="61" t="str">
        <f ca="1">IF(OR(tblStock[[#This Row],[SKU]]="",tblStock[[#This Row],[UltimoMov]]=""),"",TODAY()-tblStock[[#This Row],[UltimoMov]])</f>
        <v/>
      </c>
    </row>
    <row r="76" spans="2:18" x14ac:dyDescent="0.25">
      <c r="B76" s="53" t="str">
        <f>IF('05_PRODUCTOS'!$B76="","",'05_PRODUCTOS'!$B76)</f>
        <v/>
      </c>
      <c r="C76" s="54" t="str">
        <f>IF($B76="","",'05_PRODUCTOS'!$C76)</f>
        <v/>
      </c>
      <c r="D76" s="54" t="str">
        <f>IF($B76="","",'05_PRODUCTOS'!$D76)</f>
        <v/>
      </c>
      <c r="E76" s="54" t="str">
        <f>IF($B76="","",'05_PRODUCTOS'!$I76&amp;"")</f>
        <v/>
      </c>
      <c r="F76" s="53" t="str">
        <f>IF($B76="","",'05_PRODUCTOS'!$E76)</f>
        <v/>
      </c>
      <c r="G76" s="53" t="str">
        <f>IF($B76="","",IF('05_PRODUCTOS'!$K76="NO","NO","SI"))</f>
        <v/>
      </c>
      <c r="H76" s="55" t="str">
        <f>IF(tblStock[[#This Row],[SKU]]="","",SUMIFS(tblMovimientos[CantidadNeta],tblMovimientos[SKU],tblStock[[#This Row],[SKU]],tblMovimientos[FactorStock],1))</f>
        <v/>
      </c>
      <c r="I76" s="55" t="str">
        <f>IF(tblStock[[#This Row],[SKU]]="","",-SUMIFS(tblMovimientos[CantidadNeta],tblMovimientos[SKU],tblStock[[#This Row],[SKU]],tblMovimientos[FactorStock],-1))</f>
        <v/>
      </c>
      <c r="J76" s="56" t="str">
        <f>IF(tblStock[[#This Row],[SKU]]="","",SUMIFS(tblMovimientos[CantidadNeta],tblMovimientos[SKU],tblStock[[#This Row],[SKU]]))</f>
        <v/>
      </c>
      <c r="K76" s="55" t="str">
        <f>IF($B76="","",N('05_PRODUCTOS'!$F76))</f>
        <v/>
      </c>
      <c r="L76" s="55" t="str">
        <f>IF($B76="","",N('05_PRODUCTOS'!$G76))</f>
        <v/>
      </c>
      <c r="M76" s="57" t="str">
        <f>IF(OR(tblStock[[#This Row],[SKU]]="",N(tblStock[[#This Row],[StockMax]])=0),"",MAX(0,tblStock[[#This Row],[StockActual]])/tblStock[[#This Row],[StockMax]])</f>
        <v/>
      </c>
      <c r="N7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6" s="59" t="str">
        <f>IF($B76="","",N('05_PRODUCTOS'!$H76))</f>
        <v/>
      </c>
      <c r="P76" s="59" t="str">
        <f>IF(tblStock[[#This Row],[SKU]]="","",MAX(0,tblStock[[#This Row],[StockActual]])*tblStock[[#This Row],[CostoUnitario]])</f>
        <v/>
      </c>
      <c r="Q76" s="60" t="str">
        <f>IF(tblStock[[#This Row],[SKU]]="","",IFERROR(_xlfn.AGGREGATE(14,6,tblMovimientos[Fecha]/(tblMovimientos[SKU]=tblStock[[#This Row],[SKU]]),1),""))</f>
        <v/>
      </c>
      <c r="R76" s="61" t="str">
        <f ca="1">IF(OR(tblStock[[#This Row],[SKU]]="",tblStock[[#This Row],[UltimoMov]]=""),"",TODAY()-tblStock[[#This Row],[UltimoMov]])</f>
        <v/>
      </c>
    </row>
    <row r="77" spans="2:18" x14ac:dyDescent="0.25">
      <c r="B77" s="53" t="str">
        <f>IF('05_PRODUCTOS'!$B77="","",'05_PRODUCTOS'!$B77)</f>
        <v/>
      </c>
      <c r="C77" s="54" t="str">
        <f>IF($B77="","",'05_PRODUCTOS'!$C77)</f>
        <v/>
      </c>
      <c r="D77" s="54" t="str">
        <f>IF($B77="","",'05_PRODUCTOS'!$D77)</f>
        <v/>
      </c>
      <c r="E77" s="54" t="str">
        <f>IF($B77="","",'05_PRODUCTOS'!$I77&amp;"")</f>
        <v/>
      </c>
      <c r="F77" s="53" t="str">
        <f>IF($B77="","",'05_PRODUCTOS'!$E77)</f>
        <v/>
      </c>
      <c r="G77" s="53" t="str">
        <f>IF($B77="","",IF('05_PRODUCTOS'!$K77="NO","NO","SI"))</f>
        <v/>
      </c>
      <c r="H77" s="55" t="str">
        <f>IF(tblStock[[#This Row],[SKU]]="","",SUMIFS(tblMovimientos[CantidadNeta],tblMovimientos[SKU],tblStock[[#This Row],[SKU]],tblMovimientos[FactorStock],1))</f>
        <v/>
      </c>
      <c r="I77" s="55" t="str">
        <f>IF(tblStock[[#This Row],[SKU]]="","",-SUMIFS(tblMovimientos[CantidadNeta],tblMovimientos[SKU],tblStock[[#This Row],[SKU]],tblMovimientos[FactorStock],-1))</f>
        <v/>
      </c>
      <c r="J77" s="56" t="str">
        <f>IF(tblStock[[#This Row],[SKU]]="","",SUMIFS(tblMovimientos[CantidadNeta],tblMovimientos[SKU],tblStock[[#This Row],[SKU]]))</f>
        <v/>
      </c>
      <c r="K77" s="55" t="str">
        <f>IF($B77="","",N('05_PRODUCTOS'!$F77))</f>
        <v/>
      </c>
      <c r="L77" s="55" t="str">
        <f>IF($B77="","",N('05_PRODUCTOS'!$G77))</f>
        <v/>
      </c>
      <c r="M77" s="57" t="str">
        <f>IF(OR(tblStock[[#This Row],[SKU]]="",N(tblStock[[#This Row],[StockMax]])=0),"",MAX(0,tblStock[[#This Row],[StockActual]])/tblStock[[#This Row],[StockMax]])</f>
        <v/>
      </c>
      <c r="N7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7" s="59" t="str">
        <f>IF($B77="","",N('05_PRODUCTOS'!$H77))</f>
        <v/>
      </c>
      <c r="P77" s="59" t="str">
        <f>IF(tblStock[[#This Row],[SKU]]="","",MAX(0,tblStock[[#This Row],[StockActual]])*tblStock[[#This Row],[CostoUnitario]])</f>
        <v/>
      </c>
      <c r="Q77" s="60" t="str">
        <f>IF(tblStock[[#This Row],[SKU]]="","",IFERROR(_xlfn.AGGREGATE(14,6,tblMovimientos[Fecha]/(tblMovimientos[SKU]=tblStock[[#This Row],[SKU]]),1),""))</f>
        <v/>
      </c>
      <c r="R77" s="61" t="str">
        <f ca="1">IF(OR(tblStock[[#This Row],[SKU]]="",tblStock[[#This Row],[UltimoMov]]=""),"",TODAY()-tblStock[[#This Row],[UltimoMov]])</f>
        <v/>
      </c>
    </row>
    <row r="78" spans="2:18" x14ac:dyDescent="0.25">
      <c r="B78" s="53" t="str">
        <f>IF('05_PRODUCTOS'!$B78="","",'05_PRODUCTOS'!$B78)</f>
        <v/>
      </c>
      <c r="C78" s="54" t="str">
        <f>IF($B78="","",'05_PRODUCTOS'!$C78)</f>
        <v/>
      </c>
      <c r="D78" s="54" t="str">
        <f>IF($B78="","",'05_PRODUCTOS'!$D78)</f>
        <v/>
      </c>
      <c r="E78" s="54" t="str">
        <f>IF($B78="","",'05_PRODUCTOS'!$I78&amp;"")</f>
        <v/>
      </c>
      <c r="F78" s="53" t="str">
        <f>IF($B78="","",'05_PRODUCTOS'!$E78)</f>
        <v/>
      </c>
      <c r="G78" s="53" t="str">
        <f>IF($B78="","",IF('05_PRODUCTOS'!$K78="NO","NO","SI"))</f>
        <v/>
      </c>
      <c r="H78" s="55" t="str">
        <f>IF(tblStock[[#This Row],[SKU]]="","",SUMIFS(tblMovimientos[CantidadNeta],tblMovimientos[SKU],tblStock[[#This Row],[SKU]],tblMovimientos[FactorStock],1))</f>
        <v/>
      </c>
      <c r="I78" s="55" t="str">
        <f>IF(tblStock[[#This Row],[SKU]]="","",-SUMIFS(tblMovimientos[CantidadNeta],tblMovimientos[SKU],tblStock[[#This Row],[SKU]],tblMovimientos[FactorStock],-1))</f>
        <v/>
      </c>
      <c r="J78" s="56" t="str">
        <f>IF(tblStock[[#This Row],[SKU]]="","",SUMIFS(tblMovimientos[CantidadNeta],tblMovimientos[SKU],tblStock[[#This Row],[SKU]]))</f>
        <v/>
      </c>
      <c r="K78" s="55" t="str">
        <f>IF($B78="","",N('05_PRODUCTOS'!$F78))</f>
        <v/>
      </c>
      <c r="L78" s="55" t="str">
        <f>IF($B78="","",N('05_PRODUCTOS'!$G78))</f>
        <v/>
      </c>
      <c r="M78" s="57" t="str">
        <f>IF(OR(tblStock[[#This Row],[SKU]]="",N(tblStock[[#This Row],[StockMax]])=0),"",MAX(0,tblStock[[#This Row],[StockActual]])/tblStock[[#This Row],[StockMax]])</f>
        <v/>
      </c>
      <c r="N7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8" s="59" t="str">
        <f>IF($B78="","",N('05_PRODUCTOS'!$H78))</f>
        <v/>
      </c>
      <c r="P78" s="59" t="str">
        <f>IF(tblStock[[#This Row],[SKU]]="","",MAX(0,tblStock[[#This Row],[StockActual]])*tblStock[[#This Row],[CostoUnitario]])</f>
        <v/>
      </c>
      <c r="Q78" s="60" t="str">
        <f>IF(tblStock[[#This Row],[SKU]]="","",IFERROR(_xlfn.AGGREGATE(14,6,tblMovimientos[Fecha]/(tblMovimientos[SKU]=tblStock[[#This Row],[SKU]]),1),""))</f>
        <v/>
      </c>
      <c r="R78" s="61" t="str">
        <f ca="1">IF(OR(tblStock[[#This Row],[SKU]]="",tblStock[[#This Row],[UltimoMov]]=""),"",TODAY()-tblStock[[#This Row],[UltimoMov]])</f>
        <v/>
      </c>
    </row>
    <row r="79" spans="2:18" x14ac:dyDescent="0.25">
      <c r="B79" s="53" t="str">
        <f>IF('05_PRODUCTOS'!$B79="","",'05_PRODUCTOS'!$B79)</f>
        <v/>
      </c>
      <c r="C79" s="54" t="str">
        <f>IF($B79="","",'05_PRODUCTOS'!$C79)</f>
        <v/>
      </c>
      <c r="D79" s="54" t="str">
        <f>IF($B79="","",'05_PRODUCTOS'!$D79)</f>
        <v/>
      </c>
      <c r="E79" s="54" t="str">
        <f>IF($B79="","",'05_PRODUCTOS'!$I79&amp;"")</f>
        <v/>
      </c>
      <c r="F79" s="53" t="str">
        <f>IF($B79="","",'05_PRODUCTOS'!$E79)</f>
        <v/>
      </c>
      <c r="G79" s="53" t="str">
        <f>IF($B79="","",IF('05_PRODUCTOS'!$K79="NO","NO","SI"))</f>
        <v/>
      </c>
      <c r="H79" s="55" t="str">
        <f>IF(tblStock[[#This Row],[SKU]]="","",SUMIFS(tblMovimientos[CantidadNeta],tblMovimientos[SKU],tblStock[[#This Row],[SKU]],tblMovimientos[FactorStock],1))</f>
        <v/>
      </c>
      <c r="I79" s="55" t="str">
        <f>IF(tblStock[[#This Row],[SKU]]="","",-SUMIFS(tblMovimientos[CantidadNeta],tblMovimientos[SKU],tblStock[[#This Row],[SKU]],tblMovimientos[FactorStock],-1))</f>
        <v/>
      </c>
      <c r="J79" s="56" t="str">
        <f>IF(tblStock[[#This Row],[SKU]]="","",SUMIFS(tblMovimientos[CantidadNeta],tblMovimientos[SKU],tblStock[[#This Row],[SKU]]))</f>
        <v/>
      </c>
      <c r="K79" s="55" t="str">
        <f>IF($B79="","",N('05_PRODUCTOS'!$F79))</f>
        <v/>
      </c>
      <c r="L79" s="55" t="str">
        <f>IF($B79="","",N('05_PRODUCTOS'!$G79))</f>
        <v/>
      </c>
      <c r="M79" s="57" t="str">
        <f>IF(OR(tblStock[[#This Row],[SKU]]="",N(tblStock[[#This Row],[StockMax]])=0),"",MAX(0,tblStock[[#This Row],[StockActual]])/tblStock[[#This Row],[StockMax]])</f>
        <v/>
      </c>
      <c r="N7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79" s="59" t="str">
        <f>IF($B79="","",N('05_PRODUCTOS'!$H79))</f>
        <v/>
      </c>
      <c r="P79" s="59" t="str">
        <f>IF(tblStock[[#This Row],[SKU]]="","",MAX(0,tblStock[[#This Row],[StockActual]])*tblStock[[#This Row],[CostoUnitario]])</f>
        <v/>
      </c>
      <c r="Q79" s="60" t="str">
        <f>IF(tblStock[[#This Row],[SKU]]="","",IFERROR(_xlfn.AGGREGATE(14,6,tblMovimientos[Fecha]/(tblMovimientos[SKU]=tblStock[[#This Row],[SKU]]),1),""))</f>
        <v/>
      </c>
      <c r="R79" s="61" t="str">
        <f ca="1">IF(OR(tblStock[[#This Row],[SKU]]="",tblStock[[#This Row],[UltimoMov]]=""),"",TODAY()-tblStock[[#This Row],[UltimoMov]])</f>
        <v/>
      </c>
    </row>
    <row r="80" spans="2:18" x14ac:dyDescent="0.25">
      <c r="B80" s="53" t="str">
        <f>IF('05_PRODUCTOS'!$B80="","",'05_PRODUCTOS'!$B80)</f>
        <v/>
      </c>
      <c r="C80" s="54" t="str">
        <f>IF($B80="","",'05_PRODUCTOS'!$C80)</f>
        <v/>
      </c>
      <c r="D80" s="54" t="str">
        <f>IF($B80="","",'05_PRODUCTOS'!$D80)</f>
        <v/>
      </c>
      <c r="E80" s="54" t="str">
        <f>IF($B80="","",'05_PRODUCTOS'!$I80&amp;"")</f>
        <v/>
      </c>
      <c r="F80" s="53" t="str">
        <f>IF($B80="","",'05_PRODUCTOS'!$E80)</f>
        <v/>
      </c>
      <c r="G80" s="53" t="str">
        <f>IF($B80="","",IF('05_PRODUCTOS'!$K80="NO","NO","SI"))</f>
        <v/>
      </c>
      <c r="H80" s="55" t="str">
        <f>IF(tblStock[[#This Row],[SKU]]="","",SUMIFS(tblMovimientos[CantidadNeta],tblMovimientos[SKU],tblStock[[#This Row],[SKU]],tblMovimientos[FactorStock],1))</f>
        <v/>
      </c>
      <c r="I80" s="55" t="str">
        <f>IF(tblStock[[#This Row],[SKU]]="","",-SUMIFS(tblMovimientos[CantidadNeta],tblMovimientos[SKU],tblStock[[#This Row],[SKU]],tblMovimientos[FactorStock],-1))</f>
        <v/>
      </c>
      <c r="J80" s="56" t="str">
        <f>IF(tblStock[[#This Row],[SKU]]="","",SUMIFS(tblMovimientos[CantidadNeta],tblMovimientos[SKU],tblStock[[#This Row],[SKU]]))</f>
        <v/>
      </c>
      <c r="K80" s="55" t="str">
        <f>IF($B80="","",N('05_PRODUCTOS'!$F80))</f>
        <v/>
      </c>
      <c r="L80" s="55" t="str">
        <f>IF($B80="","",N('05_PRODUCTOS'!$G80))</f>
        <v/>
      </c>
      <c r="M80" s="57" t="str">
        <f>IF(OR(tblStock[[#This Row],[SKU]]="",N(tblStock[[#This Row],[StockMax]])=0),"",MAX(0,tblStock[[#This Row],[StockActual]])/tblStock[[#This Row],[StockMax]])</f>
        <v/>
      </c>
      <c r="N8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0" s="59" t="str">
        <f>IF($B80="","",N('05_PRODUCTOS'!$H80))</f>
        <v/>
      </c>
      <c r="P80" s="59" t="str">
        <f>IF(tblStock[[#This Row],[SKU]]="","",MAX(0,tblStock[[#This Row],[StockActual]])*tblStock[[#This Row],[CostoUnitario]])</f>
        <v/>
      </c>
      <c r="Q80" s="60" t="str">
        <f>IF(tblStock[[#This Row],[SKU]]="","",IFERROR(_xlfn.AGGREGATE(14,6,tblMovimientos[Fecha]/(tblMovimientos[SKU]=tblStock[[#This Row],[SKU]]),1),""))</f>
        <v/>
      </c>
      <c r="R80" s="61" t="str">
        <f ca="1">IF(OR(tblStock[[#This Row],[SKU]]="",tblStock[[#This Row],[UltimoMov]]=""),"",TODAY()-tblStock[[#This Row],[UltimoMov]])</f>
        <v/>
      </c>
    </row>
    <row r="81" spans="2:18" x14ac:dyDescent="0.25">
      <c r="B81" s="53" t="str">
        <f>IF('05_PRODUCTOS'!$B81="","",'05_PRODUCTOS'!$B81)</f>
        <v/>
      </c>
      <c r="C81" s="54" t="str">
        <f>IF($B81="","",'05_PRODUCTOS'!$C81)</f>
        <v/>
      </c>
      <c r="D81" s="54" t="str">
        <f>IF($B81="","",'05_PRODUCTOS'!$D81)</f>
        <v/>
      </c>
      <c r="E81" s="54" t="str">
        <f>IF($B81="","",'05_PRODUCTOS'!$I81&amp;"")</f>
        <v/>
      </c>
      <c r="F81" s="53" t="str">
        <f>IF($B81="","",'05_PRODUCTOS'!$E81)</f>
        <v/>
      </c>
      <c r="G81" s="53" t="str">
        <f>IF($B81="","",IF('05_PRODUCTOS'!$K81="NO","NO","SI"))</f>
        <v/>
      </c>
      <c r="H81" s="55" t="str">
        <f>IF(tblStock[[#This Row],[SKU]]="","",SUMIFS(tblMovimientos[CantidadNeta],tblMovimientos[SKU],tblStock[[#This Row],[SKU]],tblMovimientos[FactorStock],1))</f>
        <v/>
      </c>
      <c r="I81" s="55" t="str">
        <f>IF(tblStock[[#This Row],[SKU]]="","",-SUMIFS(tblMovimientos[CantidadNeta],tblMovimientos[SKU],tblStock[[#This Row],[SKU]],tblMovimientos[FactorStock],-1))</f>
        <v/>
      </c>
      <c r="J81" s="56" t="str">
        <f>IF(tblStock[[#This Row],[SKU]]="","",SUMIFS(tblMovimientos[CantidadNeta],tblMovimientos[SKU],tblStock[[#This Row],[SKU]]))</f>
        <v/>
      </c>
      <c r="K81" s="55" t="str">
        <f>IF($B81="","",N('05_PRODUCTOS'!$F81))</f>
        <v/>
      </c>
      <c r="L81" s="55" t="str">
        <f>IF($B81="","",N('05_PRODUCTOS'!$G81))</f>
        <v/>
      </c>
      <c r="M81" s="57" t="str">
        <f>IF(OR(tblStock[[#This Row],[SKU]]="",N(tblStock[[#This Row],[StockMax]])=0),"",MAX(0,tblStock[[#This Row],[StockActual]])/tblStock[[#This Row],[StockMax]])</f>
        <v/>
      </c>
      <c r="N8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1" s="59" t="str">
        <f>IF($B81="","",N('05_PRODUCTOS'!$H81))</f>
        <v/>
      </c>
      <c r="P81" s="59" t="str">
        <f>IF(tblStock[[#This Row],[SKU]]="","",MAX(0,tblStock[[#This Row],[StockActual]])*tblStock[[#This Row],[CostoUnitario]])</f>
        <v/>
      </c>
      <c r="Q81" s="60" t="str">
        <f>IF(tblStock[[#This Row],[SKU]]="","",IFERROR(_xlfn.AGGREGATE(14,6,tblMovimientos[Fecha]/(tblMovimientos[SKU]=tblStock[[#This Row],[SKU]]),1),""))</f>
        <v/>
      </c>
      <c r="R81" s="61" t="str">
        <f ca="1">IF(OR(tblStock[[#This Row],[SKU]]="",tblStock[[#This Row],[UltimoMov]]=""),"",TODAY()-tblStock[[#This Row],[UltimoMov]])</f>
        <v/>
      </c>
    </row>
    <row r="82" spans="2:18" x14ac:dyDescent="0.25">
      <c r="B82" s="53" t="str">
        <f>IF('05_PRODUCTOS'!$B82="","",'05_PRODUCTOS'!$B82)</f>
        <v/>
      </c>
      <c r="C82" s="54" t="str">
        <f>IF($B82="","",'05_PRODUCTOS'!$C82)</f>
        <v/>
      </c>
      <c r="D82" s="54" t="str">
        <f>IF($B82="","",'05_PRODUCTOS'!$D82)</f>
        <v/>
      </c>
      <c r="E82" s="54" t="str">
        <f>IF($B82="","",'05_PRODUCTOS'!$I82&amp;"")</f>
        <v/>
      </c>
      <c r="F82" s="53" t="str">
        <f>IF($B82="","",'05_PRODUCTOS'!$E82)</f>
        <v/>
      </c>
      <c r="G82" s="53" t="str">
        <f>IF($B82="","",IF('05_PRODUCTOS'!$K82="NO","NO","SI"))</f>
        <v/>
      </c>
      <c r="H82" s="55" t="str">
        <f>IF(tblStock[[#This Row],[SKU]]="","",SUMIFS(tblMovimientos[CantidadNeta],tblMovimientos[SKU],tblStock[[#This Row],[SKU]],tblMovimientos[FactorStock],1))</f>
        <v/>
      </c>
      <c r="I82" s="55" t="str">
        <f>IF(tblStock[[#This Row],[SKU]]="","",-SUMIFS(tblMovimientos[CantidadNeta],tblMovimientos[SKU],tblStock[[#This Row],[SKU]],tblMovimientos[FactorStock],-1))</f>
        <v/>
      </c>
      <c r="J82" s="56" t="str">
        <f>IF(tblStock[[#This Row],[SKU]]="","",SUMIFS(tblMovimientos[CantidadNeta],tblMovimientos[SKU],tblStock[[#This Row],[SKU]]))</f>
        <v/>
      </c>
      <c r="K82" s="55" t="str">
        <f>IF($B82="","",N('05_PRODUCTOS'!$F82))</f>
        <v/>
      </c>
      <c r="L82" s="55" t="str">
        <f>IF($B82="","",N('05_PRODUCTOS'!$G82))</f>
        <v/>
      </c>
      <c r="M82" s="57" t="str">
        <f>IF(OR(tblStock[[#This Row],[SKU]]="",N(tblStock[[#This Row],[StockMax]])=0),"",MAX(0,tblStock[[#This Row],[StockActual]])/tblStock[[#This Row],[StockMax]])</f>
        <v/>
      </c>
      <c r="N8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2" s="59" t="str">
        <f>IF($B82="","",N('05_PRODUCTOS'!$H82))</f>
        <v/>
      </c>
      <c r="P82" s="59" t="str">
        <f>IF(tblStock[[#This Row],[SKU]]="","",MAX(0,tblStock[[#This Row],[StockActual]])*tblStock[[#This Row],[CostoUnitario]])</f>
        <v/>
      </c>
      <c r="Q82" s="60" t="str">
        <f>IF(tblStock[[#This Row],[SKU]]="","",IFERROR(_xlfn.AGGREGATE(14,6,tblMovimientos[Fecha]/(tblMovimientos[SKU]=tblStock[[#This Row],[SKU]]),1),""))</f>
        <v/>
      </c>
      <c r="R82" s="61" t="str">
        <f ca="1">IF(OR(tblStock[[#This Row],[SKU]]="",tblStock[[#This Row],[UltimoMov]]=""),"",TODAY()-tblStock[[#This Row],[UltimoMov]])</f>
        <v/>
      </c>
    </row>
    <row r="83" spans="2:18" x14ac:dyDescent="0.25">
      <c r="B83" s="53" t="str">
        <f>IF('05_PRODUCTOS'!$B83="","",'05_PRODUCTOS'!$B83)</f>
        <v/>
      </c>
      <c r="C83" s="54" t="str">
        <f>IF($B83="","",'05_PRODUCTOS'!$C83)</f>
        <v/>
      </c>
      <c r="D83" s="54" t="str">
        <f>IF($B83="","",'05_PRODUCTOS'!$D83)</f>
        <v/>
      </c>
      <c r="E83" s="54" t="str">
        <f>IF($B83="","",'05_PRODUCTOS'!$I83&amp;"")</f>
        <v/>
      </c>
      <c r="F83" s="53" t="str">
        <f>IF($B83="","",'05_PRODUCTOS'!$E83)</f>
        <v/>
      </c>
      <c r="G83" s="53" t="str">
        <f>IF($B83="","",IF('05_PRODUCTOS'!$K83="NO","NO","SI"))</f>
        <v/>
      </c>
      <c r="H83" s="55" t="str">
        <f>IF(tblStock[[#This Row],[SKU]]="","",SUMIFS(tblMovimientos[CantidadNeta],tblMovimientos[SKU],tblStock[[#This Row],[SKU]],tblMovimientos[FactorStock],1))</f>
        <v/>
      </c>
      <c r="I83" s="55" t="str">
        <f>IF(tblStock[[#This Row],[SKU]]="","",-SUMIFS(tblMovimientos[CantidadNeta],tblMovimientos[SKU],tblStock[[#This Row],[SKU]],tblMovimientos[FactorStock],-1))</f>
        <v/>
      </c>
      <c r="J83" s="56" t="str">
        <f>IF(tblStock[[#This Row],[SKU]]="","",SUMIFS(tblMovimientos[CantidadNeta],tblMovimientos[SKU],tblStock[[#This Row],[SKU]]))</f>
        <v/>
      </c>
      <c r="K83" s="55" t="str">
        <f>IF($B83="","",N('05_PRODUCTOS'!$F83))</f>
        <v/>
      </c>
      <c r="L83" s="55" t="str">
        <f>IF($B83="","",N('05_PRODUCTOS'!$G83))</f>
        <v/>
      </c>
      <c r="M83" s="57" t="str">
        <f>IF(OR(tblStock[[#This Row],[SKU]]="",N(tblStock[[#This Row],[StockMax]])=0),"",MAX(0,tblStock[[#This Row],[StockActual]])/tblStock[[#This Row],[StockMax]])</f>
        <v/>
      </c>
      <c r="N8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3" s="59" t="str">
        <f>IF($B83="","",N('05_PRODUCTOS'!$H83))</f>
        <v/>
      </c>
      <c r="P83" s="59" t="str">
        <f>IF(tblStock[[#This Row],[SKU]]="","",MAX(0,tblStock[[#This Row],[StockActual]])*tblStock[[#This Row],[CostoUnitario]])</f>
        <v/>
      </c>
      <c r="Q83" s="60" t="str">
        <f>IF(tblStock[[#This Row],[SKU]]="","",IFERROR(_xlfn.AGGREGATE(14,6,tblMovimientos[Fecha]/(tblMovimientos[SKU]=tblStock[[#This Row],[SKU]]),1),""))</f>
        <v/>
      </c>
      <c r="R83" s="61" t="str">
        <f ca="1">IF(OR(tblStock[[#This Row],[SKU]]="",tblStock[[#This Row],[UltimoMov]]=""),"",TODAY()-tblStock[[#This Row],[UltimoMov]])</f>
        <v/>
      </c>
    </row>
    <row r="84" spans="2:18" x14ac:dyDescent="0.25">
      <c r="B84" s="53" t="str">
        <f>IF('05_PRODUCTOS'!$B84="","",'05_PRODUCTOS'!$B84)</f>
        <v/>
      </c>
      <c r="C84" s="54" t="str">
        <f>IF($B84="","",'05_PRODUCTOS'!$C84)</f>
        <v/>
      </c>
      <c r="D84" s="54" t="str">
        <f>IF($B84="","",'05_PRODUCTOS'!$D84)</f>
        <v/>
      </c>
      <c r="E84" s="54" t="str">
        <f>IF($B84="","",'05_PRODUCTOS'!$I84&amp;"")</f>
        <v/>
      </c>
      <c r="F84" s="53" t="str">
        <f>IF($B84="","",'05_PRODUCTOS'!$E84)</f>
        <v/>
      </c>
      <c r="G84" s="53" t="str">
        <f>IF($B84="","",IF('05_PRODUCTOS'!$K84="NO","NO","SI"))</f>
        <v/>
      </c>
      <c r="H84" s="55" t="str">
        <f>IF(tblStock[[#This Row],[SKU]]="","",SUMIFS(tblMovimientos[CantidadNeta],tblMovimientos[SKU],tblStock[[#This Row],[SKU]],tblMovimientos[FactorStock],1))</f>
        <v/>
      </c>
      <c r="I84" s="55" t="str">
        <f>IF(tblStock[[#This Row],[SKU]]="","",-SUMIFS(tblMovimientos[CantidadNeta],tblMovimientos[SKU],tblStock[[#This Row],[SKU]],tblMovimientos[FactorStock],-1))</f>
        <v/>
      </c>
      <c r="J84" s="56" t="str">
        <f>IF(tblStock[[#This Row],[SKU]]="","",SUMIFS(tblMovimientos[CantidadNeta],tblMovimientos[SKU],tblStock[[#This Row],[SKU]]))</f>
        <v/>
      </c>
      <c r="K84" s="55" t="str">
        <f>IF($B84="","",N('05_PRODUCTOS'!$F84))</f>
        <v/>
      </c>
      <c r="L84" s="55" t="str">
        <f>IF($B84="","",N('05_PRODUCTOS'!$G84))</f>
        <v/>
      </c>
      <c r="M84" s="57" t="str">
        <f>IF(OR(tblStock[[#This Row],[SKU]]="",N(tblStock[[#This Row],[StockMax]])=0),"",MAX(0,tblStock[[#This Row],[StockActual]])/tblStock[[#This Row],[StockMax]])</f>
        <v/>
      </c>
      <c r="N8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4" s="59" t="str">
        <f>IF($B84="","",N('05_PRODUCTOS'!$H84))</f>
        <v/>
      </c>
      <c r="P84" s="59" t="str">
        <f>IF(tblStock[[#This Row],[SKU]]="","",MAX(0,tblStock[[#This Row],[StockActual]])*tblStock[[#This Row],[CostoUnitario]])</f>
        <v/>
      </c>
      <c r="Q84" s="60" t="str">
        <f>IF(tblStock[[#This Row],[SKU]]="","",IFERROR(_xlfn.AGGREGATE(14,6,tblMovimientos[Fecha]/(tblMovimientos[SKU]=tblStock[[#This Row],[SKU]]),1),""))</f>
        <v/>
      </c>
      <c r="R84" s="61" t="str">
        <f ca="1">IF(OR(tblStock[[#This Row],[SKU]]="",tblStock[[#This Row],[UltimoMov]]=""),"",TODAY()-tblStock[[#This Row],[UltimoMov]])</f>
        <v/>
      </c>
    </row>
    <row r="85" spans="2:18" x14ac:dyDescent="0.25">
      <c r="B85" s="53" t="str">
        <f>IF('05_PRODUCTOS'!$B85="","",'05_PRODUCTOS'!$B85)</f>
        <v/>
      </c>
      <c r="C85" s="54" t="str">
        <f>IF($B85="","",'05_PRODUCTOS'!$C85)</f>
        <v/>
      </c>
      <c r="D85" s="54" t="str">
        <f>IF($B85="","",'05_PRODUCTOS'!$D85)</f>
        <v/>
      </c>
      <c r="E85" s="54" t="str">
        <f>IF($B85="","",'05_PRODUCTOS'!$I85&amp;"")</f>
        <v/>
      </c>
      <c r="F85" s="53" t="str">
        <f>IF($B85="","",'05_PRODUCTOS'!$E85)</f>
        <v/>
      </c>
      <c r="G85" s="53" t="str">
        <f>IF($B85="","",IF('05_PRODUCTOS'!$K85="NO","NO","SI"))</f>
        <v/>
      </c>
      <c r="H85" s="55" t="str">
        <f>IF(tblStock[[#This Row],[SKU]]="","",SUMIFS(tblMovimientos[CantidadNeta],tblMovimientos[SKU],tblStock[[#This Row],[SKU]],tblMovimientos[FactorStock],1))</f>
        <v/>
      </c>
      <c r="I85" s="55" t="str">
        <f>IF(tblStock[[#This Row],[SKU]]="","",-SUMIFS(tblMovimientos[CantidadNeta],tblMovimientos[SKU],tblStock[[#This Row],[SKU]],tblMovimientos[FactorStock],-1))</f>
        <v/>
      </c>
      <c r="J85" s="56" t="str">
        <f>IF(tblStock[[#This Row],[SKU]]="","",SUMIFS(tblMovimientos[CantidadNeta],tblMovimientos[SKU],tblStock[[#This Row],[SKU]]))</f>
        <v/>
      </c>
      <c r="K85" s="55" t="str">
        <f>IF($B85="","",N('05_PRODUCTOS'!$F85))</f>
        <v/>
      </c>
      <c r="L85" s="55" t="str">
        <f>IF($B85="","",N('05_PRODUCTOS'!$G85))</f>
        <v/>
      </c>
      <c r="M85" s="57" t="str">
        <f>IF(OR(tblStock[[#This Row],[SKU]]="",N(tblStock[[#This Row],[StockMax]])=0),"",MAX(0,tblStock[[#This Row],[StockActual]])/tblStock[[#This Row],[StockMax]])</f>
        <v/>
      </c>
      <c r="N8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5" s="59" t="str">
        <f>IF($B85="","",N('05_PRODUCTOS'!$H85))</f>
        <v/>
      </c>
      <c r="P85" s="59" t="str">
        <f>IF(tblStock[[#This Row],[SKU]]="","",MAX(0,tblStock[[#This Row],[StockActual]])*tblStock[[#This Row],[CostoUnitario]])</f>
        <v/>
      </c>
      <c r="Q85" s="60" t="str">
        <f>IF(tblStock[[#This Row],[SKU]]="","",IFERROR(_xlfn.AGGREGATE(14,6,tblMovimientos[Fecha]/(tblMovimientos[SKU]=tblStock[[#This Row],[SKU]]),1),""))</f>
        <v/>
      </c>
      <c r="R85" s="61" t="str">
        <f ca="1">IF(OR(tblStock[[#This Row],[SKU]]="",tblStock[[#This Row],[UltimoMov]]=""),"",TODAY()-tblStock[[#This Row],[UltimoMov]])</f>
        <v/>
      </c>
    </row>
    <row r="86" spans="2:18" x14ac:dyDescent="0.25">
      <c r="B86" s="53" t="str">
        <f>IF('05_PRODUCTOS'!$B86="","",'05_PRODUCTOS'!$B86)</f>
        <v/>
      </c>
      <c r="C86" s="54" t="str">
        <f>IF($B86="","",'05_PRODUCTOS'!$C86)</f>
        <v/>
      </c>
      <c r="D86" s="54" t="str">
        <f>IF($B86="","",'05_PRODUCTOS'!$D86)</f>
        <v/>
      </c>
      <c r="E86" s="54" t="str">
        <f>IF($B86="","",'05_PRODUCTOS'!$I86&amp;"")</f>
        <v/>
      </c>
      <c r="F86" s="53" t="str">
        <f>IF($B86="","",'05_PRODUCTOS'!$E86)</f>
        <v/>
      </c>
      <c r="G86" s="53" t="str">
        <f>IF($B86="","",IF('05_PRODUCTOS'!$K86="NO","NO","SI"))</f>
        <v/>
      </c>
      <c r="H86" s="55" t="str">
        <f>IF(tblStock[[#This Row],[SKU]]="","",SUMIFS(tblMovimientos[CantidadNeta],tblMovimientos[SKU],tblStock[[#This Row],[SKU]],tblMovimientos[FactorStock],1))</f>
        <v/>
      </c>
      <c r="I86" s="55" t="str">
        <f>IF(tblStock[[#This Row],[SKU]]="","",-SUMIFS(tblMovimientos[CantidadNeta],tblMovimientos[SKU],tblStock[[#This Row],[SKU]],tblMovimientos[FactorStock],-1))</f>
        <v/>
      </c>
      <c r="J86" s="56" t="str">
        <f>IF(tblStock[[#This Row],[SKU]]="","",SUMIFS(tblMovimientos[CantidadNeta],tblMovimientos[SKU],tblStock[[#This Row],[SKU]]))</f>
        <v/>
      </c>
      <c r="K86" s="55" t="str">
        <f>IF($B86="","",N('05_PRODUCTOS'!$F86))</f>
        <v/>
      </c>
      <c r="L86" s="55" t="str">
        <f>IF($B86="","",N('05_PRODUCTOS'!$G86))</f>
        <v/>
      </c>
      <c r="M86" s="57" t="str">
        <f>IF(OR(tblStock[[#This Row],[SKU]]="",N(tblStock[[#This Row],[StockMax]])=0),"",MAX(0,tblStock[[#This Row],[StockActual]])/tblStock[[#This Row],[StockMax]])</f>
        <v/>
      </c>
      <c r="N8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6" s="59" t="str">
        <f>IF($B86="","",N('05_PRODUCTOS'!$H86))</f>
        <v/>
      </c>
      <c r="P86" s="59" t="str">
        <f>IF(tblStock[[#This Row],[SKU]]="","",MAX(0,tblStock[[#This Row],[StockActual]])*tblStock[[#This Row],[CostoUnitario]])</f>
        <v/>
      </c>
      <c r="Q86" s="60" t="str">
        <f>IF(tblStock[[#This Row],[SKU]]="","",IFERROR(_xlfn.AGGREGATE(14,6,tblMovimientos[Fecha]/(tblMovimientos[SKU]=tblStock[[#This Row],[SKU]]),1),""))</f>
        <v/>
      </c>
      <c r="R86" s="61" t="str">
        <f ca="1">IF(OR(tblStock[[#This Row],[SKU]]="",tblStock[[#This Row],[UltimoMov]]=""),"",TODAY()-tblStock[[#This Row],[UltimoMov]])</f>
        <v/>
      </c>
    </row>
    <row r="87" spans="2:18" x14ac:dyDescent="0.25">
      <c r="B87" s="53" t="str">
        <f>IF('05_PRODUCTOS'!$B87="","",'05_PRODUCTOS'!$B87)</f>
        <v/>
      </c>
      <c r="C87" s="54" t="str">
        <f>IF($B87="","",'05_PRODUCTOS'!$C87)</f>
        <v/>
      </c>
      <c r="D87" s="54" t="str">
        <f>IF($B87="","",'05_PRODUCTOS'!$D87)</f>
        <v/>
      </c>
      <c r="E87" s="54" t="str">
        <f>IF($B87="","",'05_PRODUCTOS'!$I87&amp;"")</f>
        <v/>
      </c>
      <c r="F87" s="53" t="str">
        <f>IF($B87="","",'05_PRODUCTOS'!$E87)</f>
        <v/>
      </c>
      <c r="G87" s="53" t="str">
        <f>IF($B87="","",IF('05_PRODUCTOS'!$K87="NO","NO","SI"))</f>
        <v/>
      </c>
      <c r="H87" s="55" t="str">
        <f>IF(tblStock[[#This Row],[SKU]]="","",SUMIFS(tblMovimientos[CantidadNeta],tblMovimientos[SKU],tblStock[[#This Row],[SKU]],tblMovimientos[FactorStock],1))</f>
        <v/>
      </c>
      <c r="I87" s="55" t="str">
        <f>IF(tblStock[[#This Row],[SKU]]="","",-SUMIFS(tblMovimientos[CantidadNeta],tblMovimientos[SKU],tblStock[[#This Row],[SKU]],tblMovimientos[FactorStock],-1))</f>
        <v/>
      </c>
      <c r="J87" s="56" t="str">
        <f>IF(tblStock[[#This Row],[SKU]]="","",SUMIFS(tblMovimientos[CantidadNeta],tblMovimientos[SKU],tblStock[[#This Row],[SKU]]))</f>
        <v/>
      </c>
      <c r="K87" s="55" t="str">
        <f>IF($B87="","",N('05_PRODUCTOS'!$F87))</f>
        <v/>
      </c>
      <c r="L87" s="55" t="str">
        <f>IF($B87="","",N('05_PRODUCTOS'!$G87))</f>
        <v/>
      </c>
      <c r="M87" s="57" t="str">
        <f>IF(OR(tblStock[[#This Row],[SKU]]="",N(tblStock[[#This Row],[StockMax]])=0),"",MAX(0,tblStock[[#This Row],[StockActual]])/tblStock[[#This Row],[StockMax]])</f>
        <v/>
      </c>
      <c r="N8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7" s="59" t="str">
        <f>IF($B87="","",N('05_PRODUCTOS'!$H87))</f>
        <v/>
      </c>
      <c r="P87" s="59" t="str">
        <f>IF(tblStock[[#This Row],[SKU]]="","",MAX(0,tblStock[[#This Row],[StockActual]])*tblStock[[#This Row],[CostoUnitario]])</f>
        <v/>
      </c>
      <c r="Q87" s="60" t="str">
        <f>IF(tblStock[[#This Row],[SKU]]="","",IFERROR(_xlfn.AGGREGATE(14,6,tblMovimientos[Fecha]/(tblMovimientos[SKU]=tblStock[[#This Row],[SKU]]),1),""))</f>
        <v/>
      </c>
      <c r="R87" s="61" t="str">
        <f ca="1">IF(OR(tblStock[[#This Row],[SKU]]="",tblStock[[#This Row],[UltimoMov]]=""),"",TODAY()-tblStock[[#This Row],[UltimoMov]])</f>
        <v/>
      </c>
    </row>
    <row r="88" spans="2:18" x14ac:dyDescent="0.25">
      <c r="B88" s="53" t="str">
        <f>IF('05_PRODUCTOS'!$B88="","",'05_PRODUCTOS'!$B88)</f>
        <v/>
      </c>
      <c r="C88" s="54" t="str">
        <f>IF($B88="","",'05_PRODUCTOS'!$C88)</f>
        <v/>
      </c>
      <c r="D88" s="54" t="str">
        <f>IF($B88="","",'05_PRODUCTOS'!$D88)</f>
        <v/>
      </c>
      <c r="E88" s="54" t="str">
        <f>IF($B88="","",'05_PRODUCTOS'!$I88&amp;"")</f>
        <v/>
      </c>
      <c r="F88" s="53" t="str">
        <f>IF($B88="","",'05_PRODUCTOS'!$E88)</f>
        <v/>
      </c>
      <c r="G88" s="53" t="str">
        <f>IF($B88="","",IF('05_PRODUCTOS'!$K88="NO","NO","SI"))</f>
        <v/>
      </c>
      <c r="H88" s="55" t="str">
        <f>IF(tblStock[[#This Row],[SKU]]="","",SUMIFS(tblMovimientos[CantidadNeta],tblMovimientos[SKU],tblStock[[#This Row],[SKU]],tblMovimientos[FactorStock],1))</f>
        <v/>
      </c>
      <c r="I88" s="55" t="str">
        <f>IF(tblStock[[#This Row],[SKU]]="","",-SUMIFS(tblMovimientos[CantidadNeta],tblMovimientos[SKU],tblStock[[#This Row],[SKU]],tblMovimientos[FactorStock],-1))</f>
        <v/>
      </c>
      <c r="J88" s="56" t="str">
        <f>IF(tblStock[[#This Row],[SKU]]="","",SUMIFS(tblMovimientos[CantidadNeta],tblMovimientos[SKU],tblStock[[#This Row],[SKU]]))</f>
        <v/>
      </c>
      <c r="K88" s="55" t="str">
        <f>IF($B88="","",N('05_PRODUCTOS'!$F88))</f>
        <v/>
      </c>
      <c r="L88" s="55" t="str">
        <f>IF($B88="","",N('05_PRODUCTOS'!$G88))</f>
        <v/>
      </c>
      <c r="M88" s="57" t="str">
        <f>IF(OR(tblStock[[#This Row],[SKU]]="",N(tblStock[[#This Row],[StockMax]])=0),"",MAX(0,tblStock[[#This Row],[StockActual]])/tblStock[[#This Row],[StockMax]])</f>
        <v/>
      </c>
      <c r="N8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8" s="59" t="str">
        <f>IF($B88="","",N('05_PRODUCTOS'!$H88))</f>
        <v/>
      </c>
      <c r="P88" s="59" t="str">
        <f>IF(tblStock[[#This Row],[SKU]]="","",MAX(0,tblStock[[#This Row],[StockActual]])*tblStock[[#This Row],[CostoUnitario]])</f>
        <v/>
      </c>
      <c r="Q88" s="60" t="str">
        <f>IF(tblStock[[#This Row],[SKU]]="","",IFERROR(_xlfn.AGGREGATE(14,6,tblMovimientos[Fecha]/(tblMovimientos[SKU]=tblStock[[#This Row],[SKU]]),1),""))</f>
        <v/>
      </c>
      <c r="R88" s="61" t="str">
        <f ca="1">IF(OR(tblStock[[#This Row],[SKU]]="",tblStock[[#This Row],[UltimoMov]]=""),"",TODAY()-tblStock[[#This Row],[UltimoMov]])</f>
        <v/>
      </c>
    </row>
    <row r="89" spans="2:18" x14ac:dyDescent="0.25">
      <c r="B89" s="53" t="str">
        <f>IF('05_PRODUCTOS'!$B89="","",'05_PRODUCTOS'!$B89)</f>
        <v/>
      </c>
      <c r="C89" s="54" t="str">
        <f>IF($B89="","",'05_PRODUCTOS'!$C89)</f>
        <v/>
      </c>
      <c r="D89" s="54" t="str">
        <f>IF($B89="","",'05_PRODUCTOS'!$D89)</f>
        <v/>
      </c>
      <c r="E89" s="54" t="str">
        <f>IF($B89="","",'05_PRODUCTOS'!$I89&amp;"")</f>
        <v/>
      </c>
      <c r="F89" s="53" t="str">
        <f>IF($B89="","",'05_PRODUCTOS'!$E89)</f>
        <v/>
      </c>
      <c r="G89" s="53" t="str">
        <f>IF($B89="","",IF('05_PRODUCTOS'!$K89="NO","NO","SI"))</f>
        <v/>
      </c>
      <c r="H89" s="55" t="str">
        <f>IF(tblStock[[#This Row],[SKU]]="","",SUMIFS(tblMovimientos[CantidadNeta],tblMovimientos[SKU],tblStock[[#This Row],[SKU]],tblMovimientos[FactorStock],1))</f>
        <v/>
      </c>
      <c r="I89" s="55" t="str">
        <f>IF(tblStock[[#This Row],[SKU]]="","",-SUMIFS(tblMovimientos[CantidadNeta],tblMovimientos[SKU],tblStock[[#This Row],[SKU]],tblMovimientos[FactorStock],-1))</f>
        <v/>
      </c>
      <c r="J89" s="56" t="str">
        <f>IF(tblStock[[#This Row],[SKU]]="","",SUMIFS(tblMovimientos[CantidadNeta],tblMovimientos[SKU],tblStock[[#This Row],[SKU]]))</f>
        <v/>
      </c>
      <c r="K89" s="55" t="str">
        <f>IF($B89="","",N('05_PRODUCTOS'!$F89))</f>
        <v/>
      </c>
      <c r="L89" s="55" t="str">
        <f>IF($B89="","",N('05_PRODUCTOS'!$G89))</f>
        <v/>
      </c>
      <c r="M89" s="57" t="str">
        <f>IF(OR(tblStock[[#This Row],[SKU]]="",N(tblStock[[#This Row],[StockMax]])=0),"",MAX(0,tblStock[[#This Row],[StockActual]])/tblStock[[#This Row],[StockMax]])</f>
        <v/>
      </c>
      <c r="N8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89" s="59" t="str">
        <f>IF($B89="","",N('05_PRODUCTOS'!$H89))</f>
        <v/>
      </c>
      <c r="P89" s="59" t="str">
        <f>IF(tblStock[[#This Row],[SKU]]="","",MAX(0,tblStock[[#This Row],[StockActual]])*tblStock[[#This Row],[CostoUnitario]])</f>
        <v/>
      </c>
      <c r="Q89" s="60" t="str">
        <f>IF(tblStock[[#This Row],[SKU]]="","",IFERROR(_xlfn.AGGREGATE(14,6,tblMovimientos[Fecha]/(tblMovimientos[SKU]=tblStock[[#This Row],[SKU]]),1),""))</f>
        <v/>
      </c>
      <c r="R89" s="61" t="str">
        <f ca="1">IF(OR(tblStock[[#This Row],[SKU]]="",tblStock[[#This Row],[UltimoMov]]=""),"",TODAY()-tblStock[[#This Row],[UltimoMov]])</f>
        <v/>
      </c>
    </row>
    <row r="90" spans="2:18" x14ac:dyDescent="0.25">
      <c r="B90" s="53" t="str">
        <f>IF('05_PRODUCTOS'!$B90="","",'05_PRODUCTOS'!$B90)</f>
        <v/>
      </c>
      <c r="C90" s="54" t="str">
        <f>IF($B90="","",'05_PRODUCTOS'!$C90)</f>
        <v/>
      </c>
      <c r="D90" s="54" t="str">
        <f>IF($B90="","",'05_PRODUCTOS'!$D90)</f>
        <v/>
      </c>
      <c r="E90" s="54" t="str">
        <f>IF($B90="","",'05_PRODUCTOS'!$I90&amp;"")</f>
        <v/>
      </c>
      <c r="F90" s="53" t="str">
        <f>IF($B90="","",'05_PRODUCTOS'!$E90)</f>
        <v/>
      </c>
      <c r="G90" s="53" t="str">
        <f>IF($B90="","",IF('05_PRODUCTOS'!$K90="NO","NO","SI"))</f>
        <v/>
      </c>
      <c r="H90" s="55" t="str">
        <f>IF(tblStock[[#This Row],[SKU]]="","",SUMIFS(tblMovimientos[CantidadNeta],tblMovimientos[SKU],tblStock[[#This Row],[SKU]],tblMovimientos[FactorStock],1))</f>
        <v/>
      </c>
      <c r="I90" s="55" t="str">
        <f>IF(tblStock[[#This Row],[SKU]]="","",-SUMIFS(tblMovimientos[CantidadNeta],tblMovimientos[SKU],tblStock[[#This Row],[SKU]],tblMovimientos[FactorStock],-1))</f>
        <v/>
      </c>
      <c r="J90" s="56" t="str">
        <f>IF(tblStock[[#This Row],[SKU]]="","",SUMIFS(tblMovimientos[CantidadNeta],tblMovimientos[SKU],tblStock[[#This Row],[SKU]]))</f>
        <v/>
      </c>
      <c r="K90" s="55" t="str">
        <f>IF($B90="","",N('05_PRODUCTOS'!$F90))</f>
        <v/>
      </c>
      <c r="L90" s="55" t="str">
        <f>IF($B90="","",N('05_PRODUCTOS'!$G90))</f>
        <v/>
      </c>
      <c r="M90" s="57" t="str">
        <f>IF(OR(tblStock[[#This Row],[SKU]]="",N(tblStock[[#This Row],[StockMax]])=0),"",MAX(0,tblStock[[#This Row],[StockActual]])/tblStock[[#This Row],[StockMax]])</f>
        <v/>
      </c>
      <c r="N9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0" s="59" t="str">
        <f>IF($B90="","",N('05_PRODUCTOS'!$H90))</f>
        <v/>
      </c>
      <c r="P90" s="59" t="str">
        <f>IF(tblStock[[#This Row],[SKU]]="","",MAX(0,tblStock[[#This Row],[StockActual]])*tblStock[[#This Row],[CostoUnitario]])</f>
        <v/>
      </c>
      <c r="Q90" s="60" t="str">
        <f>IF(tblStock[[#This Row],[SKU]]="","",IFERROR(_xlfn.AGGREGATE(14,6,tblMovimientos[Fecha]/(tblMovimientos[SKU]=tblStock[[#This Row],[SKU]]),1),""))</f>
        <v/>
      </c>
      <c r="R90" s="61" t="str">
        <f ca="1">IF(OR(tblStock[[#This Row],[SKU]]="",tblStock[[#This Row],[UltimoMov]]=""),"",TODAY()-tblStock[[#This Row],[UltimoMov]])</f>
        <v/>
      </c>
    </row>
    <row r="91" spans="2:18" x14ac:dyDescent="0.25">
      <c r="B91" s="53" t="str">
        <f>IF('05_PRODUCTOS'!$B91="","",'05_PRODUCTOS'!$B91)</f>
        <v/>
      </c>
      <c r="C91" s="54" t="str">
        <f>IF($B91="","",'05_PRODUCTOS'!$C91)</f>
        <v/>
      </c>
      <c r="D91" s="54" t="str">
        <f>IF($B91="","",'05_PRODUCTOS'!$D91)</f>
        <v/>
      </c>
      <c r="E91" s="54" t="str">
        <f>IF($B91="","",'05_PRODUCTOS'!$I91&amp;"")</f>
        <v/>
      </c>
      <c r="F91" s="53" t="str">
        <f>IF($B91="","",'05_PRODUCTOS'!$E91)</f>
        <v/>
      </c>
      <c r="G91" s="53" t="str">
        <f>IF($B91="","",IF('05_PRODUCTOS'!$K91="NO","NO","SI"))</f>
        <v/>
      </c>
      <c r="H91" s="55" t="str">
        <f>IF(tblStock[[#This Row],[SKU]]="","",SUMIFS(tblMovimientos[CantidadNeta],tblMovimientos[SKU],tblStock[[#This Row],[SKU]],tblMovimientos[FactorStock],1))</f>
        <v/>
      </c>
      <c r="I91" s="55" t="str">
        <f>IF(tblStock[[#This Row],[SKU]]="","",-SUMIFS(tblMovimientos[CantidadNeta],tblMovimientos[SKU],tblStock[[#This Row],[SKU]],tblMovimientos[FactorStock],-1))</f>
        <v/>
      </c>
      <c r="J91" s="56" t="str">
        <f>IF(tblStock[[#This Row],[SKU]]="","",SUMIFS(tblMovimientos[CantidadNeta],tblMovimientos[SKU],tblStock[[#This Row],[SKU]]))</f>
        <v/>
      </c>
      <c r="K91" s="55" t="str">
        <f>IF($B91="","",N('05_PRODUCTOS'!$F91))</f>
        <v/>
      </c>
      <c r="L91" s="55" t="str">
        <f>IF($B91="","",N('05_PRODUCTOS'!$G91))</f>
        <v/>
      </c>
      <c r="M91" s="57" t="str">
        <f>IF(OR(tblStock[[#This Row],[SKU]]="",N(tblStock[[#This Row],[StockMax]])=0),"",MAX(0,tblStock[[#This Row],[StockActual]])/tblStock[[#This Row],[StockMax]])</f>
        <v/>
      </c>
      <c r="N9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1" s="59" t="str">
        <f>IF($B91="","",N('05_PRODUCTOS'!$H91))</f>
        <v/>
      </c>
      <c r="P91" s="59" t="str">
        <f>IF(tblStock[[#This Row],[SKU]]="","",MAX(0,tblStock[[#This Row],[StockActual]])*tblStock[[#This Row],[CostoUnitario]])</f>
        <v/>
      </c>
      <c r="Q91" s="60" t="str">
        <f>IF(tblStock[[#This Row],[SKU]]="","",IFERROR(_xlfn.AGGREGATE(14,6,tblMovimientos[Fecha]/(tblMovimientos[SKU]=tblStock[[#This Row],[SKU]]),1),""))</f>
        <v/>
      </c>
      <c r="R91" s="61" t="str">
        <f ca="1">IF(OR(tblStock[[#This Row],[SKU]]="",tblStock[[#This Row],[UltimoMov]]=""),"",TODAY()-tblStock[[#This Row],[UltimoMov]])</f>
        <v/>
      </c>
    </row>
    <row r="92" spans="2:18" x14ac:dyDescent="0.25">
      <c r="B92" s="53" t="str">
        <f>IF('05_PRODUCTOS'!$B92="","",'05_PRODUCTOS'!$B92)</f>
        <v/>
      </c>
      <c r="C92" s="54" t="str">
        <f>IF($B92="","",'05_PRODUCTOS'!$C92)</f>
        <v/>
      </c>
      <c r="D92" s="54" t="str">
        <f>IF($B92="","",'05_PRODUCTOS'!$D92)</f>
        <v/>
      </c>
      <c r="E92" s="54" t="str">
        <f>IF($B92="","",'05_PRODUCTOS'!$I92&amp;"")</f>
        <v/>
      </c>
      <c r="F92" s="53" t="str">
        <f>IF($B92="","",'05_PRODUCTOS'!$E92)</f>
        <v/>
      </c>
      <c r="G92" s="53" t="str">
        <f>IF($B92="","",IF('05_PRODUCTOS'!$K92="NO","NO","SI"))</f>
        <v/>
      </c>
      <c r="H92" s="55" t="str">
        <f>IF(tblStock[[#This Row],[SKU]]="","",SUMIFS(tblMovimientos[CantidadNeta],tblMovimientos[SKU],tblStock[[#This Row],[SKU]],tblMovimientos[FactorStock],1))</f>
        <v/>
      </c>
      <c r="I92" s="55" t="str">
        <f>IF(tblStock[[#This Row],[SKU]]="","",-SUMIFS(tblMovimientos[CantidadNeta],tblMovimientos[SKU],tblStock[[#This Row],[SKU]],tblMovimientos[FactorStock],-1))</f>
        <v/>
      </c>
      <c r="J92" s="56" t="str">
        <f>IF(tblStock[[#This Row],[SKU]]="","",SUMIFS(tblMovimientos[CantidadNeta],tblMovimientos[SKU],tblStock[[#This Row],[SKU]]))</f>
        <v/>
      </c>
      <c r="K92" s="55" t="str">
        <f>IF($B92="","",N('05_PRODUCTOS'!$F92))</f>
        <v/>
      </c>
      <c r="L92" s="55" t="str">
        <f>IF($B92="","",N('05_PRODUCTOS'!$G92))</f>
        <v/>
      </c>
      <c r="M92" s="57" t="str">
        <f>IF(OR(tblStock[[#This Row],[SKU]]="",N(tblStock[[#This Row],[StockMax]])=0),"",MAX(0,tblStock[[#This Row],[StockActual]])/tblStock[[#This Row],[StockMax]])</f>
        <v/>
      </c>
      <c r="N9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2" s="59" t="str">
        <f>IF($B92="","",N('05_PRODUCTOS'!$H92))</f>
        <v/>
      </c>
      <c r="P92" s="59" t="str">
        <f>IF(tblStock[[#This Row],[SKU]]="","",MAX(0,tblStock[[#This Row],[StockActual]])*tblStock[[#This Row],[CostoUnitario]])</f>
        <v/>
      </c>
      <c r="Q92" s="60" t="str">
        <f>IF(tblStock[[#This Row],[SKU]]="","",IFERROR(_xlfn.AGGREGATE(14,6,tblMovimientos[Fecha]/(tblMovimientos[SKU]=tblStock[[#This Row],[SKU]]),1),""))</f>
        <v/>
      </c>
      <c r="R92" s="61" t="str">
        <f ca="1">IF(OR(tblStock[[#This Row],[SKU]]="",tblStock[[#This Row],[UltimoMov]]=""),"",TODAY()-tblStock[[#This Row],[UltimoMov]])</f>
        <v/>
      </c>
    </row>
    <row r="93" spans="2:18" x14ac:dyDescent="0.25">
      <c r="B93" s="53" t="str">
        <f>IF('05_PRODUCTOS'!$B93="","",'05_PRODUCTOS'!$B93)</f>
        <v/>
      </c>
      <c r="C93" s="54" t="str">
        <f>IF($B93="","",'05_PRODUCTOS'!$C93)</f>
        <v/>
      </c>
      <c r="D93" s="54" t="str">
        <f>IF($B93="","",'05_PRODUCTOS'!$D93)</f>
        <v/>
      </c>
      <c r="E93" s="54" t="str">
        <f>IF($B93="","",'05_PRODUCTOS'!$I93&amp;"")</f>
        <v/>
      </c>
      <c r="F93" s="53" t="str">
        <f>IF($B93="","",'05_PRODUCTOS'!$E93)</f>
        <v/>
      </c>
      <c r="G93" s="53" t="str">
        <f>IF($B93="","",IF('05_PRODUCTOS'!$K93="NO","NO","SI"))</f>
        <v/>
      </c>
      <c r="H93" s="55" t="str">
        <f>IF(tblStock[[#This Row],[SKU]]="","",SUMIFS(tblMovimientos[CantidadNeta],tblMovimientos[SKU],tblStock[[#This Row],[SKU]],tblMovimientos[FactorStock],1))</f>
        <v/>
      </c>
      <c r="I93" s="55" t="str">
        <f>IF(tblStock[[#This Row],[SKU]]="","",-SUMIFS(tblMovimientos[CantidadNeta],tblMovimientos[SKU],tblStock[[#This Row],[SKU]],tblMovimientos[FactorStock],-1))</f>
        <v/>
      </c>
      <c r="J93" s="56" t="str">
        <f>IF(tblStock[[#This Row],[SKU]]="","",SUMIFS(tblMovimientos[CantidadNeta],tblMovimientos[SKU],tblStock[[#This Row],[SKU]]))</f>
        <v/>
      </c>
      <c r="K93" s="55" t="str">
        <f>IF($B93="","",N('05_PRODUCTOS'!$F93))</f>
        <v/>
      </c>
      <c r="L93" s="55" t="str">
        <f>IF($B93="","",N('05_PRODUCTOS'!$G93))</f>
        <v/>
      </c>
      <c r="M93" s="57" t="str">
        <f>IF(OR(tblStock[[#This Row],[SKU]]="",N(tblStock[[#This Row],[StockMax]])=0),"",MAX(0,tblStock[[#This Row],[StockActual]])/tblStock[[#This Row],[StockMax]])</f>
        <v/>
      </c>
      <c r="N9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3" s="59" t="str">
        <f>IF($B93="","",N('05_PRODUCTOS'!$H93))</f>
        <v/>
      </c>
      <c r="P93" s="59" t="str">
        <f>IF(tblStock[[#This Row],[SKU]]="","",MAX(0,tblStock[[#This Row],[StockActual]])*tblStock[[#This Row],[CostoUnitario]])</f>
        <v/>
      </c>
      <c r="Q93" s="60" t="str">
        <f>IF(tblStock[[#This Row],[SKU]]="","",IFERROR(_xlfn.AGGREGATE(14,6,tblMovimientos[Fecha]/(tblMovimientos[SKU]=tblStock[[#This Row],[SKU]]),1),""))</f>
        <v/>
      </c>
      <c r="R93" s="61" t="str">
        <f ca="1">IF(OR(tblStock[[#This Row],[SKU]]="",tblStock[[#This Row],[UltimoMov]]=""),"",TODAY()-tblStock[[#This Row],[UltimoMov]])</f>
        <v/>
      </c>
    </row>
    <row r="94" spans="2:18" x14ac:dyDescent="0.25">
      <c r="B94" s="53" t="str">
        <f>IF('05_PRODUCTOS'!$B94="","",'05_PRODUCTOS'!$B94)</f>
        <v/>
      </c>
      <c r="C94" s="54" t="str">
        <f>IF($B94="","",'05_PRODUCTOS'!$C94)</f>
        <v/>
      </c>
      <c r="D94" s="54" t="str">
        <f>IF($B94="","",'05_PRODUCTOS'!$D94)</f>
        <v/>
      </c>
      <c r="E94" s="54" t="str">
        <f>IF($B94="","",'05_PRODUCTOS'!$I94&amp;"")</f>
        <v/>
      </c>
      <c r="F94" s="53" t="str">
        <f>IF($B94="","",'05_PRODUCTOS'!$E94)</f>
        <v/>
      </c>
      <c r="G94" s="53" t="str">
        <f>IF($B94="","",IF('05_PRODUCTOS'!$K94="NO","NO","SI"))</f>
        <v/>
      </c>
      <c r="H94" s="55" t="str">
        <f>IF(tblStock[[#This Row],[SKU]]="","",SUMIFS(tblMovimientos[CantidadNeta],tblMovimientos[SKU],tblStock[[#This Row],[SKU]],tblMovimientos[FactorStock],1))</f>
        <v/>
      </c>
      <c r="I94" s="55" t="str">
        <f>IF(tblStock[[#This Row],[SKU]]="","",-SUMIFS(tblMovimientos[CantidadNeta],tblMovimientos[SKU],tblStock[[#This Row],[SKU]],tblMovimientos[FactorStock],-1))</f>
        <v/>
      </c>
      <c r="J94" s="56" t="str">
        <f>IF(tblStock[[#This Row],[SKU]]="","",SUMIFS(tblMovimientos[CantidadNeta],tblMovimientos[SKU],tblStock[[#This Row],[SKU]]))</f>
        <v/>
      </c>
      <c r="K94" s="55" t="str">
        <f>IF($B94="","",N('05_PRODUCTOS'!$F94))</f>
        <v/>
      </c>
      <c r="L94" s="55" t="str">
        <f>IF($B94="","",N('05_PRODUCTOS'!$G94))</f>
        <v/>
      </c>
      <c r="M94" s="57" t="str">
        <f>IF(OR(tblStock[[#This Row],[SKU]]="",N(tblStock[[#This Row],[StockMax]])=0),"",MAX(0,tblStock[[#This Row],[StockActual]])/tblStock[[#This Row],[StockMax]])</f>
        <v/>
      </c>
      <c r="N9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4" s="59" t="str">
        <f>IF($B94="","",N('05_PRODUCTOS'!$H94))</f>
        <v/>
      </c>
      <c r="P94" s="59" t="str">
        <f>IF(tblStock[[#This Row],[SKU]]="","",MAX(0,tblStock[[#This Row],[StockActual]])*tblStock[[#This Row],[CostoUnitario]])</f>
        <v/>
      </c>
      <c r="Q94" s="60" t="str">
        <f>IF(tblStock[[#This Row],[SKU]]="","",IFERROR(_xlfn.AGGREGATE(14,6,tblMovimientos[Fecha]/(tblMovimientos[SKU]=tblStock[[#This Row],[SKU]]),1),""))</f>
        <v/>
      </c>
      <c r="R94" s="61" t="str">
        <f ca="1">IF(OR(tblStock[[#This Row],[SKU]]="",tblStock[[#This Row],[UltimoMov]]=""),"",TODAY()-tblStock[[#This Row],[UltimoMov]])</f>
        <v/>
      </c>
    </row>
    <row r="95" spans="2:18" x14ac:dyDescent="0.25">
      <c r="B95" s="53" t="str">
        <f>IF('05_PRODUCTOS'!$B95="","",'05_PRODUCTOS'!$B95)</f>
        <v/>
      </c>
      <c r="C95" s="54" t="str">
        <f>IF($B95="","",'05_PRODUCTOS'!$C95)</f>
        <v/>
      </c>
      <c r="D95" s="54" t="str">
        <f>IF($B95="","",'05_PRODUCTOS'!$D95)</f>
        <v/>
      </c>
      <c r="E95" s="54" t="str">
        <f>IF($B95="","",'05_PRODUCTOS'!$I95&amp;"")</f>
        <v/>
      </c>
      <c r="F95" s="53" t="str">
        <f>IF($B95="","",'05_PRODUCTOS'!$E95)</f>
        <v/>
      </c>
      <c r="G95" s="53" t="str">
        <f>IF($B95="","",IF('05_PRODUCTOS'!$K95="NO","NO","SI"))</f>
        <v/>
      </c>
      <c r="H95" s="55" t="str">
        <f>IF(tblStock[[#This Row],[SKU]]="","",SUMIFS(tblMovimientos[CantidadNeta],tblMovimientos[SKU],tblStock[[#This Row],[SKU]],tblMovimientos[FactorStock],1))</f>
        <v/>
      </c>
      <c r="I95" s="55" t="str">
        <f>IF(tblStock[[#This Row],[SKU]]="","",-SUMIFS(tblMovimientos[CantidadNeta],tblMovimientos[SKU],tblStock[[#This Row],[SKU]],tblMovimientos[FactorStock],-1))</f>
        <v/>
      </c>
      <c r="J95" s="56" t="str">
        <f>IF(tblStock[[#This Row],[SKU]]="","",SUMIFS(tblMovimientos[CantidadNeta],tblMovimientos[SKU],tblStock[[#This Row],[SKU]]))</f>
        <v/>
      </c>
      <c r="K95" s="55" t="str">
        <f>IF($B95="","",N('05_PRODUCTOS'!$F95))</f>
        <v/>
      </c>
      <c r="L95" s="55" t="str">
        <f>IF($B95="","",N('05_PRODUCTOS'!$G95))</f>
        <v/>
      </c>
      <c r="M95" s="57" t="str">
        <f>IF(OR(tblStock[[#This Row],[SKU]]="",N(tblStock[[#This Row],[StockMax]])=0),"",MAX(0,tblStock[[#This Row],[StockActual]])/tblStock[[#This Row],[StockMax]])</f>
        <v/>
      </c>
      <c r="N9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5" s="59" t="str">
        <f>IF($B95="","",N('05_PRODUCTOS'!$H95))</f>
        <v/>
      </c>
      <c r="P95" s="59" t="str">
        <f>IF(tblStock[[#This Row],[SKU]]="","",MAX(0,tblStock[[#This Row],[StockActual]])*tblStock[[#This Row],[CostoUnitario]])</f>
        <v/>
      </c>
      <c r="Q95" s="60" t="str">
        <f>IF(tblStock[[#This Row],[SKU]]="","",IFERROR(_xlfn.AGGREGATE(14,6,tblMovimientos[Fecha]/(tblMovimientos[SKU]=tblStock[[#This Row],[SKU]]),1),""))</f>
        <v/>
      </c>
      <c r="R95" s="61" t="str">
        <f ca="1">IF(OR(tblStock[[#This Row],[SKU]]="",tblStock[[#This Row],[UltimoMov]]=""),"",TODAY()-tblStock[[#This Row],[UltimoMov]])</f>
        <v/>
      </c>
    </row>
    <row r="96" spans="2:18" x14ac:dyDescent="0.25">
      <c r="B96" s="53" t="str">
        <f>IF('05_PRODUCTOS'!$B96="","",'05_PRODUCTOS'!$B96)</f>
        <v/>
      </c>
      <c r="C96" s="54" t="str">
        <f>IF($B96="","",'05_PRODUCTOS'!$C96)</f>
        <v/>
      </c>
      <c r="D96" s="54" t="str">
        <f>IF($B96="","",'05_PRODUCTOS'!$D96)</f>
        <v/>
      </c>
      <c r="E96" s="54" t="str">
        <f>IF($B96="","",'05_PRODUCTOS'!$I96&amp;"")</f>
        <v/>
      </c>
      <c r="F96" s="53" t="str">
        <f>IF($B96="","",'05_PRODUCTOS'!$E96)</f>
        <v/>
      </c>
      <c r="G96" s="53" t="str">
        <f>IF($B96="","",IF('05_PRODUCTOS'!$K96="NO","NO","SI"))</f>
        <v/>
      </c>
      <c r="H96" s="55" t="str">
        <f>IF(tblStock[[#This Row],[SKU]]="","",SUMIFS(tblMovimientos[CantidadNeta],tblMovimientos[SKU],tblStock[[#This Row],[SKU]],tblMovimientos[FactorStock],1))</f>
        <v/>
      </c>
      <c r="I96" s="55" t="str">
        <f>IF(tblStock[[#This Row],[SKU]]="","",-SUMIFS(tblMovimientos[CantidadNeta],tblMovimientos[SKU],tblStock[[#This Row],[SKU]],tblMovimientos[FactorStock],-1))</f>
        <v/>
      </c>
      <c r="J96" s="56" t="str">
        <f>IF(tblStock[[#This Row],[SKU]]="","",SUMIFS(tblMovimientos[CantidadNeta],tblMovimientos[SKU],tblStock[[#This Row],[SKU]]))</f>
        <v/>
      </c>
      <c r="K96" s="55" t="str">
        <f>IF($B96="","",N('05_PRODUCTOS'!$F96))</f>
        <v/>
      </c>
      <c r="L96" s="55" t="str">
        <f>IF($B96="","",N('05_PRODUCTOS'!$G96))</f>
        <v/>
      </c>
      <c r="M96" s="57" t="str">
        <f>IF(OR(tblStock[[#This Row],[SKU]]="",N(tblStock[[#This Row],[StockMax]])=0),"",MAX(0,tblStock[[#This Row],[StockActual]])/tblStock[[#This Row],[StockMax]])</f>
        <v/>
      </c>
      <c r="N9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6" s="59" t="str">
        <f>IF($B96="","",N('05_PRODUCTOS'!$H96))</f>
        <v/>
      </c>
      <c r="P96" s="59" t="str">
        <f>IF(tblStock[[#This Row],[SKU]]="","",MAX(0,tblStock[[#This Row],[StockActual]])*tblStock[[#This Row],[CostoUnitario]])</f>
        <v/>
      </c>
      <c r="Q96" s="60" t="str">
        <f>IF(tblStock[[#This Row],[SKU]]="","",IFERROR(_xlfn.AGGREGATE(14,6,tblMovimientos[Fecha]/(tblMovimientos[SKU]=tblStock[[#This Row],[SKU]]),1),""))</f>
        <v/>
      </c>
      <c r="R96" s="61" t="str">
        <f ca="1">IF(OR(tblStock[[#This Row],[SKU]]="",tblStock[[#This Row],[UltimoMov]]=""),"",TODAY()-tblStock[[#This Row],[UltimoMov]])</f>
        <v/>
      </c>
    </row>
    <row r="97" spans="2:18" x14ac:dyDescent="0.25">
      <c r="B97" s="53" t="str">
        <f>IF('05_PRODUCTOS'!$B97="","",'05_PRODUCTOS'!$B97)</f>
        <v/>
      </c>
      <c r="C97" s="54" t="str">
        <f>IF($B97="","",'05_PRODUCTOS'!$C97)</f>
        <v/>
      </c>
      <c r="D97" s="54" t="str">
        <f>IF($B97="","",'05_PRODUCTOS'!$D97)</f>
        <v/>
      </c>
      <c r="E97" s="54" t="str">
        <f>IF($B97="","",'05_PRODUCTOS'!$I97&amp;"")</f>
        <v/>
      </c>
      <c r="F97" s="53" t="str">
        <f>IF($B97="","",'05_PRODUCTOS'!$E97)</f>
        <v/>
      </c>
      <c r="G97" s="53" t="str">
        <f>IF($B97="","",IF('05_PRODUCTOS'!$K97="NO","NO","SI"))</f>
        <v/>
      </c>
      <c r="H97" s="55" t="str">
        <f>IF(tblStock[[#This Row],[SKU]]="","",SUMIFS(tblMovimientos[CantidadNeta],tblMovimientos[SKU],tblStock[[#This Row],[SKU]],tblMovimientos[FactorStock],1))</f>
        <v/>
      </c>
      <c r="I97" s="55" t="str">
        <f>IF(tblStock[[#This Row],[SKU]]="","",-SUMIFS(tblMovimientos[CantidadNeta],tblMovimientos[SKU],tblStock[[#This Row],[SKU]],tblMovimientos[FactorStock],-1))</f>
        <v/>
      </c>
      <c r="J97" s="56" t="str">
        <f>IF(tblStock[[#This Row],[SKU]]="","",SUMIFS(tblMovimientos[CantidadNeta],tblMovimientos[SKU],tblStock[[#This Row],[SKU]]))</f>
        <v/>
      </c>
      <c r="K97" s="55" t="str">
        <f>IF($B97="","",N('05_PRODUCTOS'!$F97))</f>
        <v/>
      </c>
      <c r="L97" s="55" t="str">
        <f>IF($B97="","",N('05_PRODUCTOS'!$G97))</f>
        <v/>
      </c>
      <c r="M97" s="57" t="str">
        <f>IF(OR(tblStock[[#This Row],[SKU]]="",N(tblStock[[#This Row],[StockMax]])=0),"",MAX(0,tblStock[[#This Row],[StockActual]])/tblStock[[#This Row],[StockMax]])</f>
        <v/>
      </c>
      <c r="N9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7" s="59" t="str">
        <f>IF($B97="","",N('05_PRODUCTOS'!$H97))</f>
        <v/>
      </c>
      <c r="P97" s="59" t="str">
        <f>IF(tblStock[[#This Row],[SKU]]="","",MAX(0,tblStock[[#This Row],[StockActual]])*tblStock[[#This Row],[CostoUnitario]])</f>
        <v/>
      </c>
      <c r="Q97" s="60" t="str">
        <f>IF(tblStock[[#This Row],[SKU]]="","",IFERROR(_xlfn.AGGREGATE(14,6,tblMovimientos[Fecha]/(tblMovimientos[SKU]=tblStock[[#This Row],[SKU]]),1),""))</f>
        <v/>
      </c>
      <c r="R97" s="61" t="str">
        <f ca="1">IF(OR(tblStock[[#This Row],[SKU]]="",tblStock[[#This Row],[UltimoMov]]=""),"",TODAY()-tblStock[[#This Row],[UltimoMov]])</f>
        <v/>
      </c>
    </row>
    <row r="98" spans="2:18" x14ac:dyDescent="0.25">
      <c r="B98" s="53" t="str">
        <f>IF('05_PRODUCTOS'!$B98="","",'05_PRODUCTOS'!$B98)</f>
        <v/>
      </c>
      <c r="C98" s="54" t="str">
        <f>IF($B98="","",'05_PRODUCTOS'!$C98)</f>
        <v/>
      </c>
      <c r="D98" s="54" t="str">
        <f>IF($B98="","",'05_PRODUCTOS'!$D98)</f>
        <v/>
      </c>
      <c r="E98" s="54" t="str">
        <f>IF($B98="","",'05_PRODUCTOS'!$I98&amp;"")</f>
        <v/>
      </c>
      <c r="F98" s="53" t="str">
        <f>IF($B98="","",'05_PRODUCTOS'!$E98)</f>
        <v/>
      </c>
      <c r="G98" s="53" t="str">
        <f>IF($B98="","",IF('05_PRODUCTOS'!$K98="NO","NO","SI"))</f>
        <v/>
      </c>
      <c r="H98" s="55" t="str">
        <f>IF(tblStock[[#This Row],[SKU]]="","",SUMIFS(tblMovimientos[CantidadNeta],tblMovimientos[SKU],tblStock[[#This Row],[SKU]],tblMovimientos[FactorStock],1))</f>
        <v/>
      </c>
      <c r="I98" s="55" t="str">
        <f>IF(tblStock[[#This Row],[SKU]]="","",-SUMIFS(tblMovimientos[CantidadNeta],tblMovimientos[SKU],tblStock[[#This Row],[SKU]],tblMovimientos[FactorStock],-1))</f>
        <v/>
      </c>
      <c r="J98" s="56" t="str">
        <f>IF(tblStock[[#This Row],[SKU]]="","",SUMIFS(tblMovimientos[CantidadNeta],tblMovimientos[SKU],tblStock[[#This Row],[SKU]]))</f>
        <v/>
      </c>
      <c r="K98" s="55" t="str">
        <f>IF($B98="","",N('05_PRODUCTOS'!$F98))</f>
        <v/>
      </c>
      <c r="L98" s="55" t="str">
        <f>IF($B98="","",N('05_PRODUCTOS'!$G98))</f>
        <v/>
      </c>
      <c r="M98" s="57" t="str">
        <f>IF(OR(tblStock[[#This Row],[SKU]]="",N(tblStock[[#This Row],[StockMax]])=0),"",MAX(0,tblStock[[#This Row],[StockActual]])/tblStock[[#This Row],[StockMax]])</f>
        <v/>
      </c>
      <c r="N9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8" s="59" t="str">
        <f>IF($B98="","",N('05_PRODUCTOS'!$H98))</f>
        <v/>
      </c>
      <c r="P98" s="59" t="str">
        <f>IF(tblStock[[#This Row],[SKU]]="","",MAX(0,tblStock[[#This Row],[StockActual]])*tblStock[[#This Row],[CostoUnitario]])</f>
        <v/>
      </c>
      <c r="Q98" s="60" t="str">
        <f>IF(tblStock[[#This Row],[SKU]]="","",IFERROR(_xlfn.AGGREGATE(14,6,tblMovimientos[Fecha]/(tblMovimientos[SKU]=tblStock[[#This Row],[SKU]]),1),""))</f>
        <v/>
      </c>
      <c r="R98" s="61" t="str">
        <f ca="1">IF(OR(tblStock[[#This Row],[SKU]]="",tblStock[[#This Row],[UltimoMov]]=""),"",TODAY()-tblStock[[#This Row],[UltimoMov]])</f>
        <v/>
      </c>
    </row>
    <row r="99" spans="2:18" x14ac:dyDescent="0.25">
      <c r="B99" s="53" t="str">
        <f>IF('05_PRODUCTOS'!$B99="","",'05_PRODUCTOS'!$B99)</f>
        <v/>
      </c>
      <c r="C99" s="54" t="str">
        <f>IF($B99="","",'05_PRODUCTOS'!$C99)</f>
        <v/>
      </c>
      <c r="D99" s="54" t="str">
        <f>IF($B99="","",'05_PRODUCTOS'!$D99)</f>
        <v/>
      </c>
      <c r="E99" s="54" t="str">
        <f>IF($B99="","",'05_PRODUCTOS'!$I99&amp;"")</f>
        <v/>
      </c>
      <c r="F99" s="53" t="str">
        <f>IF($B99="","",'05_PRODUCTOS'!$E99)</f>
        <v/>
      </c>
      <c r="G99" s="53" t="str">
        <f>IF($B99="","",IF('05_PRODUCTOS'!$K99="NO","NO","SI"))</f>
        <v/>
      </c>
      <c r="H99" s="55" t="str">
        <f>IF(tblStock[[#This Row],[SKU]]="","",SUMIFS(tblMovimientos[CantidadNeta],tblMovimientos[SKU],tblStock[[#This Row],[SKU]],tblMovimientos[FactorStock],1))</f>
        <v/>
      </c>
      <c r="I99" s="55" t="str">
        <f>IF(tblStock[[#This Row],[SKU]]="","",-SUMIFS(tblMovimientos[CantidadNeta],tblMovimientos[SKU],tblStock[[#This Row],[SKU]],tblMovimientos[FactorStock],-1))</f>
        <v/>
      </c>
      <c r="J99" s="56" t="str">
        <f>IF(tblStock[[#This Row],[SKU]]="","",SUMIFS(tblMovimientos[CantidadNeta],tblMovimientos[SKU],tblStock[[#This Row],[SKU]]))</f>
        <v/>
      </c>
      <c r="K99" s="55" t="str">
        <f>IF($B99="","",N('05_PRODUCTOS'!$F99))</f>
        <v/>
      </c>
      <c r="L99" s="55" t="str">
        <f>IF($B99="","",N('05_PRODUCTOS'!$G99))</f>
        <v/>
      </c>
      <c r="M99" s="57" t="str">
        <f>IF(OR(tblStock[[#This Row],[SKU]]="",N(tblStock[[#This Row],[StockMax]])=0),"",MAX(0,tblStock[[#This Row],[StockActual]])/tblStock[[#This Row],[StockMax]])</f>
        <v/>
      </c>
      <c r="N9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99" s="59" t="str">
        <f>IF($B99="","",N('05_PRODUCTOS'!$H99))</f>
        <v/>
      </c>
      <c r="P99" s="59" t="str">
        <f>IF(tblStock[[#This Row],[SKU]]="","",MAX(0,tblStock[[#This Row],[StockActual]])*tblStock[[#This Row],[CostoUnitario]])</f>
        <v/>
      </c>
      <c r="Q99" s="60" t="str">
        <f>IF(tblStock[[#This Row],[SKU]]="","",IFERROR(_xlfn.AGGREGATE(14,6,tblMovimientos[Fecha]/(tblMovimientos[SKU]=tblStock[[#This Row],[SKU]]),1),""))</f>
        <v/>
      </c>
      <c r="R99" s="61" t="str">
        <f ca="1">IF(OR(tblStock[[#This Row],[SKU]]="",tblStock[[#This Row],[UltimoMov]]=""),"",TODAY()-tblStock[[#This Row],[UltimoMov]])</f>
        <v/>
      </c>
    </row>
    <row r="100" spans="2:18" x14ac:dyDescent="0.25">
      <c r="B100" s="53" t="str">
        <f>IF('05_PRODUCTOS'!$B100="","",'05_PRODUCTOS'!$B100)</f>
        <v/>
      </c>
      <c r="C100" s="54" t="str">
        <f>IF($B100="","",'05_PRODUCTOS'!$C100)</f>
        <v/>
      </c>
      <c r="D100" s="54" t="str">
        <f>IF($B100="","",'05_PRODUCTOS'!$D100)</f>
        <v/>
      </c>
      <c r="E100" s="54" t="str">
        <f>IF($B100="","",'05_PRODUCTOS'!$I100&amp;"")</f>
        <v/>
      </c>
      <c r="F100" s="53" t="str">
        <f>IF($B100="","",'05_PRODUCTOS'!$E100)</f>
        <v/>
      </c>
      <c r="G100" s="53" t="str">
        <f>IF($B100="","",IF('05_PRODUCTOS'!$K100="NO","NO","SI"))</f>
        <v/>
      </c>
      <c r="H100" s="55" t="str">
        <f>IF(tblStock[[#This Row],[SKU]]="","",SUMIFS(tblMovimientos[CantidadNeta],tblMovimientos[SKU],tblStock[[#This Row],[SKU]],tblMovimientos[FactorStock],1))</f>
        <v/>
      </c>
      <c r="I100" s="55" t="str">
        <f>IF(tblStock[[#This Row],[SKU]]="","",-SUMIFS(tblMovimientos[CantidadNeta],tblMovimientos[SKU],tblStock[[#This Row],[SKU]],tblMovimientos[FactorStock],-1))</f>
        <v/>
      </c>
      <c r="J100" s="56" t="str">
        <f>IF(tblStock[[#This Row],[SKU]]="","",SUMIFS(tblMovimientos[CantidadNeta],tblMovimientos[SKU],tblStock[[#This Row],[SKU]]))</f>
        <v/>
      </c>
      <c r="K100" s="55" t="str">
        <f>IF($B100="","",N('05_PRODUCTOS'!$F100))</f>
        <v/>
      </c>
      <c r="L100" s="55" t="str">
        <f>IF($B100="","",N('05_PRODUCTOS'!$G100))</f>
        <v/>
      </c>
      <c r="M100" s="57" t="str">
        <f>IF(OR(tblStock[[#This Row],[SKU]]="",N(tblStock[[#This Row],[StockMax]])=0),"",MAX(0,tblStock[[#This Row],[StockActual]])/tblStock[[#This Row],[StockMax]])</f>
        <v/>
      </c>
      <c r="N10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0" s="59" t="str">
        <f>IF($B100="","",N('05_PRODUCTOS'!$H100))</f>
        <v/>
      </c>
      <c r="P100" s="59" t="str">
        <f>IF(tblStock[[#This Row],[SKU]]="","",MAX(0,tblStock[[#This Row],[StockActual]])*tblStock[[#This Row],[CostoUnitario]])</f>
        <v/>
      </c>
      <c r="Q100" s="60" t="str">
        <f>IF(tblStock[[#This Row],[SKU]]="","",IFERROR(_xlfn.AGGREGATE(14,6,tblMovimientos[Fecha]/(tblMovimientos[SKU]=tblStock[[#This Row],[SKU]]),1),""))</f>
        <v/>
      </c>
      <c r="R100" s="61" t="str">
        <f ca="1">IF(OR(tblStock[[#This Row],[SKU]]="",tblStock[[#This Row],[UltimoMov]]=""),"",TODAY()-tblStock[[#This Row],[UltimoMov]])</f>
        <v/>
      </c>
    </row>
    <row r="101" spans="2:18" x14ac:dyDescent="0.25">
      <c r="B101" s="53" t="str">
        <f>IF('05_PRODUCTOS'!$B101="","",'05_PRODUCTOS'!$B101)</f>
        <v/>
      </c>
      <c r="C101" s="54" t="str">
        <f>IF($B101="","",'05_PRODUCTOS'!$C101)</f>
        <v/>
      </c>
      <c r="D101" s="54" t="str">
        <f>IF($B101="","",'05_PRODUCTOS'!$D101)</f>
        <v/>
      </c>
      <c r="E101" s="54" t="str">
        <f>IF($B101="","",'05_PRODUCTOS'!$I101&amp;"")</f>
        <v/>
      </c>
      <c r="F101" s="53" t="str">
        <f>IF($B101="","",'05_PRODUCTOS'!$E101)</f>
        <v/>
      </c>
      <c r="G101" s="53" t="str">
        <f>IF($B101="","",IF('05_PRODUCTOS'!$K101="NO","NO","SI"))</f>
        <v/>
      </c>
      <c r="H101" s="55" t="str">
        <f>IF(tblStock[[#This Row],[SKU]]="","",SUMIFS(tblMovimientos[CantidadNeta],tblMovimientos[SKU],tblStock[[#This Row],[SKU]],tblMovimientos[FactorStock],1))</f>
        <v/>
      </c>
      <c r="I101" s="55" t="str">
        <f>IF(tblStock[[#This Row],[SKU]]="","",-SUMIFS(tblMovimientos[CantidadNeta],tblMovimientos[SKU],tblStock[[#This Row],[SKU]],tblMovimientos[FactorStock],-1))</f>
        <v/>
      </c>
      <c r="J101" s="56" t="str">
        <f>IF(tblStock[[#This Row],[SKU]]="","",SUMIFS(tblMovimientos[CantidadNeta],tblMovimientos[SKU],tblStock[[#This Row],[SKU]]))</f>
        <v/>
      </c>
      <c r="K101" s="55" t="str">
        <f>IF($B101="","",N('05_PRODUCTOS'!$F101))</f>
        <v/>
      </c>
      <c r="L101" s="55" t="str">
        <f>IF($B101="","",N('05_PRODUCTOS'!$G101))</f>
        <v/>
      </c>
      <c r="M101" s="57" t="str">
        <f>IF(OR(tblStock[[#This Row],[SKU]]="",N(tblStock[[#This Row],[StockMax]])=0),"",MAX(0,tblStock[[#This Row],[StockActual]])/tblStock[[#This Row],[StockMax]])</f>
        <v/>
      </c>
      <c r="N10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1" s="59" t="str">
        <f>IF($B101="","",N('05_PRODUCTOS'!$H101))</f>
        <v/>
      </c>
      <c r="P101" s="59" t="str">
        <f>IF(tblStock[[#This Row],[SKU]]="","",MAX(0,tblStock[[#This Row],[StockActual]])*tblStock[[#This Row],[CostoUnitario]])</f>
        <v/>
      </c>
      <c r="Q101" s="60" t="str">
        <f>IF(tblStock[[#This Row],[SKU]]="","",IFERROR(_xlfn.AGGREGATE(14,6,tblMovimientos[Fecha]/(tblMovimientos[SKU]=tblStock[[#This Row],[SKU]]),1),""))</f>
        <v/>
      </c>
      <c r="R101" s="61" t="str">
        <f ca="1">IF(OR(tblStock[[#This Row],[SKU]]="",tblStock[[#This Row],[UltimoMov]]=""),"",TODAY()-tblStock[[#This Row],[UltimoMov]])</f>
        <v/>
      </c>
    </row>
    <row r="102" spans="2:18" x14ac:dyDescent="0.25">
      <c r="B102" s="53" t="str">
        <f>IF('05_PRODUCTOS'!$B102="","",'05_PRODUCTOS'!$B102)</f>
        <v/>
      </c>
      <c r="C102" s="54" t="str">
        <f>IF($B102="","",'05_PRODUCTOS'!$C102)</f>
        <v/>
      </c>
      <c r="D102" s="54" t="str">
        <f>IF($B102="","",'05_PRODUCTOS'!$D102)</f>
        <v/>
      </c>
      <c r="E102" s="54" t="str">
        <f>IF($B102="","",'05_PRODUCTOS'!$I102&amp;"")</f>
        <v/>
      </c>
      <c r="F102" s="53" t="str">
        <f>IF($B102="","",'05_PRODUCTOS'!$E102)</f>
        <v/>
      </c>
      <c r="G102" s="53" t="str">
        <f>IF($B102="","",IF('05_PRODUCTOS'!$K102="NO","NO","SI"))</f>
        <v/>
      </c>
      <c r="H102" s="55" t="str">
        <f>IF(tblStock[[#This Row],[SKU]]="","",SUMIFS(tblMovimientos[CantidadNeta],tblMovimientos[SKU],tblStock[[#This Row],[SKU]],tblMovimientos[FactorStock],1))</f>
        <v/>
      </c>
      <c r="I102" s="55" t="str">
        <f>IF(tblStock[[#This Row],[SKU]]="","",-SUMIFS(tblMovimientos[CantidadNeta],tblMovimientos[SKU],tblStock[[#This Row],[SKU]],tblMovimientos[FactorStock],-1))</f>
        <v/>
      </c>
      <c r="J102" s="56" t="str">
        <f>IF(tblStock[[#This Row],[SKU]]="","",SUMIFS(tblMovimientos[CantidadNeta],tblMovimientos[SKU],tblStock[[#This Row],[SKU]]))</f>
        <v/>
      </c>
      <c r="K102" s="55" t="str">
        <f>IF($B102="","",N('05_PRODUCTOS'!$F102))</f>
        <v/>
      </c>
      <c r="L102" s="55" t="str">
        <f>IF($B102="","",N('05_PRODUCTOS'!$G102))</f>
        <v/>
      </c>
      <c r="M102" s="57" t="str">
        <f>IF(OR(tblStock[[#This Row],[SKU]]="",N(tblStock[[#This Row],[StockMax]])=0),"",MAX(0,tblStock[[#This Row],[StockActual]])/tblStock[[#This Row],[StockMax]])</f>
        <v/>
      </c>
      <c r="N10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2" s="59" t="str">
        <f>IF($B102="","",N('05_PRODUCTOS'!$H102))</f>
        <v/>
      </c>
      <c r="P102" s="59" t="str">
        <f>IF(tblStock[[#This Row],[SKU]]="","",MAX(0,tblStock[[#This Row],[StockActual]])*tblStock[[#This Row],[CostoUnitario]])</f>
        <v/>
      </c>
      <c r="Q102" s="60" t="str">
        <f>IF(tblStock[[#This Row],[SKU]]="","",IFERROR(_xlfn.AGGREGATE(14,6,tblMovimientos[Fecha]/(tblMovimientos[SKU]=tblStock[[#This Row],[SKU]]),1),""))</f>
        <v/>
      </c>
      <c r="R102" s="61" t="str">
        <f ca="1">IF(OR(tblStock[[#This Row],[SKU]]="",tblStock[[#This Row],[UltimoMov]]=""),"",TODAY()-tblStock[[#This Row],[UltimoMov]])</f>
        <v/>
      </c>
    </row>
    <row r="103" spans="2:18" x14ac:dyDescent="0.25">
      <c r="B103" s="53" t="str">
        <f>IF('05_PRODUCTOS'!$B103="","",'05_PRODUCTOS'!$B103)</f>
        <v/>
      </c>
      <c r="C103" s="54" t="str">
        <f>IF($B103="","",'05_PRODUCTOS'!$C103)</f>
        <v/>
      </c>
      <c r="D103" s="54" t="str">
        <f>IF($B103="","",'05_PRODUCTOS'!$D103)</f>
        <v/>
      </c>
      <c r="E103" s="54" t="str">
        <f>IF($B103="","",'05_PRODUCTOS'!$I103&amp;"")</f>
        <v/>
      </c>
      <c r="F103" s="53" t="str">
        <f>IF($B103="","",'05_PRODUCTOS'!$E103)</f>
        <v/>
      </c>
      <c r="G103" s="53" t="str">
        <f>IF($B103="","",IF('05_PRODUCTOS'!$K103="NO","NO","SI"))</f>
        <v/>
      </c>
      <c r="H103" s="55" t="str">
        <f>IF(tblStock[[#This Row],[SKU]]="","",SUMIFS(tblMovimientos[CantidadNeta],tblMovimientos[SKU],tblStock[[#This Row],[SKU]],tblMovimientos[FactorStock],1))</f>
        <v/>
      </c>
      <c r="I103" s="55" t="str">
        <f>IF(tblStock[[#This Row],[SKU]]="","",-SUMIFS(tblMovimientos[CantidadNeta],tblMovimientos[SKU],tblStock[[#This Row],[SKU]],tblMovimientos[FactorStock],-1))</f>
        <v/>
      </c>
      <c r="J103" s="56" t="str">
        <f>IF(tblStock[[#This Row],[SKU]]="","",SUMIFS(tblMovimientos[CantidadNeta],tblMovimientos[SKU],tblStock[[#This Row],[SKU]]))</f>
        <v/>
      </c>
      <c r="K103" s="55" t="str">
        <f>IF($B103="","",N('05_PRODUCTOS'!$F103))</f>
        <v/>
      </c>
      <c r="L103" s="55" t="str">
        <f>IF($B103="","",N('05_PRODUCTOS'!$G103))</f>
        <v/>
      </c>
      <c r="M103" s="57" t="str">
        <f>IF(OR(tblStock[[#This Row],[SKU]]="",N(tblStock[[#This Row],[StockMax]])=0),"",MAX(0,tblStock[[#This Row],[StockActual]])/tblStock[[#This Row],[StockMax]])</f>
        <v/>
      </c>
      <c r="N10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3" s="59" t="str">
        <f>IF($B103="","",N('05_PRODUCTOS'!$H103))</f>
        <v/>
      </c>
      <c r="P103" s="59" t="str">
        <f>IF(tblStock[[#This Row],[SKU]]="","",MAX(0,tblStock[[#This Row],[StockActual]])*tblStock[[#This Row],[CostoUnitario]])</f>
        <v/>
      </c>
      <c r="Q103" s="60" t="str">
        <f>IF(tblStock[[#This Row],[SKU]]="","",IFERROR(_xlfn.AGGREGATE(14,6,tblMovimientos[Fecha]/(tblMovimientos[SKU]=tblStock[[#This Row],[SKU]]),1),""))</f>
        <v/>
      </c>
      <c r="R103" s="61" t="str">
        <f ca="1">IF(OR(tblStock[[#This Row],[SKU]]="",tblStock[[#This Row],[UltimoMov]]=""),"",TODAY()-tblStock[[#This Row],[UltimoMov]])</f>
        <v/>
      </c>
    </row>
    <row r="104" spans="2:18" x14ac:dyDescent="0.25">
      <c r="B104" s="53" t="str">
        <f>IF('05_PRODUCTOS'!$B104="","",'05_PRODUCTOS'!$B104)</f>
        <v/>
      </c>
      <c r="C104" s="54" t="str">
        <f>IF($B104="","",'05_PRODUCTOS'!$C104)</f>
        <v/>
      </c>
      <c r="D104" s="54" t="str">
        <f>IF($B104="","",'05_PRODUCTOS'!$D104)</f>
        <v/>
      </c>
      <c r="E104" s="54" t="str">
        <f>IF($B104="","",'05_PRODUCTOS'!$I104&amp;"")</f>
        <v/>
      </c>
      <c r="F104" s="53" t="str">
        <f>IF($B104="","",'05_PRODUCTOS'!$E104)</f>
        <v/>
      </c>
      <c r="G104" s="53" t="str">
        <f>IF($B104="","",IF('05_PRODUCTOS'!$K104="NO","NO","SI"))</f>
        <v/>
      </c>
      <c r="H104" s="55" t="str">
        <f>IF(tblStock[[#This Row],[SKU]]="","",SUMIFS(tblMovimientos[CantidadNeta],tblMovimientos[SKU],tblStock[[#This Row],[SKU]],tblMovimientos[FactorStock],1))</f>
        <v/>
      </c>
      <c r="I104" s="55" t="str">
        <f>IF(tblStock[[#This Row],[SKU]]="","",-SUMIFS(tblMovimientos[CantidadNeta],tblMovimientos[SKU],tblStock[[#This Row],[SKU]],tblMovimientos[FactorStock],-1))</f>
        <v/>
      </c>
      <c r="J104" s="56" t="str">
        <f>IF(tblStock[[#This Row],[SKU]]="","",SUMIFS(tblMovimientos[CantidadNeta],tblMovimientos[SKU],tblStock[[#This Row],[SKU]]))</f>
        <v/>
      </c>
      <c r="K104" s="55" t="str">
        <f>IF($B104="","",N('05_PRODUCTOS'!$F104))</f>
        <v/>
      </c>
      <c r="L104" s="55" t="str">
        <f>IF($B104="","",N('05_PRODUCTOS'!$G104))</f>
        <v/>
      </c>
      <c r="M104" s="57" t="str">
        <f>IF(OR(tblStock[[#This Row],[SKU]]="",N(tblStock[[#This Row],[StockMax]])=0),"",MAX(0,tblStock[[#This Row],[StockActual]])/tblStock[[#This Row],[StockMax]])</f>
        <v/>
      </c>
      <c r="N10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4" s="59" t="str">
        <f>IF($B104="","",N('05_PRODUCTOS'!$H104))</f>
        <v/>
      </c>
      <c r="P104" s="59" t="str">
        <f>IF(tblStock[[#This Row],[SKU]]="","",MAX(0,tblStock[[#This Row],[StockActual]])*tblStock[[#This Row],[CostoUnitario]])</f>
        <v/>
      </c>
      <c r="Q104" s="60" t="str">
        <f>IF(tblStock[[#This Row],[SKU]]="","",IFERROR(_xlfn.AGGREGATE(14,6,tblMovimientos[Fecha]/(tblMovimientos[SKU]=tblStock[[#This Row],[SKU]]),1),""))</f>
        <v/>
      </c>
      <c r="R104" s="61" t="str">
        <f ca="1">IF(OR(tblStock[[#This Row],[SKU]]="",tblStock[[#This Row],[UltimoMov]]=""),"",TODAY()-tblStock[[#This Row],[UltimoMov]])</f>
        <v/>
      </c>
    </row>
    <row r="105" spans="2:18" x14ac:dyDescent="0.25">
      <c r="B105" s="53" t="str">
        <f>IF('05_PRODUCTOS'!$B105="","",'05_PRODUCTOS'!$B105)</f>
        <v/>
      </c>
      <c r="C105" s="54" t="str">
        <f>IF($B105="","",'05_PRODUCTOS'!$C105)</f>
        <v/>
      </c>
      <c r="D105" s="54" t="str">
        <f>IF($B105="","",'05_PRODUCTOS'!$D105)</f>
        <v/>
      </c>
      <c r="E105" s="54" t="str">
        <f>IF($B105="","",'05_PRODUCTOS'!$I105&amp;"")</f>
        <v/>
      </c>
      <c r="F105" s="53" t="str">
        <f>IF($B105="","",'05_PRODUCTOS'!$E105)</f>
        <v/>
      </c>
      <c r="G105" s="53" t="str">
        <f>IF($B105="","",IF('05_PRODUCTOS'!$K105="NO","NO","SI"))</f>
        <v/>
      </c>
      <c r="H105" s="55" t="str">
        <f>IF(tblStock[[#This Row],[SKU]]="","",SUMIFS(tblMovimientos[CantidadNeta],tblMovimientos[SKU],tblStock[[#This Row],[SKU]],tblMovimientos[FactorStock],1))</f>
        <v/>
      </c>
      <c r="I105" s="55" t="str">
        <f>IF(tblStock[[#This Row],[SKU]]="","",-SUMIFS(tblMovimientos[CantidadNeta],tblMovimientos[SKU],tblStock[[#This Row],[SKU]],tblMovimientos[FactorStock],-1))</f>
        <v/>
      </c>
      <c r="J105" s="56" t="str">
        <f>IF(tblStock[[#This Row],[SKU]]="","",SUMIFS(tblMovimientos[CantidadNeta],tblMovimientos[SKU],tblStock[[#This Row],[SKU]]))</f>
        <v/>
      </c>
      <c r="K105" s="55" t="str">
        <f>IF($B105="","",N('05_PRODUCTOS'!$F105))</f>
        <v/>
      </c>
      <c r="L105" s="55" t="str">
        <f>IF($B105="","",N('05_PRODUCTOS'!$G105))</f>
        <v/>
      </c>
      <c r="M105" s="57" t="str">
        <f>IF(OR(tblStock[[#This Row],[SKU]]="",N(tblStock[[#This Row],[StockMax]])=0),"",MAX(0,tblStock[[#This Row],[StockActual]])/tblStock[[#This Row],[StockMax]])</f>
        <v/>
      </c>
      <c r="N10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5" s="59" t="str">
        <f>IF($B105="","",N('05_PRODUCTOS'!$H105))</f>
        <v/>
      </c>
      <c r="P105" s="59" t="str">
        <f>IF(tblStock[[#This Row],[SKU]]="","",MAX(0,tblStock[[#This Row],[StockActual]])*tblStock[[#This Row],[CostoUnitario]])</f>
        <v/>
      </c>
      <c r="Q105" s="60" t="str">
        <f>IF(tblStock[[#This Row],[SKU]]="","",IFERROR(_xlfn.AGGREGATE(14,6,tblMovimientos[Fecha]/(tblMovimientos[SKU]=tblStock[[#This Row],[SKU]]),1),""))</f>
        <v/>
      </c>
      <c r="R105" s="61" t="str">
        <f ca="1">IF(OR(tblStock[[#This Row],[SKU]]="",tblStock[[#This Row],[UltimoMov]]=""),"",TODAY()-tblStock[[#This Row],[UltimoMov]])</f>
        <v/>
      </c>
    </row>
    <row r="106" spans="2:18" x14ac:dyDescent="0.25">
      <c r="B106" s="53" t="str">
        <f>IF('05_PRODUCTOS'!$B106="","",'05_PRODUCTOS'!$B106)</f>
        <v/>
      </c>
      <c r="C106" s="54" t="str">
        <f>IF($B106="","",'05_PRODUCTOS'!$C106)</f>
        <v/>
      </c>
      <c r="D106" s="54" t="str">
        <f>IF($B106="","",'05_PRODUCTOS'!$D106)</f>
        <v/>
      </c>
      <c r="E106" s="54" t="str">
        <f>IF($B106="","",'05_PRODUCTOS'!$I106&amp;"")</f>
        <v/>
      </c>
      <c r="F106" s="53" t="str">
        <f>IF($B106="","",'05_PRODUCTOS'!$E106)</f>
        <v/>
      </c>
      <c r="G106" s="53" t="str">
        <f>IF($B106="","",IF('05_PRODUCTOS'!$K106="NO","NO","SI"))</f>
        <v/>
      </c>
      <c r="H106" s="55" t="str">
        <f>IF(tblStock[[#This Row],[SKU]]="","",SUMIFS(tblMovimientos[CantidadNeta],tblMovimientos[SKU],tblStock[[#This Row],[SKU]],tblMovimientos[FactorStock],1))</f>
        <v/>
      </c>
      <c r="I106" s="55" t="str">
        <f>IF(tblStock[[#This Row],[SKU]]="","",-SUMIFS(tblMovimientos[CantidadNeta],tblMovimientos[SKU],tblStock[[#This Row],[SKU]],tblMovimientos[FactorStock],-1))</f>
        <v/>
      </c>
      <c r="J106" s="56" t="str">
        <f>IF(tblStock[[#This Row],[SKU]]="","",SUMIFS(tblMovimientos[CantidadNeta],tblMovimientos[SKU],tblStock[[#This Row],[SKU]]))</f>
        <v/>
      </c>
      <c r="K106" s="55" t="str">
        <f>IF($B106="","",N('05_PRODUCTOS'!$F106))</f>
        <v/>
      </c>
      <c r="L106" s="55" t="str">
        <f>IF($B106="","",N('05_PRODUCTOS'!$G106))</f>
        <v/>
      </c>
      <c r="M106" s="57" t="str">
        <f>IF(OR(tblStock[[#This Row],[SKU]]="",N(tblStock[[#This Row],[StockMax]])=0),"",MAX(0,tblStock[[#This Row],[StockActual]])/tblStock[[#This Row],[StockMax]])</f>
        <v/>
      </c>
      <c r="N10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6" s="59" t="str">
        <f>IF($B106="","",N('05_PRODUCTOS'!$H106))</f>
        <v/>
      </c>
      <c r="P106" s="59" t="str">
        <f>IF(tblStock[[#This Row],[SKU]]="","",MAX(0,tblStock[[#This Row],[StockActual]])*tblStock[[#This Row],[CostoUnitario]])</f>
        <v/>
      </c>
      <c r="Q106" s="60" t="str">
        <f>IF(tblStock[[#This Row],[SKU]]="","",IFERROR(_xlfn.AGGREGATE(14,6,tblMovimientos[Fecha]/(tblMovimientos[SKU]=tblStock[[#This Row],[SKU]]),1),""))</f>
        <v/>
      </c>
      <c r="R106" s="61" t="str">
        <f ca="1">IF(OR(tblStock[[#This Row],[SKU]]="",tblStock[[#This Row],[UltimoMov]]=""),"",TODAY()-tblStock[[#This Row],[UltimoMov]])</f>
        <v/>
      </c>
    </row>
    <row r="107" spans="2:18" x14ac:dyDescent="0.25">
      <c r="B107" s="53" t="str">
        <f>IF('05_PRODUCTOS'!$B107="","",'05_PRODUCTOS'!$B107)</f>
        <v/>
      </c>
      <c r="C107" s="54" t="str">
        <f>IF($B107="","",'05_PRODUCTOS'!$C107)</f>
        <v/>
      </c>
      <c r="D107" s="54" t="str">
        <f>IF($B107="","",'05_PRODUCTOS'!$D107)</f>
        <v/>
      </c>
      <c r="E107" s="54" t="str">
        <f>IF($B107="","",'05_PRODUCTOS'!$I107&amp;"")</f>
        <v/>
      </c>
      <c r="F107" s="53" t="str">
        <f>IF($B107="","",'05_PRODUCTOS'!$E107)</f>
        <v/>
      </c>
      <c r="G107" s="53" t="str">
        <f>IF($B107="","",IF('05_PRODUCTOS'!$K107="NO","NO","SI"))</f>
        <v/>
      </c>
      <c r="H107" s="55" t="str">
        <f>IF(tblStock[[#This Row],[SKU]]="","",SUMIFS(tblMovimientos[CantidadNeta],tblMovimientos[SKU],tblStock[[#This Row],[SKU]],tblMovimientos[FactorStock],1))</f>
        <v/>
      </c>
      <c r="I107" s="55" t="str">
        <f>IF(tblStock[[#This Row],[SKU]]="","",-SUMIFS(tblMovimientos[CantidadNeta],tblMovimientos[SKU],tblStock[[#This Row],[SKU]],tblMovimientos[FactorStock],-1))</f>
        <v/>
      </c>
      <c r="J107" s="56" t="str">
        <f>IF(tblStock[[#This Row],[SKU]]="","",SUMIFS(tblMovimientos[CantidadNeta],tblMovimientos[SKU],tblStock[[#This Row],[SKU]]))</f>
        <v/>
      </c>
      <c r="K107" s="55" t="str">
        <f>IF($B107="","",N('05_PRODUCTOS'!$F107))</f>
        <v/>
      </c>
      <c r="L107" s="55" t="str">
        <f>IF($B107="","",N('05_PRODUCTOS'!$G107))</f>
        <v/>
      </c>
      <c r="M107" s="57" t="str">
        <f>IF(OR(tblStock[[#This Row],[SKU]]="",N(tblStock[[#This Row],[StockMax]])=0),"",MAX(0,tblStock[[#This Row],[StockActual]])/tblStock[[#This Row],[StockMax]])</f>
        <v/>
      </c>
      <c r="N10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7" s="59" t="str">
        <f>IF($B107="","",N('05_PRODUCTOS'!$H107))</f>
        <v/>
      </c>
      <c r="P107" s="59" t="str">
        <f>IF(tblStock[[#This Row],[SKU]]="","",MAX(0,tblStock[[#This Row],[StockActual]])*tblStock[[#This Row],[CostoUnitario]])</f>
        <v/>
      </c>
      <c r="Q107" s="60" t="str">
        <f>IF(tblStock[[#This Row],[SKU]]="","",IFERROR(_xlfn.AGGREGATE(14,6,tblMovimientos[Fecha]/(tblMovimientos[SKU]=tblStock[[#This Row],[SKU]]),1),""))</f>
        <v/>
      </c>
      <c r="R107" s="61" t="str">
        <f ca="1">IF(OR(tblStock[[#This Row],[SKU]]="",tblStock[[#This Row],[UltimoMov]]=""),"",TODAY()-tblStock[[#This Row],[UltimoMov]])</f>
        <v/>
      </c>
    </row>
    <row r="108" spans="2:18" x14ac:dyDescent="0.25">
      <c r="B108" s="53" t="str">
        <f>IF('05_PRODUCTOS'!$B108="","",'05_PRODUCTOS'!$B108)</f>
        <v/>
      </c>
      <c r="C108" s="54" t="str">
        <f>IF($B108="","",'05_PRODUCTOS'!$C108)</f>
        <v/>
      </c>
      <c r="D108" s="54" t="str">
        <f>IF($B108="","",'05_PRODUCTOS'!$D108)</f>
        <v/>
      </c>
      <c r="E108" s="54" t="str">
        <f>IF($B108="","",'05_PRODUCTOS'!$I108&amp;"")</f>
        <v/>
      </c>
      <c r="F108" s="53" t="str">
        <f>IF($B108="","",'05_PRODUCTOS'!$E108)</f>
        <v/>
      </c>
      <c r="G108" s="53" t="str">
        <f>IF($B108="","",IF('05_PRODUCTOS'!$K108="NO","NO","SI"))</f>
        <v/>
      </c>
      <c r="H108" s="55" t="str">
        <f>IF(tblStock[[#This Row],[SKU]]="","",SUMIFS(tblMovimientos[CantidadNeta],tblMovimientos[SKU],tblStock[[#This Row],[SKU]],tblMovimientos[FactorStock],1))</f>
        <v/>
      </c>
      <c r="I108" s="55" t="str">
        <f>IF(tblStock[[#This Row],[SKU]]="","",-SUMIFS(tblMovimientos[CantidadNeta],tblMovimientos[SKU],tblStock[[#This Row],[SKU]],tblMovimientos[FactorStock],-1))</f>
        <v/>
      </c>
      <c r="J108" s="56" t="str">
        <f>IF(tblStock[[#This Row],[SKU]]="","",SUMIFS(tblMovimientos[CantidadNeta],tblMovimientos[SKU],tblStock[[#This Row],[SKU]]))</f>
        <v/>
      </c>
      <c r="K108" s="55" t="str">
        <f>IF($B108="","",N('05_PRODUCTOS'!$F108))</f>
        <v/>
      </c>
      <c r="L108" s="55" t="str">
        <f>IF($B108="","",N('05_PRODUCTOS'!$G108))</f>
        <v/>
      </c>
      <c r="M108" s="57" t="str">
        <f>IF(OR(tblStock[[#This Row],[SKU]]="",N(tblStock[[#This Row],[StockMax]])=0),"",MAX(0,tblStock[[#This Row],[StockActual]])/tblStock[[#This Row],[StockMax]])</f>
        <v/>
      </c>
      <c r="N10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8" s="59" t="str">
        <f>IF($B108="","",N('05_PRODUCTOS'!$H108))</f>
        <v/>
      </c>
      <c r="P108" s="59" t="str">
        <f>IF(tblStock[[#This Row],[SKU]]="","",MAX(0,tblStock[[#This Row],[StockActual]])*tblStock[[#This Row],[CostoUnitario]])</f>
        <v/>
      </c>
      <c r="Q108" s="60" t="str">
        <f>IF(tblStock[[#This Row],[SKU]]="","",IFERROR(_xlfn.AGGREGATE(14,6,tblMovimientos[Fecha]/(tblMovimientos[SKU]=tblStock[[#This Row],[SKU]]),1),""))</f>
        <v/>
      </c>
      <c r="R108" s="61" t="str">
        <f ca="1">IF(OR(tblStock[[#This Row],[SKU]]="",tblStock[[#This Row],[UltimoMov]]=""),"",TODAY()-tblStock[[#This Row],[UltimoMov]])</f>
        <v/>
      </c>
    </row>
    <row r="109" spans="2:18" x14ac:dyDescent="0.25">
      <c r="B109" s="53" t="str">
        <f>IF('05_PRODUCTOS'!$B109="","",'05_PRODUCTOS'!$B109)</f>
        <v/>
      </c>
      <c r="C109" s="54" t="str">
        <f>IF($B109="","",'05_PRODUCTOS'!$C109)</f>
        <v/>
      </c>
      <c r="D109" s="54" t="str">
        <f>IF($B109="","",'05_PRODUCTOS'!$D109)</f>
        <v/>
      </c>
      <c r="E109" s="54" t="str">
        <f>IF($B109="","",'05_PRODUCTOS'!$I109&amp;"")</f>
        <v/>
      </c>
      <c r="F109" s="53" t="str">
        <f>IF($B109="","",'05_PRODUCTOS'!$E109)</f>
        <v/>
      </c>
      <c r="G109" s="53" t="str">
        <f>IF($B109="","",IF('05_PRODUCTOS'!$K109="NO","NO","SI"))</f>
        <v/>
      </c>
      <c r="H109" s="55" t="str">
        <f>IF(tblStock[[#This Row],[SKU]]="","",SUMIFS(tblMovimientos[CantidadNeta],tblMovimientos[SKU],tblStock[[#This Row],[SKU]],tblMovimientos[FactorStock],1))</f>
        <v/>
      </c>
      <c r="I109" s="55" t="str">
        <f>IF(tblStock[[#This Row],[SKU]]="","",-SUMIFS(tblMovimientos[CantidadNeta],tblMovimientos[SKU],tblStock[[#This Row],[SKU]],tblMovimientos[FactorStock],-1))</f>
        <v/>
      </c>
      <c r="J109" s="56" t="str">
        <f>IF(tblStock[[#This Row],[SKU]]="","",SUMIFS(tblMovimientos[CantidadNeta],tblMovimientos[SKU],tblStock[[#This Row],[SKU]]))</f>
        <v/>
      </c>
      <c r="K109" s="55" t="str">
        <f>IF($B109="","",N('05_PRODUCTOS'!$F109))</f>
        <v/>
      </c>
      <c r="L109" s="55" t="str">
        <f>IF($B109="","",N('05_PRODUCTOS'!$G109))</f>
        <v/>
      </c>
      <c r="M109" s="57" t="str">
        <f>IF(OR(tblStock[[#This Row],[SKU]]="",N(tblStock[[#This Row],[StockMax]])=0),"",MAX(0,tblStock[[#This Row],[StockActual]])/tblStock[[#This Row],[StockMax]])</f>
        <v/>
      </c>
      <c r="N10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09" s="59" t="str">
        <f>IF($B109="","",N('05_PRODUCTOS'!$H109))</f>
        <v/>
      </c>
      <c r="P109" s="59" t="str">
        <f>IF(tblStock[[#This Row],[SKU]]="","",MAX(0,tblStock[[#This Row],[StockActual]])*tblStock[[#This Row],[CostoUnitario]])</f>
        <v/>
      </c>
      <c r="Q109" s="60" t="str">
        <f>IF(tblStock[[#This Row],[SKU]]="","",IFERROR(_xlfn.AGGREGATE(14,6,tblMovimientos[Fecha]/(tblMovimientos[SKU]=tblStock[[#This Row],[SKU]]),1),""))</f>
        <v/>
      </c>
      <c r="R109" s="61" t="str">
        <f ca="1">IF(OR(tblStock[[#This Row],[SKU]]="",tblStock[[#This Row],[UltimoMov]]=""),"",TODAY()-tblStock[[#This Row],[UltimoMov]])</f>
        <v/>
      </c>
    </row>
    <row r="110" spans="2:18" x14ac:dyDescent="0.25">
      <c r="B110" s="53" t="str">
        <f>IF('05_PRODUCTOS'!$B110="","",'05_PRODUCTOS'!$B110)</f>
        <v/>
      </c>
      <c r="C110" s="54" t="str">
        <f>IF($B110="","",'05_PRODUCTOS'!$C110)</f>
        <v/>
      </c>
      <c r="D110" s="54" t="str">
        <f>IF($B110="","",'05_PRODUCTOS'!$D110)</f>
        <v/>
      </c>
      <c r="E110" s="54" t="str">
        <f>IF($B110="","",'05_PRODUCTOS'!$I110&amp;"")</f>
        <v/>
      </c>
      <c r="F110" s="53" t="str">
        <f>IF($B110="","",'05_PRODUCTOS'!$E110)</f>
        <v/>
      </c>
      <c r="G110" s="53" t="str">
        <f>IF($B110="","",IF('05_PRODUCTOS'!$K110="NO","NO","SI"))</f>
        <v/>
      </c>
      <c r="H110" s="55" t="str">
        <f>IF(tblStock[[#This Row],[SKU]]="","",SUMIFS(tblMovimientos[CantidadNeta],tblMovimientos[SKU],tblStock[[#This Row],[SKU]],tblMovimientos[FactorStock],1))</f>
        <v/>
      </c>
      <c r="I110" s="55" t="str">
        <f>IF(tblStock[[#This Row],[SKU]]="","",-SUMIFS(tblMovimientos[CantidadNeta],tblMovimientos[SKU],tblStock[[#This Row],[SKU]],tblMovimientos[FactorStock],-1))</f>
        <v/>
      </c>
      <c r="J110" s="56" t="str">
        <f>IF(tblStock[[#This Row],[SKU]]="","",SUMIFS(tblMovimientos[CantidadNeta],tblMovimientos[SKU],tblStock[[#This Row],[SKU]]))</f>
        <v/>
      </c>
      <c r="K110" s="55" t="str">
        <f>IF($B110="","",N('05_PRODUCTOS'!$F110))</f>
        <v/>
      </c>
      <c r="L110" s="55" t="str">
        <f>IF($B110="","",N('05_PRODUCTOS'!$G110))</f>
        <v/>
      </c>
      <c r="M110" s="57" t="str">
        <f>IF(OR(tblStock[[#This Row],[SKU]]="",N(tblStock[[#This Row],[StockMax]])=0),"",MAX(0,tblStock[[#This Row],[StockActual]])/tblStock[[#This Row],[StockMax]])</f>
        <v/>
      </c>
      <c r="N11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0" s="59" t="str">
        <f>IF($B110="","",N('05_PRODUCTOS'!$H110))</f>
        <v/>
      </c>
      <c r="P110" s="59" t="str">
        <f>IF(tblStock[[#This Row],[SKU]]="","",MAX(0,tblStock[[#This Row],[StockActual]])*tblStock[[#This Row],[CostoUnitario]])</f>
        <v/>
      </c>
      <c r="Q110" s="60" t="str">
        <f>IF(tblStock[[#This Row],[SKU]]="","",IFERROR(_xlfn.AGGREGATE(14,6,tblMovimientos[Fecha]/(tblMovimientos[SKU]=tblStock[[#This Row],[SKU]]),1),""))</f>
        <v/>
      </c>
      <c r="R110" s="61" t="str">
        <f ca="1">IF(OR(tblStock[[#This Row],[SKU]]="",tblStock[[#This Row],[UltimoMov]]=""),"",TODAY()-tblStock[[#This Row],[UltimoMov]])</f>
        <v/>
      </c>
    </row>
    <row r="111" spans="2:18" x14ac:dyDescent="0.25">
      <c r="B111" s="53" t="str">
        <f>IF('05_PRODUCTOS'!$B111="","",'05_PRODUCTOS'!$B111)</f>
        <v/>
      </c>
      <c r="C111" s="54" t="str">
        <f>IF($B111="","",'05_PRODUCTOS'!$C111)</f>
        <v/>
      </c>
      <c r="D111" s="54" t="str">
        <f>IF($B111="","",'05_PRODUCTOS'!$D111)</f>
        <v/>
      </c>
      <c r="E111" s="54" t="str">
        <f>IF($B111="","",'05_PRODUCTOS'!$I111&amp;"")</f>
        <v/>
      </c>
      <c r="F111" s="53" t="str">
        <f>IF($B111="","",'05_PRODUCTOS'!$E111)</f>
        <v/>
      </c>
      <c r="G111" s="53" t="str">
        <f>IF($B111="","",IF('05_PRODUCTOS'!$K111="NO","NO","SI"))</f>
        <v/>
      </c>
      <c r="H111" s="55" t="str">
        <f>IF(tblStock[[#This Row],[SKU]]="","",SUMIFS(tblMovimientos[CantidadNeta],tblMovimientos[SKU],tblStock[[#This Row],[SKU]],tblMovimientos[FactorStock],1))</f>
        <v/>
      </c>
      <c r="I111" s="55" t="str">
        <f>IF(tblStock[[#This Row],[SKU]]="","",-SUMIFS(tblMovimientos[CantidadNeta],tblMovimientos[SKU],tblStock[[#This Row],[SKU]],tblMovimientos[FactorStock],-1))</f>
        <v/>
      </c>
      <c r="J111" s="56" t="str">
        <f>IF(tblStock[[#This Row],[SKU]]="","",SUMIFS(tblMovimientos[CantidadNeta],tblMovimientos[SKU],tblStock[[#This Row],[SKU]]))</f>
        <v/>
      </c>
      <c r="K111" s="55" t="str">
        <f>IF($B111="","",N('05_PRODUCTOS'!$F111))</f>
        <v/>
      </c>
      <c r="L111" s="55" t="str">
        <f>IF($B111="","",N('05_PRODUCTOS'!$G111))</f>
        <v/>
      </c>
      <c r="M111" s="57" t="str">
        <f>IF(OR(tblStock[[#This Row],[SKU]]="",N(tblStock[[#This Row],[StockMax]])=0),"",MAX(0,tblStock[[#This Row],[StockActual]])/tblStock[[#This Row],[StockMax]])</f>
        <v/>
      </c>
      <c r="N11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1" s="59" t="str">
        <f>IF($B111="","",N('05_PRODUCTOS'!$H111))</f>
        <v/>
      </c>
      <c r="P111" s="59" t="str">
        <f>IF(tblStock[[#This Row],[SKU]]="","",MAX(0,tblStock[[#This Row],[StockActual]])*tblStock[[#This Row],[CostoUnitario]])</f>
        <v/>
      </c>
      <c r="Q111" s="60" t="str">
        <f>IF(tblStock[[#This Row],[SKU]]="","",IFERROR(_xlfn.AGGREGATE(14,6,tblMovimientos[Fecha]/(tblMovimientos[SKU]=tblStock[[#This Row],[SKU]]),1),""))</f>
        <v/>
      </c>
      <c r="R111" s="61" t="str">
        <f ca="1">IF(OR(tblStock[[#This Row],[SKU]]="",tblStock[[#This Row],[UltimoMov]]=""),"",TODAY()-tblStock[[#This Row],[UltimoMov]])</f>
        <v/>
      </c>
    </row>
    <row r="112" spans="2:18" x14ac:dyDescent="0.25">
      <c r="B112" s="53" t="str">
        <f>IF('05_PRODUCTOS'!$B112="","",'05_PRODUCTOS'!$B112)</f>
        <v/>
      </c>
      <c r="C112" s="54" t="str">
        <f>IF($B112="","",'05_PRODUCTOS'!$C112)</f>
        <v/>
      </c>
      <c r="D112" s="54" t="str">
        <f>IF($B112="","",'05_PRODUCTOS'!$D112)</f>
        <v/>
      </c>
      <c r="E112" s="54" t="str">
        <f>IF($B112="","",'05_PRODUCTOS'!$I112&amp;"")</f>
        <v/>
      </c>
      <c r="F112" s="53" t="str">
        <f>IF($B112="","",'05_PRODUCTOS'!$E112)</f>
        <v/>
      </c>
      <c r="G112" s="53" t="str">
        <f>IF($B112="","",IF('05_PRODUCTOS'!$K112="NO","NO","SI"))</f>
        <v/>
      </c>
      <c r="H112" s="55" t="str">
        <f>IF(tblStock[[#This Row],[SKU]]="","",SUMIFS(tblMovimientos[CantidadNeta],tblMovimientos[SKU],tblStock[[#This Row],[SKU]],tblMovimientos[FactorStock],1))</f>
        <v/>
      </c>
      <c r="I112" s="55" t="str">
        <f>IF(tblStock[[#This Row],[SKU]]="","",-SUMIFS(tblMovimientos[CantidadNeta],tblMovimientos[SKU],tblStock[[#This Row],[SKU]],tblMovimientos[FactorStock],-1))</f>
        <v/>
      </c>
      <c r="J112" s="56" t="str">
        <f>IF(tblStock[[#This Row],[SKU]]="","",SUMIFS(tblMovimientos[CantidadNeta],tblMovimientos[SKU],tblStock[[#This Row],[SKU]]))</f>
        <v/>
      </c>
      <c r="K112" s="55" t="str">
        <f>IF($B112="","",N('05_PRODUCTOS'!$F112))</f>
        <v/>
      </c>
      <c r="L112" s="55" t="str">
        <f>IF($B112="","",N('05_PRODUCTOS'!$G112))</f>
        <v/>
      </c>
      <c r="M112" s="57" t="str">
        <f>IF(OR(tblStock[[#This Row],[SKU]]="",N(tblStock[[#This Row],[StockMax]])=0),"",MAX(0,tblStock[[#This Row],[StockActual]])/tblStock[[#This Row],[StockMax]])</f>
        <v/>
      </c>
      <c r="N11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2" s="59" t="str">
        <f>IF($B112="","",N('05_PRODUCTOS'!$H112))</f>
        <v/>
      </c>
      <c r="P112" s="59" t="str">
        <f>IF(tblStock[[#This Row],[SKU]]="","",MAX(0,tblStock[[#This Row],[StockActual]])*tblStock[[#This Row],[CostoUnitario]])</f>
        <v/>
      </c>
      <c r="Q112" s="60" t="str">
        <f>IF(tblStock[[#This Row],[SKU]]="","",IFERROR(_xlfn.AGGREGATE(14,6,tblMovimientos[Fecha]/(tblMovimientos[SKU]=tblStock[[#This Row],[SKU]]),1),""))</f>
        <v/>
      </c>
      <c r="R112" s="61" t="str">
        <f ca="1">IF(OR(tblStock[[#This Row],[SKU]]="",tblStock[[#This Row],[UltimoMov]]=""),"",TODAY()-tblStock[[#This Row],[UltimoMov]])</f>
        <v/>
      </c>
    </row>
    <row r="113" spans="2:18" x14ac:dyDescent="0.25">
      <c r="B113" s="53" t="str">
        <f>IF('05_PRODUCTOS'!$B113="","",'05_PRODUCTOS'!$B113)</f>
        <v/>
      </c>
      <c r="C113" s="54" t="str">
        <f>IF($B113="","",'05_PRODUCTOS'!$C113)</f>
        <v/>
      </c>
      <c r="D113" s="54" t="str">
        <f>IF($B113="","",'05_PRODUCTOS'!$D113)</f>
        <v/>
      </c>
      <c r="E113" s="54" t="str">
        <f>IF($B113="","",'05_PRODUCTOS'!$I113&amp;"")</f>
        <v/>
      </c>
      <c r="F113" s="53" t="str">
        <f>IF($B113="","",'05_PRODUCTOS'!$E113)</f>
        <v/>
      </c>
      <c r="G113" s="53" t="str">
        <f>IF($B113="","",IF('05_PRODUCTOS'!$K113="NO","NO","SI"))</f>
        <v/>
      </c>
      <c r="H113" s="55" t="str">
        <f>IF(tblStock[[#This Row],[SKU]]="","",SUMIFS(tblMovimientos[CantidadNeta],tblMovimientos[SKU],tblStock[[#This Row],[SKU]],tblMovimientos[FactorStock],1))</f>
        <v/>
      </c>
      <c r="I113" s="55" t="str">
        <f>IF(tblStock[[#This Row],[SKU]]="","",-SUMIFS(tblMovimientos[CantidadNeta],tblMovimientos[SKU],tblStock[[#This Row],[SKU]],tblMovimientos[FactorStock],-1))</f>
        <v/>
      </c>
      <c r="J113" s="56" t="str">
        <f>IF(tblStock[[#This Row],[SKU]]="","",SUMIFS(tblMovimientos[CantidadNeta],tblMovimientos[SKU],tblStock[[#This Row],[SKU]]))</f>
        <v/>
      </c>
      <c r="K113" s="55" t="str">
        <f>IF($B113="","",N('05_PRODUCTOS'!$F113))</f>
        <v/>
      </c>
      <c r="L113" s="55" t="str">
        <f>IF($B113="","",N('05_PRODUCTOS'!$G113))</f>
        <v/>
      </c>
      <c r="M113" s="57" t="str">
        <f>IF(OR(tblStock[[#This Row],[SKU]]="",N(tblStock[[#This Row],[StockMax]])=0),"",MAX(0,tblStock[[#This Row],[StockActual]])/tblStock[[#This Row],[StockMax]])</f>
        <v/>
      </c>
      <c r="N11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3" s="59" t="str">
        <f>IF($B113="","",N('05_PRODUCTOS'!$H113))</f>
        <v/>
      </c>
      <c r="P113" s="59" t="str">
        <f>IF(tblStock[[#This Row],[SKU]]="","",MAX(0,tblStock[[#This Row],[StockActual]])*tblStock[[#This Row],[CostoUnitario]])</f>
        <v/>
      </c>
      <c r="Q113" s="60" t="str">
        <f>IF(tblStock[[#This Row],[SKU]]="","",IFERROR(_xlfn.AGGREGATE(14,6,tblMovimientos[Fecha]/(tblMovimientos[SKU]=tblStock[[#This Row],[SKU]]),1),""))</f>
        <v/>
      </c>
      <c r="R113" s="61" t="str">
        <f ca="1">IF(OR(tblStock[[#This Row],[SKU]]="",tblStock[[#This Row],[UltimoMov]]=""),"",TODAY()-tblStock[[#This Row],[UltimoMov]])</f>
        <v/>
      </c>
    </row>
    <row r="114" spans="2:18" x14ac:dyDescent="0.25">
      <c r="B114" s="53" t="str">
        <f>IF('05_PRODUCTOS'!$B114="","",'05_PRODUCTOS'!$B114)</f>
        <v/>
      </c>
      <c r="C114" s="54" t="str">
        <f>IF($B114="","",'05_PRODUCTOS'!$C114)</f>
        <v/>
      </c>
      <c r="D114" s="54" t="str">
        <f>IF($B114="","",'05_PRODUCTOS'!$D114)</f>
        <v/>
      </c>
      <c r="E114" s="54" t="str">
        <f>IF($B114="","",'05_PRODUCTOS'!$I114&amp;"")</f>
        <v/>
      </c>
      <c r="F114" s="53" t="str">
        <f>IF($B114="","",'05_PRODUCTOS'!$E114)</f>
        <v/>
      </c>
      <c r="G114" s="53" t="str">
        <f>IF($B114="","",IF('05_PRODUCTOS'!$K114="NO","NO","SI"))</f>
        <v/>
      </c>
      <c r="H114" s="55" t="str">
        <f>IF(tblStock[[#This Row],[SKU]]="","",SUMIFS(tblMovimientos[CantidadNeta],tblMovimientos[SKU],tblStock[[#This Row],[SKU]],tblMovimientos[FactorStock],1))</f>
        <v/>
      </c>
      <c r="I114" s="55" t="str">
        <f>IF(tblStock[[#This Row],[SKU]]="","",-SUMIFS(tblMovimientos[CantidadNeta],tblMovimientos[SKU],tblStock[[#This Row],[SKU]],tblMovimientos[FactorStock],-1))</f>
        <v/>
      </c>
      <c r="J114" s="56" t="str">
        <f>IF(tblStock[[#This Row],[SKU]]="","",SUMIFS(tblMovimientos[CantidadNeta],tblMovimientos[SKU],tblStock[[#This Row],[SKU]]))</f>
        <v/>
      </c>
      <c r="K114" s="55" t="str">
        <f>IF($B114="","",N('05_PRODUCTOS'!$F114))</f>
        <v/>
      </c>
      <c r="L114" s="55" t="str">
        <f>IF($B114="","",N('05_PRODUCTOS'!$G114))</f>
        <v/>
      </c>
      <c r="M114" s="57" t="str">
        <f>IF(OR(tblStock[[#This Row],[SKU]]="",N(tblStock[[#This Row],[StockMax]])=0),"",MAX(0,tblStock[[#This Row],[StockActual]])/tblStock[[#This Row],[StockMax]])</f>
        <v/>
      </c>
      <c r="N11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4" s="59" t="str">
        <f>IF($B114="","",N('05_PRODUCTOS'!$H114))</f>
        <v/>
      </c>
      <c r="P114" s="59" t="str">
        <f>IF(tblStock[[#This Row],[SKU]]="","",MAX(0,tblStock[[#This Row],[StockActual]])*tblStock[[#This Row],[CostoUnitario]])</f>
        <v/>
      </c>
      <c r="Q114" s="60" t="str">
        <f>IF(tblStock[[#This Row],[SKU]]="","",IFERROR(_xlfn.AGGREGATE(14,6,tblMovimientos[Fecha]/(tblMovimientos[SKU]=tblStock[[#This Row],[SKU]]),1),""))</f>
        <v/>
      </c>
      <c r="R114" s="61" t="str">
        <f ca="1">IF(OR(tblStock[[#This Row],[SKU]]="",tblStock[[#This Row],[UltimoMov]]=""),"",TODAY()-tblStock[[#This Row],[UltimoMov]])</f>
        <v/>
      </c>
    </row>
    <row r="115" spans="2:18" x14ac:dyDescent="0.25">
      <c r="B115" s="53" t="str">
        <f>IF('05_PRODUCTOS'!$B115="","",'05_PRODUCTOS'!$B115)</f>
        <v/>
      </c>
      <c r="C115" s="54" t="str">
        <f>IF($B115="","",'05_PRODUCTOS'!$C115)</f>
        <v/>
      </c>
      <c r="D115" s="54" t="str">
        <f>IF($B115="","",'05_PRODUCTOS'!$D115)</f>
        <v/>
      </c>
      <c r="E115" s="54" t="str">
        <f>IF($B115="","",'05_PRODUCTOS'!$I115&amp;"")</f>
        <v/>
      </c>
      <c r="F115" s="53" t="str">
        <f>IF($B115="","",'05_PRODUCTOS'!$E115)</f>
        <v/>
      </c>
      <c r="G115" s="53" t="str">
        <f>IF($B115="","",IF('05_PRODUCTOS'!$K115="NO","NO","SI"))</f>
        <v/>
      </c>
      <c r="H115" s="55" t="str">
        <f>IF(tblStock[[#This Row],[SKU]]="","",SUMIFS(tblMovimientos[CantidadNeta],tblMovimientos[SKU],tblStock[[#This Row],[SKU]],tblMovimientos[FactorStock],1))</f>
        <v/>
      </c>
      <c r="I115" s="55" t="str">
        <f>IF(tblStock[[#This Row],[SKU]]="","",-SUMIFS(tblMovimientos[CantidadNeta],tblMovimientos[SKU],tblStock[[#This Row],[SKU]],tblMovimientos[FactorStock],-1))</f>
        <v/>
      </c>
      <c r="J115" s="56" t="str">
        <f>IF(tblStock[[#This Row],[SKU]]="","",SUMIFS(tblMovimientos[CantidadNeta],tblMovimientos[SKU],tblStock[[#This Row],[SKU]]))</f>
        <v/>
      </c>
      <c r="K115" s="55" t="str">
        <f>IF($B115="","",N('05_PRODUCTOS'!$F115))</f>
        <v/>
      </c>
      <c r="L115" s="55" t="str">
        <f>IF($B115="","",N('05_PRODUCTOS'!$G115))</f>
        <v/>
      </c>
      <c r="M115" s="57" t="str">
        <f>IF(OR(tblStock[[#This Row],[SKU]]="",N(tblStock[[#This Row],[StockMax]])=0),"",MAX(0,tblStock[[#This Row],[StockActual]])/tblStock[[#This Row],[StockMax]])</f>
        <v/>
      </c>
      <c r="N11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5" s="59" t="str">
        <f>IF($B115="","",N('05_PRODUCTOS'!$H115))</f>
        <v/>
      </c>
      <c r="P115" s="59" t="str">
        <f>IF(tblStock[[#This Row],[SKU]]="","",MAX(0,tblStock[[#This Row],[StockActual]])*tblStock[[#This Row],[CostoUnitario]])</f>
        <v/>
      </c>
      <c r="Q115" s="60" t="str">
        <f>IF(tblStock[[#This Row],[SKU]]="","",IFERROR(_xlfn.AGGREGATE(14,6,tblMovimientos[Fecha]/(tblMovimientos[SKU]=tblStock[[#This Row],[SKU]]),1),""))</f>
        <v/>
      </c>
      <c r="R115" s="61" t="str">
        <f ca="1">IF(OR(tblStock[[#This Row],[SKU]]="",tblStock[[#This Row],[UltimoMov]]=""),"",TODAY()-tblStock[[#This Row],[UltimoMov]])</f>
        <v/>
      </c>
    </row>
    <row r="116" spans="2:18" x14ac:dyDescent="0.25">
      <c r="B116" s="53" t="str">
        <f>IF('05_PRODUCTOS'!$B116="","",'05_PRODUCTOS'!$B116)</f>
        <v/>
      </c>
      <c r="C116" s="54" t="str">
        <f>IF($B116="","",'05_PRODUCTOS'!$C116)</f>
        <v/>
      </c>
      <c r="D116" s="54" t="str">
        <f>IF($B116="","",'05_PRODUCTOS'!$D116)</f>
        <v/>
      </c>
      <c r="E116" s="54" t="str">
        <f>IF($B116="","",'05_PRODUCTOS'!$I116&amp;"")</f>
        <v/>
      </c>
      <c r="F116" s="53" t="str">
        <f>IF($B116="","",'05_PRODUCTOS'!$E116)</f>
        <v/>
      </c>
      <c r="G116" s="53" t="str">
        <f>IF($B116="","",IF('05_PRODUCTOS'!$K116="NO","NO","SI"))</f>
        <v/>
      </c>
      <c r="H116" s="55" t="str">
        <f>IF(tblStock[[#This Row],[SKU]]="","",SUMIFS(tblMovimientos[CantidadNeta],tblMovimientos[SKU],tblStock[[#This Row],[SKU]],tblMovimientos[FactorStock],1))</f>
        <v/>
      </c>
      <c r="I116" s="55" t="str">
        <f>IF(tblStock[[#This Row],[SKU]]="","",-SUMIFS(tblMovimientos[CantidadNeta],tblMovimientos[SKU],tblStock[[#This Row],[SKU]],tblMovimientos[FactorStock],-1))</f>
        <v/>
      </c>
      <c r="J116" s="56" t="str">
        <f>IF(tblStock[[#This Row],[SKU]]="","",SUMIFS(tblMovimientos[CantidadNeta],tblMovimientos[SKU],tblStock[[#This Row],[SKU]]))</f>
        <v/>
      </c>
      <c r="K116" s="55" t="str">
        <f>IF($B116="","",N('05_PRODUCTOS'!$F116))</f>
        <v/>
      </c>
      <c r="L116" s="55" t="str">
        <f>IF($B116="","",N('05_PRODUCTOS'!$G116))</f>
        <v/>
      </c>
      <c r="M116" s="57" t="str">
        <f>IF(OR(tblStock[[#This Row],[SKU]]="",N(tblStock[[#This Row],[StockMax]])=0),"",MAX(0,tblStock[[#This Row],[StockActual]])/tblStock[[#This Row],[StockMax]])</f>
        <v/>
      </c>
      <c r="N11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6" s="59" t="str">
        <f>IF($B116="","",N('05_PRODUCTOS'!$H116))</f>
        <v/>
      </c>
      <c r="P116" s="59" t="str">
        <f>IF(tblStock[[#This Row],[SKU]]="","",MAX(0,tblStock[[#This Row],[StockActual]])*tblStock[[#This Row],[CostoUnitario]])</f>
        <v/>
      </c>
      <c r="Q116" s="60" t="str">
        <f>IF(tblStock[[#This Row],[SKU]]="","",IFERROR(_xlfn.AGGREGATE(14,6,tblMovimientos[Fecha]/(tblMovimientos[SKU]=tblStock[[#This Row],[SKU]]),1),""))</f>
        <v/>
      </c>
      <c r="R116" s="61" t="str">
        <f ca="1">IF(OR(tblStock[[#This Row],[SKU]]="",tblStock[[#This Row],[UltimoMov]]=""),"",TODAY()-tblStock[[#This Row],[UltimoMov]])</f>
        <v/>
      </c>
    </row>
    <row r="117" spans="2:18" x14ac:dyDescent="0.25">
      <c r="B117" s="53" t="str">
        <f>IF('05_PRODUCTOS'!$B117="","",'05_PRODUCTOS'!$B117)</f>
        <v/>
      </c>
      <c r="C117" s="54" t="str">
        <f>IF($B117="","",'05_PRODUCTOS'!$C117)</f>
        <v/>
      </c>
      <c r="D117" s="54" t="str">
        <f>IF($B117="","",'05_PRODUCTOS'!$D117)</f>
        <v/>
      </c>
      <c r="E117" s="54" t="str">
        <f>IF($B117="","",'05_PRODUCTOS'!$I117&amp;"")</f>
        <v/>
      </c>
      <c r="F117" s="53" t="str">
        <f>IF($B117="","",'05_PRODUCTOS'!$E117)</f>
        <v/>
      </c>
      <c r="G117" s="53" t="str">
        <f>IF($B117="","",IF('05_PRODUCTOS'!$K117="NO","NO","SI"))</f>
        <v/>
      </c>
      <c r="H117" s="55" t="str">
        <f>IF(tblStock[[#This Row],[SKU]]="","",SUMIFS(tblMovimientos[CantidadNeta],tblMovimientos[SKU],tblStock[[#This Row],[SKU]],tblMovimientos[FactorStock],1))</f>
        <v/>
      </c>
      <c r="I117" s="55" t="str">
        <f>IF(tblStock[[#This Row],[SKU]]="","",-SUMIFS(tblMovimientos[CantidadNeta],tblMovimientos[SKU],tblStock[[#This Row],[SKU]],tblMovimientos[FactorStock],-1))</f>
        <v/>
      </c>
      <c r="J117" s="56" t="str">
        <f>IF(tblStock[[#This Row],[SKU]]="","",SUMIFS(tblMovimientos[CantidadNeta],tblMovimientos[SKU],tblStock[[#This Row],[SKU]]))</f>
        <v/>
      </c>
      <c r="K117" s="55" t="str">
        <f>IF($B117="","",N('05_PRODUCTOS'!$F117))</f>
        <v/>
      </c>
      <c r="L117" s="55" t="str">
        <f>IF($B117="","",N('05_PRODUCTOS'!$G117))</f>
        <v/>
      </c>
      <c r="M117" s="57" t="str">
        <f>IF(OR(tblStock[[#This Row],[SKU]]="",N(tblStock[[#This Row],[StockMax]])=0),"",MAX(0,tblStock[[#This Row],[StockActual]])/tblStock[[#This Row],[StockMax]])</f>
        <v/>
      </c>
      <c r="N11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7" s="59" t="str">
        <f>IF($B117="","",N('05_PRODUCTOS'!$H117))</f>
        <v/>
      </c>
      <c r="P117" s="59" t="str">
        <f>IF(tblStock[[#This Row],[SKU]]="","",MAX(0,tblStock[[#This Row],[StockActual]])*tblStock[[#This Row],[CostoUnitario]])</f>
        <v/>
      </c>
      <c r="Q117" s="60" t="str">
        <f>IF(tblStock[[#This Row],[SKU]]="","",IFERROR(_xlfn.AGGREGATE(14,6,tblMovimientos[Fecha]/(tblMovimientos[SKU]=tblStock[[#This Row],[SKU]]),1),""))</f>
        <v/>
      </c>
      <c r="R117" s="61" t="str">
        <f ca="1">IF(OR(tblStock[[#This Row],[SKU]]="",tblStock[[#This Row],[UltimoMov]]=""),"",TODAY()-tblStock[[#This Row],[UltimoMov]])</f>
        <v/>
      </c>
    </row>
    <row r="118" spans="2:18" x14ac:dyDescent="0.25">
      <c r="B118" s="53" t="str">
        <f>IF('05_PRODUCTOS'!$B118="","",'05_PRODUCTOS'!$B118)</f>
        <v/>
      </c>
      <c r="C118" s="54" t="str">
        <f>IF($B118="","",'05_PRODUCTOS'!$C118)</f>
        <v/>
      </c>
      <c r="D118" s="54" t="str">
        <f>IF($B118="","",'05_PRODUCTOS'!$D118)</f>
        <v/>
      </c>
      <c r="E118" s="54" t="str">
        <f>IF($B118="","",'05_PRODUCTOS'!$I118&amp;"")</f>
        <v/>
      </c>
      <c r="F118" s="53" t="str">
        <f>IF($B118="","",'05_PRODUCTOS'!$E118)</f>
        <v/>
      </c>
      <c r="G118" s="53" t="str">
        <f>IF($B118="","",IF('05_PRODUCTOS'!$K118="NO","NO","SI"))</f>
        <v/>
      </c>
      <c r="H118" s="55" t="str">
        <f>IF(tblStock[[#This Row],[SKU]]="","",SUMIFS(tblMovimientos[CantidadNeta],tblMovimientos[SKU],tblStock[[#This Row],[SKU]],tblMovimientos[FactorStock],1))</f>
        <v/>
      </c>
      <c r="I118" s="55" t="str">
        <f>IF(tblStock[[#This Row],[SKU]]="","",-SUMIFS(tblMovimientos[CantidadNeta],tblMovimientos[SKU],tblStock[[#This Row],[SKU]],tblMovimientos[FactorStock],-1))</f>
        <v/>
      </c>
      <c r="J118" s="56" t="str">
        <f>IF(tblStock[[#This Row],[SKU]]="","",SUMIFS(tblMovimientos[CantidadNeta],tblMovimientos[SKU],tblStock[[#This Row],[SKU]]))</f>
        <v/>
      </c>
      <c r="K118" s="55" t="str">
        <f>IF($B118="","",N('05_PRODUCTOS'!$F118))</f>
        <v/>
      </c>
      <c r="L118" s="55" t="str">
        <f>IF($B118="","",N('05_PRODUCTOS'!$G118))</f>
        <v/>
      </c>
      <c r="M118" s="57" t="str">
        <f>IF(OR(tblStock[[#This Row],[SKU]]="",N(tblStock[[#This Row],[StockMax]])=0),"",MAX(0,tblStock[[#This Row],[StockActual]])/tblStock[[#This Row],[StockMax]])</f>
        <v/>
      </c>
      <c r="N11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8" s="59" t="str">
        <f>IF($B118="","",N('05_PRODUCTOS'!$H118))</f>
        <v/>
      </c>
      <c r="P118" s="59" t="str">
        <f>IF(tblStock[[#This Row],[SKU]]="","",MAX(0,tblStock[[#This Row],[StockActual]])*tblStock[[#This Row],[CostoUnitario]])</f>
        <v/>
      </c>
      <c r="Q118" s="60" t="str">
        <f>IF(tblStock[[#This Row],[SKU]]="","",IFERROR(_xlfn.AGGREGATE(14,6,tblMovimientos[Fecha]/(tblMovimientos[SKU]=tblStock[[#This Row],[SKU]]),1),""))</f>
        <v/>
      </c>
      <c r="R118" s="61" t="str">
        <f ca="1">IF(OR(tblStock[[#This Row],[SKU]]="",tblStock[[#This Row],[UltimoMov]]=""),"",TODAY()-tblStock[[#This Row],[UltimoMov]])</f>
        <v/>
      </c>
    </row>
    <row r="119" spans="2:18" x14ac:dyDescent="0.25">
      <c r="B119" s="53" t="str">
        <f>IF('05_PRODUCTOS'!$B119="","",'05_PRODUCTOS'!$B119)</f>
        <v/>
      </c>
      <c r="C119" s="54" t="str">
        <f>IF($B119="","",'05_PRODUCTOS'!$C119)</f>
        <v/>
      </c>
      <c r="D119" s="54" t="str">
        <f>IF($B119="","",'05_PRODUCTOS'!$D119)</f>
        <v/>
      </c>
      <c r="E119" s="54" t="str">
        <f>IF($B119="","",'05_PRODUCTOS'!$I119&amp;"")</f>
        <v/>
      </c>
      <c r="F119" s="53" t="str">
        <f>IF($B119="","",'05_PRODUCTOS'!$E119)</f>
        <v/>
      </c>
      <c r="G119" s="53" t="str">
        <f>IF($B119="","",IF('05_PRODUCTOS'!$K119="NO","NO","SI"))</f>
        <v/>
      </c>
      <c r="H119" s="55" t="str">
        <f>IF(tblStock[[#This Row],[SKU]]="","",SUMIFS(tblMovimientos[CantidadNeta],tblMovimientos[SKU],tblStock[[#This Row],[SKU]],tblMovimientos[FactorStock],1))</f>
        <v/>
      </c>
      <c r="I119" s="55" t="str">
        <f>IF(tblStock[[#This Row],[SKU]]="","",-SUMIFS(tblMovimientos[CantidadNeta],tblMovimientos[SKU],tblStock[[#This Row],[SKU]],tblMovimientos[FactorStock],-1))</f>
        <v/>
      </c>
      <c r="J119" s="56" t="str">
        <f>IF(tblStock[[#This Row],[SKU]]="","",SUMIFS(tblMovimientos[CantidadNeta],tblMovimientos[SKU],tblStock[[#This Row],[SKU]]))</f>
        <v/>
      </c>
      <c r="K119" s="55" t="str">
        <f>IF($B119="","",N('05_PRODUCTOS'!$F119))</f>
        <v/>
      </c>
      <c r="L119" s="55" t="str">
        <f>IF($B119="","",N('05_PRODUCTOS'!$G119))</f>
        <v/>
      </c>
      <c r="M119" s="57" t="str">
        <f>IF(OR(tblStock[[#This Row],[SKU]]="",N(tblStock[[#This Row],[StockMax]])=0),"",MAX(0,tblStock[[#This Row],[StockActual]])/tblStock[[#This Row],[StockMax]])</f>
        <v/>
      </c>
      <c r="N11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19" s="59" t="str">
        <f>IF($B119="","",N('05_PRODUCTOS'!$H119))</f>
        <v/>
      </c>
      <c r="P119" s="59" t="str">
        <f>IF(tblStock[[#This Row],[SKU]]="","",MAX(0,tblStock[[#This Row],[StockActual]])*tblStock[[#This Row],[CostoUnitario]])</f>
        <v/>
      </c>
      <c r="Q119" s="60" t="str">
        <f>IF(tblStock[[#This Row],[SKU]]="","",IFERROR(_xlfn.AGGREGATE(14,6,tblMovimientos[Fecha]/(tblMovimientos[SKU]=tblStock[[#This Row],[SKU]]),1),""))</f>
        <v/>
      </c>
      <c r="R119" s="61" t="str">
        <f ca="1">IF(OR(tblStock[[#This Row],[SKU]]="",tblStock[[#This Row],[UltimoMov]]=""),"",TODAY()-tblStock[[#This Row],[UltimoMov]])</f>
        <v/>
      </c>
    </row>
    <row r="120" spans="2:18" x14ac:dyDescent="0.25">
      <c r="B120" s="53" t="str">
        <f>IF('05_PRODUCTOS'!$B120="","",'05_PRODUCTOS'!$B120)</f>
        <v/>
      </c>
      <c r="C120" s="54" t="str">
        <f>IF($B120="","",'05_PRODUCTOS'!$C120)</f>
        <v/>
      </c>
      <c r="D120" s="54" t="str">
        <f>IF($B120="","",'05_PRODUCTOS'!$D120)</f>
        <v/>
      </c>
      <c r="E120" s="54" t="str">
        <f>IF($B120="","",'05_PRODUCTOS'!$I120&amp;"")</f>
        <v/>
      </c>
      <c r="F120" s="53" t="str">
        <f>IF($B120="","",'05_PRODUCTOS'!$E120)</f>
        <v/>
      </c>
      <c r="G120" s="53" t="str">
        <f>IF($B120="","",IF('05_PRODUCTOS'!$K120="NO","NO","SI"))</f>
        <v/>
      </c>
      <c r="H120" s="55" t="str">
        <f>IF(tblStock[[#This Row],[SKU]]="","",SUMIFS(tblMovimientos[CantidadNeta],tblMovimientos[SKU],tblStock[[#This Row],[SKU]],tblMovimientos[FactorStock],1))</f>
        <v/>
      </c>
      <c r="I120" s="55" t="str">
        <f>IF(tblStock[[#This Row],[SKU]]="","",-SUMIFS(tblMovimientos[CantidadNeta],tblMovimientos[SKU],tblStock[[#This Row],[SKU]],tblMovimientos[FactorStock],-1))</f>
        <v/>
      </c>
      <c r="J120" s="56" t="str">
        <f>IF(tblStock[[#This Row],[SKU]]="","",SUMIFS(tblMovimientos[CantidadNeta],tblMovimientos[SKU],tblStock[[#This Row],[SKU]]))</f>
        <v/>
      </c>
      <c r="K120" s="55" t="str">
        <f>IF($B120="","",N('05_PRODUCTOS'!$F120))</f>
        <v/>
      </c>
      <c r="L120" s="55" t="str">
        <f>IF($B120="","",N('05_PRODUCTOS'!$G120))</f>
        <v/>
      </c>
      <c r="M120" s="57" t="str">
        <f>IF(OR(tblStock[[#This Row],[SKU]]="",N(tblStock[[#This Row],[StockMax]])=0),"",MAX(0,tblStock[[#This Row],[StockActual]])/tblStock[[#This Row],[StockMax]])</f>
        <v/>
      </c>
      <c r="N12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0" s="59" t="str">
        <f>IF($B120="","",N('05_PRODUCTOS'!$H120))</f>
        <v/>
      </c>
      <c r="P120" s="59" t="str">
        <f>IF(tblStock[[#This Row],[SKU]]="","",MAX(0,tblStock[[#This Row],[StockActual]])*tblStock[[#This Row],[CostoUnitario]])</f>
        <v/>
      </c>
      <c r="Q120" s="60" t="str">
        <f>IF(tblStock[[#This Row],[SKU]]="","",IFERROR(_xlfn.AGGREGATE(14,6,tblMovimientos[Fecha]/(tblMovimientos[SKU]=tblStock[[#This Row],[SKU]]),1),""))</f>
        <v/>
      </c>
      <c r="R120" s="61" t="str">
        <f ca="1">IF(OR(tblStock[[#This Row],[SKU]]="",tblStock[[#This Row],[UltimoMov]]=""),"",TODAY()-tblStock[[#This Row],[UltimoMov]])</f>
        <v/>
      </c>
    </row>
    <row r="121" spans="2:18" x14ac:dyDescent="0.25">
      <c r="B121" s="53" t="str">
        <f>IF('05_PRODUCTOS'!$B121="","",'05_PRODUCTOS'!$B121)</f>
        <v/>
      </c>
      <c r="C121" s="54" t="str">
        <f>IF($B121="","",'05_PRODUCTOS'!$C121)</f>
        <v/>
      </c>
      <c r="D121" s="54" t="str">
        <f>IF($B121="","",'05_PRODUCTOS'!$D121)</f>
        <v/>
      </c>
      <c r="E121" s="54" t="str">
        <f>IF($B121="","",'05_PRODUCTOS'!$I121&amp;"")</f>
        <v/>
      </c>
      <c r="F121" s="53" t="str">
        <f>IF($B121="","",'05_PRODUCTOS'!$E121)</f>
        <v/>
      </c>
      <c r="G121" s="53" t="str">
        <f>IF($B121="","",IF('05_PRODUCTOS'!$K121="NO","NO","SI"))</f>
        <v/>
      </c>
      <c r="H121" s="55" t="str">
        <f>IF(tblStock[[#This Row],[SKU]]="","",SUMIFS(tblMovimientos[CantidadNeta],tblMovimientos[SKU],tblStock[[#This Row],[SKU]],tblMovimientos[FactorStock],1))</f>
        <v/>
      </c>
      <c r="I121" s="55" t="str">
        <f>IF(tblStock[[#This Row],[SKU]]="","",-SUMIFS(tblMovimientos[CantidadNeta],tblMovimientos[SKU],tblStock[[#This Row],[SKU]],tblMovimientos[FactorStock],-1))</f>
        <v/>
      </c>
      <c r="J121" s="56" t="str">
        <f>IF(tblStock[[#This Row],[SKU]]="","",SUMIFS(tblMovimientos[CantidadNeta],tblMovimientos[SKU],tblStock[[#This Row],[SKU]]))</f>
        <v/>
      </c>
      <c r="K121" s="55" t="str">
        <f>IF($B121="","",N('05_PRODUCTOS'!$F121))</f>
        <v/>
      </c>
      <c r="L121" s="55" t="str">
        <f>IF($B121="","",N('05_PRODUCTOS'!$G121))</f>
        <v/>
      </c>
      <c r="M121" s="57" t="str">
        <f>IF(OR(tblStock[[#This Row],[SKU]]="",N(tblStock[[#This Row],[StockMax]])=0),"",MAX(0,tblStock[[#This Row],[StockActual]])/tblStock[[#This Row],[StockMax]])</f>
        <v/>
      </c>
      <c r="N12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1" s="59" t="str">
        <f>IF($B121="","",N('05_PRODUCTOS'!$H121))</f>
        <v/>
      </c>
      <c r="P121" s="59" t="str">
        <f>IF(tblStock[[#This Row],[SKU]]="","",MAX(0,tblStock[[#This Row],[StockActual]])*tblStock[[#This Row],[CostoUnitario]])</f>
        <v/>
      </c>
      <c r="Q121" s="60" t="str">
        <f>IF(tblStock[[#This Row],[SKU]]="","",IFERROR(_xlfn.AGGREGATE(14,6,tblMovimientos[Fecha]/(tblMovimientos[SKU]=tblStock[[#This Row],[SKU]]),1),""))</f>
        <v/>
      </c>
      <c r="R121" s="61" t="str">
        <f ca="1">IF(OR(tblStock[[#This Row],[SKU]]="",tblStock[[#This Row],[UltimoMov]]=""),"",TODAY()-tblStock[[#This Row],[UltimoMov]])</f>
        <v/>
      </c>
    </row>
    <row r="122" spans="2:18" x14ac:dyDescent="0.25">
      <c r="B122" s="53" t="str">
        <f>IF('05_PRODUCTOS'!$B122="","",'05_PRODUCTOS'!$B122)</f>
        <v/>
      </c>
      <c r="C122" s="54" t="str">
        <f>IF($B122="","",'05_PRODUCTOS'!$C122)</f>
        <v/>
      </c>
      <c r="D122" s="54" t="str">
        <f>IF($B122="","",'05_PRODUCTOS'!$D122)</f>
        <v/>
      </c>
      <c r="E122" s="54" t="str">
        <f>IF($B122="","",'05_PRODUCTOS'!$I122&amp;"")</f>
        <v/>
      </c>
      <c r="F122" s="53" t="str">
        <f>IF($B122="","",'05_PRODUCTOS'!$E122)</f>
        <v/>
      </c>
      <c r="G122" s="53" t="str">
        <f>IF($B122="","",IF('05_PRODUCTOS'!$K122="NO","NO","SI"))</f>
        <v/>
      </c>
      <c r="H122" s="55" t="str">
        <f>IF(tblStock[[#This Row],[SKU]]="","",SUMIFS(tblMovimientos[CantidadNeta],tblMovimientos[SKU],tblStock[[#This Row],[SKU]],tblMovimientos[FactorStock],1))</f>
        <v/>
      </c>
      <c r="I122" s="55" t="str">
        <f>IF(tblStock[[#This Row],[SKU]]="","",-SUMIFS(tblMovimientos[CantidadNeta],tblMovimientos[SKU],tblStock[[#This Row],[SKU]],tblMovimientos[FactorStock],-1))</f>
        <v/>
      </c>
      <c r="J122" s="56" t="str">
        <f>IF(tblStock[[#This Row],[SKU]]="","",SUMIFS(tblMovimientos[CantidadNeta],tblMovimientos[SKU],tblStock[[#This Row],[SKU]]))</f>
        <v/>
      </c>
      <c r="K122" s="55" t="str">
        <f>IF($B122="","",N('05_PRODUCTOS'!$F122))</f>
        <v/>
      </c>
      <c r="L122" s="55" t="str">
        <f>IF($B122="","",N('05_PRODUCTOS'!$G122))</f>
        <v/>
      </c>
      <c r="M122" s="57" t="str">
        <f>IF(OR(tblStock[[#This Row],[SKU]]="",N(tblStock[[#This Row],[StockMax]])=0),"",MAX(0,tblStock[[#This Row],[StockActual]])/tblStock[[#This Row],[StockMax]])</f>
        <v/>
      </c>
      <c r="N12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2" s="59" t="str">
        <f>IF($B122="","",N('05_PRODUCTOS'!$H122))</f>
        <v/>
      </c>
      <c r="P122" s="59" t="str">
        <f>IF(tblStock[[#This Row],[SKU]]="","",MAX(0,tblStock[[#This Row],[StockActual]])*tblStock[[#This Row],[CostoUnitario]])</f>
        <v/>
      </c>
      <c r="Q122" s="60" t="str">
        <f>IF(tblStock[[#This Row],[SKU]]="","",IFERROR(_xlfn.AGGREGATE(14,6,tblMovimientos[Fecha]/(tblMovimientos[SKU]=tblStock[[#This Row],[SKU]]),1),""))</f>
        <v/>
      </c>
      <c r="R122" s="61" t="str">
        <f ca="1">IF(OR(tblStock[[#This Row],[SKU]]="",tblStock[[#This Row],[UltimoMov]]=""),"",TODAY()-tblStock[[#This Row],[UltimoMov]])</f>
        <v/>
      </c>
    </row>
    <row r="123" spans="2:18" x14ac:dyDescent="0.25">
      <c r="B123" s="53" t="str">
        <f>IF('05_PRODUCTOS'!$B123="","",'05_PRODUCTOS'!$B123)</f>
        <v/>
      </c>
      <c r="C123" s="54" t="str">
        <f>IF($B123="","",'05_PRODUCTOS'!$C123)</f>
        <v/>
      </c>
      <c r="D123" s="54" t="str">
        <f>IF($B123="","",'05_PRODUCTOS'!$D123)</f>
        <v/>
      </c>
      <c r="E123" s="54" t="str">
        <f>IF($B123="","",'05_PRODUCTOS'!$I123&amp;"")</f>
        <v/>
      </c>
      <c r="F123" s="53" t="str">
        <f>IF($B123="","",'05_PRODUCTOS'!$E123)</f>
        <v/>
      </c>
      <c r="G123" s="53" t="str">
        <f>IF($B123="","",IF('05_PRODUCTOS'!$K123="NO","NO","SI"))</f>
        <v/>
      </c>
      <c r="H123" s="55" t="str">
        <f>IF(tblStock[[#This Row],[SKU]]="","",SUMIFS(tblMovimientos[CantidadNeta],tblMovimientos[SKU],tblStock[[#This Row],[SKU]],tblMovimientos[FactorStock],1))</f>
        <v/>
      </c>
      <c r="I123" s="55" t="str">
        <f>IF(tblStock[[#This Row],[SKU]]="","",-SUMIFS(tblMovimientos[CantidadNeta],tblMovimientos[SKU],tblStock[[#This Row],[SKU]],tblMovimientos[FactorStock],-1))</f>
        <v/>
      </c>
      <c r="J123" s="56" t="str">
        <f>IF(tblStock[[#This Row],[SKU]]="","",SUMIFS(tblMovimientos[CantidadNeta],tblMovimientos[SKU],tblStock[[#This Row],[SKU]]))</f>
        <v/>
      </c>
      <c r="K123" s="55" t="str">
        <f>IF($B123="","",N('05_PRODUCTOS'!$F123))</f>
        <v/>
      </c>
      <c r="L123" s="55" t="str">
        <f>IF($B123="","",N('05_PRODUCTOS'!$G123))</f>
        <v/>
      </c>
      <c r="M123" s="57" t="str">
        <f>IF(OR(tblStock[[#This Row],[SKU]]="",N(tblStock[[#This Row],[StockMax]])=0),"",MAX(0,tblStock[[#This Row],[StockActual]])/tblStock[[#This Row],[StockMax]])</f>
        <v/>
      </c>
      <c r="N12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3" s="59" t="str">
        <f>IF($B123="","",N('05_PRODUCTOS'!$H123))</f>
        <v/>
      </c>
      <c r="P123" s="59" t="str">
        <f>IF(tblStock[[#This Row],[SKU]]="","",MAX(0,tblStock[[#This Row],[StockActual]])*tblStock[[#This Row],[CostoUnitario]])</f>
        <v/>
      </c>
      <c r="Q123" s="60" t="str">
        <f>IF(tblStock[[#This Row],[SKU]]="","",IFERROR(_xlfn.AGGREGATE(14,6,tblMovimientos[Fecha]/(tblMovimientos[SKU]=tblStock[[#This Row],[SKU]]),1),""))</f>
        <v/>
      </c>
      <c r="R123" s="61" t="str">
        <f ca="1">IF(OR(tblStock[[#This Row],[SKU]]="",tblStock[[#This Row],[UltimoMov]]=""),"",TODAY()-tblStock[[#This Row],[UltimoMov]])</f>
        <v/>
      </c>
    </row>
    <row r="124" spans="2:18" x14ac:dyDescent="0.25">
      <c r="B124" s="53" t="str">
        <f>IF('05_PRODUCTOS'!$B124="","",'05_PRODUCTOS'!$B124)</f>
        <v/>
      </c>
      <c r="C124" s="54" t="str">
        <f>IF($B124="","",'05_PRODUCTOS'!$C124)</f>
        <v/>
      </c>
      <c r="D124" s="54" t="str">
        <f>IF($B124="","",'05_PRODUCTOS'!$D124)</f>
        <v/>
      </c>
      <c r="E124" s="54" t="str">
        <f>IF($B124="","",'05_PRODUCTOS'!$I124&amp;"")</f>
        <v/>
      </c>
      <c r="F124" s="53" t="str">
        <f>IF($B124="","",'05_PRODUCTOS'!$E124)</f>
        <v/>
      </c>
      <c r="G124" s="53" t="str">
        <f>IF($B124="","",IF('05_PRODUCTOS'!$K124="NO","NO","SI"))</f>
        <v/>
      </c>
      <c r="H124" s="55" t="str">
        <f>IF(tblStock[[#This Row],[SKU]]="","",SUMIFS(tblMovimientos[CantidadNeta],tblMovimientos[SKU],tblStock[[#This Row],[SKU]],tblMovimientos[FactorStock],1))</f>
        <v/>
      </c>
      <c r="I124" s="55" t="str">
        <f>IF(tblStock[[#This Row],[SKU]]="","",-SUMIFS(tblMovimientos[CantidadNeta],tblMovimientos[SKU],tblStock[[#This Row],[SKU]],tblMovimientos[FactorStock],-1))</f>
        <v/>
      </c>
      <c r="J124" s="56" t="str">
        <f>IF(tblStock[[#This Row],[SKU]]="","",SUMIFS(tblMovimientos[CantidadNeta],tblMovimientos[SKU],tblStock[[#This Row],[SKU]]))</f>
        <v/>
      </c>
      <c r="K124" s="55" t="str">
        <f>IF($B124="","",N('05_PRODUCTOS'!$F124))</f>
        <v/>
      </c>
      <c r="L124" s="55" t="str">
        <f>IF($B124="","",N('05_PRODUCTOS'!$G124))</f>
        <v/>
      </c>
      <c r="M124" s="57" t="str">
        <f>IF(OR(tblStock[[#This Row],[SKU]]="",N(tblStock[[#This Row],[StockMax]])=0),"",MAX(0,tblStock[[#This Row],[StockActual]])/tblStock[[#This Row],[StockMax]])</f>
        <v/>
      </c>
      <c r="N12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4" s="59" t="str">
        <f>IF($B124="","",N('05_PRODUCTOS'!$H124))</f>
        <v/>
      </c>
      <c r="P124" s="59" t="str">
        <f>IF(tblStock[[#This Row],[SKU]]="","",MAX(0,tblStock[[#This Row],[StockActual]])*tblStock[[#This Row],[CostoUnitario]])</f>
        <v/>
      </c>
      <c r="Q124" s="60" t="str">
        <f>IF(tblStock[[#This Row],[SKU]]="","",IFERROR(_xlfn.AGGREGATE(14,6,tblMovimientos[Fecha]/(tblMovimientos[SKU]=tblStock[[#This Row],[SKU]]),1),""))</f>
        <v/>
      </c>
      <c r="R124" s="61" t="str">
        <f ca="1">IF(OR(tblStock[[#This Row],[SKU]]="",tblStock[[#This Row],[UltimoMov]]=""),"",TODAY()-tblStock[[#This Row],[UltimoMov]])</f>
        <v/>
      </c>
    </row>
    <row r="125" spans="2:18" x14ac:dyDescent="0.25">
      <c r="B125" s="53" t="str">
        <f>IF('05_PRODUCTOS'!$B125="","",'05_PRODUCTOS'!$B125)</f>
        <v/>
      </c>
      <c r="C125" s="54" t="str">
        <f>IF($B125="","",'05_PRODUCTOS'!$C125)</f>
        <v/>
      </c>
      <c r="D125" s="54" t="str">
        <f>IF($B125="","",'05_PRODUCTOS'!$D125)</f>
        <v/>
      </c>
      <c r="E125" s="54" t="str">
        <f>IF($B125="","",'05_PRODUCTOS'!$I125&amp;"")</f>
        <v/>
      </c>
      <c r="F125" s="53" t="str">
        <f>IF($B125="","",'05_PRODUCTOS'!$E125)</f>
        <v/>
      </c>
      <c r="G125" s="53" t="str">
        <f>IF($B125="","",IF('05_PRODUCTOS'!$K125="NO","NO","SI"))</f>
        <v/>
      </c>
      <c r="H125" s="55" t="str">
        <f>IF(tblStock[[#This Row],[SKU]]="","",SUMIFS(tblMovimientos[CantidadNeta],tblMovimientos[SKU],tblStock[[#This Row],[SKU]],tblMovimientos[FactorStock],1))</f>
        <v/>
      </c>
      <c r="I125" s="55" t="str">
        <f>IF(tblStock[[#This Row],[SKU]]="","",-SUMIFS(tblMovimientos[CantidadNeta],tblMovimientos[SKU],tblStock[[#This Row],[SKU]],tblMovimientos[FactorStock],-1))</f>
        <v/>
      </c>
      <c r="J125" s="56" t="str">
        <f>IF(tblStock[[#This Row],[SKU]]="","",SUMIFS(tblMovimientos[CantidadNeta],tblMovimientos[SKU],tblStock[[#This Row],[SKU]]))</f>
        <v/>
      </c>
      <c r="K125" s="55" t="str">
        <f>IF($B125="","",N('05_PRODUCTOS'!$F125))</f>
        <v/>
      </c>
      <c r="L125" s="55" t="str">
        <f>IF($B125="","",N('05_PRODUCTOS'!$G125))</f>
        <v/>
      </c>
      <c r="M125" s="57" t="str">
        <f>IF(OR(tblStock[[#This Row],[SKU]]="",N(tblStock[[#This Row],[StockMax]])=0),"",MAX(0,tblStock[[#This Row],[StockActual]])/tblStock[[#This Row],[StockMax]])</f>
        <v/>
      </c>
      <c r="N12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5" s="59" t="str">
        <f>IF($B125="","",N('05_PRODUCTOS'!$H125))</f>
        <v/>
      </c>
      <c r="P125" s="59" t="str">
        <f>IF(tblStock[[#This Row],[SKU]]="","",MAX(0,tblStock[[#This Row],[StockActual]])*tblStock[[#This Row],[CostoUnitario]])</f>
        <v/>
      </c>
      <c r="Q125" s="60" t="str">
        <f>IF(tblStock[[#This Row],[SKU]]="","",IFERROR(_xlfn.AGGREGATE(14,6,tblMovimientos[Fecha]/(tblMovimientos[SKU]=tblStock[[#This Row],[SKU]]),1),""))</f>
        <v/>
      </c>
      <c r="R125" s="61" t="str">
        <f ca="1">IF(OR(tblStock[[#This Row],[SKU]]="",tblStock[[#This Row],[UltimoMov]]=""),"",TODAY()-tblStock[[#This Row],[UltimoMov]])</f>
        <v/>
      </c>
    </row>
    <row r="126" spans="2:18" x14ac:dyDescent="0.25">
      <c r="B126" s="53" t="str">
        <f>IF('05_PRODUCTOS'!$B126="","",'05_PRODUCTOS'!$B126)</f>
        <v/>
      </c>
      <c r="C126" s="54" t="str">
        <f>IF($B126="","",'05_PRODUCTOS'!$C126)</f>
        <v/>
      </c>
      <c r="D126" s="54" t="str">
        <f>IF($B126="","",'05_PRODUCTOS'!$D126)</f>
        <v/>
      </c>
      <c r="E126" s="54" t="str">
        <f>IF($B126="","",'05_PRODUCTOS'!$I126&amp;"")</f>
        <v/>
      </c>
      <c r="F126" s="53" t="str">
        <f>IF($B126="","",'05_PRODUCTOS'!$E126)</f>
        <v/>
      </c>
      <c r="G126" s="53" t="str">
        <f>IF($B126="","",IF('05_PRODUCTOS'!$K126="NO","NO","SI"))</f>
        <v/>
      </c>
      <c r="H126" s="55" t="str">
        <f>IF(tblStock[[#This Row],[SKU]]="","",SUMIFS(tblMovimientos[CantidadNeta],tblMovimientos[SKU],tblStock[[#This Row],[SKU]],tblMovimientos[FactorStock],1))</f>
        <v/>
      </c>
      <c r="I126" s="55" t="str">
        <f>IF(tblStock[[#This Row],[SKU]]="","",-SUMIFS(tblMovimientos[CantidadNeta],tblMovimientos[SKU],tblStock[[#This Row],[SKU]],tblMovimientos[FactorStock],-1))</f>
        <v/>
      </c>
      <c r="J126" s="56" t="str">
        <f>IF(tblStock[[#This Row],[SKU]]="","",SUMIFS(tblMovimientos[CantidadNeta],tblMovimientos[SKU],tblStock[[#This Row],[SKU]]))</f>
        <v/>
      </c>
      <c r="K126" s="55" t="str">
        <f>IF($B126="","",N('05_PRODUCTOS'!$F126))</f>
        <v/>
      </c>
      <c r="L126" s="55" t="str">
        <f>IF($B126="","",N('05_PRODUCTOS'!$G126))</f>
        <v/>
      </c>
      <c r="M126" s="57" t="str">
        <f>IF(OR(tblStock[[#This Row],[SKU]]="",N(tblStock[[#This Row],[StockMax]])=0),"",MAX(0,tblStock[[#This Row],[StockActual]])/tblStock[[#This Row],[StockMax]])</f>
        <v/>
      </c>
      <c r="N12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6" s="59" t="str">
        <f>IF($B126="","",N('05_PRODUCTOS'!$H126))</f>
        <v/>
      </c>
      <c r="P126" s="59" t="str">
        <f>IF(tblStock[[#This Row],[SKU]]="","",MAX(0,tblStock[[#This Row],[StockActual]])*tblStock[[#This Row],[CostoUnitario]])</f>
        <v/>
      </c>
      <c r="Q126" s="60" t="str">
        <f>IF(tblStock[[#This Row],[SKU]]="","",IFERROR(_xlfn.AGGREGATE(14,6,tblMovimientos[Fecha]/(tblMovimientos[SKU]=tblStock[[#This Row],[SKU]]),1),""))</f>
        <v/>
      </c>
      <c r="R126" s="61" t="str">
        <f ca="1">IF(OR(tblStock[[#This Row],[SKU]]="",tblStock[[#This Row],[UltimoMov]]=""),"",TODAY()-tblStock[[#This Row],[UltimoMov]])</f>
        <v/>
      </c>
    </row>
    <row r="127" spans="2:18" x14ac:dyDescent="0.25">
      <c r="B127" s="53" t="str">
        <f>IF('05_PRODUCTOS'!$B127="","",'05_PRODUCTOS'!$B127)</f>
        <v/>
      </c>
      <c r="C127" s="54" t="str">
        <f>IF($B127="","",'05_PRODUCTOS'!$C127)</f>
        <v/>
      </c>
      <c r="D127" s="54" t="str">
        <f>IF($B127="","",'05_PRODUCTOS'!$D127)</f>
        <v/>
      </c>
      <c r="E127" s="54" t="str">
        <f>IF($B127="","",'05_PRODUCTOS'!$I127&amp;"")</f>
        <v/>
      </c>
      <c r="F127" s="53" t="str">
        <f>IF($B127="","",'05_PRODUCTOS'!$E127)</f>
        <v/>
      </c>
      <c r="G127" s="53" t="str">
        <f>IF($B127="","",IF('05_PRODUCTOS'!$K127="NO","NO","SI"))</f>
        <v/>
      </c>
      <c r="H127" s="55" t="str">
        <f>IF(tblStock[[#This Row],[SKU]]="","",SUMIFS(tblMovimientos[CantidadNeta],tblMovimientos[SKU],tblStock[[#This Row],[SKU]],tblMovimientos[FactorStock],1))</f>
        <v/>
      </c>
      <c r="I127" s="55" t="str">
        <f>IF(tblStock[[#This Row],[SKU]]="","",-SUMIFS(tblMovimientos[CantidadNeta],tblMovimientos[SKU],tblStock[[#This Row],[SKU]],tblMovimientos[FactorStock],-1))</f>
        <v/>
      </c>
      <c r="J127" s="56" t="str">
        <f>IF(tblStock[[#This Row],[SKU]]="","",SUMIFS(tblMovimientos[CantidadNeta],tblMovimientos[SKU],tblStock[[#This Row],[SKU]]))</f>
        <v/>
      </c>
      <c r="K127" s="55" t="str">
        <f>IF($B127="","",N('05_PRODUCTOS'!$F127))</f>
        <v/>
      </c>
      <c r="L127" s="55" t="str">
        <f>IF($B127="","",N('05_PRODUCTOS'!$G127))</f>
        <v/>
      </c>
      <c r="M127" s="57" t="str">
        <f>IF(OR(tblStock[[#This Row],[SKU]]="",N(tblStock[[#This Row],[StockMax]])=0),"",MAX(0,tblStock[[#This Row],[StockActual]])/tblStock[[#This Row],[StockMax]])</f>
        <v/>
      </c>
      <c r="N12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7" s="59" t="str">
        <f>IF($B127="","",N('05_PRODUCTOS'!$H127))</f>
        <v/>
      </c>
      <c r="P127" s="59" t="str">
        <f>IF(tblStock[[#This Row],[SKU]]="","",MAX(0,tblStock[[#This Row],[StockActual]])*tblStock[[#This Row],[CostoUnitario]])</f>
        <v/>
      </c>
      <c r="Q127" s="60" t="str">
        <f>IF(tblStock[[#This Row],[SKU]]="","",IFERROR(_xlfn.AGGREGATE(14,6,tblMovimientos[Fecha]/(tblMovimientos[SKU]=tblStock[[#This Row],[SKU]]),1),""))</f>
        <v/>
      </c>
      <c r="R127" s="61" t="str">
        <f ca="1">IF(OR(tblStock[[#This Row],[SKU]]="",tblStock[[#This Row],[UltimoMov]]=""),"",TODAY()-tblStock[[#This Row],[UltimoMov]])</f>
        <v/>
      </c>
    </row>
    <row r="128" spans="2:18" x14ac:dyDescent="0.25">
      <c r="B128" s="53" t="str">
        <f>IF('05_PRODUCTOS'!$B128="","",'05_PRODUCTOS'!$B128)</f>
        <v/>
      </c>
      <c r="C128" s="54" t="str">
        <f>IF($B128="","",'05_PRODUCTOS'!$C128)</f>
        <v/>
      </c>
      <c r="D128" s="54" t="str">
        <f>IF($B128="","",'05_PRODUCTOS'!$D128)</f>
        <v/>
      </c>
      <c r="E128" s="54" t="str">
        <f>IF($B128="","",'05_PRODUCTOS'!$I128&amp;"")</f>
        <v/>
      </c>
      <c r="F128" s="53" t="str">
        <f>IF($B128="","",'05_PRODUCTOS'!$E128)</f>
        <v/>
      </c>
      <c r="G128" s="53" t="str">
        <f>IF($B128="","",IF('05_PRODUCTOS'!$K128="NO","NO","SI"))</f>
        <v/>
      </c>
      <c r="H128" s="55" t="str">
        <f>IF(tblStock[[#This Row],[SKU]]="","",SUMIFS(tblMovimientos[CantidadNeta],tblMovimientos[SKU],tblStock[[#This Row],[SKU]],tblMovimientos[FactorStock],1))</f>
        <v/>
      </c>
      <c r="I128" s="55" t="str">
        <f>IF(tblStock[[#This Row],[SKU]]="","",-SUMIFS(tblMovimientos[CantidadNeta],tblMovimientos[SKU],tblStock[[#This Row],[SKU]],tblMovimientos[FactorStock],-1))</f>
        <v/>
      </c>
      <c r="J128" s="56" t="str">
        <f>IF(tblStock[[#This Row],[SKU]]="","",SUMIFS(tblMovimientos[CantidadNeta],tblMovimientos[SKU],tblStock[[#This Row],[SKU]]))</f>
        <v/>
      </c>
      <c r="K128" s="55" t="str">
        <f>IF($B128="","",N('05_PRODUCTOS'!$F128))</f>
        <v/>
      </c>
      <c r="L128" s="55" t="str">
        <f>IF($B128="","",N('05_PRODUCTOS'!$G128))</f>
        <v/>
      </c>
      <c r="M128" s="57" t="str">
        <f>IF(OR(tblStock[[#This Row],[SKU]]="",N(tblStock[[#This Row],[StockMax]])=0),"",MAX(0,tblStock[[#This Row],[StockActual]])/tblStock[[#This Row],[StockMax]])</f>
        <v/>
      </c>
      <c r="N12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8" s="59" t="str">
        <f>IF($B128="","",N('05_PRODUCTOS'!$H128))</f>
        <v/>
      </c>
      <c r="P128" s="59" t="str">
        <f>IF(tblStock[[#This Row],[SKU]]="","",MAX(0,tblStock[[#This Row],[StockActual]])*tblStock[[#This Row],[CostoUnitario]])</f>
        <v/>
      </c>
      <c r="Q128" s="60" t="str">
        <f>IF(tblStock[[#This Row],[SKU]]="","",IFERROR(_xlfn.AGGREGATE(14,6,tblMovimientos[Fecha]/(tblMovimientos[SKU]=tblStock[[#This Row],[SKU]]),1),""))</f>
        <v/>
      </c>
      <c r="R128" s="61" t="str">
        <f ca="1">IF(OR(tblStock[[#This Row],[SKU]]="",tblStock[[#This Row],[UltimoMov]]=""),"",TODAY()-tblStock[[#This Row],[UltimoMov]])</f>
        <v/>
      </c>
    </row>
    <row r="129" spans="2:18" x14ac:dyDescent="0.25">
      <c r="B129" s="53" t="str">
        <f>IF('05_PRODUCTOS'!$B129="","",'05_PRODUCTOS'!$B129)</f>
        <v/>
      </c>
      <c r="C129" s="54" t="str">
        <f>IF($B129="","",'05_PRODUCTOS'!$C129)</f>
        <v/>
      </c>
      <c r="D129" s="54" t="str">
        <f>IF($B129="","",'05_PRODUCTOS'!$D129)</f>
        <v/>
      </c>
      <c r="E129" s="54" t="str">
        <f>IF($B129="","",'05_PRODUCTOS'!$I129&amp;"")</f>
        <v/>
      </c>
      <c r="F129" s="53" t="str">
        <f>IF($B129="","",'05_PRODUCTOS'!$E129)</f>
        <v/>
      </c>
      <c r="G129" s="53" t="str">
        <f>IF($B129="","",IF('05_PRODUCTOS'!$K129="NO","NO","SI"))</f>
        <v/>
      </c>
      <c r="H129" s="55" t="str">
        <f>IF(tblStock[[#This Row],[SKU]]="","",SUMIFS(tblMovimientos[CantidadNeta],tblMovimientos[SKU],tblStock[[#This Row],[SKU]],tblMovimientos[FactorStock],1))</f>
        <v/>
      </c>
      <c r="I129" s="55" t="str">
        <f>IF(tblStock[[#This Row],[SKU]]="","",-SUMIFS(tblMovimientos[CantidadNeta],tblMovimientos[SKU],tblStock[[#This Row],[SKU]],tblMovimientos[FactorStock],-1))</f>
        <v/>
      </c>
      <c r="J129" s="56" t="str">
        <f>IF(tblStock[[#This Row],[SKU]]="","",SUMIFS(tblMovimientos[CantidadNeta],tblMovimientos[SKU],tblStock[[#This Row],[SKU]]))</f>
        <v/>
      </c>
      <c r="K129" s="55" t="str">
        <f>IF($B129="","",N('05_PRODUCTOS'!$F129))</f>
        <v/>
      </c>
      <c r="L129" s="55" t="str">
        <f>IF($B129="","",N('05_PRODUCTOS'!$G129))</f>
        <v/>
      </c>
      <c r="M129" s="57" t="str">
        <f>IF(OR(tblStock[[#This Row],[SKU]]="",N(tblStock[[#This Row],[StockMax]])=0),"",MAX(0,tblStock[[#This Row],[StockActual]])/tblStock[[#This Row],[StockMax]])</f>
        <v/>
      </c>
      <c r="N12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29" s="59" t="str">
        <f>IF($B129="","",N('05_PRODUCTOS'!$H129))</f>
        <v/>
      </c>
      <c r="P129" s="59" t="str">
        <f>IF(tblStock[[#This Row],[SKU]]="","",MAX(0,tblStock[[#This Row],[StockActual]])*tblStock[[#This Row],[CostoUnitario]])</f>
        <v/>
      </c>
      <c r="Q129" s="60" t="str">
        <f>IF(tblStock[[#This Row],[SKU]]="","",IFERROR(_xlfn.AGGREGATE(14,6,tblMovimientos[Fecha]/(tblMovimientos[SKU]=tblStock[[#This Row],[SKU]]),1),""))</f>
        <v/>
      </c>
      <c r="R129" s="61" t="str">
        <f ca="1">IF(OR(tblStock[[#This Row],[SKU]]="",tblStock[[#This Row],[UltimoMov]]=""),"",TODAY()-tblStock[[#This Row],[UltimoMov]])</f>
        <v/>
      </c>
    </row>
    <row r="130" spans="2:18" x14ac:dyDescent="0.25">
      <c r="B130" s="53" t="str">
        <f>IF('05_PRODUCTOS'!$B130="","",'05_PRODUCTOS'!$B130)</f>
        <v/>
      </c>
      <c r="C130" s="54" t="str">
        <f>IF($B130="","",'05_PRODUCTOS'!$C130)</f>
        <v/>
      </c>
      <c r="D130" s="54" t="str">
        <f>IF($B130="","",'05_PRODUCTOS'!$D130)</f>
        <v/>
      </c>
      <c r="E130" s="54" t="str">
        <f>IF($B130="","",'05_PRODUCTOS'!$I130&amp;"")</f>
        <v/>
      </c>
      <c r="F130" s="53" t="str">
        <f>IF($B130="","",'05_PRODUCTOS'!$E130)</f>
        <v/>
      </c>
      <c r="G130" s="53" t="str">
        <f>IF($B130="","",IF('05_PRODUCTOS'!$K130="NO","NO","SI"))</f>
        <v/>
      </c>
      <c r="H130" s="55" t="str">
        <f>IF(tblStock[[#This Row],[SKU]]="","",SUMIFS(tblMovimientos[CantidadNeta],tblMovimientos[SKU],tblStock[[#This Row],[SKU]],tblMovimientos[FactorStock],1))</f>
        <v/>
      </c>
      <c r="I130" s="55" t="str">
        <f>IF(tblStock[[#This Row],[SKU]]="","",-SUMIFS(tblMovimientos[CantidadNeta],tblMovimientos[SKU],tblStock[[#This Row],[SKU]],tblMovimientos[FactorStock],-1))</f>
        <v/>
      </c>
      <c r="J130" s="56" t="str">
        <f>IF(tblStock[[#This Row],[SKU]]="","",SUMIFS(tblMovimientos[CantidadNeta],tblMovimientos[SKU],tblStock[[#This Row],[SKU]]))</f>
        <v/>
      </c>
      <c r="K130" s="55" t="str">
        <f>IF($B130="","",N('05_PRODUCTOS'!$F130))</f>
        <v/>
      </c>
      <c r="L130" s="55" t="str">
        <f>IF($B130="","",N('05_PRODUCTOS'!$G130))</f>
        <v/>
      </c>
      <c r="M130" s="57" t="str">
        <f>IF(OR(tblStock[[#This Row],[SKU]]="",N(tblStock[[#This Row],[StockMax]])=0),"",MAX(0,tblStock[[#This Row],[StockActual]])/tblStock[[#This Row],[StockMax]])</f>
        <v/>
      </c>
      <c r="N13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0" s="59" t="str">
        <f>IF($B130="","",N('05_PRODUCTOS'!$H130))</f>
        <v/>
      </c>
      <c r="P130" s="59" t="str">
        <f>IF(tblStock[[#This Row],[SKU]]="","",MAX(0,tblStock[[#This Row],[StockActual]])*tblStock[[#This Row],[CostoUnitario]])</f>
        <v/>
      </c>
      <c r="Q130" s="60" t="str">
        <f>IF(tblStock[[#This Row],[SKU]]="","",IFERROR(_xlfn.AGGREGATE(14,6,tblMovimientos[Fecha]/(tblMovimientos[SKU]=tblStock[[#This Row],[SKU]]),1),""))</f>
        <v/>
      </c>
      <c r="R130" s="61" t="str">
        <f ca="1">IF(OR(tblStock[[#This Row],[SKU]]="",tblStock[[#This Row],[UltimoMov]]=""),"",TODAY()-tblStock[[#This Row],[UltimoMov]])</f>
        <v/>
      </c>
    </row>
    <row r="131" spans="2:18" x14ac:dyDescent="0.25">
      <c r="B131" s="53" t="str">
        <f>IF('05_PRODUCTOS'!$B131="","",'05_PRODUCTOS'!$B131)</f>
        <v/>
      </c>
      <c r="C131" s="54" t="str">
        <f>IF($B131="","",'05_PRODUCTOS'!$C131)</f>
        <v/>
      </c>
      <c r="D131" s="54" t="str">
        <f>IF($B131="","",'05_PRODUCTOS'!$D131)</f>
        <v/>
      </c>
      <c r="E131" s="54" t="str">
        <f>IF($B131="","",'05_PRODUCTOS'!$I131&amp;"")</f>
        <v/>
      </c>
      <c r="F131" s="53" t="str">
        <f>IF($B131="","",'05_PRODUCTOS'!$E131)</f>
        <v/>
      </c>
      <c r="G131" s="53" t="str">
        <f>IF($B131="","",IF('05_PRODUCTOS'!$K131="NO","NO","SI"))</f>
        <v/>
      </c>
      <c r="H131" s="55" t="str">
        <f>IF(tblStock[[#This Row],[SKU]]="","",SUMIFS(tblMovimientos[CantidadNeta],tblMovimientos[SKU],tblStock[[#This Row],[SKU]],tblMovimientos[FactorStock],1))</f>
        <v/>
      </c>
      <c r="I131" s="55" t="str">
        <f>IF(tblStock[[#This Row],[SKU]]="","",-SUMIFS(tblMovimientos[CantidadNeta],tblMovimientos[SKU],tblStock[[#This Row],[SKU]],tblMovimientos[FactorStock],-1))</f>
        <v/>
      </c>
      <c r="J131" s="56" t="str">
        <f>IF(tblStock[[#This Row],[SKU]]="","",SUMIFS(tblMovimientos[CantidadNeta],tblMovimientos[SKU],tblStock[[#This Row],[SKU]]))</f>
        <v/>
      </c>
      <c r="K131" s="55" t="str">
        <f>IF($B131="","",N('05_PRODUCTOS'!$F131))</f>
        <v/>
      </c>
      <c r="L131" s="55" t="str">
        <f>IF($B131="","",N('05_PRODUCTOS'!$G131))</f>
        <v/>
      </c>
      <c r="M131" s="57" t="str">
        <f>IF(OR(tblStock[[#This Row],[SKU]]="",N(tblStock[[#This Row],[StockMax]])=0),"",MAX(0,tblStock[[#This Row],[StockActual]])/tblStock[[#This Row],[StockMax]])</f>
        <v/>
      </c>
      <c r="N13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1" s="59" t="str">
        <f>IF($B131="","",N('05_PRODUCTOS'!$H131))</f>
        <v/>
      </c>
      <c r="P131" s="59" t="str">
        <f>IF(tblStock[[#This Row],[SKU]]="","",MAX(0,tblStock[[#This Row],[StockActual]])*tblStock[[#This Row],[CostoUnitario]])</f>
        <v/>
      </c>
      <c r="Q131" s="60" t="str">
        <f>IF(tblStock[[#This Row],[SKU]]="","",IFERROR(_xlfn.AGGREGATE(14,6,tblMovimientos[Fecha]/(tblMovimientos[SKU]=tblStock[[#This Row],[SKU]]),1),""))</f>
        <v/>
      </c>
      <c r="R131" s="61" t="str">
        <f ca="1">IF(OR(tblStock[[#This Row],[SKU]]="",tblStock[[#This Row],[UltimoMov]]=""),"",TODAY()-tblStock[[#This Row],[UltimoMov]])</f>
        <v/>
      </c>
    </row>
    <row r="132" spans="2:18" x14ac:dyDescent="0.25">
      <c r="B132" s="53" t="str">
        <f>IF('05_PRODUCTOS'!$B132="","",'05_PRODUCTOS'!$B132)</f>
        <v/>
      </c>
      <c r="C132" s="54" t="str">
        <f>IF($B132="","",'05_PRODUCTOS'!$C132)</f>
        <v/>
      </c>
      <c r="D132" s="54" t="str">
        <f>IF($B132="","",'05_PRODUCTOS'!$D132)</f>
        <v/>
      </c>
      <c r="E132" s="54" t="str">
        <f>IF($B132="","",'05_PRODUCTOS'!$I132&amp;"")</f>
        <v/>
      </c>
      <c r="F132" s="53" t="str">
        <f>IF($B132="","",'05_PRODUCTOS'!$E132)</f>
        <v/>
      </c>
      <c r="G132" s="53" t="str">
        <f>IF($B132="","",IF('05_PRODUCTOS'!$K132="NO","NO","SI"))</f>
        <v/>
      </c>
      <c r="H132" s="55" t="str">
        <f>IF(tblStock[[#This Row],[SKU]]="","",SUMIFS(tblMovimientos[CantidadNeta],tblMovimientos[SKU],tblStock[[#This Row],[SKU]],tblMovimientos[FactorStock],1))</f>
        <v/>
      </c>
      <c r="I132" s="55" t="str">
        <f>IF(tblStock[[#This Row],[SKU]]="","",-SUMIFS(tblMovimientos[CantidadNeta],tblMovimientos[SKU],tblStock[[#This Row],[SKU]],tblMovimientos[FactorStock],-1))</f>
        <v/>
      </c>
      <c r="J132" s="56" t="str">
        <f>IF(tblStock[[#This Row],[SKU]]="","",SUMIFS(tblMovimientos[CantidadNeta],tblMovimientos[SKU],tblStock[[#This Row],[SKU]]))</f>
        <v/>
      </c>
      <c r="K132" s="55" t="str">
        <f>IF($B132="","",N('05_PRODUCTOS'!$F132))</f>
        <v/>
      </c>
      <c r="L132" s="55" t="str">
        <f>IF($B132="","",N('05_PRODUCTOS'!$G132))</f>
        <v/>
      </c>
      <c r="M132" s="57" t="str">
        <f>IF(OR(tblStock[[#This Row],[SKU]]="",N(tblStock[[#This Row],[StockMax]])=0),"",MAX(0,tblStock[[#This Row],[StockActual]])/tblStock[[#This Row],[StockMax]])</f>
        <v/>
      </c>
      <c r="N13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2" s="59" t="str">
        <f>IF($B132="","",N('05_PRODUCTOS'!$H132))</f>
        <v/>
      </c>
      <c r="P132" s="59" t="str">
        <f>IF(tblStock[[#This Row],[SKU]]="","",MAX(0,tblStock[[#This Row],[StockActual]])*tblStock[[#This Row],[CostoUnitario]])</f>
        <v/>
      </c>
      <c r="Q132" s="60" t="str">
        <f>IF(tblStock[[#This Row],[SKU]]="","",IFERROR(_xlfn.AGGREGATE(14,6,tblMovimientos[Fecha]/(tblMovimientos[SKU]=tblStock[[#This Row],[SKU]]),1),""))</f>
        <v/>
      </c>
      <c r="R132" s="61" t="str">
        <f ca="1">IF(OR(tblStock[[#This Row],[SKU]]="",tblStock[[#This Row],[UltimoMov]]=""),"",TODAY()-tblStock[[#This Row],[UltimoMov]])</f>
        <v/>
      </c>
    </row>
    <row r="133" spans="2:18" x14ac:dyDescent="0.25">
      <c r="B133" s="53" t="str">
        <f>IF('05_PRODUCTOS'!$B133="","",'05_PRODUCTOS'!$B133)</f>
        <v/>
      </c>
      <c r="C133" s="54" t="str">
        <f>IF($B133="","",'05_PRODUCTOS'!$C133)</f>
        <v/>
      </c>
      <c r="D133" s="54" t="str">
        <f>IF($B133="","",'05_PRODUCTOS'!$D133)</f>
        <v/>
      </c>
      <c r="E133" s="54" t="str">
        <f>IF($B133="","",'05_PRODUCTOS'!$I133&amp;"")</f>
        <v/>
      </c>
      <c r="F133" s="53" t="str">
        <f>IF($B133="","",'05_PRODUCTOS'!$E133)</f>
        <v/>
      </c>
      <c r="G133" s="53" t="str">
        <f>IF($B133="","",IF('05_PRODUCTOS'!$K133="NO","NO","SI"))</f>
        <v/>
      </c>
      <c r="H133" s="55" t="str">
        <f>IF(tblStock[[#This Row],[SKU]]="","",SUMIFS(tblMovimientos[CantidadNeta],tblMovimientos[SKU],tblStock[[#This Row],[SKU]],tblMovimientos[FactorStock],1))</f>
        <v/>
      </c>
      <c r="I133" s="55" t="str">
        <f>IF(tblStock[[#This Row],[SKU]]="","",-SUMIFS(tblMovimientos[CantidadNeta],tblMovimientos[SKU],tblStock[[#This Row],[SKU]],tblMovimientos[FactorStock],-1))</f>
        <v/>
      </c>
      <c r="J133" s="56" t="str">
        <f>IF(tblStock[[#This Row],[SKU]]="","",SUMIFS(tblMovimientos[CantidadNeta],tblMovimientos[SKU],tblStock[[#This Row],[SKU]]))</f>
        <v/>
      </c>
      <c r="K133" s="55" t="str">
        <f>IF($B133="","",N('05_PRODUCTOS'!$F133))</f>
        <v/>
      </c>
      <c r="L133" s="55" t="str">
        <f>IF($B133="","",N('05_PRODUCTOS'!$G133))</f>
        <v/>
      </c>
      <c r="M133" s="57" t="str">
        <f>IF(OR(tblStock[[#This Row],[SKU]]="",N(tblStock[[#This Row],[StockMax]])=0),"",MAX(0,tblStock[[#This Row],[StockActual]])/tblStock[[#This Row],[StockMax]])</f>
        <v/>
      </c>
      <c r="N13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3" s="59" t="str">
        <f>IF($B133="","",N('05_PRODUCTOS'!$H133))</f>
        <v/>
      </c>
      <c r="P133" s="59" t="str">
        <f>IF(tblStock[[#This Row],[SKU]]="","",MAX(0,tblStock[[#This Row],[StockActual]])*tblStock[[#This Row],[CostoUnitario]])</f>
        <v/>
      </c>
      <c r="Q133" s="60" t="str">
        <f>IF(tblStock[[#This Row],[SKU]]="","",IFERROR(_xlfn.AGGREGATE(14,6,tblMovimientos[Fecha]/(tblMovimientos[SKU]=tblStock[[#This Row],[SKU]]),1),""))</f>
        <v/>
      </c>
      <c r="R133" s="61" t="str">
        <f ca="1">IF(OR(tblStock[[#This Row],[SKU]]="",tblStock[[#This Row],[UltimoMov]]=""),"",TODAY()-tblStock[[#This Row],[UltimoMov]])</f>
        <v/>
      </c>
    </row>
    <row r="134" spans="2:18" x14ac:dyDescent="0.25">
      <c r="B134" s="53" t="str">
        <f>IF('05_PRODUCTOS'!$B134="","",'05_PRODUCTOS'!$B134)</f>
        <v/>
      </c>
      <c r="C134" s="54" t="str">
        <f>IF($B134="","",'05_PRODUCTOS'!$C134)</f>
        <v/>
      </c>
      <c r="D134" s="54" t="str">
        <f>IF($B134="","",'05_PRODUCTOS'!$D134)</f>
        <v/>
      </c>
      <c r="E134" s="54" t="str">
        <f>IF($B134="","",'05_PRODUCTOS'!$I134&amp;"")</f>
        <v/>
      </c>
      <c r="F134" s="53" t="str">
        <f>IF($B134="","",'05_PRODUCTOS'!$E134)</f>
        <v/>
      </c>
      <c r="G134" s="53" t="str">
        <f>IF($B134="","",IF('05_PRODUCTOS'!$K134="NO","NO","SI"))</f>
        <v/>
      </c>
      <c r="H134" s="55" t="str">
        <f>IF(tblStock[[#This Row],[SKU]]="","",SUMIFS(tblMovimientos[CantidadNeta],tblMovimientos[SKU],tblStock[[#This Row],[SKU]],tblMovimientos[FactorStock],1))</f>
        <v/>
      </c>
      <c r="I134" s="55" t="str">
        <f>IF(tblStock[[#This Row],[SKU]]="","",-SUMIFS(tblMovimientos[CantidadNeta],tblMovimientos[SKU],tblStock[[#This Row],[SKU]],tblMovimientos[FactorStock],-1))</f>
        <v/>
      </c>
      <c r="J134" s="56" t="str">
        <f>IF(tblStock[[#This Row],[SKU]]="","",SUMIFS(tblMovimientos[CantidadNeta],tblMovimientos[SKU],tblStock[[#This Row],[SKU]]))</f>
        <v/>
      </c>
      <c r="K134" s="55" t="str">
        <f>IF($B134="","",N('05_PRODUCTOS'!$F134))</f>
        <v/>
      </c>
      <c r="L134" s="55" t="str">
        <f>IF($B134="","",N('05_PRODUCTOS'!$G134))</f>
        <v/>
      </c>
      <c r="M134" s="57" t="str">
        <f>IF(OR(tblStock[[#This Row],[SKU]]="",N(tblStock[[#This Row],[StockMax]])=0),"",MAX(0,tblStock[[#This Row],[StockActual]])/tblStock[[#This Row],[StockMax]])</f>
        <v/>
      </c>
      <c r="N13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4" s="59" t="str">
        <f>IF($B134="","",N('05_PRODUCTOS'!$H134))</f>
        <v/>
      </c>
      <c r="P134" s="59" t="str">
        <f>IF(tblStock[[#This Row],[SKU]]="","",MAX(0,tblStock[[#This Row],[StockActual]])*tblStock[[#This Row],[CostoUnitario]])</f>
        <v/>
      </c>
      <c r="Q134" s="60" t="str">
        <f>IF(tblStock[[#This Row],[SKU]]="","",IFERROR(_xlfn.AGGREGATE(14,6,tblMovimientos[Fecha]/(tblMovimientos[SKU]=tblStock[[#This Row],[SKU]]),1),""))</f>
        <v/>
      </c>
      <c r="R134" s="61" t="str">
        <f ca="1">IF(OR(tblStock[[#This Row],[SKU]]="",tblStock[[#This Row],[UltimoMov]]=""),"",TODAY()-tblStock[[#This Row],[UltimoMov]])</f>
        <v/>
      </c>
    </row>
    <row r="135" spans="2:18" x14ac:dyDescent="0.25">
      <c r="B135" s="53" t="str">
        <f>IF('05_PRODUCTOS'!$B135="","",'05_PRODUCTOS'!$B135)</f>
        <v/>
      </c>
      <c r="C135" s="54" t="str">
        <f>IF($B135="","",'05_PRODUCTOS'!$C135)</f>
        <v/>
      </c>
      <c r="D135" s="54" t="str">
        <f>IF($B135="","",'05_PRODUCTOS'!$D135)</f>
        <v/>
      </c>
      <c r="E135" s="54" t="str">
        <f>IF($B135="","",'05_PRODUCTOS'!$I135&amp;"")</f>
        <v/>
      </c>
      <c r="F135" s="53" t="str">
        <f>IF($B135="","",'05_PRODUCTOS'!$E135)</f>
        <v/>
      </c>
      <c r="G135" s="53" t="str">
        <f>IF($B135="","",IF('05_PRODUCTOS'!$K135="NO","NO","SI"))</f>
        <v/>
      </c>
      <c r="H135" s="55" t="str">
        <f>IF(tblStock[[#This Row],[SKU]]="","",SUMIFS(tblMovimientos[CantidadNeta],tblMovimientos[SKU],tblStock[[#This Row],[SKU]],tblMovimientos[FactorStock],1))</f>
        <v/>
      </c>
      <c r="I135" s="55" t="str">
        <f>IF(tblStock[[#This Row],[SKU]]="","",-SUMIFS(tblMovimientos[CantidadNeta],tblMovimientos[SKU],tblStock[[#This Row],[SKU]],tblMovimientos[FactorStock],-1))</f>
        <v/>
      </c>
      <c r="J135" s="56" t="str">
        <f>IF(tblStock[[#This Row],[SKU]]="","",SUMIFS(tblMovimientos[CantidadNeta],tblMovimientos[SKU],tblStock[[#This Row],[SKU]]))</f>
        <v/>
      </c>
      <c r="K135" s="55" t="str">
        <f>IF($B135="","",N('05_PRODUCTOS'!$F135))</f>
        <v/>
      </c>
      <c r="L135" s="55" t="str">
        <f>IF($B135="","",N('05_PRODUCTOS'!$G135))</f>
        <v/>
      </c>
      <c r="M135" s="57" t="str">
        <f>IF(OR(tblStock[[#This Row],[SKU]]="",N(tblStock[[#This Row],[StockMax]])=0),"",MAX(0,tblStock[[#This Row],[StockActual]])/tblStock[[#This Row],[StockMax]])</f>
        <v/>
      </c>
      <c r="N13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5" s="59" t="str">
        <f>IF($B135="","",N('05_PRODUCTOS'!$H135))</f>
        <v/>
      </c>
      <c r="P135" s="59" t="str">
        <f>IF(tblStock[[#This Row],[SKU]]="","",MAX(0,tblStock[[#This Row],[StockActual]])*tblStock[[#This Row],[CostoUnitario]])</f>
        <v/>
      </c>
      <c r="Q135" s="60" t="str">
        <f>IF(tblStock[[#This Row],[SKU]]="","",IFERROR(_xlfn.AGGREGATE(14,6,tblMovimientos[Fecha]/(tblMovimientos[SKU]=tblStock[[#This Row],[SKU]]),1),""))</f>
        <v/>
      </c>
      <c r="R135" s="61" t="str">
        <f ca="1">IF(OR(tblStock[[#This Row],[SKU]]="",tblStock[[#This Row],[UltimoMov]]=""),"",TODAY()-tblStock[[#This Row],[UltimoMov]])</f>
        <v/>
      </c>
    </row>
    <row r="136" spans="2:18" x14ac:dyDescent="0.25">
      <c r="B136" s="53" t="str">
        <f>IF('05_PRODUCTOS'!$B136="","",'05_PRODUCTOS'!$B136)</f>
        <v/>
      </c>
      <c r="C136" s="54" t="str">
        <f>IF($B136="","",'05_PRODUCTOS'!$C136)</f>
        <v/>
      </c>
      <c r="D136" s="54" t="str">
        <f>IF($B136="","",'05_PRODUCTOS'!$D136)</f>
        <v/>
      </c>
      <c r="E136" s="54" t="str">
        <f>IF($B136="","",'05_PRODUCTOS'!$I136&amp;"")</f>
        <v/>
      </c>
      <c r="F136" s="53" t="str">
        <f>IF($B136="","",'05_PRODUCTOS'!$E136)</f>
        <v/>
      </c>
      <c r="G136" s="53" t="str">
        <f>IF($B136="","",IF('05_PRODUCTOS'!$K136="NO","NO","SI"))</f>
        <v/>
      </c>
      <c r="H136" s="55" t="str">
        <f>IF(tblStock[[#This Row],[SKU]]="","",SUMIFS(tblMovimientos[CantidadNeta],tblMovimientos[SKU],tblStock[[#This Row],[SKU]],tblMovimientos[FactorStock],1))</f>
        <v/>
      </c>
      <c r="I136" s="55" t="str">
        <f>IF(tblStock[[#This Row],[SKU]]="","",-SUMIFS(tblMovimientos[CantidadNeta],tblMovimientos[SKU],tblStock[[#This Row],[SKU]],tblMovimientos[FactorStock],-1))</f>
        <v/>
      </c>
      <c r="J136" s="56" t="str">
        <f>IF(tblStock[[#This Row],[SKU]]="","",SUMIFS(tblMovimientos[CantidadNeta],tblMovimientos[SKU],tblStock[[#This Row],[SKU]]))</f>
        <v/>
      </c>
      <c r="K136" s="55" t="str">
        <f>IF($B136="","",N('05_PRODUCTOS'!$F136))</f>
        <v/>
      </c>
      <c r="L136" s="55" t="str">
        <f>IF($B136="","",N('05_PRODUCTOS'!$G136))</f>
        <v/>
      </c>
      <c r="M136" s="57" t="str">
        <f>IF(OR(tblStock[[#This Row],[SKU]]="",N(tblStock[[#This Row],[StockMax]])=0),"",MAX(0,tblStock[[#This Row],[StockActual]])/tblStock[[#This Row],[StockMax]])</f>
        <v/>
      </c>
      <c r="N13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6" s="59" t="str">
        <f>IF($B136="","",N('05_PRODUCTOS'!$H136))</f>
        <v/>
      </c>
      <c r="P136" s="59" t="str">
        <f>IF(tblStock[[#This Row],[SKU]]="","",MAX(0,tblStock[[#This Row],[StockActual]])*tblStock[[#This Row],[CostoUnitario]])</f>
        <v/>
      </c>
      <c r="Q136" s="60" t="str">
        <f>IF(tblStock[[#This Row],[SKU]]="","",IFERROR(_xlfn.AGGREGATE(14,6,tblMovimientos[Fecha]/(tblMovimientos[SKU]=tblStock[[#This Row],[SKU]]),1),""))</f>
        <v/>
      </c>
      <c r="R136" s="61" t="str">
        <f ca="1">IF(OR(tblStock[[#This Row],[SKU]]="",tblStock[[#This Row],[UltimoMov]]=""),"",TODAY()-tblStock[[#This Row],[UltimoMov]])</f>
        <v/>
      </c>
    </row>
    <row r="137" spans="2:18" x14ac:dyDescent="0.25">
      <c r="B137" s="53" t="str">
        <f>IF('05_PRODUCTOS'!$B137="","",'05_PRODUCTOS'!$B137)</f>
        <v/>
      </c>
      <c r="C137" s="54" t="str">
        <f>IF($B137="","",'05_PRODUCTOS'!$C137)</f>
        <v/>
      </c>
      <c r="D137" s="54" t="str">
        <f>IF($B137="","",'05_PRODUCTOS'!$D137)</f>
        <v/>
      </c>
      <c r="E137" s="54" t="str">
        <f>IF($B137="","",'05_PRODUCTOS'!$I137&amp;"")</f>
        <v/>
      </c>
      <c r="F137" s="53" t="str">
        <f>IF($B137="","",'05_PRODUCTOS'!$E137)</f>
        <v/>
      </c>
      <c r="G137" s="53" t="str">
        <f>IF($B137="","",IF('05_PRODUCTOS'!$K137="NO","NO","SI"))</f>
        <v/>
      </c>
      <c r="H137" s="55" t="str">
        <f>IF(tblStock[[#This Row],[SKU]]="","",SUMIFS(tblMovimientos[CantidadNeta],tblMovimientos[SKU],tblStock[[#This Row],[SKU]],tblMovimientos[FactorStock],1))</f>
        <v/>
      </c>
      <c r="I137" s="55" t="str">
        <f>IF(tblStock[[#This Row],[SKU]]="","",-SUMIFS(tblMovimientos[CantidadNeta],tblMovimientos[SKU],tblStock[[#This Row],[SKU]],tblMovimientos[FactorStock],-1))</f>
        <v/>
      </c>
      <c r="J137" s="56" t="str">
        <f>IF(tblStock[[#This Row],[SKU]]="","",SUMIFS(tblMovimientos[CantidadNeta],tblMovimientos[SKU],tblStock[[#This Row],[SKU]]))</f>
        <v/>
      </c>
      <c r="K137" s="55" t="str">
        <f>IF($B137="","",N('05_PRODUCTOS'!$F137))</f>
        <v/>
      </c>
      <c r="L137" s="55" t="str">
        <f>IF($B137="","",N('05_PRODUCTOS'!$G137))</f>
        <v/>
      </c>
      <c r="M137" s="57" t="str">
        <f>IF(OR(tblStock[[#This Row],[SKU]]="",N(tblStock[[#This Row],[StockMax]])=0),"",MAX(0,tblStock[[#This Row],[StockActual]])/tblStock[[#This Row],[StockMax]])</f>
        <v/>
      </c>
      <c r="N13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7" s="59" t="str">
        <f>IF($B137="","",N('05_PRODUCTOS'!$H137))</f>
        <v/>
      </c>
      <c r="P137" s="59" t="str">
        <f>IF(tblStock[[#This Row],[SKU]]="","",MAX(0,tblStock[[#This Row],[StockActual]])*tblStock[[#This Row],[CostoUnitario]])</f>
        <v/>
      </c>
      <c r="Q137" s="60" t="str">
        <f>IF(tblStock[[#This Row],[SKU]]="","",IFERROR(_xlfn.AGGREGATE(14,6,tblMovimientos[Fecha]/(tblMovimientos[SKU]=tblStock[[#This Row],[SKU]]),1),""))</f>
        <v/>
      </c>
      <c r="R137" s="61" t="str">
        <f ca="1">IF(OR(tblStock[[#This Row],[SKU]]="",tblStock[[#This Row],[UltimoMov]]=""),"",TODAY()-tblStock[[#This Row],[UltimoMov]])</f>
        <v/>
      </c>
    </row>
    <row r="138" spans="2:18" x14ac:dyDescent="0.25">
      <c r="B138" s="53" t="str">
        <f>IF('05_PRODUCTOS'!$B138="","",'05_PRODUCTOS'!$B138)</f>
        <v/>
      </c>
      <c r="C138" s="54" t="str">
        <f>IF($B138="","",'05_PRODUCTOS'!$C138)</f>
        <v/>
      </c>
      <c r="D138" s="54" t="str">
        <f>IF($B138="","",'05_PRODUCTOS'!$D138)</f>
        <v/>
      </c>
      <c r="E138" s="54" t="str">
        <f>IF($B138="","",'05_PRODUCTOS'!$I138&amp;"")</f>
        <v/>
      </c>
      <c r="F138" s="53" t="str">
        <f>IF($B138="","",'05_PRODUCTOS'!$E138)</f>
        <v/>
      </c>
      <c r="G138" s="53" t="str">
        <f>IF($B138="","",IF('05_PRODUCTOS'!$K138="NO","NO","SI"))</f>
        <v/>
      </c>
      <c r="H138" s="55" t="str">
        <f>IF(tblStock[[#This Row],[SKU]]="","",SUMIFS(tblMovimientos[CantidadNeta],tblMovimientos[SKU],tblStock[[#This Row],[SKU]],tblMovimientos[FactorStock],1))</f>
        <v/>
      </c>
      <c r="I138" s="55" t="str">
        <f>IF(tblStock[[#This Row],[SKU]]="","",-SUMIFS(tblMovimientos[CantidadNeta],tblMovimientos[SKU],tblStock[[#This Row],[SKU]],tblMovimientos[FactorStock],-1))</f>
        <v/>
      </c>
      <c r="J138" s="56" t="str">
        <f>IF(tblStock[[#This Row],[SKU]]="","",SUMIFS(tblMovimientos[CantidadNeta],tblMovimientos[SKU],tblStock[[#This Row],[SKU]]))</f>
        <v/>
      </c>
      <c r="K138" s="55" t="str">
        <f>IF($B138="","",N('05_PRODUCTOS'!$F138))</f>
        <v/>
      </c>
      <c r="L138" s="55" t="str">
        <f>IF($B138="","",N('05_PRODUCTOS'!$G138))</f>
        <v/>
      </c>
      <c r="M138" s="57" t="str">
        <f>IF(OR(tblStock[[#This Row],[SKU]]="",N(tblStock[[#This Row],[StockMax]])=0),"",MAX(0,tblStock[[#This Row],[StockActual]])/tblStock[[#This Row],[StockMax]])</f>
        <v/>
      </c>
      <c r="N13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8" s="59" t="str">
        <f>IF($B138="","",N('05_PRODUCTOS'!$H138))</f>
        <v/>
      </c>
      <c r="P138" s="59" t="str">
        <f>IF(tblStock[[#This Row],[SKU]]="","",MAX(0,tblStock[[#This Row],[StockActual]])*tblStock[[#This Row],[CostoUnitario]])</f>
        <v/>
      </c>
      <c r="Q138" s="60" t="str">
        <f>IF(tblStock[[#This Row],[SKU]]="","",IFERROR(_xlfn.AGGREGATE(14,6,tblMovimientos[Fecha]/(tblMovimientos[SKU]=tblStock[[#This Row],[SKU]]),1),""))</f>
        <v/>
      </c>
      <c r="R138" s="61" t="str">
        <f ca="1">IF(OR(tblStock[[#This Row],[SKU]]="",tblStock[[#This Row],[UltimoMov]]=""),"",TODAY()-tblStock[[#This Row],[UltimoMov]])</f>
        <v/>
      </c>
    </row>
    <row r="139" spans="2:18" x14ac:dyDescent="0.25">
      <c r="B139" s="53" t="str">
        <f>IF('05_PRODUCTOS'!$B139="","",'05_PRODUCTOS'!$B139)</f>
        <v/>
      </c>
      <c r="C139" s="54" t="str">
        <f>IF($B139="","",'05_PRODUCTOS'!$C139)</f>
        <v/>
      </c>
      <c r="D139" s="54" t="str">
        <f>IF($B139="","",'05_PRODUCTOS'!$D139)</f>
        <v/>
      </c>
      <c r="E139" s="54" t="str">
        <f>IF($B139="","",'05_PRODUCTOS'!$I139&amp;"")</f>
        <v/>
      </c>
      <c r="F139" s="53" t="str">
        <f>IF($B139="","",'05_PRODUCTOS'!$E139)</f>
        <v/>
      </c>
      <c r="G139" s="53" t="str">
        <f>IF($B139="","",IF('05_PRODUCTOS'!$K139="NO","NO","SI"))</f>
        <v/>
      </c>
      <c r="H139" s="55" t="str">
        <f>IF(tblStock[[#This Row],[SKU]]="","",SUMIFS(tblMovimientos[CantidadNeta],tblMovimientos[SKU],tblStock[[#This Row],[SKU]],tblMovimientos[FactorStock],1))</f>
        <v/>
      </c>
      <c r="I139" s="55" t="str">
        <f>IF(tblStock[[#This Row],[SKU]]="","",-SUMIFS(tblMovimientos[CantidadNeta],tblMovimientos[SKU],tblStock[[#This Row],[SKU]],tblMovimientos[FactorStock],-1))</f>
        <v/>
      </c>
      <c r="J139" s="56" t="str">
        <f>IF(tblStock[[#This Row],[SKU]]="","",SUMIFS(tblMovimientos[CantidadNeta],tblMovimientos[SKU],tblStock[[#This Row],[SKU]]))</f>
        <v/>
      </c>
      <c r="K139" s="55" t="str">
        <f>IF($B139="","",N('05_PRODUCTOS'!$F139))</f>
        <v/>
      </c>
      <c r="L139" s="55" t="str">
        <f>IF($B139="","",N('05_PRODUCTOS'!$G139))</f>
        <v/>
      </c>
      <c r="M139" s="57" t="str">
        <f>IF(OR(tblStock[[#This Row],[SKU]]="",N(tblStock[[#This Row],[StockMax]])=0),"",MAX(0,tblStock[[#This Row],[StockActual]])/tblStock[[#This Row],[StockMax]])</f>
        <v/>
      </c>
      <c r="N13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39" s="59" t="str">
        <f>IF($B139="","",N('05_PRODUCTOS'!$H139))</f>
        <v/>
      </c>
      <c r="P139" s="59" t="str">
        <f>IF(tblStock[[#This Row],[SKU]]="","",MAX(0,tblStock[[#This Row],[StockActual]])*tblStock[[#This Row],[CostoUnitario]])</f>
        <v/>
      </c>
      <c r="Q139" s="60" t="str">
        <f>IF(tblStock[[#This Row],[SKU]]="","",IFERROR(_xlfn.AGGREGATE(14,6,tblMovimientos[Fecha]/(tblMovimientos[SKU]=tblStock[[#This Row],[SKU]]),1),""))</f>
        <v/>
      </c>
      <c r="R139" s="61" t="str">
        <f ca="1">IF(OR(tblStock[[#This Row],[SKU]]="",tblStock[[#This Row],[UltimoMov]]=""),"",TODAY()-tblStock[[#This Row],[UltimoMov]])</f>
        <v/>
      </c>
    </row>
    <row r="140" spans="2:18" x14ac:dyDescent="0.25">
      <c r="B140" s="53" t="str">
        <f>IF('05_PRODUCTOS'!$B140="","",'05_PRODUCTOS'!$B140)</f>
        <v/>
      </c>
      <c r="C140" s="54" t="str">
        <f>IF($B140="","",'05_PRODUCTOS'!$C140)</f>
        <v/>
      </c>
      <c r="D140" s="54" t="str">
        <f>IF($B140="","",'05_PRODUCTOS'!$D140)</f>
        <v/>
      </c>
      <c r="E140" s="54" t="str">
        <f>IF($B140="","",'05_PRODUCTOS'!$I140&amp;"")</f>
        <v/>
      </c>
      <c r="F140" s="53" t="str">
        <f>IF($B140="","",'05_PRODUCTOS'!$E140)</f>
        <v/>
      </c>
      <c r="G140" s="53" t="str">
        <f>IF($B140="","",IF('05_PRODUCTOS'!$K140="NO","NO","SI"))</f>
        <v/>
      </c>
      <c r="H140" s="55" t="str">
        <f>IF(tblStock[[#This Row],[SKU]]="","",SUMIFS(tblMovimientos[CantidadNeta],tblMovimientos[SKU],tblStock[[#This Row],[SKU]],tblMovimientos[FactorStock],1))</f>
        <v/>
      </c>
      <c r="I140" s="55" t="str">
        <f>IF(tblStock[[#This Row],[SKU]]="","",-SUMIFS(tblMovimientos[CantidadNeta],tblMovimientos[SKU],tblStock[[#This Row],[SKU]],tblMovimientos[FactorStock],-1))</f>
        <v/>
      </c>
      <c r="J140" s="56" t="str">
        <f>IF(tblStock[[#This Row],[SKU]]="","",SUMIFS(tblMovimientos[CantidadNeta],tblMovimientos[SKU],tblStock[[#This Row],[SKU]]))</f>
        <v/>
      </c>
      <c r="K140" s="55" t="str">
        <f>IF($B140="","",N('05_PRODUCTOS'!$F140))</f>
        <v/>
      </c>
      <c r="L140" s="55" t="str">
        <f>IF($B140="","",N('05_PRODUCTOS'!$G140))</f>
        <v/>
      </c>
      <c r="M140" s="57" t="str">
        <f>IF(OR(tblStock[[#This Row],[SKU]]="",N(tblStock[[#This Row],[StockMax]])=0),"",MAX(0,tblStock[[#This Row],[StockActual]])/tblStock[[#This Row],[StockMax]])</f>
        <v/>
      </c>
      <c r="N14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0" s="59" t="str">
        <f>IF($B140="","",N('05_PRODUCTOS'!$H140))</f>
        <v/>
      </c>
      <c r="P140" s="59" t="str">
        <f>IF(tblStock[[#This Row],[SKU]]="","",MAX(0,tblStock[[#This Row],[StockActual]])*tblStock[[#This Row],[CostoUnitario]])</f>
        <v/>
      </c>
      <c r="Q140" s="60" t="str">
        <f>IF(tblStock[[#This Row],[SKU]]="","",IFERROR(_xlfn.AGGREGATE(14,6,tblMovimientos[Fecha]/(tblMovimientos[SKU]=tblStock[[#This Row],[SKU]]),1),""))</f>
        <v/>
      </c>
      <c r="R140" s="61" t="str">
        <f ca="1">IF(OR(tblStock[[#This Row],[SKU]]="",tblStock[[#This Row],[UltimoMov]]=""),"",TODAY()-tblStock[[#This Row],[UltimoMov]])</f>
        <v/>
      </c>
    </row>
    <row r="141" spans="2:18" x14ac:dyDescent="0.25">
      <c r="B141" s="53" t="str">
        <f>IF('05_PRODUCTOS'!$B141="","",'05_PRODUCTOS'!$B141)</f>
        <v/>
      </c>
      <c r="C141" s="54" t="str">
        <f>IF($B141="","",'05_PRODUCTOS'!$C141)</f>
        <v/>
      </c>
      <c r="D141" s="54" t="str">
        <f>IF($B141="","",'05_PRODUCTOS'!$D141)</f>
        <v/>
      </c>
      <c r="E141" s="54" t="str">
        <f>IF($B141="","",'05_PRODUCTOS'!$I141&amp;"")</f>
        <v/>
      </c>
      <c r="F141" s="53" t="str">
        <f>IF($B141="","",'05_PRODUCTOS'!$E141)</f>
        <v/>
      </c>
      <c r="G141" s="53" t="str">
        <f>IF($B141="","",IF('05_PRODUCTOS'!$K141="NO","NO","SI"))</f>
        <v/>
      </c>
      <c r="H141" s="55" t="str">
        <f>IF(tblStock[[#This Row],[SKU]]="","",SUMIFS(tblMovimientos[CantidadNeta],tblMovimientos[SKU],tblStock[[#This Row],[SKU]],tblMovimientos[FactorStock],1))</f>
        <v/>
      </c>
      <c r="I141" s="55" t="str">
        <f>IF(tblStock[[#This Row],[SKU]]="","",-SUMIFS(tblMovimientos[CantidadNeta],tblMovimientos[SKU],tblStock[[#This Row],[SKU]],tblMovimientos[FactorStock],-1))</f>
        <v/>
      </c>
      <c r="J141" s="56" t="str">
        <f>IF(tblStock[[#This Row],[SKU]]="","",SUMIFS(tblMovimientos[CantidadNeta],tblMovimientos[SKU],tblStock[[#This Row],[SKU]]))</f>
        <v/>
      </c>
      <c r="K141" s="55" t="str">
        <f>IF($B141="","",N('05_PRODUCTOS'!$F141))</f>
        <v/>
      </c>
      <c r="L141" s="55" t="str">
        <f>IF($B141="","",N('05_PRODUCTOS'!$G141))</f>
        <v/>
      </c>
      <c r="M141" s="57" t="str">
        <f>IF(OR(tblStock[[#This Row],[SKU]]="",N(tblStock[[#This Row],[StockMax]])=0),"",MAX(0,tblStock[[#This Row],[StockActual]])/tblStock[[#This Row],[StockMax]])</f>
        <v/>
      </c>
      <c r="N14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1" s="59" t="str">
        <f>IF($B141="","",N('05_PRODUCTOS'!$H141))</f>
        <v/>
      </c>
      <c r="P141" s="59" t="str">
        <f>IF(tblStock[[#This Row],[SKU]]="","",MAX(0,tblStock[[#This Row],[StockActual]])*tblStock[[#This Row],[CostoUnitario]])</f>
        <v/>
      </c>
      <c r="Q141" s="60" t="str">
        <f>IF(tblStock[[#This Row],[SKU]]="","",IFERROR(_xlfn.AGGREGATE(14,6,tblMovimientos[Fecha]/(tblMovimientos[SKU]=tblStock[[#This Row],[SKU]]),1),""))</f>
        <v/>
      </c>
      <c r="R141" s="61" t="str">
        <f ca="1">IF(OR(tblStock[[#This Row],[SKU]]="",tblStock[[#This Row],[UltimoMov]]=""),"",TODAY()-tblStock[[#This Row],[UltimoMov]])</f>
        <v/>
      </c>
    </row>
    <row r="142" spans="2:18" x14ac:dyDescent="0.25">
      <c r="B142" s="53" t="str">
        <f>IF('05_PRODUCTOS'!$B142="","",'05_PRODUCTOS'!$B142)</f>
        <v/>
      </c>
      <c r="C142" s="54" t="str">
        <f>IF($B142="","",'05_PRODUCTOS'!$C142)</f>
        <v/>
      </c>
      <c r="D142" s="54" t="str">
        <f>IF($B142="","",'05_PRODUCTOS'!$D142)</f>
        <v/>
      </c>
      <c r="E142" s="54" t="str">
        <f>IF($B142="","",'05_PRODUCTOS'!$I142&amp;"")</f>
        <v/>
      </c>
      <c r="F142" s="53" t="str">
        <f>IF($B142="","",'05_PRODUCTOS'!$E142)</f>
        <v/>
      </c>
      <c r="G142" s="53" t="str">
        <f>IF($B142="","",IF('05_PRODUCTOS'!$K142="NO","NO","SI"))</f>
        <v/>
      </c>
      <c r="H142" s="55" t="str">
        <f>IF(tblStock[[#This Row],[SKU]]="","",SUMIFS(tblMovimientos[CantidadNeta],tblMovimientos[SKU],tblStock[[#This Row],[SKU]],tblMovimientos[FactorStock],1))</f>
        <v/>
      </c>
      <c r="I142" s="55" t="str">
        <f>IF(tblStock[[#This Row],[SKU]]="","",-SUMIFS(tblMovimientos[CantidadNeta],tblMovimientos[SKU],tblStock[[#This Row],[SKU]],tblMovimientos[FactorStock],-1))</f>
        <v/>
      </c>
      <c r="J142" s="56" t="str">
        <f>IF(tblStock[[#This Row],[SKU]]="","",SUMIFS(tblMovimientos[CantidadNeta],tblMovimientos[SKU],tblStock[[#This Row],[SKU]]))</f>
        <v/>
      </c>
      <c r="K142" s="55" t="str">
        <f>IF($B142="","",N('05_PRODUCTOS'!$F142))</f>
        <v/>
      </c>
      <c r="L142" s="55" t="str">
        <f>IF($B142="","",N('05_PRODUCTOS'!$G142))</f>
        <v/>
      </c>
      <c r="M142" s="57" t="str">
        <f>IF(OR(tblStock[[#This Row],[SKU]]="",N(tblStock[[#This Row],[StockMax]])=0),"",MAX(0,tblStock[[#This Row],[StockActual]])/tblStock[[#This Row],[StockMax]])</f>
        <v/>
      </c>
      <c r="N14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2" s="59" t="str">
        <f>IF($B142="","",N('05_PRODUCTOS'!$H142))</f>
        <v/>
      </c>
      <c r="P142" s="59" t="str">
        <f>IF(tblStock[[#This Row],[SKU]]="","",MAX(0,tblStock[[#This Row],[StockActual]])*tblStock[[#This Row],[CostoUnitario]])</f>
        <v/>
      </c>
      <c r="Q142" s="60" t="str">
        <f>IF(tblStock[[#This Row],[SKU]]="","",IFERROR(_xlfn.AGGREGATE(14,6,tblMovimientos[Fecha]/(tblMovimientos[SKU]=tblStock[[#This Row],[SKU]]),1),""))</f>
        <v/>
      </c>
      <c r="R142" s="61" t="str">
        <f ca="1">IF(OR(tblStock[[#This Row],[SKU]]="",tblStock[[#This Row],[UltimoMov]]=""),"",TODAY()-tblStock[[#This Row],[UltimoMov]])</f>
        <v/>
      </c>
    </row>
    <row r="143" spans="2:18" x14ac:dyDescent="0.25">
      <c r="B143" s="53" t="str">
        <f>IF('05_PRODUCTOS'!$B143="","",'05_PRODUCTOS'!$B143)</f>
        <v/>
      </c>
      <c r="C143" s="54" t="str">
        <f>IF($B143="","",'05_PRODUCTOS'!$C143)</f>
        <v/>
      </c>
      <c r="D143" s="54" t="str">
        <f>IF($B143="","",'05_PRODUCTOS'!$D143)</f>
        <v/>
      </c>
      <c r="E143" s="54" t="str">
        <f>IF($B143="","",'05_PRODUCTOS'!$I143&amp;"")</f>
        <v/>
      </c>
      <c r="F143" s="53" t="str">
        <f>IF($B143="","",'05_PRODUCTOS'!$E143)</f>
        <v/>
      </c>
      <c r="G143" s="53" t="str">
        <f>IF($B143="","",IF('05_PRODUCTOS'!$K143="NO","NO","SI"))</f>
        <v/>
      </c>
      <c r="H143" s="55" t="str">
        <f>IF(tblStock[[#This Row],[SKU]]="","",SUMIFS(tblMovimientos[CantidadNeta],tblMovimientos[SKU],tblStock[[#This Row],[SKU]],tblMovimientos[FactorStock],1))</f>
        <v/>
      </c>
      <c r="I143" s="55" t="str">
        <f>IF(tblStock[[#This Row],[SKU]]="","",-SUMIFS(tblMovimientos[CantidadNeta],tblMovimientos[SKU],tblStock[[#This Row],[SKU]],tblMovimientos[FactorStock],-1))</f>
        <v/>
      </c>
      <c r="J143" s="56" t="str">
        <f>IF(tblStock[[#This Row],[SKU]]="","",SUMIFS(tblMovimientos[CantidadNeta],tblMovimientos[SKU],tblStock[[#This Row],[SKU]]))</f>
        <v/>
      </c>
      <c r="K143" s="55" t="str">
        <f>IF($B143="","",N('05_PRODUCTOS'!$F143))</f>
        <v/>
      </c>
      <c r="L143" s="55" t="str">
        <f>IF($B143="","",N('05_PRODUCTOS'!$G143))</f>
        <v/>
      </c>
      <c r="M143" s="57" t="str">
        <f>IF(OR(tblStock[[#This Row],[SKU]]="",N(tblStock[[#This Row],[StockMax]])=0),"",MAX(0,tblStock[[#This Row],[StockActual]])/tblStock[[#This Row],[StockMax]])</f>
        <v/>
      </c>
      <c r="N14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3" s="59" t="str">
        <f>IF($B143="","",N('05_PRODUCTOS'!$H143))</f>
        <v/>
      </c>
      <c r="P143" s="59" t="str">
        <f>IF(tblStock[[#This Row],[SKU]]="","",MAX(0,tblStock[[#This Row],[StockActual]])*tblStock[[#This Row],[CostoUnitario]])</f>
        <v/>
      </c>
      <c r="Q143" s="60" t="str">
        <f>IF(tblStock[[#This Row],[SKU]]="","",IFERROR(_xlfn.AGGREGATE(14,6,tblMovimientos[Fecha]/(tblMovimientos[SKU]=tblStock[[#This Row],[SKU]]),1),""))</f>
        <v/>
      </c>
      <c r="R143" s="61" t="str">
        <f ca="1">IF(OR(tblStock[[#This Row],[SKU]]="",tblStock[[#This Row],[UltimoMov]]=""),"",TODAY()-tblStock[[#This Row],[UltimoMov]])</f>
        <v/>
      </c>
    </row>
    <row r="144" spans="2:18" x14ac:dyDescent="0.25">
      <c r="B144" s="53" t="str">
        <f>IF('05_PRODUCTOS'!$B144="","",'05_PRODUCTOS'!$B144)</f>
        <v/>
      </c>
      <c r="C144" s="54" t="str">
        <f>IF($B144="","",'05_PRODUCTOS'!$C144)</f>
        <v/>
      </c>
      <c r="D144" s="54" t="str">
        <f>IF($B144="","",'05_PRODUCTOS'!$D144)</f>
        <v/>
      </c>
      <c r="E144" s="54" t="str">
        <f>IF($B144="","",'05_PRODUCTOS'!$I144&amp;"")</f>
        <v/>
      </c>
      <c r="F144" s="53" t="str">
        <f>IF($B144="","",'05_PRODUCTOS'!$E144)</f>
        <v/>
      </c>
      <c r="G144" s="53" t="str">
        <f>IF($B144="","",IF('05_PRODUCTOS'!$K144="NO","NO","SI"))</f>
        <v/>
      </c>
      <c r="H144" s="55" t="str">
        <f>IF(tblStock[[#This Row],[SKU]]="","",SUMIFS(tblMovimientos[CantidadNeta],tblMovimientos[SKU],tblStock[[#This Row],[SKU]],tblMovimientos[FactorStock],1))</f>
        <v/>
      </c>
      <c r="I144" s="55" t="str">
        <f>IF(tblStock[[#This Row],[SKU]]="","",-SUMIFS(tblMovimientos[CantidadNeta],tblMovimientos[SKU],tblStock[[#This Row],[SKU]],tblMovimientos[FactorStock],-1))</f>
        <v/>
      </c>
      <c r="J144" s="56" t="str">
        <f>IF(tblStock[[#This Row],[SKU]]="","",SUMIFS(tblMovimientos[CantidadNeta],tblMovimientos[SKU],tblStock[[#This Row],[SKU]]))</f>
        <v/>
      </c>
      <c r="K144" s="55" t="str">
        <f>IF($B144="","",N('05_PRODUCTOS'!$F144))</f>
        <v/>
      </c>
      <c r="L144" s="55" t="str">
        <f>IF($B144="","",N('05_PRODUCTOS'!$G144))</f>
        <v/>
      </c>
      <c r="M144" s="57" t="str">
        <f>IF(OR(tblStock[[#This Row],[SKU]]="",N(tblStock[[#This Row],[StockMax]])=0),"",MAX(0,tblStock[[#This Row],[StockActual]])/tblStock[[#This Row],[StockMax]])</f>
        <v/>
      </c>
      <c r="N14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4" s="59" t="str">
        <f>IF($B144="","",N('05_PRODUCTOS'!$H144))</f>
        <v/>
      </c>
      <c r="P144" s="59" t="str">
        <f>IF(tblStock[[#This Row],[SKU]]="","",MAX(0,tblStock[[#This Row],[StockActual]])*tblStock[[#This Row],[CostoUnitario]])</f>
        <v/>
      </c>
      <c r="Q144" s="60" t="str">
        <f>IF(tblStock[[#This Row],[SKU]]="","",IFERROR(_xlfn.AGGREGATE(14,6,tblMovimientos[Fecha]/(tblMovimientos[SKU]=tblStock[[#This Row],[SKU]]),1),""))</f>
        <v/>
      </c>
      <c r="R144" s="61" t="str">
        <f ca="1">IF(OR(tblStock[[#This Row],[SKU]]="",tblStock[[#This Row],[UltimoMov]]=""),"",TODAY()-tblStock[[#This Row],[UltimoMov]])</f>
        <v/>
      </c>
    </row>
    <row r="145" spans="2:18" x14ac:dyDescent="0.25">
      <c r="B145" s="53" t="str">
        <f>IF('05_PRODUCTOS'!$B145="","",'05_PRODUCTOS'!$B145)</f>
        <v/>
      </c>
      <c r="C145" s="54" t="str">
        <f>IF($B145="","",'05_PRODUCTOS'!$C145)</f>
        <v/>
      </c>
      <c r="D145" s="54" t="str">
        <f>IF($B145="","",'05_PRODUCTOS'!$D145)</f>
        <v/>
      </c>
      <c r="E145" s="54" t="str">
        <f>IF($B145="","",'05_PRODUCTOS'!$I145&amp;"")</f>
        <v/>
      </c>
      <c r="F145" s="53" t="str">
        <f>IF($B145="","",'05_PRODUCTOS'!$E145)</f>
        <v/>
      </c>
      <c r="G145" s="53" t="str">
        <f>IF($B145="","",IF('05_PRODUCTOS'!$K145="NO","NO","SI"))</f>
        <v/>
      </c>
      <c r="H145" s="55" t="str">
        <f>IF(tblStock[[#This Row],[SKU]]="","",SUMIFS(tblMovimientos[CantidadNeta],tblMovimientos[SKU],tblStock[[#This Row],[SKU]],tblMovimientos[FactorStock],1))</f>
        <v/>
      </c>
      <c r="I145" s="55" t="str">
        <f>IF(tblStock[[#This Row],[SKU]]="","",-SUMIFS(tblMovimientos[CantidadNeta],tblMovimientos[SKU],tblStock[[#This Row],[SKU]],tblMovimientos[FactorStock],-1))</f>
        <v/>
      </c>
      <c r="J145" s="56" t="str">
        <f>IF(tblStock[[#This Row],[SKU]]="","",SUMIFS(tblMovimientos[CantidadNeta],tblMovimientos[SKU],tblStock[[#This Row],[SKU]]))</f>
        <v/>
      </c>
      <c r="K145" s="55" t="str">
        <f>IF($B145="","",N('05_PRODUCTOS'!$F145))</f>
        <v/>
      </c>
      <c r="L145" s="55" t="str">
        <f>IF($B145="","",N('05_PRODUCTOS'!$G145))</f>
        <v/>
      </c>
      <c r="M145" s="57" t="str">
        <f>IF(OR(tblStock[[#This Row],[SKU]]="",N(tblStock[[#This Row],[StockMax]])=0),"",MAX(0,tblStock[[#This Row],[StockActual]])/tblStock[[#This Row],[StockMax]])</f>
        <v/>
      </c>
      <c r="N14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5" s="59" t="str">
        <f>IF($B145="","",N('05_PRODUCTOS'!$H145))</f>
        <v/>
      </c>
      <c r="P145" s="59" t="str">
        <f>IF(tblStock[[#This Row],[SKU]]="","",MAX(0,tblStock[[#This Row],[StockActual]])*tblStock[[#This Row],[CostoUnitario]])</f>
        <v/>
      </c>
      <c r="Q145" s="60" t="str">
        <f>IF(tblStock[[#This Row],[SKU]]="","",IFERROR(_xlfn.AGGREGATE(14,6,tblMovimientos[Fecha]/(tblMovimientos[SKU]=tblStock[[#This Row],[SKU]]),1),""))</f>
        <v/>
      </c>
      <c r="R145" s="61" t="str">
        <f ca="1">IF(OR(tblStock[[#This Row],[SKU]]="",tblStock[[#This Row],[UltimoMov]]=""),"",TODAY()-tblStock[[#This Row],[UltimoMov]])</f>
        <v/>
      </c>
    </row>
    <row r="146" spans="2:18" x14ac:dyDescent="0.25">
      <c r="B146" s="53" t="str">
        <f>IF('05_PRODUCTOS'!$B146="","",'05_PRODUCTOS'!$B146)</f>
        <v/>
      </c>
      <c r="C146" s="54" t="str">
        <f>IF($B146="","",'05_PRODUCTOS'!$C146)</f>
        <v/>
      </c>
      <c r="D146" s="54" t="str">
        <f>IF($B146="","",'05_PRODUCTOS'!$D146)</f>
        <v/>
      </c>
      <c r="E146" s="54" t="str">
        <f>IF($B146="","",'05_PRODUCTOS'!$I146&amp;"")</f>
        <v/>
      </c>
      <c r="F146" s="53" t="str">
        <f>IF($B146="","",'05_PRODUCTOS'!$E146)</f>
        <v/>
      </c>
      <c r="G146" s="53" t="str">
        <f>IF($B146="","",IF('05_PRODUCTOS'!$K146="NO","NO","SI"))</f>
        <v/>
      </c>
      <c r="H146" s="55" t="str">
        <f>IF(tblStock[[#This Row],[SKU]]="","",SUMIFS(tblMovimientos[CantidadNeta],tblMovimientos[SKU],tblStock[[#This Row],[SKU]],tblMovimientos[FactorStock],1))</f>
        <v/>
      </c>
      <c r="I146" s="55" t="str">
        <f>IF(tblStock[[#This Row],[SKU]]="","",-SUMIFS(tblMovimientos[CantidadNeta],tblMovimientos[SKU],tblStock[[#This Row],[SKU]],tblMovimientos[FactorStock],-1))</f>
        <v/>
      </c>
      <c r="J146" s="56" t="str">
        <f>IF(tblStock[[#This Row],[SKU]]="","",SUMIFS(tblMovimientos[CantidadNeta],tblMovimientos[SKU],tblStock[[#This Row],[SKU]]))</f>
        <v/>
      </c>
      <c r="K146" s="55" t="str">
        <f>IF($B146="","",N('05_PRODUCTOS'!$F146))</f>
        <v/>
      </c>
      <c r="L146" s="55" t="str">
        <f>IF($B146="","",N('05_PRODUCTOS'!$G146))</f>
        <v/>
      </c>
      <c r="M146" s="57" t="str">
        <f>IF(OR(tblStock[[#This Row],[SKU]]="",N(tblStock[[#This Row],[StockMax]])=0),"",MAX(0,tblStock[[#This Row],[StockActual]])/tblStock[[#This Row],[StockMax]])</f>
        <v/>
      </c>
      <c r="N14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6" s="59" t="str">
        <f>IF($B146="","",N('05_PRODUCTOS'!$H146))</f>
        <v/>
      </c>
      <c r="P146" s="59" t="str">
        <f>IF(tblStock[[#This Row],[SKU]]="","",MAX(0,tblStock[[#This Row],[StockActual]])*tblStock[[#This Row],[CostoUnitario]])</f>
        <v/>
      </c>
      <c r="Q146" s="60" t="str">
        <f>IF(tblStock[[#This Row],[SKU]]="","",IFERROR(_xlfn.AGGREGATE(14,6,tblMovimientos[Fecha]/(tblMovimientos[SKU]=tblStock[[#This Row],[SKU]]),1),""))</f>
        <v/>
      </c>
      <c r="R146" s="61" t="str">
        <f ca="1">IF(OR(tblStock[[#This Row],[SKU]]="",tblStock[[#This Row],[UltimoMov]]=""),"",TODAY()-tblStock[[#This Row],[UltimoMov]])</f>
        <v/>
      </c>
    </row>
    <row r="147" spans="2:18" x14ac:dyDescent="0.25">
      <c r="B147" s="53" t="str">
        <f>IF('05_PRODUCTOS'!$B147="","",'05_PRODUCTOS'!$B147)</f>
        <v/>
      </c>
      <c r="C147" s="54" t="str">
        <f>IF($B147="","",'05_PRODUCTOS'!$C147)</f>
        <v/>
      </c>
      <c r="D147" s="54" t="str">
        <f>IF($B147="","",'05_PRODUCTOS'!$D147)</f>
        <v/>
      </c>
      <c r="E147" s="54" t="str">
        <f>IF($B147="","",'05_PRODUCTOS'!$I147&amp;"")</f>
        <v/>
      </c>
      <c r="F147" s="53" t="str">
        <f>IF($B147="","",'05_PRODUCTOS'!$E147)</f>
        <v/>
      </c>
      <c r="G147" s="53" t="str">
        <f>IF($B147="","",IF('05_PRODUCTOS'!$K147="NO","NO","SI"))</f>
        <v/>
      </c>
      <c r="H147" s="55" t="str">
        <f>IF(tblStock[[#This Row],[SKU]]="","",SUMIFS(tblMovimientos[CantidadNeta],tblMovimientos[SKU],tblStock[[#This Row],[SKU]],tblMovimientos[FactorStock],1))</f>
        <v/>
      </c>
      <c r="I147" s="55" t="str">
        <f>IF(tblStock[[#This Row],[SKU]]="","",-SUMIFS(tblMovimientos[CantidadNeta],tblMovimientos[SKU],tblStock[[#This Row],[SKU]],tblMovimientos[FactorStock],-1))</f>
        <v/>
      </c>
      <c r="J147" s="56" t="str">
        <f>IF(tblStock[[#This Row],[SKU]]="","",SUMIFS(tblMovimientos[CantidadNeta],tblMovimientos[SKU],tblStock[[#This Row],[SKU]]))</f>
        <v/>
      </c>
      <c r="K147" s="55" t="str">
        <f>IF($B147="","",N('05_PRODUCTOS'!$F147))</f>
        <v/>
      </c>
      <c r="L147" s="55" t="str">
        <f>IF($B147="","",N('05_PRODUCTOS'!$G147))</f>
        <v/>
      </c>
      <c r="M147" s="57" t="str">
        <f>IF(OR(tblStock[[#This Row],[SKU]]="",N(tblStock[[#This Row],[StockMax]])=0),"",MAX(0,tblStock[[#This Row],[StockActual]])/tblStock[[#This Row],[StockMax]])</f>
        <v/>
      </c>
      <c r="N14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7" s="59" t="str">
        <f>IF($B147="","",N('05_PRODUCTOS'!$H147))</f>
        <v/>
      </c>
      <c r="P147" s="59" t="str">
        <f>IF(tblStock[[#This Row],[SKU]]="","",MAX(0,tblStock[[#This Row],[StockActual]])*tblStock[[#This Row],[CostoUnitario]])</f>
        <v/>
      </c>
      <c r="Q147" s="60" t="str">
        <f>IF(tblStock[[#This Row],[SKU]]="","",IFERROR(_xlfn.AGGREGATE(14,6,tblMovimientos[Fecha]/(tblMovimientos[SKU]=tblStock[[#This Row],[SKU]]),1),""))</f>
        <v/>
      </c>
      <c r="R147" s="61" t="str">
        <f ca="1">IF(OR(tblStock[[#This Row],[SKU]]="",tblStock[[#This Row],[UltimoMov]]=""),"",TODAY()-tblStock[[#This Row],[UltimoMov]])</f>
        <v/>
      </c>
    </row>
    <row r="148" spans="2:18" x14ac:dyDescent="0.25">
      <c r="B148" s="53" t="str">
        <f>IF('05_PRODUCTOS'!$B148="","",'05_PRODUCTOS'!$B148)</f>
        <v/>
      </c>
      <c r="C148" s="54" t="str">
        <f>IF($B148="","",'05_PRODUCTOS'!$C148)</f>
        <v/>
      </c>
      <c r="D148" s="54" t="str">
        <f>IF($B148="","",'05_PRODUCTOS'!$D148)</f>
        <v/>
      </c>
      <c r="E148" s="54" t="str">
        <f>IF($B148="","",'05_PRODUCTOS'!$I148&amp;"")</f>
        <v/>
      </c>
      <c r="F148" s="53" t="str">
        <f>IF($B148="","",'05_PRODUCTOS'!$E148)</f>
        <v/>
      </c>
      <c r="G148" s="53" t="str">
        <f>IF($B148="","",IF('05_PRODUCTOS'!$K148="NO","NO","SI"))</f>
        <v/>
      </c>
      <c r="H148" s="55" t="str">
        <f>IF(tblStock[[#This Row],[SKU]]="","",SUMIFS(tblMovimientos[CantidadNeta],tblMovimientos[SKU],tblStock[[#This Row],[SKU]],tblMovimientos[FactorStock],1))</f>
        <v/>
      </c>
      <c r="I148" s="55" t="str">
        <f>IF(tblStock[[#This Row],[SKU]]="","",-SUMIFS(tblMovimientos[CantidadNeta],tblMovimientos[SKU],tblStock[[#This Row],[SKU]],tblMovimientos[FactorStock],-1))</f>
        <v/>
      </c>
      <c r="J148" s="56" t="str">
        <f>IF(tblStock[[#This Row],[SKU]]="","",SUMIFS(tblMovimientos[CantidadNeta],tblMovimientos[SKU],tblStock[[#This Row],[SKU]]))</f>
        <v/>
      </c>
      <c r="K148" s="55" t="str">
        <f>IF($B148="","",N('05_PRODUCTOS'!$F148))</f>
        <v/>
      </c>
      <c r="L148" s="55" t="str">
        <f>IF($B148="","",N('05_PRODUCTOS'!$G148))</f>
        <v/>
      </c>
      <c r="M148" s="57" t="str">
        <f>IF(OR(tblStock[[#This Row],[SKU]]="",N(tblStock[[#This Row],[StockMax]])=0),"",MAX(0,tblStock[[#This Row],[StockActual]])/tblStock[[#This Row],[StockMax]])</f>
        <v/>
      </c>
      <c r="N14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8" s="59" t="str">
        <f>IF($B148="","",N('05_PRODUCTOS'!$H148))</f>
        <v/>
      </c>
      <c r="P148" s="59" t="str">
        <f>IF(tblStock[[#This Row],[SKU]]="","",MAX(0,tblStock[[#This Row],[StockActual]])*tblStock[[#This Row],[CostoUnitario]])</f>
        <v/>
      </c>
      <c r="Q148" s="60" t="str">
        <f>IF(tblStock[[#This Row],[SKU]]="","",IFERROR(_xlfn.AGGREGATE(14,6,tblMovimientos[Fecha]/(tblMovimientos[SKU]=tblStock[[#This Row],[SKU]]),1),""))</f>
        <v/>
      </c>
      <c r="R148" s="61" t="str">
        <f ca="1">IF(OR(tblStock[[#This Row],[SKU]]="",tblStock[[#This Row],[UltimoMov]]=""),"",TODAY()-tblStock[[#This Row],[UltimoMov]])</f>
        <v/>
      </c>
    </row>
    <row r="149" spans="2:18" x14ac:dyDescent="0.25">
      <c r="B149" s="53" t="str">
        <f>IF('05_PRODUCTOS'!$B149="","",'05_PRODUCTOS'!$B149)</f>
        <v/>
      </c>
      <c r="C149" s="54" t="str">
        <f>IF($B149="","",'05_PRODUCTOS'!$C149)</f>
        <v/>
      </c>
      <c r="D149" s="54" t="str">
        <f>IF($B149="","",'05_PRODUCTOS'!$D149)</f>
        <v/>
      </c>
      <c r="E149" s="54" t="str">
        <f>IF($B149="","",'05_PRODUCTOS'!$I149&amp;"")</f>
        <v/>
      </c>
      <c r="F149" s="53" t="str">
        <f>IF($B149="","",'05_PRODUCTOS'!$E149)</f>
        <v/>
      </c>
      <c r="G149" s="53" t="str">
        <f>IF($B149="","",IF('05_PRODUCTOS'!$K149="NO","NO","SI"))</f>
        <v/>
      </c>
      <c r="H149" s="55" t="str">
        <f>IF(tblStock[[#This Row],[SKU]]="","",SUMIFS(tblMovimientos[CantidadNeta],tblMovimientos[SKU],tblStock[[#This Row],[SKU]],tblMovimientos[FactorStock],1))</f>
        <v/>
      </c>
      <c r="I149" s="55" t="str">
        <f>IF(tblStock[[#This Row],[SKU]]="","",-SUMIFS(tblMovimientos[CantidadNeta],tblMovimientos[SKU],tblStock[[#This Row],[SKU]],tblMovimientos[FactorStock],-1))</f>
        <v/>
      </c>
      <c r="J149" s="56" t="str">
        <f>IF(tblStock[[#This Row],[SKU]]="","",SUMIFS(tblMovimientos[CantidadNeta],tblMovimientos[SKU],tblStock[[#This Row],[SKU]]))</f>
        <v/>
      </c>
      <c r="K149" s="55" t="str">
        <f>IF($B149="","",N('05_PRODUCTOS'!$F149))</f>
        <v/>
      </c>
      <c r="L149" s="55" t="str">
        <f>IF($B149="","",N('05_PRODUCTOS'!$G149))</f>
        <v/>
      </c>
      <c r="M149" s="57" t="str">
        <f>IF(OR(tblStock[[#This Row],[SKU]]="",N(tblStock[[#This Row],[StockMax]])=0),"",MAX(0,tblStock[[#This Row],[StockActual]])/tblStock[[#This Row],[StockMax]])</f>
        <v/>
      </c>
      <c r="N14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49" s="59" t="str">
        <f>IF($B149="","",N('05_PRODUCTOS'!$H149))</f>
        <v/>
      </c>
      <c r="P149" s="59" t="str">
        <f>IF(tblStock[[#This Row],[SKU]]="","",MAX(0,tblStock[[#This Row],[StockActual]])*tblStock[[#This Row],[CostoUnitario]])</f>
        <v/>
      </c>
      <c r="Q149" s="60" t="str">
        <f>IF(tblStock[[#This Row],[SKU]]="","",IFERROR(_xlfn.AGGREGATE(14,6,tblMovimientos[Fecha]/(tblMovimientos[SKU]=tblStock[[#This Row],[SKU]]),1),""))</f>
        <v/>
      </c>
      <c r="R149" s="61" t="str">
        <f ca="1">IF(OR(tblStock[[#This Row],[SKU]]="",tblStock[[#This Row],[UltimoMov]]=""),"",TODAY()-tblStock[[#This Row],[UltimoMov]])</f>
        <v/>
      </c>
    </row>
    <row r="150" spans="2:18" x14ac:dyDescent="0.25">
      <c r="B150" s="53" t="str">
        <f>IF('05_PRODUCTOS'!$B150="","",'05_PRODUCTOS'!$B150)</f>
        <v/>
      </c>
      <c r="C150" s="54" t="str">
        <f>IF($B150="","",'05_PRODUCTOS'!$C150)</f>
        <v/>
      </c>
      <c r="D150" s="54" t="str">
        <f>IF($B150="","",'05_PRODUCTOS'!$D150)</f>
        <v/>
      </c>
      <c r="E150" s="54" t="str">
        <f>IF($B150="","",'05_PRODUCTOS'!$I150&amp;"")</f>
        <v/>
      </c>
      <c r="F150" s="53" t="str">
        <f>IF($B150="","",'05_PRODUCTOS'!$E150)</f>
        <v/>
      </c>
      <c r="G150" s="53" t="str">
        <f>IF($B150="","",IF('05_PRODUCTOS'!$K150="NO","NO","SI"))</f>
        <v/>
      </c>
      <c r="H150" s="55" t="str">
        <f>IF(tblStock[[#This Row],[SKU]]="","",SUMIFS(tblMovimientos[CantidadNeta],tblMovimientos[SKU],tblStock[[#This Row],[SKU]],tblMovimientos[FactorStock],1))</f>
        <v/>
      </c>
      <c r="I150" s="55" t="str">
        <f>IF(tblStock[[#This Row],[SKU]]="","",-SUMIFS(tblMovimientos[CantidadNeta],tblMovimientos[SKU],tblStock[[#This Row],[SKU]],tblMovimientos[FactorStock],-1))</f>
        <v/>
      </c>
      <c r="J150" s="56" t="str">
        <f>IF(tblStock[[#This Row],[SKU]]="","",SUMIFS(tblMovimientos[CantidadNeta],tblMovimientos[SKU],tblStock[[#This Row],[SKU]]))</f>
        <v/>
      </c>
      <c r="K150" s="55" t="str">
        <f>IF($B150="","",N('05_PRODUCTOS'!$F150))</f>
        <v/>
      </c>
      <c r="L150" s="55" t="str">
        <f>IF($B150="","",N('05_PRODUCTOS'!$G150))</f>
        <v/>
      </c>
      <c r="M150" s="57" t="str">
        <f>IF(OR(tblStock[[#This Row],[SKU]]="",N(tblStock[[#This Row],[StockMax]])=0),"",MAX(0,tblStock[[#This Row],[StockActual]])/tblStock[[#This Row],[StockMax]])</f>
        <v/>
      </c>
      <c r="N15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0" s="59" t="str">
        <f>IF($B150="","",N('05_PRODUCTOS'!$H150))</f>
        <v/>
      </c>
      <c r="P150" s="59" t="str">
        <f>IF(tblStock[[#This Row],[SKU]]="","",MAX(0,tblStock[[#This Row],[StockActual]])*tblStock[[#This Row],[CostoUnitario]])</f>
        <v/>
      </c>
      <c r="Q150" s="60" t="str">
        <f>IF(tblStock[[#This Row],[SKU]]="","",IFERROR(_xlfn.AGGREGATE(14,6,tblMovimientos[Fecha]/(tblMovimientos[SKU]=tblStock[[#This Row],[SKU]]),1),""))</f>
        <v/>
      </c>
      <c r="R150" s="61" t="str">
        <f ca="1">IF(OR(tblStock[[#This Row],[SKU]]="",tblStock[[#This Row],[UltimoMov]]=""),"",TODAY()-tblStock[[#This Row],[UltimoMov]])</f>
        <v/>
      </c>
    </row>
    <row r="151" spans="2:18" x14ac:dyDescent="0.25">
      <c r="B151" s="53" t="str">
        <f>IF('05_PRODUCTOS'!$B151="","",'05_PRODUCTOS'!$B151)</f>
        <v/>
      </c>
      <c r="C151" s="54" t="str">
        <f>IF($B151="","",'05_PRODUCTOS'!$C151)</f>
        <v/>
      </c>
      <c r="D151" s="54" t="str">
        <f>IF($B151="","",'05_PRODUCTOS'!$D151)</f>
        <v/>
      </c>
      <c r="E151" s="54" t="str">
        <f>IF($B151="","",'05_PRODUCTOS'!$I151&amp;"")</f>
        <v/>
      </c>
      <c r="F151" s="53" t="str">
        <f>IF($B151="","",'05_PRODUCTOS'!$E151)</f>
        <v/>
      </c>
      <c r="G151" s="53" t="str">
        <f>IF($B151="","",IF('05_PRODUCTOS'!$K151="NO","NO","SI"))</f>
        <v/>
      </c>
      <c r="H151" s="55" t="str">
        <f>IF(tblStock[[#This Row],[SKU]]="","",SUMIFS(tblMovimientos[CantidadNeta],tblMovimientos[SKU],tblStock[[#This Row],[SKU]],tblMovimientos[FactorStock],1))</f>
        <v/>
      </c>
      <c r="I151" s="55" t="str">
        <f>IF(tblStock[[#This Row],[SKU]]="","",-SUMIFS(tblMovimientos[CantidadNeta],tblMovimientos[SKU],tblStock[[#This Row],[SKU]],tblMovimientos[FactorStock],-1))</f>
        <v/>
      </c>
      <c r="J151" s="56" t="str">
        <f>IF(tblStock[[#This Row],[SKU]]="","",SUMIFS(tblMovimientos[CantidadNeta],tblMovimientos[SKU],tblStock[[#This Row],[SKU]]))</f>
        <v/>
      </c>
      <c r="K151" s="55" t="str">
        <f>IF($B151="","",N('05_PRODUCTOS'!$F151))</f>
        <v/>
      </c>
      <c r="L151" s="55" t="str">
        <f>IF($B151="","",N('05_PRODUCTOS'!$G151))</f>
        <v/>
      </c>
      <c r="M151" s="57" t="str">
        <f>IF(OR(tblStock[[#This Row],[SKU]]="",N(tblStock[[#This Row],[StockMax]])=0),"",MAX(0,tblStock[[#This Row],[StockActual]])/tblStock[[#This Row],[StockMax]])</f>
        <v/>
      </c>
      <c r="N15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1" s="59" t="str">
        <f>IF($B151="","",N('05_PRODUCTOS'!$H151))</f>
        <v/>
      </c>
      <c r="P151" s="59" t="str">
        <f>IF(tblStock[[#This Row],[SKU]]="","",MAX(0,tblStock[[#This Row],[StockActual]])*tblStock[[#This Row],[CostoUnitario]])</f>
        <v/>
      </c>
      <c r="Q151" s="60" t="str">
        <f>IF(tblStock[[#This Row],[SKU]]="","",IFERROR(_xlfn.AGGREGATE(14,6,tblMovimientos[Fecha]/(tblMovimientos[SKU]=tblStock[[#This Row],[SKU]]),1),""))</f>
        <v/>
      </c>
      <c r="R151" s="61" t="str">
        <f ca="1">IF(OR(tblStock[[#This Row],[SKU]]="",tblStock[[#This Row],[UltimoMov]]=""),"",TODAY()-tblStock[[#This Row],[UltimoMov]])</f>
        <v/>
      </c>
    </row>
    <row r="152" spans="2:18" x14ac:dyDescent="0.25">
      <c r="B152" s="53" t="str">
        <f>IF('05_PRODUCTOS'!$B152="","",'05_PRODUCTOS'!$B152)</f>
        <v/>
      </c>
      <c r="C152" s="54" t="str">
        <f>IF($B152="","",'05_PRODUCTOS'!$C152)</f>
        <v/>
      </c>
      <c r="D152" s="54" t="str">
        <f>IF($B152="","",'05_PRODUCTOS'!$D152)</f>
        <v/>
      </c>
      <c r="E152" s="54" t="str">
        <f>IF($B152="","",'05_PRODUCTOS'!$I152&amp;"")</f>
        <v/>
      </c>
      <c r="F152" s="53" t="str">
        <f>IF($B152="","",'05_PRODUCTOS'!$E152)</f>
        <v/>
      </c>
      <c r="G152" s="53" t="str">
        <f>IF($B152="","",IF('05_PRODUCTOS'!$K152="NO","NO","SI"))</f>
        <v/>
      </c>
      <c r="H152" s="55" t="str">
        <f>IF(tblStock[[#This Row],[SKU]]="","",SUMIFS(tblMovimientos[CantidadNeta],tblMovimientos[SKU],tblStock[[#This Row],[SKU]],tblMovimientos[FactorStock],1))</f>
        <v/>
      </c>
      <c r="I152" s="55" t="str">
        <f>IF(tblStock[[#This Row],[SKU]]="","",-SUMIFS(tblMovimientos[CantidadNeta],tblMovimientos[SKU],tblStock[[#This Row],[SKU]],tblMovimientos[FactorStock],-1))</f>
        <v/>
      </c>
      <c r="J152" s="56" t="str">
        <f>IF(tblStock[[#This Row],[SKU]]="","",SUMIFS(tblMovimientos[CantidadNeta],tblMovimientos[SKU],tblStock[[#This Row],[SKU]]))</f>
        <v/>
      </c>
      <c r="K152" s="55" t="str">
        <f>IF($B152="","",N('05_PRODUCTOS'!$F152))</f>
        <v/>
      </c>
      <c r="L152" s="55" t="str">
        <f>IF($B152="","",N('05_PRODUCTOS'!$G152))</f>
        <v/>
      </c>
      <c r="M152" s="57" t="str">
        <f>IF(OR(tblStock[[#This Row],[SKU]]="",N(tblStock[[#This Row],[StockMax]])=0),"",MAX(0,tblStock[[#This Row],[StockActual]])/tblStock[[#This Row],[StockMax]])</f>
        <v/>
      </c>
      <c r="N15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2" s="59" t="str">
        <f>IF($B152="","",N('05_PRODUCTOS'!$H152))</f>
        <v/>
      </c>
      <c r="P152" s="59" t="str">
        <f>IF(tblStock[[#This Row],[SKU]]="","",MAX(0,tblStock[[#This Row],[StockActual]])*tblStock[[#This Row],[CostoUnitario]])</f>
        <v/>
      </c>
      <c r="Q152" s="60" t="str">
        <f>IF(tblStock[[#This Row],[SKU]]="","",IFERROR(_xlfn.AGGREGATE(14,6,tblMovimientos[Fecha]/(tblMovimientos[SKU]=tblStock[[#This Row],[SKU]]),1),""))</f>
        <v/>
      </c>
      <c r="R152" s="61" t="str">
        <f ca="1">IF(OR(tblStock[[#This Row],[SKU]]="",tblStock[[#This Row],[UltimoMov]]=""),"",TODAY()-tblStock[[#This Row],[UltimoMov]])</f>
        <v/>
      </c>
    </row>
    <row r="153" spans="2:18" x14ac:dyDescent="0.25">
      <c r="B153" s="53" t="str">
        <f>IF('05_PRODUCTOS'!$B153="","",'05_PRODUCTOS'!$B153)</f>
        <v/>
      </c>
      <c r="C153" s="54" t="str">
        <f>IF($B153="","",'05_PRODUCTOS'!$C153)</f>
        <v/>
      </c>
      <c r="D153" s="54" t="str">
        <f>IF($B153="","",'05_PRODUCTOS'!$D153)</f>
        <v/>
      </c>
      <c r="E153" s="54" t="str">
        <f>IF($B153="","",'05_PRODUCTOS'!$I153&amp;"")</f>
        <v/>
      </c>
      <c r="F153" s="53" t="str">
        <f>IF($B153="","",'05_PRODUCTOS'!$E153)</f>
        <v/>
      </c>
      <c r="G153" s="53" t="str">
        <f>IF($B153="","",IF('05_PRODUCTOS'!$K153="NO","NO","SI"))</f>
        <v/>
      </c>
      <c r="H153" s="55" t="str">
        <f>IF(tblStock[[#This Row],[SKU]]="","",SUMIFS(tblMovimientos[CantidadNeta],tblMovimientos[SKU],tblStock[[#This Row],[SKU]],tblMovimientos[FactorStock],1))</f>
        <v/>
      </c>
      <c r="I153" s="55" t="str">
        <f>IF(tblStock[[#This Row],[SKU]]="","",-SUMIFS(tblMovimientos[CantidadNeta],tblMovimientos[SKU],tblStock[[#This Row],[SKU]],tblMovimientos[FactorStock],-1))</f>
        <v/>
      </c>
      <c r="J153" s="56" t="str">
        <f>IF(tblStock[[#This Row],[SKU]]="","",SUMIFS(tblMovimientos[CantidadNeta],tblMovimientos[SKU],tblStock[[#This Row],[SKU]]))</f>
        <v/>
      </c>
      <c r="K153" s="55" t="str">
        <f>IF($B153="","",N('05_PRODUCTOS'!$F153))</f>
        <v/>
      </c>
      <c r="L153" s="55" t="str">
        <f>IF($B153="","",N('05_PRODUCTOS'!$G153))</f>
        <v/>
      </c>
      <c r="M153" s="57" t="str">
        <f>IF(OR(tblStock[[#This Row],[SKU]]="",N(tblStock[[#This Row],[StockMax]])=0),"",MAX(0,tblStock[[#This Row],[StockActual]])/tblStock[[#This Row],[StockMax]])</f>
        <v/>
      </c>
      <c r="N15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3" s="59" t="str">
        <f>IF($B153="","",N('05_PRODUCTOS'!$H153))</f>
        <v/>
      </c>
      <c r="P153" s="59" t="str">
        <f>IF(tblStock[[#This Row],[SKU]]="","",MAX(0,tblStock[[#This Row],[StockActual]])*tblStock[[#This Row],[CostoUnitario]])</f>
        <v/>
      </c>
      <c r="Q153" s="60" t="str">
        <f>IF(tblStock[[#This Row],[SKU]]="","",IFERROR(_xlfn.AGGREGATE(14,6,tblMovimientos[Fecha]/(tblMovimientos[SKU]=tblStock[[#This Row],[SKU]]),1),""))</f>
        <v/>
      </c>
      <c r="R153" s="61" t="str">
        <f ca="1">IF(OR(tblStock[[#This Row],[SKU]]="",tblStock[[#This Row],[UltimoMov]]=""),"",TODAY()-tblStock[[#This Row],[UltimoMov]])</f>
        <v/>
      </c>
    </row>
    <row r="154" spans="2:18" x14ac:dyDescent="0.25">
      <c r="B154" s="53" t="str">
        <f>IF('05_PRODUCTOS'!$B154="","",'05_PRODUCTOS'!$B154)</f>
        <v/>
      </c>
      <c r="C154" s="54" t="str">
        <f>IF($B154="","",'05_PRODUCTOS'!$C154)</f>
        <v/>
      </c>
      <c r="D154" s="54" t="str">
        <f>IF($B154="","",'05_PRODUCTOS'!$D154)</f>
        <v/>
      </c>
      <c r="E154" s="54" t="str">
        <f>IF($B154="","",'05_PRODUCTOS'!$I154&amp;"")</f>
        <v/>
      </c>
      <c r="F154" s="53" t="str">
        <f>IF($B154="","",'05_PRODUCTOS'!$E154)</f>
        <v/>
      </c>
      <c r="G154" s="53" t="str">
        <f>IF($B154="","",IF('05_PRODUCTOS'!$K154="NO","NO","SI"))</f>
        <v/>
      </c>
      <c r="H154" s="55" t="str">
        <f>IF(tblStock[[#This Row],[SKU]]="","",SUMIFS(tblMovimientos[CantidadNeta],tblMovimientos[SKU],tblStock[[#This Row],[SKU]],tblMovimientos[FactorStock],1))</f>
        <v/>
      </c>
      <c r="I154" s="55" t="str">
        <f>IF(tblStock[[#This Row],[SKU]]="","",-SUMIFS(tblMovimientos[CantidadNeta],tblMovimientos[SKU],tblStock[[#This Row],[SKU]],tblMovimientos[FactorStock],-1))</f>
        <v/>
      </c>
      <c r="J154" s="56" t="str">
        <f>IF(tblStock[[#This Row],[SKU]]="","",SUMIFS(tblMovimientos[CantidadNeta],tblMovimientos[SKU],tblStock[[#This Row],[SKU]]))</f>
        <v/>
      </c>
      <c r="K154" s="55" t="str">
        <f>IF($B154="","",N('05_PRODUCTOS'!$F154))</f>
        <v/>
      </c>
      <c r="L154" s="55" t="str">
        <f>IF($B154="","",N('05_PRODUCTOS'!$G154))</f>
        <v/>
      </c>
      <c r="M154" s="57" t="str">
        <f>IF(OR(tblStock[[#This Row],[SKU]]="",N(tblStock[[#This Row],[StockMax]])=0),"",MAX(0,tblStock[[#This Row],[StockActual]])/tblStock[[#This Row],[StockMax]])</f>
        <v/>
      </c>
      <c r="N15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4" s="59" t="str">
        <f>IF($B154="","",N('05_PRODUCTOS'!$H154))</f>
        <v/>
      </c>
      <c r="P154" s="59" t="str">
        <f>IF(tblStock[[#This Row],[SKU]]="","",MAX(0,tblStock[[#This Row],[StockActual]])*tblStock[[#This Row],[CostoUnitario]])</f>
        <v/>
      </c>
      <c r="Q154" s="60" t="str">
        <f>IF(tblStock[[#This Row],[SKU]]="","",IFERROR(_xlfn.AGGREGATE(14,6,tblMovimientos[Fecha]/(tblMovimientos[SKU]=tblStock[[#This Row],[SKU]]),1),""))</f>
        <v/>
      </c>
      <c r="R154" s="61" t="str">
        <f ca="1">IF(OR(tblStock[[#This Row],[SKU]]="",tblStock[[#This Row],[UltimoMov]]=""),"",TODAY()-tblStock[[#This Row],[UltimoMov]])</f>
        <v/>
      </c>
    </row>
    <row r="155" spans="2:18" x14ac:dyDescent="0.25">
      <c r="B155" s="53" t="str">
        <f>IF('05_PRODUCTOS'!$B155="","",'05_PRODUCTOS'!$B155)</f>
        <v/>
      </c>
      <c r="C155" s="54" t="str">
        <f>IF($B155="","",'05_PRODUCTOS'!$C155)</f>
        <v/>
      </c>
      <c r="D155" s="54" t="str">
        <f>IF($B155="","",'05_PRODUCTOS'!$D155)</f>
        <v/>
      </c>
      <c r="E155" s="54" t="str">
        <f>IF($B155="","",'05_PRODUCTOS'!$I155&amp;"")</f>
        <v/>
      </c>
      <c r="F155" s="53" t="str">
        <f>IF($B155="","",'05_PRODUCTOS'!$E155)</f>
        <v/>
      </c>
      <c r="G155" s="53" t="str">
        <f>IF($B155="","",IF('05_PRODUCTOS'!$K155="NO","NO","SI"))</f>
        <v/>
      </c>
      <c r="H155" s="55" t="str">
        <f>IF(tblStock[[#This Row],[SKU]]="","",SUMIFS(tblMovimientos[CantidadNeta],tblMovimientos[SKU],tblStock[[#This Row],[SKU]],tblMovimientos[FactorStock],1))</f>
        <v/>
      </c>
      <c r="I155" s="55" t="str">
        <f>IF(tblStock[[#This Row],[SKU]]="","",-SUMIFS(tblMovimientos[CantidadNeta],tblMovimientos[SKU],tblStock[[#This Row],[SKU]],tblMovimientos[FactorStock],-1))</f>
        <v/>
      </c>
      <c r="J155" s="56" t="str">
        <f>IF(tblStock[[#This Row],[SKU]]="","",SUMIFS(tblMovimientos[CantidadNeta],tblMovimientos[SKU],tblStock[[#This Row],[SKU]]))</f>
        <v/>
      </c>
      <c r="K155" s="55" t="str">
        <f>IF($B155="","",N('05_PRODUCTOS'!$F155))</f>
        <v/>
      </c>
      <c r="L155" s="55" t="str">
        <f>IF($B155="","",N('05_PRODUCTOS'!$G155))</f>
        <v/>
      </c>
      <c r="M155" s="57" t="str">
        <f>IF(OR(tblStock[[#This Row],[SKU]]="",N(tblStock[[#This Row],[StockMax]])=0),"",MAX(0,tblStock[[#This Row],[StockActual]])/tblStock[[#This Row],[StockMax]])</f>
        <v/>
      </c>
      <c r="N15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5" s="59" t="str">
        <f>IF($B155="","",N('05_PRODUCTOS'!$H155))</f>
        <v/>
      </c>
      <c r="P155" s="59" t="str">
        <f>IF(tblStock[[#This Row],[SKU]]="","",MAX(0,tblStock[[#This Row],[StockActual]])*tblStock[[#This Row],[CostoUnitario]])</f>
        <v/>
      </c>
      <c r="Q155" s="60" t="str">
        <f>IF(tblStock[[#This Row],[SKU]]="","",IFERROR(_xlfn.AGGREGATE(14,6,tblMovimientos[Fecha]/(tblMovimientos[SKU]=tblStock[[#This Row],[SKU]]),1),""))</f>
        <v/>
      </c>
      <c r="R155" s="61" t="str">
        <f ca="1">IF(OR(tblStock[[#This Row],[SKU]]="",tblStock[[#This Row],[UltimoMov]]=""),"",TODAY()-tblStock[[#This Row],[UltimoMov]])</f>
        <v/>
      </c>
    </row>
    <row r="156" spans="2:18" x14ac:dyDescent="0.25">
      <c r="B156" s="53" t="str">
        <f>IF('05_PRODUCTOS'!$B156="","",'05_PRODUCTOS'!$B156)</f>
        <v/>
      </c>
      <c r="C156" s="54" t="str">
        <f>IF($B156="","",'05_PRODUCTOS'!$C156)</f>
        <v/>
      </c>
      <c r="D156" s="54" t="str">
        <f>IF($B156="","",'05_PRODUCTOS'!$D156)</f>
        <v/>
      </c>
      <c r="E156" s="54" t="str">
        <f>IF($B156="","",'05_PRODUCTOS'!$I156&amp;"")</f>
        <v/>
      </c>
      <c r="F156" s="53" t="str">
        <f>IF($B156="","",'05_PRODUCTOS'!$E156)</f>
        <v/>
      </c>
      <c r="G156" s="53" t="str">
        <f>IF($B156="","",IF('05_PRODUCTOS'!$K156="NO","NO","SI"))</f>
        <v/>
      </c>
      <c r="H156" s="55" t="str">
        <f>IF(tblStock[[#This Row],[SKU]]="","",SUMIFS(tblMovimientos[CantidadNeta],tblMovimientos[SKU],tblStock[[#This Row],[SKU]],tblMovimientos[FactorStock],1))</f>
        <v/>
      </c>
      <c r="I156" s="55" t="str">
        <f>IF(tblStock[[#This Row],[SKU]]="","",-SUMIFS(tblMovimientos[CantidadNeta],tblMovimientos[SKU],tblStock[[#This Row],[SKU]],tblMovimientos[FactorStock],-1))</f>
        <v/>
      </c>
      <c r="J156" s="56" t="str">
        <f>IF(tblStock[[#This Row],[SKU]]="","",SUMIFS(tblMovimientos[CantidadNeta],tblMovimientos[SKU],tblStock[[#This Row],[SKU]]))</f>
        <v/>
      </c>
      <c r="K156" s="55" t="str">
        <f>IF($B156="","",N('05_PRODUCTOS'!$F156))</f>
        <v/>
      </c>
      <c r="L156" s="55" t="str">
        <f>IF($B156="","",N('05_PRODUCTOS'!$G156))</f>
        <v/>
      </c>
      <c r="M156" s="57" t="str">
        <f>IF(OR(tblStock[[#This Row],[SKU]]="",N(tblStock[[#This Row],[StockMax]])=0),"",MAX(0,tblStock[[#This Row],[StockActual]])/tblStock[[#This Row],[StockMax]])</f>
        <v/>
      </c>
      <c r="N15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6" s="59" t="str">
        <f>IF($B156="","",N('05_PRODUCTOS'!$H156))</f>
        <v/>
      </c>
      <c r="P156" s="59" t="str">
        <f>IF(tblStock[[#This Row],[SKU]]="","",MAX(0,tblStock[[#This Row],[StockActual]])*tblStock[[#This Row],[CostoUnitario]])</f>
        <v/>
      </c>
      <c r="Q156" s="60" t="str">
        <f>IF(tblStock[[#This Row],[SKU]]="","",IFERROR(_xlfn.AGGREGATE(14,6,tblMovimientos[Fecha]/(tblMovimientos[SKU]=tblStock[[#This Row],[SKU]]),1),""))</f>
        <v/>
      </c>
      <c r="R156" s="61" t="str">
        <f ca="1">IF(OR(tblStock[[#This Row],[SKU]]="",tblStock[[#This Row],[UltimoMov]]=""),"",TODAY()-tblStock[[#This Row],[UltimoMov]])</f>
        <v/>
      </c>
    </row>
    <row r="157" spans="2:18" x14ac:dyDescent="0.25">
      <c r="B157" s="53" t="str">
        <f>IF('05_PRODUCTOS'!$B157="","",'05_PRODUCTOS'!$B157)</f>
        <v/>
      </c>
      <c r="C157" s="54" t="str">
        <f>IF($B157="","",'05_PRODUCTOS'!$C157)</f>
        <v/>
      </c>
      <c r="D157" s="54" t="str">
        <f>IF($B157="","",'05_PRODUCTOS'!$D157)</f>
        <v/>
      </c>
      <c r="E157" s="54" t="str">
        <f>IF($B157="","",'05_PRODUCTOS'!$I157&amp;"")</f>
        <v/>
      </c>
      <c r="F157" s="53" t="str">
        <f>IF($B157="","",'05_PRODUCTOS'!$E157)</f>
        <v/>
      </c>
      <c r="G157" s="53" t="str">
        <f>IF($B157="","",IF('05_PRODUCTOS'!$K157="NO","NO","SI"))</f>
        <v/>
      </c>
      <c r="H157" s="55" t="str">
        <f>IF(tblStock[[#This Row],[SKU]]="","",SUMIFS(tblMovimientos[CantidadNeta],tblMovimientos[SKU],tblStock[[#This Row],[SKU]],tblMovimientos[FactorStock],1))</f>
        <v/>
      </c>
      <c r="I157" s="55" t="str">
        <f>IF(tblStock[[#This Row],[SKU]]="","",-SUMIFS(tblMovimientos[CantidadNeta],tblMovimientos[SKU],tblStock[[#This Row],[SKU]],tblMovimientos[FactorStock],-1))</f>
        <v/>
      </c>
      <c r="J157" s="56" t="str">
        <f>IF(tblStock[[#This Row],[SKU]]="","",SUMIFS(tblMovimientos[CantidadNeta],tblMovimientos[SKU],tblStock[[#This Row],[SKU]]))</f>
        <v/>
      </c>
      <c r="K157" s="55" t="str">
        <f>IF($B157="","",N('05_PRODUCTOS'!$F157))</f>
        <v/>
      </c>
      <c r="L157" s="55" t="str">
        <f>IF($B157="","",N('05_PRODUCTOS'!$G157))</f>
        <v/>
      </c>
      <c r="M157" s="57" t="str">
        <f>IF(OR(tblStock[[#This Row],[SKU]]="",N(tblStock[[#This Row],[StockMax]])=0),"",MAX(0,tblStock[[#This Row],[StockActual]])/tblStock[[#This Row],[StockMax]])</f>
        <v/>
      </c>
      <c r="N15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7" s="59" t="str">
        <f>IF($B157="","",N('05_PRODUCTOS'!$H157))</f>
        <v/>
      </c>
      <c r="P157" s="59" t="str">
        <f>IF(tblStock[[#This Row],[SKU]]="","",MAX(0,tblStock[[#This Row],[StockActual]])*tblStock[[#This Row],[CostoUnitario]])</f>
        <v/>
      </c>
      <c r="Q157" s="60" t="str">
        <f>IF(tblStock[[#This Row],[SKU]]="","",IFERROR(_xlfn.AGGREGATE(14,6,tblMovimientos[Fecha]/(tblMovimientos[SKU]=tblStock[[#This Row],[SKU]]),1),""))</f>
        <v/>
      </c>
      <c r="R157" s="61" t="str">
        <f ca="1">IF(OR(tblStock[[#This Row],[SKU]]="",tblStock[[#This Row],[UltimoMov]]=""),"",TODAY()-tblStock[[#This Row],[UltimoMov]])</f>
        <v/>
      </c>
    </row>
    <row r="158" spans="2:18" x14ac:dyDescent="0.25">
      <c r="B158" s="53" t="str">
        <f>IF('05_PRODUCTOS'!$B158="","",'05_PRODUCTOS'!$B158)</f>
        <v/>
      </c>
      <c r="C158" s="54" t="str">
        <f>IF($B158="","",'05_PRODUCTOS'!$C158)</f>
        <v/>
      </c>
      <c r="D158" s="54" t="str">
        <f>IF($B158="","",'05_PRODUCTOS'!$D158)</f>
        <v/>
      </c>
      <c r="E158" s="54" t="str">
        <f>IF($B158="","",'05_PRODUCTOS'!$I158&amp;"")</f>
        <v/>
      </c>
      <c r="F158" s="53" t="str">
        <f>IF($B158="","",'05_PRODUCTOS'!$E158)</f>
        <v/>
      </c>
      <c r="G158" s="53" t="str">
        <f>IF($B158="","",IF('05_PRODUCTOS'!$K158="NO","NO","SI"))</f>
        <v/>
      </c>
      <c r="H158" s="55" t="str">
        <f>IF(tblStock[[#This Row],[SKU]]="","",SUMIFS(tblMovimientos[CantidadNeta],tblMovimientos[SKU],tblStock[[#This Row],[SKU]],tblMovimientos[FactorStock],1))</f>
        <v/>
      </c>
      <c r="I158" s="55" t="str">
        <f>IF(tblStock[[#This Row],[SKU]]="","",-SUMIFS(tblMovimientos[CantidadNeta],tblMovimientos[SKU],tblStock[[#This Row],[SKU]],tblMovimientos[FactorStock],-1))</f>
        <v/>
      </c>
      <c r="J158" s="56" t="str">
        <f>IF(tblStock[[#This Row],[SKU]]="","",SUMIFS(tblMovimientos[CantidadNeta],tblMovimientos[SKU],tblStock[[#This Row],[SKU]]))</f>
        <v/>
      </c>
      <c r="K158" s="55" t="str">
        <f>IF($B158="","",N('05_PRODUCTOS'!$F158))</f>
        <v/>
      </c>
      <c r="L158" s="55" t="str">
        <f>IF($B158="","",N('05_PRODUCTOS'!$G158))</f>
        <v/>
      </c>
      <c r="M158" s="57" t="str">
        <f>IF(OR(tblStock[[#This Row],[SKU]]="",N(tblStock[[#This Row],[StockMax]])=0),"",MAX(0,tblStock[[#This Row],[StockActual]])/tblStock[[#This Row],[StockMax]])</f>
        <v/>
      </c>
      <c r="N15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8" s="59" t="str">
        <f>IF($B158="","",N('05_PRODUCTOS'!$H158))</f>
        <v/>
      </c>
      <c r="P158" s="59" t="str">
        <f>IF(tblStock[[#This Row],[SKU]]="","",MAX(0,tblStock[[#This Row],[StockActual]])*tblStock[[#This Row],[CostoUnitario]])</f>
        <v/>
      </c>
      <c r="Q158" s="60" t="str">
        <f>IF(tblStock[[#This Row],[SKU]]="","",IFERROR(_xlfn.AGGREGATE(14,6,tblMovimientos[Fecha]/(tblMovimientos[SKU]=tblStock[[#This Row],[SKU]]),1),""))</f>
        <v/>
      </c>
      <c r="R158" s="61" t="str">
        <f ca="1">IF(OR(tblStock[[#This Row],[SKU]]="",tblStock[[#This Row],[UltimoMov]]=""),"",TODAY()-tblStock[[#This Row],[UltimoMov]])</f>
        <v/>
      </c>
    </row>
    <row r="159" spans="2:18" x14ac:dyDescent="0.25">
      <c r="B159" s="53" t="str">
        <f>IF('05_PRODUCTOS'!$B159="","",'05_PRODUCTOS'!$B159)</f>
        <v/>
      </c>
      <c r="C159" s="54" t="str">
        <f>IF($B159="","",'05_PRODUCTOS'!$C159)</f>
        <v/>
      </c>
      <c r="D159" s="54" t="str">
        <f>IF($B159="","",'05_PRODUCTOS'!$D159)</f>
        <v/>
      </c>
      <c r="E159" s="54" t="str">
        <f>IF($B159="","",'05_PRODUCTOS'!$I159&amp;"")</f>
        <v/>
      </c>
      <c r="F159" s="53" t="str">
        <f>IF($B159="","",'05_PRODUCTOS'!$E159)</f>
        <v/>
      </c>
      <c r="G159" s="53" t="str">
        <f>IF($B159="","",IF('05_PRODUCTOS'!$K159="NO","NO","SI"))</f>
        <v/>
      </c>
      <c r="H159" s="55" t="str">
        <f>IF(tblStock[[#This Row],[SKU]]="","",SUMIFS(tblMovimientos[CantidadNeta],tblMovimientos[SKU],tblStock[[#This Row],[SKU]],tblMovimientos[FactorStock],1))</f>
        <v/>
      </c>
      <c r="I159" s="55" t="str">
        <f>IF(tblStock[[#This Row],[SKU]]="","",-SUMIFS(tblMovimientos[CantidadNeta],tblMovimientos[SKU],tblStock[[#This Row],[SKU]],tblMovimientos[FactorStock],-1))</f>
        <v/>
      </c>
      <c r="J159" s="56" t="str">
        <f>IF(tblStock[[#This Row],[SKU]]="","",SUMIFS(tblMovimientos[CantidadNeta],tblMovimientos[SKU],tblStock[[#This Row],[SKU]]))</f>
        <v/>
      </c>
      <c r="K159" s="55" t="str">
        <f>IF($B159="","",N('05_PRODUCTOS'!$F159))</f>
        <v/>
      </c>
      <c r="L159" s="55" t="str">
        <f>IF($B159="","",N('05_PRODUCTOS'!$G159))</f>
        <v/>
      </c>
      <c r="M159" s="57" t="str">
        <f>IF(OR(tblStock[[#This Row],[SKU]]="",N(tblStock[[#This Row],[StockMax]])=0),"",MAX(0,tblStock[[#This Row],[StockActual]])/tblStock[[#This Row],[StockMax]])</f>
        <v/>
      </c>
      <c r="N15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59" s="59" t="str">
        <f>IF($B159="","",N('05_PRODUCTOS'!$H159))</f>
        <v/>
      </c>
      <c r="P159" s="59" t="str">
        <f>IF(tblStock[[#This Row],[SKU]]="","",MAX(0,tblStock[[#This Row],[StockActual]])*tblStock[[#This Row],[CostoUnitario]])</f>
        <v/>
      </c>
      <c r="Q159" s="60" t="str">
        <f>IF(tblStock[[#This Row],[SKU]]="","",IFERROR(_xlfn.AGGREGATE(14,6,tblMovimientos[Fecha]/(tblMovimientos[SKU]=tblStock[[#This Row],[SKU]]),1),""))</f>
        <v/>
      </c>
      <c r="R159" s="61" t="str">
        <f ca="1">IF(OR(tblStock[[#This Row],[SKU]]="",tblStock[[#This Row],[UltimoMov]]=""),"",TODAY()-tblStock[[#This Row],[UltimoMov]])</f>
        <v/>
      </c>
    </row>
    <row r="160" spans="2:18" x14ac:dyDescent="0.25">
      <c r="B160" s="53" t="str">
        <f>IF('05_PRODUCTOS'!$B160="","",'05_PRODUCTOS'!$B160)</f>
        <v/>
      </c>
      <c r="C160" s="54" t="str">
        <f>IF($B160="","",'05_PRODUCTOS'!$C160)</f>
        <v/>
      </c>
      <c r="D160" s="54" t="str">
        <f>IF($B160="","",'05_PRODUCTOS'!$D160)</f>
        <v/>
      </c>
      <c r="E160" s="54" t="str">
        <f>IF($B160="","",'05_PRODUCTOS'!$I160&amp;"")</f>
        <v/>
      </c>
      <c r="F160" s="53" t="str">
        <f>IF($B160="","",'05_PRODUCTOS'!$E160)</f>
        <v/>
      </c>
      <c r="G160" s="53" t="str">
        <f>IF($B160="","",IF('05_PRODUCTOS'!$K160="NO","NO","SI"))</f>
        <v/>
      </c>
      <c r="H160" s="55" t="str">
        <f>IF(tblStock[[#This Row],[SKU]]="","",SUMIFS(tblMovimientos[CantidadNeta],tblMovimientos[SKU],tblStock[[#This Row],[SKU]],tblMovimientos[FactorStock],1))</f>
        <v/>
      </c>
      <c r="I160" s="55" t="str">
        <f>IF(tblStock[[#This Row],[SKU]]="","",-SUMIFS(tblMovimientos[CantidadNeta],tblMovimientos[SKU],tblStock[[#This Row],[SKU]],tblMovimientos[FactorStock],-1))</f>
        <v/>
      </c>
      <c r="J160" s="56" t="str">
        <f>IF(tblStock[[#This Row],[SKU]]="","",SUMIFS(tblMovimientos[CantidadNeta],tblMovimientos[SKU],tblStock[[#This Row],[SKU]]))</f>
        <v/>
      </c>
      <c r="K160" s="55" t="str">
        <f>IF($B160="","",N('05_PRODUCTOS'!$F160))</f>
        <v/>
      </c>
      <c r="L160" s="55" t="str">
        <f>IF($B160="","",N('05_PRODUCTOS'!$G160))</f>
        <v/>
      </c>
      <c r="M160" s="57" t="str">
        <f>IF(OR(tblStock[[#This Row],[SKU]]="",N(tblStock[[#This Row],[StockMax]])=0),"",MAX(0,tblStock[[#This Row],[StockActual]])/tblStock[[#This Row],[StockMax]])</f>
        <v/>
      </c>
      <c r="N16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0" s="59" t="str">
        <f>IF($B160="","",N('05_PRODUCTOS'!$H160))</f>
        <v/>
      </c>
      <c r="P160" s="59" t="str">
        <f>IF(tblStock[[#This Row],[SKU]]="","",MAX(0,tblStock[[#This Row],[StockActual]])*tblStock[[#This Row],[CostoUnitario]])</f>
        <v/>
      </c>
      <c r="Q160" s="60" t="str">
        <f>IF(tblStock[[#This Row],[SKU]]="","",IFERROR(_xlfn.AGGREGATE(14,6,tblMovimientos[Fecha]/(tblMovimientos[SKU]=tblStock[[#This Row],[SKU]]),1),""))</f>
        <v/>
      </c>
      <c r="R160" s="61" t="str">
        <f ca="1">IF(OR(tblStock[[#This Row],[SKU]]="",tblStock[[#This Row],[UltimoMov]]=""),"",TODAY()-tblStock[[#This Row],[UltimoMov]])</f>
        <v/>
      </c>
    </row>
    <row r="161" spans="2:18" x14ac:dyDescent="0.25">
      <c r="B161" s="53" t="str">
        <f>IF('05_PRODUCTOS'!$B161="","",'05_PRODUCTOS'!$B161)</f>
        <v/>
      </c>
      <c r="C161" s="54" t="str">
        <f>IF($B161="","",'05_PRODUCTOS'!$C161)</f>
        <v/>
      </c>
      <c r="D161" s="54" t="str">
        <f>IF($B161="","",'05_PRODUCTOS'!$D161)</f>
        <v/>
      </c>
      <c r="E161" s="54" t="str">
        <f>IF($B161="","",'05_PRODUCTOS'!$I161&amp;"")</f>
        <v/>
      </c>
      <c r="F161" s="53" t="str">
        <f>IF($B161="","",'05_PRODUCTOS'!$E161)</f>
        <v/>
      </c>
      <c r="G161" s="53" t="str">
        <f>IF($B161="","",IF('05_PRODUCTOS'!$K161="NO","NO","SI"))</f>
        <v/>
      </c>
      <c r="H161" s="55" t="str">
        <f>IF(tblStock[[#This Row],[SKU]]="","",SUMIFS(tblMovimientos[CantidadNeta],tblMovimientos[SKU],tblStock[[#This Row],[SKU]],tblMovimientos[FactorStock],1))</f>
        <v/>
      </c>
      <c r="I161" s="55" t="str">
        <f>IF(tblStock[[#This Row],[SKU]]="","",-SUMIFS(tblMovimientos[CantidadNeta],tblMovimientos[SKU],tblStock[[#This Row],[SKU]],tblMovimientos[FactorStock],-1))</f>
        <v/>
      </c>
      <c r="J161" s="56" t="str">
        <f>IF(tblStock[[#This Row],[SKU]]="","",SUMIFS(tblMovimientos[CantidadNeta],tblMovimientos[SKU],tblStock[[#This Row],[SKU]]))</f>
        <v/>
      </c>
      <c r="K161" s="55" t="str">
        <f>IF($B161="","",N('05_PRODUCTOS'!$F161))</f>
        <v/>
      </c>
      <c r="L161" s="55" t="str">
        <f>IF($B161="","",N('05_PRODUCTOS'!$G161))</f>
        <v/>
      </c>
      <c r="M161" s="57" t="str">
        <f>IF(OR(tblStock[[#This Row],[SKU]]="",N(tblStock[[#This Row],[StockMax]])=0),"",MAX(0,tblStock[[#This Row],[StockActual]])/tblStock[[#This Row],[StockMax]])</f>
        <v/>
      </c>
      <c r="N16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1" s="59" t="str">
        <f>IF($B161="","",N('05_PRODUCTOS'!$H161))</f>
        <v/>
      </c>
      <c r="P161" s="59" t="str">
        <f>IF(tblStock[[#This Row],[SKU]]="","",MAX(0,tblStock[[#This Row],[StockActual]])*tblStock[[#This Row],[CostoUnitario]])</f>
        <v/>
      </c>
      <c r="Q161" s="60" t="str">
        <f>IF(tblStock[[#This Row],[SKU]]="","",IFERROR(_xlfn.AGGREGATE(14,6,tblMovimientos[Fecha]/(tblMovimientos[SKU]=tblStock[[#This Row],[SKU]]),1),""))</f>
        <v/>
      </c>
      <c r="R161" s="61" t="str">
        <f ca="1">IF(OR(tblStock[[#This Row],[SKU]]="",tblStock[[#This Row],[UltimoMov]]=""),"",TODAY()-tblStock[[#This Row],[UltimoMov]])</f>
        <v/>
      </c>
    </row>
    <row r="162" spans="2:18" x14ac:dyDescent="0.25">
      <c r="B162" s="53" t="str">
        <f>IF('05_PRODUCTOS'!$B162="","",'05_PRODUCTOS'!$B162)</f>
        <v/>
      </c>
      <c r="C162" s="54" t="str">
        <f>IF($B162="","",'05_PRODUCTOS'!$C162)</f>
        <v/>
      </c>
      <c r="D162" s="54" t="str">
        <f>IF($B162="","",'05_PRODUCTOS'!$D162)</f>
        <v/>
      </c>
      <c r="E162" s="54" t="str">
        <f>IF($B162="","",'05_PRODUCTOS'!$I162&amp;"")</f>
        <v/>
      </c>
      <c r="F162" s="53" t="str">
        <f>IF($B162="","",'05_PRODUCTOS'!$E162)</f>
        <v/>
      </c>
      <c r="G162" s="53" t="str">
        <f>IF($B162="","",IF('05_PRODUCTOS'!$K162="NO","NO","SI"))</f>
        <v/>
      </c>
      <c r="H162" s="55" t="str">
        <f>IF(tblStock[[#This Row],[SKU]]="","",SUMIFS(tblMovimientos[CantidadNeta],tblMovimientos[SKU],tblStock[[#This Row],[SKU]],tblMovimientos[FactorStock],1))</f>
        <v/>
      </c>
      <c r="I162" s="55" t="str">
        <f>IF(tblStock[[#This Row],[SKU]]="","",-SUMIFS(tblMovimientos[CantidadNeta],tblMovimientos[SKU],tblStock[[#This Row],[SKU]],tblMovimientos[FactorStock],-1))</f>
        <v/>
      </c>
      <c r="J162" s="56" t="str">
        <f>IF(tblStock[[#This Row],[SKU]]="","",SUMIFS(tblMovimientos[CantidadNeta],tblMovimientos[SKU],tblStock[[#This Row],[SKU]]))</f>
        <v/>
      </c>
      <c r="K162" s="55" t="str">
        <f>IF($B162="","",N('05_PRODUCTOS'!$F162))</f>
        <v/>
      </c>
      <c r="L162" s="55" t="str">
        <f>IF($B162="","",N('05_PRODUCTOS'!$G162))</f>
        <v/>
      </c>
      <c r="M162" s="57" t="str">
        <f>IF(OR(tblStock[[#This Row],[SKU]]="",N(tblStock[[#This Row],[StockMax]])=0),"",MAX(0,tblStock[[#This Row],[StockActual]])/tblStock[[#This Row],[StockMax]])</f>
        <v/>
      </c>
      <c r="N16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2" s="59" t="str">
        <f>IF($B162="","",N('05_PRODUCTOS'!$H162))</f>
        <v/>
      </c>
      <c r="P162" s="59" t="str">
        <f>IF(tblStock[[#This Row],[SKU]]="","",MAX(0,tblStock[[#This Row],[StockActual]])*tblStock[[#This Row],[CostoUnitario]])</f>
        <v/>
      </c>
      <c r="Q162" s="60" t="str">
        <f>IF(tblStock[[#This Row],[SKU]]="","",IFERROR(_xlfn.AGGREGATE(14,6,tblMovimientos[Fecha]/(tblMovimientos[SKU]=tblStock[[#This Row],[SKU]]),1),""))</f>
        <v/>
      </c>
      <c r="R162" s="61" t="str">
        <f ca="1">IF(OR(tblStock[[#This Row],[SKU]]="",tblStock[[#This Row],[UltimoMov]]=""),"",TODAY()-tblStock[[#This Row],[UltimoMov]])</f>
        <v/>
      </c>
    </row>
    <row r="163" spans="2:18" x14ac:dyDescent="0.25">
      <c r="B163" s="53" t="str">
        <f>IF('05_PRODUCTOS'!$B163="","",'05_PRODUCTOS'!$B163)</f>
        <v/>
      </c>
      <c r="C163" s="54" t="str">
        <f>IF($B163="","",'05_PRODUCTOS'!$C163)</f>
        <v/>
      </c>
      <c r="D163" s="54" t="str">
        <f>IF($B163="","",'05_PRODUCTOS'!$D163)</f>
        <v/>
      </c>
      <c r="E163" s="54" t="str">
        <f>IF($B163="","",'05_PRODUCTOS'!$I163&amp;"")</f>
        <v/>
      </c>
      <c r="F163" s="53" t="str">
        <f>IF($B163="","",'05_PRODUCTOS'!$E163)</f>
        <v/>
      </c>
      <c r="G163" s="53" t="str">
        <f>IF($B163="","",IF('05_PRODUCTOS'!$K163="NO","NO","SI"))</f>
        <v/>
      </c>
      <c r="H163" s="55" t="str">
        <f>IF(tblStock[[#This Row],[SKU]]="","",SUMIFS(tblMovimientos[CantidadNeta],tblMovimientos[SKU],tblStock[[#This Row],[SKU]],tblMovimientos[FactorStock],1))</f>
        <v/>
      </c>
      <c r="I163" s="55" t="str">
        <f>IF(tblStock[[#This Row],[SKU]]="","",-SUMIFS(tblMovimientos[CantidadNeta],tblMovimientos[SKU],tblStock[[#This Row],[SKU]],tblMovimientos[FactorStock],-1))</f>
        <v/>
      </c>
      <c r="J163" s="56" t="str">
        <f>IF(tblStock[[#This Row],[SKU]]="","",SUMIFS(tblMovimientos[CantidadNeta],tblMovimientos[SKU],tblStock[[#This Row],[SKU]]))</f>
        <v/>
      </c>
      <c r="K163" s="55" t="str">
        <f>IF($B163="","",N('05_PRODUCTOS'!$F163))</f>
        <v/>
      </c>
      <c r="L163" s="55" t="str">
        <f>IF($B163="","",N('05_PRODUCTOS'!$G163))</f>
        <v/>
      </c>
      <c r="M163" s="57" t="str">
        <f>IF(OR(tblStock[[#This Row],[SKU]]="",N(tblStock[[#This Row],[StockMax]])=0),"",MAX(0,tblStock[[#This Row],[StockActual]])/tblStock[[#This Row],[StockMax]])</f>
        <v/>
      </c>
      <c r="N16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3" s="59" t="str">
        <f>IF($B163="","",N('05_PRODUCTOS'!$H163))</f>
        <v/>
      </c>
      <c r="P163" s="59" t="str">
        <f>IF(tblStock[[#This Row],[SKU]]="","",MAX(0,tblStock[[#This Row],[StockActual]])*tblStock[[#This Row],[CostoUnitario]])</f>
        <v/>
      </c>
      <c r="Q163" s="60" t="str">
        <f>IF(tblStock[[#This Row],[SKU]]="","",IFERROR(_xlfn.AGGREGATE(14,6,tblMovimientos[Fecha]/(tblMovimientos[SKU]=tblStock[[#This Row],[SKU]]),1),""))</f>
        <v/>
      </c>
      <c r="R163" s="61" t="str">
        <f ca="1">IF(OR(tblStock[[#This Row],[SKU]]="",tblStock[[#This Row],[UltimoMov]]=""),"",TODAY()-tblStock[[#This Row],[UltimoMov]])</f>
        <v/>
      </c>
    </row>
    <row r="164" spans="2:18" x14ac:dyDescent="0.25">
      <c r="B164" s="53" t="str">
        <f>IF('05_PRODUCTOS'!$B164="","",'05_PRODUCTOS'!$B164)</f>
        <v/>
      </c>
      <c r="C164" s="54" t="str">
        <f>IF($B164="","",'05_PRODUCTOS'!$C164)</f>
        <v/>
      </c>
      <c r="D164" s="54" t="str">
        <f>IF($B164="","",'05_PRODUCTOS'!$D164)</f>
        <v/>
      </c>
      <c r="E164" s="54" t="str">
        <f>IF($B164="","",'05_PRODUCTOS'!$I164&amp;"")</f>
        <v/>
      </c>
      <c r="F164" s="53" t="str">
        <f>IF($B164="","",'05_PRODUCTOS'!$E164)</f>
        <v/>
      </c>
      <c r="G164" s="53" t="str">
        <f>IF($B164="","",IF('05_PRODUCTOS'!$K164="NO","NO","SI"))</f>
        <v/>
      </c>
      <c r="H164" s="55" t="str">
        <f>IF(tblStock[[#This Row],[SKU]]="","",SUMIFS(tblMovimientos[CantidadNeta],tblMovimientos[SKU],tblStock[[#This Row],[SKU]],tblMovimientos[FactorStock],1))</f>
        <v/>
      </c>
      <c r="I164" s="55" t="str">
        <f>IF(tblStock[[#This Row],[SKU]]="","",-SUMIFS(tblMovimientos[CantidadNeta],tblMovimientos[SKU],tblStock[[#This Row],[SKU]],tblMovimientos[FactorStock],-1))</f>
        <v/>
      </c>
      <c r="J164" s="56" t="str">
        <f>IF(tblStock[[#This Row],[SKU]]="","",SUMIFS(tblMovimientos[CantidadNeta],tblMovimientos[SKU],tblStock[[#This Row],[SKU]]))</f>
        <v/>
      </c>
      <c r="K164" s="55" t="str">
        <f>IF($B164="","",N('05_PRODUCTOS'!$F164))</f>
        <v/>
      </c>
      <c r="L164" s="55" t="str">
        <f>IF($B164="","",N('05_PRODUCTOS'!$G164))</f>
        <v/>
      </c>
      <c r="M164" s="57" t="str">
        <f>IF(OR(tblStock[[#This Row],[SKU]]="",N(tblStock[[#This Row],[StockMax]])=0),"",MAX(0,tblStock[[#This Row],[StockActual]])/tblStock[[#This Row],[StockMax]])</f>
        <v/>
      </c>
      <c r="N16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4" s="59" t="str">
        <f>IF($B164="","",N('05_PRODUCTOS'!$H164))</f>
        <v/>
      </c>
      <c r="P164" s="59" t="str">
        <f>IF(tblStock[[#This Row],[SKU]]="","",MAX(0,tblStock[[#This Row],[StockActual]])*tblStock[[#This Row],[CostoUnitario]])</f>
        <v/>
      </c>
      <c r="Q164" s="60" t="str">
        <f>IF(tblStock[[#This Row],[SKU]]="","",IFERROR(_xlfn.AGGREGATE(14,6,tblMovimientos[Fecha]/(tblMovimientos[SKU]=tblStock[[#This Row],[SKU]]),1),""))</f>
        <v/>
      </c>
      <c r="R164" s="61" t="str">
        <f ca="1">IF(OR(tblStock[[#This Row],[SKU]]="",tblStock[[#This Row],[UltimoMov]]=""),"",TODAY()-tblStock[[#This Row],[UltimoMov]])</f>
        <v/>
      </c>
    </row>
    <row r="165" spans="2:18" x14ac:dyDescent="0.25">
      <c r="B165" s="53" t="str">
        <f>IF('05_PRODUCTOS'!$B165="","",'05_PRODUCTOS'!$B165)</f>
        <v/>
      </c>
      <c r="C165" s="54" t="str">
        <f>IF($B165="","",'05_PRODUCTOS'!$C165)</f>
        <v/>
      </c>
      <c r="D165" s="54" t="str">
        <f>IF($B165="","",'05_PRODUCTOS'!$D165)</f>
        <v/>
      </c>
      <c r="E165" s="54" t="str">
        <f>IF($B165="","",'05_PRODUCTOS'!$I165&amp;"")</f>
        <v/>
      </c>
      <c r="F165" s="53" t="str">
        <f>IF($B165="","",'05_PRODUCTOS'!$E165)</f>
        <v/>
      </c>
      <c r="G165" s="53" t="str">
        <f>IF($B165="","",IF('05_PRODUCTOS'!$K165="NO","NO","SI"))</f>
        <v/>
      </c>
      <c r="H165" s="55" t="str">
        <f>IF(tblStock[[#This Row],[SKU]]="","",SUMIFS(tblMovimientos[CantidadNeta],tblMovimientos[SKU],tblStock[[#This Row],[SKU]],tblMovimientos[FactorStock],1))</f>
        <v/>
      </c>
      <c r="I165" s="55" t="str">
        <f>IF(tblStock[[#This Row],[SKU]]="","",-SUMIFS(tblMovimientos[CantidadNeta],tblMovimientos[SKU],tblStock[[#This Row],[SKU]],tblMovimientos[FactorStock],-1))</f>
        <v/>
      </c>
      <c r="J165" s="56" t="str">
        <f>IF(tblStock[[#This Row],[SKU]]="","",SUMIFS(tblMovimientos[CantidadNeta],tblMovimientos[SKU],tblStock[[#This Row],[SKU]]))</f>
        <v/>
      </c>
      <c r="K165" s="55" t="str">
        <f>IF($B165="","",N('05_PRODUCTOS'!$F165))</f>
        <v/>
      </c>
      <c r="L165" s="55" t="str">
        <f>IF($B165="","",N('05_PRODUCTOS'!$G165))</f>
        <v/>
      </c>
      <c r="M165" s="57" t="str">
        <f>IF(OR(tblStock[[#This Row],[SKU]]="",N(tblStock[[#This Row],[StockMax]])=0),"",MAX(0,tblStock[[#This Row],[StockActual]])/tblStock[[#This Row],[StockMax]])</f>
        <v/>
      </c>
      <c r="N16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5" s="59" t="str">
        <f>IF($B165="","",N('05_PRODUCTOS'!$H165))</f>
        <v/>
      </c>
      <c r="P165" s="59" t="str">
        <f>IF(tblStock[[#This Row],[SKU]]="","",MAX(0,tblStock[[#This Row],[StockActual]])*tblStock[[#This Row],[CostoUnitario]])</f>
        <v/>
      </c>
      <c r="Q165" s="60" t="str">
        <f>IF(tblStock[[#This Row],[SKU]]="","",IFERROR(_xlfn.AGGREGATE(14,6,tblMovimientos[Fecha]/(tblMovimientos[SKU]=tblStock[[#This Row],[SKU]]),1),""))</f>
        <v/>
      </c>
      <c r="R165" s="61" t="str">
        <f ca="1">IF(OR(tblStock[[#This Row],[SKU]]="",tblStock[[#This Row],[UltimoMov]]=""),"",TODAY()-tblStock[[#This Row],[UltimoMov]])</f>
        <v/>
      </c>
    </row>
    <row r="166" spans="2:18" x14ac:dyDescent="0.25">
      <c r="B166" s="53" t="str">
        <f>IF('05_PRODUCTOS'!$B166="","",'05_PRODUCTOS'!$B166)</f>
        <v/>
      </c>
      <c r="C166" s="54" t="str">
        <f>IF($B166="","",'05_PRODUCTOS'!$C166)</f>
        <v/>
      </c>
      <c r="D166" s="54" t="str">
        <f>IF($B166="","",'05_PRODUCTOS'!$D166)</f>
        <v/>
      </c>
      <c r="E166" s="54" t="str">
        <f>IF($B166="","",'05_PRODUCTOS'!$I166&amp;"")</f>
        <v/>
      </c>
      <c r="F166" s="53" t="str">
        <f>IF($B166="","",'05_PRODUCTOS'!$E166)</f>
        <v/>
      </c>
      <c r="G166" s="53" t="str">
        <f>IF($B166="","",IF('05_PRODUCTOS'!$K166="NO","NO","SI"))</f>
        <v/>
      </c>
      <c r="H166" s="55" t="str">
        <f>IF(tblStock[[#This Row],[SKU]]="","",SUMIFS(tblMovimientos[CantidadNeta],tblMovimientos[SKU],tblStock[[#This Row],[SKU]],tblMovimientos[FactorStock],1))</f>
        <v/>
      </c>
      <c r="I166" s="55" t="str">
        <f>IF(tblStock[[#This Row],[SKU]]="","",-SUMIFS(tblMovimientos[CantidadNeta],tblMovimientos[SKU],tblStock[[#This Row],[SKU]],tblMovimientos[FactorStock],-1))</f>
        <v/>
      </c>
      <c r="J166" s="56" t="str">
        <f>IF(tblStock[[#This Row],[SKU]]="","",SUMIFS(tblMovimientos[CantidadNeta],tblMovimientos[SKU],tblStock[[#This Row],[SKU]]))</f>
        <v/>
      </c>
      <c r="K166" s="55" t="str">
        <f>IF($B166="","",N('05_PRODUCTOS'!$F166))</f>
        <v/>
      </c>
      <c r="L166" s="55" t="str">
        <f>IF($B166="","",N('05_PRODUCTOS'!$G166))</f>
        <v/>
      </c>
      <c r="M166" s="57" t="str">
        <f>IF(OR(tblStock[[#This Row],[SKU]]="",N(tblStock[[#This Row],[StockMax]])=0),"",MAX(0,tblStock[[#This Row],[StockActual]])/tblStock[[#This Row],[StockMax]])</f>
        <v/>
      </c>
      <c r="N16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6" s="59" t="str">
        <f>IF($B166="","",N('05_PRODUCTOS'!$H166))</f>
        <v/>
      </c>
      <c r="P166" s="59" t="str">
        <f>IF(tblStock[[#This Row],[SKU]]="","",MAX(0,tblStock[[#This Row],[StockActual]])*tblStock[[#This Row],[CostoUnitario]])</f>
        <v/>
      </c>
      <c r="Q166" s="60" t="str">
        <f>IF(tblStock[[#This Row],[SKU]]="","",IFERROR(_xlfn.AGGREGATE(14,6,tblMovimientos[Fecha]/(tblMovimientos[SKU]=tblStock[[#This Row],[SKU]]),1),""))</f>
        <v/>
      </c>
      <c r="R166" s="61" t="str">
        <f ca="1">IF(OR(tblStock[[#This Row],[SKU]]="",tblStock[[#This Row],[UltimoMov]]=""),"",TODAY()-tblStock[[#This Row],[UltimoMov]])</f>
        <v/>
      </c>
    </row>
    <row r="167" spans="2:18" x14ac:dyDescent="0.25">
      <c r="B167" s="53" t="str">
        <f>IF('05_PRODUCTOS'!$B167="","",'05_PRODUCTOS'!$B167)</f>
        <v/>
      </c>
      <c r="C167" s="54" t="str">
        <f>IF($B167="","",'05_PRODUCTOS'!$C167)</f>
        <v/>
      </c>
      <c r="D167" s="54" t="str">
        <f>IF($B167="","",'05_PRODUCTOS'!$D167)</f>
        <v/>
      </c>
      <c r="E167" s="54" t="str">
        <f>IF($B167="","",'05_PRODUCTOS'!$I167&amp;"")</f>
        <v/>
      </c>
      <c r="F167" s="53" t="str">
        <f>IF($B167="","",'05_PRODUCTOS'!$E167)</f>
        <v/>
      </c>
      <c r="G167" s="53" t="str">
        <f>IF($B167="","",IF('05_PRODUCTOS'!$K167="NO","NO","SI"))</f>
        <v/>
      </c>
      <c r="H167" s="55" t="str">
        <f>IF(tblStock[[#This Row],[SKU]]="","",SUMIFS(tblMovimientos[CantidadNeta],tblMovimientos[SKU],tblStock[[#This Row],[SKU]],tblMovimientos[FactorStock],1))</f>
        <v/>
      </c>
      <c r="I167" s="55" t="str">
        <f>IF(tblStock[[#This Row],[SKU]]="","",-SUMIFS(tblMovimientos[CantidadNeta],tblMovimientos[SKU],tblStock[[#This Row],[SKU]],tblMovimientos[FactorStock],-1))</f>
        <v/>
      </c>
      <c r="J167" s="56" t="str">
        <f>IF(tblStock[[#This Row],[SKU]]="","",SUMIFS(tblMovimientos[CantidadNeta],tblMovimientos[SKU],tblStock[[#This Row],[SKU]]))</f>
        <v/>
      </c>
      <c r="K167" s="55" t="str">
        <f>IF($B167="","",N('05_PRODUCTOS'!$F167))</f>
        <v/>
      </c>
      <c r="L167" s="55" t="str">
        <f>IF($B167="","",N('05_PRODUCTOS'!$G167))</f>
        <v/>
      </c>
      <c r="M167" s="57" t="str">
        <f>IF(OR(tblStock[[#This Row],[SKU]]="",N(tblStock[[#This Row],[StockMax]])=0),"",MAX(0,tblStock[[#This Row],[StockActual]])/tblStock[[#This Row],[StockMax]])</f>
        <v/>
      </c>
      <c r="N16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7" s="59" t="str">
        <f>IF($B167="","",N('05_PRODUCTOS'!$H167))</f>
        <v/>
      </c>
      <c r="P167" s="59" t="str">
        <f>IF(tblStock[[#This Row],[SKU]]="","",MAX(0,tblStock[[#This Row],[StockActual]])*tblStock[[#This Row],[CostoUnitario]])</f>
        <v/>
      </c>
      <c r="Q167" s="60" t="str">
        <f>IF(tblStock[[#This Row],[SKU]]="","",IFERROR(_xlfn.AGGREGATE(14,6,tblMovimientos[Fecha]/(tblMovimientos[SKU]=tblStock[[#This Row],[SKU]]),1),""))</f>
        <v/>
      </c>
      <c r="R167" s="61" t="str">
        <f ca="1">IF(OR(tblStock[[#This Row],[SKU]]="",tblStock[[#This Row],[UltimoMov]]=""),"",TODAY()-tblStock[[#This Row],[UltimoMov]])</f>
        <v/>
      </c>
    </row>
    <row r="168" spans="2:18" x14ac:dyDescent="0.25">
      <c r="B168" s="53" t="str">
        <f>IF('05_PRODUCTOS'!$B168="","",'05_PRODUCTOS'!$B168)</f>
        <v/>
      </c>
      <c r="C168" s="54" t="str">
        <f>IF($B168="","",'05_PRODUCTOS'!$C168)</f>
        <v/>
      </c>
      <c r="D168" s="54" t="str">
        <f>IF($B168="","",'05_PRODUCTOS'!$D168)</f>
        <v/>
      </c>
      <c r="E168" s="54" t="str">
        <f>IF($B168="","",'05_PRODUCTOS'!$I168&amp;"")</f>
        <v/>
      </c>
      <c r="F168" s="53" t="str">
        <f>IF($B168="","",'05_PRODUCTOS'!$E168)</f>
        <v/>
      </c>
      <c r="G168" s="53" t="str">
        <f>IF($B168="","",IF('05_PRODUCTOS'!$K168="NO","NO","SI"))</f>
        <v/>
      </c>
      <c r="H168" s="55" t="str">
        <f>IF(tblStock[[#This Row],[SKU]]="","",SUMIFS(tblMovimientos[CantidadNeta],tblMovimientos[SKU],tblStock[[#This Row],[SKU]],tblMovimientos[FactorStock],1))</f>
        <v/>
      </c>
      <c r="I168" s="55" t="str">
        <f>IF(tblStock[[#This Row],[SKU]]="","",-SUMIFS(tblMovimientos[CantidadNeta],tblMovimientos[SKU],tblStock[[#This Row],[SKU]],tblMovimientos[FactorStock],-1))</f>
        <v/>
      </c>
      <c r="J168" s="56" t="str">
        <f>IF(tblStock[[#This Row],[SKU]]="","",SUMIFS(tblMovimientos[CantidadNeta],tblMovimientos[SKU],tblStock[[#This Row],[SKU]]))</f>
        <v/>
      </c>
      <c r="K168" s="55" t="str">
        <f>IF($B168="","",N('05_PRODUCTOS'!$F168))</f>
        <v/>
      </c>
      <c r="L168" s="55" t="str">
        <f>IF($B168="","",N('05_PRODUCTOS'!$G168))</f>
        <v/>
      </c>
      <c r="M168" s="57" t="str">
        <f>IF(OR(tblStock[[#This Row],[SKU]]="",N(tblStock[[#This Row],[StockMax]])=0),"",MAX(0,tblStock[[#This Row],[StockActual]])/tblStock[[#This Row],[StockMax]])</f>
        <v/>
      </c>
      <c r="N16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8" s="59" t="str">
        <f>IF($B168="","",N('05_PRODUCTOS'!$H168))</f>
        <v/>
      </c>
      <c r="P168" s="59" t="str">
        <f>IF(tblStock[[#This Row],[SKU]]="","",MAX(0,tblStock[[#This Row],[StockActual]])*tblStock[[#This Row],[CostoUnitario]])</f>
        <v/>
      </c>
      <c r="Q168" s="60" t="str">
        <f>IF(tblStock[[#This Row],[SKU]]="","",IFERROR(_xlfn.AGGREGATE(14,6,tblMovimientos[Fecha]/(tblMovimientos[SKU]=tblStock[[#This Row],[SKU]]),1),""))</f>
        <v/>
      </c>
      <c r="R168" s="61" t="str">
        <f ca="1">IF(OR(tblStock[[#This Row],[SKU]]="",tblStock[[#This Row],[UltimoMov]]=""),"",TODAY()-tblStock[[#This Row],[UltimoMov]])</f>
        <v/>
      </c>
    </row>
    <row r="169" spans="2:18" x14ac:dyDescent="0.25">
      <c r="B169" s="53" t="str">
        <f>IF('05_PRODUCTOS'!$B169="","",'05_PRODUCTOS'!$B169)</f>
        <v/>
      </c>
      <c r="C169" s="54" t="str">
        <f>IF($B169="","",'05_PRODUCTOS'!$C169)</f>
        <v/>
      </c>
      <c r="D169" s="54" t="str">
        <f>IF($B169="","",'05_PRODUCTOS'!$D169)</f>
        <v/>
      </c>
      <c r="E169" s="54" t="str">
        <f>IF($B169="","",'05_PRODUCTOS'!$I169&amp;"")</f>
        <v/>
      </c>
      <c r="F169" s="53" t="str">
        <f>IF($B169="","",'05_PRODUCTOS'!$E169)</f>
        <v/>
      </c>
      <c r="G169" s="53" t="str">
        <f>IF($B169="","",IF('05_PRODUCTOS'!$K169="NO","NO","SI"))</f>
        <v/>
      </c>
      <c r="H169" s="55" t="str">
        <f>IF(tblStock[[#This Row],[SKU]]="","",SUMIFS(tblMovimientos[CantidadNeta],tblMovimientos[SKU],tblStock[[#This Row],[SKU]],tblMovimientos[FactorStock],1))</f>
        <v/>
      </c>
      <c r="I169" s="55" t="str">
        <f>IF(tblStock[[#This Row],[SKU]]="","",-SUMIFS(tblMovimientos[CantidadNeta],tblMovimientos[SKU],tblStock[[#This Row],[SKU]],tblMovimientos[FactorStock],-1))</f>
        <v/>
      </c>
      <c r="J169" s="56" t="str">
        <f>IF(tblStock[[#This Row],[SKU]]="","",SUMIFS(tblMovimientos[CantidadNeta],tblMovimientos[SKU],tblStock[[#This Row],[SKU]]))</f>
        <v/>
      </c>
      <c r="K169" s="55" t="str">
        <f>IF($B169="","",N('05_PRODUCTOS'!$F169))</f>
        <v/>
      </c>
      <c r="L169" s="55" t="str">
        <f>IF($B169="","",N('05_PRODUCTOS'!$G169))</f>
        <v/>
      </c>
      <c r="M169" s="57" t="str">
        <f>IF(OR(tblStock[[#This Row],[SKU]]="",N(tblStock[[#This Row],[StockMax]])=0),"",MAX(0,tblStock[[#This Row],[StockActual]])/tblStock[[#This Row],[StockMax]])</f>
        <v/>
      </c>
      <c r="N16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69" s="59" t="str">
        <f>IF($B169="","",N('05_PRODUCTOS'!$H169))</f>
        <v/>
      </c>
      <c r="P169" s="59" t="str">
        <f>IF(tblStock[[#This Row],[SKU]]="","",MAX(0,tblStock[[#This Row],[StockActual]])*tblStock[[#This Row],[CostoUnitario]])</f>
        <v/>
      </c>
      <c r="Q169" s="60" t="str">
        <f>IF(tblStock[[#This Row],[SKU]]="","",IFERROR(_xlfn.AGGREGATE(14,6,tblMovimientos[Fecha]/(tblMovimientos[SKU]=tblStock[[#This Row],[SKU]]),1),""))</f>
        <v/>
      </c>
      <c r="R169" s="61" t="str">
        <f ca="1">IF(OR(tblStock[[#This Row],[SKU]]="",tblStock[[#This Row],[UltimoMov]]=""),"",TODAY()-tblStock[[#This Row],[UltimoMov]])</f>
        <v/>
      </c>
    </row>
    <row r="170" spans="2:18" x14ac:dyDescent="0.25">
      <c r="B170" s="53" t="str">
        <f>IF('05_PRODUCTOS'!$B170="","",'05_PRODUCTOS'!$B170)</f>
        <v/>
      </c>
      <c r="C170" s="54" t="str">
        <f>IF($B170="","",'05_PRODUCTOS'!$C170)</f>
        <v/>
      </c>
      <c r="D170" s="54" t="str">
        <f>IF($B170="","",'05_PRODUCTOS'!$D170)</f>
        <v/>
      </c>
      <c r="E170" s="54" t="str">
        <f>IF($B170="","",'05_PRODUCTOS'!$I170&amp;"")</f>
        <v/>
      </c>
      <c r="F170" s="53" t="str">
        <f>IF($B170="","",'05_PRODUCTOS'!$E170)</f>
        <v/>
      </c>
      <c r="G170" s="53" t="str">
        <f>IF($B170="","",IF('05_PRODUCTOS'!$K170="NO","NO","SI"))</f>
        <v/>
      </c>
      <c r="H170" s="55" t="str">
        <f>IF(tblStock[[#This Row],[SKU]]="","",SUMIFS(tblMovimientos[CantidadNeta],tblMovimientos[SKU],tblStock[[#This Row],[SKU]],tblMovimientos[FactorStock],1))</f>
        <v/>
      </c>
      <c r="I170" s="55" t="str">
        <f>IF(tblStock[[#This Row],[SKU]]="","",-SUMIFS(tblMovimientos[CantidadNeta],tblMovimientos[SKU],tblStock[[#This Row],[SKU]],tblMovimientos[FactorStock],-1))</f>
        <v/>
      </c>
      <c r="J170" s="56" t="str">
        <f>IF(tblStock[[#This Row],[SKU]]="","",SUMIFS(tblMovimientos[CantidadNeta],tblMovimientos[SKU],tblStock[[#This Row],[SKU]]))</f>
        <v/>
      </c>
      <c r="K170" s="55" t="str">
        <f>IF($B170="","",N('05_PRODUCTOS'!$F170))</f>
        <v/>
      </c>
      <c r="L170" s="55" t="str">
        <f>IF($B170="","",N('05_PRODUCTOS'!$G170))</f>
        <v/>
      </c>
      <c r="M170" s="57" t="str">
        <f>IF(OR(tblStock[[#This Row],[SKU]]="",N(tblStock[[#This Row],[StockMax]])=0),"",MAX(0,tblStock[[#This Row],[StockActual]])/tblStock[[#This Row],[StockMax]])</f>
        <v/>
      </c>
      <c r="N17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0" s="59" t="str">
        <f>IF($B170="","",N('05_PRODUCTOS'!$H170))</f>
        <v/>
      </c>
      <c r="P170" s="59" t="str">
        <f>IF(tblStock[[#This Row],[SKU]]="","",MAX(0,tblStock[[#This Row],[StockActual]])*tblStock[[#This Row],[CostoUnitario]])</f>
        <v/>
      </c>
      <c r="Q170" s="60" t="str">
        <f>IF(tblStock[[#This Row],[SKU]]="","",IFERROR(_xlfn.AGGREGATE(14,6,tblMovimientos[Fecha]/(tblMovimientos[SKU]=tblStock[[#This Row],[SKU]]),1),""))</f>
        <v/>
      </c>
      <c r="R170" s="61" t="str">
        <f ca="1">IF(OR(tblStock[[#This Row],[SKU]]="",tblStock[[#This Row],[UltimoMov]]=""),"",TODAY()-tblStock[[#This Row],[UltimoMov]])</f>
        <v/>
      </c>
    </row>
    <row r="171" spans="2:18" x14ac:dyDescent="0.25">
      <c r="B171" s="53" t="str">
        <f>IF('05_PRODUCTOS'!$B171="","",'05_PRODUCTOS'!$B171)</f>
        <v/>
      </c>
      <c r="C171" s="54" t="str">
        <f>IF($B171="","",'05_PRODUCTOS'!$C171)</f>
        <v/>
      </c>
      <c r="D171" s="54" t="str">
        <f>IF($B171="","",'05_PRODUCTOS'!$D171)</f>
        <v/>
      </c>
      <c r="E171" s="54" t="str">
        <f>IF($B171="","",'05_PRODUCTOS'!$I171&amp;"")</f>
        <v/>
      </c>
      <c r="F171" s="53" t="str">
        <f>IF($B171="","",'05_PRODUCTOS'!$E171)</f>
        <v/>
      </c>
      <c r="G171" s="53" t="str">
        <f>IF($B171="","",IF('05_PRODUCTOS'!$K171="NO","NO","SI"))</f>
        <v/>
      </c>
      <c r="H171" s="55" t="str">
        <f>IF(tblStock[[#This Row],[SKU]]="","",SUMIFS(tblMovimientos[CantidadNeta],tblMovimientos[SKU],tblStock[[#This Row],[SKU]],tblMovimientos[FactorStock],1))</f>
        <v/>
      </c>
      <c r="I171" s="55" t="str">
        <f>IF(tblStock[[#This Row],[SKU]]="","",-SUMIFS(tblMovimientos[CantidadNeta],tblMovimientos[SKU],tblStock[[#This Row],[SKU]],tblMovimientos[FactorStock],-1))</f>
        <v/>
      </c>
      <c r="J171" s="56" t="str">
        <f>IF(tblStock[[#This Row],[SKU]]="","",SUMIFS(tblMovimientos[CantidadNeta],tblMovimientos[SKU],tblStock[[#This Row],[SKU]]))</f>
        <v/>
      </c>
      <c r="K171" s="55" t="str">
        <f>IF($B171="","",N('05_PRODUCTOS'!$F171))</f>
        <v/>
      </c>
      <c r="L171" s="55" t="str">
        <f>IF($B171="","",N('05_PRODUCTOS'!$G171))</f>
        <v/>
      </c>
      <c r="M171" s="57" t="str">
        <f>IF(OR(tblStock[[#This Row],[SKU]]="",N(tblStock[[#This Row],[StockMax]])=0),"",MAX(0,tblStock[[#This Row],[StockActual]])/tblStock[[#This Row],[StockMax]])</f>
        <v/>
      </c>
      <c r="N17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1" s="59" t="str">
        <f>IF($B171="","",N('05_PRODUCTOS'!$H171))</f>
        <v/>
      </c>
      <c r="P171" s="59" t="str">
        <f>IF(tblStock[[#This Row],[SKU]]="","",MAX(0,tblStock[[#This Row],[StockActual]])*tblStock[[#This Row],[CostoUnitario]])</f>
        <v/>
      </c>
      <c r="Q171" s="60" t="str">
        <f>IF(tblStock[[#This Row],[SKU]]="","",IFERROR(_xlfn.AGGREGATE(14,6,tblMovimientos[Fecha]/(tblMovimientos[SKU]=tblStock[[#This Row],[SKU]]),1),""))</f>
        <v/>
      </c>
      <c r="R171" s="61" t="str">
        <f ca="1">IF(OR(tblStock[[#This Row],[SKU]]="",tblStock[[#This Row],[UltimoMov]]=""),"",TODAY()-tblStock[[#This Row],[UltimoMov]])</f>
        <v/>
      </c>
    </row>
    <row r="172" spans="2:18" x14ac:dyDescent="0.25">
      <c r="B172" s="53" t="str">
        <f>IF('05_PRODUCTOS'!$B172="","",'05_PRODUCTOS'!$B172)</f>
        <v/>
      </c>
      <c r="C172" s="54" t="str">
        <f>IF($B172="","",'05_PRODUCTOS'!$C172)</f>
        <v/>
      </c>
      <c r="D172" s="54" t="str">
        <f>IF($B172="","",'05_PRODUCTOS'!$D172)</f>
        <v/>
      </c>
      <c r="E172" s="54" t="str">
        <f>IF($B172="","",'05_PRODUCTOS'!$I172&amp;"")</f>
        <v/>
      </c>
      <c r="F172" s="53" t="str">
        <f>IF($B172="","",'05_PRODUCTOS'!$E172)</f>
        <v/>
      </c>
      <c r="G172" s="53" t="str">
        <f>IF($B172="","",IF('05_PRODUCTOS'!$K172="NO","NO","SI"))</f>
        <v/>
      </c>
      <c r="H172" s="55" t="str">
        <f>IF(tblStock[[#This Row],[SKU]]="","",SUMIFS(tblMovimientos[CantidadNeta],tblMovimientos[SKU],tblStock[[#This Row],[SKU]],tblMovimientos[FactorStock],1))</f>
        <v/>
      </c>
      <c r="I172" s="55" t="str">
        <f>IF(tblStock[[#This Row],[SKU]]="","",-SUMIFS(tblMovimientos[CantidadNeta],tblMovimientos[SKU],tblStock[[#This Row],[SKU]],tblMovimientos[FactorStock],-1))</f>
        <v/>
      </c>
      <c r="J172" s="56" t="str">
        <f>IF(tblStock[[#This Row],[SKU]]="","",SUMIFS(tblMovimientos[CantidadNeta],tblMovimientos[SKU],tblStock[[#This Row],[SKU]]))</f>
        <v/>
      </c>
      <c r="K172" s="55" t="str">
        <f>IF($B172="","",N('05_PRODUCTOS'!$F172))</f>
        <v/>
      </c>
      <c r="L172" s="55" t="str">
        <f>IF($B172="","",N('05_PRODUCTOS'!$G172))</f>
        <v/>
      </c>
      <c r="M172" s="57" t="str">
        <f>IF(OR(tblStock[[#This Row],[SKU]]="",N(tblStock[[#This Row],[StockMax]])=0),"",MAX(0,tblStock[[#This Row],[StockActual]])/tblStock[[#This Row],[StockMax]])</f>
        <v/>
      </c>
      <c r="N17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2" s="59" t="str">
        <f>IF($B172="","",N('05_PRODUCTOS'!$H172))</f>
        <v/>
      </c>
      <c r="P172" s="59" t="str">
        <f>IF(tblStock[[#This Row],[SKU]]="","",MAX(0,tblStock[[#This Row],[StockActual]])*tblStock[[#This Row],[CostoUnitario]])</f>
        <v/>
      </c>
      <c r="Q172" s="60" t="str">
        <f>IF(tblStock[[#This Row],[SKU]]="","",IFERROR(_xlfn.AGGREGATE(14,6,tblMovimientos[Fecha]/(tblMovimientos[SKU]=tblStock[[#This Row],[SKU]]),1),""))</f>
        <v/>
      </c>
      <c r="R172" s="61" t="str">
        <f ca="1">IF(OR(tblStock[[#This Row],[SKU]]="",tblStock[[#This Row],[UltimoMov]]=""),"",TODAY()-tblStock[[#This Row],[UltimoMov]])</f>
        <v/>
      </c>
    </row>
    <row r="173" spans="2:18" x14ac:dyDescent="0.25">
      <c r="B173" s="53" t="str">
        <f>IF('05_PRODUCTOS'!$B173="","",'05_PRODUCTOS'!$B173)</f>
        <v/>
      </c>
      <c r="C173" s="54" t="str">
        <f>IF($B173="","",'05_PRODUCTOS'!$C173)</f>
        <v/>
      </c>
      <c r="D173" s="54" t="str">
        <f>IF($B173="","",'05_PRODUCTOS'!$D173)</f>
        <v/>
      </c>
      <c r="E173" s="54" t="str">
        <f>IF($B173="","",'05_PRODUCTOS'!$I173&amp;"")</f>
        <v/>
      </c>
      <c r="F173" s="53" t="str">
        <f>IF($B173="","",'05_PRODUCTOS'!$E173)</f>
        <v/>
      </c>
      <c r="G173" s="53" t="str">
        <f>IF($B173="","",IF('05_PRODUCTOS'!$K173="NO","NO","SI"))</f>
        <v/>
      </c>
      <c r="H173" s="55" t="str">
        <f>IF(tblStock[[#This Row],[SKU]]="","",SUMIFS(tblMovimientos[CantidadNeta],tblMovimientos[SKU],tblStock[[#This Row],[SKU]],tblMovimientos[FactorStock],1))</f>
        <v/>
      </c>
      <c r="I173" s="55" t="str">
        <f>IF(tblStock[[#This Row],[SKU]]="","",-SUMIFS(tblMovimientos[CantidadNeta],tblMovimientos[SKU],tblStock[[#This Row],[SKU]],tblMovimientos[FactorStock],-1))</f>
        <v/>
      </c>
      <c r="J173" s="56" t="str">
        <f>IF(tblStock[[#This Row],[SKU]]="","",SUMIFS(tblMovimientos[CantidadNeta],tblMovimientos[SKU],tblStock[[#This Row],[SKU]]))</f>
        <v/>
      </c>
      <c r="K173" s="55" t="str">
        <f>IF($B173="","",N('05_PRODUCTOS'!$F173))</f>
        <v/>
      </c>
      <c r="L173" s="55" t="str">
        <f>IF($B173="","",N('05_PRODUCTOS'!$G173))</f>
        <v/>
      </c>
      <c r="M173" s="57" t="str">
        <f>IF(OR(tblStock[[#This Row],[SKU]]="",N(tblStock[[#This Row],[StockMax]])=0),"",MAX(0,tblStock[[#This Row],[StockActual]])/tblStock[[#This Row],[StockMax]])</f>
        <v/>
      </c>
      <c r="N17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3" s="59" t="str">
        <f>IF($B173="","",N('05_PRODUCTOS'!$H173))</f>
        <v/>
      </c>
      <c r="P173" s="59" t="str">
        <f>IF(tblStock[[#This Row],[SKU]]="","",MAX(0,tblStock[[#This Row],[StockActual]])*tblStock[[#This Row],[CostoUnitario]])</f>
        <v/>
      </c>
      <c r="Q173" s="60" t="str">
        <f>IF(tblStock[[#This Row],[SKU]]="","",IFERROR(_xlfn.AGGREGATE(14,6,tblMovimientos[Fecha]/(tblMovimientos[SKU]=tblStock[[#This Row],[SKU]]),1),""))</f>
        <v/>
      </c>
      <c r="R173" s="61" t="str">
        <f ca="1">IF(OR(tblStock[[#This Row],[SKU]]="",tblStock[[#This Row],[UltimoMov]]=""),"",TODAY()-tblStock[[#This Row],[UltimoMov]])</f>
        <v/>
      </c>
    </row>
    <row r="174" spans="2:18" x14ac:dyDescent="0.25">
      <c r="B174" s="53" t="str">
        <f>IF('05_PRODUCTOS'!$B174="","",'05_PRODUCTOS'!$B174)</f>
        <v/>
      </c>
      <c r="C174" s="54" t="str">
        <f>IF($B174="","",'05_PRODUCTOS'!$C174)</f>
        <v/>
      </c>
      <c r="D174" s="54" t="str">
        <f>IF($B174="","",'05_PRODUCTOS'!$D174)</f>
        <v/>
      </c>
      <c r="E174" s="54" t="str">
        <f>IF($B174="","",'05_PRODUCTOS'!$I174&amp;"")</f>
        <v/>
      </c>
      <c r="F174" s="53" t="str">
        <f>IF($B174="","",'05_PRODUCTOS'!$E174)</f>
        <v/>
      </c>
      <c r="G174" s="53" t="str">
        <f>IF($B174="","",IF('05_PRODUCTOS'!$K174="NO","NO","SI"))</f>
        <v/>
      </c>
      <c r="H174" s="55" t="str">
        <f>IF(tblStock[[#This Row],[SKU]]="","",SUMIFS(tblMovimientos[CantidadNeta],tblMovimientos[SKU],tblStock[[#This Row],[SKU]],tblMovimientos[FactorStock],1))</f>
        <v/>
      </c>
      <c r="I174" s="55" t="str">
        <f>IF(tblStock[[#This Row],[SKU]]="","",-SUMIFS(tblMovimientos[CantidadNeta],tblMovimientos[SKU],tblStock[[#This Row],[SKU]],tblMovimientos[FactorStock],-1))</f>
        <v/>
      </c>
      <c r="J174" s="56" t="str">
        <f>IF(tblStock[[#This Row],[SKU]]="","",SUMIFS(tblMovimientos[CantidadNeta],tblMovimientos[SKU],tblStock[[#This Row],[SKU]]))</f>
        <v/>
      </c>
      <c r="K174" s="55" t="str">
        <f>IF($B174="","",N('05_PRODUCTOS'!$F174))</f>
        <v/>
      </c>
      <c r="L174" s="55" t="str">
        <f>IF($B174="","",N('05_PRODUCTOS'!$G174))</f>
        <v/>
      </c>
      <c r="M174" s="57" t="str">
        <f>IF(OR(tblStock[[#This Row],[SKU]]="",N(tblStock[[#This Row],[StockMax]])=0),"",MAX(0,tblStock[[#This Row],[StockActual]])/tblStock[[#This Row],[StockMax]])</f>
        <v/>
      </c>
      <c r="N17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4" s="59" t="str">
        <f>IF($B174="","",N('05_PRODUCTOS'!$H174))</f>
        <v/>
      </c>
      <c r="P174" s="59" t="str">
        <f>IF(tblStock[[#This Row],[SKU]]="","",MAX(0,tblStock[[#This Row],[StockActual]])*tblStock[[#This Row],[CostoUnitario]])</f>
        <v/>
      </c>
      <c r="Q174" s="60" t="str">
        <f>IF(tblStock[[#This Row],[SKU]]="","",IFERROR(_xlfn.AGGREGATE(14,6,tblMovimientos[Fecha]/(tblMovimientos[SKU]=tblStock[[#This Row],[SKU]]),1),""))</f>
        <v/>
      </c>
      <c r="R174" s="61" t="str">
        <f ca="1">IF(OR(tblStock[[#This Row],[SKU]]="",tblStock[[#This Row],[UltimoMov]]=""),"",TODAY()-tblStock[[#This Row],[UltimoMov]])</f>
        <v/>
      </c>
    </row>
    <row r="175" spans="2:18" x14ac:dyDescent="0.25">
      <c r="B175" s="53" t="str">
        <f>IF('05_PRODUCTOS'!$B175="","",'05_PRODUCTOS'!$B175)</f>
        <v/>
      </c>
      <c r="C175" s="54" t="str">
        <f>IF($B175="","",'05_PRODUCTOS'!$C175)</f>
        <v/>
      </c>
      <c r="D175" s="54" t="str">
        <f>IF($B175="","",'05_PRODUCTOS'!$D175)</f>
        <v/>
      </c>
      <c r="E175" s="54" t="str">
        <f>IF($B175="","",'05_PRODUCTOS'!$I175&amp;"")</f>
        <v/>
      </c>
      <c r="F175" s="53" t="str">
        <f>IF($B175="","",'05_PRODUCTOS'!$E175)</f>
        <v/>
      </c>
      <c r="G175" s="53" t="str">
        <f>IF($B175="","",IF('05_PRODUCTOS'!$K175="NO","NO","SI"))</f>
        <v/>
      </c>
      <c r="H175" s="55" t="str">
        <f>IF(tblStock[[#This Row],[SKU]]="","",SUMIFS(tblMovimientos[CantidadNeta],tblMovimientos[SKU],tblStock[[#This Row],[SKU]],tblMovimientos[FactorStock],1))</f>
        <v/>
      </c>
      <c r="I175" s="55" t="str">
        <f>IF(tblStock[[#This Row],[SKU]]="","",-SUMIFS(tblMovimientos[CantidadNeta],tblMovimientos[SKU],tblStock[[#This Row],[SKU]],tblMovimientos[FactorStock],-1))</f>
        <v/>
      </c>
      <c r="J175" s="56" t="str">
        <f>IF(tblStock[[#This Row],[SKU]]="","",SUMIFS(tblMovimientos[CantidadNeta],tblMovimientos[SKU],tblStock[[#This Row],[SKU]]))</f>
        <v/>
      </c>
      <c r="K175" s="55" t="str">
        <f>IF($B175="","",N('05_PRODUCTOS'!$F175))</f>
        <v/>
      </c>
      <c r="L175" s="55" t="str">
        <f>IF($B175="","",N('05_PRODUCTOS'!$G175))</f>
        <v/>
      </c>
      <c r="M175" s="57" t="str">
        <f>IF(OR(tblStock[[#This Row],[SKU]]="",N(tblStock[[#This Row],[StockMax]])=0),"",MAX(0,tblStock[[#This Row],[StockActual]])/tblStock[[#This Row],[StockMax]])</f>
        <v/>
      </c>
      <c r="N17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5" s="59" t="str">
        <f>IF($B175="","",N('05_PRODUCTOS'!$H175))</f>
        <v/>
      </c>
      <c r="P175" s="59" t="str">
        <f>IF(tblStock[[#This Row],[SKU]]="","",MAX(0,tblStock[[#This Row],[StockActual]])*tblStock[[#This Row],[CostoUnitario]])</f>
        <v/>
      </c>
      <c r="Q175" s="60" t="str">
        <f>IF(tblStock[[#This Row],[SKU]]="","",IFERROR(_xlfn.AGGREGATE(14,6,tblMovimientos[Fecha]/(tblMovimientos[SKU]=tblStock[[#This Row],[SKU]]),1),""))</f>
        <v/>
      </c>
      <c r="R175" s="61" t="str">
        <f ca="1">IF(OR(tblStock[[#This Row],[SKU]]="",tblStock[[#This Row],[UltimoMov]]=""),"",TODAY()-tblStock[[#This Row],[UltimoMov]])</f>
        <v/>
      </c>
    </row>
    <row r="176" spans="2:18" x14ac:dyDescent="0.25">
      <c r="B176" s="53" t="str">
        <f>IF('05_PRODUCTOS'!$B176="","",'05_PRODUCTOS'!$B176)</f>
        <v/>
      </c>
      <c r="C176" s="54" t="str">
        <f>IF($B176="","",'05_PRODUCTOS'!$C176)</f>
        <v/>
      </c>
      <c r="D176" s="54" t="str">
        <f>IF($B176="","",'05_PRODUCTOS'!$D176)</f>
        <v/>
      </c>
      <c r="E176" s="54" t="str">
        <f>IF($B176="","",'05_PRODUCTOS'!$I176&amp;"")</f>
        <v/>
      </c>
      <c r="F176" s="53" t="str">
        <f>IF($B176="","",'05_PRODUCTOS'!$E176)</f>
        <v/>
      </c>
      <c r="G176" s="53" t="str">
        <f>IF($B176="","",IF('05_PRODUCTOS'!$K176="NO","NO","SI"))</f>
        <v/>
      </c>
      <c r="H176" s="55" t="str">
        <f>IF(tblStock[[#This Row],[SKU]]="","",SUMIFS(tblMovimientos[CantidadNeta],tblMovimientos[SKU],tblStock[[#This Row],[SKU]],tblMovimientos[FactorStock],1))</f>
        <v/>
      </c>
      <c r="I176" s="55" t="str">
        <f>IF(tblStock[[#This Row],[SKU]]="","",-SUMIFS(tblMovimientos[CantidadNeta],tblMovimientos[SKU],tblStock[[#This Row],[SKU]],tblMovimientos[FactorStock],-1))</f>
        <v/>
      </c>
      <c r="J176" s="56" t="str">
        <f>IF(tblStock[[#This Row],[SKU]]="","",SUMIFS(tblMovimientos[CantidadNeta],tblMovimientos[SKU],tblStock[[#This Row],[SKU]]))</f>
        <v/>
      </c>
      <c r="K176" s="55" t="str">
        <f>IF($B176="","",N('05_PRODUCTOS'!$F176))</f>
        <v/>
      </c>
      <c r="L176" s="55" t="str">
        <f>IF($B176="","",N('05_PRODUCTOS'!$G176))</f>
        <v/>
      </c>
      <c r="M176" s="57" t="str">
        <f>IF(OR(tblStock[[#This Row],[SKU]]="",N(tblStock[[#This Row],[StockMax]])=0),"",MAX(0,tblStock[[#This Row],[StockActual]])/tblStock[[#This Row],[StockMax]])</f>
        <v/>
      </c>
      <c r="N17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6" s="59" t="str">
        <f>IF($B176="","",N('05_PRODUCTOS'!$H176))</f>
        <v/>
      </c>
      <c r="P176" s="59" t="str">
        <f>IF(tblStock[[#This Row],[SKU]]="","",MAX(0,tblStock[[#This Row],[StockActual]])*tblStock[[#This Row],[CostoUnitario]])</f>
        <v/>
      </c>
      <c r="Q176" s="60" t="str">
        <f>IF(tblStock[[#This Row],[SKU]]="","",IFERROR(_xlfn.AGGREGATE(14,6,tblMovimientos[Fecha]/(tblMovimientos[SKU]=tblStock[[#This Row],[SKU]]),1),""))</f>
        <v/>
      </c>
      <c r="R176" s="61" t="str">
        <f ca="1">IF(OR(tblStock[[#This Row],[SKU]]="",tblStock[[#This Row],[UltimoMov]]=""),"",TODAY()-tblStock[[#This Row],[UltimoMov]])</f>
        <v/>
      </c>
    </row>
    <row r="177" spans="2:18" x14ac:dyDescent="0.25">
      <c r="B177" s="53" t="str">
        <f>IF('05_PRODUCTOS'!$B177="","",'05_PRODUCTOS'!$B177)</f>
        <v/>
      </c>
      <c r="C177" s="54" t="str">
        <f>IF($B177="","",'05_PRODUCTOS'!$C177)</f>
        <v/>
      </c>
      <c r="D177" s="54" t="str">
        <f>IF($B177="","",'05_PRODUCTOS'!$D177)</f>
        <v/>
      </c>
      <c r="E177" s="54" t="str">
        <f>IF($B177="","",'05_PRODUCTOS'!$I177&amp;"")</f>
        <v/>
      </c>
      <c r="F177" s="53" t="str">
        <f>IF($B177="","",'05_PRODUCTOS'!$E177)</f>
        <v/>
      </c>
      <c r="G177" s="53" t="str">
        <f>IF($B177="","",IF('05_PRODUCTOS'!$K177="NO","NO","SI"))</f>
        <v/>
      </c>
      <c r="H177" s="55" t="str">
        <f>IF(tblStock[[#This Row],[SKU]]="","",SUMIFS(tblMovimientos[CantidadNeta],tblMovimientos[SKU],tblStock[[#This Row],[SKU]],tblMovimientos[FactorStock],1))</f>
        <v/>
      </c>
      <c r="I177" s="55" t="str">
        <f>IF(tblStock[[#This Row],[SKU]]="","",-SUMIFS(tblMovimientos[CantidadNeta],tblMovimientos[SKU],tblStock[[#This Row],[SKU]],tblMovimientos[FactorStock],-1))</f>
        <v/>
      </c>
      <c r="J177" s="56" t="str">
        <f>IF(tblStock[[#This Row],[SKU]]="","",SUMIFS(tblMovimientos[CantidadNeta],tblMovimientos[SKU],tblStock[[#This Row],[SKU]]))</f>
        <v/>
      </c>
      <c r="K177" s="55" t="str">
        <f>IF($B177="","",N('05_PRODUCTOS'!$F177))</f>
        <v/>
      </c>
      <c r="L177" s="55" t="str">
        <f>IF($B177="","",N('05_PRODUCTOS'!$G177))</f>
        <v/>
      </c>
      <c r="M177" s="57" t="str">
        <f>IF(OR(tblStock[[#This Row],[SKU]]="",N(tblStock[[#This Row],[StockMax]])=0),"",MAX(0,tblStock[[#This Row],[StockActual]])/tblStock[[#This Row],[StockMax]])</f>
        <v/>
      </c>
      <c r="N17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7" s="59" t="str">
        <f>IF($B177="","",N('05_PRODUCTOS'!$H177))</f>
        <v/>
      </c>
      <c r="P177" s="59" t="str">
        <f>IF(tblStock[[#This Row],[SKU]]="","",MAX(0,tblStock[[#This Row],[StockActual]])*tblStock[[#This Row],[CostoUnitario]])</f>
        <v/>
      </c>
      <c r="Q177" s="60" t="str">
        <f>IF(tblStock[[#This Row],[SKU]]="","",IFERROR(_xlfn.AGGREGATE(14,6,tblMovimientos[Fecha]/(tblMovimientos[SKU]=tblStock[[#This Row],[SKU]]),1),""))</f>
        <v/>
      </c>
      <c r="R177" s="61" t="str">
        <f ca="1">IF(OR(tblStock[[#This Row],[SKU]]="",tblStock[[#This Row],[UltimoMov]]=""),"",TODAY()-tblStock[[#This Row],[UltimoMov]])</f>
        <v/>
      </c>
    </row>
    <row r="178" spans="2:18" x14ac:dyDescent="0.25">
      <c r="B178" s="53" t="str">
        <f>IF('05_PRODUCTOS'!$B178="","",'05_PRODUCTOS'!$B178)</f>
        <v/>
      </c>
      <c r="C178" s="54" t="str">
        <f>IF($B178="","",'05_PRODUCTOS'!$C178)</f>
        <v/>
      </c>
      <c r="D178" s="54" t="str">
        <f>IF($B178="","",'05_PRODUCTOS'!$D178)</f>
        <v/>
      </c>
      <c r="E178" s="54" t="str">
        <f>IF($B178="","",'05_PRODUCTOS'!$I178&amp;"")</f>
        <v/>
      </c>
      <c r="F178" s="53" t="str">
        <f>IF($B178="","",'05_PRODUCTOS'!$E178)</f>
        <v/>
      </c>
      <c r="G178" s="53" t="str">
        <f>IF($B178="","",IF('05_PRODUCTOS'!$K178="NO","NO","SI"))</f>
        <v/>
      </c>
      <c r="H178" s="55" t="str">
        <f>IF(tblStock[[#This Row],[SKU]]="","",SUMIFS(tblMovimientos[CantidadNeta],tblMovimientos[SKU],tblStock[[#This Row],[SKU]],tblMovimientos[FactorStock],1))</f>
        <v/>
      </c>
      <c r="I178" s="55" t="str">
        <f>IF(tblStock[[#This Row],[SKU]]="","",-SUMIFS(tblMovimientos[CantidadNeta],tblMovimientos[SKU],tblStock[[#This Row],[SKU]],tblMovimientos[FactorStock],-1))</f>
        <v/>
      </c>
      <c r="J178" s="56" t="str">
        <f>IF(tblStock[[#This Row],[SKU]]="","",SUMIFS(tblMovimientos[CantidadNeta],tblMovimientos[SKU],tblStock[[#This Row],[SKU]]))</f>
        <v/>
      </c>
      <c r="K178" s="55" t="str">
        <f>IF($B178="","",N('05_PRODUCTOS'!$F178))</f>
        <v/>
      </c>
      <c r="L178" s="55" t="str">
        <f>IF($B178="","",N('05_PRODUCTOS'!$G178))</f>
        <v/>
      </c>
      <c r="M178" s="57" t="str">
        <f>IF(OR(tblStock[[#This Row],[SKU]]="",N(tblStock[[#This Row],[StockMax]])=0),"",MAX(0,tblStock[[#This Row],[StockActual]])/tblStock[[#This Row],[StockMax]])</f>
        <v/>
      </c>
      <c r="N17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8" s="59" t="str">
        <f>IF($B178="","",N('05_PRODUCTOS'!$H178))</f>
        <v/>
      </c>
      <c r="P178" s="59" t="str">
        <f>IF(tblStock[[#This Row],[SKU]]="","",MAX(0,tblStock[[#This Row],[StockActual]])*tblStock[[#This Row],[CostoUnitario]])</f>
        <v/>
      </c>
      <c r="Q178" s="60" t="str">
        <f>IF(tblStock[[#This Row],[SKU]]="","",IFERROR(_xlfn.AGGREGATE(14,6,tblMovimientos[Fecha]/(tblMovimientos[SKU]=tblStock[[#This Row],[SKU]]),1),""))</f>
        <v/>
      </c>
      <c r="R178" s="61" t="str">
        <f ca="1">IF(OR(tblStock[[#This Row],[SKU]]="",tblStock[[#This Row],[UltimoMov]]=""),"",TODAY()-tblStock[[#This Row],[UltimoMov]])</f>
        <v/>
      </c>
    </row>
    <row r="179" spans="2:18" x14ac:dyDescent="0.25">
      <c r="B179" s="53" t="str">
        <f>IF('05_PRODUCTOS'!$B179="","",'05_PRODUCTOS'!$B179)</f>
        <v/>
      </c>
      <c r="C179" s="54" t="str">
        <f>IF($B179="","",'05_PRODUCTOS'!$C179)</f>
        <v/>
      </c>
      <c r="D179" s="54" t="str">
        <f>IF($B179="","",'05_PRODUCTOS'!$D179)</f>
        <v/>
      </c>
      <c r="E179" s="54" t="str">
        <f>IF($B179="","",'05_PRODUCTOS'!$I179&amp;"")</f>
        <v/>
      </c>
      <c r="F179" s="53" t="str">
        <f>IF($B179="","",'05_PRODUCTOS'!$E179)</f>
        <v/>
      </c>
      <c r="G179" s="53" t="str">
        <f>IF($B179="","",IF('05_PRODUCTOS'!$K179="NO","NO","SI"))</f>
        <v/>
      </c>
      <c r="H179" s="55" t="str">
        <f>IF(tblStock[[#This Row],[SKU]]="","",SUMIFS(tblMovimientos[CantidadNeta],tblMovimientos[SKU],tblStock[[#This Row],[SKU]],tblMovimientos[FactorStock],1))</f>
        <v/>
      </c>
      <c r="I179" s="55" t="str">
        <f>IF(tblStock[[#This Row],[SKU]]="","",-SUMIFS(tblMovimientos[CantidadNeta],tblMovimientos[SKU],tblStock[[#This Row],[SKU]],tblMovimientos[FactorStock],-1))</f>
        <v/>
      </c>
      <c r="J179" s="56" t="str">
        <f>IF(tblStock[[#This Row],[SKU]]="","",SUMIFS(tblMovimientos[CantidadNeta],tblMovimientos[SKU],tblStock[[#This Row],[SKU]]))</f>
        <v/>
      </c>
      <c r="K179" s="55" t="str">
        <f>IF($B179="","",N('05_PRODUCTOS'!$F179))</f>
        <v/>
      </c>
      <c r="L179" s="55" t="str">
        <f>IF($B179="","",N('05_PRODUCTOS'!$G179))</f>
        <v/>
      </c>
      <c r="M179" s="57" t="str">
        <f>IF(OR(tblStock[[#This Row],[SKU]]="",N(tblStock[[#This Row],[StockMax]])=0),"",MAX(0,tblStock[[#This Row],[StockActual]])/tblStock[[#This Row],[StockMax]])</f>
        <v/>
      </c>
      <c r="N17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79" s="59" t="str">
        <f>IF($B179="","",N('05_PRODUCTOS'!$H179))</f>
        <v/>
      </c>
      <c r="P179" s="59" t="str">
        <f>IF(tblStock[[#This Row],[SKU]]="","",MAX(0,tblStock[[#This Row],[StockActual]])*tblStock[[#This Row],[CostoUnitario]])</f>
        <v/>
      </c>
      <c r="Q179" s="60" t="str">
        <f>IF(tblStock[[#This Row],[SKU]]="","",IFERROR(_xlfn.AGGREGATE(14,6,tblMovimientos[Fecha]/(tblMovimientos[SKU]=tblStock[[#This Row],[SKU]]),1),""))</f>
        <v/>
      </c>
      <c r="R179" s="61" t="str">
        <f ca="1">IF(OR(tblStock[[#This Row],[SKU]]="",tblStock[[#This Row],[UltimoMov]]=""),"",TODAY()-tblStock[[#This Row],[UltimoMov]])</f>
        <v/>
      </c>
    </row>
    <row r="180" spans="2:18" x14ac:dyDescent="0.25">
      <c r="B180" s="53" t="str">
        <f>IF('05_PRODUCTOS'!$B180="","",'05_PRODUCTOS'!$B180)</f>
        <v/>
      </c>
      <c r="C180" s="54" t="str">
        <f>IF($B180="","",'05_PRODUCTOS'!$C180)</f>
        <v/>
      </c>
      <c r="D180" s="54" t="str">
        <f>IF($B180="","",'05_PRODUCTOS'!$D180)</f>
        <v/>
      </c>
      <c r="E180" s="54" t="str">
        <f>IF($B180="","",'05_PRODUCTOS'!$I180&amp;"")</f>
        <v/>
      </c>
      <c r="F180" s="53" t="str">
        <f>IF($B180="","",'05_PRODUCTOS'!$E180)</f>
        <v/>
      </c>
      <c r="G180" s="53" t="str">
        <f>IF($B180="","",IF('05_PRODUCTOS'!$K180="NO","NO","SI"))</f>
        <v/>
      </c>
      <c r="H180" s="55" t="str">
        <f>IF(tblStock[[#This Row],[SKU]]="","",SUMIFS(tblMovimientos[CantidadNeta],tblMovimientos[SKU],tblStock[[#This Row],[SKU]],tblMovimientos[FactorStock],1))</f>
        <v/>
      </c>
      <c r="I180" s="55" t="str">
        <f>IF(tblStock[[#This Row],[SKU]]="","",-SUMIFS(tblMovimientos[CantidadNeta],tblMovimientos[SKU],tblStock[[#This Row],[SKU]],tblMovimientos[FactorStock],-1))</f>
        <v/>
      </c>
      <c r="J180" s="56" t="str">
        <f>IF(tblStock[[#This Row],[SKU]]="","",SUMIFS(tblMovimientos[CantidadNeta],tblMovimientos[SKU],tblStock[[#This Row],[SKU]]))</f>
        <v/>
      </c>
      <c r="K180" s="55" t="str">
        <f>IF($B180="","",N('05_PRODUCTOS'!$F180))</f>
        <v/>
      </c>
      <c r="L180" s="55" t="str">
        <f>IF($B180="","",N('05_PRODUCTOS'!$G180))</f>
        <v/>
      </c>
      <c r="M180" s="57" t="str">
        <f>IF(OR(tblStock[[#This Row],[SKU]]="",N(tblStock[[#This Row],[StockMax]])=0),"",MAX(0,tblStock[[#This Row],[StockActual]])/tblStock[[#This Row],[StockMax]])</f>
        <v/>
      </c>
      <c r="N18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0" s="59" t="str">
        <f>IF($B180="","",N('05_PRODUCTOS'!$H180))</f>
        <v/>
      </c>
      <c r="P180" s="59" t="str">
        <f>IF(tblStock[[#This Row],[SKU]]="","",MAX(0,tblStock[[#This Row],[StockActual]])*tblStock[[#This Row],[CostoUnitario]])</f>
        <v/>
      </c>
      <c r="Q180" s="60" t="str">
        <f>IF(tblStock[[#This Row],[SKU]]="","",IFERROR(_xlfn.AGGREGATE(14,6,tblMovimientos[Fecha]/(tblMovimientos[SKU]=tblStock[[#This Row],[SKU]]),1),""))</f>
        <v/>
      </c>
      <c r="R180" s="61" t="str">
        <f ca="1">IF(OR(tblStock[[#This Row],[SKU]]="",tblStock[[#This Row],[UltimoMov]]=""),"",TODAY()-tblStock[[#This Row],[UltimoMov]])</f>
        <v/>
      </c>
    </row>
    <row r="181" spans="2:18" x14ac:dyDescent="0.25">
      <c r="B181" s="53" t="str">
        <f>IF('05_PRODUCTOS'!$B181="","",'05_PRODUCTOS'!$B181)</f>
        <v/>
      </c>
      <c r="C181" s="54" t="str">
        <f>IF($B181="","",'05_PRODUCTOS'!$C181)</f>
        <v/>
      </c>
      <c r="D181" s="54" t="str">
        <f>IF($B181="","",'05_PRODUCTOS'!$D181)</f>
        <v/>
      </c>
      <c r="E181" s="54" t="str">
        <f>IF($B181="","",'05_PRODUCTOS'!$I181&amp;"")</f>
        <v/>
      </c>
      <c r="F181" s="53" t="str">
        <f>IF($B181="","",'05_PRODUCTOS'!$E181)</f>
        <v/>
      </c>
      <c r="G181" s="53" t="str">
        <f>IF($B181="","",IF('05_PRODUCTOS'!$K181="NO","NO","SI"))</f>
        <v/>
      </c>
      <c r="H181" s="55" t="str">
        <f>IF(tblStock[[#This Row],[SKU]]="","",SUMIFS(tblMovimientos[CantidadNeta],tblMovimientos[SKU],tblStock[[#This Row],[SKU]],tblMovimientos[FactorStock],1))</f>
        <v/>
      </c>
      <c r="I181" s="55" t="str">
        <f>IF(tblStock[[#This Row],[SKU]]="","",-SUMIFS(tblMovimientos[CantidadNeta],tblMovimientos[SKU],tblStock[[#This Row],[SKU]],tblMovimientos[FactorStock],-1))</f>
        <v/>
      </c>
      <c r="J181" s="56" t="str">
        <f>IF(tblStock[[#This Row],[SKU]]="","",SUMIFS(tblMovimientos[CantidadNeta],tblMovimientos[SKU],tblStock[[#This Row],[SKU]]))</f>
        <v/>
      </c>
      <c r="K181" s="55" t="str">
        <f>IF($B181="","",N('05_PRODUCTOS'!$F181))</f>
        <v/>
      </c>
      <c r="L181" s="55" t="str">
        <f>IF($B181="","",N('05_PRODUCTOS'!$G181))</f>
        <v/>
      </c>
      <c r="M181" s="57" t="str">
        <f>IF(OR(tblStock[[#This Row],[SKU]]="",N(tblStock[[#This Row],[StockMax]])=0),"",MAX(0,tblStock[[#This Row],[StockActual]])/tblStock[[#This Row],[StockMax]])</f>
        <v/>
      </c>
      <c r="N18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1" s="59" t="str">
        <f>IF($B181="","",N('05_PRODUCTOS'!$H181))</f>
        <v/>
      </c>
      <c r="P181" s="59" t="str">
        <f>IF(tblStock[[#This Row],[SKU]]="","",MAX(0,tblStock[[#This Row],[StockActual]])*tblStock[[#This Row],[CostoUnitario]])</f>
        <v/>
      </c>
      <c r="Q181" s="60" t="str">
        <f>IF(tblStock[[#This Row],[SKU]]="","",IFERROR(_xlfn.AGGREGATE(14,6,tblMovimientos[Fecha]/(tblMovimientos[SKU]=tblStock[[#This Row],[SKU]]),1),""))</f>
        <v/>
      </c>
      <c r="R181" s="61" t="str">
        <f ca="1">IF(OR(tblStock[[#This Row],[SKU]]="",tblStock[[#This Row],[UltimoMov]]=""),"",TODAY()-tblStock[[#This Row],[UltimoMov]])</f>
        <v/>
      </c>
    </row>
    <row r="182" spans="2:18" x14ac:dyDescent="0.25">
      <c r="B182" s="53" t="str">
        <f>IF('05_PRODUCTOS'!$B182="","",'05_PRODUCTOS'!$B182)</f>
        <v/>
      </c>
      <c r="C182" s="54" t="str">
        <f>IF($B182="","",'05_PRODUCTOS'!$C182)</f>
        <v/>
      </c>
      <c r="D182" s="54" t="str">
        <f>IF($B182="","",'05_PRODUCTOS'!$D182)</f>
        <v/>
      </c>
      <c r="E182" s="54" t="str">
        <f>IF($B182="","",'05_PRODUCTOS'!$I182&amp;"")</f>
        <v/>
      </c>
      <c r="F182" s="53" t="str">
        <f>IF($B182="","",'05_PRODUCTOS'!$E182)</f>
        <v/>
      </c>
      <c r="G182" s="53" t="str">
        <f>IF($B182="","",IF('05_PRODUCTOS'!$K182="NO","NO","SI"))</f>
        <v/>
      </c>
      <c r="H182" s="55" t="str">
        <f>IF(tblStock[[#This Row],[SKU]]="","",SUMIFS(tblMovimientos[CantidadNeta],tblMovimientos[SKU],tblStock[[#This Row],[SKU]],tblMovimientos[FactorStock],1))</f>
        <v/>
      </c>
      <c r="I182" s="55" t="str">
        <f>IF(tblStock[[#This Row],[SKU]]="","",-SUMIFS(tblMovimientos[CantidadNeta],tblMovimientos[SKU],tblStock[[#This Row],[SKU]],tblMovimientos[FactorStock],-1))</f>
        <v/>
      </c>
      <c r="J182" s="56" t="str">
        <f>IF(tblStock[[#This Row],[SKU]]="","",SUMIFS(tblMovimientos[CantidadNeta],tblMovimientos[SKU],tblStock[[#This Row],[SKU]]))</f>
        <v/>
      </c>
      <c r="K182" s="55" t="str">
        <f>IF($B182="","",N('05_PRODUCTOS'!$F182))</f>
        <v/>
      </c>
      <c r="L182" s="55" t="str">
        <f>IF($B182="","",N('05_PRODUCTOS'!$G182))</f>
        <v/>
      </c>
      <c r="M182" s="57" t="str">
        <f>IF(OR(tblStock[[#This Row],[SKU]]="",N(tblStock[[#This Row],[StockMax]])=0),"",MAX(0,tblStock[[#This Row],[StockActual]])/tblStock[[#This Row],[StockMax]])</f>
        <v/>
      </c>
      <c r="N18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2" s="59" t="str">
        <f>IF($B182="","",N('05_PRODUCTOS'!$H182))</f>
        <v/>
      </c>
      <c r="P182" s="59" t="str">
        <f>IF(tblStock[[#This Row],[SKU]]="","",MAX(0,tblStock[[#This Row],[StockActual]])*tblStock[[#This Row],[CostoUnitario]])</f>
        <v/>
      </c>
      <c r="Q182" s="60" t="str">
        <f>IF(tblStock[[#This Row],[SKU]]="","",IFERROR(_xlfn.AGGREGATE(14,6,tblMovimientos[Fecha]/(tblMovimientos[SKU]=tblStock[[#This Row],[SKU]]),1),""))</f>
        <v/>
      </c>
      <c r="R182" s="61" t="str">
        <f ca="1">IF(OR(tblStock[[#This Row],[SKU]]="",tblStock[[#This Row],[UltimoMov]]=""),"",TODAY()-tblStock[[#This Row],[UltimoMov]])</f>
        <v/>
      </c>
    </row>
    <row r="183" spans="2:18" x14ac:dyDescent="0.25">
      <c r="B183" s="53" t="str">
        <f>IF('05_PRODUCTOS'!$B183="","",'05_PRODUCTOS'!$B183)</f>
        <v/>
      </c>
      <c r="C183" s="54" t="str">
        <f>IF($B183="","",'05_PRODUCTOS'!$C183)</f>
        <v/>
      </c>
      <c r="D183" s="54" t="str">
        <f>IF($B183="","",'05_PRODUCTOS'!$D183)</f>
        <v/>
      </c>
      <c r="E183" s="54" t="str">
        <f>IF($B183="","",'05_PRODUCTOS'!$I183&amp;"")</f>
        <v/>
      </c>
      <c r="F183" s="53" t="str">
        <f>IF($B183="","",'05_PRODUCTOS'!$E183)</f>
        <v/>
      </c>
      <c r="G183" s="53" t="str">
        <f>IF($B183="","",IF('05_PRODUCTOS'!$K183="NO","NO","SI"))</f>
        <v/>
      </c>
      <c r="H183" s="55" t="str">
        <f>IF(tblStock[[#This Row],[SKU]]="","",SUMIFS(tblMovimientos[CantidadNeta],tblMovimientos[SKU],tblStock[[#This Row],[SKU]],tblMovimientos[FactorStock],1))</f>
        <v/>
      </c>
      <c r="I183" s="55" t="str">
        <f>IF(tblStock[[#This Row],[SKU]]="","",-SUMIFS(tblMovimientos[CantidadNeta],tblMovimientos[SKU],tblStock[[#This Row],[SKU]],tblMovimientos[FactorStock],-1))</f>
        <v/>
      </c>
      <c r="J183" s="56" t="str">
        <f>IF(tblStock[[#This Row],[SKU]]="","",SUMIFS(tblMovimientos[CantidadNeta],tblMovimientos[SKU],tblStock[[#This Row],[SKU]]))</f>
        <v/>
      </c>
      <c r="K183" s="55" t="str">
        <f>IF($B183="","",N('05_PRODUCTOS'!$F183))</f>
        <v/>
      </c>
      <c r="L183" s="55" t="str">
        <f>IF($B183="","",N('05_PRODUCTOS'!$G183))</f>
        <v/>
      </c>
      <c r="M183" s="57" t="str">
        <f>IF(OR(tblStock[[#This Row],[SKU]]="",N(tblStock[[#This Row],[StockMax]])=0),"",MAX(0,tblStock[[#This Row],[StockActual]])/tblStock[[#This Row],[StockMax]])</f>
        <v/>
      </c>
      <c r="N18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3" s="59" t="str">
        <f>IF($B183="","",N('05_PRODUCTOS'!$H183))</f>
        <v/>
      </c>
      <c r="P183" s="59" t="str">
        <f>IF(tblStock[[#This Row],[SKU]]="","",MAX(0,tblStock[[#This Row],[StockActual]])*tblStock[[#This Row],[CostoUnitario]])</f>
        <v/>
      </c>
      <c r="Q183" s="60" t="str">
        <f>IF(tblStock[[#This Row],[SKU]]="","",IFERROR(_xlfn.AGGREGATE(14,6,tblMovimientos[Fecha]/(tblMovimientos[SKU]=tblStock[[#This Row],[SKU]]),1),""))</f>
        <v/>
      </c>
      <c r="R183" s="61" t="str">
        <f ca="1">IF(OR(tblStock[[#This Row],[SKU]]="",tblStock[[#This Row],[UltimoMov]]=""),"",TODAY()-tblStock[[#This Row],[UltimoMov]])</f>
        <v/>
      </c>
    </row>
    <row r="184" spans="2:18" x14ac:dyDescent="0.25">
      <c r="B184" s="53" t="str">
        <f>IF('05_PRODUCTOS'!$B184="","",'05_PRODUCTOS'!$B184)</f>
        <v/>
      </c>
      <c r="C184" s="54" t="str">
        <f>IF($B184="","",'05_PRODUCTOS'!$C184)</f>
        <v/>
      </c>
      <c r="D184" s="54" t="str">
        <f>IF($B184="","",'05_PRODUCTOS'!$D184)</f>
        <v/>
      </c>
      <c r="E184" s="54" t="str">
        <f>IF($B184="","",'05_PRODUCTOS'!$I184&amp;"")</f>
        <v/>
      </c>
      <c r="F184" s="53" t="str">
        <f>IF($B184="","",'05_PRODUCTOS'!$E184)</f>
        <v/>
      </c>
      <c r="G184" s="53" t="str">
        <f>IF($B184="","",IF('05_PRODUCTOS'!$K184="NO","NO","SI"))</f>
        <v/>
      </c>
      <c r="H184" s="55" t="str">
        <f>IF(tblStock[[#This Row],[SKU]]="","",SUMIFS(tblMovimientos[CantidadNeta],tblMovimientos[SKU],tblStock[[#This Row],[SKU]],tblMovimientos[FactorStock],1))</f>
        <v/>
      </c>
      <c r="I184" s="55" t="str">
        <f>IF(tblStock[[#This Row],[SKU]]="","",-SUMIFS(tblMovimientos[CantidadNeta],tblMovimientos[SKU],tblStock[[#This Row],[SKU]],tblMovimientos[FactorStock],-1))</f>
        <v/>
      </c>
      <c r="J184" s="56" t="str">
        <f>IF(tblStock[[#This Row],[SKU]]="","",SUMIFS(tblMovimientos[CantidadNeta],tblMovimientos[SKU],tblStock[[#This Row],[SKU]]))</f>
        <v/>
      </c>
      <c r="K184" s="55" t="str">
        <f>IF($B184="","",N('05_PRODUCTOS'!$F184))</f>
        <v/>
      </c>
      <c r="L184" s="55" t="str">
        <f>IF($B184="","",N('05_PRODUCTOS'!$G184))</f>
        <v/>
      </c>
      <c r="M184" s="57" t="str">
        <f>IF(OR(tblStock[[#This Row],[SKU]]="",N(tblStock[[#This Row],[StockMax]])=0),"",MAX(0,tblStock[[#This Row],[StockActual]])/tblStock[[#This Row],[StockMax]])</f>
        <v/>
      </c>
      <c r="N18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4" s="59" t="str">
        <f>IF($B184="","",N('05_PRODUCTOS'!$H184))</f>
        <v/>
      </c>
      <c r="P184" s="59" t="str">
        <f>IF(tblStock[[#This Row],[SKU]]="","",MAX(0,tblStock[[#This Row],[StockActual]])*tblStock[[#This Row],[CostoUnitario]])</f>
        <v/>
      </c>
      <c r="Q184" s="60" t="str">
        <f>IF(tblStock[[#This Row],[SKU]]="","",IFERROR(_xlfn.AGGREGATE(14,6,tblMovimientos[Fecha]/(tblMovimientos[SKU]=tblStock[[#This Row],[SKU]]),1),""))</f>
        <v/>
      </c>
      <c r="R184" s="61" t="str">
        <f ca="1">IF(OR(tblStock[[#This Row],[SKU]]="",tblStock[[#This Row],[UltimoMov]]=""),"",TODAY()-tblStock[[#This Row],[UltimoMov]])</f>
        <v/>
      </c>
    </row>
    <row r="185" spans="2:18" x14ac:dyDescent="0.25">
      <c r="B185" s="53" t="str">
        <f>IF('05_PRODUCTOS'!$B185="","",'05_PRODUCTOS'!$B185)</f>
        <v/>
      </c>
      <c r="C185" s="54" t="str">
        <f>IF($B185="","",'05_PRODUCTOS'!$C185)</f>
        <v/>
      </c>
      <c r="D185" s="54" t="str">
        <f>IF($B185="","",'05_PRODUCTOS'!$D185)</f>
        <v/>
      </c>
      <c r="E185" s="54" t="str">
        <f>IF($B185="","",'05_PRODUCTOS'!$I185&amp;"")</f>
        <v/>
      </c>
      <c r="F185" s="53" t="str">
        <f>IF($B185="","",'05_PRODUCTOS'!$E185)</f>
        <v/>
      </c>
      <c r="G185" s="53" t="str">
        <f>IF($B185="","",IF('05_PRODUCTOS'!$K185="NO","NO","SI"))</f>
        <v/>
      </c>
      <c r="H185" s="55" t="str">
        <f>IF(tblStock[[#This Row],[SKU]]="","",SUMIFS(tblMovimientos[CantidadNeta],tblMovimientos[SKU],tblStock[[#This Row],[SKU]],tblMovimientos[FactorStock],1))</f>
        <v/>
      </c>
      <c r="I185" s="55" t="str">
        <f>IF(tblStock[[#This Row],[SKU]]="","",-SUMIFS(tblMovimientos[CantidadNeta],tblMovimientos[SKU],tblStock[[#This Row],[SKU]],tblMovimientos[FactorStock],-1))</f>
        <v/>
      </c>
      <c r="J185" s="56" t="str">
        <f>IF(tblStock[[#This Row],[SKU]]="","",SUMIFS(tblMovimientos[CantidadNeta],tblMovimientos[SKU],tblStock[[#This Row],[SKU]]))</f>
        <v/>
      </c>
      <c r="K185" s="55" t="str">
        <f>IF($B185="","",N('05_PRODUCTOS'!$F185))</f>
        <v/>
      </c>
      <c r="L185" s="55" t="str">
        <f>IF($B185="","",N('05_PRODUCTOS'!$G185))</f>
        <v/>
      </c>
      <c r="M185" s="57" t="str">
        <f>IF(OR(tblStock[[#This Row],[SKU]]="",N(tblStock[[#This Row],[StockMax]])=0),"",MAX(0,tblStock[[#This Row],[StockActual]])/tblStock[[#This Row],[StockMax]])</f>
        <v/>
      </c>
      <c r="N18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5" s="59" t="str">
        <f>IF($B185="","",N('05_PRODUCTOS'!$H185))</f>
        <v/>
      </c>
      <c r="P185" s="59" t="str">
        <f>IF(tblStock[[#This Row],[SKU]]="","",MAX(0,tblStock[[#This Row],[StockActual]])*tblStock[[#This Row],[CostoUnitario]])</f>
        <v/>
      </c>
      <c r="Q185" s="60" t="str">
        <f>IF(tblStock[[#This Row],[SKU]]="","",IFERROR(_xlfn.AGGREGATE(14,6,tblMovimientos[Fecha]/(tblMovimientos[SKU]=tblStock[[#This Row],[SKU]]),1),""))</f>
        <v/>
      </c>
      <c r="R185" s="61" t="str">
        <f ca="1">IF(OR(tblStock[[#This Row],[SKU]]="",tblStock[[#This Row],[UltimoMov]]=""),"",TODAY()-tblStock[[#This Row],[UltimoMov]])</f>
        <v/>
      </c>
    </row>
    <row r="186" spans="2:18" x14ac:dyDescent="0.25">
      <c r="B186" s="53" t="str">
        <f>IF('05_PRODUCTOS'!$B186="","",'05_PRODUCTOS'!$B186)</f>
        <v/>
      </c>
      <c r="C186" s="54" t="str">
        <f>IF($B186="","",'05_PRODUCTOS'!$C186)</f>
        <v/>
      </c>
      <c r="D186" s="54" t="str">
        <f>IF($B186="","",'05_PRODUCTOS'!$D186)</f>
        <v/>
      </c>
      <c r="E186" s="54" t="str">
        <f>IF($B186="","",'05_PRODUCTOS'!$I186&amp;"")</f>
        <v/>
      </c>
      <c r="F186" s="53" t="str">
        <f>IF($B186="","",'05_PRODUCTOS'!$E186)</f>
        <v/>
      </c>
      <c r="G186" s="53" t="str">
        <f>IF($B186="","",IF('05_PRODUCTOS'!$K186="NO","NO","SI"))</f>
        <v/>
      </c>
      <c r="H186" s="55" t="str">
        <f>IF(tblStock[[#This Row],[SKU]]="","",SUMIFS(tblMovimientos[CantidadNeta],tblMovimientos[SKU],tblStock[[#This Row],[SKU]],tblMovimientos[FactorStock],1))</f>
        <v/>
      </c>
      <c r="I186" s="55" t="str">
        <f>IF(tblStock[[#This Row],[SKU]]="","",-SUMIFS(tblMovimientos[CantidadNeta],tblMovimientos[SKU],tblStock[[#This Row],[SKU]],tblMovimientos[FactorStock],-1))</f>
        <v/>
      </c>
      <c r="J186" s="56" t="str">
        <f>IF(tblStock[[#This Row],[SKU]]="","",SUMIFS(tblMovimientos[CantidadNeta],tblMovimientos[SKU],tblStock[[#This Row],[SKU]]))</f>
        <v/>
      </c>
      <c r="K186" s="55" t="str">
        <f>IF($B186="","",N('05_PRODUCTOS'!$F186))</f>
        <v/>
      </c>
      <c r="L186" s="55" t="str">
        <f>IF($B186="","",N('05_PRODUCTOS'!$G186))</f>
        <v/>
      </c>
      <c r="M186" s="57" t="str">
        <f>IF(OR(tblStock[[#This Row],[SKU]]="",N(tblStock[[#This Row],[StockMax]])=0),"",MAX(0,tblStock[[#This Row],[StockActual]])/tblStock[[#This Row],[StockMax]])</f>
        <v/>
      </c>
      <c r="N18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6" s="59" t="str">
        <f>IF($B186="","",N('05_PRODUCTOS'!$H186))</f>
        <v/>
      </c>
      <c r="P186" s="59" t="str">
        <f>IF(tblStock[[#This Row],[SKU]]="","",MAX(0,tblStock[[#This Row],[StockActual]])*tblStock[[#This Row],[CostoUnitario]])</f>
        <v/>
      </c>
      <c r="Q186" s="60" t="str">
        <f>IF(tblStock[[#This Row],[SKU]]="","",IFERROR(_xlfn.AGGREGATE(14,6,tblMovimientos[Fecha]/(tblMovimientos[SKU]=tblStock[[#This Row],[SKU]]),1),""))</f>
        <v/>
      </c>
      <c r="R186" s="61" t="str">
        <f ca="1">IF(OR(tblStock[[#This Row],[SKU]]="",tblStock[[#This Row],[UltimoMov]]=""),"",TODAY()-tblStock[[#This Row],[UltimoMov]])</f>
        <v/>
      </c>
    </row>
    <row r="187" spans="2:18" x14ac:dyDescent="0.25">
      <c r="B187" s="53" t="str">
        <f>IF('05_PRODUCTOS'!$B187="","",'05_PRODUCTOS'!$B187)</f>
        <v/>
      </c>
      <c r="C187" s="54" t="str">
        <f>IF($B187="","",'05_PRODUCTOS'!$C187)</f>
        <v/>
      </c>
      <c r="D187" s="54" t="str">
        <f>IF($B187="","",'05_PRODUCTOS'!$D187)</f>
        <v/>
      </c>
      <c r="E187" s="54" t="str">
        <f>IF($B187="","",'05_PRODUCTOS'!$I187&amp;"")</f>
        <v/>
      </c>
      <c r="F187" s="53" t="str">
        <f>IF($B187="","",'05_PRODUCTOS'!$E187)</f>
        <v/>
      </c>
      <c r="G187" s="53" t="str">
        <f>IF($B187="","",IF('05_PRODUCTOS'!$K187="NO","NO","SI"))</f>
        <v/>
      </c>
      <c r="H187" s="55" t="str">
        <f>IF(tblStock[[#This Row],[SKU]]="","",SUMIFS(tblMovimientos[CantidadNeta],tblMovimientos[SKU],tblStock[[#This Row],[SKU]],tblMovimientos[FactorStock],1))</f>
        <v/>
      </c>
      <c r="I187" s="55" t="str">
        <f>IF(tblStock[[#This Row],[SKU]]="","",-SUMIFS(tblMovimientos[CantidadNeta],tblMovimientos[SKU],tblStock[[#This Row],[SKU]],tblMovimientos[FactorStock],-1))</f>
        <v/>
      </c>
      <c r="J187" s="56" t="str">
        <f>IF(tblStock[[#This Row],[SKU]]="","",SUMIFS(tblMovimientos[CantidadNeta],tblMovimientos[SKU],tblStock[[#This Row],[SKU]]))</f>
        <v/>
      </c>
      <c r="K187" s="55" t="str">
        <f>IF($B187="","",N('05_PRODUCTOS'!$F187))</f>
        <v/>
      </c>
      <c r="L187" s="55" t="str">
        <f>IF($B187="","",N('05_PRODUCTOS'!$G187))</f>
        <v/>
      </c>
      <c r="M187" s="57" t="str">
        <f>IF(OR(tblStock[[#This Row],[SKU]]="",N(tblStock[[#This Row],[StockMax]])=0),"",MAX(0,tblStock[[#This Row],[StockActual]])/tblStock[[#This Row],[StockMax]])</f>
        <v/>
      </c>
      <c r="N18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7" s="59" t="str">
        <f>IF($B187="","",N('05_PRODUCTOS'!$H187))</f>
        <v/>
      </c>
      <c r="P187" s="59" t="str">
        <f>IF(tblStock[[#This Row],[SKU]]="","",MAX(0,tblStock[[#This Row],[StockActual]])*tblStock[[#This Row],[CostoUnitario]])</f>
        <v/>
      </c>
      <c r="Q187" s="60" t="str">
        <f>IF(tblStock[[#This Row],[SKU]]="","",IFERROR(_xlfn.AGGREGATE(14,6,tblMovimientos[Fecha]/(tblMovimientos[SKU]=tblStock[[#This Row],[SKU]]),1),""))</f>
        <v/>
      </c>
      <c r="R187" s="61" t="str">
        <f ca="1">IF(OR(tblStock[[#This Row],[SKU]]="",tblStock[[#This Row],[UltimoMov]]=""),"",TODAY()-tblStock[[#This Row],[UltimoMov]])</f>
        <v/>
      </c>
    </row>
    <row r="188" spans="2:18" x14ac:dyDescent="0.25">
      <c r="B188" s="53" t="str">
        <f>IF('05_PRODUCTOS'!$B188="","",'05_PRODUCTOS'!$B188)</f>
        <v/>
      </c>
      <c r="C188" s="54" t="str">
        <f>IF($B188="","",'05_PRODUCTOS'!$C188)</f>
        <v/>
      </c>
      <c r="D188" s="54" t="str">
        <f>IF($B188="","",'05_PRODUCTOS'!$D188)</f>
        <v/>
      </c>
      <c r="E188" s="54" t="str">
        <f>IF($B188="","",'05_PRODUCTOS'!$I188&amp;"")</f>
        <v/>
      </c>
      <c r="F188" s="53" t="str">
        <f>IF($B188="","",'05_PRODUCTOS'!$E188)</f>
        <v/>
      </c>
      <c r="G188" s="53" t="str">
        <f>IF($B188="","",IF('05_PRODUCTOS'!$K188="NO","NO","SI"))</f>
        <v/>
      </c>
      <c r="H188" s="55" t="str">
        <f>IF(tblStock[[#This Row],[SKU]]="","",SUMIFS(tblMovimientos[CantidadNeta],tblMovimientos[SKU],tblStock[[#This Row],[SKU]],tblMovimientos[FactorStock],1))</f>
        <v/>
      </c>
      <c r="I188" s="55" t="str">
        <f>IF(tblStock[[#This Row],[SKU]]="","",-SUMIFS(tblMovimientos[CantidadNeta],tblMovimientos[SKU],tblStock[[#This Row],[SKU]],tblMovimientos[FactorStock],-1))</f>
        <v/>
      </c>
      <c r="J188" s="56" t="str">
        <f>IF(tblStock[[#This Row],[SKU]]="","",SUMIFS(tblMovimientos[CantidadNeta],tblMovimientos[SKU],tblStock[[#This Row],[SKU]]))</f>
        <v/>
      </c>
      <c r="K188" s="55" t="str">
        <f>IF($B188="","",N('05_PRODUCTOS'!$F188))</f>
        <v/>
      </c>
      <c r="L188" s="55" t="str">
        <f>IF($B188="","",N('05_PRODUCTOS'!$G188))</f>
        <v/>
      </c>
      <c r="M188" s="57" t="str">
        <f>IF(OR(tblStock[[#This Row],[SKU]]="",N(tblStock[[#This Row],[StockMax]])=0),"",MAX(0,tblStock[[#This Row],[StockActual]])/tblStock[[#This Row],[StockMax]])</f>
        <v/>
      </c>
      <c r="N18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8" s="59" t="str">
        <f>IF($B188="","",N('05_PRODUCTOS'!$H188))</f>
        <v/>
      </c>
      <c r="P188" s="59" t="str">
        <f>IF(tblStock[[#This Row],[SKU]]="","",MAX(0,tblStock[[#This Row],[StockActual]])*tblStock[[#This Row],[CostoUnitario]])</f>
        <v/>
      </c>
      <c r="Q188" s="60" t="str">
        <f>IF(tblStock[[#This Row],[SKU]]="","",IFERROR(_xlfn.AGGREGATE(14,6,tblMovimientos[Fecha]/(tblMovimientos[SKU]=tblStock[[#This Row],[SKU]]),1),""))</f>
        <v/>
      </c>
      <c r="R188" s="61" t="str">
        <f ca="1">IF(OR(tblStock[[#This Row],[SKU]]="",tblStock[[#This Row],[UltimoMov]]=""),"",TODAY()-tblStock[[#This Row],[UltimoMov]])</f>
        <v/>
      </c>
    </row>
    <row r="189" spans="2:18" x14ac:dyDescent="0.25">
      <c r="B189" s="53" t="str">
        <f>IF('05_PRODUCTOS'!$B189="","",'05_PRODUCTOS'!$B189)</f>
        <v/>
      </c>
      <c r="C189" s="54" t="str">
        <f>IF($B189="","",'05_PRODUCTOS'!$C189)</f>
        <v/>
      </c>
      <c r="D189" s="54" t="str">
        <f>IF($B189="","",'05_PRODUCTOS'!$D189)</f>
        <v/>
      </c>
      <c r="E189" s="54" t="str">
        <f>IF($B189="","",'05_PRODUCTOS'!$I189&amp;"")</f>
        <v/>
      </c>
      <c r="F189" s="53" t="str">
        <f>IF($B189="","",'05_PRODUCTOS'!$E189)</f>
        <v/>
      </c>
      <c r="G189" s="53" t="str">
        <f>IF($B189="","",IF('05_PRODUCTOS'!$K189="NO","NO","SI"))</f>
        <v/>
      </c>
      <c r="H189" s="55" t="str">
        <f>IF(tblStock[[#This Row],[SKU]]="","",SUMIFS(tblMovimientos[CantidadNeta],tblMovimientos[SKU],tblStock[[#This Row],[SKU]],tblMovimientos[FactorStock],1))</f>
        <v/>
      </c>
      <c r="I189" s="55" t="str">
        <f>IF(tblStock[[#This Row],[SKU]]="","",-SUMIFS(tblMovimientos[CantidadNeta],tblMovimientos[SKU],tblStock[[#This Row],[SKU]],tblMovimientos[FactorStock],-1))</f>
        <v/>
      </c>
      <c r="J189" s="56" t="str">
        <f>IF(tblStock[[#This Row],[SKU]]="","",SUMIFS(tblMovimientos[CantidadNeta],tblMovimientos[SKU],tblStock[[#This Row],[SKU]]))</f>
        <v/>
      </c>
      <c r="K189" s="55" t="str">
        <f>IF($B189="","",N('05_PRODUCTOS'!$F189))</f>
        <v/>
      </c>
      <c r="L189" s="55" t="str">
        <f>IF($B189="","",N('05_PRODUCTOS'!$G189))</f>
        <v/>
      </c>
      <c r="M189" s="57" t="str">
        <f>IF(OR(tblStock[[#This Row],[SKU]]="",N(tblStock[[#This Row],[StockMax]])=0),"",MAX(0,tblStock[[#This Row],[StockActual]])/tblStock[[#This Row],[StockMax]])</f>
        <v/>
      </c>
      <c r="N18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89" s="59" t="str">
        <f>IF($B189="","",N('05_PRODUCTOS'!$H189))</f>
        <v/>
      </c>
      <c r="P189" s="59" t="str">
        <f>IF(tblStock[[#This Row],[SKU]]="","",MAX(0,tblStock[[#This Row],[StockActual]])*tblStock[[#This Row],[CostoUnitario]])</f>
        <v/>
      </c>
      <c r="Q189" s="60" t="str">
        <f>IF(tblStock[[#This Row],[SKU]]="","",IFERROR(_xlfn.AGGREGATE(14,6,tblMovimientos[Fecha]/(tblMovimientos[SKU]=tblStock[[#This Row],[SKU]]),1),""))</f>
        <v/>
      </c>
      <c r="R189" s="61" t="str">
        <f ca="1">IF(OR(tblStock[[#This Row],[SKU]]="",tblStock[[#This Row],[UltimoMov]]=""),"",TODAY()-tblStock[[#This Row],[UltimoMov]])</f>
        <v/>
      </c>
    </row>
    <row r="190" spans="2:18" x14ac:dyDescent="0.25">
      <c r="B190" s="53" t="str">
        <f>IF('05_PRODUCTOS'!$B190="","",'05_PRODUCTOS'!$B190)</f>
        <v/>
      </c>
      <c r="C190" s="54" t="str">
        <f>IF($B190="","",'05_PRODUCTOS'!$C190)</f>
        <v/>
      </c>
      <c r="D190" s="54" t="str">
        <f>IF($B190="","",'05_PRODUCTOS'!$D190)</f>
        <v/>
      </c>
      <c r="E190" s="54" t="str">
        <f>IF($B190="","",'05_PRODUCTOS'!$I190&amp;"")</f>
        <v/>
      </c>
      <c r="F190" s="53" t="str">
        <f>IF($B190="","",'05_PRODUCTOS'!$E190)</f>
        <v/>
      </c>
      <c r="G190" s="53" t="str">
        <f>IF($B190="","",IF('05_PRODUCTOS'!$K190="NO","NO","SI"))</f>
        <v/>
      </c>
      <c r="H190" s="55" t="str">
        <f>IF(tblStock[[#This Row],[SKU]]="","",SUMIFS(tblMovimientos[CantidadNeta],tblMovimientos[SKU],tblStock[[#This Row],[SKU]],tblMovimientos[FactorStock],1))</f>
        <v/>
      </c>
      <c r="I190" s="55" t="str">
        <f>IF(tblStock[[#This Row],[SKU]]="","",-SUMIFS(tblMovimientos[CantidadNeta],tblMovimientos[SKU],tblStock[[#This Row],[SKU]],tblMovimientos[FactorStock],-1))</f>
        <v/>
      </c>
      <c r="J190" s="56" t="str">
        <f>IF(tblStock[[#This Row],[SKU]]="","",SUMIFS(tblMovimientos[CantidadNeta],tblMovimientos[SKU],tblStock[[#This Row],[SKU]]))</f>
        <v/>
      </c>
      <c r="K190" s="55" t="str">
        <f>IF($B190="","",N('05_PRODUCTOS'!$F190))</f>
        <v/>
      </c>
      <c r="L190" s="55" t="str">
        <f>IF($B190="","",N('05_PRODUCTOS'!$G190))</f>
        <v/>
      </c>
      <c r="M190" s="57" t="str">
        <f>IF(OR(tblStock[[#This Row],[SKU]]="",N(tblStock[[#This Row],[StockMax]])=0),"",MAX(0,tblStock[[#This Row],[StockActual]])/tblStock[[#This Row],[StockMax]])</f>
        <v/>
      </c>
      <c r="N19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0" s="59" t="str">
        <f>IF($B190="","",N('05_PRODUCTOS'!$H190))</f>
        <v/>
      </c>
      <c r="P190" s="59" t="str">
        <f>IF(tblStock[[#This Row],[SKU]]="","",MAX(0,tblStock[[#This Row],[StockActual]])*tblStock[[#This Row],[CostoUnitario]])</f>
        <v/>
      </c>
      <c r="Q190" s="60" t="str">
        <f>IF(tblStock[[#This Row],[SKU]]="","",IFERROR(_xlfn.AGGREGATE(14,6,tblMovimientos[Fecha]/(tblMovimientos[SKU]=tblStock[[#This Row],[SKU]]),1),""))</f>
        <v/>
      </c>
      <c r="R190" s="61" t="str">
        <f ca="1">IF(OR(tblStock[[#This Row],[SKU]]="",tblStock[[#This Row],[UltimoMov]]=""),"",TODAY()-tblStock[[#This Row],[UltimoMov]])</f>
        <v/>
      </c>
    </row>
    <row r="191" spans="2:18" x14ac:dyDescent="0.25">
      <c r="B191" s="53" t="str">
        <f>IF('05_PRODUCTOS'!$B191="","",'05_PRODUCTOS'!$B191)</f>
        <v/>
      </c>
      <c r="C191" s="54" t="str">
        <f>IF($B191="","",'05_PRODUCTOS'!$C191)</f>
        <v/>
      </c>
      <c r="D191" s="54" t="str">
        <f>IF($B191="","",'05_PRODUCTOS'!$D191)</f>
        <v/>
      </c>
      <c r="E191" s="54" t="str">
        <f>IF($B191="","",'05_PRODUCTOS'!$I191&amp;"")</f>
        <v/>
      </c>
      <c r="F191" s="53" t="str">
        <f>IF($B191="","",'05_PRODUCTOS'!$E191)</f>
        <v/>
      </c>
      <c r="G191" s="53" t="str">
        <f>IF($B191="","",IF('05_PRODUCTOS'!$K191="NO","NO","SI"))</f>
        <v/>
      </c>
      <c r="H191" s="55" t="str">
        <f>IF(tblStock[[#This Row],[SKU]]="","",SUMIFS(tblMovimientos[CantidadNeta],tblMovimientos[SKU],tblStock[[#This Row],[SKU]],tblMovimientos[FactorStock],1))</f>
        <v/>
      </c>
      <c r="I191" s="55" t="str">
        <f>IF(tblStock[[#This Row],[SKU]]="","",-SUMIFS(tblMovimientos[CantidadNeta],tblMovimientos[SKU],tblStock[[#This Row],[SKU]],tblMovimientos[FactorStock],-1))</f>
        <v/>
      </c>
      <c r="J191" s="56" t="str">
        <f>IF(tblStock[[#This Row],[SKU]]="","",SUMIFS(tblMovimientos[CantidadNeta],tblMovimientos[SKU],tblStock[[#This Row],[SKU]]))</f>
        <v/>
      </c>
      <c r="K191" s="55" t="str">
        <f>IF($B191="","",N('05_PRODUCTOS'!$F191))</f>
        <v/>
      </c>
      <c r="L191" s="55" t="str">
        <f>IF($B191="","",N('05_PRODUCTOS'!$G191))</f>
        <v/>
      </c>
      <c r="M191" s="57" t="str">
        <f>IF(OR(tblStock[[#This Row],[SKU]]="",N(tblStock[[#This Row],[StockMax]])=0),"",MAX(0,tblStock[[#This Row],[StockActual]])/tblStock[[#This Row],[StockMax]])</f>
        <v/>
      </c>
      <c r="N19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1" s="59" t="str">
        <f>IF($B191="","",N('05_PRODUCTOS'!$H191))</f>
        <v/>
      </c>
      <c r="P191" s="59" t="str">
        <f>IF(tblStock[[#This Row],[SKU]]="","",MAX(0,tblStock[[#This Row],[StockActual]])*tblStock[[#This Row],[CostoUnitario]])</f>
        <v/>
      </c>
      <c r="Q191" s="60" t="str">
        <f>IF(tblStock[[#This Row],[SKU]]="","",IFERROR(_xlfn.AGGREGATE(14,6,tblMovimientos[Fecha]/(tblMovimientos[SKU]=tblStock[[#This Row],[SKU]]),1),""))</f>
        <v/>
      </c>
      <c r="R191" s="61" t="str">
        <f ca="1">IF(OR(tblStock[[#This Row],[SKU]]="",tblStock[[#This Row],[UltimoMov]]=""),"",TODAY()-tblStock[[#This Row],[UltimoMov]])</f>
        <v/>
      </c>
    </row>
    <row r="192" spans="2:18" x14ac:dyDescent="0.25">
      <c r="B192" s="53" t="str">
        <f>IF('05_PRODUCTOS'!$B192="","",'05_PRODUCTOS'!$B192)</f>
        <v/>
      </c>
      <c r="C192" s="54" t="str">
        <f>IF($B192="","",'05_PRODUCTOS'!$C192)</f>
        <v/>
      </c>
      <c r="D192" s="54" t="str">
        <f>IF($B192="","",'05_PRODUCTOS'!$D192)</f>
        <v/>
      </c>
      <c r="E192" s="54" t="str">
        <f>IF($B192="","",'05_PRODUCTOS'!$I192&amp;"")</f>
        <v/>
      </c>
      <c r="F192" s="53" t="str">
        <f>IF($B192="","",'05_PRODUCTOS'!$E192)</f>
        <v/>
      </c>
      <c r="G192" s="53" t="str">
        <f>IF($B192="","",IF('05_PRODUCTOS'!$K192="NO","NO","SI"))</f>
        <v/>
      </c>
      <c r="H192" s="55" t="str">
        <f>IF(tblStock[[#This Row],[SKU]]="","",SUMIFS(tblMovimientos[CantidadNeta],tblMovimientos[SKU],tblStock[[#This Row],[SKU]],tblMovimientos[FactorStock],1))</f>
        <v/>
      </c>
      <c r="I192" s="55" t="str">
        <f>IF(tblStock[[#This Row],[SKU]]="","",-SUMIFS(tblMovimientos[CantidadNeta],tblMovimientos[SKU],tblStock[[#This Row],[SKU]],tblMovimientos[FactorStock],-1))</f>
        <v/>
      </c>
      <c r="J192" s="56" t="str">
        <f>IF(tblStock[[#This Row],[SKU]]="","",SUMIFS(tblMovimientos[CantidadNeta],tblMovimientos[SKU],tblStock[[#This Row],[SKU]]))</f>
        <v/>
      </c>
      <c r="K192" s="55" t="str">
        <f>IF($B192="","",N('05_PRODUCTOS'!$F192))</f>
        <v/>
      </c>
      <c r="L192" s="55" t="str">
        <f>IF($B192="","",N('05_PRODUCTOS'!$G192))</f>
        <v/>
      </c>
      <c r="M192" s="57" t="str">
        <f>IF(OR(tblStock[[#This Row],[SKU]]="",N(tblStock[[#This Row],[StockMax]])=0),"",MAX(0,tblStock[[#This Row],[StockActual]])/tblStock[[#This Row],[StockMax]])</f>
        <v/>
      </c>
      <c r="N19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2" s="59" t="str">
        <f>IF($B192="","",N('05_PRODUCTOS'!$H192))</f>
        <v/>
      </c>
      <c r="P192" s="59" t="str">
        <f>IF(tblStock[[#This Row],[SKU]]="","",MAX(0,tblStock[[#This Row],[StockActual]])*tblStock[[#This Row],[CostoUnitario]])</f>
        <v/>
      </c>
      <c r="Q192" s="60" t="str">
        <f>IF(tblStock[[#This Row],[SKU]]="","",IFERROR(_xlfn.AGGREGATE(14,6,tblMovimientos[Fecha]/(tblMovimientos[SKU]=tblStock[[#This Row],[SKU]]),1),""))</f>
        <v/>
      </c>
      <c r="R192" s="61" t="str">
        <f ca="1">IF(OR(tblStock[[#This Row],[SKU]]="",tblStock[[#This Row],[UltimoMov]]=""),"",TODAY()-tblStock[[#This Row],[UltimoMov]])</f>
        <v/>
      </c>
    </row>
    <row r="193" spans="2:18" x14ac:dyDescent="0.25">
      <c r="B193" s="53" t="str">
        <f>IF('05_PRODUCTOS'!$B193="","",'05_PRODUCTOS'!$B193)</f>
        <v/>
      </c>
      <c r="C193" s="54" t="str">
        <f>IF($B193="","",'05_PRODUCTOS'!$C193)</f>
        <v/>
      </c>
      <c r="D193" s="54" t="str">
        <f>IF($B193="","",'05_PRODUCTOS'!$D193)</f>
        <v/>
      </c>
      <c r="E193" s="54" t="str">
        <f>IF($B193="","",'05_PRODUCTOS'!$I193&amp;"")</f>
        <v/>
      </c>
      <c r="F193" s="53" t="str">
        <f>IF($B193="","",'05_PRODUCTOS'!$E193)</f>
        <v/>
      </c>
      <c r="G193" s="53" t="str">
        <f>IF($B193="","",IF('05_PRODUCTOS'!$K193="NO","NO","SI"))</f>
        <v/>
      </c>
      <c r="H193" s="55" t="str">
        <f>IF(tblStock[[#This Row],[SKU]]="","",SUMIFS(tblMovimientos[CantidadNeta],tblMovimientos[SKU],tblStock[[#This Row],[SKU]],tblMovimientos[FactorStock],1))</f>
        <v/>
      </c>
      <c r="I193" s="55" t="str">
        <f>IF(tblStock[[#This Row],[SKU]]="","",-SUMIFS(tblMovimientos[CantidadNeta],tblMovimientos[SKU],tblStock[[#This Row],[SKU]],tblMovimientos[FactorStock],-1))</f>
        <v/>
      </c>
      <c r="J193" s="56" t="str">
        <f>IF(tblStock[[#This Row],[SKU]]="","",SUMIFS(tblMovimientos[CantidadNeta],tblMovimientos[SKU],tblStock[[#This Row],[SKU]]))</f>
        <v/>
      </c>
      <c r="K193" s="55" t="str">
        <f>IF($B193="","",N('05_PRODUCTOS'!$F193))</f>
        <v/>
      </c>
      <c r="L193" s="55" t="str">
        <f>IF($B193="","",N('05_PRODUCTOS'!$G193))</f>
        <v/>
      </c>
      <c r="M193" s="57" t="str">
        <f>IF(OR(tblStock[[#This Row],[SKU]]="",N(tblStock[[#This Row],[StockMax]])=0),"",MAX(0,tblStock[[#This Row],[StockActual]])/tblStock[[#This Row],[StockMax]])</f>
        <v/>
      </c>
      <c r="N19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3" s="59" t="str">
        <f>IF($B193="","",N('05_PRODUCTOS'!$H193))</f>
        <v/>
      </c>
      <c r="P193" s="59" t="str">
        <f>IF(tblStock[[#This Row],[SKU]]="","",MAX(0,tblStock[[#This Row],[StockActual]])*tblStock[[#This Row],[CostoUnitario]])</f>
        <v/>
      </c>
      <c r="Q193" s="60" t="str">
        <f>IF(tblStock[[#This Row],[SKU]]="","",IFERROR(_xlfn.AGGREGATE(14,6,tblMovimientos[Fecha]/(tblMovimientos[SKU]=tblStock[[#This Row],[SKU]]),1),""))</f>
        <v/>
      </c>
      <c r="R193" s="61" t="str">
        <f ca="1">IF(OR(tblStock[[#This Row],[SKU]]="",tblStock[[#This Row],[UltimoMov]]=""),"",TODAY()-tblStock[[#This Row],[UltimoMov]])</f>
        <v/>
      </c>
    </row>
    <row r="194" spans="2:18" x14ac:dyDescent="0.25">
      <c r="B194" s="53" t="str">
        <f>IF('05_PRODUCTOS'!$B194="","",'05_PRODUCTOS'!$B194)</f>
        <v/>
      </c>
      <c r="C194" s="54" t="str">
        <f>IF($B194="","",'05_PRODUCTOS'!$C194)</f>
        <v/>
      </c>
      <c r="D194" s="54" t="str">
        <f>IF($B194="","",'05_PRODUCTOS'!$D194)</f>
        <v/>
      </c>
      <c r="E194" s="54" t="str">
        <f>IF($B194="","",'05_PRODUCTOS'!$I194&amp;"")</f>
        <v/>
      </c>
      <c r="F194" s="53" t="str">
        <f>IF($B194="","",'05_PRODUCTOS'!$E194)</f>
        <v/>
      </c>
      <c r="G194" s="53" t="str">
        <f>IF($B194="","",IF('05_PRODUCTOS'!$K194="NO","NO","SI"))</f>
        <v/>
      </c>
      <c r="H194" s="55" t="str">
        <f>IF(tblStock[[#This Row],[SKU]]="","",SUMIFS(tblMovimientos[CantidadNeta],tblMovimientos[SKU],tblStock[[#This Row],[SKU]],tblMovimientos[FactorStock],1))</f>
        <v/>
      </c>
      <c r="I194" s="55" t="str">
        <f>IF(tblStock[[#This Row],[SKU]]="","",-SUMIFS(tblMovimientos[CantidadNeta],tblMovimientos[SKU],tblStock[[#This Row],[SKU]],tblMovimientos[FactorStock],-1))</f>
        <v/>
      </c>
      <c r="J194" s="56" t="str">
        <f>IF(tblStock[[#This Row],[SKU]]="","",SUMIFS(tblMovimientos[CantidadNeta],tblMovimientos[SKU],tblStock[[#This Row],[SKU]]))</f>
        <v/>
      </c>
      <c r="K194" s="55" t="str">
        <f>IF($B194="","",N('05_PRODUCTOS'!$F194))</f>
        <v/>
      </c>
      <c r="L194" s="55" t="str">
        <f>IF($B194="","",N('05_PRODUCTOS'!$G194))</f>
        <v/>
      </c>
      <c r="M194" s="57" t="str">
        <f>IF(OR(tblStock[[#This Row],[SKU]]="",N(tblStock[[#This Row],[StockMax]])=0),"",MAX(0,tblStock[[#This Row],[StockActual]])/tblStock[[#This Row],[StockMax]])</f>
        <v/>
      </c>
      <c r="N19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4" s="59" t="str">
        <f>IF($B194="","",N('05_PRODUCTOS'!$H194))</f>
        <v/>
      </c>
      <c r="P194" s="59" t="str">
        <f>IF(tblStock[[#This Row],[SKU]]="","",MAX(0,tblStock[[#This Row],[StockActual]])*tblStock[[#This Row],[CostoUnitario]])</f>
        <v/>
      </c>
      <c r="Q194" s="60" t="str">
        <f>IF(tblStock[[#This Row],[SKU]]="","",IFERROR(_xlfn.AGGREGATE(14,6,tblMovimientos[Fecha]/(tblMovimientos[SKU]=tblStock[[#This Row],[SKU]]),1),""))</f>
        <v/>
      </c>
      <c r="R194" s="61" t="str">
        <f ca="1">IF(OR(tblStock[[#This Row],[SKU]]="",tblStock[[#This Row],[UltimoMov]]=""),"",TODAY()-tblStock[[#This Row],[UltimoMov]])</f>
        <v/>
      </c>
    </row>
    <row r="195" spans="2:18" x14ac:dyDescent="0.25">
      <c r="B195" s="53" t="str">
        <f>IF('05_PRODUCTOS'!$B195="","",'05_PRODUCTOS'!$B195)</f>
        <v/>
      </c>
      <c r="C195" s="54" t="str">
        <f>IF($B195="","",'05_PRODUCTOS'!$C195)</f>
        <v/>
      </c>
      <c r="D195" s="54" t="str">
        <f>IF($B195="","",'05_PRODUCTOS'!$D195)</f>
        <v/>
      </c>
      <c r="E195" s="54" t="str">
        <f>IF($B195="","",'05_PRODUCTOS'!$I195&amp;"")</f>
        <v/>
      </c>
      <c r="F195" s="53" t="str">
        <f>IF($B195="","",'05_PRODUCTOS'!$E195)</f>
        <v/>
      </c>
      <c r="G195" s="53" t="str">
        <f>IF($B195="","",IF('05_PRODUCTOS'!$K195="NO","NO","SI"))</f>
        <v/>
      </c>
      <c r="H195" s="55" t="str">
        <f>IF(tblStock[[#This Row],[SKU]]="","",SUMIFS(tblMovimientos[CantidadNeta],tblMovimientos[SKU],tblStock[[#This Row],[SKU]],tblMovimientos[FactorStock],1))</f>
        <v/>
      </c>
      <c r="I195" s="55" t="str">
        <f>IF(tblStock[[#This Row],[SKU]]="","",-SUMIFS(tblMovimientos[CantidadNeta],tblMovimientos[SKU],tblStock[[#This Row],[SKU]],tblMovimientos[FactorStock],-1))</f>
        <v/>
      </c>
      <c r="J195" s="56" t="str">
        <f>IF(tblStock[[#This Row],[SKU]]="","",SUMIFS(tblMovimientos[CantidadNeta],tblMovimientos[SKU],tblStock[[#This Row],[SKU]]))</f>
        <v/>
      </c>
      <c r="K195" s="55" t="str">
        <f>IF($B195="","",N('05_PRODUCTOS'!$F195))</f>
        <v/>
      </c>
      <c r="L195" s="55" t="str">
        <f>IF($B195="","",N('05_PRODUCTOS'!$G195))</f>
        <v/>
      </c>
      <c r="M195" s="57" t="str">
        <f>IF(OR(tblStock[[#This Row],[SKU]]="",N(tblStock[[#This Row],[StockMax]])=0),"",MAX(0,tblStock[[#This Row],[StockActual]])/tblStock[[#This Row],[StockMax]])</f>
        <v/>
      </c>
      <c r="N19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5" s="59" t="str">
        <f>IF($B195="","",N('05_PRODUCTOS'!$H195))</f>
        <v/>
      </c>
      <c r="P195" s="59" t="str">
        <f>IF(tblStock[[#This Row],[SKU]]="","",MAX(0,tblStock[[#This Row],[StockActual]])*tblStock[[#This Row],[CostoUnitario]])</f>
        <v/>
      </c>
      <c r="Q195" s="60" t="str">
        <f>IF(tblStock[[#This Row],[SKU]]="","",IFERROR(_xlfn.AGGREGATE(14,6,tblMovimientos[Fecha]/(tblMovimientos[SKU]=tblStock[[#This Row],[SKU]]),1),""))</f>
        <v/>
      </c>
      <c r="R195" s="61" t="str">
        <f ca="1">IF(OR(tblStock[[#This Row],[SKU]]="",tblStock[[#This Row],[UltimoMov]]=""),"",TODAY()-tblStock[[#This Row],[UltimoMov]])</f>
        <v/>
      </c>
    </row>
    <row r="196" spans="2:18" x14ac:dyDescent="0.25">
      <c r="B196" s="53" t="str">
        <f>IF('05_PRODUCTOS'!$B196="","",'05_PRODUCTOS'!$B196)</f>
        <v/>
      </c>
      <c r="C196" s="54" t="str">
        <f>IF($B196="","",'05_PRODUCTOS'!$C196)</f>
        <v/>
      </c>
      <c r="D196" s="54" t="str">
        <f>IF($B196="","",'05_PRODUCTOS'!$D196)</f>
        <v/>
      </c>
      <c r="E196" s="54" t="str">
        <f>IF($B196="","",'05_PRODUCTOS'!$I196&amp;"")</f>
        <v/>
      </c>
      <c r="F196" s="53" t="str">
        <f>IF($B196="","",'05_PRODUCTOS'!$E196)</f>
        <v/>
      </c>
      <c r="G196" s="53" t="str">
        <f>IF($B196="","",IF('05_PRODUCTOS'!$K196="NO","NO","SI"))</f>
        <v/>
      </c>
      <c r="H196" s="55" t="str">
        <f>IF(tblStock[[#This Row],[SKU]]="","",SUMIFS(tblMovimientos[CantidadNeta],tblMovimientos[SKU],tblStock[[#This Row],[SKU]],tblMovimientos[FactorStock],1))</f>
        <v/>
      </c>
      <c r="I196" s="55" t="str">
        <f>IF(tblStock[[#This Row],[SKU]]="","",-SUMIFS(tblMovimientos[CantidadNeta],tblMovimientos[SKU],tblStock[[#This Row],[SKU]],tblMovimientos[FactorStock],-1))</f>
        <v/>
      </c>
      <c r="J196" s="56" t="str">
        <f>IF(tblStock[[#This Row],[SKU]]="","",SUMIFS(tblMovimientos[CantidadNeta],tblMovimientos[SKU],tblStock[[#This Row],[SKU]]))</f>
        <v/>
      </c>
      <c r="K196" s="55" t="str">
        <f>IF($B196="","",N('05_PRODUCTOS'!$F196))</f>
        <v/>
      </c>
      <c r="L196" s="55" t="str">
        <f>IF($B196="","",N('05_PRODUCTOS'!$G196))</f>
        <v/>
      </c>
      <c r="M196" s="57" t="str">
        <f>IF(OR(tblStock[[#This Row],[SKU]]="",N(tblStock[[#This Row],[StockMax]])=0),"",MAX(0,tblStock[[#This Row],[StockActual]])/tblStock[[#This Row],[StockMax]])</f>
        <v/>
      </c>
      <c r="N19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6" s="59" t="str">
        <f>IF($B196="","",N('05_PRODUCTOS'!$H196))</f>
        <v/>
      </c>
      <c r="P196" s="59" t="str">
        <f>IF(tblStock[[#This Row],[SKU]]="","",MAX(0,tblStock[[#This Row],[StockActual]])*tblStock[[#This Row],[CostoUnitario]])</f>
        <v/>
      </c>
      <c r="Q196" s="60" t="str">
        <f>IF(tblStock[[#This Row],[SKU]]="","",IFERROR(_xlfn.AGGREGATE(14,6,tblMovimientos[Fecha]/(tblMovimientos[SKU]=tblStock[[#This Row],[SKU]]),1),""))</f>
        <v/>
      </c>
      <c r="R196" s="61" t="str">
        <f ca="1">IF(OR(tblStock[[#This Row],[SKU]]="",tblStock[[#This Row],[UltimoMov]]=""),"",TODAY()-tblStock[[#This Row],[UltimoMov]])</f>
        <v/>
      </c>
    </row>
    <row r="197" spans="2:18" x14ac:dyDescent="0.25">
      <c r="B197" s="53" t="str">
        <f>IF('05_PRODUCTOS'!$B197="","",'05_PRODUCTOS'!$B197)</f>
        <v/>
      </c>
      <c r="C197" s="54" t="str">
        <f>IF($B197="","",'05_PRODUCTOS'!$C197)</f>
        <v/>
      </c>
      <c r="D197" s="54" t="str">
        <f>IF($B197="","",'05_PRODUCTOS'!$D197)</f>
        <v/>
      </c>
      <c r="E197" s="54" t="str">
        <f>IF($B197="","",'05_PRODUCTOS'!$I197&amp;"")</f>
        <v/>
      </c>
      <c r="F197" s="53" t="str">
        <f>IF($B197="","",'05_PRODUCTOS'!$E197)</f>
        <v/>
      </c>
      <c r="G197" s="53" t="str">
        <f>IF($B197="","",IF('05_PRODUCTOS'!$K197="NO","NO","SI"))</f>
        <v/>
      </c>
      <c r="H197" s="55" t="str">
        <f>IF(tblStock[[#This Row],[SKU]]="","",SUMIFS(tblMovimientos[CantidadNeta],tblMovimientos[SKU],tblStock[[#This Row],[SKU]],tblMovimientos[FactorStock],1))</f>
        <v/>
      </c>
      <c r="I197" s="55" t="str">
        <f>IF(tblStock[[#This Row],[SKU]]="","",-SUMIFS(tblMovimientos[CantidadNeta],tblMovimientos[SKU],tblStock[[#This Row],[SKU]],tblMovimientos[FactorStock],-1))</f>
        <v/>
      </c>
      <c r="J197" s="56" t="str">
        <f>IF(tblStock[[#This Row],[SKU]]="","",SUMIFS(tblMovimientos[CantidadNeta],tblMovimientos[SKU],tblStock[[#This Row],[SKU]]))</f>
        <v/>
      </c>
      <c r="K197" s="55" t="str">
        <f>IF($B197="","",N('05_PRODUCTOS'!$F197))</f>
        <v/>
      </c>
      <c r="L197" s="55" t="str">
        <f>IF($B197="","",N('05_PRODUCTOS'!$G197))</f>
        <v/>
      </c>
      <c r="M197" s="57" t="str">
        <f>IF(OR(tblStock[[#This Row],[SKU]]="",N(tblStock[[#This Row],[StockMax]])=0),"",MAX(0,tblStock[[#This Row],[StockActual]])/tblStock[[#This Row],[StockMax]])</f>
        <v/>
      </c>
      <c r="N19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7" s="59" t="str">
        <f>IF($B197="","",N('05_PRODUCTOS'!$H197))</f>
        <v/>
      </c>
      <c r="P197" s="59" t="str">
        <f>IF(tblStock[[#This Row],[SKU]]="","",MAX(0,tblStock[[#This Row],[StockActual]])*tblStock[[#This Row],[CostoUnitario]])</f>
        <v/>
      </c>
      <c r="Q197" s="60" t="str">
        <f>IF(tblStock[[#This Row],[SKU]]="","",IFERROR(_xlfn.AGGREGATE(14,6,tblMovimientos[Fecha]/(tblMovimientos[SKU]=tblStock[[#This Row],[SKU]]),1),""))</f>
        <v/>
      </c>
      <c r="R197" s="61" t="str">
        <f ca="1">IF(OR(tblStock[[#This Row],[SKU]]="",tblStock[[#This Row],[UltimoMov]]=""),"",TODAY()-tblStock[[#This Row],[UltimoMov]])</f>
        <v/>
      </c>
    </row>
    <row r="198" spans="2:18" x14ac:dyDescent="0.25">
      <c r="B198" s="53" t="str">
        <f>IF('05_PRODUCTOS'!$B198="","",'05_PRODUCTOS'!$B198)</f>
        <v/>
      </c>
      <c r="C198" s="54" t="str">
        <f>IF($B198="","",'05_PRODUCTOS'!$C198)</f>
        <v/>
      </c>
      <c r="D198" s="54" t="str">
        <f>IF($B198="","",'05_PRODUCTOS'!$D198)</f>
        <v/>
      </c>
      <c r="E198" s="54" t="str">
        <f>IF($B198="","",'05_PRODUCTOS'!$I198&amp;"")</f>
        <v/>
      </c>
      <c r="F198" s="53" t="str">
        <f>IF($B198="","",'05_PRODUCTOS'!$E198)</f>
        <v/>
      </c>
      <c r="G198" s="53" t="str">
        <f>IF($B198="","",IF('05_PRODUCTOS'!$K198="NO","NO","SI"))</f>
        <v/>
      </c>
      <c r="H198" s="55" t="str">
        <f>IF(tblStock[[#This Row],[SKU]]="","",SUMIFS(tblMovimientos[CantidadNeta],tblMovimientos[SKU],tblStock[[#This Row],[SKU]],tblMovimientos[FactorStock],1))</f>
        <v/>
      </c>
      <c r="I198" s="55" t="str">
        <f>IF(tblStock[[#This Row],[SKU]]="","",-SUMIFS(tblMovimientos[CantidadNeta],tblMovimientos[SKU],tblStock[[#This Row],[SKU]],tblMovimientos[FactorStock],-1))</f>
        <v/>
      </c>
      <c r="J198" s="56" t="str">
        <f>IF(tblStock[[#This Row],[SKU]]="","",SUMIFS(tblMovimientos[CantidadNeta],tblMovimientos[SKU],tblStock[[#This Row],[SKU]]))</f>
        <v/>
      </c>
      <c r="K198" s="55" t="str">
        <f>IF($B198="","",N('05_PRODUCTOS'!$F198))</f>
        <v/>
      </c>
      <c r="L198" s="55" t="str">
        <f>IF($B198="","",N('05_PRODUCTOS'!$G198))</f>
        <v/>
      </c>
      <c r="M198" s="57" t="str">
        <f>IF(OR(tblStock[[#This Row],[SKU]]="",N(tblStock[[#This Row],[StockMax]])=0),"",MAX(0,tblStock[[#This Row],[StockActual]])/tblStock[[#This Row],[StockMax]])</f>
        <v/>
      </c>
      <c r="N19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8" s="59" t="str">
        <f>IF($B198="","",N('05_PRODUCTOS'!$H198))</f>
        <v/>
      </c>
      <c r="P198" s="59" t="str">
        <f>IF(tblStock[[#This Row],[SKU]]="","",MAX(0,tblStock[[#This Row],[StockActual]])*tblStock[[#This Row],[CostoUnitario]])</f>
        <v/>
      </c>
      <c r="Q198" s="60" t="str">
        <f>IF(tblStock[[#This Row],[SKU]]="","",IFERROR(_xlfn.AGGREGATE(14,6,tblMovimientos[Fecha]/(tblMovimientos[SKU]=tblStock[[#This Row],[SKU]]),1),""))</f>
        <v/>
      </c>
      <c r="R198" s="61" t="str">
        <f ca="1">IF(OR(tblStock[[#This Row],[SKU]]="",tblStock[[#This Row],[UltimoMov]]=""),"",TODAY()-tblStock[[#This Row],[UltimoMov]])</f>
        <v/>
      </c>
    </row>
    <row r="199" spans="2:18" x14ac:dyDescent="0.25">
      <c r="B199" s="53" t="str">
        <f>IF('05_PRODUCTOS'!$B199="","",'05_PRODUCTOS'!$B199)</f>
        <v/>
      </c>
      <c r="C199" s="54" t="str">
        <f>IF($B199="","",'05_PRODUCTOS'!$C199)</f>
        <v/>
      </c>
      <c r="D199" s="54" t="str">
        <f>IF($B199="","",'05_PRODUCTOS'!$D199)</f>
        <v/>
      </c>
      <c r="E199" s="54" t="str">
        <f>IF($B199="","",'05_PRODUCTOS'!$I199&amp;"")</f>
        <v/>
      </c>
      <c r="F199" s="53" t="str">
        <f>IF($B199="","",'05_PRODUCTOS'!$E199)</f>
        <v/>
      </c>
      <c r="G199" s="53" t="str">
        <f>IF($B199="","",IF('05_PRODUCTOS'!$K199="NO","NO","SI"))</f>
        <v/>
      </c>
      <c r="H199" s="55" t="str">
        <f>IF(tblStock[[#This Row],[SKU]]="","",SUMIFS(tblMovimientos[CantidadNeta],tblMovimientos[SKU],tblStock[[#This Row],[SKU]],tblMovimientos[FactorStock],1))</f>
        <v/>
      </c>
      <c r="I199" s="55" t="str">
        <f>IF(tblStock[[#This Row],[SKU]]="","",-SUMIFS(tblMovimientos[CantidadNeta],tblMovimientos[SKU],tblStock[[#This Row],[SKU]],tblMovimientos[FactorStock],-1))</f>
        <v/>
      </c>
      <c r="J199" s="56" t="str">
        <f>IF(tblStock[[#This Row],[SKU]]="","",SUMIFS(tblMovimientos[CantidadNeta],tblMovimientos[SKU],tblStock[[#This Row],[SKU]]))</f>
        <v/>
      </c>
      <c r="K199" s="55" t="str">
        <f>IF($B199="","",N('05_PRODUCTOS'!$F199))</f>
        <v/>
      </c>
      <c r="L199" s="55" t="str">
        <f>IF($B199="","",N('05_PRODUCTOS'!$G199))</f>
        <v/>
      </c>
      <c r="M199" s="57" t="str">
        <f>IF(OR(tblStock[[#This Row],[SKU]]="",N(tblStock[[#This Row],[StockMax]])=0),"",MAX(0,tblStock[[#This Row],[StockActual]])/tblStock[[#This Row],[StockMax]])</f>
        <v/>
      </c>
      <c r="N19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199" s="59" t="str">
        <f>IF($B199="","",N('05_PRODUCTOS'!$H199))</f>
        <v/>
      </c>
      <c r="P199" s="59" t="str">
        <f>IF(tblStock[[#This Row],[SKU]]="","",MAX(0,tblStock[[#This Row],[StockActual]])*tblStock[[#This Row],[CostoUnitario]])</f>
        <v/>
      </c>
      <c r="Q199" s="60" t="str">
        <f>IF(tblStock[[#This Row],[SKU]]="","",IFERROR(_xlfn.AGGREGATE(14,6,tblMovimientos[Fecha]/(tblMovimientos[SKU]=tblStock[[#This Row],[SKU]]),1),""))</f>
        <v/>
      </c>
      <c r="R199" s="61" t="str">
        <f ca="1">IF(OR(tblStock[[#This Row],[SKU]]="",tblStock[[#This Row],[UltimoMov]]=""),"",TODAY()-tblStock[[#This Row],[UltimoMov]])</f>
        <v/>
      </c>
    </row>
    <row r="200" spans="2:18" x14ac:dyDescent="0.25">
      <c r="B200" s="53" t="str">
        <f>IF('05_PRODUCTOS'!$B200="","",'05_PRODUCTOS'!$B200)</f>
        <v/>
      </c>
      <c r="C200" s="54" t="str">
        <f>IF($B200="","",'05_PRODUCTOS'!$C200)</f>
        <v/>
      </c>
      <c r="D200" s="54" t="str">
        <f>IF($B200="","",'05_PRODUCTOS'!$D200)</f>
        <v/>
      </c>
      <c r="E200" s="54" t="str">
        <f>IF($B200="","",'05_PRODUCTOS'!$I200&amp;"")</f>
        <v/>
      </c>
      <c r="F200" s="53" t="str">
        <f>IF($B200="","",'05_PRODUCTOS'!$E200)</f>
        <v/>
      </c>
      <c r="G200" s="53" t="str">
        <f>IF($B200="","",IF('05_PRODUCTOS'!$K200="NO","NO","SI"))</f>
        <v/>
      </c>
      <c r="H200" s="55" t="str">
        <f>IF(tblStock[[#This Row],[SKU]]="","",SUMIFS(tblMovimientos[CantidadNeta],tblMovimientos[SKU],tblStock[[#This Row],[SKU]],tblMovimientos[FactorStock],1))</f>
        <v/>
      </c>
      <c r="I200" s="55" t="str">
        <f>IF(tblStock[[#This Row],[SKU]]="","",-SUMIFS(tblMovimientos[CantidadNeta],tblMovimientos[SKU],tblStock[[#This Row],[SKU]],tblMovimientos[FactorStock],-1))</f>
        <v/>
      </c>
      <c r="J200" s="56" t="str">
        <f>IF(tblStock[[#This Row],[SKU]]="","",SUMIFS(tblMovimientos[CantidadNeta],tblMovimientos[SKU],tblStock[[#This Row],[SKU]]))</f>
        <v/>
      </c>
      <c r="K200" s="55" t="str">
        <f>IF($B200="","",N('05_PRODUCTOS'!$F200))</f>
        <v/>
      </c>
      <c r="L200" s="55" t="str">
        <f>IF($B200="","",N('05_PRODUCTOS'!$G200))</f>
        <v/>
      </c>
      <c r="M200" s="57" t="str">
        <f>IF(OR(tblStock[[#This Row],[SKU]]="",N(tblStock[[#This Row],[StockMax]])=0),"",MAX(0,tblStock[[#This Row],[StockActual]])/tblStock[[#This Row],[StockMax]])</f>
        <v/>
      </c>
      <c r="N20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0" s="59" t="str">
        <f>IF($B200="","",N('05_PRODUCTOS'!$H200))</f>
        <v/>
      </c>
      <c r="P200" s="59" t="str">
        <f>IF(tblStock[[#This Row],[SKU]]="","",MAX(0,tblStock[[#This Row],[StockActual]])*tblStock[[#This Row],[CostoUnitario]])</f>
        <v/>
      </c>
      <c r="Q200" s="60" t="str">
        <f>IF(tblStock[[#This Row],[SKU]]="","",IFERROR(_xlfn.AGGREGATE(14,6,tblMovimientos[Fecha]/(tblMovimientos[SKU]=tblStock[[#This Row],[SKU]]),1),""))</f>
        <v/>
      </c>
      <c r="R200" s="61" t="str">
        <f ca="1">IF(OR(tblStock[[#This Row],[SKU]]="",tblStock[[#This Row],[UltimoMov]]=""),"",TODAY()-tblStock[[#This Row],[UltimoMov]])</f>
        <v/>
      </c>
    </row>
    <row r="201" spans="2:18" x14ac:dyDescent="0.25">
      <c r="B201" s="53" t="str">
        <f>IF('05_PRODUCTOS'!$B201="","",'05_PRODUCTOS'!$B201)</f>
        <v/>
      </c>
      <c r="C201" s="54" t="str">
        <f>IF($B201="","",'05_PRODUCTOS'!$C201)</f>
        <v/>
      </c>
      <c r="D201" s="54" t="str">
        <f>IF($B201="","",'05_PRODUCTOS'!$D201)</f>
        <v/>
      </c>
      <c r="E201" s="54" t="str">
        <f>IF($B201="","",'05_PRODUCTOS'!$I201&amp;"")</f>
        <v/>
      </c>
      <c r="F201" s="53" t="str">
        <f>IF($B201="","",'05_PRODUCTOS'!$E201)</f>
        <v/>
      </c>
      <c r="G201" s="53" t="str">
        <f>IF($B201="","",IF('05_PRODUCTOS'!$K201="NO","NO","SI"))</f>
        <v/>
      </c>
      <c r="H201" s="55" t="str">
        <f>IF(tblStock[[#This Row],[SKU]]="","",SUMIFS(tblMovimientos[CantidadNeta],tblMovimientos[SKU],tblStock[[#This Row],[SKU]],tblMovimientos[FactorStock],1))</f>
        <v/>
      </c>
      <c r="I201" s="55" t="str">
        <f>IF(tblStock[[#This Row],[SKU]]="","",-SUMIFS(tblMovimientos[CantidadNeta],tblMovimientos[SKU],tblStock[[#This Row],[SKU]],tblMovimientos[FactorStock],-1))</f>
        <v/>
      </c>
      <c r="J201" s="56" t="str">
        <f>IF(tblStock[[#This Row],[SKU]]="","",SUMIFS(tblMovimientos[CantidadNeta],tblMovimientos[SKU],tblStock[[#This Row],[SKU]]))</f>
        <v/>
      </c>
      <c r="K201" s="55" t="str">
        <f>IF($B201="","",N('05_PRODUCTOS'!$F201))</f>
        <v/>
      </c>
      <c r="L201" s="55" t="str">
        <f>IF($B201="","",N('05_PRODUCTOS'!$G201))</f>
        <v/>
      </c>
      <c r="M201" s="57" t="str">
        <f>IF(OR(tblStock[[#This Row],[SKU]]="",N(tblStock[[#This Row],[StockMax]])=0),"",MAX(0,tblStock[[#This Row],[StockActual]])/tblStock[[#This Row],[StockMax]])</f>
        <v/>
      </c>
      <c r="N20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1" s="59" t="str">
        <f>IF($B201="","",N('05_PRODUCTOS'!$H201))</f>
        <v/>
      </c>
      <c r="P201" s="59" t="str">
        <f>IF(tblStock[[#This Row],[SKU]]="","",MAX(0,tblStock[[#This Row],[StockActual]])*tblStock[[#This Row],[CostoUnitario]])</f>
        <v/>
      </c>
      <c r="Q201" s="60" t="str">
        <f>IF(tblStock[[#This Row],[SKU]]="","",IFERROR(_xlfn.AGGREGATE(14,6,tblMovimientos[Fecha]/(tblMovimientos[SKU]=tblStock[[#This Row],[SKU]]),1),""))</f>
        <v/>
      </c>
      <c r="R201" s="61" t="str">
        <f ca="1">IF(OR(tblStock[[#This Row],[SKU]]="",tblStock[[#This Row],[UltimoMov]]=""),"",TODAY()-tblStock[[#This Row],[UltimoMov]])</f>
        <v/>
      </c>
    </row>
    <row r="202" spans="2:18" x14ac:dyDescent="0.25">
      <c r="B202" s="53" t="str">
        <f>IF('05_PRODUCTOS'!$B202="","",'05_PRODUCTOS'!$B202)</f>
        <v/>
      </c>
      <c r="C202" s="54" t="str">
        <f>IF($B202="","",'05_PRODUCTOS'!$C202)</f>
        <v/>
      </c>
      <c r="D202" s="54" t="str">
        <f>IF($B202="","",'05_PRODUCTOS'!$D202)</f>
        <v/>
      </c>
      <c r="E202" s="54" t="str">
        <f>IF($B202="","",'05_PRODUCTOS'!$I202&amp;"")</f>
        <v/>
      </c>
      <c r="F202" s="53" t="str">
        <f>IF($B202="","",'05_PRODUCTOS'!$E202)</f>
        <v/>
      </c>
      <c r="G202" s="53" t="str">
        <f>IF($B202="","",IF('05_PRODUCTOS'!$K202="NO","NO","SI"))</f>
        <v/>
      </c>
      <c r="H202" s="55" t="str">
        <f>IF(tblStock[[#This Row],[SKU]]="","",SUMIFS(tblMovimientos[CantidadNeta],tblMovimientos[SKU],tblStock[[#This Row],[SKU]],tblMovimientos[FactorStock],1))</f>
        <v/>
      </c>
      <c r="I202" s="55" t="str">
        <f>IF(tblStock[[#This Row],[SKU]]="","",-SUMIFS(tblMovimientos[CantidadNeta],tblMovimientos[SKU],tblStock[[#This Row],[SKU]],tblMovimientos[FactorStock],-1))</f>
        <v/>
      </c>
      <c r="J202" s="56" t="str">
        <f>IF(tblStock[[#This Row],[SKU]]="","",SUMIFS(tblMovimientos[CantidadNeta],tblMovimientos[SKU],tblStock[[#This Row],[SKU]]))</f>
        <v/>
      </c>
      <c r="K202" s="55" t="str">
        <f>IF($B202="","",N('05_PRODUCTOS'!$F202))</f>
        <v/>
      </c>
      <c r="L202" s="55" t="str">
        <f>IF($B202="","",N('05_PRODUCTOS'!$G202))</f>
        <v/>
      </c>
      <c r="M202" s="57" t="str">
        <f>IF(OR(tblStock[[#This Row],[SKU]]="",N(tblStock[[#This Row],[StockMax]])=0),"",MAX(0,tblStock[[#This Row],[StockActual]])/tblStock[[#This Row],[StockMax]])</f>
        <v/>
      </c>
      <c r="N20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2" s="59" t="str">
        <f>IF($B202="","",N('05_PRODUCTOS'!$H202))</f>
        <v/>
      </c>
      <c r="P202" s="59" t="str">
        <f>IF(tblStock[[#This Row],[SKU]]="","",MAX(0,tblStock[[#This Row],[StockActual]])*tblStock[[#This Row],[CostoUnitario]])</f>
        <v/>
      </c>
      <c r="Q202" s="60" t="str">
        <f>IF(tblStock[[#This Row],[SKU]]="","",IFERROR(_xlfn.AGGREGATE(14,6,tblMovimientos[Fecha]/(tblMovimientos[SKU]=tblStock[[#This Row],[SKU]]),1),""))</f>
        <v/>
      </c>
      <c r="R202" s="61" t="str">
        <f ca="1">IF(OR(tblStock[[#This Row],[SKU]]="",tblStock[[#This Row],[UltimoMov]]=""),"",TODAY()-tblStock[[#This Row],[UltimoMov]])</f>
        <v/>
      </c>
    </row>
    <row r="203" spans="2:18" x14ac:dyDescent="0.25">
      <c r="B203" s="53" t="str">
        <f>IF('05_PRODUCTOS'!$B203="","",'05_PRODUCTOS'!$B203)</f>
        <v/>
      </c>
      <c r="C203" s="54" t="str">
        <f>IF($B203="","",'05_PRODUCTOS'!$C203)</f>
        <v/>
      </c>
      <c r="D203" s="54" t="str">
        <f>IF($B203="","",'05_PRODUCTOS'!$D203)</f>
        <v/>
      </c>
      <c r="E203" s="54" t="str">
        <f>IF($B203="","",'05_PRODUCTOS'!$I203&amp;"")</f>
        <v/>
      </c>
      <c r="F203" s="53" t="str">
        <f>IF($B203="","",'05_PRODUCTOS'!$E203)</f>
        <v/>
      </c>
      <c r="G203" s="53" t="str">
        <f>IF($B203="","",IF('05_PRODUCTOS'!$K203="NO","NO","SI"))</f>
        <v/>
      </c>
      <c r="H203" s="55" t="str">
        <f>IF(tblStock[[#This Row],[SKU]]="","",SUMIFS(tblMovimientos[CantidadNeta],tblMovimientos[SKU],tblStock[[#This Row],[SKU]],tblMovimientos[FactorStock],1))</f>
        <v/>
      </c>
      <c r="I203" s="55" t="str">
        <f>IF(tblStock[[#This Row],[SKU]]="","",-SUMIFS(tblMovimientos[CantidadNeta],tblMovimientos[SKU],tblStock[[#This Row],[SKU]],tblMovimientos[FactorStock],-1))</f>
        <v/>
      </c>
      <c r="J203" s="56" t="str">
        <f>IF(tblStock[[#This Row],[SKU]]="","",SUMIFS(tblMovimientos[CantidadNeta],tblMovimientos[SKU],tblStock[[#This Row],[SKU]]))</f>
        <v/>
      </c>
      <c r="K203" s="55" t="str">
        <f>IF($B203="","",N('05_PRODUCTOS'!$F203))</f>
        <v/>
      </c>
      <c r="L203" s="55" t="str">
        <f>IF($B203="","",N('05_PRODUCTOS'!$G203))</f>
        <v/>
      </c>
      <c r="M203" s="57" t="str">
        <f>IF(OR(tblStock[[#This Row],[SKU]]="",N(tblStock[[#This Row],[StockMax]])=0),"",MAX(0,tblStock[[#This Row],[StockActual]])/tblStock[[#This Row],[StockMax]])</f>
        <v/>
      </c>
      <c r="N20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3" s="59" t="str">
        <f>IF($B203="","",N('05_PRODUCTOS'!$H203))</f>
        <v/>
      </c>
      <c r="P203" s="59" t="str">
        <f>IF(tblStock[[#This Row],[SKU]]="","",MAX(0,tblStock[[#This Row],[StockActual]])*tblStock[[#This Row],[CostoUnitario]])</f>
        <v/>
      </c>
      <c r="Q203" s="60" t="str">
        <f>IF(tblStock[[#This Row],[SKU]]="","",IFERROR(_xlfn.AGGREGATE(14,6,tblMovimientos[Fecha]/(tblMovimientos[SKU]=tblStock[[#This Row],[SKU]]),1),""))</f>
        <v/>
      </c>
      <c r="R203" s="61" t="str">
        <f ca="1">IF(OR(tblStock[[#This Row],[SKU]]="",tblStock[[#This Row],[UltimoMov]]=""),"",TODAY()-tblStock[[#This Row],[UltimoMov]])</f>
        <v/>
      </c>
    </row>
    <row r="204" spans="2:18" x14ac:dyDescent="0.25">
      <c r="B204" s="53" t="str">
        <f>IF('05_PRODUCTOS'!$B204="","",'05_PRODUCTOS'!$B204)</f>
        <v/>
      </c>
      <c r="C204" s="54" t="str">
        <f>IF($B204="","",'05_PRODUCTOS'!$C204)</f>
        <v/>
      </c>
      <c r="D204" s="54" t="str">
        <f>IF($B204="","",'05_PRODUCTOS'!$D204)</f>
        <v/>
      </c>
      <c r="E204" s="54" t="str">
        <f>IF($B204="","",'05_PRODUCTOS'!$I204&amp;"")</f>
        <v/>
      </c>
      <c r="F204" s="53" t="str">
        <f>IF($B204="","",'05_PRODUCTOS'!$E204)</f>
        <v/>
      </c>
      <c r="G204" s="53" t="str">
        <f>IF($B204="","",IF('05_PRODUCTOS'!$K204="NO","NO","SI"))</f>
        <v/>
      </c>
      <c r="H204" s="55" t="str">
        <f>IF(tblStock[[#This Row],[SKU]]="","",SUMIFS(tblMovimientos[CantidadNeta],tblMovimientos[SKU],tblStock[[#This Row],[SKU]],tblMovimientos[FactorStock],1))</f>
        <v/>
      </c>
      <c r="I204" s="55" t="str">
        <f>IF(tblStock[[#This Row],[SKU]]="","",-SUMIFS(tblMovimientos[CantidadNeta],tblMovimientos[SKU],tblStock[[#This Row],[SKU]],tblMovimientos[FactorStock],-1))</f>
        <v/>
      </c>
      <c r="J204" s="56" t="str">
        <f>IF(tblStock[[#This Row],[SKU]]="","",SUMIFS(tblMovimientos[CantidadNeta],tblMovimientos[SKU],tblStock[[#This Row],[SKU]]))</f>
        <v/>
      </c>
      <c r="K204" s="55" t="str">
        <f>IF($B204="","",N('05_PRODUCTOS'!$F204))</f>
        <v/>
      </c>
      <c r="L204" s="55" t="str">
        <f>IF($B204="","",N('05_PRODUCTOS'!$G204))</f>
        <v/>
      </c>
      <c r="M204" s="57" t="str">
        <f>IF(OR(tblStock[[#This Row],[SKU]]="",N(tblStock[[#This Row],[StockMax]])=0),"",MAX(0,tblStock[[#This Row],[StockActual]])/tblStock[[#This Row],[StockMax]])</f>
        <v/>
      </c>
      <c r="N20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4" s="59" t="str">
        <f>IF($B204="","",N('05_PRODUCTOS'!$H204))</f>
        <v/>
      </c>
      <c r="P204" s="59" t="str">
        <f>IF(tblStock[[#This Row],[SKU]]="","",MAX(0,tblStock[[#This Row],[StockActual]])*tblStock[[#This Row],[CostoUnitario]])</f>
        <v/>
      </c>
      <c r="Q204" s="60" t="str">
        <f>IF(tblStock[[#This Row],[SKU]]="","",IFERROR(_xlfn.AGGREGATE(14,6,tblMovimientos[Fecha]/(tblMovimientos[SKU]=tblStock[[#This Row],[SKU]]),1),""))</f>
        <v/>
      </c>
      <c r="R204" s="61" t="str">
        <f ca="1">IF(OR(tblStock[[#This Row],[SKU]]="",tblStock[[#This Row],[UltimoMov]]=""),"",TODAY()-tblStock[[#This Row],[UltimoMov]])</f>
        <v/>
      </c>
    </row>
    <row r="205" spans="2:18" x14ac:dyDescent="0.25">
      <c r="B205" s="53" t="str">
        <f>IF('05_PRODUCTOS'!$B205="","",'05_PRODUCTOS'!$B205)</f>
        <v/>
      </c>
      <c r="C205" s="54" t="str">
        <f>IF($B205="","",'05_PRODUCTOS'!$C205)</f>
        <v/>
      </c>
      <c r="D205" s="54" t="str">
        <f>IF($B205="","",'05_PRODUCTOS'!$D205)</f>
        <v/>
      </c>
      <c r="E205" s="54" t="str">
        <f>IF($B205="","",'05_PRODUCTOS'!$I205&amp;"")</f>
        <v/>
      </c>
      <c r="F205" s="53" t="str">
        <f>IF($B205="","",'05_PRODUCTOS'!$E205)</f>
        <v/>
      </c>
      <c r="G205" s="53" t="str">
        <f>IF($B205="","",IF('05_PRODUCTOS'!$K205="NO","NO","SI"))</f>
        <v/>
      </c>
      <c r="H205" s="55" t="str">
        <f>IF(tblStock[[#This Row],[SKU]]="","",SUMIFS(tblMovimientos[CantidadNeta],tblMovimientos[SKU],tblStock[[#This Row],[SKU]],tblMovimientos[FactorStock],1))</f>
        <v/>
      </c>
      <c r="I205" s="55" t="str">
        <f>IF(tblStock[[#This Row],[SKU]]="","",-SUMIFS(tblMovimientos[CantidadNeta],tblMovimientos[SKU],tblStock[[#This Row],[SKU]],tblMovimientos[FactorStock],-1))</f>
        <v/>
      </c>
      <c r="J205" s="56" t="str">
        <f>IF(tblStock[[#This Row],[SKU]]="","",SUMIFS(tblMovimientos[CantidadNeta],tblMovimientos[SKU],tblStock[[#This Row],[SKU]]))</f>
        <v/>
      </c>
      <c r="K205" s="55" t="str">
        <f>IF($B205="","",N('05_PRODUCTOS'!$F205))</f>
        <v/>
      </c>
      <c r="L205" s="55" t="str">
        <f>IF($B205="","",N('05_PRODUCTOS'!$G205))</f>
        <v/>
      </c>
      <c r="M205" s="57" t="str">
        <f>IF(OR(tblStock[[#This Row],[SKU]]="",N(tblStock[[#This Row],[StockMax]])=0),"",MAX(0,tblStock[[#This Row],[StockActual]])/tblStock[[#This Row],[StockMax]])</f>
        <v/>
      </c>
      <c r="N20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5" s="59" t="str">
        <f>IF($B205="","",N('05_PRODUCTOS'!$H205))</f>
        <v/>
      </c>
      <c r="P205" s="59" t="str">
        <f>IF(tblStock[[#This Row],[SKU]]="","",MAX(0,tblStock[[#This Row],[StockActual]])*tblStock[[#This Row],[CostoUnitario]])</f>
        <v/>
      </c>
      <c r="Q205" s="60" t="str">
        <f>IF(tblStock[[#This Row],[SKU]]="","",IFERROR(_xlfn.AGGREGATE(14,6,tblMovimientos[Fecha]/(tblMovimientos[SKU]=tblStock[[#This Row],[SKU]]),1),""))</f>
        <v/>
      </c>
      <c r="R205" s="61" t="str">
        <f ca="1">IF(OR(tblStock[[#This Row],[SKU]]="",tblStock[[#This Row],[UltimoMov]]=""),"",TODAY()-tblStock[[#This Row],[UltimoMov]])</f>
        <v/>
      </c>
    </row>
    <row r="206" spans="2:18" x14ac:dyDescent="0.25">
      <c r="B206" s="53" t="str">
        <f>IF('05_PRODUCTOS'!$B206="","",'05_PRODUCTOS'!$B206)</f>
        <v/>
      </c>
      <c r="C206" s="54" t="str">
        <f>IF($B206="","",'05_PRODUCTOS'!$C206)</f>
        <v/>
      </c>
      <c r="D206" s="54" t="str">
        <f>IF($B206="","",'05_PRODUCTOS'!$D206)</f>
        <v/>
      </c>
      <c r="E206" s="54" t="str">
        <f>IF($B206="","",'05_PRODUCTOS'!$I206&amp;"")</f>
        <v/>
      </c>
      <c r="F206" s="53" t="str">
        <f>IF($B206="","",'05_PRODUCTOS'!$E206)</f>
        <v/>
      </c>
      <c r="G206" s="53" t="str">
        <f>IF($B206="","",IF('05_PRODUCTOS'!$K206="NO","NO","SI"))</f>
        <v/>
      </c>
      <c r="H206" s="55" t="str">
        <f>IF(tblStock[[#This Row],[SKU]]="","",SUMIFS(tblMovimientos[CantidadNeta],tblMovimientos[SKU],tblStock[[#This Row],[SKU]],tblMovimientos[FactorStock],1))</f>
        <v/>
      </c>
      <c r="I206" s="55" t="str">
        <f>IF(tblStock[[#This Row],[SKU]]="","",-SUMIFS(tblMovimientos[CantidadNeta],tblMovimientos[SKU],tblStock[[#This Row],[SKU]],tblMovimientos[FactorStock],-1))</f>
        <v/>
      </c>
      <c r="J206" s="56" t="str">
        <f>IF(tblStock[[#This Row],[SKU]]="","",SUMIFS(tblMovimientos[CantidadNeta],tblMovimientos[SKU],tblStock[[#This Row],[SKU]]))</f>
        <v/>
      </c>
      <c r="K206" s="55" t="str">
        <f>IF($B206="","",N('05_PRODUCTOS'!$F206))</f>
        <v/>
      </c>
      <c r="L206" s="55" t="str">
        <f>IF($B206="","",N('05_PRODUCTOS'!$G206))</f>
        <v/>
      </c>
      <c r="M206" s="57" t="str">
        <f>IF(OR(tblStock[[#This Row],[SKU]]="",N(tblStock[[#This Row],[StockMax]])=0),"",MAX(0,tblStock[[#This Row],[StockActual]])/tblStock[[#This Row],[StockMax]])</f>
        <v/>
      </c>
      <c r="N20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6" s="59" t="str">
        <f>IF($B206="","",N('05_PRODUCTOS'!$H206))</f>
        <v/>
      </c>
      <c r="P206" s="59" t="str">
        <f>IF(tblStock[[#This Row],[SKU]]="","",MAX(0,tblStock[[#This Row],[StockActual]])*tblStock[[#This Row],[CostoUnitario]])</f>
        <v/>
      </c>
      <c r="Q206" s="60" t="str">
        <f>IF(tblStock[[#This Row],[SKU]]="","",IFERROR(_xlfn.AGGREGATE(14,6,tblMovimientos[Fecha]/(tblMovimientos[SKU]=tblStock[[#This Row],[SKU]]),1),""))</f>
        <v/>
      </c>
      <c r="R206" s="61" t="str">
        <f ca="1">IF(OR(tblStock[[#This Row],[SKU]]="",tblStock[[#This Row],[UltimoMov]]=""),"",TODAY()-tblStock[[#This Row],[UltimoMov]])</f>
        <v/>
      </c>
    </row>
    <row r="207" spans="2:18" x14ac:dyDescent="0.25">
      <c r="B207" s="53" t="str">
        <f>IF('05_PRODUCTOS'!$B207="","",'05_PRODUCTOS'!$B207)</f>
        <v/>
      </c>
      <c r="C207" s="54" t="str">
        <f>IF($B207="","",'05_PRODUCTOS'!$C207)</f>
        <v/>
      </c>
      <c r="D207" s="54" t="str">
        <f>IF($B207="","",'05_PRODUCTOS'!$D207)</f>
        <v/>
      </c>
      <c r="E207" s="54" t="str">
        <f>IF($B207="","",'05_PRODUCTOS'!$I207&amp;"")</f>
        <v/>
      </c>
      <c r="F207" s="53" t="str">
        <f>IF($B207="","",'05_PRODUCTOS'!$E207)</f>
        <v/>
      </c>
      <c r="G207" s="53" t="str">
        <f>IF($B207="","",IF('05_PRODUCTOS'!$K207="NO","NO","SI"))</f>
        <v/>
      </c>
      <c r="H207" s="55" t="str">
        <f>IF(tblStock[[#This Row],[SKU]]="","",SUMIFS(tblMovimientos[CantidadNeta],tblMovimientos[SKU],tblStock[[#This Row],[SKU]],tblMovimientos[FactorStock],1))</f>
        <v/>
      </c>
      <c r="I207" s="55" t="str">
        <f>IF(tblStock[[#This Row],[SKU]]="","",-SUMIFS(tblMovimientos[CantidadNeta],tblMovimientos[SKU],tblStock[[#This Row],[SKU]],tblMovimientos[FactorStock],-1))</f>
        <v/>
      </c>
      <c r="J207" s="56" t="str">
        <f>IF(tblStock[[#This Row],[SKU]]="","",SUMIFS(tblMovimientos[CantidadNeta],tblMovimientos[SKU],tblStock[[#This Row],[SKU]]))</f>
        <v/>
      </c>
      <c r="K207" s="55" t="str">
        <f>IF($B207="","",N('05_PRODUCTOS'!$F207))</f>
        <v/>
      </c>
      <c r="L207" s="55" t="str">
        <f>IF($B207="","",N('05_PRODUCTOS'!$G207))</f>
        <v/>
      </c>
      <c r="M207" s="57" t="str">
        <f>IF(OR(tblStock[[#This Row],[SKU]]="",N(tblStock[[#This Row],[StockMax]])=0),"",MAX(0,tblStock[[#This Row],[StockActual]])/tblStock[[#This Row],[StockMax]])</f>
        <v/>
      </c>
      <c r="N20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7" s="59" t="str">
        <f>IF($B207="","",N('05_PRODUCTOS'!$H207))</f>
        <v/>
      </c>
      <c r="P207" s="59" t="str">
        <f>IF(tblStock[[#This Row],[SKU]]="","",MAX(0,tblStock[[#This Row],[StockActual]])*tblStock[[#This Row],[CostoUnitario]])</f>
        <v/>
      </c>
      <c r="Q207" s="60" t="str">
        <f>IF(tblStock[[#This Row],[SKU]]="","",IFERROR(_xlfn.AGGREGATE(14,6,tblMovimientos[Fecha]/(tblMovimientos[SKU]=tblStock[[#This Row],[SKU]]),1),""))</f>
        <v/>
      </c>
      <c r="R207" s="61" t="str">
        <f ca="1">IF(OR(tblStock[[#This Row],[SKU]]="",tblStock[[#This Row],[UltimoMov]]=""),"",TODAY()-tblStock[[#This Row],[UltimoMov]])</f>
        <v/>
      </c>
    </row>
    <row r="208" spans="2:18" x14ac:dyDescent="0.25">
      <c r="B208" s="53" t="str">
        <f>IF('05_PRODUCTOS'!$B208="","",'05_PRODUCTOS'!$B208)</f>
        <v/>
      </c>
      <c r="C208" s="54" t="str">
        <f>IF($B208="","",'05_PRODUCTOS'!$C208)</f>
        <v/>
      </c>
      <c r="D208" s="54" t="str">
        <f>IF($B208="","",'05_PRODUCTOS'!$D208)</f>
        <v/>
      </c>
      <c r="E208" s="54" t="str">
        <f>IF($B208="","",'05_PRODUCTOS'!$I208&amp;"")</f>
        <v/>
      </c>
      <c r="F208" s="53" t="str">
        <f>IF($B208="","",'05_PRODUCTOS'!$E208)</f>
        <v/>
      </c>
      <c r="G208" s="53" t="str">
        <f>IF($B208="","",IF('05_PRODUCTOS'!$K208="NO","NO","SI"))</f>
        <v/>
      </c>
      <c r="H208" s="55" t="str">
        <f>IF(tblStock[[#This Row],[SKU]]="","",SUMIFS(tblMovimientos[CantidadNeta],tblMovimientos[SKU],tblStock[[#This Row],[SKU]],tblMovimientos[FactorStock],1))</f>
        <v/>
      </c>
      <c r="I208" s="55" t="str">
        <f>IF(tblStock[[#This Row],[SKU]]="","",-SUMIFS(tblMovimientos[CantidadNeta],tblMovimientos[SKU],tblStock[[#This Row],[SKU]],tblMovimientos[FactorStock],-1))</f>
        <v/>
      </c>
      <c r="J208" s="56" t="str">
        <f>IF(tblStock[[#This Row],[SKU]]="","",SUMIFS(tblMovimientos[CantidadNeta],tblMovimientos[SKU],tblStock[[#This Row],[SKU]]))</f>
        <v/>
      </c>
      <c r="K208" s="55" t="str">
        <f>IF($B208="","",N('05_PRODUCTOS'!$F208))</f>
        <v/>
      </c>
      <c r="L208" s="55" t="str">
        <f>IF($B208="","",N('05_PRODUCTOS'!$G208))</f>
        <v/>
      </c>
      <c r="M208" s="57" t="str">
        <f>IF(OR(tblStock[[#This Row],[SKU]]="",N(tblStock[[#This Row],[StockMax]])=0),"",MAX(0,tblStock[[#This Row],[StockActual]])/tblStock[[#This Row],[StockMax]])</f>
        <v/>
      </c>
      <c r="N20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8" s="59" t="str">
        <f>IF($B208="","",N('05_PRODUCTOS'!$H208))</f>
        <v/>
      </c>
      <c r="P208" s="59" t="str">
        <f>IF(tblStock[[#This Row],[SKU]]="","",MAX(0,tblStock[[#This Row],[StockActual]])*tblStock[[#This Row],[CostoUnitario]])</f>
        <v/>
      </c>
      <c r="Q208" s="60" t="str">
        <f>IF(tblStock[[#This Row],[SKU]]="","",IFERROR(_xlfn.AGGREGATE(14,6,tblMovimientos[Fecha]/(tblMovimientos[SKU]=tblStock[[#This Row],[SKU]]),1),""))</f>
        <v/>
      </c>
      <c r="R208" s="61" t="str">
        <f ca="1">IF(OR(tblStock[[#This Row],[SKU]]="",tblStock[[#This Row],[UltimoMov]]=""),"",TODAY()-tblStock[[#This Row],[UltimoMov]])</f>
        <v/>
      </c>
    </row>
    <row r="209" spans="2:18" x14ac:dyDescent="0.25">
      <c r="B209" s="53" t="str">
        <f>IF('05_PRODUCTOS'!$B209="","",'05_PRODUCTOS'!$B209)</f>
        <v/>
      </c>
      <c r="C209" s="54" t="str">
        <f>IF($B209="","",'05_PRODUCTOS'!$C209)</f>
        <v/>
      </c>
      <c r="D209" s="54" t="str">
        <f>IF($B209="","",'05_PRODUCTOS'!$D209)</f>
        <v/>
      </c>
      <c r="E209" s="54" t="str">
        <f>IF($B209="","",'05_PRODUCTOS'!$I209&amp;"")</f>
        <v/>
      </c>
      <c r="F209" s="53" t="str">
        <f>IF($B209="","",'05_PRODUCTOS'!$E209)</f>
        <v/>
      </c>
      <c r="G209" s="53" t="str">
        <f>IF($B209="","",IF('05_PRODUCTOS'!$K209="NO","NO","SI"))</f>
        <v/>
      </c>
      <c r="H209" s="55" t="str">
        <f>IF(tblStock[[#This Row],[SKU]]="","",SUMIFS(tblMovimientos[CantidadNeta],tblMovimientos[SKU],tblStock[[#This Row],[SKU]],tblMovimientos[FactorStock],1))</f>
        <v/>
      </c>
      <c r="I209" s="55" t="str">
        <f>IF(tblStock[[#This Row],[SKU]]="","",-SUMIFS(tblMovimientos[CantidadNeta],tblMovimientos[SKU],tblStock[[#This Row],[SKU]],tblMovimientos[FactorStock],-1))</f>
        <v/>
      </c>
      <c r="J209" s="56" t="str">
        <f>IF(tblStock[[#This Row],[SKU]]="","",SUMIFS(tblMovimientos[CantidadNeta],tblMovimientos[SKU],tblStock[[#This Row],[SKU]]))</f>
        <v/>
      </c>
      <c r="K209" s="55" t="str">
        <f>IF($B209="","",N('05_PRODUCTOS'!$F209))</f>
        <v/>
      </c>
      <c r="L209" s="55" t="str">
        <f>IF($B209="","",N('05_PRODUCTOS'!$G209))</f>
        <v/>
      </c>
      <c r="M209" s="57" t="str">
        <f>IF(OR(tblStock[[#This Row],[SKU]]="",N(tblStock[[#This Row],[StockMax]])=0),"",MAX(0,tblStock[[#This Row],[StockActual]])/tblStock[[#This Row],[StockMax]])</f>
        <v/>
      </c>
      <c r="N20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09" s="59" t="str">
        <f>IF($B209="","",N('05_PRODUCTOS'!$H209))</f>
        <v/>
      </c>
      <c r="P209" s="59" t="str">
        <f>IF(tblStock[[#This Row],[SKU]]="","",MAX(0,tblStock[[#This Row],[StockActual]])*tblStock[[#This Row],[CostoUnitario]])</f>
        <v/>
      </c>
      <c r="Q209" s="60" t="str">
        <f>IF(tblStock[[#This Row],[SKU]]="","",IFERROR(_xlfn.AGGREGATE(14,6,tblMovimientos[Fecha]/(tblMovimientos[SKU]=tblStock[[#This Row],[SKU]]),1),""))</f>
        <v/>
      </c>
      <c r="R209" s="61" t="str">
        <f ca="1">IF(OR(tblStock[[#This Row],[SKU]]="",tblStock[[#This Row],[UltimoMov]]=""),"",TODAY()-tblStock[[#This Row],[UltimoMov]])</f>
        <v/>
      </c>
    </row>
    <row r="210" spans="2:18" x14ac:dyDescent="0.25">
      <c r="B210" s="53" t="str">
        <f>IF('05_PRODUCTOS'!$B210="","",'05_PRODUCTOS'!$B210)</f>
        <v/>
      </c>
      <c r="C210" s="54" t="str">
        <f>IF($B210="","",'05_PRODUCTOS'!$C210)</f>
        <v/>
      </c>
      <c r="D210" s="54" t="str">
        <f>IF($B210="","",'05_PRODUCTOS'!$D210)</f>
        <v/>
      </c>
      <c r="E210" s="54" t="str">
        <f>IF($B210="","",'05_PRODUCTOS'!$I210&amp;"")</f>
        <v/>
      </c>
      <c r="F210" s="53" t="str">
        <f>IF($B210="","",'05_PRODUCTOS'!$E210)</f>
        <v/>
      </c>
      <c r="G210" s="53" t="str">
        <f>IF($B210="","",IF('05_PRODUCTOS'!$K210="NO","NO","SI"))</f>
        <v/>
      </c>
      <c r="H210" s="55" t="str">
        <f>IF(tblStock[[#This Row],[SKU]]="","",SUMIFS(tblMovimientos[CantidadNeta],tblMovimientos[SKU],tblStock[[#This Row],[SKU]],tblMovimientos[FactorStock],1))</f>
        <v/>
      </c>
      <c r="I210" s="55" t="str">
        <f>IF(tblStock[[#This Row],[SKU]]="","",-SUMIFS(tblMovimientos[CantidadNeta],tblMovimientos[SKU],tblStock[[#This Row],[SKU]],tblMovimientos[FactorStock],-1))</f>
        <v/>
      </c>
      <c r="J210" s="56" t="str">
        <f>IF(tblStock[[#This Row],[SKU]]="","",SUMIFS(tblMovimientos[CantidadNeta],tblMovimientos[SKU],tblStock[[#This Row],[SKU]]))</f>
        <v/>
      </c>
      <c r="K210" s="55" t="str">
        <f>IF($B210="","",N('05_PRODUCTOS'!$F210))</f>
        <v/>
      </c>
      <c r="L210" s="55" t="str">
        <f>IF($B210="","",N('05_PRODUCTOS'!$G210))</f>
        <v/>
      </c>
      <c r="M210" s="57" t="str">
        <f>IF(OR(tblStock[[#This Row],[SKU]]="",N(tblStock[[#This Row],[StockMax]])=0),"",MAX(0,tblStock[[#This Row],[StockActual]])/tblStock[[#This Row],[StockMax]])</f>
        <v/>
      </c>
      <c r="N21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0" s="59" t="str">
        <f>IF($B210="","",N('05_PRODUCTOS'!$H210))</f>
        <v/>
      </c>
      <c r="P210" s="59" t="str">
        <f>IF(tblStock[[#This Row],[SKU]]="","",MAX(0,tblStock[[#This Row],[StockActual]])*tblStock[[#This Row],[CostoUnitario]])</f>
        <v/>
      </c>
      <c r="Q210" s="60" t="str">
        <f>IF(tblStock[[#This Row],[SKU]]="","",IFERROR(_xlfn.AGGREGATE(14,6,tblMovimientos[Fecha]/(tblMovimientos[SKU]=tblStock[[#This Row],[SKU]]),1),""))</f>
        <v/>
      </c>
      <c r="R210" s="61" t="str">
        <f ca="1">IF(OR(tblStock[[#This Row],[SKU]]="",tblStock[[#This Row],[UltimoMov]]=""),"",TODAY()-tblStock[[#This Row],[UltimoMov]])</f>
        <v/>
      </c>
    </row>
    <row r="211" spans="2:18" x14ac:dyDescent="0.25">
      <c r="B211" s="53" t="str">
        <f>IF('05_PRODUCTOS'!$B211="","",'05_PRODUCTOS'!$B211)</f>
        <v/>
      </c>
      <c r="C211" s="54" t="str">
        <f>IF($B211="","",'05_PRODUCTOS'!$C211)</f>
        <v/>
      </c>
      <c r="D211" s="54" t="str">
        <f>IF($B211="","",'05_PRODUCTOS'!$D211)</f>
        <v/>
      </c>
      <c r="E211" s="54" t="str">
        <f>IF($B211="","",'05_PRODUCTOS'!$I211&amp;"")</f>
        <v/>
      </c>
      <c r="F211" s="53" t="str">
        <f>IF($B211="","",'05_PRODUCTOS'!$E211)</f>
        <v/>
      </c>
      <c r="G211" s="53" t="str">
        <f>IF($B211="","",IF('05_PRODUCTOS'!$K211="NO","NO","SI"))</f>
        <v/>
      </c>
      <c r="H211" s="55" t="str">
        <f>IF(tblStock[[#This Row],[SKU]]="","",SUMIFS(tblMovimientos[CantidadNeta],tblMovimientos[SKU],tblStock[[#This Row],[SKU]],tblMovimientos[FactorStock],1))</f>
        <v/>
      </c>
      <c r="I211" s="55" t="str">
        <f>IF(tblStock[[#This Row],[SKU]]="","",-SUMIFS(tblMovimientos[CantidadNeta],tblMovimientos[SKU],tblStock[[#This Row],[SKU]],tblMovimientos[FactorStock],-1))</f>
        <v/>
      </c>
      <c r="J211" s="56" t="str">
        <f>IF(tblStock[[#This Row],[SKU]]="","",SUMIFS(tblMovimientos[CantidadNeta],tblMovimientos[SKU],tblStock[[#This Row],[SKU]]))</f>
        <v/>
      </c>
      <c r="K211" s="55" t="str">
        <f>IF($B211="","",N('05_PRODUCTOS'!$F211))</f>
        <v/>
      </c>
      <c r="L211" s="55" t="str">
        <f>IF($B211="","",N('05_PRODUCTOS'!$G211))</f>
        <v/>
      </c>
      <c r="M211" s="57" t="str">
        <f>IF(OR(tblStock[[#This Row],[SKU]]="",N(tblStock[[#This Row],[StockMax]])=0),"",MAX(0,tblStock[[#This Row],[StockActual]])/tblStock[[#This Row],[StockMax]])</f>
        <v/>
      </c>
      <c r="N21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1" s="59" t="str">
        <f>IF($B211="","",N('05_PRODUCTOS'!$H211))</f>
        <v/>
      </c>
      <c r="P211" s="59" t="str">
        <f>IF(tblStock[[#This Row],[SKU]]="","",MAX(0,tblStock[[#This Row],[StockActual]])*tblStock[[#This Row],[CostoUnitario]])</f>
        <v/>
      </c>
      <c r="Q211" s="60" t="str">
        <f>IF(tblStock[[#This Row],[SKU]]="","",IFERROR(_xlfn.AGGREGATE(14,6,tblMovimientos[Fecha]/(tblMovimientos[SKU]=tblStock[[#This Row],[SKU]]),1),""))</f>
        <v/>
      </c>
      <c r="R211" s="61" t="str">
        <f ca="1">IF(OR(tblStock[[#This Row],[SKU]]="",tblStock[[#This Row],[UltimoMov]]=""),"",TODAY()-tblStock[[#This Row],[UltimoMov]])</f>
        <v/>
      </c>
    </row>
    <row r="212" spans="2:18" x14ac:dyDescent="0.25">
      <c r="B212" s="53" t="str">
        <f>IF('05_PRODUCTOS'!$B212="","",'05_PRODUCTOS'!$B212)</f>
        <v/>
      </c>
      <c r="C212" s="54" t="str">
        <f>IF($B212="","",'05_PRODUCTOS'!$C212)</f>
        <v/>
      </c>
      <c r="D212" s="54" t="str">
        <f>IF($B212="","",'05_PRODUCTOS'!$D212)</f>
        <v/>
      </c>
      <c r="E212" s="54" t="str">
        <f>IF($B212="","",'05_PRODUCTOS'!$I212&amp;"")</f>
        <v/>
      </c>
      <c r="F212" s="53" t="str">
        <f>IF($B212="","",'05_PRODUCTOS'!$E212)</f>
        <v/>
      </c>
      <c r="G212" s="53" t="str">
        <f>IF($B212="","",IF('05_PRODUCTOS'!$K212="NO","NO","SI"))</f>
        <v/>
      </c>
      <c r="H212" s="55" t="str">
        <f>IF(tblStock[[#This Row],[SKU]]="","",SUMIFS(tblMovimientos[CantidadNeta],tblMovimientos[SKU],tblStock[[#This Row],[SKU]],tblMovimientos[FactorStock],1))</f>
        <v/>
      </c>
      <c r="I212" s="55" t="str">
        <f>IF(tblStock[[#This Row],[SKU]]="","",-SUMIFS(tblMovimientos[CantidadNeta],tblMovimientos[SKU],tblStock[[#This Row],[SKU]],tblMovimientos[FactorStock],-1))</f>
        <v/>
      </c>
      <c r="J212" s="56" t="str">
        <f>IF(tblStock[[#This Row],[SKU]]="","",SUMIFS(tblMovimientos[CantidadNeta],tblMovimientos[SKU],tblStock[[#This Row],[SKU]]))</f>
        <v/>
      </c>
      <c r="K212" s="55" t="str">
        <f>IF($B212="","",N('05_PRODUCTOS'!$F212))</f>
        <v/>
      </c>
      <c r="L212" s="55" t="str">
        <f>IF($B212="","",N('05_PRODUCTOS'!$G212))</f>
        <v/>
      </c>
      <c r="M212" s="57" t="str">
        <f>IF(OR(tblStock[[#This Row],[SKU]]="",N(tblStock[[#This Row],[StockMax]])=0),"",MAX(0,tblStock[[#This Row],[StockActual]])/tblStock[[#This Row],[StockMax]])</f>
        <v/>
      </c>
      <c r="N21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2" s="59" t="str">
        <f>IF($B212="","",N('05_PRODUCTOS'!$H212))</f>
        <v/>
      </c>
      <c r="P212" s="59" t="str">
        <f>IF(tblStock[[#This Row],[SKU]]="","",MAX(0,tblStock[[#This Row],[StockActual]])*tblStock[[#This Row],[CostoUnitario]])</f>
        <v/>
      </c>
      <c r="Q212" s="60" t="str">
        <f>IF(tblStock[[#This Row],[SKU]]="","",IFERROR(_xlfn.AGGREGATE(14,6,tblMovimientos[Fecha]/(tblMovimientos[SKU]=tblStock[[#This Row],[SKU]]),1),""))</f>
        <v/>
      </c>
      <c r="R212" s="61" t="str">
        <f ca="1">IF(OR(tblStock[[#This Row],[SKU]]="",tblStock[[#This Row],[UltimoMov]]=""),"",TODAY()-tblStock[[#This Row],[UltimoMov]])</f>
        <v/>
      </c>
    </row>
    <row r="213" spans="2:18" x14ac:dyDescent="0.25">
      <c r="B213" s="53" t="str">
        <f>IF('05_PRODUCTOS'!$B213="","",'05_PRODUCTOS'!$B213)</f>
        <v/>
      </c>
      <c r="C213" s="54" t="str">
        <f>IF($B213="","",'05_PRODUCTOS'!$C213)</f>
        <v/>
      </c>
      <c r="D213" s="54" t="str">
        <f>IF($B213="","",'05_PRODUCTOS'!$D213)</f>
        <v/>
      </c>
      <c r="E213" s="54" t="str">
        <f>IF($B213="","",'05_PRODUCTOS'!$I213&amp;"")</f>
        <v/>
      </c>
      <c r="F213" s="53" t="str">
        <f>IF($B213="","",'05_PRODUCTOS'!$E213)</f>
        <v/>
      </c>
      <c r="G213" s="53" t="str">
        <f>IF($B213="","",IF('05_PRODUCTOS'!$K213="NO","NO","SI"))</f>
        <v/>
      </c>
      <c r="H213" s="55" t="str">
        <f>IF(tblStock[[#This Row],[SKU]]="","",SUMIFS(tblMovimientos[CantidadNeta],tblMovimientos[SKU],tblStock[[#This Row],[SKU]],tblMovimientos[FactorStock],1))</f>
        <v/>
      </c>
      <c r="I213" s="55" t="str">
        <f>IF(tblStock[[#This Row],[SKU]]="","",-SUMIFS(tblMovimientos[CantidadNeta],tblMovimientos[SKU],tblStock[[#This Row],[SKU]],tblMovimientos[FactorStock],-1))</f>
        <v/>
      </c>
      <c r="J213" s="56" t="str">
        <f>IF(tblStock[[#This Row],[SKU]]="","",SUMIFS(tblMovimientos[CantidadNeta],tblMovimientos[SKU],tblStock[[#This Row],[SKU]]))</f>
        <v/>
      </c>
      <c r="K213" s="55" t="str">
        <f>IF($B213="","",N('05_PRODUCTOS'!$F213))</f>
        <v/>
      </c>
      <c r="L213" s="55" t="str">
        <f>IF($B213="","",N('05_PRODUCTOS'!$G213))</f>
        <v/>
      </c>
      <c r="M213" s="57" t="str">
        <f>IF(OR(tblStock[[#This Row],[SKU]]="",N(tblStock[[#This Row],[StockMax]])=0),"",MAX(0,tblStock[[#This Row],[StockActual]])/tblStock[[#This Row],[StockMax]])</f>
        <v/>
      </c>
      <c r="N21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3" s="59" t="str">
        <f>IF($B213="","",N('05_PRODUCTOS'!$H213))</f>
        <v/>
      </c>
      <c r="P213" s="59" t="str">
        <f>IF(tblStock[[#This Row],[SKU]]="","",MAX(0,tblStock[[#This Row],[StockActual]])*tblStock[[#This Row],[CostoUnitario]])</f>
        <v/>
      </c>
      <c r="Q213" s="60" t="str">
        <f>IF(tblStock[[#This Row],[SKU]]="","",IFERROR(_xlfn.AGGREGATE(14,6,tblMovimientos[Fecha]/(tblMovimientos[SKU]=tblStock[[#This Row],[SKU]]),1),""))</f>
        <v/>
      </c>
      <c r="R213" s="61" t="str">
        <f ca="1">IF(OR(tblStock[[#This Row],[SKU]]="",tblStock[[#This Row],[UltimoMov]]=""),"",TODAY()-tblStock[[#This Row],[UltimoMov]])</f>
        <v/>
      </c>
    </row>
    <row r="214" spans="2:18" x14ac:dyDescent="0.25">
      <c r="B214" s="53" t="str">
        <f>IF('05_PRODUCTOS'!$B214="","",'05_PRODUCTOS'!$B214)</f>
        <v/>
      </c>
      <c r="C214" s="54" t="str">
        <f>IF($B214="","",'05_PRODUCTOS'!$C214)</f>
        <v/>
      </c>
      <c r="D214" s="54" t="str">
        <f>IF($B214="","",'05_PRODUCTOS'!$D214)</f>
        <v/>
      </c>
      <c r="E214" s="54" t="str">
        <f>IF($B214="","",'05_PRODUCTOS'!$I214&amp;"")</f>
        <v/>
      </c>
      <c r="F214" s="53" t="str">
        <f>IF($B214="","",'05_PRODUCTOS'!$E214)</f>
        <v/>
      </c>
      <c r="G214" s="53" t="str">
        <f>IF($B214="","",IF('05_PRODUCTOS'!$K214="NO","NO","SI"))</f>
        <v/>
      </c>
      <c r="H214" s="55" t="str">
        <f>IF(tblStock[[#This Row],[SKU]]="","",SUMIFS(tblMovimientos[CantidadNeta],tblMovimientos[SKU],tblStock[[#This Row],[SKU]],tblMovimientos[FactorStock],1))</f>
        <v/>
      </c>
      <c r="I214" s="55" t="str">
        <f>IF(tblStock[[#This Row],[SKU]]="","",-SUMIFS(tblMovimientos[CantidadNeta],tblMovimientos[SKU],tblStock[[#This Row],[SKU]],tblMovimientos[FactorStock],-1))</f>
        <v/>
      </c>
      <c r="J214" s="56" t="str">
        <f>IF(tblStock[[#This Row],[SKU]]="","",SUMIFS(tblMovimientos[CantidadNeta],tblMovimientos[SKU],tblStock[[#This Row],[SKU]]))</f>
        <v/>
      </c>
      <c r="K214" s="55" t="str">
        <f>IF($B214="","",N('05_PRODUCTOS'!$F214))</f>
        <v/>
      </c>
      <c r="L214" s="55" t="str">
        <f>IF($B214="","",N('05_PRODUCTOS'!$G214))</f>
        <v/>
      </c>
      <c r="M214" s="57" t="str">
        <f>IF(OR(tblStock[[#This Row],[SKU]]="",N(tblStock[[#This Row],[StockMax]])=0),"",MAX(0,tblStock[[#This Row],[StockActual]])/tblStock[[#This Row],[StockMax]])</f>
        <v/>
      </c>
      <c r="N21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4" s="59" t="str">
        <f>IF($B214="","",N('05_PRODUCTOS'!$H214))</f>
        <v/>
      </c>
      <c r="P214" s="59" t="str">
        <f>IF(tblStock[[#This Row],[SKU]]="","",MAX(0,tblStock[[#This Row],[StockActual]])*tblStock[[#This Row],[CostoUnitario]])</f>
        <v/>
      </c>
      <c r="Q214" s="60" t="str">
        <f>IF(tblStock[[#This Row],[SKU]]="","",IFERROR(_xlfn.AGGREGATE(14,6,tblMovimientos[Fecha]/(tblMovimientos[SKU]=tblStock[[#This Row],[SKU]]),1),""))</f>
        <v/>
      </c>
      <c r="R214" s="61" t="str">
        <f ca="1">IF(OR(tblStock[[#This Row],[SKU]]="",tblStock[[#This Row],[UltimoMov]]=""),"",TODAY()-tblStock[[#This Row],[UltimoMov]])</f>
        <v/>
      </c>
    </row>
    <row r="215" spans="2:18" x14ac:dyDescent="0.25">
      <c r="B215" s="53" t="str">
        <f>IF('05_PRODUCTOS'!$B215="","",'05_PRODUCTOS'!$B215)</f>
        <v/>
      </c>
      <c r="C215" s="54" t="str">
        <f>IF($B215="","",'05_PRODUCTOS'!$C215)</f>
        <v/>
      </c>
      <c r="D215" s="54" t="str">
        <f>IF($B215="","",'05_PRODUCTOS'!$D215)</f>
        <v/>
      </c>
      <c r="E215" s="54" t="str">
        <f>IF($B215="","",'05_PRODUCTOS'!$I215&amp;"")</f>
        <v/>
      </c>
      <c r="F215" s="53" t="str">
        <f>IF($B215="","",'05_PRODUCTOS'!$E215)</f>
        <v/>
      </c>
      <c r="G215" s="53" t="str">
        <f>IF($B215="","",IF('05_PRODUCTOS'!$K215="NO","NO","SI"))</f>
        <v/>
      </c>
      <c r="H215" s="55" t="str">
        <f>IF(tblStock[[#This Row],[SKU]]="","",SUMIFS(tblMovimientos[CantidadNeta],tblMovimientos[SKU],tblStock[[#This Row],[SKU]],tblMovimientos[FactorStock],1))</f>
        <v/>
      </c>
      <c r="I215" s="55" t="str">
        <f>IF(tblStock[[#This Row],[SKU]]="","",-SUMIFS(tblMovimientos[CantidadNeta],tblMovimientos[SKU],tblStock[[#This Row],[SKU]],tblMovimientos[FactorStock],-1))</f>
        <v/>
      </c>
      <c r="J215" s="56" t="str">
        <f>IF(tblStock[[#This Row],[SKU]]="","",SUMIFS(tblMovimientos[CantidadNeta],tblMovimientos[SKU],tblStock[[#This Row],[SKU]]))</f>
        <v/>
      </c>
      <c r="K215" s="55" t="str">
        <f>IF($B215="","",N('05_PRODUCTOS'!$F215))</f>
        <v/>
      </c>
      <c r="L215" s="55" t="str">
        <f>IF($B215="","",N('05_PRODUCTOS'!$G215))</f>
        <v/>
      </c>
      <c r="M215" s="57" t="str">
        <f>IF(OR(tblStock[[#This Row],[SKU]]="",N(tblStock[[#This Row],[StockMax]])=0),"",MAX(0,tblStock[[#This Row],[StockActual]])/tblStock[[#This Row],[StockMax]])</f>
        <v/>
      </c>
      <c r="N21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5" s="59" t="str">
        <f>IF($B215="","",N('05_PRODUCTOS'!$H215))</f>
        <v/>
      </c>
      <c r="P215" s="59" t="str">
        <f>IF(tblStock[[#This Row],[SKU]]="","",MAX(0,tblStock[[#This Row],[StockActual]])*tblStock[[#This Row],[CostoUnitario]])</f>
        <v/>
      </c>
      <c r="Q215" s="60" t="str">
        <f>IF(tblStock[[#This Row],[SKU]]="","",IFERROR(_xlfn.AGGREGATE(14,6,tblMovimientos[Fecha]/(tblMovimientos[SKU]=tblStock[[#This Row],[SKU]]),1),""))</f>
        <v/>
      </c>
      <c r="R215" s="61" t="str">
        <f ca="1">IF(OR(tblStock[[#This Row],[SKU]]="",tblStock[[#This Row],[UltimoMov]]=""),"",TODAY()-tblStock[[#This Row],[UltimoMov]])</f>
        <v/>
      </c>
    </row>
    <row r="216" spans="2:18" x14ac:dyDescent="0.25">
      <c r="B216" s="53" t="str">
        <f>IF('05_PRODUCTOS'!$B216="","",'05_PRODUCTOS'!$B216)</f>
        <v/>
      </c>
      <c r="C216" s="54" t="str">
        <f>IF($B216="","",'05_PRODUCTOS'!$C216)</f>
        <v/>
      </c>
      <c r="D216" s="54" t="str">
        <f>IF($B216="","",'05_PRODUCTOS'!$D216)</f>
        <v/>
      </c>
      <c r="E216" s="54" t="str">
        <f>IF($B216="","",'05_PRODUCTOS'!$I216&amp;"")</f>
        <v/>
      </c>
      <c r="F216" s="53" t="str">
        <f>IF($B216="","",'05_PRODUCTOS'!$E216)</f>
        <v/>
      </c>
      <c r="G216" s="53" t="str">
        <f>IF($B216="","",IF('05_PRODUCTOS'!$K216="NO","NO","SI"))</f>
        <v/>
      </c>
      <c r="H216" s="55" t="str">
        <f>IF(tblStock[[#This Row],[SKU]]="","",SUMIFS(tblMovimientos[CantidadNeta],tblMovimientos[SKU],tblStock[[#This Row],[SKU]],tblMovimientos[FactorStock],1))</f>
        <v/>
      </c>
      <c r="I216" s="55" t="str">
        <f>IF(tblStock[[#This Row],[SKU]]="","",-SUMIFS(tblMovimientos[CantidadNeta],tblMovimientos[SKU],tblStock[[#This Row],[SKU]],tblMovimientos[FactorStock],-1))</f>
        <v/>
      </c>
      <c r="J216" s="56" t="str">
        <f>IF(tblStock[[#This Row],[SKU]]="","",SUMIFS(tblMovimientos[CantidadNeta],tblMovimientos[SKU],tblStock[[#This Row],[SKU]]))</f>
        <v/>
      </c>
      <c r="K216" s="55" t="str">
        <f>IF($B216="","",N('05_PRODUCTOS'!$F216))</f>
        <v/>
      </c>
      <c r="L216" s="55" t="str">
        <f>IF($B216="","",N('05_PRODUCTOS'!$G216))</f>
        <v/>
      </c>
      <c r="M216" s="57" t="str">
        <f>IF(OR(tblStock[[#This Row],[SKU]]="",N(tblStock[[#This Row],[StockMax]])=0),"",MAX(0,tblStock[[#This Row],[StockActual]])/tblStock[[#This Row],[StockMax]])</f>
        <v/>
      </c>
      <c r="N21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6" s="59" t="str">
        <f>IF($B216="","",N('05_PRODUCTOS'!$H216))</f>
        <v/>
      </c>
      <c r="P216" s="59" t="str">
        <f>IF(tblStock[[#This Row],[SKU]]="","",MAX(0,tblStock[[#This Row],[StockActual]])*tblStock[[#This Row],[CostoUnitario]])</f>
        <v/>
      </c>
      <c r="Q216" s="60" t="str">
        <f>IF(tblStock[[#This Row],[SKU]]="","",IFERROR(_xlfn.AGGREGATE(14,6,tblMovimientos[Fecha]/(tblMovimientos[SKU]=tblStock[[#This Row],[SKU]]),1),""))</f>
        <v/>
      </c>
      <c r="R216" s="61" t="str">
        <f ca="1">IF(OR(tblStock[[#This Row],[SKU]]="",tblStock[[#This Row],[UltimoMov]]=""),"",TODAY()-tblStock[[#This Row],[UltimoMov]])</f>
        <v/>
      </c>
    </row>
    <row r="217" spans="2:18" x14ac:dyDescent="0.25">
      <c r="B217" s="53" t="str">
        <f>IF('05_PRODUCTOS'!$B217="","",'05_PRODUCTOS'!$B217)</f>
        <v/>
      </c>
      <c r="C217" s="54" t="str">
        <f>IF($B217="","",'05_PRODUCTOS'!$C217)</f>
        <v/>
      </c>
      <c r="D217" s="54" t="str">
        <f>IF($B217="","",'05_PRODUCTOS'!$D217)</f>
        <v/>
      </c>
      <c r="E217" s="54" t="str">
        <f>IF($B217="","",'05_PRODUCTOS'!$I217&amp;"")</f>
        <v/>
      </c>
      <c r="F217" s="53" t="str">
        <f>IF($B217="","",'05_PRODUCTOS'!$E217)</f>
        <v/>
      </c>
      <c r="G217" s="53" t="str">
        <f>IF($B217="","",IF('05_PRODUCTOS'!$K217="NO","NO","SI"))</f>
        <v/>
      </c>
      <c r="H217" s="55" t="str">
        <f>IF(tblStock[[#This Row],[SKU]]="","",SUMIFS(tblMovimientos[CantidadNeta],tblMovimientos[SKU],tblStock[[#This Row],[SKU]],tblMovimientos[FactorStock],1))</f>
        <v/>
      </c>
      <c r="I217" s="55" t="str">
        <f>IF(tblStock[[#This Row],[SKU]]="","",-SUMIFS(tblMovimientos[CantidadNeta],tblMovimientos[SKU],tblStock[[#This Row],[SKU]],tblMovimientos[FactorStock],-1))</f>
        <v/>
      </c>
      <c r="J217" s="56" t="str">
        <f>IF(tblStock[[#This Row],[SKU]]="","",SUMIFS(tblMovimientos[CantidadNeta],tblMovimientos[SKU],tblStock[[#This Row],[SKU]]))</f>
        <v/>
      </c>
      <c r="K217" s="55" t="str">
        <f>IF($B217="","",N('05_PRODUCTOS'!$F217))</f>
        <v/>
      </c>
      <c r="L217" s="55" t="str">
        <f>IF($B217="","",N('05_PRODUCTOS'!$G217))</f>
        <v/>
      </c>
      <c r="M217" s="57" t="str">
        <f>IF(OR(tblStock[[#This Row],[SKU]]="",N(tblStock[[#This Row],[StockMax]])=0),"",MAX(0,tblStock[[#This Row],[StockActual]])/tblStock[[#This Row],[StockMax]])</f>
        <v/>
      </c>
      <c r="N21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7" s="59" t="str">
        <f>IF($B217="","",N('05_PRODUCTOS'!$H217))</f>
        <v/>
      </c>
      <c r="P217" s="59" t="str">
        <f>IF(tblStock[[#This Row],[SKU]]="","",MAX(0,tblStock[[#This Row],[StockActual]])*tblStock[[#This Row],[CostoUnitario]])</f>
        <v/>
      </c>
      <c r="Q217" s="60" t="str">
        <f>IF(tblStock[[#This Row],[SKU]]="","",IFERROR(_xlfn.AGGREGATE(14,6,tblMovimientos[Fecha]/(tblMovimientos[SKU]=tblStock[[#This Row],[SKU]]),1),""))</f>
        <v/>
      </c>
      <c r="R217" s="61" t="str">
        <f ca="1">IF(OR(tblStock[[#This Row],[SKU]]="",tblStock[[#This Row],[UltimoMov]]=""),"",TODAY()-tblStock[[#This Row],[UltimoMov]])</f>
        <v/>
      </c>
    </row>
    <row r="218" spans="2:18" x14ac:dyDescent="0.25">
      <c r="B218" s="53" t="str">
        <f>IF('05_PRODUCTOS'!$B218="","",'05_PRODUCTOS'!$B218)</f>
        <v/>
      </c>
      <c r="C218" s="54" t="str">
        <f>IF($B218="","",'05_PRODUCTOS'!$C218)</f>
        <v/>
      </c>
      <c r="D218" s="54" t="str">
        <f>IF($B218="","",'05_PRODUCTOS'!$D218)</f>
        <v/>
      </c>
      <c r="E218" s="54" t="str">
        <f>IF($B218="","",'05_PRODUCTOS'!$I218&amp;"")</f>
        <v/>
      </c>
      <c r="F218" s="53" t="str">
        <f>IF($B218="","",'05_PRODUCTOS'!$E218)</f>
        <v/>
      </c>
      <c r="G218" s="53" t="str">
        <f>IF($B218="","",IF('05_PRODUCTOS'!$K218="NO","NO","SI"))</f>
        <v/>
      </c>
      <c r="H218" s="55" t="str">
        <f>IF(tblStock[[#This Row],[SKU]]="","",SUMIFS(tblMovimientos[CantidadNeta],tblMovimientos[SKU],tblStock[[#This Row],[SKU]],tblMovimientos[FactorStock],1))</f>
        <v/>
      </c>
      <c r="I218" s="55" t="str">
        <f>IF(tblStock[[#This Row],[SKU]]="","",-SUMIFS(tblMovimientos[CantidadNeta],tblMovimientos[SKU],tblStock[[#This Row],[SKU]],tblMovimientos[FactorStock],-1))</f>
        <v/>
      </c>
      <c r="J218" s="56" t="str">
        <f>IF(tblStock[[#This Row],[SKU]]="","",SUMIFS(tblMovimientos[CantidadNeta],tblMovimientos[SKU],tblStock[[#This Row],[SKU]]))</f>
        <v/>
      </c>
      <c r="K218" s="55" t="str">
        <f>IF($B218="","",N('05_PRODUCTOS'!$F218))</f>
        <v/>
      </c>
      <c r="L218" s="55" t="str">
        <f>IF($B218="","",N('05_PRODUCTOS'!$G218))</f>
        <v/>
      </c>
      <c r="M218" s="57" t="str">
        <f>IF(OR(tblStock[[#This Row],[SKU]]="",N(tblStock[[#This Row],[StockMax]])=0),"",MAX(0,tblStock[[#This Row],[StockActual]])/tblStock[[#This Row],[StockMax]])</f>
        <v/>
      </c>
      <c r="N21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8" s="59" t="str">
        <f>IF($B218="","",N('05_PRODUCTOS'!$H218))</f>
        <v/>
      </c>
      <c r="P218" s="59" t="str">
        <f>IF(tblStock[[#This Row],[SKU]]="","",MAX(0,tblStock[[#This Row],[StockActual]])*tblStock[[#This Row],[CostoUnitario]])</f>
        <v/>
      </c>
      <c r="Q218" s="60" t="str">
        <f>IF(tblStock[[#This Row],[SKU]]="","",IFERROR(_xlfn.AGGREGATE(14,6,tblMovimientos[Fecha]/(tblMovimientos[SKU]=tblStock[[#This Row],[SKU]]),1),""))</f>
        <v/>
      </c>
      <c r="R218" s="61" t="str">
        <f ca="1">IF(OR(tblStock[[#This Row],[SKU]]="",tblStock[[#This Row],[UltimoMov]]=""),"",TODAY()-tblStock[[#This Row],[UltimoMov]])</f>
        <v/>
      </c>
    </row>
    <row r="219" spans="2:18" x14ac:dyDescent="0.25">
      <c r="B219" s="53" t="str">
        <f>IF('05_PRODUCTOS'!$B219="","",'05_PRODUCTOS'!$B219)</f>
        <v/>
      </c>
      <c r="C219" s="54" t="str">
        <f>IF($B219="","",'05_PRODUCTOS'!$C219)</f>
        <v/>
      </c>
      <c r="D219" s="54" t="str">
        <f>IF($B219="","",'05_PRODUCTOS'!$D219)</f>
        <v/>
      </c>
      <c r="E219" s="54" t="str">
        <f>IF($B219="","",'05_PRODUCTOS'!$I219&amp;"")</f>
        <v/>
      </c>
      <c r="F219" s="53" t="str">
        <f>IF($B219="","",'05_PRODUCTOS'!$E219)</f>
        <v/>
      </c>
      <c r="G219" s="53" t="str">
        <f>IF($B219="","",IF('05_PRODUCTOS'!$K219="NO","NO","SI"))</f>
        <v/>
      </c>
      <c r="H219" s="55" t="str">
        <f>IF(tblStock[[#This Row],[SKU]]="","",SUMIFS(tblMovimientos[CantidadNeta],tblMovimientos[SKU],tblStock[[#This Row],[SKU]],tblMovimientos[FactorStock],1))</f>
        <v/>
      </c>
      <c r="I219" s="55" t="str">
        <f>IF(tblStock[[#This Row],[SKU]]="","",-SUMIFS(tblMovimientos[CantidadNeta],tblMovimientos[SKU],tblStock[[#This Row],[SKU]],tblMovimientos[FactorStock],-1))</f>
        <v/>
      </c>
      <c r="J219" s="56" t="str">
        <f>IF(tblStock[[#This Row],[SKU]]="","",SUMIFS(tblMovimientos[CantidadNeta],tblMovimientos[SKU],tblStock[[#This Row],[SKU]]))</f>
        <v/>
      </c>
      <c r="K219" s="55" t="str">
        <f>IF($B219="","",N('05_PRODUCTOS'!$F219))</f>
        <v/>
      </c>
      <c r="L219" s="55" t="str">
        <f>IF($B219="","",N('05_PRODUCTOS'!$G219))</f>
        <v/>
      </c>
      <c r="M219" s="57" t="str">
        <f>IF(OR(tblStock[[#This Row],[SKU]]="",N(tblStock[[#This Row],[StockMax]])=0),"",MAX(0,tblStock[[#This Row],[StockActual]])/tblStock[[#This Row],[StockMax]])</f>
        <v/>
      </c>
      <c r="N21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19" s="59" t="str">
        <f>IF($B219="","",N('05_PRODUCTOS'!$H219))</f>
        <v/>
      </c>
      <c r="P219" s="59" t="str">
        <f>IF(tblStock[[#This Row],[SKU]]="","",MAX(0,tblStock[[#This Row],[StockActual]])*tblStock[[#This Row],[CostoUnitario]])</f>
        <v/>
      </c>
      <c r="Q219" s="60" t="str">
        <f>IF(tblStock[[#This Row],[SKU]]="","",IFERROR(_xlfn.AGGREGATE(14,6,tblMovimientos[Fecha]/(tblMovimientos[SKU]=tblStock[[#This Row],[SKU]]),1),""))</f>
        <v/>
      </c>
      <c r="R219" s="61" t="str">
        <f ca="1">IF(OR(tblStock[[#This Row],[SKU]]="",tblStock[[#This Row],[UltimoMov]]=""),"",TODAY()-tblStock[[#This Row],[UltimoMov]])</f>
        <v/>
      </c>
    </row>
    <row r="220" spans="2:18" x14ac:dyDescent="0.25">
      <c r="B220" s="53" t="str">
        <f>IF('05_PRODUCTOS'!$B220="","",'05_PRODUCTOS'!$B220)</f>
        <v/>
      </c>
      <c r="C220" s="54" t="str">
        <f>IF($B220="","",'05_PRODUCTOS'!$C220)</f>
        <v/>
      </c>
      <c r="D220" s="54" t="str">
        <f>IF($B220="","",'05_PRODUCTOS'!$D220)</f>
        <v/>
      </c>
      <c r="E220" s="54" t="str">
        <f>IF($B220="","",'05_PRODUCTOS'!$I220&amp;"")</f>
        <v/>
      </c>
      <c r="F220" s="53" t="str">
        <f>IF($B220="","",'05_PRODUCTOS'!$E220)</f>
        <v/>
      </c>
      <c r="G220" s="53" t="str">
        <f>IF($B220="","",IF('05_PRODUCTOS'!$K220="NO","NO","SI"))</f>
        <v/>
      </c>
      <c r="H220" s="55" t="str">
        <f>IF(tblStock[[#This Row],[SKU]]="","",SUMIFS(tblMovimientos[CantidadNeta],tblMovimientos[SKU],tblStock[[#This Row],[SKU]],tblMovimientos[FactorStock],1))</f>
        <v/>
      </c>
      <c r="I220" s="55" t="str">
        <f>IF(tblStock[[#This Row],[SKU]]="","",-SUMIFS(tblMovimientos[CantidadNeta],tblMovimientos[SKU],tblStock[[#This Row],[SKU]],tblMovimientos[FactorStock],-1))</f>
        <v/>
      </c>
      <c r="J220" s="56" t="str">
        <f>IF(tblStock[[#This Row],[SKU]]="","",SUMIFS(tblMovimientos[CantidadNeta],tblMovimientos[SKU],tblStock[[#This Row],[SKU]]))</f>
        <v/>
      </c>
      <c r="K220" s="55" t="str">
        <f>IF($B220="","",N('05_PRODUCTOS'!$F220))</f>
        <v/>
      </c>
      <c r="L220" s="55" t="str">
        <f>IF($B220="","",N('05_PRODUCTOS'!$G220))</f>
        <v/>
      </c>
      <c r="M220" s="57" t="str">
        <f>IF(OR(tblStock[[#This Row],[SKU]]="",N(tblStock[[#This Row],[StockMax]])=0),"",MAX(0,tblStock[[#This Row],[StockActual]])/tblStock[[#This Row],[StockMax]])</f>
        <v/>
      </c>
      <c r="N22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0" s="59" t="str">
        <f>IF($B220="","",N('05_PRODUCTOS'!$H220))</f>
        <v/>
      </c>
      <c r="P220" s="59" t="str">
        <f>IF(tblStock[[#This Row],[SKU]]="","",MAX(0,tblStock[[#This Row],[StockActual]])*tblStock[[#This Row],[CostoUnitario]])</f>
        <v/>
      </c>
      <c r="Q220" s="60" t="str">
        <f>IF(tblStock[[#This Row],[SKU]]="","",IFERROR(_xlfn.AGGREGATE(14,6,tblMovimientos[Fecha]/(tblMovimientos[SKU]=tblStock[[#This Row],[SKU]]),1),""))</f>
        <v/>
      </c>
      <c r="R220" s="61" t="str">
        <f ca="1">IF(OR(tblStock[[#This Row],[SKU]]="",tblStock[[#This Row],[UltimoMov]]=""),"",TODAY()-tblStock[[#This Row],[UltimoMov]])</f>
        <v/>
      </c>
    </row>
    <row r="221" spans="2:18" x14ac:dyDescent="0.25">
      <c r="B221" s="53" t="str">
        <f>IF('05_PRODUCTOS'!$B221="","",'05_PRODUCTOS'!$B221)</f>
        <v/>
      </c>
      <c r="C221" s="54" t="str">
        <f>IF($B221="","",'05_PRODUCTOS'!$C221)</f>
        <v/>
      </c>
      <c r="D221" s="54" t="str">
        <f>IF($B221="","",'05_PRODUCTOS'!$D221)</f>
        <v/>
      </c>
      <c r="E221" s="54" t="str">
        <f>IF($B221="","",'05_PRODUCTOS'!$I221&amp;"")</f>
        <v/>
      </c>
      <c r="F221" s="53" t="str">
        <f>IF($B221="","",'05_PRODUCTOS'!$E221)</f>
        <v/>
      </c>
      <c r="G221" s="53" t="str">
        <f>IF($B221="","",IF('05_PRODUCTOS'!$K221="NO","NO","SI"))</f>
        <v/>
      </c>
      <c r="H221" s="55" t="str">
        <f>IF(tblStock[[#This Row],[SKU]]="","",SUMIFS(tblMovimientos[CantidadNeta],tblMovimientos[SKU],tblStock[[#This Row],[SKU]],tblMovimientos[FactorStock],1))</f>
        <v/>
      </c>
      <c r="I221" s="55" t="str">
        <f>IF(tblStock[[#This Row],[SKU]]="","",-SUMIFS(tblMovimientos[CantidadNeta],tblMovimientos[SKU],tblStock[[#This Row],[SKU]],tblMovimientos[FactorStock],-1))</f>
        <v/>
      </c>
      <c r="J221" s="56" t="str">
        <f>IF(tblStock[[#This Row],[SKU]]="","",SUMIFS(tblMovimientos[CantidadNeta],tblMovimientos[SKU],tblStock[[#This Row],[SKU]]))</f>
        <v/>
      </c>
      <c r="K221" s="55" t="str">
        <f>IF($B221="","",N('05_PRODUCTOS'!$F221))</f>
        <v/>
      </c>
      <c r="L221" s="55" t="str">
        <f>IF($B221="","",N('05_PRODUCTOS'!$G221))</f>
        <v/>
      </c>
      <c r="M221" s="57" t="str">
        <f>IF(OR(tblStock[[#This Row],[SKU]]="",N(tblStock[[#This Row],[StockMax]])=0),"",MAX(0,tblStock[[#This Row],[StockActual]])/tblStock[[#This Row],[StockMax]])</f>
        <v/>
      </c>
      <c r="N22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1" s="59" t="str">
        <f>IF($B221="","",N('05_PRODUCTOS'!$H221))</f>
        <v/>
      </c>
      <c r="P221" s="59" t="str">
        <f>IF(tblStock[[#This Row],[SKU]]="","",MAX(0,tblStock[[#This Row],[StockActual]])*tblStock[[#This Row],[CostoUnitario]])</f>
        <v/>
      </c>
      <c r="Q221" s="60" t="str">
        <f>IF(tblStock[[#This Row],[SKU]]="","",IFERROR(_xlfn.AGGREGATE(14,6,tblMovimientos[Fecha]/(tblMovimientos[SKU]=tblStock[[#This Row],[SKU]]),1),""))</f>
        <v/>
      </c>
      <c r="R221" s="61" t="str">
        <f ca="1">IF(OR(tblStock[[#This Row],[SKU]]="",tblStock[[#This Row],[UltimoMov]]=""),"",TODAY()-tblStock[[#This Row],[UltimoMov]])</f>
        <v/>
      </c>
    </row>
    <row r="222" spans="2:18" x14ac:dyDescent="0.25">
      <c r="B222" s="53" t="str">
        <f>IF('05_PRODUCTOS'!$B222="","",'05_PRODUCTOS'!$B222)</f>
        <v/>
      </c>
      <c r="C222" s="54" t="str">
        <f>IF($B222="","",'05_PRODUCTOS'!$C222)</f>
        <v/>
      </c>
      <c r="D222" s="54" t="str">
        <f>IF($B222="","",'05_PRODUCTOS'!$D222)</f>
        <v/>
      </c>
      <c r="E222" s="54" t="str">
        <f>IF($B222="","",'05_PRODUCTOS'!$I222&amp;"")</f>
        <v/>
      </c>
      <c r="F222" s="53" t="str">
        <f>IF($B222="","",'05_PRODUCTOS'!$E222)</f>
        <v/>
      </c>
      <c r="G222" s="53" t="str">
        <f>IF($B222="","",IF('05_PRODUCTOS'!$K222="NO","NO","SI"))</f>
        <v/>
      </c>
      <c r="H222" s="55" t="str">
        <f>IF(tblStock[[#This Row],[SKU]]="","",SUMIFS(tblMovimientos[CantidadNeta],tblMovimientos[SKU],tblStock[[#This Row],[SKU]],tblMovimientos[FactorStock],1))</f>
        <v/>
      </c>
      <c r="I222" s="55" t="str">
        <f>IF(tblStock[[#This Row],[SKU]]="","",-SUMIFS(tblMovimientos[CantidadNeta],tblMovimientos[SKU],tblStock[[#This Row],[SKU]],tblMovimientos[FactorStock],-1))</f>
        <v/>
      </c>
      <c r="J222" s="56" t="str">
        <f>IF(tblStock[[#This Row],[SKU]]="","",SUMIFS(tblMovimientos[CantidadNeta],tblMovimientos[SKU],tblStock[[#This Row],[SKU]]))</f>
        <v/>
      </c>
      <c r="K222" s="55" t="str">
        <f>IF($B222="","",N('05_PRODUCTOS'!$F222))</f>
        <v/>
      </c>
      <c r="L222" s="55" t="str">
        <f>IF($B222="","",N('05_PRODUCTOS'!$G222))</f>
        <v/>
      </c>
      <c r="M222" s="57" t="str">
        <f>IF(OR(tblStock[[#This Row],[SKU]]="",N(tblStock[[#This Row],[StockMax]])=0),"",MAX(0,tblStock[[#This Row],[StockActual]])/tblStock[[#This Row],[StockMax]])</f>
        <v/>
      </c>
      <c r="N22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2" s="59" t="str">
        <f>IF($B222="","",N('05_PRODUCTOS'!$H222))</f>
        <v/>
      </c>
      <c r="P222" s="59" t="str">
        <f>IF(tblStock[[#This Row],[SKU]]="","",MAX(0,tblStock[[#This Row],[StockActual]])*tblStock[[#This Row],[CostoUnitario]])</f>
        <v/>
      </c>
      <c r="Q222" s="60" t="str">
        <f>IF(tblStock[[#This Row],[SKU]]="","",IFERROR(_xlfn.AGGREGATE(14,6,tblMovimientos[Fecha]/(tblMovimientos[SKU]=tblStock[[#This Row],[SKU]]),1),""))</f>
        <v/>
      </c>
      <c r="R222" s="61" t="str">
        <f ca="1">IF(OR(tblStock[[#This Row],[SKU]]="",tblStock[[#This Row],[UltimoMov]]=""),"",TODAY()-tblStock[[#This Row],[UltimoMov]])</f>
        <v/>
      </c>
    </row>
    <row r="223" spans="2:18" x14ac:dyDescent="0.25">
      <c r="B223" s="53" t="str">
        <f>IF('05_PRODUCTOS'!$B223="","",'05_PRODUCTOS'!$B223)</f>
        <v/>
      </c>
      <c r="C223" s="54" t="str">
        <f>IF($B223="","",'05_PRODUCTOS'!$C223)</f>
        <v/>
      </c>
      <c r="D223" s="54" t="str">
        <f>IF($B223="","",'05_PRODUCTOS'!$D223)</f>
        <v/>
      </c>
      <c r="E223" s="54" t="str">
        <f>IF($B223="","",'05_PRODUCTOS'!$I223&amp;"")</f>
        <v/>
      </c>
      <c r="F223" s="53" t="str">
        <f>IF($B223="","",'05_PRODUCTOS'!$E223)</f>
        <v/>
      </c>
      <c r="G223" s="53" t="str">
        <f>IF($B223="","",IF('05_PRODUCTOS'!$K223="NO","NO","SI"))</f>
        <v/>
      </c>
      <c r="H223" s="55" t="str">
        <f>IF(tblStock[[#This Row],[SKU]]="","",SUMIFS(tblMovimientos[CantidadNeta],tblMovimientos[SKU],tblStock[[#This Row],[SKU]],tblMovimientos[FactorStock],1))</f>
        <v/>
      </c>
      <c r="I223" s="55" t="str">
        <f>IF(tblStock[[#This Row],[SKU]]="","",-SUMIFS(tblMovimientos[CantidadNeta],tblMovimientos[SKU],tblStock[[#This Row],[SKU]],tblMovimientos[FactorStock],-1))</f>
        <v/>
      </c>
      <c r="J223" s="56" t="str">
        <f>IF(tblStock[[#This Row],[SKU]]="","",SUMIFS(tblMovimientos[CantidadNeta],tblMovimientos[SKU],tblStock[[#This Row],[SKU]]))</f>
        <v/>
      </c>
      <c r="K223" s="55" t="str">
        <f>IF($B223="","",N('05_PRODUCTOS'!$F223))</f>
        <v/>
      </c>
      <c r="L223" s="55" t="str">
        <f>IF($B223="","",N('05_PRODUCTOS'!$G223))</f>
        <v/>
      </c>
      <c r="M223" s="57" t="str">
        <f>IF(OR(tblStock[[#This Row],[SKU]]="",N(tblStock[[#This Row],[StockMax]])=0),"",MAX(0,tblStock[[#This Row],[StockActual]])/tblStock[[#This Row],[StockMax]])</f>
        <v/>
      </c>
      <c r="N22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3" s="59" t="str">
        <f>IF($B223="","",N('05_PRODUCTOS'!$H223))</f>
        <v/>
      </c>
      <c r="P223" s="59" t="str">
        <f>IF(tblStock[[#This Row],[SKU]]="","",MAX(0,tblStock[[#This Row],[StockActual]])*tblStock[[#This Row],[CostoUnitario]])</f>
        <v/>
      </c>
      <c r="Q223" s="60" t="str">
        <f>IF(tblStock[[#This Row],[SKU]]="","",IFERROR(_xlfn.AGGREGATE(14,6,tblMovimientos[Fecha]/(tblMovimientos[SKU]=tblStock[[#This Row],[SKU]]),1),""))</f>
        <v/>
      </c>
      <c r="R223" s="61" t="str">
        <f ca="1">IF(OR(tblStock[[#This Row],[SKU]]="",tblStock[[#This Row],[UltimoMov]]=""),"",TODAY()-tblStock[[#This Row],[UltimoMov]])</f>
        <v/>
      </c>
    </row>
    <row r="224" spans="2:18" x14ac:dyDescent="0.25">
      <c r="B224" s="53" t="str">
        <f>IF('05_PRODUCTOS'!$B224="","",'05_PRODUCTOS'!$B224)</f>
        <v/>
      </c>
      <c r="C224" s="54" t="str">
        <f>IF($B224="","",'05_PRODUCTOS'!$C224)</f>
        <v/>
      </c>
      <c r="D224" s="54" t="str">
        <f>IF($B224="","",'05_PRODUCTOS'!$D224)</f>
        <v/>
      </c>
      <c r="E224" s="54" t="str">
        <f>IF($B224="","",'05_PRODUCTOS'!$I224&amp;"")</f>
        <v/>
      </c>
      <c r="F224" s="53" t="str">
        <f>IF($B224="","",'05_PRODUCTOS'!$E224)</f>
        <v/>
      </c>
      <c r="G224" s="53" t="str">
        <f>IF($B224="","",IF('05_PRODUCTOS'!$K224="NO","NO","SI"))</f>
        <v/>
      </c>
      <c r="H224" s="55" t="str">
        <f>IF(tblStock[[#This Row],[SKU]]="","",SUMIFS(tblMovimientos[CantidadNeta],tblMovimientos[SKU],tblStock[[#This Row],[SKU]],tblMovimientos[FactorStock],1))</f>
        <v/>
      </c>
      <c r="I224" s="55" t="str">
        <f>IF(tblStock[[#This Row],[SKU]]="","",-SUMIFS(tblMovimientos[CantidadNeta],tblMovimientos[SKU],tblStock[[#This Row],[SKU]],tblMovimientos[FactorStock],-1))</f>
        <v/>
      </c>
      <c r="J224" s="56" t="str">
        <f>IF(tblStock[[#This Row],[SKU]]="","",SUMIFS(tblMovimientos[CantidadNeta],tblMovimientos[SKU],tblStock[[#This Row],[SKU]]))</f>
        <v/>
      </c>
      <c r="K224" s="55" t="str">
        <f>IF($B224="","",N('05_PRODUCTOS'!$F224))</f>
        <v/>
      </c>
      <c r="L224" s="55" t="str">
        <f>IF($B224="","",N('05_PRODUCTOS'!$G224))</f>
        <v/>
      </c>
      <c r="M224" s="57" t="str">
        <f>IF(OR(tblStock[[#This Row],[SKU]]="",N(tblStock[[#This Row],[StockMax]])=0),"",MAX(0,tblStock[[#This Row],[StockActual]])/tblStock[[#This Row],[StockMax]])</f>
        <v/>
      </c>
      <c r="N22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4" s="59" t="str">
        <f>IF($B224="","",N('05_PRODUCTOS'!$H224))</f>
        <v/>
      </c>
      <c r="P224" s="59" t="str">
        <f>IF(tblStock[[#This Row],[SKU]]="","",MAX(0,tblStock[[#This Row],[StockActual]])*tblStock[[#This Row],[CostoUnitario]])</f>
        <v/>
      </c>
      <c r="Q224" s="60" t="str">
        <f>IF(tblStock[[#This Row],[SKU]]="","",IFERROR(_xlfn.AGGREGATE(14,6,tblMovimientos[Fecha]/(tblMovimientos[SKU]=tblStock[[#This Row],[SKU]]),1),""))</f>
        <v/>
      </c>
      <c r="R224" s="61" t="str">
        <f ca="1">IF(OR(tblStock[[#This Row],[SKU]]="",tblStock[[#This Row],[UltimoMov]]=""),"",TODAY()-tblStock[[#This Row],[UltimoMov]])</f>
        <v/>
      </c>
    </row>
    <row r="225" spans="2:18" x14ac:dyDescent="0.25">
      <c r="B225" s="53" t="str">
        <f>IF('05_PRODUCTOS'!$B225="","",'05_PRODUCTOS'!$B225)</f>
        <v/>
      </c>
      <c r="C225" s="54" t="str">
        <f>IF($B225="","",'05_PRODUCTOS'!$C225)</f>
        <v/>
      </c>
      <c r="D225" s="54" t="str">
        <f>IF($B225="","",'05_PRODUCTOS'!$D225)</f>
        <v/>
      </c>
      <c r="E225" s="54" t="str">
        <f>IF($B225="","",'05_PRODUCTOS'!$I225&amp;"")</f>
        <v/>
      </c>
      <c r="F225" s="53" t="str">
        <f>IF($B225="","",'05_PRODUCTOS'!$E225)</f>
        <v/>
      </c>
      <c r="G225" s="53" t="str">
        <f>IF($B225="","",IF('05_PRODUCTOS'!$K225="NO","NO","SI"))</f>
        <v/>
      </c>
      <c r="H225" s="55" t="str">
        <f>IF(tblStock[[#This Row],[SKU]]="","",SUMIFS(tblMovimientos[CantidadNeta],tblMovimientos[SKU],tblStock[[#This Row],[SKU]],tblMovimientos[FactorStock],1))</f>
        <v/>
      </c>
      <c r="I225" s="55" t="str">
        <f>IF(tblStock[[#This Row],[SKU]]="","",-SUMIFS(tblMovimientos[CantidadNeta],tblMovimientos[SKU],tblStock[[#This Row],[SKU]],tblMovimientos[FactorStock],-1))</f>
        <v/>
      </c>
      <c r="J225" s="56" t="str">
        <f>IF(tblStock[[#This Row],[SKU]]="","",SUMIFS(tblMovimientos[CantidadNeta],tblMovimientos[SKU],tblStock[[#This Row],[SKU]]))</f>
        <v/>
      </c>
      <c r="K225" s="55" t="str">
        <f>IF($B225="","",N('05_PRODUCTOS'!$F225))</f>
        <v/>
      </c>
      <c r="L225" s="55" t="str">
        <f>IF($B225="","",N('05_PRODUCTOS'!$G225))</f>
        <v/>
      </c>
      <c r="M225" s="57" t="str">
        <f>IF(OR(tblStock[[#This Row],[SKU]]="",N(tblStock[[#This Row],[StockMax]])=0),"",MAX(0,tblStock[[#This Row],[StockActual]])/tblStock[[#This Row],[StockMax]])</f>
        <v/>
      </c>
      <c r="N22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5" s="59" t="str">
        <f>IF($B225="","",N('05_PRODUCTOS'!$H225))</f>
        <v/>
      </c>
      <c r="P225" s="59" t="str">
        <f>IF(tblStock[[#This Row],[SKU]]="","",MAX(0,tblStock[[#This Row],[StockActual]])*tblStock[[#This Row],[CostoUnitario]])</f>
        <v/>
      </c>
      <c r="Q225" s="60" t="str">
        <f>IF(tblStock[[#This Row],[SKU]]="","",IFERROR(_xlfn.AGGREGATE(14,6,tblMovimientos[Fecha]/(tblMovimientos[SKU]=tblStock[[#This Row],[SKU]]),1),""))</f>
        <v/>
      </c>
      <c r="R225" s="61" t="str">
        <f ca="1">IF(OR(tblStock[[#This Row],[SKU]]="",tblStock[[#This Row],[UltimoMov]]=""),"",TODAY()-tblStock[[#This Row],[UltimoMov]])</f>
        <v/>
      </c>
    </row>
    <row r="226" spans="2:18" x14ac:dyDescent="0.25">
      <c r="B226" s="53" t="str">
        <f>IF('05_PRODUCTOS'!$B226="","",'05_PRODUCTOS'!$B226)</f>
        <v/>
      </c>
      <c r="C226" s="54" t="str">
        <f>IF($B226="","",'05_PRODUCTOS'!$C226)</f>
        <v/>
      </c>
      <c r="D226" s="54" t="str">
        <f>IF($B226="","",'05_PRODUCTOS'!$D226)</f>
        <v/>
      </c>
      <c r="E226" s="54" t="str">
        <f>IF($B226="","",'05_PRODUCTOS'!$I226&amp;"")</f>
        <v/>
      </c>
      <c r="F226" s="53" t="str">
        <f>IF($B226="","",'05_PRODUCTOS'!$E226)</f>
        <v/>
      </c>
      <c r="G226" s="53" t="str">
        <f>IF($B226="","",IF('05_PRODUCTOS'!$K226="NO","NO","SI"))</f>
        <v/>
      </c>
      <c r="H226" s="55" t="str">
        <f>IF(tblStock[[#This Row],[SKU]]="","",SUMIFS(tblMovimientos[CantidadNeta],tblMovimientos[SKU],tblStock[[#This Row],[SKU]],tblMovimientos[FactorStock],1))</f>
        <v/>
      </c>
      <c r="I226" s="55" t="str">
        <f>IF(tblStock[[#This Row],[SKU]]="","",-SUMIFS(tblMovimientos[CantidadNeta],tblMovimientos[SKU],tblStock[[#This Row],[SKU]],tblMovimientos[FactorStock],-1))</f>
        <v/>
      </c>
      <c r="J226" s="56" t="str">
        <f>IF(tblStock[[#This Row],[SKU]]="","",SUMIFS(tblMovimientos[CantidadNeta],tblMovimientos[SKU],tblStock[[#This Row],[SKU]]))</f>
        <v/>
      </c>
      <c r="K226" s="55" t="str">
        <f>IF($B226="","",N('05_PRODUCTOS'!$F226))</f>
        <v/>
      </c>
      <c r="L226" s="55" t="str">
        <f>IF($B226="","",N('05_PRODUCTOS'!$G226))</f>
        <v/>
      </c>
      <c r="M226" s="57" t="str">
        <f>IF(OR(tblStock[[#This Row],[SKU]]="",N(tblStock[[#This Row],[StockMax]])=0),"",MAX(0,tblStock[[#This Row],[StockActual]])/tblStock[[#This Row],[StockMax]])</f>
        <v/>
      </c>
      <c r="N22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6" s="59" t="str">
        <f>IF($B226="","",N('05_PRODUCTOS'!$H226))</f>
        <v/>
      </c>
      <c r="P226" s="59" t="str">
        <f>IF(tblStock[[#This Row],[SKU]]="","",MAX(0,tblStock[[#This Row],[StockActual]])*tblStock[[#This Row],[CostoUnitario]])</f>
        <v/>
      </c>
      <c r="Q226" s="60" t="str">
        <f>IF(tblStock[[#This Row],[SKU]]="","",IFERROR(_xlfn.AGGREGATE(14,6,tblMovimientos[Fecha]/(tblMovimientos[SKU]=tblStock[[#This Row],[SKU]]),1),""))</f>
        <v/>
      </c>
      <c r="R226" s="61" t="str">
        <f ca="1">IF(OR(tblStock[[#This Row],[SKU]]="",tblStock[[#This Row],[UltimoMov]]=""),"",TODAY()-tblStock[[#This Row],[UltimoMov]])</f>
        <v/>
      </c>
    </row>
    <row r="227" spans="2:18" x14ac:dyDescent="0.25">
      <c r="B227" s="53" t="str">
        <f>IF('05_PRODUCTOS'!$B227="","",'05_PRODUCTOS'!$B227)</f>
        <v/>
      </c>
      <c r="C227" s="54" t="str">
        <f>IF($B227="","",'05_PRODUCTOS'!$C227)</f>
        <v/>
      </c>
      <c r="D227" s="54" t="str">
        <f>IF($B227="","",'05_PRODUCTOS'!$D227)</f>
        <v/>
      </c>
      <c r="E227" s="54" t="str">
        <f>IF($B227="","",'05_PRODUCTOS'!$I227&amp;"")</f>
        <v/>
      </c>
      <c r="F227" s="53" t="str">
        <f>IF($B227="","",'05_PRODUCTOS'!$E227)</f>
        <v/>
      </c>
      <c r="G227" s="53" t="str">
        <f>IF($B227="","",IF('05_PRODUCTOS'!$K227="NO","NO","SI"))</f>
        <v/>
      </c>
      <c r="H227" s="55" t="str">
        <f>IF(tblStock[[#This Row],[SKU]]="","",SUMIFS(tblMovimientos[CantidadNeta],tblMovimientos[SKU],tblStock[[#This Row],[SKU]],tblMovimientos[FactorStock],1))</f>
        <v/>
      </c>
      <c r="I227" s="55" t="str">
        <f>IF(tblStock[[#This Row],[SKU]]="","",-SUMIFS(tblMovimientos[CantidadNeta],tblMovimientos[SKU],tblStock[[#This Row],[SKU]],tblMovimientos[FactorStock],-1))</f>
        <v/>
      </c>
      <c r="J227" s="56" t="str">
        <f>IF(tblStock[[#This Row],[SKU]]="","",SUMIFS(tblMovimientos[CantidadNeta],tblMovimientos[SKU],tblStock[[#This Row],[SKU]]))</f>
        <v/>
      </c>
      <c r="K227" s="55" t="str">
        <f>IF($B227="","",N('05_PRODUCTOS'!$F227))</f>
        <v/>
      </c>
      <c r="L227" s="55" t="str">
        <f>IF($B227="","",N('05_PRODUCTOS'!$G227))</f>
        <v/>
      </c>
      <c r="M227" s="57" t="str">
        <f>IF(OR(tblStock[[#This Row],[SKU]]="",N(tblStock[[#This Row],[StockMax]])=0),"",MAX(0,tblStock[[#This Row],[StockActual]])/tblStock[[#This Row],[StockMax]])</f>
        <v/>
      </c>
      <c r="N22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7" s="59" t="str">
        <f>IF($B227="","",N('05_PRODUCTOS'!$H227))</f>
        <v/>
      </c>
      <c r="P227" s="59" t="str">
        <f>IF(tblStock[[#This Row],[SKU]]="","",MAX(0,tblStock[[#This Row],[StockActual]])*tblStock[[#This Row],[CostoUnitario]])</f>
        <v/>
      </c>
      <c r="Q227" s="60" t="str">
        <f>IF(tblStock[[#This Row],[SKU]]="","",IFERROR(_xlfn.AGGREGATE(14,6,tblMovimientos[Fecha]/(tblMovimientos[SKU]=tblStock[[#This Row],[SKU]]),1),""))</f>
        <v/>
      </c>
      <c r="R227" s="61" t="str">
        <f ca="1">IF(OR(tblStock[[#This Row],[SKU]]="",tblStock[[#This Row],[UltimoMov]]=""),"",TODAY()-tblStock[[#This Row],[UltimoMov]])</f>
        <v/>
      </c>
    </row>
    <row r="228" spans="2:18" x14ac:dyDescent="0.25">
      <c r="B228" s="53" t="str">
        <f>IF('05_PRODUCTOS'!$B228="","",'05_PRODUCTOS'!$B228)</f>
        <v/>
      </c>
      <c r="C228" s="54" t="str">
        <f>IF($B228="","",'05_PRODUCTOS'!$C228)</f>
        <v/>
      </c>
      <c r="D228" s="54" t="str">
        <f>IF($B228="","",'05_PRODUCTOS'!$D228)</f>
        <v/>
      </c>
      <c r="E228" s="54" t="str">
        <f>IF($B228="","",'05_PRODUCTOS'!$I228&amp;"")</f>
        <v/>
      </c>
      <c r="F228" s="53" t="str">
        <f>IF($B228="","",'05_PRODUCTOS'!$E228)</f>
        <v/>
      </c>
      <c r="G228" s="53" t="str">
        <f>IF($B228="","",IF('05_PRODUCTOS'!$K228="NO","NO","SI"))</f>
        <v/>
      </c>
      <c r="H228" s="55" t="str">
        <f>IF(tblStock[[#This Row],[SKU]]="","",SUMIFS(tblMovimientos[CantidadNeta],tblMovimientos[SKU],tblStock[[#This Row],[SKU]],tblMovimientos[FactorStock],1))</f>
        <v/>
      </c>
      <c r="I228" s="55" t="str">
        <f>IF(tblStock[[#This Row],[SKU]]="","",-SUMIFS(tblMovimientos[CantidadNeta],tblMovimientos[SKU],tblStock[[#This Row],[SKU]],tblMovimientos[FactorStock],-1))</f>
        <v/>
      </c>
      <c r="J228" s="56" t="str">
        <f>IF(tblStock[[#This Row],[SKU]]="","",SUMIFS(tblMovimientos[CantidadNeta],tblMovimientos[SKU],tblStock[[#This Row],[SKU]]))</f>
        <v/>
      </c>
      <c r="K228" s="55" t="str">
        <f>IF($B228="","",N('05_PRODUCTOS'!$F228))</f>
        <v/>
      </c>
      <c r="L228" s="55" t="str">
        <f>IF($B228="","",N('05_PRODUCTOS'!$G228))</f>
        <v/>
      </c>
      <c r="M228" s="57" t="str">
        <f>IF(OR(tblStock[[#This Row],[SKU]]="",N(tblStock[[#This Row],[StockMax]])=0),"",MAX(0,tblStock[[#This Row],[StockActual]])/tblStock[[#This Row],[StockMax]])</f>
        <v/>
      </c>
      <c r="N22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8" s="59" t="str">
        <f>IF($B228="","",N('05_PRODUCTOS'!$H228))</f>
        <v/>
      </c>
      <c r="P228" s="59" t="str">
        <f>IF(tblStock[[#This Row],[SKU]]="","",MAX(0,tblStock[[#This Row],[StockActual]])*tblStock[[#This Row],[CostoUnitario]])</f>
        <v/>
      </c>
      <c r="Q228" s="60" t="str">
        <f>IF(tblStock[[#This Row],[SKU]]="","",IFERROR(_xlfn.AGGREGATE(14,6,tblMovimientos[Fecha]/(tblMovimientos[SKU]=tblStock[[#This Row],[SKU]]),1),""))</f>
        <v/>
      </c>
      <c r="R228" s="61" t="str">
        <f ca="1">IF(OR(tblStock[[#This Row],[SKU]]="",tblStock[[#This Row],[UltimoMov]]=""),"",TODAY()-tblStock[[#This Row],[UltimoMov]])</f>
        <v/>
      </c>
    </row>
    <row r="229" spans="2:18" x14ac:dyDescent="0.25">
      <c r="B229" s="53" t="str">
        <f>IF('05_PRODUCTOS'!$B229="","",'05_PRODUCTOS'!$B229)</f>
        <v/>
      </c>
      <c r="C229" s="54" t="str">
        <f>IF($B229="","",'05_PRODUCTOS'!$C229)</f>
        <v/>
      </c>
      <c r="D229" s="54" t="str">
        <f>IF($B229="","",'05_PRODUCTOS'!$D229)</f>
        <v/>
      </c>
      <c r="E229" s="54" t="str">
        <f>IF($B229="","",'05_PRODUCTOS'!$I229&amp;"")</f>
        <v/>
      </c>
      <c r="F229" s="53" t="str">
        <f>IF($B229="","",'05_PRODUCTOS'!$E229)</f>
        <v/>
      </c>
      <c r="G229" s="53" t="str">
        <f>IF($B229="","",IF('05_PRODUCTOS'!$K229="NO","NO","SI"))</f>
        <v/>
      </c>
      <c r="H229" s="55" t="str">
        <f>IF(tblStock[[#This Row],[SKU]]="","",SUMIFS(tblMovimientos[CantidadNeta],tblMovimientos[SKU],tblStock[[#This Row],[SKU]],tblMovimientos[FactorStock],1))</f>
        <v/>
      </c>
      <c r="I229" s="55" t="str">
        <f>IF(tblStock[[#This Row],[SKU]]="","",-SUMIFS(tblMovimientos[CantidadNeta],tblMovimientos[SKU],tblStock[[#This Row],[SKU]],tblMovimientos[FactorStock],-1))</f>
        <v/>
      </c>
      <c r="J229" s="56" t="str">
        <f>IF(tblStock[[#This Row],[SKU]]="","",SUMIFS(tblMovimientos[CantidadNeta],tblMovimientos[SKU],tblStock[[#This Row],[SKU]]))</f>
        <v/>
      </c>
      <c r="K229" s="55" t="str">
        <f>IF($B229="","",N('05_PRODUCTOS'!$F229))</f>
        <v/>
      </c>
      <c r="L229" s="55" t="str">
        <f>IF($B229="","",N('05_PRODUCTOS'!$G229))</f>
        <v/>
      </c>
      <c r="M229" s="57" t="str">
        <f>IF(OR(tblStock[[#This Row],[SKU]]="",N(tblStock[[#This Row],[StockMax]])=0),"",MAX(0,tblStock[[#This Row],[StockActual]])/tblStock[[#This Row],[StockMax]])</f>
        <v/>
      </c>
      <c r="N22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29" s="59" t="str">
        <f>IF($B229="","",N('05_PRODUCTOS'!$H229))</f>
        <v/>
      </c>
      <c r="P229" s="59" t="str">
        <f>IF(tblStock[[#This Row],[SKU]]="","",MAX(0,tblStock[[#This Row],[StockActual]])*tblStock[[#This Row],[CostoUnitario]])</f>
        <v/>
      </c>
      <c r="Q229" s="60" t="str">
        <f>IF(tblStock[[#This Row],[SKU]]="","",IFERROR(_xlfn.AGGREGATE(14,6,tblMovimientos[Fecha]/(tblMovimientos[SKU]=tblStock[[#This Row],[SKU]]),1),""))</f>
        <v/>
      </c>
      <c r="R229" s="61" t="str">
        <f ca="1">IF(OR(tblStock[[#This Row],[SKU]]="",tblStock[[#This Row],[UltimoMov]]=""),"",TODAY()-tblStock[[#This Row],[UltimoMov]])</f>
        <v/>
      </c>
    </row>
    <row r="230" spans="2:18" x14ac:dyDescent="0.25">
      <c r="B230" s="53" t="str">
        <f>IF('05_PRODUCTOS'!$B230="","",'05_PRODUCTOS'!$B230)</f>
        <v/>
      </c>
      <c r="C230" s="54" t="str">
        <f>IF($B230="","",'05_PRODUCTOS'!$C230)</f>
        <v/>
      </c>
      <c r="D230" s="54" t="str">
        <f>IF($B230="","",'05_PRODUCTOS'!$D230)</f>
        <v/>
      </c>
      <c r="E230" s="54" t="str">
        <f>IF($B230="","",'05_PRODUCTOS'!$I230&amp;"")</f>
        <v/>
      </c>
      <c r="F230" s="53" t="str">
        <f>IF($B230="","",'05_PRODUCTOS'!$E230)</f>
        <v/>
      </c>
      <c r="G230" s="53" t="str">
        <f>IF($B230="","",IF('05_PRODUCTOS'!$K230="NO","NO","SI"))</f>
        <v/>
      </c>
      <c r="H230" s="55" t="str">
        <f>IF(tblStock[[#This Row],[SKU]]="","",SUMIFS(tblMovimientos[CantidadNeta],tblMovimientos[SKU],tblStock[[#This Row],[SKU]],tblMovimientos[FactorStock],1))</f>
        <v/>
      </c>
      <c r="I230" s="55" t="str">
        <f>IF(tblStock[[#This Row],[SKU]]="","",-SUMIFS(tblMovimientos[CantidadNeta],tblMovimientos[SKU],tblStock[[#This Row],[SKU]],tblMovimientos[FactorStock],-1))</f>
        <v/>
      </c>
      <c r="J230" s="56" t="str">
        <f>IF(tblStock[[#This Row],[SKU]]="","",SUMIFS(tblMovimientos[CantidadNeta],tblMovimientos[SKU],tblStock[[#This Row],[SKU]]))</f>
        <v/>
      </c>
      <c r="K230" s="55" t="str">
        <f>IF($B230="","",N('05_PRODUCTOS'!$F230))</f>
        <v/>
      </c>
      <c r="L230" s="55" t="str">
        <f>IF($B230="","",N('05_PRODUCTOS'!$G230))</f>
        <v/>
      </c>
      <c r="M230" s="57" t="str">
        <f>IF(OR(tblStock[[#This Row],[SKU]]="",N(tblStock[[#This Row],[StockMax]])=0),"",MAX(0,tblStock[[#This Row],[StockActual]])/tblStock[[#This Row],[StockMax]])</f>
        <v/>
      </c>
      <c r="N23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0" s="59" t="str">
        <f>IF($B230="","",N('05_PRODUCTOS'!$H230))</f>
        <v/>
      </c>
      <c r="P230" s="59" t="str">
        <f>IF(tblStock[[#This Row],[SKU]]="","",MAX(0,tblStock[[#This Row],[StockActual]])*tblStock[[#This Row],[CostoUnitario]])</f>
        <v/>
      </c>
      <c r="Q230" s="60" t="str">
        <f>IF(tblStock[[#This Row],[SKU]]="","",IFERROR(_xlfn.AGGREGATE(14,6,tblMovimientos[Fecha]/(tblMovimientos[SKU]=tblStock[[#This Row],[SKU]]),1),""))</f>
        <v/>
      </c>
      <c r="R230" s="61" t="str">
        <f ca="1">IF(OR(tblStock[[#This Row],[SKU]]="",tblStock[[#This Row],[UltimoMov]]=""),"",TODAY()-tblStock[[#This Row],[UltimoMov]])</f>
        <v/>
      </c>
    </row>
    <row r="231" spans="2:18" x14ac:dyDescent="0.25">
      <c r="B231" s="53" t="str">
        <f>IF('05_PRODUCTOS'!$B231="","",'05_PRODUCTOS'!$B231)</f>
        <v/>
      </c>
      <c r="C231" s="54" t="str">
        <f>IF($B231="","",'05_PRODUCTOS'!$C231)</f>
        <v/>
      </c>
      <c r="D231" s="54" t="str">
        <f>IF($B231="","",'05_PRODUCTOS'!$D231)</f>
        <v/>
      </c>
      <c r="E231" s="54" t="str">
        <f>IF($B231="","",'05_PRODUCTOS'!$I231&amp;"")</f>
        <v/>
      </c>
      <c r="F231" s="53" t="str">
        <f>IF($B231="","",'05_PRODUCTOS'!$E231)</f>
        <v/>
      </c>
      <c r="G231" s="53" t="str">
        <f>IF($B231="","",IF('05_PRODUCTOS'!$K231="NO","NO","SI"))</f>
        <v/>
      </c>
      <c r="H231" s="55" t="str">
        <f>IF(tblStock[[#This Row],[SKU]]="","",SUMIFS(tblMovimientos[CantidadNeta],tblMovimientos[SKU],tblStock[[#This Row],[SKU]],tblMovimientos[FactorStock],1))</f>
        <v/>
      </c>
      <c r="I231" s="55" t="str">
        <f>IF(tblStock[[#This Row],[SKU]]="","",-SUMIFS(tblMovimientos[CantidadNeta],tblMovimientos[SKU],tblStock[[#This Row],[SKU]],tblMovimientos[FactorStock],-1))</f>
        <v/>
      </c>
      <c r="J231" s="56" t="str">
        <f>IF(tblStock[[#This Row],[SKU]]="","",SUMIFS(tblMovimientos[CantidadNeta],tblMovimientos[SKU],tblStock[[#This Row],[SKU]]))</f>
        <v/>
      </c>
      <c r="K231" s="55" t="str">
        <f>IF($B231="","",N('05_PRODUCTOS'!$F231))</f>
        <v/>
      </c>
      <c r="L231" s="55" t="str">
        <f>IF($B231="","",N('05_PRODUCTOS'!$G231))</f>
        <v/>
      </c>
      <c r="M231" s="57" t="str">
        <f>IF(OR(tblStock[[#This Row],[SKU]]="",N(tblStock[[#This Row],[StockMax]])=0),"",MAX(0,tblStock[[#This Row],[StockActual]])/tblStock[[#This Row],[StockMax]])</f>
        <v/>
      </c>
      <c r="N23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1" s="59" t="str">
        <f>IF($B231="","",N('05_PRODUCTOS'!$H231))</f>
        <v/>
      </c>
      <c r="P231" s="59" t="str">
        <f>IF(tblStock[[#This Row],[SKU]]="","",MAX(0,tblStock[[#This Row],[StockActual]])*tblStock[[#This Row],[CostoUnitario]])</f>
        <v/>
      </c>
      <c r="Q231" s="60" t="str">
        <f>IF(tblStock[[#This Row],[SKU]]="","",IFERROR(_xlfn.AGGREGATE(14,6,tblMovimientos[Fecha]/(tblMovimientos[SKU]=tblStock[[#This Row],[SKU]]),1),""))</f>
        <v/>
      </c>
      <c r="R231" s="61" t="str">
        <f ca="1">IF(OR(tblStock[[#This Row],[SKU]]="",tblStock[[#This Row],[UltimoMov]]=""),"",TODAY()-tblStock[[#This Row],[UltimoMov]])</f>
        <v/>
      </c>
    </row>
    <row r="232" spans="2:18" x14ac:dyDescent="0.25">
      <c r="B232" s="53" t="str">
        <f>IF('05_PRODUCTOS'!$B232="","",'05_PRODUCTOS'!$B232)</f>
        <v/>
      </c>
      <c r="C232" s="54" t="str">
        <f>IF($B232="","",'05_PRODUCTOS'!$C232)</f>
        <v/>
      </c>
      <c r="D232" s="54" t="str">
        <f>IF($B232="","",'05_PRODUCTOS'!$D232)</f>
        <v/>
      </c>
      <c r="E232" s="54" t="str">
        <f>IF($B232="","",'05_PRODUCTOS'!$I232&amp;"")</f>
        <v/>
      </c>
      <c r="F232" s="53" t="str">
        <f>IF($B232="","",'05_PRODUCTOS'!$E232)</f>
        <v/>
      </c>
      <c r="G232" s="53" t="str">
        <f>IF($B232="","",IF('05_PRODUCTOS'!$K232="NO","NO","SI"))</f>
        <v/>
      </c>
      <c r="H232" s="55" t="str">
        <f>IF(tblStock[[#This Row],[SKU]]="","",SUMIFS(tblMovimientos[CantidadNeta],tblMovimientos[SKU],tblStock[[#This Row],[SKU]],tblMovimientos[FactorStock],1))</f>
        <v/>
      </c>
      <c r="I232" s="55" t="str">
        <f>IF(tblStock[[#This Row],[SKU]]="","",-SUMIFS(tblMovimientos[CantidadNeta],tblMovimientos[SKU],tblStock[[#This Row],[SKU]],tblMovimientos[FactorStock],-1))</f>
        <v/>
      </c>
      <c r="J232" s="56" t="str">
        <f>IF(tblStock[[#This Row],[SKU]]="","",SUMIFS(tblMovimientos[CantidadNeta],tblMovimientos[SKU],tblStock[[#This Row],[SKU]]))</f>
        <v/>
      </c>
      <c r="K232" s="55" t="str">
        <f>IF($B232="","",N('05_PRODUCTOS'!$F232))</f>
        <v/>
      </c>
      <c r="L232" s="55" t="str">
        <f>IF($B232="","",N('05_PRODUCTOS'!$G232))</f>
        <v/>
      </c>
      <c r="M232" s="57" t="str">
        <f>IF(OR(tblStock[[#This Row],[SKU]]="",N(tblStock[[#This Row],[StockMax]])=0),"",MAX(0,tblStock[[#This Row],[StockActual]])/tblStock[[#This Row],[StockMax]])</f>
        <v/>
      </c>
      <c r="N23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2" s="59" t="str">
        <f>IF($B232="","",N('05_PRODUCTOS'!$H232))</f>
        <v/>
      </c>
      <c r="P232" s="59" t="str">
        <f>IF(tblStock[[#This Row],[SKU]]="","",MAX(0,tblStock[[#This Row],[StockActual]])*tblStock[[#This Row],[CostoUnitario]])</f>
        <v/>
      </c>
      <c r="Q232" s="60" t="str">
        <f>IF(tblStock[[#This Row],[SKU]]="","",IFERROR(_xlfn.AGGREGATE(14,6,tblMovimientos[Fecha]/(tblMovimientos[SKU]=tblStock[[#This Row],[SKU]]),1),""))</f>
        <v/>
      </c>
      <c r="R232" s="61" t="str">
        <f ca="1">IF(OR(tblStock[[#This Row],[SKU]]="",tblStock[[#This Row],[UltimoMov]]=""),"",TODAY()-tblStock[[#This Row],[UltimoMov]])</f>
        <v/>
      </c>
    </row>
    <row r="233" spans="2:18" x14ac:dyDescent="0.25">
      <c r="B233" s="53" t="str">
        <f>IF('05_PRODUCTOS'!$B233="","",'05_PRODUCTOS'!$B233)</f>
        <v/>
      </c>
      <c r="C233" s="54" t="str">
        <f>IF($B233="","",'05_PRODUCTOS'!$C233)</f>
        <v/>
      </c>
      <c r="D233" s="54" t="str">
        <f>IF($B233="","",'05_PRODUCTOS'!$D233)</f>
        <v/>
      </c>
      <c r="E233" s="54" t="str">
        <f>IF($B233="","",'05_PRODUCTOS'!$I233&amp;"")</f>
        <v/>
      </c>
      <c r="F233" s="53" t="str">
        <f>IF($B233="","",'05_PRODUCTOS'!$E233)</f>
        <v/>
      </c>
      <c r="G233" s="53" t="str">
        <f>IF($B233="","",IF('05_PRODUCTOS'!$K233="NO","NO","SI"))</f>
        <v/>
      </c>
      <c r="H233" s="55" t="str">
        <f>IF(tblStock[[#This Row],[SKU]]="","",SUMIFS(tblMovimientos[CantidadNeta],tblMovimientos[SKU],tblStock[[#This Row],[SKU]],tblMovimientos[FactorStock],1))</f>
        <v/>
      </c>
      <c r="I233" s="55" t="str">
        <f>IF(tblStock[[#This Row],[SKU]]="","",-SUMIFS(tblMovimientos[CantidadNeta],tblMovimientos[SKU],tblStock[[#This Row],[SKU]],tblMovimientos[FactorStock],-1))</f>
        <v/>
      </c>
      <c r="J233" s="56" t="str">
        <f>IF(tblStock[[#This Row],[SKU]]="","",SUMIFS(tblMovimientos[CantidadNeta],tblMovimientos[SKU],tblStock[[#This Row],[SKU]]))</f>
        <v/>
      </c>
      <c r="K233" s="55" t="str">
        <f>IF($B233="","",N('05_PRODUCTOS'!$F233))</f>
        <v/>
      </c>
      <c r="L233" s="55" t="str">
        <f>IF($B233="","",N('05_PRODUCTOS'!$G233))</f>
        <v/>
      </c>
      <c r="M233" s="57" t="str">
        <f>IF(OR(tblStock[[#This Row],[SKU]]="",N(tblStock[[#This Row],[StockMax]])=0),"",MAX(0,tblStock[[#This Row],[StockActual]])/tblStock[[#This Row],[StockMax]])</f>
        <v/>
      </c>
      <c r="N23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3" s="59" t="str">
        <f>IF($B233="","",N('05_PRODUCTOS'!$H233))</f>
        <v/>
      </c>
      <c r="P233" s="59" t="str">
        <f>IF(tblStock[[#This Row],[SKU]]="","",MAX(0,tblStock[[#This Row],[StockActual]])*tblStock[[#This Row],[CostoUnitario]])</f>
        <v/>
      </c>
      <c r="Q233" s="60" t="str">
        <f>IF(tblStock[[#This Row],[SKU]]="","",IFERROR(_xlfn.AGGREGATE(14,6,tblMovimientos[Fecha]/(tblMovimientos[SKU]=tblStock[[#This Row],[SKU]]),1),""))</f>
        <v/>
      </c>
      <c r="R233" s="61" t="str">
        <f ca="1">IF(OR(tblStock[[#This Row],[SKU]]="",tblStock[[#This Row],[UltimoMov]]=""),"",TODAY()-tblStock[[#This Row],[UltimoMov]])</f>
        <v/>
      </c>
    </row>
    <row r="234" spans="2:18" x14ac:dyDescent="0.25">
      <c r="B234" s="53" t="str">
        <f>IF('05_PRODUCTOS'!$B234="","",'05_PRODUCTOS'!$B234)</f>
        <v/>
      </c>
      <c r="C234" s="54" t="str">
        <f>IF($B234="","",'05_PRODUCTOS'!$C234)</f>
        <v/>
      </c>
      <c r="D234" s="54" t="str">
        <f>IF($B234="","",'05_PRODUCTOS'!$D234)</f>
        <v/>
      </c>
      <c r="E234" s="54" t="str">
        <f>IF($B234="","",'05_PRODUCTOS'!$I234&amp;"")</f>
        <v/>
      </c>
      <c r="F234" s="53" t="str">
        <f>IF($B234="","",'05_PRODUCTOS'!$E234)</f>
        <v/>
      </c>
      <c r="G234" s="53" t="str">
        <f>IF($B234="","",IF('05_PRODUCTOS'!$K234="NO","NO","SI"))</f>
        <v/>
      </c>
      <c r="H234" s="55" t="str">
        <f>IF(tblStock[[#This Row],[SKU]]="","",SUMIFS(tblMovimientos[CantidadNeta],tblMovimientos[SKU],tblStock[[#This Row],[SKU]],tblMovimientos[FactorStock],1))</f>
        <v/>
      </c>
      <c r="I234" s="55" t="str">
        <f>IF(tblStock[[#This Row],[SKU]]="","",-SUMIFS(tblMovimientos[CantidadNeta],tblMovimientos[SKU],tblStock[[#This Row],[SKU]],tblMovimientos[FactorStock],-1))</f>
        <v/>
      </c>
      <c r="J234" s="56" t="str">
        <f>IF(tblStock[[#This Row],[SKU]]="","",SUMIFS(tblMovimientos[CantidadNeta],tblMovimientos[SKU],tblStock[[#This Row],[SKU]]))</f>
        <v/>
      </c>
      <c r="K234" s="55" t="str">
        <f>IF($B234="","",N('05_PRODUCTOS'!$F234))</f>
        <v/>
      </c>
      <c r="L234" s="55" t="str">
        <f>IF($B234="","",N('05_PRODUCTOS'!$G234))</f>
        <v/>
      </c>
      <c r="M234" s="57" t="str">
        <f>IF(OR(tblStock[[#This Row],[SKU]]="",N(tblStock[[#This Row],[StockMax]])=0),"",MAX(0,tblStock[[#This Row],[StockActual]])/tblStock[[#This Row],[StockMax]])</f>
        <v/>
      </c>
      <c r="N23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4" s="59" t="str">
        <f>IF($B234="","",N('05_PRODUCTOS'!$H234))</f>
        <v/>
      </c>
      <c r="P234" s="59" t="str">
        <f>IF(tblStock[[#This Row],[SKU]]="","",MAX(0,tblStock[[#This Row],[StockActual]])*tblStock[[#This Row],[CostoUnitario]])</f>
        <v/>
      </c>
      <c r="Q234" s="60" t="str">
        <f>IF(tblStock[[#This Row],[SKU]]="","",IFERROR(_xlfn.AGGREGATE(14,6,tblMovimientos[Fecha]/(tblMovimientos[SKU]=tblStock[[#This Row],[SKU]]),1),""))</f>
        <v/>
      </c>
      <c r="R234" s="61" t="str">
        <f ca="1">IF(OR(tblStock[[#This Row],[SKU]]="",tblStock[[#This Row],[UltimoMov]]=""),"",TODAY()-tblStock[[#This Row],[UltimoMov]])</f>
        <v/>
      </c>
    </row>
    <row r="235" spans="2:18" x14ac:dyDescent="0.25">
      <c r="B235" s="53" t="str">
        <f>IF('05_PRODUCTOS'!$B235="","",'05_PRODUCTOS'!$B235)</f>
        <v/>
      </c>
      <c r="C235" s="54" t="str">
        <f>IF($B235="","",'05_PRODUCTOS'!$C235)</f>
        <v/>
      </c>
      <c r="D235" s="54" t="str">
        <f>IF($B235="","",'05_PRODUCTOS'!$D235)</f>
        <v/>
      </c>
      <c r="E235" s="54" t="str">
        <f>IF($B235="","",'05_PRODUCTOS'!$I235&amp;"")</f>
        <v/>
      </c>
      <c r="F235" s="53" t="str">
        <f>IF($B235="","",'05_PRODUCTOS'!$E235)</f>
        <v/>
      </c>
      <c r="G235" s="53" t="str">
        <f>IF($B235="","",IF('05_PRODUCTOS'!$K235="NO","NO","SI"))</f>
        <v/>
      </c>
      <c r="H235" s="55" t="str">
        <f>IF(tblStock[[#This Row],[SKU]]="","",SUMIFS(tblMovimientos[CantidadNeta],tblMovimientos[SKU],tblStock[[#This Row],[SKU]],tblMovimientos[FactorStock],1))</f>
        <v/>
      </c>
      <c r="I235" s="55" t="str">
        <f>IF(tblStock[[#This Row],[SKU]]="","",-SUMIFS(tblMovimientos[CantidadNeta],tblMovimientos[SKU],tblStock[[#This Row],[SKU]],tblMovimientos[FactorStock],-1))</f>
        <v/>
      </c>
      <c r="J235" s="56" t="str">
        <f>IF(tblStock[[#This Row],[SKU]]="","",SUMIFS(tblMovimientos[CantidadNeta],tblMovimientos[SKU],tblStock[[#This Row],[SKU]]))</f>
        <v/>
      </c>
      <c r="K235" s="55" t="str">
        <f>IF($B235="","",N('05_PRODUCTOS'!$F235))</f>
        <v/>
      </c>
      <c r="L235" s="55" t="str">
        <f>IF($B235="","",N('05_PRODUCTOS'!$G235))</f>
        <v/>
      </c>
      <c r="M235" s="57" t="str">
        <f>IF(OR(tblStock[[#This Row],[SKU]]="",N(tblStock[[#This Row],[StockMax]])=0),"",MAX(0,tblStock[[#This Row],[StockActual]])/tblStock[[#This Row],[StockMax]])</f>
        <v/>
      </c>
      <c r="N23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5" s="59" t="str">
        <f>IF($B235="","",N('05_PRODUCTOS'!$H235))</f>
        <v/>
      </c>
      <c r="P235" s="59" t="str">
        <f>IF(tblStock[[#This Row],[SKU]]="","",MAX(0,tblStock[[#This Row],[StockActual]])*tblStock[[#This Row],[CostoUnitario]])</f>
        <v/>
      </c>
      <c r="Q235" s="60" t="str">
        <f>IF(tblStock[[#This Row],[SKU]]="","",IFERROR(_xlfn.AGGREGATE(14,6,tblMovimientos[Fecha]/(tblMovimientos[SKU]=tblStock[[#This Row],[SKU]]),1),""))</f>
        <v/>
      </c>
      <c r="R235" s="61" t="str">
        <f ca="1">IF(OR(tblStock[[#This Row],[SKU]]="",tblStock[[#This Row],[UltimoMov]]=""),"",TODAY()-tblStock[[#This Row],[UltimoMov]])</f>
        <v/>
      </c>
    </row>
    <row r="236" spans="2:18" x14ac:dyDescent="0.25">
      <c r="B236" s="53" t="str">
        <f>IF('05_PRODUCTOS'!$B236="","",'05_PRODUCTOS'!$B236)</f>
        <v/>
      </c>
      <c r="C236" s="54" t="str">
        <f>IF($B236="","",'05_PRODUCTOS'!$C236)</f>
        <v/>
      </c>
      <c r="D236" s="54" t="str">
        <f>IF($B236="","",'05_PRODUCTOS'!$D236)</f>
        <v/>
      </c>
      <c r="E236" s="54" t="str">
        <f>IF($B236="","",'05_PRODUCTOS'!$I236&amp;"")</f>
        <v/>
      </c>
      <c r="F236" s="53" t="str">
        <f>IF($B236="","",'05_PRODUCTOS'!$E236)</f>
        <v/>
      </c>
      <c r="G236" s="53" t="str">
        <f>IF($B236="","",IF('05_PRODUCTOS'!$K236="NO","NO","SI"))</f>
        <v/>
      </c>
      <c r="H236" s="55" t="str">
        <f>IF(tblStock[[#This Row],[SKU]]="","",SUMIFS(tblMovimientos[CantidadNeta],tblMovimientos[SKU],tblStock[[#This Row],[SKU]],tblMovimientos[FactorStock],1))</f>
        <v/>
      </c>
      <c r="I236" s="55" t="str">
        <f>IF(tblStock[[#This Row],[SKU]]="","",-SUMIFS(tblMovimientos[CantidadNeta],tblMovimientos[SKU],tblStock[[#This Row],[SKU]],tblMovimientos[FactorStock],-1))</f>
        <v/>
      </c>
      <c r="J236" s="56" t="str">
        <f>IF(tblStock[[#This Row],[SKU]]="","",SUMIFS(tblMovimientos[CantidadNeta],tblMovimientos[SKU],tblStock[[#This Row],[SKU]]))</f>
        <v/>
      </c>
      <c r="K236" s="55" t="str">
        <f>IF($B236="","",N('05_PRODUCTOS'!$F236))</f>
        <v/>
      </c>
      <c r="L236" s="55" t="str">
        <f>IF($B236="","",N('05_PRODUCTOS'!$G236))</f>
        <v/>
      </c>
      <c r="M236" s="57" t="str">
        <f>IF(OR(tblStock[[#This Row],[SKU]]="",N(tblStock[[#This Row],[StockMax]])=0),"",MAX(0,tblStock[[#This Row],[StockActual]])/tblStock[[#This Row],[StockMax]])</f>
        <v/>
      </c>
      <c r="N23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6" s="59" t="str">
        <f>IF($B236="","",N('05_PRODUCTOS'!$H236))</f>
        <v/>
      </c>
      <c r="P236" s="59" t="str">
        <f>IF(tblStock[[#This Row],[SKU]]="","",MAX(0,tblStock[[#This Row],[StockActual]])*tblStock[[#This Row],[CostoUnitario]])</f>
        <v/>
      </c>
      <c r="Q236" s="60" t="str">
        <f>IF(tblStock[[#This Row],[SKU]]="","",IFERROR(_xlfn.AGGREGATE(14,6,tblMovimientos[Fecha]/(tblMovimientos[SKU]=tblStock[[#This Row],[SKU]]),1),""))</f>
        <v/>
      </c>
      <c r="R236" s="61" t="str">
        <f ca="1">IF(OR(tblStock[[#This Row],[SKU]]="",tblStock[[#This Row],[UltimoMov]]=""),"",TODAY()-tblStock[[#This Row],[UltimoMov]])</f>
        <v/>
      </c>
    </row>
    <row r="237" spans="2:18" x14ac:dyDescent="0.25">
      <c r="B237" s="53" t="str">
        <f>IF('05_PRODUCTOS'!$B237="","",'05_PRODUCTOS'!$B237)</f>
        <v/>
      </c>
      <c r="C237" s="54" t="str">
        <f>IF($B237="","",'05_PRODUCTOS'!$C237)</f>
        <v/>
      </c>
      <c r="D237" s="54" t="str">
        <f>IF($B237="","",'05_PRODUCTOS'!$D237)</f>
        <v/>
      </c>
      <c r="E237" s="54" t="str">
        <f>IF($B237="","",'05_PRODUCTOS'!$I237&amp;"")</f>
        <v/>
      </c>
      <c r="F237" s="53" t="str">
        <f>IF($B237="","",'05_PRODUCTOS'!$E237)</f>
        <v/>
      </c>
      <c r="G237" s="53" t="str">
        <f>IF($B237="","",IF('05_PRODUCTOS'!$K237="NO","NO","SI"))</f>
        <v/>
      </c>
      <c r="H237" s="55" t="str">
        <f>IF(tblStock[[#This Row],[SKU]]="","",SUMIFS(tblMovimientos[CantidadNeta],tblMovimientos[SKU],tblStock[[#This Row],[SKU]],tblMovimientos[FactorStock],1))</f>
        <v/>
      </c>
      <c r="I237" s="55" t="str">
        <f>IF(tblStock[[#This Row],[SKU]]="","",-SUMIFS(tblMovimientos[CantidadNeta],tblMovimientos[SKU],tblStock[[#This Row],[SKU]],tblMovimientos[FactorStock],-1))</f>
        <v/>
      </c>
      <c r="J237" s="56" t="str">
        <f>IF(tblStock[[#This Row],[SKU]]="","",SUMIFS(tblMovimientos[CantidadNeta],tblMovimientos[SKU],tblStock[[#This Row],[SKU]]))</f>
        <v/>
      </c>
      <c r="K237" s="55" t="str">
        <f>IF($B237="","",N('05_PRODUCTOS'!$F237))</f>
        <v/>
      </c>
      <c r="L237" s="55" t="str">
        <f>IF($B237="","",N('05_PRODUCTOS'!$G237))</f>
        <v/>
      </c>
      <c r="M237" s="57" t="str">
        <f>IF(OR(tblStock[[#This Row],[SKU]]="",N(tblStock[[#This Row],[StockMax]])=0),"",MAX(0,tblStock[[#This Row],[StockActual]])/tblStock[[#This Row],[StockMax]])</f>
        <v/>
      </c>
      <c r="N23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7" s="59" t="str">
        <f>IF($B237="","",N('05_PRODUCTOS'!$H237))</f>
        <v/>
      </c>
      <c r="P237" s="59" t="str">
        <f>IF(tblStock[[#This Row],[SKU]]="","",MAX(0,tblStock[[#This Row],[StockActual]])*tblStock[[#This Row],[CostoUnitario]])</f>
        <v/>
      </c>
      <c r="Q237" s="60" t="str">
        <f>IF(tblStock[[#This Row],[SKU]]="","",IFERROR(_xlfn.AGGREGATE(14,6,tblMovimientos[Fecha]/(tblMovimientos[SKU]=tblStock[[#This Row],[SKU]]),1),""))</f>
        <v/>
      </c>
      <c r="R237" s="61" t="str">
        <f ca="1">IF(OR(tblStock[[#This Row],[SKU]]="",tblStock[[#This Row],[UltimoMov]]=""),"",TODAY()-tblStock[[#This Row],[UltimoMov]])</f>
        <v/>
      </c>
    </row>
    <row r="238" spans="2:18" x14ac:dyDescent="0.25">
      <c r="B238" s="53" t="str">
        <f>IF('05_PRODUCTOS'!$B238="","",'05_PRODUCTOS'!$B238)</f>
        <v/>
      </c>
      <c r="C238" s="54" t="str">
        <f>IF($B238="","",'05_PRODUCTOS'!$C238)</f>
        <v/>
      </c>
      <c r="D238" s="54" t="str">
        <f>IF($B238="","",'05_PRODUCTOS'!$D238)</f>
        <v/>
      </c>
      <c r="E238" s="54" t="str">
        <f>IF($B238="","",'05_PRODUCTOS'!$I238&amp;"")</f>
        <v/>
      </c>
      <c r="F238" s="53" t="str">
        <f>IF($B238="","",'05_PRODUCTOS'!$E238)</f>
        <v/>
      </c>
      <c r="G238" s="53" t="str">
        <f>IF($B238="","",IF('05_PRODUCTOS'!$K238="NO","NO","SI"))</f>
        <v/>
      </c>
      <c r="H238" s="55" t="str">
        <f>IF(tblStock[[#This Row],[SKU]]="","",SUMIFS(tblMovimientos[CantidadNeta],tblMovimientos[SKU],tblStock[[#This Row],[SKU]],tblMovimientos[FactorStock],1))</f>
        <v/>
      </c>
      <c r="I238" s="55" t="str">
        <f>IF(tblStock[[#This Row],[SKU]]="","",-SUMIFS(tblMovimientos[CantidadNeta],tblMovimientos[SKU],tblStock[[#This Row],[SKU]],tblMovimientos[FactorStock],-1))</f>
        <v/>
      </c>
      <c r="J238" s="56" t="str">
        <f>IF(tblStock[[#This Row],[SKU]]="","",SUMIFS(tblMovimientos[CantidadNeta],tblMovimientos[SKU],tblStock[[#This Row],[SKU]]))</f>
        <v/>
      </c>
      <c r="K238" s="55" t="str">
        <f>IF($B238="","",N('05_PRODUCTOS'!$F238))</f>
        <v/>
      </c>
      <c r="L238" s="55" t="str">
        <f>IF($B238="","",N('05_PRODUCTOS'!$G238))</f>
        <v/>
      </c>
      <c r="M238" s="57" t="str">
        <f>IF(OR(tblStock[[#This Row],[SKU]]="",N(tblStock[[#This Row],[StockMax]])=0),"",MAX(0,tblStock[[#This Row],[StockActual]])/tblStock[[#This Row],[StockMax]])</f>
        <v/>
      </c>
      <c r="N23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8" s="59" t="str">
        <f>IF($B238="","",N('05_PRODUCTOS'!$H238))</f>
        <v/>
      </c>
      <c r="P238" s="59" t="str">
        <f>IF(tblStock[[#This Row],[SKU]]="","",MAX(0,tblStock[[#This Row],[StockActual]])*tblStock[[#This Row],[CostoUnitario]])</f>
        <v/>
      </c>
      <c r="Q238" s="60" t="str">
        <f>IF(tblStock[[#This Row],[SKU]]="","",IFERROR(_xlfn.AGGREGATE(14,6,tblMovimientos[Fecha]/(tblMovimientos[SKU]=tblStock[[#This Row],[SKU]]),1),""))</f>
        <v/>
      </c>
      <c r="R238" s="61" t="str">
        <f ca="1">IF(OR(tblStock[[#This Row],[SKU]]="",tblStock[[#This Row],[UltimoMov]]=""),"",TODAY()-tblStock[[#This Row],[UltimoMov]])</f>
        <v/>
      </c>
    </row>
    <row r="239" spans="2:18" x14ac:dyDescent="0.25">
      <c r="B239" s="53" t="str">
        <f>IF('05_PRODUCTOS'!$B239="","",'05_PRODUCTOS'!$B239)</f>
        <v/>
      </c>
      <c r="C239" s="54" t="str">
        <f>IF($B239="","",'05_PRODUCTOS'!$C239)</f>
        <v/>
      </c>
      <c r="D239" s="54" t="str">
        <f>IF($B239="","",'05_PRODUCTOS'!$D239)</f>
        <v/>
      </c>
      <c r="E239" s="54" t="str">
        <f>IF($B239="","",'05_PRODUCTOS'!$I239&amp;"")</f>
        <v/>
      </c>
      <c r="F239" s="53" t="str">
        <f>IF($B239="","",'05_PRODUCTOS'!$E239)</f>
        <v/>
      </c>
      <c r="G239" s="53" t="str">
        <f>IF($B239="","",IF('05_PRODUCTOS'!$K239="NO","NO","SI"))</f>
        <v/>
      </c>
      <c r="H239" s="55" t="str">
        <f>IF(tblStock[[#This Row],[SKU]]="","",SUMIFS(tblMovimientos[CantidadNeta],tblMovimientos[SKU],tblStock[[#This Row],[SKU]],tblMovimientos[FactorStock],1))</f>
        <v/>
      </c>
      <c r="I239" s="55" t="str">
        <f>IF(tblStock[[#This Row],[SKU]]="","",-SUMIFS(tblMovimientos[CantidadNeta],tblMovimientos[SKU],tblStock[[#This Row],[SKU]],tblMovimientos[FactorStock],-1))</f>
        <v/>
      </c>
      <c r="J239" s="56" t="str">
        <f>IF(tblStock[[#This Row],[SKU]]="","",SUMIFS(tblMovimientos[CantidadNeta],tblMovimientos[SKU],tblStock[[#This Row],[SKU]]))</f>
        <v/>
      </c>
      <c r="K239" s="55" t="str">
        <f>IF($B239="","",N('05_PRODUCTOS'!$F239))</f>
        <v/>
      </c>
      <c r="L239" s="55" t="str">
        <f>IF($B239="","",N('05_PRODUCTOS'!$G239))</f>
        <v/>
      </c>
      <c r="M239" s="57" t="str">
        <f>IF(OR(tblStock[[#This Row],[SKU]]="",N(tblStock[[#This Row],[StockMax]])=0),"",MAX(0,tblStock[[#This Row],[StockActual]])/tblStock[[#This Row],[StockMax]])</f>
        <v/>
      </c>
      <c r="N23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39" s="59" t="str">
        <f>IF($B239="","",N('05_PRODUCTOS'!$H239))</f>
        <v/>
      </c>
      <c r="P239" s="59" t="str">
        <f>IF(tblStock[[#This Row],[SKU]]="","",MAX(0,tblStock[[#This Row],[StockActual]])*tblStock[[#This Row],[CostoUnitario]])</f>
        <v/>
      </c>
      <c r="Q239" s="60" t="str">
        <f>IF(tblStock[[#This Row],[SKU]]="","",IFERROR(_xlfn.AGGREGATE(14,6,tblMovimientos[Fecha]/(tblMovimientos[SKU]=tblStock[[#This Row],[SKU]]),1),""))</f>
        <v/>
      </c>
      <c r="R239" s="61" t="str">
        <f ca="1">IF(OR(tblStock[[#This Row],[SKU]]="",tblStock[[#This Row],[UltimoMov]]=""),"",TODAY()-tblStock[[#This Row],[UltimoMov]])</f>
        <v/>
      </c>
    </row>
    <row r="240" spans="2:18" x14ac:dyDescent="0.25">
      <c r="B240" s="53" t="str">
        <f>IF('05_PRODUCTOS'!$B240="","",'05_PRODUCTOS'!$B240)</f>
        <v/>
      </c>
      <c r="C240" s="54" t="str">
        <f>IF($B240="","",'05_PRODUCTOS'!$C240)</f>
        <v/>
      </c>
      <c r="D240" s="54" t="str">
        <f>IF($B240="","",'05_PRODUCTOS'!$D240)</f>
        <v/>
      </c>
      <c r="E240" s="54" t="str">
        <f>IF($B240="","",'05_PRODUCTOS'!$I240&amp;"")</f>
        <v/>
      </c>
      <c r="F240" s="53" t="str">
        <f>IF($B240="","",'05_PRODUCTOS'!$E240)</f>
        <v/>
      </c>
      <c r="G240" s="53" t="str">
        <f>IF($B240="","",IF('05_PRODUCTOS'!$K240="NO","NO","SI"))</f>
        <v/>
      </c>
      <c r="H240" s="55" t="str">
        <f>IF(tblStock[[#This Row],[SKU]]="","",SUMIFS(tblMovimientos[CantidadNeta],tblMovimientos[SKU],tblStock[[#This Row],[SKU]],tblMovimientos[FactorStock],1))</f>
        <v/>
      </c>
      <c r="I240" s="55" t="str">
        <f>IF(tblStock[[#This Row],[SKU]]="","",-SUMIFS(tblMovimientos[CantidadNeta],tblMovimientos[SKU],tblStock[[#This Row],[SKU]],tblMovimientos[FactorStock],-1))</f>
        <v/>
      </c>
      <c r="J240" s="56" t="str">
        <f>IF(tblStock[[#This Row],[SKU]]="","",SUMIFS(tblMovimientos[CantidadNeta],tblMovimientos[SKU],tblStock[[#This Row],[SKU]]))</f>
        <v/>
      </c>
      <c r="K240" s="55" t="str">
        <f>IF($B240="","",N('05_PRODUCTOS'!$F240))</f>
        <v/>
      </c>
      <c r="L240" s="55" t="str">
        <f>IF($B240="","",N('05_PRODUCTOS'!$G240))</f>
        <v/>
      </c>
      <c r="M240" s="57" t="str">
        <f>IF(OR(tblStock[[#This Row],[SKU]]="",N(tblStock[[#This Row],[StockMax]])=0),"",MAX(0,tblStock[[#This Row],[StockActual]])/tblStock[[#This Row],[StockMax]])</f>
        <v/>
      </c>
      <c r="N24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0" s="59" t="str">
        <f>IF($B240="","",N('05_PRODUCTOS'!$H240))</f>
        <v/>
      </c>
      <c r="P240" s="59" t="str">
        <f>IF(tblStock[[#This Row],[SKU]]="","",MAX(0,tblStock[[#This Row],[StockActual]])*tblStock[[#This Row],[CostoUnitario]])</f>
        <v/>
      </c>
      <c r="Q240" s="60" t="str">
        <f>IF(tblStock[[#This Row],[SKU]]="","",IFERROR(_xlfn.AGGREGATE(14,6,tblMovimientos[Fecha]/(tblMovimientos[SKU]=tblStock[[#This Row],[SKU]]),1),""))</f>
        <v/>
      </c>
      <c r="R240" s="61" t="str">
        <f ca="1">IF(OR(tblStock[[#This Row],[SKU]]="",tblStock[[#This Row],[UltimoMov]]=""),"",TODAY()-tblStock[[#This Row],[UltimoMov]])</f>
        <v/>
      </c>
    </row>
    <row r="241" spans="2:18" x14ac:dyDescent="0.25">
      <c r="B241" s="53" t="str">
        <f>IF('05_PRODUCTOS'!$B241="","",'05_PRODUCTOS'!$B241)</f>
        <v/>
      </c>
      <c r="C241" s="54" t="str">
        <f>IF($B241="","",'05_PRODUCTOS'!$C241)</f>
        <v/>
      </c>
      <c r="D241" s="54" t="str">
        <f>IF($B241="","",'05_PRODUCTOS'!$D241)</f>
        <v/>
      </c>
      <c r="E241" s="54" t="str">
        <f>IF($B241="","",'05_PRODUCTOS'!$I241&amp;"")</f>
        <v/>
      </c>
      <c r="F241" s="53" t="str">
        <f>IF($B241="","",'05_PRODUCTOS'!$E241)</f>
        <v/>
      </c>
      <c r="G241" s="53" t="str">
        <f>IF($B241="","",IF('05_PRODUCTOS'!$K241="NO","NO","SI"))</f>
        <v/>
      </c>
      <c r="H241" s="55" t="str">
        <f>IF(tblStock[[#This Row],[SKU]]="","",SUMIFS(tblMovimientos[CantidadNeta],tblMovimientos[SKU],tblStock[[#This Row],[SKU]],tblMovimientos[FactorStock],1))</f>
        <v/>
      </c>
      <c r="I241" s="55" t="str">
        <f>IF(tblStock[[#This Row],[SKU]]="","",-SUMIFS(tblMovimientos[CantidadNeta],tblMovimientos[SKU],tblStock[[#This Row],[SKU]],tblMovimientos[FactorStock],-1))</f>
        <v/>
      </c>
      <c r="J241" s="56" t="str">
        <f>IF(tblStock[[#This Row],[SKU]]="","",SUMIFS(tblMovimientos[CantidadNeta],tblMovimientos[SKU],tblStock[[#This Row],[SKU]]))</f>
        <v/>
      </c>
      <c r="K241" s="55" t="str">
        <f>IF($B241="","",N('05_PRODUCTOS'!$F241))</f>
        <v/>
      </c>
      <c r="L241" s="55" t="str">
        <f>IF($B241="","",N('05_PRODUCTOS'!$G241))</f>
        <v/>
      </c>
      <c r="M241" s="57" t="str">
        <f>IF(OR(tblStock[[#This Row],[SKU]]="",N(tblStock[[#This Row],[StockMax]])=0),"",MAX(0,tblStock[[#This Row],[StockActual]])/tblStock[[#This Row],[StockMax]])</f>
        <v/>
      </c>
      <c r="N24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1" s="59" t="str">
        <f>IF($B241="","",N('05_PRODUCTOS'!$H241))</f>
        <v/>
      </c>
      <c r="P241" s="59" t="str">
        <f>IF(tblStock[[#This Row],[SKU]]="","",MAX(0,tblStock[[#This Row],[StockActual]])*tblStock[[#This Row],[CostoUnitario]])</f>
        <v/>
      </c>
      <c r="Q241" s="60" t="str">
        <f>IF(tblStock[[#This Row],[SKU]]="","",IFERROR(_xlfn.AGGREGATE(14,6,tblMovimientos[Fecha]/(tblMovimientos[SKU]=tblStock[[#This Row],[SKU]]),1),""))</f>
        <v/>
      </c>
      <c r="R241" s="61" t="str">
        <f ca="1">IF(OR(tblStock[[#This Row],[SKU]]="",tblStock[[#This Row],[UltimoMov]]=""),"",TODAY()-tblStock[[#This Row],[UltimoMov]])</f>
        <v/>
      </c>
    </row>
    <row r="242" spans="2:18" x14ac:dyDescent="0.25">
      <c r="B242" s="53" t="str">
        <f>IF('05_PRODUCTOS'!$B242="","",'05_PRODUCTOS'!$B242)</f>
        <v/>
      </c>
      <c r="C242" s="54" t="str">
        <f>IF($B242="","",'05_PRODUCTOS'!$C242)</f>
        <v/>
      </c>
      <c r="D242" s="54" t="str">
        <f>IF($B242="","",'05_PRODUCTOS'!$D242)</f>
        <v/>
      </c>
      <c r="E242" s="54" t="str">
        <f>IF($B242="","",'05_PRODUCTOS'!$I242&amp;"")</f>
        <v/>
      </c>
      <c r="F242" s="53" t="str">
        <f>IF($B242="","",'05_PRODUCTOS'!$E242)</f>
        <v/>
      </c>
      <c r="G242" s="53" t="str">
        <f>IF($B242="","",IF('05_PRODUCTOS'!$K242="NO","NO","SI"))</f>
        <v/>
      </c>
      <c r="H242" s="55" t="str">
        <f>IF(tblStock[[#This Row],[SKU]]="","",SUMIFS(tblMovimientos[CantidadNeta],tblMovimientos[SKU],tblStock[[#This Row],[SKU]],tblMovimientos[FactorStock],1))</f>
        <v/>
      </c>
      <c r="I242" s="55" t="str">
        <f>IF(tblStock[[#This Row],[SKU]]="","",-SUMIFS(tblMovimientos[CantidadNeta],tblMovimientos[SKU],tblStock[[#This Row],[SKU]],tblMovimientos[FactorStock],-1))</f>
        <v/>
      </c>
      <c r="J242" s="56" t="str">
        <f>IF(tblStock[[#This Row],[SKU]]="","",SUMIFS(tblMovimientos[CantidadNeta],tblMovimientos[SKU],tblStock[[#This Row],[SKU]]))</f>
        <v/>
      </c>
      <c r="K242" s="55" t="str">
        <f>IF($B242="","",N('05_PRODUCTOS'!$F242))</f>
        <v/>
      </c>
      <c r="L242" s="55" t="str">
        <f>IF($B242="","",N('05_PRODUCTOS'!$G242))</f>
        <v/>
      </c>
      <c r="M242" s="57" t="str">
        <f>IF(OR(tblStock[[#This Row],[SKU]]="",N(tblStock[[#This Row],[StockMax]])=0),"",MAX(0,tblStock[[#This Row],[StockActual]])/tblStock[[#This Row],[StockMax]])</f>
        <v/>
      </c>
      <c r="N24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2" s="59" t="str">
        <f>IF($B242="","",N('05_PRODUCTOS'!$H242))</f>
        <v/>
      </c>
      <c r="P242" s="59" t="str">
        <f>IF(tblStock[[#This Row],[SKU]]="","",MAX(0,tblStock[[#This Row],[StockActual]])*tblStock[[#This Row],[CostoUnitario]])</f>
        <v/>
      </c>
      <c r="Q242" s="60" t="str">
        <f>IF(tblStock[[#This Row],[SKU]]="","",IFERROR(_xlfn.AGGREGATE(14,6,tblMovimientos[Fecha]/(tblMovimientos[SKU]=tblStock[[#This Row],[SKU]]),1),""))</f>
        <v/>
      </c>
      <c r="R242" s="61" t="str">
        <f ca="1">IF(OR(tblStock[[#This Row],[SKU]]="",tblStock[[#This Row],[UltimoMov]]=""),"",TODAY()-tblStock[[#This Row],[UltimoMov]])</f>
        <v/>
      </c>
    </row>
    <row r="243" spans="2:18" x14ac:dyDescent="0.25">
      <c r="B243" s="53" t="str">
        <f>IF('05_PRODUCTOS'!$B243="","",'05_PRODUCTOS'!$B243)</f>
        <v/>
      </c>
      <c r="C243" s="54" t="str">
        <f>IF($B243="","",'05_PRODUCTOS'!$C243)</f>
        <v/>
      </c>
      <c r="D243" s="54" t="str">
        <f>IF($B243="","",'05_PRODUCTOS'!$D243)</f>
        <v/>
      </c>
      <c r="E243" s="54" t="str">
        <f>IF($B243="","",'05_PRODUCTOS'!$I243&amp;"")</f>
        <v/>
      </c>
      <c r="F243" s="53" t="str">
        <f>IF($B243="","",'05_PRODUCTOS'!$E243)</f>
        <v/>
      </c>
      <c r="G243" s="53" t="str">
        <f>IF($B243="","",IF('05_PRODUCTOS'!$K243="NO","NO","SI"))</f>
        <v/>
      </c>
      <c r="H243" s="55" t="str">
        <f>IF(tblStock[[#This Row],[SKU]]="","",SUMIFS(tblMovimientos[CantidadNeta],tblMovimientos[SKU],tblStock[[#This Row],[SKU]],tblMovimientos[FactorStock],1))</f>
        <v/>
      </c>
      <c r="I243" s="55" t="str">
        <f>IF(tblStock[[#This Row],[SKU]]="","",-SUMIFS(tblMovimientos[CantidadNeta],tblMovimientos[SKU],tblStock[[#This Row],[SKU]],tblMovimientos[FactorStock],-1))</f>
        <v/>
      </c>
      <c r="J243" s="56" t="str">
        <f>IF(tblStock[[#This Row],[SKU]]="","",SUMIFS(tblMovimientos[CantidadNeta],tblMovimientos[SKU],tblStock[[#This Row],[SKU]]))</f>
        <v/>
      </c>
      <c r="K243" s="55" t="str">
        <f>IF($B243="","",N('05_PRODUCTOS'!$F243))</f>
        <v/>
      </c>
      <c r="L243" s="55" t="str">
        <f>IF($B243="","",N('05_PRODUCTOS'!$G243))</f>
        <v/>
      </c>
      <c r="M243" s="57" t="str">
        <f>IF(OR(tblStock[[#This Row],[SKU]]="",N(tblStock[[#This Row],[StockMax]])=0),"",MAX(0,tblStock[[#This Row],[StockActual]])/tblStock[[#This Row],[StockMax]])</f>
        <v/>
      </c>
      <c r="N24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3" s="59" t="str">
        <f>IF($B243="","",N('05_PRODUCTOS'!$H243))</f>
        <v/>
      </c>
      <c r="P243" s="59" t="str">
        <f>IF(tblStock[[#This Row],[SKU]]="","",MAX(0,tblStock[[#This Row],[StockActual]])*tblStock[[#This Row],[CostoUnitario]])</f>
        <v/>
      </c>
      <c r="Q243" s="60" t="str">
        <f>IF(tblStock[[#This Row],[SKU]]="","",IFERROR(_xlfn.AGGREGATE(14,6,tblMovimientos[Fecha]/(tblMovimientos[SKU]=tblStock[[#This Row],[SKU]]),1),""))</f>
        <v/>
      </c>
      <c r="R243" s="61" t="str">
        <f ca="1">IF(OR(tblStock[[#This Row],[SKU]]="",tblStock[[#This Row],[UltimoMov]]=""),"",TODAY()-tblStock[[#This Row],[UltimoMov]])</f>
        <v/>
      </c>
    </row>
    <row r="244" spans="2:18" x14ac:dyDescent="0.25">
      <c r="B244" s="53" t="str">
        <f>IF('05_PRODUCTOS'!$B244="","",'05_PRODUCTOS'!$B244)</f>
        <v/>
      </c>
      <c r="C244" s="54" t="str">
        <f>IF($B244="","",'05_PRODUCTOS'!$C244)</f>
        <v/>
      </c>
      <c r="D244" s="54" t="str">
        <f>IF($B244="","",'05_PRODUCTOS'!$D244)</f>
        <v/>
      </c>
      <c r="E244" s="54" t="str">
        <f>IF($B244="","",'05_PRODUCTOS'!$I244&amp;"")</f>
        <v/>
      </c>
      <c r="F244" s="53" t="str">
        <f>IF($B244="","",'05_PRODUCTOS'!$E244)</f>
        <v/>
      </c>
      <c r="G244" s="53" t="str">
        <f>IF($B244="","",IF('05_PRODUCTOS'!$K244="NO","NO","SI"))</f>
        <v/>
      </c>
      <c r="H244" s="55" t="str">
        <f>IF(tblStock[[#This Row],[SKU]]="","",SUMIFS(tblMovimientos[CantidadNeta],tblMovimientos[SKU],tblStock[[#This Row],[SKU]],tblMovimientos[FactorStock],1))</f>
        <v/>
      </c>
      <c r="I244" s="55" t="str">
        <f>IF(tblStock[[#This Row],[SKU]]="","",-SUMIFS(tblMovimientos[CantidadNeta],tblMovimientos[SKU],tblStock[[#This Row],[SKU]],tblMovimientos[FactorStock],-1))</f>
        <v/>
      </c>
      <c r="J244" s="56" t="str">
        <f>IF(tblStock[[#This Row],[SKU]]="","",SUMIFS(tblMovimientos[CantidadNeta],tblMovimientos[SKU],tblStock[[#This Row],[SKU]]))</f>
        <v/>
      </c>
      <c r="K244" s="55" t="str">
        <f>IF($B244="","",N('05_PRODUCTOS'!$F244))</f>
        <v/>
      </c>
      <c r="L244" s="55" t="str">
        <f>IF($B244="","",N('05_PRODUCTOS'!$G244))</f>
        <v/>
      </c>
      <c r="M244" s="57" t="str">
        <f>IF(OR(tblStock[[#This Row],[SKU]]="",N(tblStock[[#This Row],[StockMax]])=0),"",MAX(0,tblStock[[#This Row],[StockActual]])/tblStock[[#This Row],[StockMax]])</f>
        <v/>
      </c>
      <c r="N24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4" s="59" t="str">
        <f>IF($B244="","",N('05_PRODUCTOS'!$H244))</f>
        <v/>
      </c>
      <c r="P244" s="59" t="str">
        <f>IF(tblStock[[#This Row],[SKU]]="","",MAX(0,tblStock[[#This Row],[StockActual]])*tblStock[[#This Row],[CostoUnitario]])</f>
        <v/>
      </c>
      <c r="Q244" s="60" t="str">
        <f>IF(tblStock[[#This Row],[SKU]]="","",IFERROR(_xlfn.AGGREGATE(14,6,tblMovimientos[Fecha]/(tblMovimientos[SKU]=tblStock[[#This Row],[SKU]]),1),""))</f>
        <v/>
      </c>
      <c r="R244" s="61" t="str">
        <f ca="1">IF(OR(tblStock[[#This Row],[SKU]]="",tblStock[[#This Row],[UltimoMov]]=""),"",TODAY()-tblStock[[#This Row],[UltimoMov]])</f>
        <v/>
      </c>
    </row>
    <row r="245" spans="2:18" x14ac:dyDescent="0.25">
      <c r="B245" s="53" t="str">
        <f>IF('05_PRODUCTOS'!$B245="","",'05_PRODUCTOS'!$B245)</f>
        <v/>
      </c>
      <c r="C245" s="54" t="str">
        <f>IF($B245="","",'05_PRODUCTOS'!$C245)</f>
        <v/>
      </c>
      <c r="D245" s="54" t="str">
        <f>IF($B245="","",'05_PRODUCTOS'!$D245)</f>
        <v/>
      </c>
      <c r="E245" s="54" t="str">
        <f>IF($B245="","",'05_PRODUCTOS'!$I245&amp;"")</f>
        <v/>
      </c>
      <c r="F245" s="53" t="str">
        <f>IF($B245="","",'05_PRODUCTOS'!$E245)</f>
        <v/>
      </c>
      <c r="G245" s="53" t="str">
        <f>IF($B245="","",IF('05_PRODUCTOS'!$K245="NO","NO","SI"))</f>
        <v/>
      </c>
      <c r="H245" s="55" t="str">
        <f>IF(tblStock[[#This Row],[SKU]]="","",SUMIFS(tblMovimientos[CantidadNeta],tblMovimientos[SKU],tblStock[[#This Row],[SKU]],tblMovimientos[FactorStock],1))</f>
        <v/>
      </c>
      <c r="I245" s="55" t="str">
        <f>IF(tblStock[[#This Row],[SKU]]="","",-SUMIFS(tblMovimientos[CantidadNeta],tblMovimientos[SKU],tblStock[[#This Row],[SKU]],tblMovimientos[FactorStock],-1))</f>
        <v/>
      </c>
      <c r="J245" s="56" t="str">
        <f>IF(tblStock[[#This Row],[SKU]]="","",SUMIFS(tblMovimientos[CantidadNeta],tblMovimientos[SKU],tblStock[[#This Row],[SKU]]))</f>
        <v/>
      </c>
      <c r="K245" s="55" t="str">
        <f>IF($B245="","",N('05_PRODUCTOS'!$F245))</f>
        <v/>
      </c>
      <c r="L245" s="55" t="str">
        <f>IF($B245="","",N('05_PRODUCTOS'!$G245))</f>
        <v/>
      </c>
      <c r="M245" s="57" t="str">
        <f>IF(OR(tblStock[[#This Row],[SKU]]="",N(tblStock[[#This Row],[StockMax]])=0),"",MAX(0,tblStock[[#This Row],[StockActual]])/tblStock[[#This Row],[StockMax]])</f>
        <v/>
      </c>
      <c r="N24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5" s="59" t="str">
        <f>IF($B245="","",N('05_PRODUCTOS'!$H245))</f>
        <v/>
      </c>
      <c r="P245" s="59" t="str">
        <f>IF(tblStock[[#This Row],[SKU]]="","",MAX(0,tblStock[[#This Row],[StockActual]])*tblStock[[#This Row],[CostoUnitario]])</f>
        <v/>
      </c>
      <c r="Q245" s="60" t="str">
        <f>IF(tblStock[[#This Row],[SKU]]="","",IFERROR(_xlfn.AGGREGATE(14,6,tblMovimientos[Fecha]/(tblMovimientos[SKU]=tblStock[[#This Row],[SKU]]),1),""))</f>
        <v/>
      </c>
      <c r="R245" s="61" t="str">
        <f ca="1">IF(OR(tblStock[[#This Row],[SKU]]="",tblStock[[#This Row],[UltimoMov]]=""),"",TODAY()-tblStock[[#This Row],[UltimoMov]])</f>
        <v/>
      </c>
    </row>
    <row r="246" spans="2:18" x14ac:dyDescent="0.25">
      <c r="B246" s="53" t="str">
        <f>IF('05_PRODUCTOS'!$B246="","",'05_PRODUCTOS'!$B246)</f>
        <v/>
      </c>
      <c r="C246" s="54" t="str">
        <f>IF($B246="","",'05_PRODUCTOS'!$C246)</f>
        <v/>
      </c>
      <c r="D246" s="54" t="str">
        <f>IF($B246="","",'05_PRODUCTOS'!$D246)</f>
        <v/>
      </c>
      <c r="E246" s="54" t="str">
        <f>IF($B246="","",'05_PRODUCTOS'!$I246&amp;"")</f>
        <v/>
      </c>
      <c r="F246" s="53" t="str">
        <f>IF($B246="","",'05_PRODUCTOS'!$E246)</f>
        <v/>
      </c>
      <c r="G246" s="53" t="str">
        <f>IF($B246="","",IF('05_PRODUCTOS'!$K246="NO","NO","SI"))</f>
        <v/>
      </c>
      <c r="H246" s="55" t="str">
        <f>IF(tblStock[[#This Row],[SKU]]="","",SUMIFS(tblMovimientos[CantidadNeta],tblMovimientos[SKU],tblStock[[#This Row],[SKU]],tblMovimientos[FactorStock],1))</f>
        <v/>
      </c>
      <c r="I246" s="55" t="str">
        <f>IF(tblStock[[#This Row],[SKU]]="","",-SUMIFS(tblMovimientos[CantidadNeta],tblMovimientos[SKU],tblStock[[#This Row],[SKU]],tblMovimientos[FactorStock],-1))</f>
        <v/>
      </c>
      <c r="J246" s="56" t="str">
        <f>IF(tblStock[[#This Row],[SKU]]="","",SUMIFS(tblMovimientos[CantidadNeta],tblMovimientos[SKU],tblStock[[#This Row],[SKU]]))</f>
        <v/>
      </c>
      <c r="K246" s="55" t="str">
        <f>IF($B246="","",N('05_PRODUCTOS'!$F246))</f>
        <v/>
      </c>
      <c r="L246" s="55" t="str">
        <f>IF($B246="","",N('05_PRODUCTOS'!$G246))</f>
        <v/>
      </c>
      <c r="M246" s="57" t="str">
        <f>IF(OR(tblStock[[#This Row],[SKU]]="",N(tblStock[[#This Row],[StockMax]])=0),"",MAX(0,tblStock[[#This Row],[StockActual]])/tblStock[[#This Row],[StockMax]])</f>
        <v/>
      </c>
      <c r="N24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6" s="59" t="str">
        <f>IF($B246="","",N('05_PRODUCTOS'!$H246))</f>
        <v/>
      </c>
      <c r="P246" s="59" t="str">
        <f>IF(tblStock[[#This Row],[SKU]]="","",MAX(0,tblStock[[#This Row],[StockActual]])*tblStock[[#This Row],[CostoUnitario]])</f>
        <v/>
      </c>
      <c r="Q246" s="60" t="str">
        <f>IF(tblStock[[#This Row],[SKU]]="","",IFERROR(_xlfn.AGGREGATE(14,6,tblMovimientos[Fecha]/(tblMovimientos[SKU]=tblStock[[#This Row],[SKU]]),1),""))</f>
        <v/>
      </c>
      <c r="R246" s="61" t="str">
        <f ca="1">IF(OR(tblStock[[#This Row],[SKU]]="",tblStock[[#This Row],[UltimoMov]]=""),"",TODAY()-tblStock[[#This Row],[UltimoMov]])</f>
        <v/>
      </c>
    </row>
    <row r="247" spans="2:18" x14ac:dyDescent="0.25">
      <c r="B247" s="53" t="str">
        <f>IF('05_PRODUCTOS'!$B247="","",'05_PRODUCTOS'!$B247)</f>
        <v/>
      </c>
      <c r="C247" s="54" t="str">
        <f>IF($B247="","",'05_PRODUCTOS'!$C247)</f>
        <v/>
      </c>
      <c r="D247" s="54" t="str">
        <f>IF($B247="","",'05_PRODUCTOS'!$D247)</f>
        <v/>
      </c>
      <c r="E247" s="54" t="str">
        <f>IF($B247="","",'05_PRODUCTOS'!$I247&amp;"")</f>
        <v/>
      </c>
      <c r="F247" s="53" t="str">
        <f>IF($B247="","",'05_PRODUCTOS'!$E247)</f>
        <v/>
      </c>
      <c r="G247" s="53" t="str">
        <f>IF($B247="","",IF('05_PRODUCTOS'!$K247="NO","NO","SI"))</f>
        <v/>
      </c>
      <c r="H247" s="55" t="str">
        <f>IF(tblStock[[#This Row],[SKU]]="","",SUMIFS(tblMovimientos[CantidadNeta],tblMovimientos[SKU],tblStock[[#This Row],[SKU]],tblMovimientos[FactorStock],1))</f>
        <v/>
      </c>
      <c r="I247" s="55" t="str">
        <f>IF(tblStock[[#This Row],[SKU]]="","",-SUMIFS(tblMovimientos[CantidadNeta],tblMovimientos[SKU],tblStock[[#This Row],[SKU]],tblMovimientos[FactorStock],-1))</f>
        <v/>
      </c>
      <c r="J247" s="56" t="str">
        <f>IF(tblStock[[#This Row],[SKU]]="","",SUMIFS(tblMovimientos[CantidadNeta],tblMovimientos[SKU],tblStock[[#This Row],[SKU]]))</f>
        <v/>
      </c>
      <c r="K247" s="55" t="str">
        <f>IF($B247="","",N('05_PRODUCTOS'!$F247))</f>
        <v/>
      </c>
      <c r="L247" s="55" t="str">
        <f>IF($B247="","",N('05_PRODUCTOS'!$G247))</f>
        <v/>
      </c>
      <c r="M247" s="57" t="str">
        <f>IF(OR(tblStock[[#This Row],[SKU]]="",N(tblStock[[#This Row],[StockMax]])=0),"",MAX(0,tblStock[[#This Row],[StockActual]])/tblStock[[#This Row],[StockMax]])</f>
        <v/>
      </c>
      <c r="N24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7" s="59" t="str">
        <f>IF($B247="","",N('05_PRODUCTOS'!$H247))</f>
        <v/>
      </c>
      <c r="P247" s="59" t="str">
        <f>IF(tblStock[[#This Row],[SKU]]="","",MAX(0,tblStock[[#This Row],[StockActual]])*tblStock[[#This Row],[CostoUnitario]])</f>
        <v/>
      </c>
      <c r="Q247" s="60" t="str">
        <f>IF(tblStock[[#This Row],[SKU]]="","",IFERROR(_xlfn.AGGREGATE(14,6,tblMovimientos[Fecha]/(tblMovimientos[SKU]=tblStock[[#This Row],[SKU]]),1),""))</f>
        <v/>
      </c>
      <c r="R247" s="61" t="str">
        <f ca="1">IF(OR(tblStock[[#This Row],[SKU]]="",tblStock[[#This Row],[UltimoMov]]=""),"",TODAY()-tblStock[[#This Row],[UltimoMov]])</f>
        <v/>
      </c>
    </row>
    <row r="248" spans="2:18" x14ac:dyDescent="0.25">
      <c r="B248" s="53" t="str">
        <f>IF('05_PRODUCTOS'!$B248="","",'05_PRODUCTOS'!$B248)</f>
        <v/>
      </c>
      <c r="C248" s="54" t="str">
        <f>IF($B248="","",'05_PRODUCTOS'!$C248)</f>
        <v/>
      </c>
      <c r="D248" s="54" t="str">
        <f>IF($B248="","",'05_PRODUCTOS'!$D248)</f>
        <v/>
      </c>
      <c r="E248" s="54" t="str">
        <f>IF($B248="","",'05_PRODUCTOS'!$I248&amp;"")</f>
        <v/>
      </c>
      <c r="F248" s="53" t="str">
        <f>IF($B248="","",'05_PRODUCTOS'!$E248)</f>
        <v/>
      </c>
      <c r="G248" s="53" t="str">
        <f>IF($B248="","",IF('05_PRODUCTOS'!$K248="NO","NO","SI"))</f>
        <v/>
      </c>
      <c r="H248" s="55" t="str">
        <f>IF(tblStock[[#This Row],[SKU]]="","",SUMIFS(tblMovimientos[CantidadNeta],tblMovimientos[SKU],tblStock[[#This Row],[SKU]],tblMovimientos[FactorStock],1))</f>
        <v/>
      </c>
      <c r="I248" s="55" t="str">
        <f>IF(tblStock[[#This Row],[SKU]]="","",-SUMIFS(tblMovimientos[CantidadNeta],tblMovimientos[SKU],tblStock[[#This Row],[SKU]],tblMovimientos[FactorStock],-1))</f>
        <v/>
      </c>
      <c r="J248" s="56" t="str">
        <f>IF(tblStock[[#This Row],[SKU]]="","",SUMIFS(tblMovimientos[CantidadNeta],tblMovimientos[SKU],tblStock[[#This Row],[SKU]]))</f>
        <v/>
      </c>
      <c r="K248" s="55" t="str">
        <f>IF($B248="","",N('05_PRODUCTOS'!$F248))</f>
        <v/>
      </c>
      <c r="L248" s="55" t="str">
        <f>IF($B248="","",N('05_PRODUCTOS'!$G248))</f>
        <v/>
      </c>
      <c r="M248" s="57" t="str">
        <f>IF(OR(tblStock[[#This Row],[SKU]]="",N(tblStock[[#This Row],[StockMax]])=0),"",MAX(0,tblStock[[#This Row],[StockActual]])/tblStock[[#This Row],[StockMax]])</f>
        <v/>
      </c>
      <c r="N24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8" s="59" t="str">
        <f>IF($B248="","",N('05_PRODUCTOS'!$H248))</f>
        <v/>
      </c>
      <c r="P248" s="59" t="str">
        <f>IF(tblStock[[#This Row],[SKU]]="","",MAX(0,tblStock[[#This Row],[StockActual]])*tblStock[[#This Row],[CostoUnitario]])</f>
        <v/>
      </c>
      <c r="Q248" s="60" t="str">
        <f>IF(tblStock[[#This Row],[SKU]]="","",IFERROR(_xlfn.AGGREGATE(14,6,tblMovimientos[Fecha]/(tblMovimientos[SKU]=tblStock[[#This Row],[SKU]]),1),""))</f>
        <v/>
      </c>
      <c r="R248" s="61" t="str">
        <f ca="1">IF(OR(tblStock[[#This Row],[SKU]]="",tblStock[[#This Row],[UltimoMov]]=""),"",TODAY()-tblStock[[#This Row],[UltimoMov]])</f>
        <v/>
      </c>
    </row>
    <row r="249" spans="2:18" x14ac:dyDescent="0.25">
      <c r="B249" s="53" t="str">
        <f>IF('05_PRODUCTOS'!$B249="","",'05_PRODUCTOS'!$B249)</f>
        <v/>
      </c>
      <c r="C249" s="54" t="str">
        <f>IF($B249="","",'05_PRODUCTOS'!$C249)</f>
        <v/>
      </c>
      <c r="D249" s="54" t="str">
        <f>IF($B249="","",'05_PRODUCTOS'!$D249)</f>
        <v/>
      </c>
      <c r="E249" s="54" t="str">
        <f>IF($B249="","",'05_PRODUCTOS'!$I249&amp;"")</f>
        <v/>
      </c>
      <c r="F249" s="53" t="str">
        <f>IF($B249="","",'05_PRODUCTOS'!$E249)</f>
        <v/>
      </c>
      <c r="G249" s="53" t="str">
        <f>IF($B249="","",IF('05_PRODUCTOS'!$K249="NO","NO","SI"))</f>
        <v/>
      </c>
      <c r="H249" s="55" t="str">
        <f>IF(tblStock[[#This Row],[SKU]]="","",SUMIFS(tblMovimientos[CantidadNeta],tblMovimientos[SKU],tblStock[[#This Row],[SKU]],tblMovimientos[FactorStock],1))</f>
        <v/>
      </c>
      <c r="I249" s="55" t="str">
        <f>IF(tblStock[[#This Row],[SKU]]="","",-SUMIFS(tblMovimientos[CantidadNeta],tblMovimientos[SKU],tblStock[[#This Row],[SKU]],tblMovimientos[FactorStock],-1))</f>
        <v/>
      </c>
      <c r="J249" s="56" t="str">
        <f>IF(tblStock[[#This Row],[SKU]]="","",SUMIFS(tblMovimientos[CantidadNeta],tblMovimientos[SKU],tblStock[[#This Row],[SKU]]))</f>
        <v/>
      </c>
      <c r="K249" s="55" t="str">
        <f>IF($B249="","",N('05_PRODUCTOS'!$F249))</f>
        <v/>
      </c>
      <c r="L249" s="55" t="str">
        <f>IF($B249="","",N('05_PRODUCTOS'!$G249))</f>
        <v/>
      </c>
      <c r="M249" s="57" t="str">
        <f>IF(OR(tblStock[[#This Row],[SKU]]="",N(tblStock[[#This Row],[StockMax]])=0),"",MAX(0,tblStock[[#This Row],[StockActual]])/tblStock[[#This Row],[StockMax]])</f>
        <v/>
      </c>
      <c r="N24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49" s="59" t="str">
        <f>IF($B249="","",N('05_PRODUCTOS'!$H249))</f>
        <v/>
      </c>
      <c r="P249" s="59" t="str">
        <f>IF(tblStock[[#This Row],[SKU]]="","",MAX(0,tblStock[[#This Row],[StockActual]])*tblStock[[#This Row],[CostoUnitario]])</f>
        <v/>
      </c>
      <c r="Q249" s="60" t="str">
        <f>IF(tblStock[[#This Row],[SKU]]="","",IFERROR(_xlfn.AGGREGATE(14,6,tblMovimientos[Fecha]/(tblMovimientos[SKU]=tblStock[[#This Row],[SKU]]),1),""))</f>
        <v/>
      </c>
      <c r="R249" s="61" t="str">
        <f ca="1">IF(OR(tblStock[[#This Row],[SKU]]="",tblStock[[#This Row],[UltimoMov]]=""),"",TODAY()-tblStock[[#This Row],[UltimoMov]])</f>
        <v/>
      </c>
    </row>
    <row r="250" spans="2:18" x14ac:dyDescent="0.25">
      <c r="B250" s="53" t="str">
        <f>IF('05_PRODUCTOS'!$B250="","",'05_PRODUCTOS'!$B250)</f>
        <v/>
      </c>
      <c r="C250" s="54" t="str">
        <f>IF($B250="","",'05_PRODUCTOS'!$C250)</f>
        <v/>
      </c>
      <c r="D250" s="54" t="str">
        <f>IF($B250="","",'05_PRODUCTOS'!$D250)</f>
        <v/>
      </c>
      <c r="E250" s="54" t="str">
        <f>IF($B250="","",'05_PRODUCTOS'!$I250&amp;"")</f>
        <v/>
      </c>
      <c r="F250" s="53" t="str">
        <f>IF($B250="","",'05_PRODUCTOS'!$E250)</f>
        <v/>
      </c>
      <c r="G250" s="53" t="str">
        <f>IF($B250="","",IF('05_PRODUCTOS'!$K250="NO","NO","SI"))</f>
        <v/>
      </c>
      <c r="H250" s="55" t="str">
        <f>IF(tblStock[[#This Row],[SKU]]="","",SUMIFS(tblMovimientos[CantidadNeta],tblMovimientos[SKU],tblStock[[#This Row],[SKU]],tblMovimientos[FactorStock],1))</f>
        <v/>
      </c>
      <c r="I250" s="55" t="str">
        <f>IF(tblStock[[#This Row],[SKU]]="","",-SUMIFS(tblMovimientos[CantidadNeta],tblMovimientos[SKU],tblStock[[#This Row],[SKU]],tblMovimientos[FactorStock],-1))</f>
        <v/>
      </c>
      <c r="J250" s="56" t="str">
        <f>IF(tblStock[[#This Row],[SKU]]="","",SUMIFS(tblMovimientos[CantidadNeta],tblMovimientos[SKU],tblStock[[#This Row],[SKU]]))</f>
        <v/>
      </c>
      <c r="K250" s="55" t="str">
        <f>IF($B250="","",N('05_PRODUCTOS'!$F250))</f>
        <v/>
      </c>
      <c r="L250" s="55" t="str">
        <f>IF($B250="","",N('05_PRODUCTOS'!$G250))</f>
        <v/>
      </c>
      <c r="M250" s="57" t="str">
        <f>IF(OR(tblStock[[#This Row],[SKU]]="",N(tblStock[[#This Row],[StockMax]])=0),"",MAX(0,tblStock[[#This Row],[StockActual]])/tblStock[[#This Row],[StockMax]])</f>
        <v/>
      </c>
      <c r="N25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0" s="59" t="str">
        <f>IF($B250="","",N('05_PRODUCTOS'!$H250))</f>
        <v/>
      </c>
      <c r="P250" s="59" t="str">
        <f>IF(tblStock[[#This Row],[SKU]]="","",MAX(0,tblStock[[#This Row],[StockActual]])*tblStock[[#This Row],[CostoUnitario]])</f>
        <v/>
      </c>
      <c r="Q250" s="60" t="str">
        <f>IF(tblStock[[#This Row],[SKU]]="","",IFERROR(_xlfn.AGGREGATE(14,6,tblMovimientos[Fecha]/(tblMovimientos[SKU]=tblStock[[#This Row],[SKU]]),1),""))</f>
        <v/>
      </c>
      <c r="R250" s="61" t="str">
        <f ca="1">IF(OR(tblStock[[#This Row],[SKU]]="",tblStock[[#This Row],[UltimoMov]]=""),"",TODAY()-tblStock[[#This Row],[UltimoMov]])</f>
        <v/>
      </c>
    </row>
    <row r="251" spans="2:18" x14ac:dyDescent="0.25">
      <c r="B251" s="53" t="str">
        <f>IF('05_PRODUCTOS'!$B251="","",'05_PRODUCTOS'!$B251)</f>
        <v/>
      </c>
      <c r="C251" s="54" t="str">
        <f>IF($B251="","",'05_PRODUCTOS'!$C251)</f>
        <v/>
      </c>
      <c r="D251" s="54" t="str">
        <f>IF($B251="","",'05_PRODUCTOS'!$D251)</f>
        <v/>
      </c>
      <c r="E251" s="54" t="str">
        <f>IF($B251="","",'05_PRODUCTOS'!$I251&amp;"")</f>
        <v/>
      </c>
      <c r="F251" s="53" t="str">
        <f>IF($B251="","",'05_PRODUCTOS'!$E251)</f>
        <v/>
      </c>
      <c r="G251" s="53" t="str">
        <f>IF($B251="","",IF('05_PRODUCTOS'!$K251="NO","NO","SI"))</f>
        <v/>
      </c>
      <c r="H251" s="55" t="str">
        <f>IF(tblStock[[#This Row],[SKU]]="","",SUMIFS(tblMovimientos[CantidadNeta],tblMovimientos[SKU],tblStock[[#This Row],[SKU]],tblMovimientos[FactorStock],1))</f>
        <v/>
      </c>
      <c r="I251" s="55" t="str">
        <f>IF(tblStock[[#This Row],[SKU]]="","",-SUMIFS(tblMovimientos[CantidadNeta],tblMovimientos[SKU],tblStock[[#This Row],[SKU]],tblMovimientos[FactorStock],-1))</f>
        <v/>
      </c>
      <c r="J251" s="56" t="str">
        <f>IF(tblStock[[#This Row],[SKU]]="","",SUMIFS(tblMovimientos[CantidadNeta],tblMovimientos[SKU],tblStock[[#This Row],[SKU]]))</f>
        <v/>
      </c>
      <c r="K251" s="55" t="str">
        <f>IF($B251="","",N('05_PRODUCTOS'!$F251))</f>
        <v/>
      </c>
      <c r="L251" s="55" t="str">
        <f>IF($B251="","",N('05_PRODUCTOS'!$G251))</f>
        <v/>
      </c>
      <c r="M251" s="57" t="str">
        <f>IF(OR(tblStock[[#This Row],[SKU]]="",N(tblStock[[#This Row],[StockMax]])=0),"",MAX(0,tblStock[[#This Row],[StockActual]])/tblStock[[#This Row],[StockMax]])</f>
        <v/>
      </c>
      <c r="N25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1" s="59" t="str">
        <f>IF($B251="","",N('05_PRODUCTOS'!$H251))</f>
        <v/>
      </c>
      <c r="P251" s="59" t="str">
        <f>IF(tblStock[[#This Row],[SKU]]="","",MAX(0,tblStock[[#This Row],[StockActual]])*tblStock[[#This Row],[CostoUnitario]])</f>
        <v/>
      </c>
      <c r="Q251" s="60" t="str">
        <f>IF(tblStock[[#This Row],[SKU]]="","",IFERROR(_xlfn.AGGREGATE(14,6,tblMovimientos[Fecha]/(tblMovimientos[SKU]=tblStock[[#This Row],[SKU]]),1),""))</f>
        <v/>
      </c>
      <c r="R251" s="61" t="str">
        <f ca="1">IF(OR(tblStock[[#This Row],[SKU]]="",tblStock[[#This Row],[UltimoMov]]=""),"",TODAY()-tblStock[[#This Row],[UltimoMov]])</f>
        <v/>
      </c>
    </row>
    <row r="252" spans="2:18" x14ac:dyDescent="0.25">
      <c r="B252" s="53" t="str">
        <f>IF('05_PRODUCTOS'!$B252="","",'05_PRODUCTOS'!$B252)</f>
        <v/>
      </c>
      <c r="C252" s="54" t="str">
        <f>IF($B252="","",'05_PRODUCTOS'!$C252)</f>
        <v/>
      </c>
      <c r="D252" s="54" t="str">
        <f>IF($B252="","",'05_PRODUCTOS'!$D252)</f>
        <v/>
      </c>
      <c r="E252" s="54" t="str">
        <f>IF($B252="","",'05_PRODUCTOS'!$I252&amp;"")</f>
        <v/>
      </c>
      <c r="F252" s="53" t="str">
        <f>IF($B252="","",'05_PRODUCTOS'!$E252)</f>
        <v/>
      </c>
      <c r="G252" s="53" t="str">
        <f>IF($B252="","",IF('05_PRODUCTOS'!$K252="NO","NO","SI"))</f>
        <v/>
      </c>
      <c r="H252" s="55" t="str">
        <f>IF(tblStock[[#This Row],[SKU]]="","",SUMIFS(tblMovimientos[CantidadNeta],tblMovimientos[SKU],tblStock[[#This Row],[SKU]],tblMovimientos[FactorStock],1))</f>
        <v/>
      </c>
      <c r="I252" s="55" t="str">
        <f>IF(tblStock[[#This Row],[SKU]]="","",-SUMIFS(tblMovimientos[CantidadNeta],tblMovimientos[SKU],tblStock[[#This Row],[SKU]],tblMovimientos[FactorStock],-1))</f>
        <v/>
      </c>
      <c r="J252" s="56" t="str">
        <f>IF(tblStock[[#This Row],[SKU]]="","",SUMIFS(tblMovimientos[CantidadNeta],tblMovimientos[SKU],tblStock[[#This Row],[SKU]]))</f>
        <v/>
      </c>
      <c r="K252" s="55" t="str">
        <f>IF($B252="","",N('05_PRODUCTOS'!$F252))</f>
        <v/>
      </c>
      <c r="L252" s="55" t="str">
        <f>IF($B252="","",N('05_PRODUCTOS'!$G252))</f>
        <v/>
      </c>
      <c r="M252" s="57" t="str">
        <f>IF(OR(tblStock[[#This Row],[SKU]]="",N(tblStock[[#This Row],[StockMax]])=0),"",MAX(0,tblStock[[#This Row],[StockActual]])/tblStock[[#This Row],[StockMax]])</f>
        <v/>
      </c>
      <c r="N25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2" s="59" t="str">
        <f>IF($B252="","",N('05_PRODUCTOS'!$H252))</f>
        <v/>
      </c>
      <c r="P252" s="59" t="str">
        <f>IF(tblStock[[#This Row],[SKU]]="","",MAX(0,tblStock[[#This Row],[StockActual]])*tblStock[[#This Row],[CostoUnitario]])</f>
        <v/>
      </c>
      <c r="Q252" s="60" t="str">
        <f>IF(tblStock[[#This Row],[SKU]]="","",IFERROR(_xlfn.AGGREGATE(14,6,tblMovimientos[Fecha]/(tblMovimientos[SKU]=tblStock[[#This Row],[SKU]]),1),""))</f>
        <v/>
      </c>
      <c r="R252" s="61" t="str">
        <f ca="1">IF(OR(tblStock[[#This Row],[SKU]]="",tblStock[[#This Row],[UltimoMov]]=""),"",TODAY()-tblStock[[#This Row],[UltimoMov]])</f>
        <v/>
      </c>
    </row>
    <row r="253" spans="2:18" x14ac:dyDescent="0.25">
      <c r="B253" s="53" t="str">
        <f>IF('05_PRODUCTOS'!$B253="","",'05_PRODUCTOS'!$B253)</f>
        <v/>
      </c>
      <c r="C253" s="54" t="str">
        <f>IF($B253="","",'05_PRODUCTOS'!$C253)</f>
        <v/>
      </c>
      <c r="D253" s="54" t="str">
        <f>IF($B253="","",'05_PRODUCTOS'!$D253)</f>
        <v/>
      </c>
      <c r="E253" s="54" t="str">
        <f>IF($B253="","",'05_PRODUCTOS'!$I253&amp;"")</f>
        <v/>
      </c>
      <c r="F253" s="53" t="str">
        <f>IF($B253="","",'05_PRODUCTOS'!$E253)</f>
        <v/>
      </c>
      <c r="G253" s="53" t="str">
        <f>IF($B253="","",IF('05_PRODUCTOS'!$K253="NO","NO","SI"))</f>
        <v/>
      </c>
      <c r="H253" s="55" t="str">
        <f>IF(tblStock[[#This Row],[SKU]]="","",SUMIFS(tblMovimientos[CantidadNeta],tblMovimientos[SKU],tblStock[[#This Row],[SKU]],tblMovimientos[FactorStock],1))</f>
        <v/>
      </c>
      <c r="I253" s="55" t="str">
        <f>IF(tblStock[[#This Row],[SKU]]="","",-SUMIFS(tblMovimientos[CantidadNeta],tblMovimientos[SKU],tblStock[[#This Row],[SKU]],tblMovimientos[FactorStock],-1))</f>
        <v/>
      </c>
      <c r="J253" s="56" t="str">
        <f>IF(tblStock[[#This Row],[SKU]]="","",SUMIFS(tblMovimientos[CantidadNeta],tblMovimientos[SKU],tblStock[[#This Row],[SKU]]))</f>
        <v/>
      </c>
      <c r="K253" s="55" t="str">
        <f>IF($B253="","",N('05_PRODUCTOS'!$F253))</f>
        <v/>
      </c>
      <c r="L253" s="55" t="str">
        <f>IF($B253="","",N('05_PRODUCTOS'!$G253))</f>
        <v/>
      </c>
      <c r="M253" s="57" t="str">
        <f>IF(OR(tblStock[[#This Row],[SKU]]="",N(tblStock[[#This Row],[StockMax]])=0),"",MAX(0,tblStock[[#This Row],[StockActual]])/tblStock[[#This Row],[StockMax]])</f>
        <v/>
      </c>
      <c r="N25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3" s="59" t="str">
        <f>IF($B253="","",N('05_PRODUCTOS'!$H253))</f>
        <v/>
      </c>
      <c r="P253" s="59" t="str">
        <f>IF(tblStock[[#This Row],[SKU]]="","",MAX(0,tblStock[[#This Row],[StockActual]])*tblStock[[#This Row],[CostoUnitario]])</f>
        <v/>
      </c>
      <c r="Q253" s="60" t="str">
        <f>IF(tblStock[[#This Row],[SKU]]="","",IFERROR(_xlfn.AGGREGATE(14,6,tblMovimientos[Fecha]/(tblMovimientos[SKU]=tblStock[[#This Row],[SKU]]),1),""))</f>
        <v/>
      </c>
      <c r="R253" s="61" t="str">
        <f ca="1">IF(OR(tblStock[[#This Row],[SKU]]="",tblStock[[#This Row],[UltimoMov]]=""),"",TODAY()-tblStock[[#This Row],[UltimoMov]])</f>
        <v/>
      </c>
    </row>
    <row r="254" spans="2:18" x14ac:dyDescent="0.25">
      <c r="B254" s="53" t="str">
        <f>IF('05_PRODUCTOS'!$B254="","",'05_PRODUCTOS'!$B254)</f>
        <v/>
      </c>
      <c r="C254" s="54" t="str">
        <f>IF($B254="","",'05_PRODUCTOS'!$C254)</f>
        <v/>
      </c>
      <c r="D254" s="54" t="str">
        <f>IF($B254="","",'05_PRODUCTOS'!$D254)</f>
        <v/>
      </c>
      <c r="E254" s="54" t="str">
        <f>IF($B254="","",'05_PRODUCTOS'!$I254&amp;"")</f>
        <v/>
      </c>
      <c r="F254" s="53" t="str">
        <f>IF($B254="","",'05_PRODUCTOS'!$E254)</f>
        <v/>
      </c>
      <c r="G254" s="53" t="str">
        <f>IF($B254="","",IF('05_PRODUCTOS'!$K254="NO","NO","SI"))</f>
        <v/>
      </c>
      <c r="H254" s="55" t="str">
        <f>IF(tblStock[[#This Row],[SKU]]="","",SUMIFS(tblMovimientos[CantidadNeta],tblMovimientos[SKU],tblStock[[#This Row],[SKU]],tblMovimientos[FactorStock],1))</f>
        <v/>
      </c>
      <c r="I254" s="55" t="str">
        <f>IF(tblStock[[#This Row],[SKU]]="","",-SUMIFS(tblMovimientos[CantidadNeta],tblMovimientos[SKU],tblStock[[#This Row],[SKU]],tblMovimientos[FactorStock],-1))</f>
        <v/>
      </c>
      <c r="J254" s="56" t="str">
        <f>IF(tblStock[[#This Row],[SKU]]="","",SUMIFS(tblMovimientos[CantidadNeta],tblMovimientos[SKU],tblStock[[#This Row],[SKU]]))</f>
        <v/>
      </c>
      <c r="K254" s="55" t="str">
        <f>IF($B254="","",N('05_PRODUCTOS'!$F254))</f>
        <v/>
      </c>
      <c r="L254" s="55" t="str">
        <f>IF($B254="","",N('05_PRODUCTOS'!$G254))</f>
        <v/>
      </c>
      <c r="M254" s="57" t="str">
        <f>IF(OR(tblStock[[#This Row],[SKU]]="",N(tblStock[[#This Row],[StockMax]])=0),"",MAX(0,tblStock[[#This Row],[StockActual]])/tblStock[[#This Row],[StockMax]])</f>
        <v/>
      </c>
      <c r="N25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4" s="59" t="str">
        <f>IF($B254="","",N('05_PRODUCTOS'!$H254))</f>
        <v/>
      </c>
      <c r="P254" s="59" t="str">
        <f>IF(tblStock[[#This Row],[SKU]]="","",MAX(0,tblStock[[#This Row],[StockActual]])*tblStock[[#This Row],[CostoUnitario]])</f>
        <v/>
      </c>
      <c r="Q254" s="60" t="str">
        <f>IF(tblStock[[#This Row],[SKU]]="","",IFERROR(_xlfn.AGGREGATE(14,6,tblMovimientos[Fecha]/(tblMovimientos[SKU]=tblStock[[#This Row],[SKU]]),1),""))</f>
        <v/>
      </c>
      <c r="R254" s="61" t="str">
        <f ca="1">IF(OR(tblStock[[#This Row],[SKU]]="",tblStock[[#This Row],[UltimoMov]]=""),"",TODAY()-tblStock[[#This Row],[UltimoMov]])</f>
        <v/>
      </c>
    </row>
    <row r="255" spans="2:18" x14ac:dyDescent="0.25">
      <c r="B255" s="53" t="str">
        <f>IF('05_PRODUCTOS'!$B255="","",'05_PRODUCTOS'!$B255)</f>
        <v/>
      </c>
      <c r="C255" s="54" t="str">
        <f>IF($B255="","",'05_PRODUCTOS'!$C255)</f>
        <v/>
      </c>
      <c r="D255" s="54" t="str">
        <f>IF($B255="","",'05_PRODUCTOS'!$D255)</f>
        <v/>
      </c>
      <c r="E255" s="54" t="str">
        <f>IF($B255="","",'05_PRODUCTOS'!$I255&amp;"")</f>
        <v/>
      </c>
      <c r="F255" s="53" t="str">
        <f>IF($B255="","",'05_PRODUCTOS'!$E255)</f>
        <v/>
      </c>
      <c r="G255" s="53" t="str">
        <f>IF($B255="","",IF('05_PRODUCTOS'!$K255="NO","NO","SI"))</f>
        <v/>
      </c>
      <c r="H255" s="55" t="str">
        <f>IF(tblStock[[#This Row],[SKU]]="","",SUMIFS(tblMovimientos[CantidadNeta],tblMovimientos[SKU],tblStock[[#This Row],[SKU]],tblMovimientos[FactorStock],1))</f>
        <v/>
      </c>
      <c r="I255" s="55" t="str">
        <f>IF(tblStock[[#This Row],[SKU]]="","",-SUMIFS(tblMovimientos[CantidadNeta],tblMovimientos[SKU],tblStock[[#This Row],[SKU]],tblMovimientos[FactorStock],-1))</f>
        <v/>
      </c>
      <c r="J255" s="56" t="str">
        <f>IF(tblStock[[#This Row],[SKU]]="","",SUMIFS(tblMovimientos[CantidadNeta],tblMovimientos[SKU],tblStock[[#This Row],[SKU]]))</f>
        <v/>
      </c>
      <c r="K255" s="55" t="str">
        <f>IF($B255="","",N('05_PRODUCTOS'!$F255))</f>
        <v/>
      </c>
      <c r="L255" s="55" t="str">
        <f>IF($B255="","",N('05_PRODUCTOS'!$G255))</f>
        <v/>
      </c>
      <c r="M255" s="57" t="str">
        <f>IF(OR(tblStock[[#This Row],[SKU]]="",N(tblStock[[#This Row],[StockMax]])=0),"",MAX(0,tblStock[[#This Row],[StockActual]])/tblStock[[#This Row],[StockMax]])</f>
        <v/>
      </c>
      <c r="N25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5" s="59" t="str">
        <f>IF($B255="","",N('05_PRODUCTOS'!$H255))</f>
        <v/>
      </c>
      <c r="P255" s="59" t="str">
        <f>IF(tblStock[[#This Row],[SKU]]="","",MAX(0,tblStock[[#This Row],[StockActual]])*tblStock[[#This Row],[CostoUnitario]])</f>
        <v/>
      </c>
      <c r="Q255" s="60" t="str">
        <f>IF(tblStock[[#This Row],[SKU]]="","",IFERROR(_xlfn.AGGREGATE(14,6,tblMovimientos[Fecha]/(tblMovimientos[SKU]=tblStock[[#This Row],[SKU]]),1),""))</f>
        <v/>
      </c>
      <c r="R255" s="61" t="str">
        <f ca="1">IF(OR(tblStock[[#This Row],[SKU]]="",tblStock[[#This Row],[UltimoMov]]=""),"",TODAY()-tblStock[[#This Row],[UltimoMov]])</f>
        <v/>
      </c>
    </row>
    <row r="256" spans="2:18" x14ac:dyDescent="0.25">
      <c r="B256" s="53" t="str">
        <f>IF('05_PRODUCTOS'!$B256="","",'05_PRODUCTOS'!$B256)</f>
        <v/>
      </c>
      <c r="C256" s="54" t="str">
        <f>IF($B256="","",'05_PRODUCTOS'!$C256)</f>
        <v/>
      </c>
      <c r="D256" s="54" t="str">
        <f>IF($B256="","",'05_PRODUCTOS'!$D256)</f>
        <v/>
      </c>
      <c r="E256" s="54" t="str">
        <f>IF($B256="","",'05_PRODUCTOS'!$I256&amp;"")</f>
        <v/>
      </c>
      <c r="F256" s="53" t="str">
        <f>IF($B256="","",'05_PRODUCTOS'!$E256)</f>
        <v/>
      </c>
      <c r="G256" s="53" t="str">
        <f>IF($B256="","",IF('05_PRODUCTOS'!$K256="NO","NO","SI"))</f>
        <v/>
      </c>
      <c r="H256" s="55" t="str">
        <f>IF(tblStock[[#This Row],[SKU]]="","",SUMIFS(tblMovimientos[CantidadNeta],tblMovimientos[SKU],tblStock[[#This Row],[SKU]],tblMovimientos[FactorStock],1))</f>
        <v/>
      </c>
      <c r="I256" s="55" t="str">
        <f>IF(tblStock[[#This Row],[SKU]]="","",-SUMIFS(tblMovimientos[CantidadNeta],tblMovimientos[SKU],tblStock[[#This Row],[SKU]],tblMovimientos[FactorStock],-1))</f>
        <v/>
      </c>
      <c r="J256" s="56" t="str">
        <f>IF(tblStock[[#This Row],[SKU]]="","",SUMIFS(tblMovimientos[CantidadNeta],tblMovimientos[SKU],tblStock[[#This Row],[SKU]]))</f>
        <v/>
      </c>
      <c r="K256" s="55" t="str">
        <f>IF($B256="","",N('05_PRODUCTOS'!$F256))</f>
        <v/>
      </c>
      <c r="L256" s="55" t="str">
        <f>IF($B256="","",N('05_PRODUCTOS'!$G256))</f>
        <v/>
      </c>
      <c r="M256" s="57" t="str">
        <f>IF(OR(tblStock[[#This Row],[SKU]]="",N(tblStock[[#This Row],[StockMax]])=0),"",MAX(0,tblStock[[#This Row],[StockActual]])/tblStock[[#This Row],[StockMax]])</f>
        <v/>
      </c>
      <c r="N25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6" s="59" t="str">
        <f>IF($B256="","",N('05_PRODUCTOS'!$H256))</f>
        <v/>
      </c>
      <c r="P256" s="59" t="str">
        <f>IF(tblStock[[#This Row],[SKU]]="","",MAX(0,tblStock[[#This Row],[StockActual]])*tblStock[[#This Row],[CostoUnitario]])</f>
        <v/>
      </c>
      <c r="Q256" s="60" t="str">
        <f>IF(tblStock[[#This Row],[SKU]]="","",IFERROR(_xlfn.AGGREGATE(14,6,tblMovimientos[Fecha]/(tblMovimientos[SKU]=tblStock[[#This Row],[SKU]]),1),""))</f>
        <v/>
      </c>
      <c r="R256" s="61" t="str">
        <f ca="1">IF(OR(tblStock[[#This Row],[SKU]]="",tblStock[[#This Row],[UltimoMov]]=""),"",TODAY()-tblStock[[#This Row],[UltimoMov]])</f>
        <v/>
      </c>
    </row>
    <row r="257" spans="2:18" x14ac:dyDescent="0.25">
      <c r="B257" s="53" t="str">
        <f>IF('05_PRODUCTOS'!$B257="","",'05_PRODUCTOS'!$B257)</f>
        <v/>
      </c>
      <c r="C257" s="54" t="str">
        <f>IF($B257="","",'05_PRODUCTOS'!$C257)</f>
        <v/>
      </c>
      <c r="D257" s="54" t="str">
        <f>IF($B257="","",'05_PRODUCTOS'!$D257)</f>
        <v/>
      </c>
      <c r="E257" s="54" t="str">
        <f>IF($B257="","",'05_PRODUCTOS'!$I257&amp;"")</f>
        <v/>
      </c>
      <c r="F257" s="53" t="str">
        <f>IF($B257="","",'05_PRODUCTOS'!$E257)</f>
        <v/>
      </c>
      <c r="G257" s="53" t="str">
        <f>IF($B257="","",IF('05_PRODUCTOS'!$K257="NO","NO","SI"))</f>
        <v/>
      </c>
      <c r="H257" s="55" t="str">
        <f>IF(tblStock[[#This Row],[SKU]]="","",SUMIFS(tblMovimientos[CantidadNeta],tblMovimientos[SKU],tblStock[[#This Row],[SKU]],tblMovimientos[FactorStock],1))</f>
        <v/>
      </c>
      <c r="I257" s="55" t="str">
        <f>IF(tblStock[[#This Row],[SKU]]="","",-SUMIFS(tblMovimientos[CantidadNeta],tblMovimientos[SKU],tblStock[[#This Row],[SKU]],tblMovimientos[FactorStock],-1))</f>
        <v/>
      </c>
      <c r="J257" s="56" t="str">
        <f>IF(tblStock[[#This Row],[SKU]]="","",SUMIFS(tblMovimientos[CantidadNeta],tblMovimientos[SKU],tblStock[[#This Row],[SKU]]))</f>
        <v/>
      </c>
      <c r="K257" s="55" t="str">
        <f>IF($B257="","",N('05_PRODUCTOS'!$F257))</f>
        <v/>
      </c>
      <c r="L257" s="55" t="str">
        <f>IF($B257="","",N('05_PRODUCTOS'!$G257))</f>
        <v/>
      </c>
      <c r="M257" s="57" t="str">
        <f>IF(OR(tblStock[[#This Row],[SKU]]="",N(tblStock[[#This Row],[StockMax]])=0),"",MAX(0,tblStock[[#This Row],[StockActual]])/tblStock[[#This Row],[StockMax]])</f>
        <v/>
      </c>
      <c r="N25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7" s="59" t="str">
        <f>IF($B257="","",N('05_PRODUCTOS'!$H257))</f>
        <v/>
      </c>
      <c r="P257" s="59" t="str">
        <f>IF(tblStock[[#This Row],[SKU]]="","",MAX(0,tblStock[[#This Row],[StockActual]])*tblStock[[#This Row],[CostoUnitario]])</f>
        <v/>
      </c>
      <c r="Q257" s="60" t="str">
        <f>IF(tblStock[[#This Row],[SKU]]="","",IFERROR(_xlfn.AGGREGATE(14,6,tblMovimientos[Fecha]/(tblMovimientos[SKU]=tblStock[[#This Row],[SKU]]),1),""))</f>
        <v/>
      </c>
      <c r="R257" s="61" t="str">
        <f ca="1">IF(OR(tblStock[[#This Row],[SKU]]="",tblStock[[#This Row],[UltimoMov]]=""),"",TODAY()-tblStock[[#This Row],[UltimoMov]])</f>
        <v/>
      </c>
    </row>
    <row r="258" spans="2:18" x14ac:dyDescent="0.25">
      <c r="B258" s="53" t="str">
        <f>IF('05_PRODUCTOS'!$B258="","",'05_PRODUCTOS'!$B258)</f>
        <v/>
      </c>
      <c r="C258" s="54" t="str">
        <f>IF($B258="","",'05_PRODUCTOS'!$C258)</f>
        <v/>
      </c>
      <c r="D258" s="54" t="str">
        <f>IF($B258="","",'05_PRODUCTOS'!$D258)</f>
        <v/>
      </c>
      <c r="E258" s="54" t="str">
        <f>IF($B258="","",'05_PRODUCTOS'!$I258&amp;"")</f>
        <v/>
      </c>
      <c r="F258" s="53" t="str">
        <f>IF($B258="","",'05_PRODUCTOS'!$E258)</f>
        <v/>
      </c>
      <c r="G258" s="53" t="str">
        <f>IF($B258="","",IF('05_PRODUCTOS'!$K258="NO","NO","SI"))</f>
        <v/>
      </c>
      <c r="H258" s="55" t="str">
        <f>IF(tblStock[[#This Row],[SKU]]="","",SUMIFS(tblMovimientos[CantidadNeta],tblMovimientos[SKU],tblStock[[#This Row],[SKU]],tblMovimientos[FactorStock],1))</f>
        <v/>
      </c>
      <c r="I258" s="55" t="str">
        <f>IF(tblStock[[#This Row],[SKU]]="","",-SUMIFS(tblMovimientos[CantidadNeta],tblMovimientos[SKU],tblStock[[#This Row],[SKU]],tblMovimientos[FactorStock],-1))</f>
        <v/>
      </c>
      <c r="J258" s="56" t="str">
        <f>IF(tblStock[[#This Row],[SKU]]="","",SUMIFS(tblMovimientos[CantidadNeta],tblMovimientos[SKU],tblStock[[#This Row],[SKU]]))</f>
        <v/>
      </c>
      <c r="K258" s="55" t="str">
        <f>IF($B258="","",N('05_PRODUCTOS'!$F258))</f>
        <v/>
      </c>
      <c r="L258" s="55" t="str">
        <f>IF($B258="","",N('05_PRODUCTOS'!$G258))</f>
        <v/>
      </c>
      <c r="M258" s="57" t="str">
        <f>IF(OR(tblStock[[#This Row],[SKU]]="",N(tblStock[[#This Row],[StockMax]])=0),"",MAX(0,tblStock[[#This Row],[StockActual]])/tblStock[[#This Row],[StockMax]])</f>
        <v/>
      </c>
      <c r="N25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8" s="59" t="str">
        <f>IF($B258="","",N('05_PRODUCTOS'!$H258))</f>
        <v/>
      </c>
      <c r="P258" s="59" t="str">
        <f>IF(tblStock[[#This Row],[SKU]]="","",MAX(0,tblStock[[#This Row],[StockActual]])*tblStock[[#This Row],[CostoUnitario]])</f>
        <v/>
      </c>
      <c r="Q258" s="60" t="str">
        <f>IF(tblStock[[#This Row],[SKU]]="","",IFERROR(_xlfn.AGGREGATE(14,6,tblMovimientos[Fecha]/(tblMovimientos[SKU]=tblStock[[#This Row],[SKU]]),1),""))</f>
        <v/>
      </c>
      <c r="R258" s="61" t="str">
        <f ca="1">IF(OR(tblStock[[#This Row],[SKU]]="",tblStock[[#This Row],[UltimoMov]]=""),"",TODAY()-tblStock[[#This Row],[UltimoMov]])</f>
        <v/>
      </c>
    </row>
    <row r="259" spans="2:18" x14ac:dyDescent="0.25">
      <c r="B259" s="53" t="str">
        <f>IF('05_PRODUCTOS'!$B259="","",'05_PRODUCTOS'!$B259)</f>
        <v/>
      </c>
      <c r="C259" s="54" t="str">
        <f>IF($B259="","",'05_PRODUCTOS'!$C259)</f>
        <v/>
      </c>
      <c r="D259" s="54" t="str">
        <f>IF($B259="","",'05_PRODUCTOS'!$D259)</f>
        <v/>
      </c>
      <c r="E259" s="54" t="str">
        <f>IF($B259="","",'05_PRODUCTOS'!$I259&amp;"")</f>
        <v/>
      </c>
      <c r="F259" s="53" t="str">
        <f>IF($B259="","",'05_PRODUCTOS'!$E259)</f>
        <v/>
      </c>
      <c r="G259" s="53" t="str">
        <f>IF($B259="","",IF('05_PRODUCTOS'!$K259="NO","NO","SI"))</f>
        <v/>
      </c>
      <c r="H259" s="55" t="str">
        <f>IF(tblStock[[#This Row],[SKU]]="","",SUMIFS(tblMovimientos[CantidadNeta],tblMovimientos[SKU],tblStock[[#This Row],[SKU]],tblMovimientos[FactorStock],1))</f>
        <v/>
      </c>
      <c r="I259" s="55" t="str">
        <f>IF(tblStock[[#This Row],[SKU]]="","",-SUMIFS(tblMovimientos[CantidadNeta],tblMovimientos[SKU],tblStock[[#This Row],[SKU]],tblMovimientos[FactorStock],-1))</f>
        <v/>
      </c>
      <c r="J259" s="56" t="str">
        <f>IF(tblStock[[#This Row],[SKU]]="","",SUMIFS(tblMovimientos[CantidadNeta],tblMovimientos[SKU],tblStock[[#This Row],[SKU]]))</f>
        <v/>
      </c>
      <c r="K259" s="55" t="str">
        <f>IF($B259="","",N('05_PRODUCTOS'!$F259))</f>
        <v/>
      </c>
      <c r="L259" s="55" t="str">
        <f>IF($B259="","",N('05_PRODUCTOS'!$G259))</f>
        <v/>
      </c>
      <c r="M259" s="57" t="str">
        <f>IF(OR(tblStock[[#This Row],[SKU]]="",N(tblStock[[#This Row],[StockMax]])=0),"",MAX(0,tblStock[[#This Row],[StockActual]])/tblStock[[#This Row],[StockMax]])</f>
        <v/>
      </c>
      <c r="N25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59" s="59" t="str">
        <f>IF($B259="","",N('05_PRODUCTOS'!$H259))</f>
        <v/>
      </c>
      <c r="P259" s="59" t="str">
        <f>IF(tblStock[[#This Row],[SKU]]="","",MAX(0,tblStock[[#This Row],[StockActual]])*tblStock[[#This Row],[CostoUnitario]])</f>
        <v/>
      </c>
      <c r="Q259" s="60" t="str">
        <f>IF(tblStock[[#This Row],[SKU]]="","",IFERROR(_xlfn.AGGREGATE(14,6,tblMovimientos[Fecha]/(tblMovimientos[SKU]=tblStock[[#This Row],[SKU]]),1),""))</f>
        <v/>
      </c>
      <c r="R259" s="61" t="str">
        <f ca="1">IF(OR(tblStock[[#This Row],[SKU]]="",tblStock[[#This Row],[UltimoMov]]=""),"",TODAY()-tblStock[[#This Row],[UltimoMov]])</f>
        <v/>
      </c>
    </row>
    <row r="260" spans="2:18" x14ac:dyDescent="0.25">
      <c r="B260" s="53" t="str">
        <f>IF('05_PRODUCTOS'!$B260="","",'05_PRODUCTOS'!$B260)</f>
        <v/>
      </c>
      <c r="C260" s="54" t="str">
        <f>IF($B260="","",'05_PRODUCTOS'!$C260)</f>
        <v/>
      </c>
      <c r="D260" s="54" t="str">
        <f>IF($B260="","",'05_PRODUCTOS'!$D260)</f>
        <v/>
      </c>
      <c r="E260" s="54" t="str">
        <f>IF($B260="","",'05_PRODUCTOS'!$I260&amp;"")</f>
        <v/>
      </c>
      <c r="F260" s="53" t="str">
        <f>IF($B260="","",'05_PRODUCTOS'!$E260)</f>
        <v/>
      </c>
      <c r="G260" s="53" t="str">
        <f>IF($B260="","",IF('05_PRODUCTOS'!$K260="NO","NO","SI"))</f>
        <v/>
      </c>
      <c r="H260" s="55" t="str">
        <f>IF(tblStock[[#This Row],[SKU]]="","",SUMIFS(tblMovimientos[CantidadNeta],tblMovimientos[SKU],tblStock[[#This Row],[SKU]],tblMovimientos[FactorStock],1))</f>
        <v/>
      </c>
      <c r="I260" s="55" t="str">
        <f>IF(tblStock[[#This Row],[SKU]]="","",-SUMIFS(tblMovimientos[CantidadNeta],tblMovimientos[SKU],tblStock[[#This Row],[SKU]],tblMovimientos[FactorStock],-1))</f>
        <v/>
      </c>
      <c r="J260" s="56" t="str">
        <f>IF(tblStock[[#This Row],[SKU]]="","",SUMIFS(tblMovimientos[CantidadNeta],tblMovimientos[SKU],tblStock[[#This Row],[SKU]]))</f>
        <v/>
      </c>
      <c r="K260" s="55" t="str">
        <f>IF($B260="","",N('05_PRODUCTOS'!$F260))</f>
        <v/>
      </c>
      <c r="L260" s="55" t="str">
        <f>IF($B260="","",N('05_PRODUCTOS'!$G260))</f>
        <v/>
      </c>
      <c r="M260" s="57" t="str">
        <f>IF(OR(tblStock[[#This Row],[SKU]]="",N(tblStock[[#This Row],[StockMax]])=0),"",MAX(0,tblStock[[#This Row],[StockActual]])/tblStock[[#This Row],[StockMax]])</f>
        <v/>
      </c>
      <c r="N26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0" s="59" t="str">
        <f>IF($B260="","",N('05_PRODUCTOS'!$H260))</f>
        <v/>
      </c>
      <c r="P260" s="59" t="str">
        <f>IF(tblStock[[#This Row],[SKU]]="","",MAX(0,tblStock[[#This Row],[StockActual]])*tblStock[[#This Row],[CostoUnitario]])</f>
        <v/>
      </c>
      <c r="Q260" s="60" t="str">
        <f>IF(tblStock[[#This Row],[SKU]]="","",IFERROR(_xlfn.AGGREGATE(14,6,tblMovimientos[Fecha]/(tblMovimientos[SKU]=tblStock[[#This Row],[SKU]]),1),""))</f>
        <v/>
      </c>
      <c r="R260" s="61" t="str">
        <f ca="1">IF(OR(tblStock[[#This Row],[SKU]]="",tblStock[[#This Row],[UltimoMov]]=""),"",TODAY()-tblStock[[#This Row],[UltimoMov]])</f>
        <v/>
      </c>
    </row>
    <row r="261" spans="2:18" x14ac:dyDescent="0.25">
      <c r="B261" s="53" t="str">
        <f>IF('05_PRODUCTOS'!$B261="","",'05_PRODUCTOS'!$B261)</f>
        <v/>
      </c>
      <c r="C261" s="54" t="str">
        <f>IF($B261="","",'05_PRODUCTOS'!$C261)</f>
        <v/>
      </c>
      <c r="D261" s="54" t="str">
        <f>IF($B261="","",'05_PRODUCTOS'!$D261)</f>
        <v/>
      </c>
      <c r="E261" s="54" t="str">
        <f>IF($B261="","",'05_PRODUCTOS'!$I261&amp;"")</f>
        <v/>
      </c>
      <c r="F261" s="53" t="str">
        <f>IF($B261="","",'05_PRODUCTOS'!$E261)</f>
        <v/>
      </c>
      <c r="G261" s="53" t="str">
        <f>IF($B261="","",IF('05_PRODUCTOS'!$K261="NO","NO","SI"))</f>
        <v/>
      </c>
      <c r="H261" s="55" t="str">
        <f>IF(tblStock[[#This Row],[SKU]]="","",SUMIFS(tblMovimientos[CantidadNeta],tblMovimientos[SKU],tblStock[[#This Row],[SKU]],tblMovimientos[FactorStock],1))</f>
        <v/>
      </c>
      <c r="I261" s="55" t="str">
        <f>IF(tblStock[[#This Row],[SKU]]="","",-SUMIFS(tblMovimientos[CantidadNeta],tblMovimientos[SKU],tblStock[[#This Row],[SKU]],tblMovimientos[FactorStock],-1))</f>
        <v/>
      </c>
      <c r="J261" s="56" t="str">
        <f>IF(tblStock[[#This Row],[SKU]]="","",SUMIFS(tblMovimientos[CantidadNeta],tblMovimientos[SKU],tblStock[[#This Row],[SKU]]))</f>
        <v/>
      </c>
      <c r="K261" s="55" t="str">
        <f>IF($B261="","",N('05_PRODUCTOS'!$F261))</f>
        <v/>
      </c>
      <c r="L261" s="55" t="str">
        <f>IF($B261="","",N('05_PRODUCTOS'!$G261))</f>
        <v/>
      </c>
      <c r="M261" s="57" t="str">
        <f>IF(OR(tblStock[[#This Row],[SKU]]="",N(tblStock[[#This Row],[StockMax]])=0),"",MAX(0,tblStock[[#This Row],[StockActual]])/tblStock[[#This Row],[StockMax]])</f>
        <v/>
      </c>
      <c r="N26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1" s="59" t="str">
        <f>IF($B261="","",N('05_PRODUCTOS'!$H261))</f>
        <v/>
      </c>
      <c r="P261" s="59" t="str">
        <f>IF(tblStock[[#This Row],[SKU]]="","",MAX(0,tblStock[[#This Row],[StockActual]])*tblStock[[#This Row],[CostoUnitario]])</f>
        <v/>
      </c>
      <c r="Q261" s="60" t="str">
        <f>IF(tblStock[[#This Row],[SKU]]="","",IFERROR(_xlfn.AGGREGATE(14,6,tblMovimientos[Fecha]/(tblMovimientos[SKU]=tblStock[[#This Row],[SKU]]),1),""))</f>
        <v/>
      </c>
      <c r="R261" s="61" t="str">
        <f ca="1">IF(OR(tblStock[[#This Row],[SKU]]="",tblStock[[#This Row],[UltimoMov]]=""),"",TODAY()-tblStock[[#This Row],[UltimoMov]])</f>
        <v/>
      </c>
    </row>
    <row r="262" spans="2:18" x14ac:dyDescent="0.25">
      <c r="B262" s="53" t="str">
        <f>IF('05_PRODUCTOS'!$B262="","",'05_PRODUCTOS'!$B262)</f>
        <v/>
      </c>
      <c r="C262" s="54" t="str">
        <f>IF($B262="","",'05_PRODUCTOS'!$C262)</f>
        <v/>
      </c>
      <c r="D262" s="54" t="str">
        <f>IF($B262="","",'05_PRODUCTOS'!$D262)</f>
        <v/>
      </c>
      <c r="E262" s="54" t="str">
        <f>IF($B262="","",'05_PRODUCTOS'!$I262&amp;"")</f>
        <v/>
      </c>
      <c r="F262" s="53" t="str">
        <f>IF($B262="","",'05_PRODUCTOS'!$E262)</f>
        <v/>
      </c>
      <c r="G262" s="53" t="str">
        <f>IF($B262="","",IF('05_PRODUCTOS'!$K262="NO","NO","SI"))</f>
        <v/>
      </c>
      <c r="H262" s="55" t="str">
        <f>IF(tblStock[[#This Row],[SKU]]="","",SUMIFS(tblMovimientos[CantidadNeta],tblMovimientos[SKU],tblStock[[#This Row],[SKU]],tblMovimientos[FactorStock],1))</f>
        <v/>
      </c>
      <c r="I262" s="55" t="str">
        <f>IF(tblStock[[#This Row],[SKU]]="","",-SUMIFS(tblMovimientos[CantidadNeta],tblMovimientos[SKU],tblStock[[#This Row],[SKU]],tblMovimientos[FactorStock],-1))</f>
        <v/>
      </c>
      <c r="J262" s="56" t="str">
        <f>IF(tblStock[[#This Row],[SKU]]="","",SUMIFS(tblMovimientos[CantidadNeta],tblMovimientos[SKU],tblStock[[#This Row],[SKU]]))</f>
        <v/>
      </c>
      <c r="K262" s="55" t="str">
        <f>IF($B262="","",N('05_PRODUCTOS'!$F262))</f>
        <v/>
      </c>
      <c r="L262" s="55" t="str">
        <f>IF($B262="","",N('05_PRODUCTOS'!$G262))</f>
        <v/>
      </c>
      <c r="M262" s="57" t="str">
        <f>IF(OR(tblStock[[#This Row],[SKU]]="",N(tblStock[[#This Row],[StockMax]])=0),"",MAX(0,tblStock[[#This Row],[StockActual]])/tblStock[[#This Row],[StockMax]])</f>
        <v/>
      </c>
      <c r="N26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2" s="59" t="str">
        <f>IF($B262="","",N('05_PRODUCTOS'!$H262))</f>
        <v/>
      </c>
      <c r="P262" s="59" t="str">
        <f>IF(tblStock[[#This Row],[SKU]]="","",MAX(0,tblStock[[#This Row],[StockActual]])*tblStock[[#This Row],[CostoUnitario]])</f>
        <v/>
      </c>
      <c r="Q262" s="60" t="str">
        <f>IF(tblStock[[#This Row],[SKU]]="","",IFERROR(_xlfn.AGGREGATE(14,6,tblMovimientos[Fecha]/(tblMovimientos[SKU]=tblStock[[#This Row],[SKU]]),1),""))</f>
        <v/>
      </c>
      <c r="R262" s="61" t="str">
        <f ca="1">IF(OR(tblStock[[#This Row],[SKU]]="",tblStock[[#This Row],[UltimoMov]]=""),"",TODAY()-tblStock[[#This Row],[UltimoMov]])</f>
        <v/>
      </c>
    </row>
    <row r="263" spans="2:18" x14ac:dyDescent="0.25">
      <c r="B263" s="53" t="str">
        <f>IF('05_PRODUCTOS'!$B263="","",'05_PRODUCTOS'!$B263)</f>
        <v/>
      </c>
      <c r="C263" s="54" t="str">
        <f>IF($B263="","",'05_PRODUCTOS'!$C263)</f>
        <v/>
      </c>
      <c r="D263" s="54" t="str">
        <f>IF($B263="","",'05_PRODUCTOS'!$D263)</f>
        <v/>
      </c>
      <c r="E263" s="54" t="str">
        <f>IF($B263="","",'05_PRODUCTOS'!$I263&amp;"")</f>
        <v/>
      </c>
      <c r="F263" s="53" t="str">
        <f>IF($B263="","",'05_PRODUCTOS'!$E263)</f>
        <v/>
      </c>
      <c r="G263" s="53" t="str">
        <f>IF($B263="","",IF('05_PRODUCTOS'!$K263="NO","NO","SI"))</f>
        <v/>
      </c>
      <c r="H263" s="55" t="str">
        <f>IF(tblStock[[#This Row],[SKU]]="","",SUMIFS(tblMovimientos[CantidadNeta],tblMovimientos[SKU],tblStock[[#This Row],[SKU]],tblMovimientos[FactorStock],1))</f>
        <v/>
      </c>
      <c r="I263" s="55" t="str">
        <f>IF(tblStock[[#This Row],[SKU]]="","",-SUMIFS(tblMovimientos[CantidadNeta],tblMovimientos[SKU],tblStock[[#This Row],[SKU]],tblMovimientos[FactorStock],-1))</f>
        <v/>
      </c>
      <c r="J263" s="56" t="str">
        <f>IF(tblStock[[#This Row],[SKU]]="","",SUMIFS(tblMovimientos[CantidadNeta],tblMovimientos[SKU],tblStock[[#This Row],[SKU]]))</f>
        <v/>
      </c>
      <c r="K263" s="55" t="str">
        <f>IF($B263="","",N('05_PRODUCTOS'!$F263))</f>
        <v/>
      </c>
      <c r="L263" s="55" t="str">
        <f>IF($B263="","",N('05_PRODUCTOS'!$G263))</f>
        <v/>
      </c>
      <c r="M263" s="57" t="str">
        <f>IF(OR(tblStock[[#This Row],[SKU]]="",N(tblStock[[#This Row],[StockMax]])=0),"",MAX(0,tblStock[[#This Row],[StockActual]])/tblStock[[#This Row],[StockMax]])</f>
        <v/>
      </c>
      <c r="N26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3" s="59" t="str">
        <f>IF($B263="","",N('05_PRODUCTOS'!$H263))</f>
        <v/>
      </c>
      <c r="P263" s="59" t="str">
        <f>IF(tblStock[[#This Row],[SKU]]="","",MAX(0,tblStock[[#This Row],[StockActual]])*tblStock[[#This Row],[CostoUnitario]])</f>
        <v/>
      </c>
      <c r="Q263" s="60" t="str">
        <f>IF(tblStock[[#This Row],[SKU]]="","",IFERROR(_xlfn.AGGREGATE(14,6,tblMovimientos[Fecha]/(tblMovimientos[SKU]=tblStock[[#This Row],[SKU]]),1),""))</f>
        <v/>
      </c>
      <c r="R263" s="61" t="str">
        <f ca="1">IF(OR(tblStock[[#This Row],[SKU]]="",tblStock[[#This Row],[UltimoMov]]=""),"",TODAY()-tblStock[[#This Row],[UltimoMov]])</f>
        <v/>
      </c>
    </row>
    <row r="264" spans="2:18" x14ac:dyDescent="0.25">
      <c r="B264" s="53" t="str">
        <f>IF('05_PRODUCTOS'!$B264="","",'05_PRODUCTOS'!$B264)</f>
        <v/>
      </c>
      <c r="C264" s="54" t="str">
        <f>IF($B264="","",'05_PRODUCTOS'!$C264)</f>
        <v/>
      </c>
      <c r="D264" s="54" t="str">
        <f>IF($B264="","",'05_PRODUCTOS'!$D264)</f>
        <v/>
      </c>
      <c r="E264" s="54" t="str">
        <f>IF($B264="","",'05_PRODUCTOS'!$I264&amp;"")</f>
        <v/>
      </c>
      <c r="F264" s="53" t="str">
        <f>IF($B264="","",'05_PRODUCTOS'!$E264)</f>
        <v/>
      </c>
      <c r="G264" s="53" t="str">
        <f>IF($B264="","",IF('05_PRODUCTOS'!$K264="NO","NO","SI"))</f>
        <v/>
      </c>
      <c r="H264" s="55" t="str">
        <f>IF(tblStock[[#This Row],[SKU]]="","",SUMIFS(tblMovimientos[CantidadNeta],tblMovimientos[SKU],tblStock[[#This Row],[SKU]],tblMovimientos[FactorStock],1))</f>
        <v/>
      </c>
      <c r="I264" s="55" t="str">
        <f>IF(tblStock[[#This Row],[SKU]]="","",-SUMIFS(tblMovimientos[CantidadNeta],tblMovimientos[SKU],tblStock[[#This Row],[SKU]],tblMovimientos[FactorStock],-1))</f>
        <v/>
      </c>
      <c r="J264" s="56" t="str">
        <f>IF(tblStock[[#This Row],[SKU]]="","",SUMIFS(tblMovimientos[CantidadNeta],tblMovimientos[SKU],tblStock[[#This Row],[SKU]]))</f>
        <v/>
      </c>
      <c r="K264" s="55" t="str">
        <f>IF($B264="","",N('05_PRODUCTOS'!$F264))</f>
        <v/>
      </c>
      <c r="L264" s="55" t="str">
        <f>IF($B264="","",N('05_PRODUCTOS'!$G264))</f>
        <v/>
      </c>
      <c r="M264" s="57" t="str">
        <f>IF(OR(tblStock[[#This Row],[SKU]]="",N(tblStock[[#This Row],[StockMax]])=0),"",MAX(0,tblStock[[#This Row],[StockActual]])/tblStock[[#This Row],[StockMax]])</f>
        <v/>
      </c>
      <c r="N26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4" s="59" t="str">
        <f>IF($B264="","",N('05_PRODUCTOS'!$H264))</f>
        <v/>
      </c>
      <c r="P264" s="59" t="str">
        <f>IF(tblStock[[#This Row],[SKU]]="","",MAX(0,tblStock[[#This Row],[StockActual]])*tblStock[[#This Row],[CostoUnitario]])</f>
        <v/>
      </c>
      <c r="Q264" s="60" t="str">
        <f>IF(tblStock[[#This Row],[SKU]]="","",IFERROR(_xlfn.AGGREGATE(14,6,tblMovimientos[Fecha]/(tblMovimientos[SKU]=tblStock[[#This Row],[SKU]]),1),""))</f>
        <v/>
      </c>
      <c r="R264" s="61" t="str">
        <f ca="1">IF(OR(tblStock[[#This Row],[SKU]]="",tblStock[[#This Row],[UltimoMov]]=""),"",TODAY()-tblStock[[#This Row],[UltimoMov]])</f>
        <v/>
      </c>
    </row>
    <row r="265" spans="2:18" x14ac:dyDescent="0.25">
      <c r="B265" s="53" t="str">
        <f>IF('05_PRODUCTOS'!$B265="","",'05_PRODUCTOS'!$B265)</f>
        <v/>
      </c>
      <c r="C265" s="54" t="str">
        <f>IF($B265="","",'05_PRODUCTOS'!$C265)</f>
        <v/>
      </c>
      <c r="D265" s="54" t="str">
        <f>IF($B265="","",'05_PRODUCTOS'!$D265)</f>
        <v/>
      </c>
      <c r="E265" s="54" t="str">
        <f>IF($B265="","",'05_PRODUCTOS'!$I265&amp;"")</f>
        <v/>
      </c>
      <c r="F265" s="53" t="str">
        <f>IF($B265="","",'05_PRODUCTOS'!$E265)</f>
        <v/>
      </c>
      <c r="G265" s="53" t="str">
        <f>IF($B265="","",IF('05_PRODUCTOS'!$K265="NO","NO","SI"))</f>
        <v/>
      </c>
      <c r="H265" s="55" t="str">
        <f>IF(tblStock[[#This Row],[SKU]]="","",SUMIFS(tblMovimientos[CantidadNeta],tblMovimientos[SKU],tblStock[[#This Row],[SKU]],tblMovimientos[FactorStock],1))</f>
        <v/>
      </c>
      <c r="I265" s="55" t="str">
        <f>IF(tblStock[[#This Row],[SKU]]="","",-SUMIFS(tblMovimientos[CantidadNeta],tblMovimientos[SKU],tblStock[[#This Row],[SKU]],tblMovimientos[FactorStock],-1))</f>
        <v/>
      </c>
      <c r="J265" s="56" t="str">
        <f>IF(tblStock[[#This Row],[SKU]]="","",SUMIFS(tblMovimientos[CantidadNeta],tblMovimientos[SKU],tblStock[[#This Row],[SKU]]))</f>
        <v/>
      </c>
      <c r="K265" s="55" t="str">
        <f>IF($B265="","",N('05_PRODUCTOS'!$F265))</f>
        <v/>
      </c>
      <c r="L265" s="55" t="str">
        <f>IF($B265="","",N('05_PRODUCTOS'!$G265))</f>
        <v/>
      </c>
      <c r="M265" s="57" t="str">
        <f>IF(OR(tblStock[[#This Row],[SKU]]="",N(tblStock[[#This Row],[StockMax]])=0),"",MAX(0,tblStock[[#This Row],[StockActual]])/tblStock[[#This Row],[StockMax]])</f>
        <v/>
      </c>
      <c r="N26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5" s="59" t="str">
        <f>IF($B265="","",N('05_PRODUCTOS'!$H265))</f>
        <v/>
      </c>
      <c r="P265" s="59" t="str">
        <f>IF(tblStock[[#This Row],[SKU]]="","",MAX(0,tblStock[[#This Row],[StockActual]])*tblStock[[#This Row],[CostoUnitario]])</f>
        <v/>
      </c>
      <c r="Q265" s="60" t="str">
        <f>IF(tblStock[[#This Row],[SKU]]="","",IFERROR(_xlfn.AGGREGATE(14,6,tblMovimientos[Fecha]/(tblMovimientos[SKU]=tblStock[[#This Row],[SKU]]),1),""))</f>
        <v/>
      </c>
      <c r="R265" s="61" t="str">
        <f ca="1">IF(OR(tblStock[[#This Row],[SKU]]="",tblStock[[#This Row],[UltimoMov]]=""),"",TODAY()-tblStock[[#This Row],[UltimoMov]])</f>
        <v/>
      </c>
    </row>
    <row r="266" spans="2:18" x14ac:dyDescent="0.25">
      <c r="B266" s="53" t="str">
        <f>IF('05_PRODUCTOS'!$B266="","",'05_PRODUCTOS'!$B266)</f>
        <v/>
      </c>
      <c r="C266" s="54" t="str">
        <f>IF($B266="","",'05_PRODUCTOS'!$C266)</f>
        <v/>
      </c>
      <c r="D266" s="54" t="str">
        <f>IF($B266="","",'05_PRODUCTOS'!$D266)</f>
        <v/>
      </c>
      <c r="E266" s="54" t="str">
        <f>IF($B266="","",'05_PRODUCTOS'!$I266&amp;"")</f>
        <v/>
      </c>
      <c r="F266" s="53" t="str">
        <f>IF($B266="","",'05_PRODUCTOS'!$E266)</f>
        <v/>
      </c>
      <c r="G266" s="53" t="str">
        <f>IF($B266="","",IF('05_PRODUCTOS'!$K266="NO","NO","SI"))</f>
        <v/>
      </c>
      <c r="H266" s="55" t="str">
        <f>IF(tblStock[[#This Row],[SKU]]="","",SUMIFS(tblMovimientos[CantidadNeta],tblMovimientos[SKU],tblStock[[#This Row],[SKU]],tblMovimientos[FactorStock],1))</f>
        <v/>
      </c>
      <c r="I266" s="55" t="str">
        <f>IF(tblStock[[#This Row],[SKU]]="","",-SUMIFS(tblMovimientos[CantidadNeta],tblMovimientos[SKU],tblStock[[#This Row],[SKU]],tblMovimientos[FactorStock],-1))</f>
        <v/>
      </c>
      <c r="J266" s="56" t="str">
        <f>IF(tblStock[[#This Row],[SKU]]="","",SUMIFS(tblMovimientos[CantidadNeta],tblMovimientos[SKU],tblStock[[#This Row],[SKU]]))</f>
        <v/>
      </c>
      <c r="K266" s="55" t="str">
        <f>IF($B266="","",N('05_PRODUCTOS'!$F266))</f>
        <v/>
      </c>
      <c r="L266" s="55" t="str">
        <f>IF($B266="","",N('05_PRODUCTOS'!$G266))</f>
        <v/>
      </c>
      <c r="M266" s="57" t="str">
        <f>IF(OR(tblStock[[#This Row],[SKU]]="",N(tblStock[[#This Row],[StockMax]])=0),"",MAX(0,tblStock[[#This Row],[StockActual]])/tblStock[[#This Row],[StockMax]])</f>
        <v/>
      </c>
      <c r="N26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6" s="59" t="str">
        <f>IF($B266="","",N('05_PRODUCTOS'!$H266))</f>
        <v/>
      </c>
      <c r="P266" s="59" t="str">
        <f>IF(tblStock[[#This Row],[SKU]]="","",MAX(0,tblStock[[#This Row],[StockActual]])*tblStock[[#This Row],[CostoUnitario]])</f>
        <v/>
      </c>
      <c r="Q266" s="60" t="str">
        <f>IF(tblStock[[#This Row],[SKU]]="","",IFERROR(_xlfn.AGGREGATE(14,6,tblMovimientos[Fecha]/(tblMovimientos[SKU]=tblStock[[#This Row],[SKU]]),1),""))</f>
        <v/>
      </c>
      <c r="R266" s="61" t="str">
        <f ca="1">IF(OR(tblStock[[#This Row],[SKU]]="",tblStock[[#This Row],[UltimoMov]]=""),"",TODAY()-tblStock[[#This Row],[UltimoMov]])</f>
        <v/>
      </c>
    </row>
    <row r="267" spans="2:18" x14ac:dyDescent="0.25">
      <c r="B267" s="53" t="str">
        <f>IF('05_PRODUCTOS'!$B267="","",'05_PRODUCTOS'!$B267)</f>
        <v/>
      </c>
      <c r="C267" s="54" t="str">
        <f>IF($B267="","",'05_PRODUCTOS'!$C267)</f>
        <v/>
      </c>
      <c r="D267" s="54" t="str">
        <f>IF($B267="","",'05_PRODUCTOS'!$D267)</f>
        <v/>
      </c>
      <c r="E267" s="54" t="str">
        <f>IF($B267="","",'05_PRODUCTOS'!$I267&amp;"")</f>
        <v/>
      </c>
      <c r="F267" s="53" t="str">
        <f>IF($B267="","",'05_PRODUCTOS'!$E267)</f>
        <v/>
      </c>
      <c r="G267" s="53" t="str">
        <f>IF($B267="","",IF('05_PRODUCTOS'!$K267="NO","NO","SI"))</f>
        <v/>
      </c>
      <c r="H267" s="55" t="str">
        <f>IF(tblStock[[#This Row],[SKU]]="","",SUMIFS(tblMovimientos[CantidadNeta],tblMovimientos[SKU],tblStock[[#This Row],[SKU]],tblMovimientos[FactorStock],1))</f>
        <v/>
      </c>
      <c r="I267" s="55" t="str">
        <f>IF(tblStock[[#This Row],[SKU]]="","",-SUMIFS(tblMovimientos[CantidadNeta],tblMovimientos[SKU],tblStock[[#This Row],[SKU]],tblMovimientos[FactorStock],-1))</f>
        <v/>
      </c>
      <c r="J267" s="56" t="str">
        <f>IF(tblStock[[#This Row],[SKU]]="","",SUMIFS(tblMovimientos[CantidadNeta],tblMovimientos[SKU],tblStock[[#This Row],[SKU]]))</f>
        <v/>
      </c>
      <c r="K267" s="55" t="str">
        <f>IF($B267="","",N('05_PRODUCTOS'!$F267))</f>
        <v/>
      </c>
      <c r="L267" s="55" t="str">
        <f>IF($B267="","",N('05_PRODUCTOS'!$G267))</f>
        <v/>
      </c>
      <c r="M267" s="57" t="str">
        <f>IF(OR(tblStock[[#This Row],[SKU]]="",N(tblStock[[#This Row],[StockMax]])=0),"",MAX(0,tblStock[[#This Row],[StockActual]])/tblStock[[#This Row],[StockMax]])</f>
        <v/>
      </c>
      <c r="N26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7" s="59" t="str">
        <f>IF($B267="","",N('05_PRODUCTOS'!$H267))</f>
        <v/>
      </c>
      <c r="P267" s="59" t="str">
        <f>IF(tblStock[[#This Row],[SKU]]="","",MAX(0,tblStock[[#This Row],[StockActual]])*tblStock[[#This Row],[CostoUnitario]])</f>
        <v/>
      </c>
      <c r="Q267" s="60" t="str">
        <f>IF(tblStock[[#This Row],[SKU]]="","",IFERROR(_xlfn.AGGREGATE(14,6,tblMovimientos[Fecha]/(tblMovimientos[SKU]=tblStock[[#This Row],[SKU]]),1),""))</f>
        <v/>
      </c>
      <c r="R267" s="61" t="str">
        <f ca="1">IF(OR(tblStock[[#This Row],[SKU]]="",tblStock[[#This Row],[UltimoMov]]=""),"",TODAY()-tblStock[[#This Row],[UltimoMov]])</f>
        <v/>
      </c>
    </row>
    <row r="268" spans="2:18" x14ac:dyDescent="0.25">
      <c r="B268" s="53" t="str">
        <f>IF('05_PRODUCTOS'!$B268="","",'05_PRODUCTOS'!$B268)</f>
        <v/>
      </c>
      <c r="C268" s="54" t="str">
        <f>IF($B268="","",'05_PRODUCTOS'!$C268)</f>
        <v/>
      </c>
      <c r="D268" s="54" t="str">
        <f>IF($B268="","",'05_PRODUCTOS'!$D268)</f>
        <v/>
      </c>
      <c r="E268" s="54" t="str">
        <f>IF($B268="","",'05_PRODUCTOS'!$I268&amp;"")</f>
        <v/>
      </c>
      <c r="F268" s="53" t="str">
        <f>IF($B268="","",'05_PRODUCTOS'!$E268)</f>
        <v/>
      </c>
      <c r="G268" s="53" t="str">
        <f>IF($B268="","",IF('05_PRODUCTOS'!$K268="NO","NO","SI"))</f>
        <v/>
      </c>
      <c r="H268" s="55" t="str">
        <f>IF(tblStock[[#This Row],[SKU]]="","",SUMIFS(tblMovimientos[CantidadNeta],tblMovimientos[SKU],tblStock[[#This Row],[SKU]],tblMovimientos[FactorStock],1))</f>
        <v/>
      </c>
      <c r="I268" s="55" t="str">
        <f>IF(tblStock[[#This Row],[SKU]]="","",-SUMIFS(tblMovimientos[CantidadNeta],tblMovimientos[SKU],tblStock[[#This Row],[SKU]],tblMovimientos[FactorStock],-1))</f>
        <v/>
      </c>
      <c r="J268" s="56" t="str">
        <f>IF(tblStock[[#This Row],[SKU]]="","",SUMIFS(tblMovimientos[CantidadNeta],tblMovimientos[SKU],tblStock[[#This Row],[SKU]]))</f>
        <v/>
      </c>
      <c r="K268" s="55" t="str">
        <f>IF($B268="","",N('05_PRODUCTOS'!$F268))</f>
        <v/>
      </c>
      <c r="L268" s="55" t="str">
        <f>IF($B268="","",N('05_PRODUCTOS'!$G268))</f>
        <v/>
      </c>
      <c r="M268" s="57" t="str">
        <f>IF(OR(tblStock[[#This Row],[SKU]]="",N(tblStock[[#This Row],[StockMax]])=0),"",MAX(0,tblStock[[#This Row],[StockActual]])/tblStock[[#This Row],[StockMax]])</f>
        <v/>
      </c>
      <c r="N26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8" s="59" t="str">
        <f>IF($B268="","",N('05_PRODUCTOS'!$H268))</f>
        <v/>
      </c>
      <c r="P268" s="59" t="str">
        <f>IF(tblStock[[#This Row],[SKU]]="","",MAX(0,tblStock[[#This Row],[StockActual]])*tblStock[[#This Row],[CostoUnitario]])</f>
        <v/>
      </c>
      <c r="Q268" s="60" t="str">
        <f>IF(tblStock[[#This Row],[SKU]]="","",IFERROR(_xlfn.AGGREGATE(14,6,tblMovimientos[Fecha]/(tblMovimientos[SKU]=tblStock[[#This Row],[SKU]]),1),""))</f>
        <v/>
      </c>
      <c r="R268" s="61" t="str">
        <f ca="1">IF(OR(tblStock[[#This Row],[SKU]]="",tblStock[[#This Row],[UltimoMov]]=""),"",TODAY()-tblStock[[#This Row],[UltimoMov]])</f>
        <v/>
      </c>
    </row>
    <row r="269" spans="2:18" x14ac:dyDescent="0.25">
      <c r="B269" s="53" t="str">
        <f>IF('05_PRODUCTOS'!$B269="","",'05_PRODUCTOS'!$B269)</f>
        <v/>
      </c>
      <c r="C269" s="54" t="str">
        <f>IF($B269="","",'05_PRODUCTOS'!$C269)</f>
        <v/>
      </c>
      <c r="D269" s="54" t="str">
        <f>IF($B269="","",'05_PRODUCTOS'!$D269)</f>
        <v/>
      </c>
      <c r="E269" s="54" t="str">
        <f>IF($B269="","",'05_PRODUCTOS'!$I269&amp;"")</f>
        <v/>
      </c>
      <c r="F269" s="53" t="str">
        <f>IF($B269="","",'05_PRODUCTOS'!$E269)</f>
        <v/>
      </c>
      <c r="G269" s="53" t="str">
        <f>IF($B269="","",IF('05_PRODUCTOS'!$K269="NO","NO","SI"))</f>
        <v/>
      </c>
      <c r="H269" s="55" t="str">
        <f>IF(tblStock[[#This Row],[SKU]]="","",SUMIFS(tblMovimientos[CantidadNeta],tblMovimientos[SKU],tblStock[[#This Row],[SKU]],tblMovimientos[FactorStock],1))</f>
        <v/>
      </c>
      <c r="I269" s="55" t="str">
        <f>IF(tblStock[[#This Row],[SKU]]="","",-SUMIFS(tblMovimientos[CantidadNeta],tblMovimientos[SKU],tblStock[[#This Row],[SKU]],tblMovimientos[FactorStock],-1))</f>
        <v/>
      </c>
      <c r="J269" s="56" t="str">
        <f>IF(tblStock[[#This Row],[SKU]]="","",SUMIFS(tblMovimientos[CantidadNeta],tblMovimientos[SKU],tblStock[[#This Row],[SKU]]))</f>
        <v/>
      </c>
      <c r="K269" s="55" t="str">
        <f>IF($B269="","",N('05_PRODUCTOS'!$F269))</f>
        <v/>
      </c>
      <c r="L269" s="55" t="str">
        <f>IF($B269="","",N('05_PRODUCTOS'!$G269))</f>
        <v/>
      </c>
      <c r="M269" s="57" t="str">
        <f>IF(OR(tblStock[[#This Row],[SKU]]="",N(tblStock[[#This Row],[StockMax]])=0),"",MAX(0,tblStock[[#This Row],[StockActual]])/tblStock[[#This Row],[StockMax]])</f>
        <v/>
      </c>
      <c r="N26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69" s="59" t="str">
        <f>IF($B269="","",N('05_PRODUCTOS'!$H269))</f>
        <v/>
      </c>
      <c r="P269" s="59" t="str">
        <f>IF(tblStock[[#This Row],[SKU]]="","",MAX(0,tblStock[[#This Row],[StockActual]])*tblStock[[#This Row],[CostoUnitario]])</f>
        <v/>
      </c>
      <c r="Q269" s="60" t="str">
        <f>IF(tblStock[[#This Row],[SKU]]="","",IFERROR(_xlfn.AGGREGATE(14,6,tblMovimientos[Fecha]/(tblMovimientos[SKU]=tblStock[[#This Row],[SKU]]),1),""))</f>
        <v/>
      </c>
      <c r="R269" s="61" t="str">
        <f ca="1">IF(OR(tblStock[[#This Row],[SKU]]="",tblStock[[#This Row],[UltimoMov]]=""),"",TODAY()-tblStock[[#This Row],[UltimoMov]])</f>
        <v/>
      </c>
    </row>
    <row r="270" spans="2:18" x14ac:dyDescent="0.25">
      <c r="B270" s="53" t="str">
        <f>IF('05_PRODUCTOS'!$B270="","",'05_PRODUCTOS'!$B270)</f>
        <v/>
      </c>
      <c r="C270" s="54" t="str">
        <f>IF($B270="","",'05_PRODUCTOS'!$C270)</f>
        <v/>
      </c>
      <c r="D270" s="54" t="str">
        <f>IF($B270="","",'05_PRODUCTOS'!$D270)</f>
        <v/>
      </c>
      <c r="E270" s="54" t="str">
        <f>IF($B270="","",'05_PRODUCTOS'!$I270&amp;"")</f>
        <v/>
      </c>
      <c r="F270" s="53" t="str">
        <f>IF($B270="","",'05_PRODUCTOS'!$E270)</f>
        <v/>
      </c>
      <c r="G270" s="53" t="str">
        <f>IF($B270="","",IF('05_PRODUCTOS'!$K270="NO","NO","SI"))</f>
        <v/>
      </c>
      <c r="H270" s="55" t="str">
        <f>IF(tblStock[[#This Row],[SKU]]="","",SUMIFS(tblMovimientos[CantidadNeta],tblMovimientos[SKU],tblStock[[#This Row],[SKU]],tblMovimientos[FactorStock],1))</f>
        <v/>
      </c>
      <c r="I270" s="55" t="str">
        <f>IF(tblStock[[#This Row],[SKU]]="","",-SUMIFS(tblMovimientos[CantidadNeta],tblMovimientos[SKU],tblStock[[#This Row],[SKU]],tblMovimientos[FactorStock],-1))</f>
        <v/>
      </c>
      <c r="J270" s="56" t="str">
        <f>IF(tblStock[[#This Row],[SKU]]="","",SUMIFS(tblMovimientos[CantidadNeta],tblMovimientos[SKU],tblStock[[#This Row],[SKU]]))</f>
        <v/>
      </c>
      <c r="K270" s="55" t="str">
        <f>IF($B270="","",N('05_PRODUCTOS'!$F270))</f>
        <v/>
      </c>
      <c r="L270" s="55" t="str">
        <f>IF($B270="","",N('05_PRODUCTOS'!$G270))</f>
        <v/>
      </c>
      <c r="M270" s="57" t="str">
        <f>IF(OR(tblStock[[#This Row],[SKU]]="",N(tblStock[[#This Row],[StockMax]])=0),"",MAX(0,tblStock[[#This Row],[StockActual]])/tblStock[[#This Row],[StockMax]])</f>
        <v/>
      </c>
      <c r="N27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0" s="59" t="str">
        <f>IF($B270="","",N('05_PRODUCTOS'!$H270))</f>
        <v/>
      </c>
      <c r="P270" s="59" t="str">
        <f>IF(tblStock[[#This Row],[SKU]]="","",MAX(0,tblStock[[#This Row],[StockActual]])*tblStock[[#This Row],[CostoUnitario]])</f>
        <v/>
      </c>
      <c r="Q270" s="60" t="str">
        <f>IF(tblStock[[#This Row],[SKU]]="","",IFERROR(_xlfn.AGGREGATE(14,6,tblMovimientos[Fecha]/(tblMovimientos[SKU]=tblStock[[#This Row],[SKU]]),1),""))</f>
        <v/>
      </c>
      <c r="R270" s="61" t="str">
        <f ca="1">IF(OR(tblStock[[#This Row],[SKU]]="",tblStock[[#This Row],[UltimoMov]]=""),"",TODAY()-tblStock[[#This Row],[UltimoMov]])</f>
        <v/>
      </c>
    </row>
    <row r="271" spans="2:18" x14ac:dyDescent="0.25">
      <c r="B271" s="53" t="str">
        <f>IF('05_PRODUCTOS'!$B271="","",'05_PRODUCTOS'!$B271)</f>
        <v/>
      </c>
      <c r="C271" s="54" t="str">
        <f>IF($B271="","",'05_PRODUCTOS'!$C271)</f>
        <v/>
      </c>
      <c r="D271" s="54" t="str">
        <f>IF($B271="","",'05_PRODUCTOS'!$D271)</f>
        <v/>
      </c>
      <c r="E271" s="54" t="str">
        <f>IF($B271="","",'05_PRODUCTOS'!$I271&amp;"")</f>
        <v/>
      </c>
      <c r="F271" s="53" t="str">
        <f>IF($B271="","",'05_PRODUCTOS'!$E271)</f>
        <v/>
      </c>
      <c r="G271" s="53" t="str">
        <f>IF($B271="","",IF('05_PRODUCTOS'!$K271="NO","NO","SI"))</f>
        <v/>
      </c>
      <c r="H271" s="55" t="str">
        <f>IF(tblStock[[#This Row],[SKU]]="","",SUMIFS(tblMovimientos[CantidadNeta],tblMovimientos[SKU],tblStock[[#This Row],[SKU]],tblMovimientos[FactorStock],1))</f>
        <v/>
      </c>
      <c r="I271" s="55" t="str">
        <f>IF(tblStock[[#This Row],[SKU]]="","",-SUMIFS(tblMovimientos[CantidadNeta],tblMovimientos[SKU],tblStock[[#This Row],[SKU]],tblMovimientos[FactorStock],-1))</f>
        <v/>
      </c>
      <c r="J271" s="56" t="str">
        <f>IF(tblStock[[#This Row],[SKU]]="","",SUMIFS(tblMovimientos[CantidadNeta],tblMovimientos[SKU],tblStock[[#This Row],[SKU]]))</f>
        <v/>
      </c>
      <c r="K271" s="55" t="str">
        <f>IF($B271="","",N('05_PRODUCTOS'!$F271))</f>
        <v/>
      </c>
      <c r="L271" s="55" t="str">
        <f>IF($B271="","",N('05_PRODUCTOS'!$G271))</f>
        <v/>
      </c>
      <c r="M271" s="57" t="str">
        <f>IF(OR(tblStock[[#This Row],[SKU]]="",N(tblStock[[#This Row],[StockMax]])=0),"",MAX(0,tblStock[[#This Row],[StockActual]])/tblStock[[#This Row],[StockMax]])</f>
        <v/>
      </c>
      <c r="N27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1" s="59" t="str">
        <f>IF($B271="","",N('05_PRODUCTOS'!$H271))</f>
        <v/>
      </c>
      <c r="P271" s="59" t="str">
        <f>IF(tblStock[[#This Row],[SKU]]="","",MAX(0,tblStock[[#This Row],[StockActual]])*tblStock[[#This Row],[CostoUnitario]])</f>
        <v/>
      </c>
      <c r="Q271" s="60" t="str">
        <f>IF(tblStock[[#This Row],[SKU]]="","",IFERROR(_xlfn.AGGREGATE(14,6,tblMovimientos[Fecha]/(tblMovimientos[SKU]=tblStock[[#This Row],[SKU]]),1),""))</f>
        <v/>
      </c>
      <c r="R271" s="61" t="str">
        <f ca="1">IF(OR(tblStock[[#This Row],[SKU]]="",tblStock[[#This Row],[UltimoMov]]=""),"",TODAY()-tblStock[[#This Row],[UltimoMov]])</f>
        <v/>
      </c>
    </row>
    <row r="272" spans="2:18" x14ac:dyDescent="0.25">
      <c r="B272" s="53" t="str">
        <f>IF('05_PRODUCTOS'!$B272="","",'05_PRODUCTOS'!$B272)</f>
        <v/>
      </c>
      <c r="C272" s="54" t="str">
        <f>IF($B272="","",'05_PRODUCTOS'!$C272)</f>
        <v/>
      </c>
      <c r="D272" s="54" t="str">
        <f>IF($B272="","",'05_PRODUCTOS'!$D272)</f>
        <v/>
      </c>
      <c r="E272" s="54" t="str">
        <f>IF($B272="","",'05_PRODUCTOS'!$I272&amp;"")</f>
        <v/>
      </c>
      <c r="F272" s="53" t="str">
        <f>IF($B272="","",'05_PRODUCTOS'!$E272)</f>
        <v/>
      </c>
      <c r="G272" s="53" t="str">
        <f>IF($B272="","",IF('05_PRODUCTOS'!$K272="NO","NO","SI"))</f>
        <v/>
      </c>
      <c r="H272" s="55" t="str">
        <f>IF(tblStock[[#This Row],[SKU]]="","",SUMIFS(tblMovimientos[CantidadNeta],tblMovimientos[SKU],tblStock[[#This Row],[SKU]],tblMovimientos[FactorStock],1))</f>
        <v/>
      </c>
      <c r="I272" s="55" t="str">
        <f>IF(tblStock[[#This Row],[SKU]]="","",-SUMIFS(tblMovimientos[CantidadNeta],tblMovimientos[SKU],tblStock[[#This Row],[SKU]],tblMovimientos[FactorStock],-1))</f>
        <v/>
      </c>
      <c r="J272" s="56" t="str">
        <f>IF(tblStock[[#This Row],[SKU]]="","",SUMIFS(tblMovimientos[CantidadNeta],tblMovimientos[SKU],tblStock[[#This Row],[SKU]]))</f>
        <v/>
      </c>
      <c r="K272" s="55" t="str">
        <f>IF($B272="","",N('05_PRODUCTOS'!$F272))</f>
        <v/>
      </c>
      <c r="L272" s="55" t="str">
        <f>IF($B272="","",N('05_PRODUCTOS'!$G272))</f>
        <v/>
      </c>
      <c r="M272" s="57" t="str">
        <f>IF(OR(tblStock[[#This Row],[SKU]]="",N(tblStock[[#This Row],[StockMax]])=0),"",MAX(0,tblStock[[#This Row],[StockActual]])/tblStock[[#This Row],[StockMax]])</f>
        <v/>
      </c>
      <c r="N27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2" s="59" t="str">
        <f>IF($B272="","",N('05_PRODUCTOS'!$H272))</f>
        <v/>
      </c>
      <c r="P272" s="59" t="str">
        <f>IF(tblStock[[#This Row],[SKU]]="","",MAX(0,tblStock[[#This Row],[StockActual]])*tblStock[[#This Row],[CostoUnitario]])</f>
        <v/>
      </c>
      <c r="Q272" s="60" t="str">
        <f>IF(tblStock[[#This Row],[SKU]]="","",IFERROR(_xlfn.AGGREGATE(14,6,tblMovimientos[Fecha]/(tblMovimientos[SKU]=tblStock[[#This Row],[SKU]]),1),""))</f>
        <v/>
      </c>
      <c r="R272" s="61" t="str">
        <f ca="1">IF(OR(tblStock[[#This Row],[SKU]]="",tblStock[[#This Row],[UltimoMov]]=""),"",TODAY()-tblStock[[#This Row],[UltimoMov]])</f>
        <v/>
      </c>
    </row>
    <row r="273" spans="2:18" x14ac:dyDescent="0.25">
      <c r="B273" s="53" t="str">
        <f>IF('05_PRODUCTOS'!$B273="","",'05_PRODUCTOS'!$B273)</f>
        <v/>
      </c>
      <c r="C273" s="54" t="str">
        <f>IF($B273="","",'05_PRODUCTOS'!$C273)</f>
        <v/>
      </c>
      <c r="D273" s="54" t="str">
        <f>IF($B273="","",'05_PRODUCTOS'!$D273)</f>
        <v/>
      </c>
      <c r="E273" s="54" t="str">
        <f>IF($B273="","",'05_PRODUCTOS'!$I273&amp;"")</f>
        <v/>
      </c>
      <c r="F273" s="53" t="str">
        <f>IF($B273="","",'05_PRODUCTOS'!$E273)</f>
        <v/>
      </c>
      <c r="G273" s="53" t="str">
        <f>IF($B273="","",IF('05_PRODUCTOS'!$K273="NO","NO","SI"))</f>
        <v/>
      </c>
      <c r="H273" s="55" t="str">
        <f>IF(tblStock[[#This Row],[SKU]]="","",SUMIFS(tblMovimientos[CantidadNeta],tblMovimientos[SKU],tblStock[[#This Row],[SKU]],tblMovimientos[FactorStock],1))</f>
        <v/>
      </c>
      <c r="I273" s="55" t="str">
        <f>IF(tblStock[[#This Row],[SKU]]="","",-SUMIFS(tblMovimientos[CantidadNeta],tblMovimientos[SKU],tblStock[[#This Row],[SKU]],tblMovimientos[FactorStock],-1))</f>
        <v/>
      </c>
      <c r="J273" s="56" t="str">
        <f>IF(tblStock[[#This Row],[SKU]]="","",SUMIFS(tblMovimientos[CantidadNeta],tblMovimientos[SKU],tblStock[[#This Row],[SKU]]))</f>
        <v/>
      </c>
      <c r="K273" s="55" t="str">
        <f>IF($B273="","",N('05_PRODUCTOS'!$F273))</f>
        <v/>
      </c>
      <c r="L273" s="55" t="str">
        <f>IF($B273="","",N('05_PRODUCTOS'!$G273))</f>
        <v/>
      </c>
      <c r="M273" s="57" t="str">
        <f>IF(OR(tblStock[[#This Row],[SKU]]="",N(tblStock[[#This Row],[StockMax]])=0),"",MAX(0,tblStock[[#This Row],[StockActual]])/tblStock[[#This Row],[StockMax]])</f>
        <v/>
      </c>
      <c r="N27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3" s="59" t="str">
        <f>IF($B273="","",N('05_PRODUCTOS'!$H273))</f>
        <v/>
      </c>
      <c r="P273" s="59" t="str">
        <f>IF(tblStock[[#This Row],[SKU]]="","",MAX(0,tblStock[[#This Row],[StockActual]])*tblStock[[#This Row],[CostoUnitario]])</f>
        <v/>
      </c>
      <c r="Q273" s="60" t="str">
        <f>IF(tblStock[[#This Row],[SKU]]="","",IFERROR(_xlfn.AGGREGATE(14,6,tblMovimientos[Fecha]/(tblMovimientos[SKU]=tblStock[[#This Row],[SKU]]),1),""))</f>
        <v/>
      </c>
      <c r="R273" s="61" t="str">
        <f ca="1">IF(OR(tblStock[[#This Row],[SKU]]="",tblStock[[#This Row],[UltimoMov]]=""),"",TODAY()-tblStock[[#This Row],[UltimoMov]])</f>
        <v/>
      </c>
    </row>
    <row r="274" spans="2:18" x14ac:dyDescent="0.25">
      <c r="B274" s="53" t="str">
        <f>IF('05_PRODUCTOS'!$B274="","",'05_PRODUCTOS'!$B274)</f>
        <v/>
      </c>
      <c r="C274" s="54" t="str">
        <f>IF($B274="","",'05_PRODUCTOS'!$C274)</f>
        <v/>
      </c>
      <c r="D274" s="54" t="str">
        <f>IF($B274="","",'05_PRODUCTOS'!$D274)</f>
        <v/>
      </c>
      <c r="E274" s="54" t="str">
        <f>IF($B274="","",'05_PRODUCTOS'!$I274&amp;"")</f>
        <v/>
      </c>
      <c r="F274" s="53" t="str">
        <f>IF($B274="","",'05_PRODUCTOS'!$E274)</f>
        <v/>
      </c>
      <c r="G274" s="53" t="str">
        <f>IF($B274="","",IF('05_PRODUCTOS'!$K274="NO","NO","SI"))</f>
        <v/>
      </c>
      <c r="H274" s="55" t="str">
        <f>IF(tblStock[[#This Row],[SKU]]="","",SUMIFS(tblMovimientos[CantidadNeta],tblMovimientos[SKU],tblStock[[#This Row],[SKU]],tblMovimientos[FactorStock],1))</f>
        <v/>
      </c>
      <c r="I274" s="55" t="str">
        <f>IF(tblStock[[#This Row],[SKU]]="","",-SUMIFS(tblMovimientos[CantidadNeta],tblMovimientos[SKU],tblStock[[#This Row],[SKU]],tblMovimientos[FactorStock],-1))</f>
        <v/>
      </c>
      <c r="J274" s="56" t="str">
        <f>IF(tblStock[[#This Row],[SKU]]="","",SUMIFS(tblMovimientos[CantidadNeta],tblMovimientos[SKU],tblStock[[#This Row],[SKU]]))</f>
        <v/>
      </c>
      <c r="K274" s="55" t="str">
        <f>IF($B274="","",N('05_PRODUCTOS'!$F274))</f>
        <v/>
      </c>
      <c r="L274" s="55" t="str">
        <f>IF($B274="","",N('05_PRODUCTOS'!$G274))</f>
        <v/>
      </c>
      <c r="M274" s="57" t="str">
        <f>IF(OR(tblStock[[#This Row],[SKU]]="",N(tblStock[[#This Row],[StockMax]])=0),"",MAX(0,tblStock[[#This Row],[StockActual]])/tblStock[[#This Row],[StockMax]])</f>
        <v/>
      </c>
      <c r="N27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4" s="59" t="str">
        <f>IF($B274="","",N('05_PRODUCTOS'!$H274))</f>
        <v/>
      </c>
      <c r="P274" s="59" t="str">
        <f>IF(tblStock[[#This Row],[SKU]]="","",MAX(0,tblStock[[#This Row],[StockActual]])*tblStock[[#This Row],[CostoUnitario]])</f>
        <v/>
      </c>
      <c r="Q274" s="60" t="str">
        <f>IF(tblStock[[#This Row],[SKU]]="","",IFERROR(_xlfn.AGGREGATE(14,6,tblMovimientos[Fecha]/(tblMovimientos[SKU]=tblStock[[#This Row],[SKU]]),1),""))</f>
        <v/>
      </c>
      <c r="R274" s="61" t="str">
        <f ca="1">IF(OR(tblStock[[#This Row],[SKU]]="",tblStock[[#This Row],[UltimoMov]]=""),"",TODAY()-tblStock[[#This Row],[UltimoMov]])</f>
        <v/>
      </c>
    </row>
    <row r="275" spans="2:18" x14ac:dyDescent="0.25">
      <c r="B275" s="53" t="str">
        <f>IF('05_PRODUCTOS'!$B275="","",'05_PRODUCTOS'!$B275)</f>
        <v/>
      </c>
      <c r="C275" s="54" t="str">
        <f>IF($B275="","",'05_PRODUCTOS'!$C275)</f>
        <v/>
      </c>
      <c r="D275" s="54" t="str">
        <f>IF($B275="","",'05_PRODUCTOS'!$D275)</f>
        <v/>
      </c>
      <c r="E275" s="54" t="str">
        <f>IF($B275="","",'05_PRODUCTOS'!$I275&amp;"")</f>
        <v/>
      </c>
      <c r="F275" s="53" t="str">
        <f>IF($B275="","",'05_PRODUCTOS'!$E275)</f>
        <v/>
      </c>
      <c r="G275" s="53" t="str">
        <f>IF($B275="","",IF('05_PRODUCTOS'!$K275="NO","NO","SI"))</f>
        <v/>
      </c>
      <c r="H275" s="55" t="str">
        <f>IF(tblStock[[#This Row],[SKU]]="","",SUMIFS(tblMovimientos[CantidadNeta],tblMovimientos[SKU],tblStock[[#This Row],[SKU]],tblMovimientos[FactorStock],1))</f>
        <v/>
      </c>
      <c r="I275" s="55" t="str">
        <f>IF(tblStock[[#This Row],[SKU]]="","",-SUMIFS(tblMovimientos[CantidadNeta],tblMovimientos[SKU],tblStock[[#This Row],[SKU]],tblMovimientos[FactorStock],-1))</f>
        <v/>
      </c>
      <c r="J275" s="56" t="str">
        <f>IF(tblStock[[#This Row],[SKU]]="","",SUMIFS(tblMovimientos[CantidadNeta],tblMovimientos[SKU],tblStock[[#This Row],[SKU]]))</f>
        <v/>
      </c>
      <c r="K275" s="55" t="str">
        <f>IF($B275="","",N('05_PRODUCTOS'!$F275))</f>
        <v/>
      </c>
      <c r="L275" s="55" t="str">
        <f>IF($B275="","",N('05_PRODUCTOS'!$G275))</f>
        <v/>
      </c>
      <c r="M275" s="57" t="str">
        <f>IF(OR(tblStock[[#This Row],[SKU]]="",N(tblStock[[#This Row],[StockMax]])=0),"",MAX(0,tblStock[[#This Row],[StockActual]])/tblStock[[#This Row],[StockMax]])</f>
        <v/>
      </c>
      <c r="N27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5" s="59" t="str">
        <f>IF($B275="","",N('05_PRODUCTOS'!$H275))</f>
        <v/>
      </c>
      <c r="P275" s="59" t="str">
        <f>IF(tblStock[[#This Row],[SKU]]="","",MAX(0,tblStock[[#This Row],[StockActual]])*tblStock[[#This Row],[CostoUnitario]])</f>
        <v/>
      </c>
      <c r="Q275" s="60" t="str">
        <f>IF(tblStock[[#This Row],[SKU]]="","",IFERROR(_xlfn.AGGREGATE(14,6,tblMovimientos[Fecha]/(tblMovimientos[SKU]=tblStock[[#This Row],[SKU]]),1),""))</f>
        <v/>
      </c>
      <c r="R275" s="61" t="str">
        <f ca="1">IF(OR(tblStock[[#This Row],[SKU]]="",tblStock[[#This Row],[UltimoMov]]=""),"",TODAY()-tblStock[[#This Row],[UltimoMov]])</f>
        <v/>
      </c>
    </row>
    <row r="276" spans="2:18" x14ac:dyDescent="0.25">
      <c r="B276" s="53" t="str">
        <f>IF('05_PRODUCTOS'!$B276="","",'05_PRODUCTOS'!$B276)</f>
        <v/>
      </c>
      <c r="C276" s="54" t="str">
        <f>IF($B276="","",'05_PRODUCTOS'!$C276)</f>
        <v/>
      </c>
      <c r="D276" s="54" t="str">
        <f>IF($B276="","",'05_PRODUCTOS'!$D276)</f>
        <v/>
      </c>
      <c r="E276" s="54" t="str">
        <f>IF($B276="","",'05_PRODUCTOS'!$I276&amp;"")</f>
        <v/>
      </c>
      <c r="F276" s="53" t="str">
        <f>IF($B276="","",'05_PRODUCTOS'!$E276)</f>
        <v/>
      </c>
      <c r="G276" s="53" t="str">
        <f>IF($B276="","",IF('05_PRODUCTOS'!$K276="NO","NO","SI"))</f>
        <v/>
      </c>
      <c r="H276" s="55" t="str">
        <f>IF(tblStock[[#This Row],[SKU]]="","",SUMIFS(tblMovimientos[CantidadNeta],tblMovimientos[SKU],tblStock[[#This Row],[SKU]],tblMovimientos[FactorStock],1))</f>
        <v/>
      </c>
      <c r="I276" s="55" t="str">
        <f>IF(tblStock[[#This Row],[SKU]]="","",-SUMIFS(tblMovimientos[CantidadNeta],tblMovimientos[SKU],tblStock[[#This Row],[SKU]],tblMovimientos[FactorStock],-1))</f>
        <v/>
      </c>
      <c r="J276" s="56" t="str">
        <f>IF(tblStock[[#This Row],[SKU]]="","",SUMIFS(tblMovimientos[CantidadNeta],tblMovimientos[SKU],tblStock[[#This Row],[SKU]]))</f>
        <v/>
      </c>
      <c r="K276" s="55" t="str">
        <f>IF($B276="","",N('05_PRODUCTOS'!$F276))</f>
        <v/>
      </c>
      <c r="L276" s="55" t="str">
        <f>IF($B276="","",N('05_PRODUCTOS'!$G276))</f>
        <v/>
      </c>
      <c r="M276" s="57" t="str">
        <f>IF(OR(tblStock[[#This Row],[SKU]]="",N(tblStock[[#This Row],[StockMax]])=0),"",MAX(0,tblStock[[#This Row],[StockActual]])/tblStock[[#This Row],[StockMax]])</f>
        <v/>
      </c>
      <c r="N27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6" s="59" t="str">
        <f>IF($B276="","",N('05_PRODUCTOS'!$H276))</f>
        <v/>
      </c>
      <c r="P276" s="59" t="str">
        <f>IF(tblStock[[#This Row],[SKU]]="","",MAX(0,tblStock[[#This Row],[StockActual]])*tblStock[[#This Row],[CostoUnitario]])</f>
        <v/>
      </c>
      <c r="Q276" s="60" t="str">
        <f>IF(tblStock[[#This Row],[SKU]]="","",IFERROR(_xlfn.AGGREGATE(14,6,tblMovimientos[Fecha]/(tblMovimientos[SKU]=tblStock[[#This Row],[SKU]]),1),""))</f>
        <v/>
      </c>
      <c r="R276" s="61" t="str">
        <f ca="1">IF(OR(tblStock[[#This Row],[SKU]]="",tblStock[[#This Row],[UltimoMov]]=""),"",TODAY()-tblStock[[#This Row],[UltimoMov]])</f>
        <v/>
      </c>
    </row>
    <row r="277" spans="2:18" x14ac:dyDescent="0.25">
      <c r="B277" s="53" t="str">
        <f>IF('05_PRODUCTOS'!$B277="","",'05_PRODUCTOS'!$B277)</f>
        <v/>
      </c>
      <c r="C277" s="54" t="str">
        <f>IF($B277="","",'05_PRODUCTOS'!$C277)</f>
        <v/>
      </c>
      <c r="D277" s="54" t="str">
        <f>IF($B277="","",'05_PRODUCTOS'!$D277)</f>
        <v/>
      </c>
      <c r="E277" s="54" t="str">
        <f>IF($B277="","",'05_PRODUCTOS'!$I277&amp;"")</f>
        <v/>
      </c>
      <c r="F277" s="53" t="str">
        <f>IF($B277="","",'05_PRODUCTOS'!$E277)</f>
        <v/>
      </c>
      <c r="G277" s="53" t="str">
        <f>IF($B277="","",IF('05_PRODUCTOS'!$K277="NO","NO","SI"))</f>
        <v/>
      </c>
      <c r="H277" s="55" t="str">
        <f>IF(tblStock[[#This Row],[SKU]]="","",SUMIFS(tblMovimientos[CantidadNeta],tblMovimientos[SKU],tblStock[[#This Row],[SKU]],tblMovimientos[FactorStock],1))</f>
        <v/>
      </c>
      <c r="I277" s="55" t="str">
        <f>IF(tblStock[[#This Row],[SKU]]="","",-SUMIFS(tblMovimientos[CantidadNeta],tblMovimientos[SKU],tblStock[[#This Row],[SKU]],tblMovimientos[FactorStock],-1))</f>
        <v/>
      </c>
      <c r="J277" s="56" t="str">
        <f>IF(tblStock[[#This Row],[SKU]]="","",SUMIFS(tblMovimientos[CantidadNeta],tblMovimientos[SKU],tblStock[[#This Row],[SKU]]))</f>
        <v/>
      </c>
      <c r="K277" s="55" t="str">
        <f>IF($B277="","",N('05_PRODUCTOS'!$F277))</f>
        <v/>
      </c>
      <c r="L277" s="55" t="str">
        <f>IF($B277="","",N('05_PRODUCTOS'!$G277))</f>
        <v/>
      </c>
      <c r="M277" s="57" t="str">
        <f>IF(OR(tblStock[[#This Row],[SKU]]="",N(tblStock[[#This Row],[StockMax]])=0),"",MAX(0,tblStock[[#This Row],[StockActual]])/tblStock[[#This Row],[StockMax]])</f>
        <v/>
      </c>
      <c r="N27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7" s="59" t="str">
        <f>IF($B277="","",N('05_PRODUCTOS'!$H277))</f>
        <v/>
      </c>
      <c r="P277" s="59" t="str">
        <f>IF(tblStock[[#This Row],[SKU]]="","",MAX(0,tblStock[[#This Row],[StockActual]])*tblStock[[#This Row],[CostoUnitario]])</f>
        <v/>
      </c>
      <c r="Q277" s="60" t="str">
        <f>IF(tblStock[[#This Row],[SKU]]="","",IFERROR(_xlfn.AGGREGATE(14,6,tblMovimientos[Fecha]/(tblMovimientos[SKU]=tblStock[[#This Row],[SKU]]),1),""))</f>
        <v/>
      </c>
      <c r="R277" s="61" t="str">
        <f ca="1">IF(OR(tblStock[[#This Row],[SKU]]="",tblStock[[#This Row],[UltimoMov]]=""),"",TODAY()-tblStock[[#This Row],[UltimoMov]])</f>
        <v/>
      </c>
    </row>
    <row r="278" spans="2:18" x14ac:dyDescent="0.25">
      <c r="B278" s="53" t="str">
        <f>IF('05_PRODUCTOS'!$B278="","",'05_PRODUCTOS'!$B278)</f>
        <v/>
      </c>
      <c r="C278" s="54" t="str">
        <f>IF($B278="","",'05_PRODUCTOS'!$C278)</f>
        <v/>
      </c>
      <c r="D278" s="54" t="str">
        <f>IF($B278="","",'05_PRODUCTOS'!$D278)</f>
        <v/>
      </c>
      <c r="E278" s="54" t="str">
        <f>IF($B278="","",'05_PRODUCTOS'!$I278&amp;"")</f>
        <v/>
      </c>
      <c r="F278" s="53" t="str">
        <f>IF($B278="","",'05_PRODUCTOS'!$E278)</f>
        <v/>
      </c>
      <c r="G278" s="53" t="str">
        <f>IF($B278="","",IF('05_PRODUCTOS'!$K278="NO","NO","SI"))</f>
        <v/>
      </c>
      <c r="H278" s="55" t="str">
        <f>IF(tblStock[[#This Row],[SKU]]="","",SUMIFS(tblMovimientos[CantidadNeta],tblMovimientos[SKU],tblStock[[#This Row],[SKU]],tblMovimientos[FactorStock],1))</f>
        <v/>
      </c>
      <c r="I278" s="55" t="str">
        <f>IF(tblStock[[#This Row],[SKU]]="","",-SUMIFS(tblMovimientos[CantidadNeta],tblMovimientos[SKU],tblStock[[#This Row],[SKU]],tblMovimientos[FactorStock],-1))</f>
        <v/>
      </c>
      <c r="J278" s="56" t="str">
        <f>IF(tblStock[[#This Row],[SKU]]="","",SUMIFS(tblMovimientos[CantidadNeta],tblMovimientos[SKU],tblStock[[#This Row],[SKU]]))</f>
        <v/>
      </c>
      <c r="K278" s="55" t="str">
        <f>IF($B278="","",N('05_PRODUCTOS'!$F278))</f>
        <v/>
      </c>
      <c r="L278" s="55" t="str">
        <f>IF($B278="","",N('05_PRODUCTOS'!$G278))</f>
        <v/>
      </c>
      <c r="M278" s="57" t="str">
        <f>IF(OR(tblStock[[#This Row],[SKU]]="",N(tblStock[[#This Row],[StockMax]])=0),"",MAX(0,tblStock[[#This Row],[StockActual]])/tblStock[[#This Row],[StockMax]])</f>
        <v/>
      </c>
      <c r="N27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8" s="59" t="str">
        <f>IF($B278="","",N('05_PRODUCTOS'!$H278))</f>
        <v/>
      </c>
      <c r="P278" s="59" t="str">
        <f>IF(tblStock[[#This Row],[SKU]]="","",MAX(0,tblStock[[#This Row],[StockActual]])*tblStock[[#This Row],[CostoUnitario]])</f>
        <v/>
      </c>
      <c r="Q278" s="60" t="str">
        <f>IF(tblStock[[#This Row],[SKU]]="","",IFERROR(_xlfn.AGGREGATE(14,6,tblMovimientos[Fecha]/(tblMovimientos[SKU]=tblStock[[#This Row],[SKU]]),1),""))</f>
        <v/>
      </c>
      <c r="R278" s="61" t="str">
        <f ca="1">IF(OR(tblStock[[#This Row],[SKU]]="",tblStock[[#This Row],[UltimoMov]]=""),"",TODAY()-tblStock[[#This Row],[UltimoMov]])</f>
        <v/>
      </c>
    </row>
    <row r="279" spans="2:18" x14ac:dyDescent="0.25">
      <c r="B279" s="53" t="str">
        <f>IF('05_PRODUCTOS'!$B279="","",'05_PRODUCTOS'!$B279)</f>
        <v/>
      </c>
      <c r="C279" s="54" t="str">
        <f>IF($B279="","",'05_PRODUCTOS'!$C279)</f>
        <v/>
      </c>
      <c r="D279" s="54" t="str">
        <f>IF($B279="","",'05_PRODUCTOS'!$D279)</f>
        <v/>
      </c>
      <c r="E279" s="54" t="str">
        <f>IF($B279="","",'05_PRODUCTOS'!$I279&amp;"")</f>
        <v/>
      </c>
      <c r="F279" s="53" t="str">
        <f>IF($B279="","",'05_PRODUCTOS'!$E279)</f>
        <v/>
      </c>
      <c r="G279" s="53" t="str">
        <f>IF($B279="","",IF('05_PRODUCTOS'!$K279="NO","NO","SI"))</f>
        <v/>
      </c>
      <c r="H279" s="55" t="str">
        <f>IF(tblStock[[#This Row],[SKU]]="","",SUMIFS(tblMovimientos[CantidadNeta],tblMovimientos[SKU],tblStock[[#This Row],[SKU]],tblMovimientos[FactorStock],1))</f>
        <v/>
      </c>
      <c r="I279" s="55" t="str">
        <f>IF(tblStock[[#This Row],[SKU]]="","",-SUMIFS(tblMovimientos[CantidadNeta],tblMovimientos[SKU],tblStock[[#This Row],[SKU]],tblMovimientos[FactorStock],-1))</f>
        <v/>
      </c>
      <c r="J279" s="56" t="str">
        <f>IF(tblStock[[#This Row],[SKU]]="","",SUMIFS(tblMovimientos[CantidadNeta],tblMovimientos[SKU],tblStock[[#This Row],[SKU]]))</f>
        <v/>
      </c>
      <c r="K279" s="55" t="str">
        <f>IF($B279="","",N('05_PRODUCTOS'!$F279))</f>
        <v/>
      </c>
      <c r="L279" s="55" t="str">
        <f>IF($B279="","",N('05_PRODUCTOS'!$G279))</f>
        <v/>
      </c>
      <c r="M279" s="57" t="str">
        <f>IF(OR(tblStock[[#This Row],[SKU]]="",N(tblStock[[#This Row],[StockMax]])=0),"",MAX(0,tblStock[[#This Row],[StockActual]])/tblStock[[#This Row],[StockMax]])</f>
        <v/>
      </c>
      <c r="N27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79" s="59" t="str">
        <f>IF($B279="","",N('05_PRODUCTOS'!$H279))</f>
        <v/>
      </c>
      <c r="P279" s="59" t="str">
        <f>IF(tblStock[[#This Row],[SKU]]="","",MAX(0,tblStock[[#This Row],[StockActual]])*tblStock[[#This Row],[CostoUnitario]])</f>
        <v/>
      </c>
      <c r="Q279" s="60" t="str">
        <f>IF(tblStock[[#This Row],[SKU]]="","",IFERROR(_xlfn.AGGREGATE(14,6,tblMovimientos[Fecha]/(tblMovimientos[SKU]=tblStock[[#This Row],[SKU]]),1),""))</f>
        <v/>
      </c>
      <c r="R279" s="61" t="str">
        <f ca="1">IF(OR(tblStock[[#This Row],[SKU]]="",tblStock[[#This Row],[UltimoMov]]=""),"",TODAY()-tblStock[[#This Row],[UltimoMov]])</f>
        <v/>
      </c>
    </row>
    <row r="280" spans="2:18" x14ac:dyDescent="0.25">
      <c r="B280" s="53" t="str">
        <f>IF('05_PRODUCTOS'!$B280="","",'05_PRODUCTOS'!$B280)</f>
        <v/>
      </c>
      <c r="C280" s="54" t="str">
        <f>IF($B280="","",'05_PRODUCTOS'!$C280)</f>
        <v/>
      </c>
      <c r="D280" s="54" t="str">
        <f>IF($B280="","",'05_PRODUCTOS'!$D280)</f>
        <v/>
      </c>
      <c r="E280" s="54" t="str">
        <f>IF($B280="","",'05_PRODUCTOS'!$I280&amp;"")</f>
        <v/>
      </c>
      <c r="F280" s="53" t="str">
        <f>IF($B280="","",'05_PRODUCTOS'!$E280)</f>
        <v/>
      </c>
      <c r="G280" s="53" t="str">
        <f>IF($B280="","",IF('05_PRODUCTOS'!$K280="NO","NO","SI"))</f>
        <v/>
      </c>
      <c r="H280" s="55" t="str">
        <f>IF(tblStock[[#This Row],[SKU]]="","",SUMIFS(tblMovimientos[CantidadNeta],tblMovimientos[SKU],tblStock[[#This Row],[SKU]],tblMovimientos[FactorStock],1))</f>
        <v/>
      </c>
      <c r="I280" s="55" t="str">
        <f>IF(tblStock[[#This Row],[SKU]]="","",-SUMIFS(tblMovimientos[CantidadNeta],tblMovimientos[SKU],tblStock[[#This Row],[SKU]],tblMovimientos[FactorStock],-1))</f>
        <v/>
      </c>
      <c r="J280" s="56" t="str">
        <f>IF(tblStock[[#This Row],[SKU]]="","",SUMIFS(tblMovimientos[CantidadNeta],tblMovimientos[SKU],tblStock[[#This Row],[SKU]]))</f>
        <v/>
      </c>
      <c r="K280" s="55" t="str">
        <f>IF($B280="","",N('05_PRODUCTOS'!$F280))</f>
        <v/>
      </c>
      <c r="L280" s="55" t="str">
        <f>IF($B280="","",N('05_PRODUCTOS'!$G280))</f>
        <v/>
      </c>
      <c r="M280" s="57" t="str">
        <f>IF(OR(tblStock[[#This Row],[SKU]]="",N(tblStock[[#This Row],[StockMax]])=0),"",MAX(0,tblStock[[#This Row],[StockActual]])/tblStock[[#This Row],[StockMax]])</f>
        <v/>
      </c>
      <c r="N28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0" s="59" t="str">
        <f>IF($B280="","",N('05_PRODUCTOS'!$H280))</f>
        <v/>
      </c>
      <c r="P280" s="59" t="str">
        <f>IF(tblStock[[#This Row],[SKU]]="","",MAX(0,tblStock[[#This Row],[StockActual]])*tblStock[[#This Row],[CostoUnitario]])</f>
        <v/>
      </c>
      <c r="Q280" s="60" t="str">
        <f>IF(tblStock[[#This Row],[SKU]]="","",IFERROR(_xlfn.AGGREGATE(14,6,tblMovimientos[Fecha]/(tblMovimientos[SKU]=tblStock[[#This Row],[SKU]]),1),""))</f>
        <v/>
      </c>
      <c r="R280" s="61" t="str">
        <f ca="1">IF(OR(tblStock[[#This Row],[SKU]]="",tblStock[[#This Row],[UltimoMov]]=""),"",TODAY()-tblStock[[#This Row],[UltimoMov]])</f>
        <v/>
      </c>
    </row>
    <row r="281" spans="2:18" x14ac:dyDescent="0.25">
      <c r="B281" s="53" t="str">
        <f>IF('05_PRODUCTOS'!$B281="","",'05_PRODUCTOS'!$B281)</f>
        <v/>
      </c>
      <c r="C281" s="54" t="str">
        <f>IF($B281="","",'05_PRODUCTOS'!$C281)</f>
        <v/>
      </c>
      <c r="D281" s="54" t="str">
        <f>IF($B281="","",'05_PRODUCTOS'!$D281)</f>
        <v/>
      </c>
      <c r="E281" s="54" t="str">
        <f>IF($B281="","",'05_PRODUCTOS'!$I281&amp;"")</f>
        <v/>
      </c>
      <c r="F281" s="53" t="str">
        <f>IF($B281="","",'05_PRODUCTOS'!$E281)</f>
        <v/>
      </c>
      <c r="G281" s="53" t="str">
        <f>IF($B281="","",IF('05_PRODUCTOS'!$K281="NO","NO","SI"))</f>
        <v/>
      </c>
      <c r="H281" s="55" t="str">
        <f>IF(tblStock[[#This Row],[SKU]]="","",SUMIFS(tblMovimientos[CantidadNeta],tblMovimientos[SKU],tblStock[[#This Row],[SKU]],tblMovimientos[FactorStock],1))</f>
        <v/>
      </c>
      <c r="I281" s="55" t="str">
        <f>IF(tblStock[[#This Row],[SKU]]="","",-SUMIFS(tblMovimientos[CantidadNeta],tblMovimientos[SKU],tblStock[[#This Row],[SKU]],tblMovimientos[FactorStock],-1))</f>
        <v/>
      </c>
      <c r="J281" s="56" t="str">
        <f>IF(tblStock[[#This Row],[SKU]]="","",SUMIFS(tblMovimientos[CantidadNeta],tblMovimientos[SKU],tblStock[[#This Row],[SKU]]))</f>
        <v/>
      </c>
      <c r="K281" s="55" t="str">
        <f>IF($B281="","",N('05_PRODUCTOS'!$F281))</f>
        <v/>
      </c>
      <c r="L281" s="55" t="str">
        <f>IF($B281="","",N('05_PRODUCTOS'!$G281))</f>
        <v/>
      </c>
      <c r="M281" s="57" t="str">
        <f>IF(OR(tblStock[[#This Row],[SKU]]="",N(tblStock[[#This Row],[StockMax]])=0),"",MAX(0,tblStock[[#This Row],[StockActual]])/tblStock[[#This Row],[StockMax]])</f>
        <v/>
      </c>
      <c r="N28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1" s="59" t="str">
        <f>IF($B281="","",N('05_PRODUCTOS'!$H281))</f>
        <v/>
      </c>
      <c r="P281" s="59" t="str">
        <f>IF(tblStock[[#This Row],[SKU]]="","",MAX(0,tblStock[[#This Row],[StockActual]])*tblStock[[#This Row],[CostoUnitario]])</f>
        <v/>
      </c>
      <c r="Q281" s="60" t="str">
        <f>IF(tblStock[[#This Row],[SKU]]="","",IFERROR(_xlfn.AGGREGATE(14,6,tblMovimientos[Fecha]/(tblMovimientos[SKU]=tblStock[[#This Row],[SKU]]),1),""))</f>
        <v/>
      </c>
      <c r="R281" s="61" t="str">
        <f ca="1">IF(OR(tblStock[[#This Row],[SKU]]="",tblStock[[#This Row],[UltimoMov]]=""),"",TODAY()-tblStock[[#This Row],[UltimoMov]])</f>
        <v/>
      </c>
    </row>
    <row r="282" spans="2:18" x14ac:dyDescent="0.25">
      <c r="B282" s="53" t="str">
        <f>IF('05_PRODUCTOS'!$B282="","",'05_PRODUCTOS'!$B282)</f>
        <v/>
      </c>
      <c r="C282" s="54" t="str">
        <f>IF($B282="","",'05_PRODUCTOS'!$C282)</f>
        <v/>
      </c>
      <c r="D282" s="54" t="str">
        <f>IF($B282="","",'05_PRODUCTOS'!$D282)</f>
        <v/>
      </c>
      <c r="E282" s="54" t="str">
        <f>IF($B282="","",'05_PRODUCTOS'!$I282&amp;"")</f>
        <v/>
      </c>
      <c r="F282" s="53" t="str">
        <f>IF($B282="","",'05_PRODUCTOS'!$E282)</f>
        <v/>
      </c>
      <c r="G282" s="53" t="str">
        <f>IF($B282="","",IF('05_PRODUCTOS'!$K282="NO","NO","SI"))</f>
        <v/>
      </c>
      <c r="H282" s="55" t="str">
        <f>IF(tblStock[[#This Row],[SKU]]="","",SUMIFS(tblMovimientos[CantidadNeta],tblMovimientos[SKU],tblStock[[#This Row],[SKU]],tblMovimientos[FactorStock],1))</f>
        <v/>
      </c>
      <c r="I282" s="55" t="str">
        <f>IF(tblStock[[#This Row],[SKU]]="","",-SUMIFS(tblMovimientos[CantidadNeta],tblMovimientos[SKU],tblStock[[#This Row],[SKU]],tblMovimientos[FactorStock],-1))</f>
        <v/>
      </c>
      <c r="J282" s="56" t="str">
        <f>IF(tblStock[[#This Row],[SKU]]="","",SUMIFS(tblMovimientos[CantidadNeta],tblMovimientos[SKU],tblStock[[#This Row],[SKU]]))</f>
        <v/>
      </c>
      <c r="K282" s="55" t="str">
        <f>IF($B282="","",N('05_PRODUCTOS'!$F282))</f>
        <v/>
      </c>
      <c r="L282" s="55" t="str">
        <f>IF($B282="","",N('05_PRODUCTOS'!$G282))</f>
        <v/>
      </c>
      <c r="M282" s="57" t="str">
        <f>IF(OR(tblStock[[#This Row],[SKU]]="",N(tblStock[[#This Row],[StockMax]])=0),"",MAX(0,tblStock[[#This Row],[StockActual]])/tblStock[[#This Row],[StockMax]])</f>
        <v/>
      </c>
      <c r="N28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2" s="59" t="str">
        <f>IF($B282="","",N('05_PRODUCTOS'!$H282))</f>
        <v/>
      </c>
      <c r="P282" s="59" t="str">
        <f>IF(tblStock[[#This Row],[SKU]]="","",MAX(0,tblStock[[#This Row],[StockActual]])*tblStock[[#This Row],[CostoUnitario]])</f>
        <v/>
      </c>
      <c r="Q282" s="60" t="str">
        <f>IF(tblStock[[#This Row],[SKU]]="","",IFERROR(_xlfn.AGGREGATE(14,6,tblMovimientos[Fecha]/(tblMovimientos[SKU]=tblStock[[#This Row],[SKU]]),1),""))</f>
        <v/>
      </c>
      <c r="R282" s="61" t="str">
        <f ca="1">IF(OR(tblStock[[#This Row],[SKU]]="",tblStock[[#This Row],[UltimoMov]]=""),"",TODAY()-tblStock[[#This Row],[UltimoMov]])</f>
        <v/>
      </c>
    </row>
    <row r="283" spans="2:18" x14ac:dyDescent="0.25">
      <c r="B283" s="53" t="str">
        <f>IF('05_PRODUCTOS'!$B283="","",'05_PRODUCTOS'!$B283)</f>
        <v/>
      </c>
      <c r="C283" s="54" t="str">
        <f>IF($B283="","",'05_PRODUCTOS'!$C283)</f>
        <v/>
      </c>
      <c r="D283" s="54" t="str">
        <f>IF($B283="","",'05_PRODUCTOS'!$D283)</f>
        <v/>
      </c>
      <c r="E283" s="54" t="str">
        <f>IF($B283="","",'05_PRODUCTOS'!$I283&amp;"")</f>
        <v/>
      </c>
      <c r="F283" s="53" t="str">
        <f>IF($B283="","",'05_PRODUCTOS'!$E283)</f>
        <v/>
      </c>
      <c r="G283" s="53" t="str">
        <f>IF($B283="","",IF('05_PRODUCTOS'!$K283="NO","NO","SI"))</f>
        <v/>
      </c>
      <c r="H283" s="55" t="str">
        <f>IF(tblStock[[#This Row],[SKU]]="","",SUMIFS(tblMovimientos[CantidadNeta],tblMovimientos[SKU],tblStock[[#This Row],[SKU]],tblMovimientos[FactorStock],1))</f>
        <v/>
      </c>
      <c r="I283" s="55" t="str">
        <f>IF(tblStock[[#This Row],[SKU]]="","",-SUMIFS(tblMovimientos[CantidadNeta],tblMovimientos[SKU],tblStock[[#This Row],[SKU]],tblMovimientos[FactorStock],-1))</f>
        <v/>
      </c>
      <c r="J283" s="56" t="str">
        <f>IF(tblStock[[#This Row],[SKU]]="","",SUMIFS(tblMovimientos[CantidadNeta],tblMovimientos[SKU],tblStock[[#This Row],[SKU]]))</f>
        <v/>
      </c>
      <c r="K283" s="55" t="str">
        <f>IF($B283="","",N('05_PRODUCTOS'!$F283))</f>
        <v/>
      </c>
      <c r="L283" s="55" t="str">
        <f>IF($B283="","",N('05_PRODUCTOS'!$G283))</f>
        <v/>
      </c>
      <c r="M283" s="57" t="str">
        <f>IF(OR(tblStock[[#This Row],[SKU]]="",N(tblStock[[#This Row],[StockMax]])=0),"",MAX(0,tblStock[[#This Row],[StockActual]])/tblStock[[#This Row],[StockMax]])</f>
        <v/>
      </c>
      <c r="N28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3" s="59" t="str">
        <f>IF($B283="","",N('05_PRODUCTOS'!$H283))</f>
        <v/>
      </c>
      <c r="P283" s="59" t="str">
        <f>IF(tblStock[[#This Row],[SKU]]="","",MAX(0,tblStock[[#This Row],[StockActual]])*tblStock[[#This Row],[CostoUnitario]])</f>
        <v/>
      </c>
      <c r="Q283" s="60" t="str">
        <f>IF(tblStock[[#This Row],[SKU]]="","",IFERROR(_xlfn.AGGREGATE(14,6,tblMovimientos[Fecha]/(tblMovimientos[SKU]=tblStock[[#This Row],[SKU]]),1),""))</f>
        <v/>
      </c>
      <c r="R283" s="61" t="str">
        <f ca="1">IF(OR(tblStock[[#This Row],[SKU]]="",tblStock[[#This Row],[UltimoMov]]=""),"",TODAY()-tblStock[[#This Row],[UltimoMov]])</f>
        <v/>
      </c>
    </row>
    <row r="284" spans="2:18" x14ac:dyDescent="0.25">
      <c r="B284" s="53" t="str">
        <f>IF('05_PRODUCTOS'!$B284="","",'05_PRODUCTOS'!$B284)</f>
        <v/>
      </c>
      <c r="C284" s="54" t="str">
        <f>IF($B284="","",'05_PRODUCTOS'!$C284)</f>
        <v/>
      </c>
      <c r="D284" s="54" t="str">
        <f>IF($B284="","",'05_PRODUCTOS'!$D284)</f>
        <v/>
      </c>
      <c r="E284" s="54" t="str">
        <f>IF($B284="","",'05_PRODUCTOS'!$I284&amp;"")</f>
        <v/>
      </c>
      <c r="F284" s="53" t="str">
        <f>IF($B284="","",'05_PRODUCTOS'!$E284)</f>
        <v/>
      </c>
      <c r="G284" s="53" t="str">
        <f>IF($B284="","",IF('05_PRODUCTOS'!$K284="NO","NO","SI"))</f>
        <v/>
      </c>
      <c r="H284" s="55" t="str">
        <f>IF(tblStock[[#This Row],[SKU]]="","",SUMIFS(tblMovimientos[CantidadNeta],tblMovimientos[SKU],tblStock[[#This Row],[SKU]],tblMovimientos[FactorStock],1))</f>
        <v/>
      </c>
      <c r="I284" s="55" t="str">
        <f>IF(tblStock[[#This Row],[SKU]]="","",-SUMIFS(tblMovimientos[CantidadNeta],tblMovimientos[SKU],tblStock[[#This Row],[SKU]],tblMovimientos[FactorStock],-1))</f>
        <v/>
      </c>
      <c r="J284" s="56" t="str">
        <f>IF(tblStock[[#This Row],[SKU]]="","",SUMIFS(tblMovimientos[CantidadNeta],tblMovimientos[SKU],tblStock[[#This Row],[SKU]]))</f>
        <v/>
      </c>
      <c r="K284" s="55" t="str">
        <f>IF($B284="","",N('05_PRODUCTOS'!$F284))</f>
        <v/>
      </c>
      <c r="L284" s="55" t="str">
        <f>IF($B284="","",N('05_PRODUCTOS'!$G284))</f>
        <v/>
      </c>
      <c r="M284" s="57" t="str">
        <f>IF(OR(tblStock[[#This Row],[SKU]]="",N(tblStock[[#This Row],[StockMax]])=0),"",MAX(0,tblStock[[#This Row],[StockActual]])/tblStock[[#This Row],[StockMax]])</f>
        <v/>
      </c>
      <c r="N28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4" s="59" t="str">
        <f>IF($B284="","",N('05_PRODUCTOS'!$H284))</f>
        <v/>
      </c>
      <c r="P284" s="59" t="str">
        <f>IF(tblStock[[#This Row],[SKU]]="","",MAX(0,tblStock[[#This Row],[StockActual]])*tblStock[[#This Row],[CostoUnitario]])</f>
        <v/>
      </c>
      <c r="Q284" s="60" t="str">
        <f>IF(tblStock[[#This Row],[SKU]]="","",IFERROR(_xlfn.AGGREGATE(14,6,tblMovimientos[Fecha]/(tblMovimientos[SKU]=tblStock[[#This Row],[SKU]]),1),""))</f>
        <v/>
      </c>
      <c r="R284" s="61" t="str">
        <f ca="1">IF(OR(tblStock[[#This Row],[SKU]]="",tblStock[[#This Row],[UltimoMov]]=""),"",TODAY()-tblStock[[#This Row],[UltimoMov]])</f>
        <v/>
      </c>
    </row>
    <row r="285" spans="2:18" x14ac:dyDescent="0.25">
      <c r="B285" s="53" t="str">
        <f>IF('05_PRODUCTOS'!$B285="","",'05_PRODUCTOS'!$B285)</f>
        <v/>
      </c>
      <c r="C285" s="54" t="str">
        <f>IF($B285="","",'05_PRODUCTOS'!$C285)</f>
        <v/>
      </c>
      <c r="D285" s="54" t="str">
        <f>IF($B285="","",'05_PRODUCTOS'!$D285)</f>
        <v/>
      </c>
      <c r="E285" s="54" t="str">
        <f>IF($B285="","",'05_PRODUCTOS'!$I285&amp;"")</f>
        <v/>
      </c>
      <c r="F285" s="53" t="str">
        <f>IF($B285="","",'05_PRODUCTOS'!$E285)</f>
        <v/>
      </c>
      <c r="G285" s="53" t="str">
        <f>IF($B285="","",IF('05_PRODUCTOS'!$K285="NO","NO","SI"))</f>
        <v/>
      </c>
      <c r="H285" s="55" t="str">
        <f>IF(tblStock[[#This Row],[SKU]]="","",SUMIFS(tblMovimientos[CantidadNeta],tblMovimientos[SKU],tblStock[[#This Row],[SKU]],tblMovimientos[FactorStock],1))</f>
        <v/>
      </c>
      <c r="I285" s="55" t="str">
        <f>IF(tblStock[[#This Row],[SKU]]="","",-SUMIFS(tblMovimientos[CantidadNeta],tblMovimientos[SKU],tblStock[[#This Row],[SKU]],tblMovimientos[FactorStock],-1))</f>
        <v/>
      </c>
      <c r="J285" s="56" t="str">
        <f>IF(tblStock[[#This Row],[SKU]]="","",SUMIFS(tblMovimientos[CantidadNeta],tblMovimientos[SKU],tblStock[[#This Row],[SKU]]))</f>
        <v/>
      </c>
      <c r="K285" s="55" t="str">
        <f>IF($B285="","",N('05_PRODUCTOS'!$F285))</f>
        <v/>
      </c>
      <c r="L285" s="55" t="str">
        <f>IF($B285="","",N('05_PRODUCTOS'!$G285))</f>
        <v/>
      </c>
      <c r="M285" s="57" t="str">
        <f>IF(OR(tblStock[[#This Row],[SKU]]="",N(tblStock[[#This Row],[StockMax]])=0),"",MAX(0,tblStock[[#This Row],[StockActual]])/tblStock[[#This Row],[StockMax]])</f>
        <v/>
      </c>
      <c r="N28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5" s="59" t="str">
        <f>IF($B285="","",N('05_PRODUCTOS'!$H285))</f>
        <v/>
      </c>
      <c r="P285" s="59" t="str">
        <f>IF(tblStock[[#This Row],[SKU]]="","",MAX(0,tblStock[[#This Row],[StockActual]])*tblStock[[#This Row],[CostoUnitario]])</f>
        <v/>
      </c>
      <c r="Q285" s="60" t="str">
        <f>IF(tblStock[[#This Row],[SKU]]="","",IFERROR(_xlfn.AGGREGATE(14,6,tblMovimientos[Fecha]/(tblMovimientos[SKU]=tblStock[[#This Row],[SKU]]),1),""))</f>
        <v/>
      </c>
      <c r="R285" s="61" t="str">
        <f ca="1">IF(OR(tblStock[[#This Row],[SKU]]="",tblStock[[#This Row],[UltimoMov]]=""),"",TODAY()-tblStock[[#This Row],[UltimoMov]])</f>
        <v/>
      </c>
    </row>
    <row r="286" spans="2:18" x14ac:dyDescent="0.25">
      <c r="B286" s="53" t="str">
        <f>IF('05_PRODUCTOS'!$B286="","",'05_PRODUCTOS'!$B286)</f>
        <v/>
      </c>
      <c r="C286" s="54" t="str">
        <f>IF($B286="","",'05_PRODUCTOS'!$C286)</f>
        <v/>
      </c>
      <c r="D286" s="54" t="str">
        <f>IF($B286="","",'05_PRODUCTOS'!$D286)</f>
        <v/>
      </c>
      <c r="E286" s="54" t="str">
        <f>IF($B286="","",'05_PRODUCTOS'!$I286&amp;"")</f>
        <v/>
      </c>
      <c r="F286" s="53" t="str">
        <f>IF($B286="","",'05_PRODUCTOS'!$E286)</f>
        <v/>
      </c>
      <c r="G286" s="53" t="str">
        <f>IF($B286="","",IF('05_PRODUCTOS'!$K286="NO","NO","SI"))</f>
        <v/>
      </c>
      <c r="H286" s="55" t="str">
        <f>IF(tblStock[[#This Row],[SKU]]="","",SUMIFS(tblMovimientos[CantidadNeta],tblMovimientos[SKU],tblStock[[#This Row],[SKU]],tblMovimientos[FactorStock],1))</f>
        <v/>
      </c>
      <c r="I286" s="55" t="str">
        <f>IF(tblStock[[#This Row],[SKU]]="","",-SUMIFS(tblMovimientos[CantidadNeta],tblMovimientos[SKU],tblStock[[#This Row],[SKU]],tblMovimientos[FactorStock],-1))</f>
        <v/>
      </c>
      <c r="J286" s="56" t="str">
        <f>IF(tblStock[[#This Row],[SKU]]="","",SUMIFS(tblMovimientos[CantidadNeta],tblMovimientos[SKU],tblStock[[#This Row],[SKU]]))</f>
        <v/>
      </c>
      <c r="K286" s="55" t="str">
        <f>IF($B286="","",N('05_PRODUCTOS'!$F286))</f>
        <v/>
      </c>
      <c r="L286" s="55" t="str">
        <f>IF($B286="","",N('05_PRODUCTOS'!$G286))</f>
        <v/>
      </c>
      <c r="M286" s="57" t="str">
        <f>IF(OR(tblStock[[#This Row],[SKU]]="",N(tblStock[[#This Row],[StockMax]])=0),"",MAX(0,tblStock[[#This Row],[StockActual]])/tblStock[[#This Row],[StockMax]])</f>
        <v/>
      </c>
      <c r="N28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6" s="59" t="str">
        <f>IF($B286="","",N('05_PRODUCTOS'!$H286))</f>
        <v/>
      </c>
      <c r="P286" s="59" t="str">
        <f>IF(tblStock[[#This Row],[SKU]]="","",MAX(0,tblStock[[#This Row],[StockActual]])*tblStock[[#This Row],[CostoUnitario]])</f>
        <v/>
      </c>
      <c r="Q286" s="60" t="str">
        <f>IF(tblStock[[#This Row],[SKU]]="","",IFERROR(_xlfn.AGGREGATE(14,6,tblMovimientos[Fecha]/(tblMovimientos[SKU]=tblStock[[#This Row],[SKU]]),1),""))</f>
        <v/>
      </c>
      <c r="R286" s="61" t="str">
        <f ca="1">IF(OR(tblStock[[#This Row],[SKU]]="",tblStock[[#This Row],[UltimoMov]]=""),"",TODAY()-tblStock[[#This Row],[UltimoMov]])</f>
        <v/>
      </c>
    </row>
    <row r="287" spans="2:18" x14ac:dyDescent="0.25">
      <c r="B287" s="53" t="str">
        <f>IF('05_PRODUCTOS'!$B287="","",'05_PRODUCTOS'!$B287)</f>
        <v/>
      </c>
      <c r="C287" s="54" t="str">
        <f>IF($B287="","",'05_PRODUCTOS'!$C287)</f>
        <v/>
      </c>
      <c r="D287" s="54" t="str">
        <f>IF($B287="","",'05_PRODUCTOS'!$D287)</f>
        <v/>
      </c>
      <c r="E287" s="54" t="str">
        <f>IF($B287="","",'05_PRODUCTOS'!$I287&amp;"")</f>
        <v/>
      </c>
      <c r="F287" s="53" t="str">
        <f>IF($B287="","",'05_PRODUCTOS'!$E287)</f>
        <v/>
      </c>
      <c r="G287" s="53" t="str">
        <f>IF($B287="","",IF('05_PRODUCTOS'!$K287="NO","NO","SI"))</f>
        <v/>
      </c>
      <c r="H287" s="55" t="str">
        <f>IF(tblStock[[#This Row],[SKU]]="","",SUMIFS(tblMovimientos[CantidadNeta],tblMovimientos[SKU],tblStock[[#This Row],[SKU]],tblMovimientos[FactorStock],1))</f>
        <v/>
      </c>
      <c r="I287" s="55" t="str">
        <f>IF(tblStock[[#This Row],[SKU]]="","",-SUMIFS(tblMovimientos[CantidadNeta],tblMovimientos[SKU],tblStock[[#This Row],[SKU]],tblMovimientos[FactorStock],-1))</f>
        <v/>
      </c>
      <c r="J287" s="56" t="str">
        <f>IF(tblStock[[#This Row],[SKU]]="","",SUMIFS(tblMovimientos[CantidadNeta],tblMovimientos[SKU],tblStock[[#This Row],[SKU]]))</f>
        <v/>
      </c>
      <c r="K287" s="55" t="str">
        <f>IF($B287="","",N('05_PRODUCTOS'!$F287))</f>
        <v/>
      </c>
      <c r="L287" s="55" t="str">
        <f>IF($B287="","",N('05_PRODUCTOS'!$G287))</f>
        <v/>
      </c>
      <c r="M287" s="57" t="str">
        <f>IF(OR(tblStock[[#This Row],[SKU]]="",N(tblStock[[#This Row],[StockMax]])=0),"",MAX(0,tblStock[[#This Row],[StockActual]])/tblStock[[#This Row],[StockMax]])</f>
        <v/>
      </c>
      <c r="N28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7" s="59" t="str">
        <f>IF($B287="","",N('05_PRODUCTOS'!$H287))</f>
        <v/>
      </c>
      <c r="P287" s="59" t="str">
        <f>IF(tblStock[[#This Row],[SKU]]="","",MAX(0,tblStock[[#This Row],[StockActual]])*tblStock[[#This Row],[CostoUnitario]])</f>
        <v/>
      </c>
      <c r="Q287" s="60" t="str">
        <f>IF(tblStock[[#This Row],[SKU]]="","",IFERROR(_xlfn.AGGREGATE(14,6,tblMovimientos[Fecha]/(tblMovimientos[SKU]=tblStock[[#This Row],[SKU]]),1),""))</f>
        <v/>
      </c>
      <c r="R287" s="61" t="str">
        <f ca="1">IF(OR(tblStock[[#This Row],[SKU]]="",tblStock[[#This Row],[UltimoMov]]=""),"",TODAY()-tblStock[[#This Row],[UltimoMov]])</f>
        <v/>
      </c>
    </row>
    <row r="288" spans="2:18" x14ac:dyDescent="0.25">
      <c r="B288" s="53" t="str">
        <f>IF('05_PRODUCTOS'!$B288="","",'05_PRODUCTOS'!$B288)</f>
        <v/>
      </c>
      <c r="C288" s="54" t="str">
        <f>IF($B288="","",'05_PRODUCTOS'!$C288)</f>
        <v/>
      </c>
      <c r="D288" s="54" t="str">
        <f>IF($B288="","",'05_PRODUCTOS'!$D288)</f>
        <v/>
      </c>
      <c r="E288" s="54" t="str">
        <f>IF($B288="","",'05_PRODUCTOS'!$I288&amp;"")</f>
        <v/>
      </c>
      <c r="F288" s="53" t="str">
        <f>IF($B288="","",'05_PRODUCTOS'!$E288)</f>
        <v/>
      </c>
      <c r="G288" s="53" t="str">
        <f>IF($B288="","",IF('05_PRODUCTOS'!$K288="NO","NO","SI"))</f>
        <v/>
      </c>
      <c r="H288" s="55" t="str">
        <f>IF(tblStock[[#This Row],[SKU]]="","",SUMIFS(tblMovimientos[CantidadNeta],tblMovimientos[SKU],tblStock[[#This Row],[SKU]],tblMovimientos[FactorStock],1))</f>
        <v/>
      </c>
      <c r="I288" s="55" t="str">
        <f>IF(tblStock[[#This Row],[SKU]]="","",-SUMIFS(tblMovimientos[CantidadNeta],tblMovimientos[SKU],tblStock[[#This Row],[SKU]],tblMovimientos[FactorStock],-1))</f>
        <v/>
      </c>
      <c r="J288" s="56" t="str">
        <f>IF(tblStock[[#This Row],[SKU]]="","",SUMIFS(tblMovimientos[CantidadNeta],tblMovimientos[SKU],tblStock[[#This Row],[SKU]]))</f>
        <v/>
      </c>
      <c r="K288" s="55" t="str">
        <f>IF($B288="","",N('05_PRODUCTOS'!$F288))</f>
        <v/>
      </c>
      <c r="L288" s="55" t="str">
        <f>IF($B288="","",N('05_PRODUCTOS'!$G288))</f>
        <v/>
      </c>
      <c r="M288" s="57" t="str">
        <f>IF(OR(tblStock[[#This Row],[SKU]]="",N(tblStock[[#This Row],[StockMax]])=0),"",MAX(0,tblStock[[#This Row],[StockActual]])/tblStock[[#This Row],[StockMax]])</f>
        <v/>
      </c>
      <c r="N28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8" s="59" t="str">
        <f>IF($B288="","",N('05_PRODUCTOS'!$H288))</f>
        <v/>
      </c>
      <c r="P288" s="59" t="str">
        <f>IF(tblStock[[#This Row],[SKU]]="","",MAX(0,tblStock[[#This Row],[StockActual]])*tblStock[[#This Row],[CostoUnitario]])</f>
        <v/>
      </c>
      <c r="Q288" s="60" t="str">
        <f>IF(tblStock[[#This Row],[SKU]]="","",IFERROR(_xlfn.AGGREGATE(14,6,tblMovimientos[Fecha]/(tblMovimientos[SKU]=tblStock[[#This Row],[SKU]]),1),""))</f>
        <v/>
      </c>
      <c r="R288" s="61" t="str">
        <f ca="1">IF(OR(tblStock[[#This Row],[SKU]]="",tblStock[[#This Row],[UltimoMov]]=""),"",TODAY()-tblStock[[#This Row],[UltimoMov]])</f>
        <v/>
      </c>
    </row>
    <row r="289" spans="2:18" x14ac:dyDescent="0.25">
      <c r="B289" s="53" t="str">
        <f>IF('05_PRODUCTOS'!$B289="","",'05_PRODUCTOS'!$B289)</f>
        <v/>
      </c>
      <c r="C289" s="54" t="str">
        <f>IF($B289="","",'05_PRODUCTOS'!$C289)</f>
        <v/>
      </c>
      <c r="D289" s="54" t="str">
        <f>IF($B289="","",'05_PRODUCTOS'!$D289)</f>
        <v/>
      </c>
      <c r="E289" s="54" t="str">
        <f>IF($B289="","",'05_PRODUCTOS'!$I289&amp;"")</f>
        <v/>
      </c>
      <c r="F289" s="53" t="str">
        <f>IF($B289="","",'05_PRODUCTOS'!$E289)</f>
        <v/>
      </c>
      <c r="G289" s="53" t="str">
        <f>IF($B289="","",IF('05_PRODUCTOS'!$K289="NO","NO","SI"))</f>
        <v/>
      </c>
      <c r="H289" s="55" t="str">
        <f>IF(tblStock[[#This Row],[SKU]]="","",SUMIFS(tblMovimientos[CantidadNeta],tblMovimientos[SKU],tblStock[[#This Row],[SKU]],tblMovimientos[FactorStock],1))</f>
        <v/>
      </c>
      <c r="I289" s="55" t="str">
        <f>IF(tblStock[[#This Row],[SKU]]="","",-SUMIFS(tblMovimientos[CantidadNeta],tblMovimientos[SKU],tblStock[[#This Row],[SKU]],tblMovimientos[FactorStock],-1))</f>
        <v/>
      </c>
      <c r="J289" s="56" t="str">
        <f>IF(tblStock[[#This Row],[SKU]]="","",SUMIFS(tblMovimientos[CantidadNeta],tblMovimientos[SKU],tblStock[[#This Row],[SKU]]))</f>
        <v/>
      </c>
      <c r="K289" s="55" t="str">
        <f>IF($B289="","",N('05_PRODUCTOS'!$F289))</f>
        <v/>
      </c>
      <c r="L289" s="55" t="str">
        <f>IF($B289="","",N('05_PRODUCTOS'!$G289))</f>
        <v/>
      </c>
      <c r="M289" s="57" t="str">
        <f>IF(OR(tblStock[[#This Row],[SKU]]="",N(tblStock[[#This Row],[StockMax]])=0),"",MAX(0,tblStock[[#This Row],[StockActual]])/tblStock[[#This Row],[StockMax]])</f>
        <v/>
      </c>
      <c r="N28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89" s="59" t="str">
        <f>IF($B289="","",N('05_PRODUCTOS'!$H289))</f>
        <v/>
      </c>
      <c r="P289" s="59" t="str">
        <f>IF(tblStock[[#This Row],[SKU]]="","",MAX(0,tblStock[[#This Row],[StockActual]])*tblStock[[#This Row],[CostoUnitario]])</f>
        <v/>
      </c>
      <c r="Q289" s="60" t="str">
        <f>IF(tblStock[[#This Row],[SKU]]="","",IFERROR(_xlfn.AGGREGATE(14,6,tblMovimientos[Fecha]/(tblMovimientos[SKU]=tblStock[[#This Row],[SKU]]),1),""))</f>
        <v/>
      </c>
      <c r="R289" s="61" t="str">
        <f ca="1">IF(OR(tblStock[[#This Row],[SKU]]="",tblStock[[#This Row],[UltimoMov]]=""),"",TODAY()-tblStock[[#This Row],[UltimoMov]])</f>
        <v/>
      </c>
    </row>
    <row r="290" spans="2:18" x14ac:dyDescent="0.25">
      <c r="B290" s="53" t="str">
        <f>IF('05_PRODUCTOS'!$B290="","",'05_PRODUCTOS'!$B290)</f>
        <v/>
      </c>
      <c r="C290" s="54" t="str">
        <f>IF($B290="","",'05_PRODUCTOS'!$C290)</f>
        <v/>
      </c>
      <c r="D290" s="54" t="str">
        <f>IF($B290="","",'05_PRODUCTOS'!$D290)</f>
        <v/>
      </c>
      <c r="E290" s="54" t="str">
        <f>IF($B290="","",'05_PRODUCTOS'!$I290&amp;"")</f>
        <v/>
      </c>
      <c r="F290" s="53" t="str">
        <f>IF($B290="","",'05_PRODUCTOS'!$E290)</f>
        <v/>
      </c>
      <c r="G290" s="53" t="str">
        <f>IF($B290="","",IF('05_PRODUCTOS'!$K290="NO","NO","SI"))</f>
        <v/>
      </c>
      <c r="H290" s="55" t="str">
        <f>IF(tblStock[[#This Row],[SKU]]="","",SUMIFS(tblMovimientos[CantidadNeta],tblMovimientos[SKU],tblStock[[#This Row],[SKU]],tblMovimientos[FactorStock],1))</f>
        <v/>
      </c>
      <c r="I290" s="55" t="str">
        <f>IF(tblStock[[#This Row],[SKU]]="","",-SUMIFS(tblMovimientos[CantidadNeta],tblMovimientos[SKU],tblStock[[#This Row],[SKU]],tblMovimientos[FactorStock],-1))</f>
        <v/>
      </c>
      <c r="J290" s="56" t="str">
        <f>IF(tblStock[[#This Row],[SKU]]="","",SUMIFS(tblMovimientos[CantidadNeta],tblMovimientos[SKU],tblStock[[#This Row],[SKU]]))</f>
        <v/>
      </c>
      <c r="K290" s="55" t="str">
        <f>IF($B290="","",N('05_PRODUCTOS'!$F290))</f>
        <v/>
      </c>
      <c r="L290" s="55" t="str">
        <f>IF($B290="","",N('05_PRODUCTOS'!$G290))</f>
        <v/>
      </c>
      <c r="M290" s="57" t="str">
        <f>IF(OR(tblStock[[#This Row],[SKU]]="",N(tblStock[[#This Row],[StockMax]])=0),"",MAX(0,tblStock[[#This Row],[StockActual]])/tblStock[[#This Row],[StockMax]])</f>
        <v/>
      </c>
      <c r="N29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0" s="59" t="str">
        <f>IF($B290="","",N('05_PRODUCTOS'!$H290))</f>
        <v/>
      </c>
      <c r="P290" s="59" t="str">
        <f>IF(tblStock[[#This Row],[SKU]]="","",MAX(0,tblStock[[#This Row],[StockActual]])*tblStock[[#This Row],[CostoUnitario]])</f>
        <v/>
      </c>
      <c r="Q290" s="60" t="str">
        <f>IF(tblStock[[#This Row],[SKU]]="","",IFERROR(_xlfn.AGGREGATE(14,6,tblMovimientos[Fecha]/(tblMovimientos[SKU]=tblStock[[#This Row],[SKU]]),1),""))</f>
        <v/>
      </c>
      <c r="R290" s="61" t="str">
        <f ca="1">IF(OR(tblStock[[#This Row],[SKU]]="",tblStock[[#This Row],[UltimoMov]]=""),"",TODAY()-tblStock[[#This Row],[UltimoMov]])</f>
        <v/>
      </c>
    </row>
    <row r="291" spans="2:18" x14ac:dyDescent="0.25">
      <c r="B291" s="53" t="str">
        <f>IF('05_PRODUCTOS'!$B291="","",'05_PRODUCTOS'!$B291)</f>
        <v/>
      </c>
      <c r="C291" s="54" t="str">
        <f>IF($B291="","",'05_PRODUCTOS'!$C291)</f>
        <v/>
      </c>
      <c r="D291" s="54" t="str">
        <f>IF($B291="","",'05_PRODUCTOS'!$D291)</f>
        <v/>
      </c>
      <c r="E291" s="54" t="str">
        <f>IF($B291="","",'05_PRODUCTOS'!$I291&amp;"")</f>
        <v/>
      </c>
      <c r="F291" s="53" t="str">
        <f>IF($B291="","",'05_PRODUCTOS'!$E291)</f>
        <v/>
      </c>
      <c r="G291" s="53" t="str">
        <f>IF($B291="","",IF('05_PRODUCTOS'!$K291="NO","NO","SI"))</f>
        <v/>
      </c>
      <c r="H291" s="55" t="str">
        <f>IF(tblStock[[#This Row],[SKU]]="","",SUMIFS(tblMovimientos[CantidadNeta],tblMovimientos[SKU],tblStock[[#This Row],[SKU]],tblMovimientos[FactorStock],1))</f>
        <v/>
      </c>
      <c r="I291" s="55" t="str">
        <f>IF(tblStock[[#This Row],[SKU]]="","",-SUMIFS(tblMovimientos[CantidadNeta],tblMovimientos[SKU],tblStock[[#This Row],[SKU]],tblMovimientos[FactorStock],-1))</f>
        <v/>
      </c>
      <c r="J291" s="56" t="str">
        <f>IF(tblStock[[#This Row],[SKU]]="","",SUMIFS(tblMovimientos[CantidadNeta],tblMovimientos[SKU],tblStock[[#This Row],[SKU]]))</f>
        <v/>
      </c>
      <c r="K291" s="55" t="str">
        <f>IF($B291="","",N('05_PRODUCTOS'!$F291))</f>
        <v/>
      </c>
      <c r="L291" s="55" t="str">
        <f>IF($B291="","",N('05_PRODUCTOS'!$G291))</f>
        <v/>
      </c>
      <c r="M291" s="57" t="str">
        <f>IF(OR(tblStock[[#This Row],[SKU]]="",N(tblStock[[#This Row],[StockMax]])=0),"",MAX(0,tblStock[[#This Row],[StockActual]])/tblStock[[#This Row],[StockMax]])</f>
        <v/>
      </c>
      <c r="N29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1" s="59" t="str">
        <f>IF($B291="","",N('05_PRODUCTOS'!$H291))</f>
        <v/>
      </c>
      <c r="P291" s="59" t="str">
        <f>IF(tblStock[[#This Row],[SKU]]="","",MAX(0,tblStock[[#This Row],[StockActual]])*tblStock[[#This Row],[CostoUnitario]])</f>
        <v/>
      </c>
      <c r="Q291" s="60" t="str">
        <f>IF(tblStock[[#This Row],[SKU]]="","",IFERROR(_xlfn.AGGREGATE(14,6,tblMovimientos[Fecha]/(tblMovimientos[SKU]=tblStock[[#This Row],[SKU]]),1),""))</f>
        <v/>
      </c>
      <c r="R291" s="61" t="str">
        <f ca="1">IF(OR(tblStock[[#This Row],[SKU]]="",tblStock[[#This Row],[UltimoMov]]=""),"",TODAY()-tblStock[[#This Row],[UltimoMov]])</f>
        <v/>
      </c>
    </row>
    <row r="292" spans="2:18" x14ac:dyDescent="0.25">
      <c r="B292" s="53" t="str">
        <f>IF('05_PRODUCTOS'!$B292="","",'05_PRODUCTOS'!$B292)</f>
        <v/>
      </c>
      <c r="C292" s="54" t="str">
        <f>IF($B292="","",'05_PRODUCTOS'!$C292)</f>
        <v/>
      </c>
      <c r="D292" s="54" t="str">
        <f>IF($B292="","",'05_PRODUCTOS'!$D292)</f>
        <v/>
      </c>
      <c r="E292" s="54" t="str">
        <f>IF($B292="","",'05_PRODUCTOS'!$I292&amp;"")</f>
        <v/>
      </c>
      <c r="F292" s="53" t="str">
        <f>IF($B292="","",'05_PRODUCTOS'!$E292)</f>
        <v/>
      </c>
      <c r="G292" s="53" t="str">
        <f>IF($B292="","",IF('05_PRODUCTOS'!$K292="NO","NO","SI"))</f>
        <v/>
      </c>
      <c r="H292" s="55" t="str">
        <f>IF(tblStock[[#This Row],[SKU]]="","",SUMIFS(tblMovimientos[CantidadNeta],tblMovimientos[SKU],tblStock[[#This Row],[SKU]],tblMovimientos[FactorStock],1))</f>
        <v/>
      </c>
      <c r="I292" s="55" t="str">
        <f>IF(tblStock[[#This Row],[SKU]]="","",-SUMIFS(tblMovimientos[CantidadNeta],tblMovimientos[SKU],tblStock[[#This Row],[SKU]],tblMovimientos[FactorStock],-1))</f>
        <v/>
      </c>
      <c r="J292" s="56" t="str">
        <f>IF(tblStock[[#This Row],[SKU]]="","",SUMIFS(tblMovimientos[CantidadNeta],tblMovimientos[SKU],tblStock[[#This Row],[SKU]]))</f>
        <v/>
      </c>
      <c r="K292" s="55" t="str">
        <f>IF($B292="","",N('05_PRODUCTOS'!$F292))</f>
        <v/>
      </c>
      <c r="L292" s="55" t="str">
        <f>IF($B292="","",N('05_PRODUCTOS'!$G292))</f>
        <v/>
      </c>
      <c r="M292" s="57" t="str">
        <f>IF(OR(tblStock[[#This Row],[SKU]]="",N(tblStock[[#This Row],[StockMax]])=0),"",MAX(0,tblStock[[#This Row],[StockActual]])/tblStock[[#This Row],[StockMax]])</f>
        <v/>
      </c>
      <c r="N29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2" s="59" t="str">
        <f>IF($B292="","",N('05_PRODUCTOS'!$H292))</f>
        <v/>
      </c>
      <c r="P292" s="59" t="str">
        <f>IF(tblStock[[#This Row],[SKU]]="","",MAX(0,tblStock[[#This Row],[StockActual]])*tblStock[[#This Row],[CostoUnitario]])</f>
        <v/>
      </c>
      <c r="Q292" s="60" t="str">
        <f>IF(tblStock[[#This Row],[SKU]]="","",IFERROR(_xlfn.AGGREGATE(14,6,tblMovimientos[Fecha]/(tblMovimientos[SKU]=tblStock[[#This Row],[SKU]]),1),""))</f>
        <v/>
      </c>
      <c r="R292" s="61" t="str">
        <f ca="1">IF(OR(tblStock[[#This Row],[SKU]]="",tblStock[[#This Row],[UltimoMov]]=""),"",TODAY()-tblStock[[#This Row],[UltimoMov]])</f>
        <v/>
      </c>
    </row>
    <row r="293" spans="2:18" x14ac:dyDescent="0.25">
      <c r="B293" s="53" t="str">
        <f>IF('05_PRODUCTOS'!$B293="","",'05_PRODUCTOS'!$B293)</f>
        <v/>
      </c>
      <c r="C293" s="54" t="str">
        <f>IF($B293="","",'05_PRODUCTOS'!$C293)</f>
        <v/>
      </c>
      <c r="D293" s="54" t="str">
        <f>IF($B293="","",'05_PRODUCTOS'!$D293)</f>
        <v/>
      </c>
      <c r="E293" s="54" t="str">
        <f>IF($B293="","",'05_PRODUCTOS'!$I293&amp;"")</f>
        <v/>
      </c>
      <c r="F293" s="53" t="str">
        <f>IF($B293="","",'05_PRODUCTOS'!$E293)</f>
        <v/>
      </c>
      <c r="G293" s="53" t="str">
        <f>IF($B293="","",IF('05_PRODUCTOS'!$K293="NO","NO","SI"))</f>
        <v/>
      </c>
      <c r="H293" s="55" t="str">
        <f>IF(tblStock[[#This Row],[SKU]]="","",SUMIFS(tblMovimientos[CantidadNeta],tblMovimientos[SKU],tblStock[[#This Row],[SKU]],tblMovimientos[FactorStock],1))</f>
        <v/>
      </c>
      <c r="I293" s="55" t="str">
        <f>IF(tblStock[[#This Row],[SKU]]="","",-SUMIFS(tblMovimientos[CantidadNeta],tblMovimientos[SKU],tblStock[[#This Row],[SKU]],tblMovimientos[FactorStock],-1))</f>
        <v/>
      </c>
      <c r="J293" s="56" t="str">
        <f>IF(tblStock[[#This Row],[SKU]]="","",SUMIFS(tblMovimientos[CantidadNeta],tblMovimientos[SKU],tblStock[[#This Row],[SKU]]))</f>
        <v/>
      </c>
      <c r="K293" s="55" t="str">
        <f>IF($B293="","",N('05_PRODUCTOS'!$F293))</f>
        <v/>
      </c>
      <c r="L293" s="55" t="str">
        <f>IF($B293="","",N('05_PRODUCTOS'!$G293))</f>
        <v/>
      </c>
      <c r="M293" s="57" t="str">
        <f>IF(OR(tblStock[[#This Row],[SKU]]="",N(tblStock[[#This Row],[StockMax]])=0),"",MAX(0,tblStock[[#This Row],[StockActual]])/tblStock[[#This Row],[StockMax]])</f>
        <v/>
      </c>
      <c r="N29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3" s="59" t="str">
        <f>IF($B293="","",N('05_PRODUCTOS'!$H293))</f>
        <v/>
      </c>
      <c r="P293" s="59" t="str">
        <f>IF(tblStock[[#This Row],[SKU]]="","",MAX(0,tblStock[[#This Row],[StockActual]])*tblStock[[#This Row],[CostoUnitario]])</f>
        <v/>
      </c>
      <c r="Q293" s="60" t="str">
        <f>IF(tblStock[[#This Row],[SKU]]="","",IFERROR(_xlfn.AGGREGATE(14,6,tblMovimientos[Fecha]/(tblMovimientos[SKU]=tblStock[[#This Row],[SKU]]),1),""))</f>
        <v/>
      </c>
      <c r="R293" s="61" t="str">
        <f ca="1">IF(OR(tblStock[[#This Row],[SKU]]="",tblStock[[#This Row],[UltimoMov]]=""),"",TODAY()-tblStock[[#This Row],[UltimoMov]])</f>
        <v/>
      </c>
    </row>
    <row r="294" spans="2:18" x14ac:dyDescent="0.25">
      <c r="B294" s="53" t="str">
        <f>IF('05_PRODUCTOS'!$B294="","",'05_PRODUCTOS'!$B294)</f>
        <v/>
      </c>
      <c r="C294" s="54" t="str">
        <f>IF($B294="","",'05_PRODUCTOS'!$C294)</f>
        <v/>
      </c>
      <c r="D294" s="54" t="str">
        <f>IF($B294="","",'05_PRODUCTOS'!$D294)</f>
        <v/>
      </c>
      <c r="E294" s="54" t="str">
        <f>IF($B294="","",'05_PRODUCTOS'!$I294&amp;"")</f>
        <v/>
      </c>
      <c r="F294" s="53" t="str">
        <f>IF($B294="","",'05_PRODUCTOS'!$E294)</f>
        <v/>
      </c>
      <c r="G294" s="53" t="str">
        <f>IF($B294="","",IF('05_PRODUCTOS'!$K294="NO","NO","SI"))</f>
        <v/>
      </c>
      <c r="H294" s="55" t="str">
        <f>IF(tblStock[[#This Row],[SKU]]="","",SUMIFS(tblMovimientos[CantidadNeta],tblMovimientos[SKU],tblStock[[#This Row],[SKU]],tblMovimientos[FactorStock],1))</f>
        <v/>
      </c>
      <c r="I294" s="55" t="str">
        <f>IF(tblStock[[#This Row],[SKU]]="","",-SUMIFS(tblMovimientos[CantidadNeta],tblMovimientos[SKU],tblStock[[#This Row],[SKU]],tblMovimientos[FactorStock],-1))</f>
        <v/>
      </c>
      <c r="J294" s="56" t="str">
        <f>IF(tblStock[[#This Row],[SKU]]="","",SUMIFS(tblMovimientos[CantidadNeta],tblMovimientos[SKU],tblStock[[#This Row],[SKU]]))</f>
        <v/>
      </c>
      <c r="K294" s="55" t="str">
        <f>IF($B294="","",N('05_PRODUCTOS'!$F294))</f>
        <v/>
      </c>
      <c r="L294" s="55" t="str">
        <f>IF($B294="","",N('05_PRODUCTOS'!$G294))</f>
        <v/>
      </c>
      <c r="M294" s="57" t="str">
        <f>IF(OR(tblStock[[#This Row],[SKU]]="",N(tblStock[[#This Row],[StockMax]])=0),"",MAX(0,tblStock[[#This Row],[StockActual]])/tblStock[[#This Row],[StockMax]])</f>
        <v/>
      </c>
      <c r="N29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4" s="59" t="str">
        <f>IF($B294="","",N('05_PRODUCTOS'!$H294))</f>
        <v/>
      </c>
      <c r="P294" s="59" t="str">
        <f>IF(tblStock[[#This Row],[SKU]]="","",MAX(0,tblStock[[#This Row],[StockActual]])*tblStock[[#This Row],[CostoUnitario]])</f>
        <v/>
      </c>
      <c r="Q294" s="60" t="str">
        <f>IF(tblStock[[#This Row],[SKU]]="","",IFERROR(_xlfn.AGGREGATE(14,6,tblMovimientos[Fecha]/(tblMovimientos[SKU]=tblStock[[#This Row],[SKU]]),1),""))</f>
        <v/>
      </c>
      <c r="R294" s="61" t="str">
        <f ca="1">IF(OR(tblStock[[#This Row],[SKU]]="",tblStock[[#This Row],[UltimoMov]]=""),"",TODAY()-tblStock[[#This Row],[UltimoMov]])</f>
        <v/>
      </c>
    </row>
    <row r="295" spans="2:18" x14ac:dyDescent="0.25">
      <c r="B295" s="53" t="str">
        <f>IF('05_PRODUCTOS'!$B295="","",'05_PRODUCTOS'!$B295)</f>
        <v/>
      </c>
      <c r="C295" s="54" t="str">
        <f>IF($B295="","",'05_PRODUCTOS'!$C295)</f>
        <v/>
      </c>
      <c r="D295" s="54" t="str">
        <f>IF($B295="","",'05_PRODUCTOS'!$D295)</f>
        <v/>
      </c>
      <c r="E295" s="54" t="str">
        <f>IF($B295="","",'05_PRODUCTOS'!$I295&amp;"")</f>
        <v/>
      </c>
      <c r="F295" s="53" t="str">
        <f>IF($B295="","",'05_PRODUCTOS'!$E295)</f>
        <v/>
      </c>
      <c r="G295" s="53" t="str">
        <f>IF($B295="","",IF('05_PRODUCTOS'!$K295="NO","NO","SI"))</f>
        <v/>
      </c>
      <c r="H295" s="55" t="str">
        <f>IF(tblStock[[#This Row],[SKU]]="","",SUMIFS(tblMovimientos[CantidadNeta],tblMovimientos[SKU],tblStock[[#This Row],[SKU]],tblMovimientos[FactorStock],1))</f>
        <v/>
      </c>
      <c r="I295" s="55" t="str">
        <f>IF(tblStock[[#This Row],[SKU]]="","",-SUMIFS(tblMovimientos[CantidadNeta],tblMovimientos[SKU],tblStock[[#This Row],[SKU]],tblMovimientos[FactorStock],-1))</f>
        <v/>
      </c>
      <c r="J295" s="56" t="str">
        <f>IF(tblStock[[#This Row],[SKU]]="","",SUMIFS(tblMovimientos[CantidadNeta],tblMovimientos[SKU],tblStock[[#This Row],[SKU]]))</f>
        <v/>
      </c>
      <c r="K295" s="55" t="str">
        <f>IF($B295="","",N('05_PRODUCTOS'!$F295))</f>
        <v/>
      </c>
      <c r="L295" s="55" t="str">
        <f>IF($B295="","",N('05_PRODUCTOS'!$G295))</f>
        <v/>
      </c>
      <c r="M295" s="57" t="str">
        <f>IF(OR(tblStock[[#This Row],[SKU]]="",N(tblStock[[#This Row],[StockMax]])=0),"",MAX(0,tblStock[[#This Row],[StockActual]])/tblStock[[#This Row],[StockMax]])</f>
        <v/>
      </c>
      <c r="N29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5" s="59" t="str">
        <f>IF($B295="","",N('05_PRODUCTOS'!$H295))</f>
        <v/>
      </c>
      <c r="P295" s="59" t="str">
        <f>IF(tblStock[[#This Row],[SKU]]="","",MAX(0,tblStock[[#This Row],[StockActual]])*tblStock[[#This Row],[CostoUnitario]])</f>
        <v/>
      </c>
      <c r="Q295" s="60" t="str">
        <f>IF(tblStock[[#This Row],[SKU]]="","",IFERROR(_xlfn.AGGREGATE(14,6,tblMovimientos[Fecha]/(tblMovimientos[SKU]=tblStock[[#This Row],[SKU]]),1),""))</f>
        <v/>
      </c>
      <c r="R295" s="61" t="str">
        <f ca="1">IF(OR(tblStock[[#This Row],[SKU]]="",tblStock[[#This Row],[UltimoMov]]=""),"",TODAY()-tblStock[[#This Row],[UltimoMov]])</f>
        <v/>
      </c>
    </row>
    <row r="296" spans="2:18" x14ac:dyDescent="0.25">
      <c r="B296" s="53" t="str">
        <f>IF('05_PRODUCTOS'!$B296="","",'05_PRODUCTOS'!$B296)</f>
        <v/>
      </c>
      <c r="C296" s="54" t="str">
        <f>IF($B296="","",'05_PRODUCTOS'!$C296)</f>
        <v/>
      </c>
      <c r="D296" s="54" t="str">
        <f>IF($B296="","",'05_PRODUCTOS'!$D296)</f>
        <v/>
      </c>
      <c r="E296" s="54" t="str">
        <f>IF($B296="","",'05_PRODUCTOS'!$I296&amp;"")</f>
        <v/>
      </c>
      <c r="F296" s="53" t="str">
        <f>IF($B296="","",'05_PRODUCTOS'!$E296)</f>
        <v/>
      </c>
      <c r="G296" s="53" t="str">
        <f>IF($B296="","",IF('05_PRODUCTOS'!$K296="NO","NO","SI"))</f>
        <v/>
      </c>
      <c r="H296" s="55" t="str">
        <f>IF(tblStock[[#This Row],[SKU]]="","",SUMIFS(tblMovimientos[CantidadNeta],tblMovimientos[SKU],tblStock[[#This Row],[SKU]],tblMovimientos[FactorStock],1))</f>
        <v/>
      </c>
      <c r="I296" s="55" t="str">
        <f>IF(tblStock[[#This Row],[SKU]]="","",-SUMIFS(tblMovimientos[CantidadNeta],tblMovimientos[SKU],tblStock[[#This Row],[SKU]],tblMovimientos[FactorStock],-1))</f>
        <v/>
      </c>
      <c r="J296" s="56" t="str">
        <f>IF(tblStock[[#This Row],[SKU]]="","",SUMIFS(tblMovimientos[CantidadNeta],tblMovimientos[SKU],tblStock[[#This Row],[SKU]]))</f>
        <v/>
      </c>
      <c r="K296" s="55" t="str">
        <f>IF($B296="","",N('05_PRODUCTOS'!$F296))</f>
        <v/>
      </c>
      <c r="L296" s="55" t="str">
        <f>IF($B296="","",N('05_PRODUCTOS'!$G296))</f>
        <v/>
      </c>
      <c r="M296" s="57" t="str">
        <f>IF(OR(tblStock[[#This Row],[SKU]]="",N(tblStock[[#This Row],[StockMax]])=0),"",MAX(0,tblStock[[#This Row],[StockActual]])/tblStock[[#This Row],[StockMax]])</f>
        <v/>
      </c>
      <c r="N29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6" s="59" t="str">
        <f>IF($B296="","",N('05_PRODUCTOS'!$H296))</f>
        <v/>
      </c>
      <c r="P296" s="59" t="str">
        <f>IF(tblStock[[#This Row],[SKU]]="","",MAX(0,tblStock[[#This Row],[StockActual]])*tblStock[[#This Row],[CostoUnitario]])</f>
        <v/>
      </c>
      <c r="Q296" s="60" t="str">
        <f>IF(tblStock[[#This Row],[SKU]]="","",IFERROR(_xlfn.AGGREGATE(14,6,tblMovimientos[Fecha]/(tblMovimientos[SKU]=tblStock[[#This Row],[SKU]]),1),""))</f>
        <v/>
      </c>
      <c r="R296" s="61" t="str">
        <f ca="1">IF(OR(tblStock[[#This Row],[SKU]]="",tblStock[[#This Row],[UltimoMov]]=""),"",TODAY()-tblStock[[#This Row],[UltimoMov]])</f>
        <v/>
      </c>
    </row>
    <row r="297" spans="2:18" x14ac:dyDescent="0.25">
      <c r="B297" s="53" t="str">
        <f>IF('05_PRODUCTOS'!$B297="","",'05_PRODUCTOS'!$B297)</f>
        <v/>
      </c>
      <c r="C297" s="54" t="str">
        <f>IF($B297="","",'05_PRODUCTOS'!$C297)</f>
        <v/>
      </c>
      <c r="D297" s="54" t="str">
        <f>IF($B297="","",'05_PRODUCTOS'!$D297)</f>
        <v/>
      </c>
      <c r="E297" s="54" t="str">
        <f>IF($B297="","",'05_PRODUCTOS'!$I297&amp;"")</f>
        <v/>
      </c>
      <c r="F297" s="53" t="str">
        <f>IF($B297="","",'05_PRODUCTOS'!$E297)</f>
        <v/>
      </c>
      <c r="G297" s="53" t="str">
        <f>IF($B297="","",IF('05_PRODUCTOS'!$K297="NO","NO","SI"))</f>
        <v/>
      </c>
      <c r="H297" s="55" t="str">
        <f>IF(tblStock[[#This Row],[SKU]]="","",SUMIFS(tblMovimientos[CantidadNeta],tblMovimientos[SKU],tblStock[[#This Row],[SKU]],tblMovimientos[FactorStock],1))</f>
        <v/>
      </c>
      <c r="I297" s="55" t="str">
        <f>IF(tblStock[[#This Row],[SKU]]="","",-SUMIFS(tblMovimientos[CantidadNeta],tblMovimientos[SKU],tblStock[[#This Row],[SKU]],tblMovimientos[FactorStock],-1))</f>
        <v/>
      </c>
      <c r="J297" s="56" t="str">
        <f>IF(tblStock[[#This Row],[SKU]]="","",SUMIFS(tblMovimientos[CantidadNeta],tblMovimientos[SKU],tblStock[[#This Row],[SKU]]))</f>
        <v/>
      </c>
      <c r="K297" s="55" t="str">
        <f>IF($B297="","",N('05_PRODUCTOS'!$F297))</f>
        <v/>
      </c>
      <c r="L297" s="55" t="str">
        <f>IF($B297="","",N('05_PRODUCTOS'!$G297))</f>
        <v/>
      </c>
      <c r="M297" s="57" t="str">
        <f>IF(OR(tblStock[[#This Row],[SKU]]="",N(tblStock[[#This Row],[StockMax]])=0),"",MAX(0,tblStock[[#This Row],[StockActual]])/tblStock[[#This Row],[StockMax]])</f>
        <v/>
      </c>
      <c r="N29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7" s="59" t="str">
        <f>IF($B297="","",N('05_PRODUCTOS'!$H297))</f>
        <v/>
      </c>
      <c r="P297" s="59" t="str">
        <f>IF(tblStock[[#This Row],[SKU]]="","",MAX(0,tblStock[[#This Row],[StockActual]])*tblStock[[#This Row],[CostoUnitario]])</f>
        <v/>
      </c>
      <c r="Q297" s="60" t="str">
        <f>IF(tblStock[[#This Row],[SKU]]="","",IFERROR(_xlfn.AGGREGATE(14,6,tblMovimientos[Fecha]/(tblMovimientos[SKU]=tblStock[[#This Row],[SKU]]),1),""))</f>
        <v/>
      </c>
      <c r="R297" s="61" t="str">
        <f ca="1">IF(OR(tblStock[[#This Row],[SKU]]="",tblStock[[#This Row],[UltimoMov]]=""),"",TODAY()-tblStock[[#This Row],[UltimoMov]])</f>
        <v/>
      </c>
    </row>
    <row r="298" spans="2:18" x14ac:dyDescent="0.25">
      <c r="B298" s="53" t="str">
        <f>IF('05_PRODUCTOS'!$B298="","",'05_PRODUCTOS'!$B298)</f>
        <v/>
      </c>
      <c r="C298" s="54" t="str">
        <f>IF($B298="","",'05_PRODUCTOS'!$C298)</f>
        <v/>
      </c>
      <c r="D298" s="54" t="str">
        <f>IF($B298="","",'05_PRODUCTOS'!$D298)</f>
        <v/>
      </c>
      <c r="E298" s="54" t="str">
        <f>IF($B298="","",'05_PRODUCTOS'!$I298&amp;"")</f>
        <v/>
      </c>
      <c r="F298" s="53" t="str">
        <f>IF($B298="","",'05_PRODUCTOS'!$E298)</f>
        <v/>
      </c>
      <c r="G298" s="53" t="str">
        <f>IF($B298="","",IF('05_PRODUCTOS'!$K298="NO","NO","SI"))</f>
        <v/>
      </c>
      <c r="H298" s="55" t="str">
        <f>IF(tblStock[[#This Row],[SKU]]="","",SUMIFS(tblMovimientos[CantidadNeta],tblMovimientos[SKU],tblStock[[#This Row],[SKU]],tblMovimientos[FactorStock],1))</f>
        <v/>
      </c>
      <c r="I298" s="55" t="str">
        <f>IF(tblStock[[#This Row],[SKU]]="","",-SUMIFS(tblMovimientos[CantidadNeta],tblMovimientos[SKU],tblStock[[#This Row],[SKU]],tblMovimientos[FactorStock],-1))</f>
        <v/>
      </c>
      <c r="J298" s="56" t="str">
        <f>IF(tblStock[[#This Row],[SKU]]="","",SUMIFS(tblMovimientos[CantidadNeta],tblMovimientos[SKU],tblStock[[#This Row],[SKU]]))</f>
        <v/>
      </c>
      <c r="K298" s="55" t="str">
        <f>IF($B298="","",N('05_PRODUCTOS'!$F298))</f>
        <v/>
      </c>
      <c r="L298" s="55" t="str">
        <f>IF($B298="","",N('05_PRODUCTOS'!$G298))</f>
        <v/>
      </c>
      <c r="M298" s="57" t="str">
        <f>IF(OR(tblStock[[#This Row],[SKU]]="",N(tblStock[[#This Row],[StockMax]])=0),"",MAX(0,tblStock[[#This Row],[StockActual]])/tblStock[[#This Row],[StockMax]])</f>
        <v/>
      </c>
      <c r="N29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8" s="59" t="str">
        <f>IF($B298="","",N('05_PRODUCTOS'!$H298))</f>
        <v/>
      </c>
      <c r="P298" s="59" t="str">
        <f>IF(tblStock[[#This Row],[SKU]]="","",MAX(0,tblStock[[#This Row],[StockActual]])*tblStock[[#This Row],[CostoUnitario]])</f>
        <v/>
      </c>
      <c r="Q298" s="60" t="str">
        <f>IF(tblStock[[#This Row],[SKU]]="","",IFERROR(_xlfn.AGGREGATE(14,6,tblMovimientos[Fecha]/(tblMovimientos[SKU]=tblStock[[#This Row],[SKU]]),1),""))</f>
        <v/>
      </c>
      <c r="R298" s="61" t="str">
        <f ca="1">IF(OR(tblStock[[#This Row],[SKU]]="",tblStock[[#This Row],[UltimoMov]]=""),"",TODAY()-tblStock[[#This Row],[UltimoMov]])</f>
        <v/>
      </c>
    </row>
    <row r="299" spans="2:18" x14ac:dyDescent="0.25">
      <c r="B299" s="53" t="str">
        <f>IF('05_PRODUCTOS'!$B299="","",'05_PRODUCTOS'!$B299)</f>
        <v/>
      </c>
      <c r="C299" s="54" t="str">
        <f>IF($B299="","",'05_PRODUCTOS'!$C299)</f>
        <v/>
      </c>
      <c r="D299" s="54" t="str">
        <f>IF($B299="","",'05_PRODUCTOS'!$D299)</f>
        <v/>
      </c>
      <c r="E299" s="54" t="str">
        <f>IF($B299="","",'05_PRODUCTOS'!$I299&amp;"")</f>
        <v/>
      </c>
      <c r="F299" s="53" t="str">
        <f>IF($B299="","",'05_PRODUCTOS'!$E299)</f>
        <v/>
      </c>
      <c r="G299" s="53" t="str">
        <f>IF($B299="","",IF('05_PRODUCTOS'!$K299="NO","NO","SI"))</f>
        <v/>
      </c>
      <c r="H299" s="55" t="str">
        <f>IF(tblStock[[#This Row],[SKU]]="","",SUMIFS(tblMovimientos[CantidadNeta],tblMovimientos[SKU],tblStock[[#This Row],[SKU]],tblMovimientos[FactorStock],1))</f>
        <v/>
      </c>
      <c r="I299" s="55" t="str">
        <f>IF(tblStock[[#This Row],[SKU]]="","",-SUMIFS(tblMovimientos[CantidadNeta],tblMovimientos[SKU],tblStock[[#This Row],[SKU]],tblMovimientos[FactorStock],-1))</f>
        <v/>
      </c>
      <c r="J299" s="56" t="str">
        <f>IF(tblStock[[#This Row],[SKU]]="","",SUMIFS(tblMovimientos[CantidadNeta],tblMovimientos[SKU],tblStock[[#This Row],[SKU]]))</f>
        <v/>
      </c>
      <c r="K299" s="55" t="str">
        <f>IF($B299="","",N('05_PRODUCTOS'!$F299))</f>
        <v/>
      </c>
      <c r="L299" s="55" t="str">
        <f>IF($B299="","",N('05_PRODUCTOS'!$G299))</f>
        <v/>
      </c>
      <c r="M299" s="57" t="str">
        <f>IF(OR(tblStock[[#This Row],[SKU]]="",N(tblStock[[#This Row],[StockMax]])=0),"",MAX(0,tblStock[[#This Row],[StockActual]])/tblStock[[#This Row],[StockMax]])</f>
        <v/>
      </c>
      <c r="N29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299" s="59" t="str">
        <f>IF($B299="","",N('05_PRODUCTOS'!$H299))</f>
        <v/>
      </c>
      <c r="P299" s="59" t="str">
        <f>IF(tblStock[[#This Row],[SKU]]="","",MAX(0,tblStock[[#This Row],[StockActual]])*tblStock[[#This Row],[CostoUnitario]])</f>
        <v/>
      </c>
      <c r="Q299" s="60" t="str">
        <f>IF(tblStock[[#This Row],[SKU]]="","",IFERROR(_xlfn.AGGREGATE(14,6,tblMovimientos[Fecha]/(tblMovimientos[SKU]=tblStock[[#This Row],[SKU]]),1),""))</f>
        <v/>
      </c>
      <c r="R299" s="61" t="str">
        <f ca="1">IF(OR(tblStock[[#This Row],[SKU]]="",tblStock[[#This Row],[UltimoMov]]=""),"",TODAY()-tblStock[[#This Row],[UltimoMov]])</f>
        <v/>
      </c>
    </row>
    <row r="300" spans="2:18" x14ac:dyDescent="0.25">
      <c r="B300" s="53" t="str">
        <f>IF('05_PRODUCTOS'!$B300="","",'05_PRODUCTOS'!$B300)</f>
        <v/>
      </c>
      <c r="C300" s="54" t="str">
        <f>IF($B300="","",'05_PRODUCTOS'!$C300)</f>
        <v/>
      </c>
      <c r="D300" s="54" t="str">
        <f>IF($B300="","",'05_PRODUCTOS'!$D300)</f>
        <v/>
      </c>
      <c r="E300" s="54" t="str">
        <f>IF($B300="","",'05_PRODUCTOS'!$I300&amp;"")</f>
        <v/>
      </c>
      <c r="F300" s="53" t="str">
        <f>IF($B300="","",'05_PRODUCTOS'!$E300)</f>
        <v/>
      </c>
      <c r="G300" s="53" t="str">
        <f>IF($B300="","",IF('05_PRODUCTOS'!$K300="NO","NO","SI"))</f>
        <v/>
      </c>
      <c r="H300" s="55" t="str">
        <f>IF(tblStock[[#This Row],[SKU]]="","",SUMIFS(tblMovimientos[CantidadNeta],tblMovimientos[SKU],tblStock[[#This Row],[SKU]],tblMovimientos[FactorStock],1))</f>
        <v/>
      </c>
      <c r="I300" s="55" t="str">
        <f>IF(tblStock[[#This Row],[SKU]]="","",-SUMIFS(tblMovimientos[CantidadNeta],tblMovimientos[SKU],tblStock[[#This Row],[SKU]],tblMovimientos[FactorStock],-1))</f>
        <v/>
      </c>
      <c r="J300" s="56" t="str">
        <f>IF(tblStock[[#This Row],[SKU]]="","",SUMIFS(tblMovimientos[CantidadNeta],tblMovimientos[SKU],tblStock[[#This Row],[SKU]]))</f>
        <v/>
      </c>
      <c r="K300" s="55" t="str">
        <f>IF($B300="","",N('05_PRODUCTOS'!$F300))</f>
        <v/>
      </c>
      <c r="L300" s="55" t="str">
        <f>IF($B300="","",N('05_PRODUCTOS'!$G300))</f>
        <v/>
      </c>
      <c r="M300" s="57" t="str">
        <f>IF(OR(tblStock[[#This Row],[SKU]]="",N(tblStock[[#This Row],[StockMax]])=0),"",MAX(0,tblStock[[#This Row],[StockActual]])/tblStock[[#This Row],[StockMax]])</f>
        <v/>
      </c>
      <c r="N30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0" s="59" t="str">
        <f>IF($B300="","",N('05_PRODUCTOS'!$H300))</f>
        <v/>
      </c>
      <c r="P300" s="59" t="str">
        <f>IF(tblStock[[#This Row],[SKU]]="","",MAX(0,tblStock[[#This Row],[StockActual]])*tblStock[[#This Row],[CostoUnitario]])</f>
        <v/>
      </c>
      <c r="Q300" s="60" t="str">
        <f>IF(tblStock[[#This Row],[SKU]]="","",IFERROR(_xlfn.AGGREGATE(14,6,tblMovimientos[Fecha]/(tblMovimientos[SKU]=tblStock[[#This Row],[SKU]]),1),""))</f>
        <v/>
      </c>
      <c r="R300" s="61" t="str">
        <f ca="1">IF(OR(tblStock[[#This Row],[SKU]]="",tblStock[[#This Row],[UltimoMov]]=""),"",TODAY()-tblStock[[#This Row],[UltimoMov]])</f>
        <v/>
      </c>
    </row>
    <row r="301" spans="2:18" x14ac:dyDescent="0.25">
      <c r="B301" s="53" t="str">
        <f>IF('05_PRODUCTOS'!$B301="","",'05_PRODUCTOS'!$B301)</f>
        <v/>
      </c>
      <c r="C301" s="54" t="str">
        <f>IF($B301="","",'05_PRODUCTOS'!$C301)</f>
        <v/>
      </c>
      <c r="D301" s="54" t="str">
        <f>IF($B301="","",'05_PRODUCTOS'!$D301)</f>
        <v/>
      </c>
      <c r="E301" s="54" t="str">
        <f>IF($B301="","",'05_PRODUCTOS'!$I301&amp;"")</f>
        <v/>
      </c>
      <c r="F301" s="53" t="str">
        <f>IF($B301="","",'05_PRODUCTOS'!$E301)</f>
        <v/>
      </c>
      <c r="G301" s="53" t="str">
        <f>IF($B301="","",IF('05_PRODUCTOS'!$K301="NO","NO","SI"))</f>
        <v/>
      </c>
      <c r="H301" s="55" t="str">
        <f>IF(tblStock[[#This Row],[SKU]]="","",SUMIFS(tblMovimientos[CantidadNeta],tblMovimientos[SKU],tblStock[[#This Row],[SKU]],tblMovimientos[FactorStock],1))</f>
        <v/>
      </c>
      <c r="I301" s="55" t="str">
        <f>IF(tblStock[[#This Row],[SKU]]="","",-SUMIFS(tblMovimientos[CantidadNeta],tblMovimientos[SKU],tblStock[[#This Row],[SKU]],tblMovimientos[FactorStock],-1))</f>
        <v/>
      </c>
      <c r="J301" s="56" t="str">
        <f>IF(tblStock[[#This Row],[SKU]]="","",SUMIFS(tblMovimientos[CantidadNeta],tblMovimientos[SKU],tblStock[[#This Row],[SKU]]))</f>
        <v/>
      </c>
      <c r="K301" s="55" t="str">
        <f>IF($B301="","",N('05_PRODUCTOS'!$F301))</f>
        <v/>
      </c>
      <c r="L301" s="55" t="str">
        <f>IF($B301="","",N('05_PRODUCTOS'!$G301))</f>
        <v/>
      </c>
      <c r="M301" s="57" t="str">
        <f>IF(OR(tblStock[[#This Row],[SKU]]="",N(tblStock[[#This Row],[StockMax]])=0),"",MAX(0,tblStock[[#This Row],[StockActual]])/tblStock[[#This Row],[StockMax]])</f>
        <v/>
      </c>
      <c r="N30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1" s="59" t="str">
        <f>IF($B301="","",N('05_PRODUCTOS'!$H301))</f>
        <v/>
      </c>
      <c r="P301" s="59" t="str">
        <f>IF(tblStock[[#This Row],[SKU]]="","",MAX(0,tblStock[[#This Row],[StockActual]])*tblStock[[#This Row],[CostoUnitario]])</f>
        <v/>
      </c>
      <c r="Q301" s="60" t="str">
        <f>IF(tblStock[[#This Row],[SKU]]="","",IFERROR(_xlfn.AGGREGATE(14,6,tblMovimientos[Fecha]/(tblMovimientos[SKU]=tblStock[[#This Row],[SKU]]),1),""))</f>
        <v/>
      </c>
      <c r="R301" s="61" t="str">
        <f ca="1">IF(OR(tblStock[[#This Row],[SKU]]="",tblStock[[#This Row],[UltimoMov]]=""),"",TODAY()-tblStock[[#This Row],[UltimoMov]])</f>
        <v/>
      </c>
    </row>
    <row r="302" spans="2:18" x14ac:dyDescent="0.25">
      <c r="B302" s="53" t="str">
        <f>IF('05_PRODUCTOS'!$B302="","",'05_PRODUCTOS'!$B302)</f>
        <v/>
      </c>
      <c r="C302" s="54" t="str">
        <f>IF($B302="","",'05_PRODUCTOS'!$C302)</f>
        <v/>
      </c>
      <c r="D302" s="54" t="str">
        <f>IF($B302="","",'05_PRODUCTOS'!$D302)</f>
        <v/>
      </c>
      <c r="E302" s="54" t="str">
        <f>IF($B302="","",'05_PRODUCTOS'!$I302&amp;"")</f>
        <v/>
      </c>
      <c r="F302" s="53" t="str">
        <f>IF($B302="","",'05_PRODUCTOS'!$E302)</f>
        <v/>
      </c>
      <c r="G302" s="53" t="str">
        <f>IF($B302="","",IF('05_PRODUCTOS'!$K302="NO","NO","SI"))</f>
        <v/>
      </c>
      <c r="H302" s="55" t="str">
        <f>IF(tblStock[[#This Row],[SKU]]="","",SUMIFS(tblMovimientos[CantidadNeta],tblMovimientos[SKU],tblStock[[#This Row],[SKU]],tblMovimientos[FactorStock],1))</f>
        <v/>
      </c>
      <c r="I302" s="55" t="str">
        <f>IF(tblStock[[#This Row],[SKU]]="","",-SUMIFS(tblMovimientos[CantidadNeta],tblMovimientos[SKU],tblStock[[#This Row],[SKU]],tblMovimientos[FactorStock],-1))</f>
        <v/>
      </c>
      <c r="J302" s="56" t="str">
        <f>IF(tblStock[[#This Row],[SKU]]="","",SUMIFS(tblMovimientos[CantidadNeta],tblMovimientos[SKU],tblStock[[#This Row],[SKU]]))</f>
        <v/>
      </c>
      <c r="K302" s="55" t="str">
        <f>IF($B302="","",N('05_PRODUCTOS'!$F302))</f>
        <v/>
      </c>
      <c r="L302" s="55" t="str">
        <f>IF($B302="","",N('05_PRODUCTOS'!$G302))</f>
        <v/>
      </c>
      <c r="M302" s="57" t="str">
        <f>IF(OR(tblStock[[#This Row],[SKU]]="",N(tblStock[[#This Row],[StockMax]])=0),"",MAX(0,tblStock[[#This Row],[StockActual]])/tblStock[[#This Row],[StockMax]])</f>
        <v/>
      </c>
      <c r="N30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2" s="59" t="str">
        <f>IF($B302="","",N('05_PRODUCTOS'!$H302))</f>
        <v/>
      </c>
      <c r="P302" s="59" t="str">
        <f>IF(tblStock[[#This Row],[SKU]]="","",MAX(0,tblStock[[#This Row],[StockActual]])*tblStock[[#This Row],[CostoUnitario]])</f>
        <v/>
      </c>
      <c r="Q302" s="60" t="str">
        <f>IF(tblStock[[#This Row],[SKU]]="","",IFERROR(_xlfn.AGGREGATE(14,6,tblMovimientos[Fecha]/(tblMovimientos[SKU]=tblStock[[#This Row],[SKU]]),1),""))</f>
        <v/>
      </c>
      <c r="R302" s="61" t="str">
        <f ca="1">IF(OR(tblStock[[#This Row],[SKU]]="",tblStock[[#This Row],[UltimoMov]]=""),"",TODAY()-tblStock[[#This Row],[UltimoMov]])</f>
        <v/>
      </c>
    </row>
    <row r="303" spans="2:18" x14ac:dyDescent="0.25">
      <c r="B303" s="53" t="str">
        <f>IF('05_PRODUCTOS'!$B303="","",'05_PRODUCTOS'!$B303)</f>
        <v/>
      </c>
      <c r="C303" s="54" t="str">
        <f>IF($B303="","",'05_PRODUCTOS'!$C303)</f>
        <v/>
      </c>
      <c r="D303" s="54" t="str">
        <f>IF($B303="","",'05_PRODUCTOS'!$D303)</f>
        <v/>
      </c>
      <c r="E303" s="54" t="str">
        <f>IF($B303="","",'05_PRODUCTOS'!$I303&amp;"")</f>
        <v/>
      </c>
      <c r="F303" s="53" t="str">
        <f>IF($B303="","",'05_PRODUCTOS'!$E303)</f>
        <v/>
      </c>
      <c r="G303" s="53" t="str">
        <f>IF($B303="","",IF('05_PRODUCTOS'!$K303="NO","NO","SI"))</f>
        <v/>
      </c>
      <c r="H303" s="55" t="str">
        <f>IF(tblStock[[#This Row],[SKU]]="","",SUMIFS(tblMovimientos[CantidadNeta],tblMovimientos[SKU],tblStock[[#This Row],[SKU]],tblMovimientos[FactorStock],1))</f>
        <v/>
      </c>
      <c r="I303" s="55" t="str">
        <f>IF(tblStock[[#This Row],[SKU]]="","",-SUMIFS(tblMovimientos[CantidadNeta],tblMovimientos[SKU],tblStock[[#This Row],[SKU]],tblMovimientos[FactorStock],-1))</f>
        <v/>
      </c>
      <c r="J303" s="56" t="str">
        <f>IF(tblStock[[#This Row],[SKU]]="","",SUMIFS(tblMovimientos[CantidadNeta],tblMovimientos[SKU],tblStock[[#This Row],[SKU]]))</f>
        <v/>
      </c>
      <c r="K303" s="55" t="str">
        <f>IF($B303="","",N('05_PRODUCTOS'!$F303))</f>
        <v/>
      </c>
      <c r="L303" s="55" t="str">
        <f>IF($B303="","",N('05_PRODUCTOS'!$G303))</f>
        <v/>
      </c>
      <c r="M303" s="57" t="str">
        <f>IF(OR(tblStock[[#This Row],[SKU]]="",N(tblStock[[#This Row],[StockMax]])=0),"",MAX(0,tblStock[[#This Row],[StockActual]])/tblStock[[#This Row],[StockMax]])</f>
        <v/>
      </c>
      <c r="N30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3" s="59" t="str">
        <f>IF($B303="","",N('05_PRODUCTOS'!$H303))</f>
        <v/>
      </c>
      <c r="P303" s="59" t="str">
        <f>IF(tblStock[[#This Row],[SKU]]="","",MAX(0,tblStock[[#This Row],[StockActual]])*tblStock[[#This Row],[CostoUnitario]])</f>
        <v/>
      </c>
      <c r="Q303" s="60" t="str">
        <f>IF(tblStock[[#This Row],[SKU]]="","",IFERROR(_xlfn.AGGREGATE(14,6,tblMovimientos[Fecha]/(tblMovimientos[SKU]=tblStock[[#This Row],[SKU]]),1),""))</f>
        <v/>
      </c>
      <c r="R303" s="61" t="str">
        <f ca="1">IF(OR(tblStock[[#This Row],[SKU]]="",tblStock[[#This Row],[UltimoMov]]=""),"",TODAY()-tblStock[[#This Row],[UltimoMov]])</f>
        <v/>
      </c>
    </row>
    <row r="304" spans="2:18" x14ac:dyDescent="0.25">
      <c r="B304" s="53" t="str">
        <f>IF('05_PRODUCTOS'!$B304="","",'05_PRODUCTOS'!$B304)</f>
        <v/>
      </c>
      <c r="C304" s="54" t="str">
        <f>IF($B304="","",'05_PRODUCTOS'!$C304)</f>
        <v/>
      </c>
      <c r="D304" s="54" t="str">
        <f>IF($B304="","",'05_PRODUCTOS'!$D304)</f>
        <v/>
      </c>
      <c r="E304" s="54" t="str">
        <f>IF($B304="","",'05_PRODUCTOS'!$I304&amp;"")</f>
        <v/>
      </c>
      <c r="F304" s="53" t="str">
        <f>IF($B304="","",'05_PRODUCTOS'!$E304)</f>
        <v/>
      </c>
      <c r="G304" s="53" t="str">
        <f>IF($B304="","",IF('05_PRODUCTOS'!$K304="NO","NO","SI"))</f>
        <v/>
      </c>
      <c r="H304" s="55" t="str">
        <f>IF(tblStock[[#This Row],[SKU]]="","",SUMIFS(tblMovimientos[CantidadNeta],tblMovimientos[SKU],tblStock[[#This Row],[SKU]],tblMovimientos[FactorStock],1))</f>
        <v/>
      </c>
      <c r="I304" s="55" t="str">
        <f>IF(tblStock[[#This Row],[SKU]]="","",-SUMIFS(tblMovimientos[CantidadNeta],tblMovimientos[SKU],tblStock[[#This Row],[SKU]],tblMovimientos[FactorStock],-1))</f>
        <v/>
      </c>
      <c r="J304" s="56" t="str">
        <f>IF(tblStock[[#This Row],[SKU]]="","",SUMIFS(tblMovimientos[CantidadNeta],tblMovimientos[SKU],tblStock[[#This Row],[SKU]]))</f>
        <v/>
      </c>
      <c r="K304" s="55" t="str">
        <f>IF($B304="","",N('05_PRODUCTOS'!$F304))</f>
        <v/>
      </c>
      <c r="L304" s="55" t="str">
        <f>IF($B304="","",N('05_PRODUCTOS'!$G304))</f>
        <v/>
      </c>
      <c r="M304" s="57" t="str">
        <f>IF(OR(tblStock[[#This Row],[SKU]]="",N(tblStock[[#This Row],[StockMax]])=0),"",MAX(0,tblStock[[#This Row],[StockActual]])/tblStock[[#This Row],[StockMax]])</f>
        <v/>
      </c>
      <c r="N30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4" s="59" t="str">
        <f>IF($B304="","",N('05_PRODUCTOS'!$H304))</f>
        <v/>
      </c>
      <c r="P304" s="59" t="str">
        <f>IF(tblStock[[#This Row],[SKU]]="","",MAX(0,tblStock[[#This Row],[StockActual]])*tblStock[[#This Row],[CostoUnitario]])</f>
        <v/>
      </c>
      <c r="Q304" s="60" t="str">
        <f>IF(tblStock[[#This Row],[SKU]]="","",IFERROR(_xlfn.AGGREGATE(14,6,tblMovimientos[Fecha]/(tblMovimientos[SKU]=tblStock[[#This Row],[SKU]]),1),""))</f>
        <v/>
      </c>
      <c r="R304" s="61" t="str">
        <f ca="1">IF(OR(tblStock[[#This Row],[SKU]]="",tblStock[[#This Row],[UltimoMov]]=""),"",TODAY()-tblStock[[#This Row],[UltimoMov]])</f>
        <v/>
      </c>
    </row>
    <row r="305" spans="2:18" x14ac:dyDescent="0.25">
      <c r="B305" s="53" t="str">
        <f>IF('05_PRODUCTOS'!$B305="","",'05_PRODUCTOS'!$B305)</f>
        <v/>
      </c>
      <c r="C305" s="54" t="str">
        <f>IF($B305="","",'05_PRODUCTOS'!$C305)</f>
        <v/>
      </c>
      <c r="D305" s="54" t="str">
        <f>IF($B305="","",'05_PRODUCTOS'!$D305)</f>
        <v/>
      </c>
      <c r="E305" s="54" t="str">
        <f>IF($B305="","",'05_PRODUCTOS'!$I305&amp;"")</f>
        <v/>
      </c>
      <c r="F305" s="53" t="str">
        <f>IF($B305="","",'05_PRODUCTOS'!$E305)</f>
        <v/>
      </c>
      <c r="G305" s="53" t="str">
        <f>IF($B305="","",IF('05_PRODUCTOS'!$K305="NO","NO","SI"))</f>
        <v/>
      </c>
      <c r="H305" s="55" t="str">
        <f>IF(tblStock[[#This Row],[SKU]]="","",SUMIFS(tblMovimientos[CantidadNeta],tblMovimientos[SKU],tblStock[[#This Row],[SKU]],tblMovimientos[FactorStock],1))</f>
        <v/>
      </c>
      <c r="I305" s="55" t="str">
        <f>IF(tblStock[[#This Row],[SKU]]="","",-SUMIFS(tblMovimientos[CantidadNeta],tblMovimientos[SKU],tblStock[[#This Row],[SKU]],tblMovimientos[FactorStock],-1))</f>
        <v/>
      </c>
      <c r="J305" s="56" t="str">
        <f>IF(tblStock[[#This Row],[SKU]]="","",SUMIFS(tblMovimientos[CantidadNeta],tblMovimientos[SKU],tblStock[[#This Row],[SKU]]))</f>
        <v/>
      </c>
      <c r="K305" s="55" t="str">
        <f>IF($B305="","",N('05_PRODUCTOS'!$F305))</f>
        <v/>
      </c>
      <c r="L305" s="55" t="str">
        <f>IF($B305="","",N('05_PRODUCTOS'!$G305))</f>
        <v/>
      </c>
      <c r="M305" s="57" t="str">
        <f>IF(OR(tblStock[[#This Row],[SKU]]="",N(tblStock[[#This Row],[StockMax]])=0),"",MAX(0,tblStock[[#This Row],[StockActual]])/tblStock[[#This Row],[StockMax]])</f>
        <v/>
      </c>
      <c r="N30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5" s="59" t="str">
        <f>IF($B305="","",N('05_PRODUCTOS'!$H305))</f>
        <v/>
      </c>
      <c r="P305" s="59" t="str">
        <f>IF(tblStock[[#This Row],[SKU]]="","",MAX(0,tblStock[[#This Row],[StockActual]])*tblStock[[#This Row],[CostoUnitario]])</f>
        <v/>
      </c>
      <c r="Q305" s="60" t="str">
        <f>IF(tblStock[[#This Row],[SKU]]="","",IFERROR(_xlfn.AGGREGATE(14,6,tblMovimientos[Fecha]/(tblMovimientos[SKU]=tblStock[[#This Row],[SKU]]),1),""))</f>
        <v/>
      </c>
      <c r="R305" s="61" t="str">
        <f ca="1">IF(OR(tblStock[[#This Row],[SKU]]="",tblStock[[#This Row],[UltimoMov]]=""),"",TODAY()-tblStock[[#This Row],[UltimoMov]])</f>
        <v/>
      </c>
    </row>
    <row r="306" spans="2:18" x14ac:dyDescent="0.25">
      <c r="B306" s="53" t="str">
        <f>IF('05_PRODUCTOS'!$B306="","",'05_PRODUCTOS'!$B306)</f>
        <v/>
      </c>
      <c r="C306" s="54" t="str">
        <f>IF($B306="","",'05_PRODUCTOS'!$C306)</f>
        <v/>
      </c>
      <c r="D306" s="54" t="str">
        <f>IF($B306="","",'05_PRODUCTOS'!$D306)</f>
        <v/>
      </c>
      <c r="E306" s="54" t="str">
        <f>IF($B306="","",'05_PRODUCTOS'!$I306&amp;"")</f>
        <v/>
      </c>
      <c r="F306" s="53" t="str">
        <f>IF($B306="","",'05_PRODUCTOS'!$E306)</f>
        <v/>
      </c>
      <c r="G306" s="53" t="str">
        <f>IF($B306="","",IF('05_PRODUCTOS'!$K306="NO","NO","SI"))</f>
        <v/>
      </c>
      <c r="H306" s="55" t="str">
        <f>IF(tblStock[[#This Row],[SKU]]="","",SUMIFS(tblMovimientos[CantidadNeta],tblMovimientos[SKU],tblStock[[#This Row],[SKU]],tblMovimientos[FactorStock],1))</f>
        <v/>
      </c>
      <c r="I306" s="55" t="str">
        <f>IF(tblStock[[#This Row],[SKU]]="","",-SUMIFS(tblMovimientos[CantidadNeta],tblMovimientos[SKU],tblStock[[#This Row],[SKU]],tblMovimientos[FactorStock],-1))</f>
        <v/>
      </c>
      <c r="J306" s="56" t="str">
        <f>IF(tblStock[[#This Row],[SKU]]="","",SUMIFS(tblMovimientos[CantidadNeta],tblMovimientos[SKU],tblStock[[#This Row],[SKU]]))</f>
        <v/>
      </c>
      <c r="K306" s="55" t="str">
        <f>IF($B306="","",N('05_PRODUCTOS'!$F306))</f>
        <v/>
      </c>
      <c r="L306" s="55" t="str">
        <f>IF($B306="","",N('05_PRODUCTOS'!$G306))</f>
        <v/>
      </c>
      <c r="M306" s="57" t="str">
        <f>IF(OR(tblStock[[#This Row],[SKU]]="",N(tblStock[[#This Row],[StockMax]])=0),"",MAX(0,tblStock[[#This Row],[StockActual]])/tblStock[[#This Row],[StockMax]])</f>
        <v/>
      </c>
      <c r="N30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6" s="59" t="str">
        <f>IF($B306="","",N('05_PRODUCTOS'!$H306))</f>
        <v/>
      </c>
      <c r="P306" s="59" t="str">
        <f>IF(tblStock[[#This Row],[SKU]]="","",MAX(0,tblStock[[#This Row],[StockActual]])*tblStock[[#This Row],[CostoUnitario]])</f>
        <v/>
      </c>
      <c r="Q306" s="60" t="str">
        <f>IF(tblStock[[#This Row],[SKU]]="","",IFERROR(_xlfn.AGGREGATE(14,6,tblMovimientos[Fecha]/(tblMovimientos[SKU]=tblStock[[#This Row],[SKU]]),1),""))</f>
        <v/>
      </c>
      <c r="R306" s="61" t="str">
        <f ca="1">IF(OR(tblStock[[#This Row],[SKU]]="",tblStock[[#This Row],[UltimoMov]]=""),"",TODAY()-tblStock[[#This Row],[UltimoMov]])</f>
        <v/>
      </c>
    </row>
    <row r="307" spans="2:18" x14ac:dyDescent="0.25">
      <c r="B307" s="53" t="str">
        <f>IF('05_PRODUCTOS'!$B307="","",'05_PRODUCTOS'!$B307)</f>
        <v/>
      </c>
      <c r="C307" s="54" t="str">
        <f>IF($B307="","",'05_PRODUCTOS'!$C307)</f>
        <v/>
      </c>
      <c r="D307" s="54" t="str">
        <f>IF($B307="","",'05_PRODUCTOS'!$D307)</f>
        <v/>
      </c>
      <c r="E307" s="54" t="str">
        <f>IF($B307="","",'05_PRODUCTOS'!$I307&amp;"")</f>
        <v/>
      </c>
      <c r="F307" s="53" t="str">
        <f>IF($B307="","",'05_PRODUCTOS'!$E307)</f>
        <v/>
      </c>
      <c r="G307" s="53" t="str">
        <f>IF($B307="","",IF('05_PRODUCTOS'!$K307="NO","NO","SI"))</f>
        <v/>
      </c>
      <c r="H307" s="55" t="str">
        <f>IF(tblStock[[#This Row],[SKU]]="","",SUMIFS(tblMovimientos[CantidadNeta],tblMovimientos[SKU],tblStock[[#This Row],[SKU]],tblMovimientos[FactorStock],1))</f>
        <v/>
      </c>
      <c r="I307" s="55" t="str">
        <f>IF(tblStock[[#This Row],[SKU]]="","",-SUMIFS(tblMovimientos[CantidadNeta],tblMovimientos[SKU],tblStock[[#This Row],[SKU]],tblMovimientos[FactorStock],-1))</f>
        <v/>
      </c>
      <c r="J307" s="56" t="str">
        <f>IF(tblStock[[#This Row],[SKU]]="","",SUMIFS(tblMovimientos[CantidadNeta],tblMovimientos[SKU],tblStock[[#This Row],[SKU]]))</f>
        <v/>
      </c>
      <c r="K307" s="55" t="str">
        <f>IF($B307="","",N('05_PRODUCTOS'!$F307))</f>
        <v/>
      </c>
      <c r="L307" s="55" t="str">
        <f>IF($B307="","",N('05_PRODUCTOS'!$G307))</f>
        <v/>
      </c>
      <c r="M307" s="57" t="str">
        <f>IF(OR(tblStock[[#This Row],[SKU]]="",N(tblStock[[#This Row],[StockMax]])=0),"",MAX(0,tblStock[[#This Row],[StockActual]])/tblStock[[#This Row],[StockMax]])</f>
        <v/>
      </c>
      <c r="N30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7" s="59" t="str">
        <f>IF($B307="","",N('05_PRODUCTOS'!$H307))</f>
        <v/>
      </c>
      <c r="P307" s="59" t="str">
        <f>IF(tblStock[[#This Row],[SKU]]="","",MAX(0,tblStock[[#This Row],[StockActual]])*tblStock[[#This Row],[CostoUnitario]])</f>
        <v/>
      </c>
      <c r="Q307" s="60" t="str">
        <f>IF(tblStock[[#This Row],[SKU]]="","",IFERROR(_xlfn.AGGREGATE(14,6,tblMovimientos[Fecha]/(tblMovimientos[SKU]=tblStock[[#This Row],[SKU]]),1),""))</f>
        <v/>
      </c>
      <c r="R307" s="61" t="str">
        <f ca="1">IF(OR(tblStock[[#This Row],[SKU]]="",tblStock[[#This Row],[UltimoMov]]=""),"",TODAY()-tblStock[[#This Row],[UltimoMov]])</f>
        <v/>
      </c>
    </row>
    <row r="308" spans="2:18" x14ac:dyDescent="0.25">
      <c r="B308" s="53" t="str">
        <f>IF('05_PRODUCTOS'!$B308="","",'05_PRODUCTOS'!$B308)</f>
        <v/>
      </c>
      <c r="C308" s="54" t="str">
        <f>IF($B308="","",'05_PRODUCTOS'!$C308)</f>
        <v/>
      </c>
      <c r="D308" s="54" t="str">
        <f>IF($B308="","",'05_PRODUCTOS'!$D308)</f>
        <v/>
      </c>
      <c r="E308" s="54" t="str">
        <f>IF($B308="","",'05_PRODUCTOS'!$I308&amp;"")</f>
        <v/>
      </c>
      <c r="F308" s="53" t="str">
        <f>IF($B308="","",'05_PRODUCTOS'!$E308)</f>
        <v/>
      </c>
      <c r="G308" s="53" t="str">
        <f>IF($B308="","",IF('05_PRODUCTOS'!$K308="NO","NO","SI"))</f>
        <v/>
      </c>
      <c r="H308" s="55" t="str">
        <f>IF(tblStock[[#This Row],[SKU]]="","",SUMIFS(tblMovimientos[CantidadNeta],tblMovimientos[SKU],tblStock[[#This Row],[SKU]],tblMovimientos[FactorStock],1))</f>
        <v/>
      </c>
      <c r="I308" s="55" t="str">
        <f>IF(tblStock[[#This Row],[SKU]]="","",-SUMIFS(tblMovimientos[CantidadNeta],tblMovimientos[SKU],tblStock[[#This Row],[SKU]],tblMovimientos[FactorStock],-1))</f>
        <v/>
      </c>
      <c r="J308" s="56" t="str">
        <f>IF(tblStock[[#This Row],[SKU]]="","",SUMIFS(tblMovimientos[CantidadNeta],tblMovimientos[SKU],tblStock[[#This Row],[SKU]]))</f>
        <v/>
      </c>
      <c r="K308" s="55" t="str">
        <f>IF($B308="","",N('05_PRODUCTOS'!$F308))</f>
        <v/>
      </c>
      <c r="L308" s="55" t="str">
        <f>IF($B308="","",N('05_PRODUCTOS'!$G308))</f>
        <v/>
      </c>
      <c r="M308" s="57" t="str">
        <f>IF(OR(tblStock[[#This Row],[SKU]]="",N(tblStock[[#This Row],[StockMax]])=0),"",MAX(0,tblStock[[#This Row],[StockActual]])/tblStock[[#This Row],[StockMax]])</f>
        <v/>
      </c>
      <c r="N30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8" s="59" t="str">
        <f>IF($B308="","",N('05_PRODUCTOS'!$H308))</f>
        <v/>
      </c>
      <c r="P308" s="59" t="str">
        <f>IF(tblStock[[#This Row],[SKU]]="","",MAX(0,tblStock[[#This Row],[StockActual]])*tblStock[[#This Row],[CostoUnitario]])</f>
        <v/>
      </c>
      <c r="Q308" s="60" t="str">
        <f>IF(tblStock[[#This Row],[SKU]]="","",IFERROR(_xlfn.AGGREGATE(14,6,tblMovimientos[Fecha]/(tblMovimientos[SKU]=tblStock[[#This Row],[SKU]]),1),""))</f>
        <v/>
      </c>
      <c r="R308" s="61" t="str">
        <f ca="1">IF(OR(tblStock[[#This Row],[SKU]]="",tblStock[[#This Row],[UltimoMov]]=""),"",TODAY()-tblStock[[#This Row],[UltimoMov]])</f>
        <v/>
      </c>
    </row>
    <row r="309" spans="2:18" x14ac:dyDescent="0.25">
      <c r="B309" s="53" t="str">
        <f>IF('05_PRODUCTOS'!$B309="","",'05_PRODUCTOS'!$B309)</f>
        <v/>
      </c>
      <c r="C309" s="54" t="str">
        <f>IF($B309="","",'05_PRODUCTOS'!$C309)</f>
        <v/>
      </c>
      <c r="D309" s="54" t="str">
        <f>IF($B309="","",'05_PRODUCTOS'!$D309)</f>
        <v/>
      </c>
      <c r="E309" s="54" t="str">
        <f>IF($B309="","",'05_PRODUCTOS'!$I309&amp;"")</f>
        <v/>
      </c>
      <c r="F309" s="53" t="str">
        <f>IF($B309="","",'05_PRODUCTOS'!$E309)</f>
        <v/>
      </c>
      <c r="G309" s="53" t="str">
        <f>IF($B309="","",IF('05_PRODUCTOS'!$K309="NO","NO","SI"))</f>
        <v/>
      </c>
      <c r="H309" s="55" t="str">
        <f>IF(tblStock[[#This Row],[SKU]]="","",SUMIFS(tblMovimientos[CantidadNeta],tblMovimientos[SKU],tblStock[[#This Row],[SKU]],tblMovimientos[FactorStock],1))</f>
        <v/>
      </c>
      <c r="I309" s="55" t="str">
        <f>IF(tblStock[[#This Row],[SKU]]="","",-SUMIFS(tblMovimientos[CantidadNeta],tblMovimientos[SKU],tblStock[[#This Row],[SKU]],tblMovimientos[FactorStock],-1))</f>
        <v/>
      </c>
      <c r="J309" s="56" t="str">
        <f>IF(tblStock[[#This Row],[SKU]]="","",SUMIFS(tblMovimientos[CantidadNeta],tblMovimientos[SKU],tblStock[[#This Row],[SKU]]))</f>
        <v/>
      </c>
      <c r="K309" s="55" t="str">
        <f>IF($B309="","",N('05_PRODUCTOS'!$F309))</f>
        <v/>
      </c>
      <c r="L309" s="55" t="str">
        <f>IF($B309="","",N('05_PRODUCTOS'!$G309))</f>
        <v/>
      </c>
      <c r="M309" s="57" t="str">
        <f>IF(OR(tblStock[[#This Row],[SKU]]="",N(tblStock[[#This Row],[StockMax]])=0),"",MAX(0,tblStock[[#This Row],[StockActual]])/tblStock[[#This Row],[StockMax]])</f>
        <v/>
      </c>
      <c r="N30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09" s="59" t="str">
        <f>IF($B309="","",N('05_PRODUCTOS'!$H309))</f>
        <v/>
      </c>
      <c r="P309" s="59" t="str">
        <f>IF(tblStock[[#This Row],[SKU]]="","",MAX(0,tblStock[[#This Row],[StockActual]])*tblStock[[#This Row],[CostoUnitario]])</f>
        <v/>
      </c>
      <c r="Q309" s="60" t="str">
        <f>IF(tblStock[[#This Row],[SKU]]="","",IFERROR(_xlfn.AGGREGATE(14,6,tblMovimientos[Fecha]/(tblMovimientos[SKU]=tblStock[[#This Row],[SKU]]),1),""))</f>
        <v/>
      </c>
      <c r="R309" s="61" t="str">
        <f ca="1">IF(OR(tblStock[[#This Row],[SKU]]="",tblStock[[#This Row],[UltimoMov]]=""),"",TODAY()-tblStock[[#This Row],[UltimoMov]])</f>
        <v/>
      </c>
    </row>
    <row r="310" spans="2:18" x14ac:dyDescent="0.25">
      <c r="B310" s="53" t="str">
        <f>IF('05_PRODUCTOS'!$B310="","",'05_PRODUCTOS'!$B310)</f>
        <v/>
      </c>
      <c r="C310" s="54" t="str">
        <f>IF($B310="","",'05_PRODUCTOS'!$C310)</f>
        <v/>
      </c>
      <c r="D310" s="54" t="str">
        <f>IF($B310="","",'05_PRODUCTOS'!$D310)</f>
        <v/>
      </c>
      <c r="E310" s="54" t="str">
        <f>IF($B310="","",'05_PRODUCTOS'!$I310&amp;"")</f>
        <v/>
      </c>
      <c r="F310" s="53" t="str">
        <f>IF($B310="","",'05_PRODUCTOS'!$E310)</f>
        <v/>
      </c>
      <c r="G310" s="53" t="str">
        <f>IF($B310="","",IF('05_PRODUCTOS'!$K310="NO","NO","SI"))</f>
        <v/>
      </c>
      <c r="H310" s="55" t="str">
        <f>IF(tblStock[[#This Row],[SKU]]="","",SUMIFS(tblMovimientos[CantidadNeta],tblMovimientos[SKU],tblStock[[#This Row],[SKU]],tblMovimientos[FactorStock],1))</f>
        <v/>
      </c>
      <c r="I310" s="55" t="str">
        <f>IF(tblStock[[#This Row],[SKU]]="","",-SUMIFS(tblMovimientos[CantidadNeta],tblMovimientos[SKU],tblStock[[#This Row],[SKU]],tblMovimientos[FactorStock],-1))</f>
        <v/>
      </c>
      <c r="J310" s="56" t="str">
        <f>IF(tblStock[[#This Row],[SKU]]="","",SUMIFS(tblMovimientos[CantidadNeta],tblMovimientos[SKU],tblStock[[#This Row],[SKU]]))</f>
        <v/>
      </c>
      <c r="K310" s="55" t="str">
        <f>IF($B310="","",N('05_PRODUCTOS'!$F310))</f>
        <v/>
      </c>
      <c r="L310" s="55" t="str">
        <f>IF($B310="","",N('05_PRODUCTOS'!$G310))</f>
        <v/>
      </c>
      <c r="M310" s="57" t="str">
        <f>IF(OR(tblStock[[#This Row],[SKU]]="",N(tblStock[[#This Row],[StockMax]])=0),"",MAX(0,tblStock[[#This Row],[StockActual]])/tblStock[[#This Row],[StockMax]])</f>
        <v/>
      </c>
      <c r="N31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0" s="59" t="str">
        <f>IF($B310="","",N('05_PRODUCTOS'!$H310))</f>
        <v/>
      </c>
      <c r="P310" s="59" t="str">
        <f>IF(tblStock[[#This Row],[SKU]]="","",MAX(0,tblStock[[#This Row],[StockActual]])*tblStock[[#This Row],[CostoUnitario]])</f>
        <v/>
      </c>
      <c r="Q310" s="60" t="str">
        <f>IF(tblStock[[#This Row],[SKU]]="","",IFERROR(_xlfn.AGGREGATE(14,6,tblMovimientos[Fecha]/(tblMovimientos[SKU]=tblStock[[#This Row],[SKU]]),1),""))</f>
        <v/>
      </c>
      <c r="R310" s="61" t="str">
        <f ca="1">IF(OR(tblStock[[#This Row],[SKU]]="",tblStock[[#This Row],[UltimoMov]]=""),"",TODAY()-tblStock[[#This Row],[UltimoMov]])</f>
        <v/>
      </c>
    </row>
    <row r="311" spans="2:18" x14ac:dyDescent="0.25">
      <c r="B311" s="53" t="str">
        <f>IF('05_PRODUCTOS'!$B311="","",'05_PRODUCTOS'!$B311)</f>
        <v/>
      </c>
      <c r="C311" s="54" t="str">
        <f>IF($B311="","",'05_PRODUCTOS'!$C311)</f>
        <v/>
      </c>
      <c r="D311" s="54" t="str">
        <f>IF($B311="","",'05_PRODUCTOS'!$D311)</f>
        <v/>
      </c>
      <c r="E311" s="54" t="str">
        <f>IF($B311="","",'05_PRODUCTOS'!$I311&amp;"")</f>
        <v/>
      </c>
      <c r="F311" s="53" t="str">
        <f>IF($B311="","",'05_PRODUCTOS'!$E311)</f>
        <v/>
      </c>
      <c r="G311" s="53" t="str">
        <f>IF($B311="","",IF('05_PRODUCTOS'!$K311="NO","NO","SI"))</f>
        <v/>
      </c>
      <c r="H311" s="55" t="str">
        <f>IF(tblStock[[#This Row],[SKU]]="","",SUMIFS(tblMovimientos[CantidadNeta],tblMovimientos[SKU],tblStock[[#This Row],[SKU]],tblMovimientos[FactorStock],1))</f>
        <v/>
      </c>
      <c r="I311" s="55" t="str">
        <f>IF(tblStock[[#This Row],[SKU]]="","",-SUMIFS(tblMovimientos[CantidadNeta],tblMovimientos[SKU],tblStock[[#This Row],[SKU]],tblMovimientos[FactorStock],-1))</f>
        <v/>
      </c>
      <c r="J311" s="56" t="str">
        <f>IF(tblStock[[#This Row],[SKU]]="","",SUMIFS(tblMovimientos[CantidadNeta],tblMovimientos[SKU],tblStock[[#This Row],[SKU]]))</f>
        <v/>
      </c>
      <c r="K311" s="55" t="str">
        <f>IF($B311="","",N('05_PRODUCTOS'!$F311))</f>
        <v/>
      </c>
      <c r="L311" s="55" t="str">
        <f>IF($B311="","",N('05_PRODUCTOS'!$G311))</f>
        <v/>
      </c>
      <c r="M311" s="57" t="str">
        <f>IF(OR(tblStock[[#This Row],[SKU]]="",N(tblStock[[#This Row],[StockMax]])=0),"",MAX(0,tblStock[[#This Row],[StockActual]])/tblStock[[#This Row],[StockMax]])</f>
        <v/>
      </c>
      <c r="N31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1" s="59" t="str">
        <f>IF($B311="","",N('05_PRODUCTOS'!$H311))</f>
        <v/>
      </c>
      <c r="P311" s="59" t="str">
        <f>IF(tblStock[[#This Row],[SKU]]="","",MAX(0,tblStock[[#This Row],[StockActual]])*tblStock[[#This Row],[CostoUnitario]])</f>
        <v/>
      </c>
      <c r="Q311" s="60" t="str">
        <f>IF(tblStock[[#This Row],[SKU]]="","",IFERROR(_xlfn.AGGREGATE(14,6,tblMovimientos[Fecha]/(tblMovimientos[SKU]=tblStock[[#This Row],[SKU]]),1),""))</f>
        <v/>
      </c>
      <c r="R311" s="61" t="str">
        <f ca="1">IF(OR(tblStock[[#This Row],[SKU]]="",tblStock[[#This Row],[UltimoMov]]=""),"",TODAY()-tblStock[[#This Row],[UltimoMov]])</f>
        <v/>
      </c>
    </row>
    <row r="312" spans="2:18" x14ac:dyDescent="0.25">
      <c r="B312" s="53" t="str">
        <f>IF('05_PRODUCTOS'!$B312="","",'05_PRODUCTOS'!$B312)</f>
        <v/>
      </c>
      <c r="C312" s="54" t="str">
        <f>IF($B312="","",'05_PRODUCTOS'!$C312)</f>
        <v/>
      </c>
      <c r="D312" s="54" t="str">
        <f>IF($B312="","",'05_PRODUCTOS'!$D312)</f>
        <v/>
      </c>
      <c r="E312" s="54" t="str">
        <f>IF($B312="","",'05_PRODUCTOS'!$I312&amp;"")</f>
        <v/>
      </c>
      <c r="F312" s="53" t="str">
        <f>IF($B312="","",'05_PRODUCTOS'!$E312)</f>
        <v/>
      </c>
      <c r="G312" s="53" t="str">
        <f>IF($B312="","",IF('05_PRODUCTOS'!$K312="NO","NO","SI"))</f>
        <v/>
      </c>
      <c r="H312" s="55" t="str">
        <f>IF(tblStock[[#This Row],[SKU]]="","",SUMIFS(tblMovimientos[CantidadNeta],tblMovimientos[SKU],tblStock[[#This Row],[SKU]],tblMovimientos[FactorStock],1))</f>
        <v/>
      </c>
      <c r="I312" s="55" t="str">
        <f>IF(tblStock[[#This Row],[SKU]]="","",-SUMIFS(tblMovimientos[CantidadNeta],tblMovimientos[SKU],tblStock[[#This Row],[SKU]],tblMovimientos[FactorStock],-1))</f>
        <v/>
      </c>
      <c r="J312" s="56" t="str">
        <f>IF(tblStock[[#This Row],[SKU]]="","",SUMIFS(tblMovimientos[CantidadNeta],tblMovimientos[SKU],tblStock[[#This Row],[SKU]]))</f>
        <v/>
      </c>
      <c r="K312" s="55" t="str">
        <f>IF($B312="","",N('05_PRODUCTOS'!$F312))</f>
        <v/>
      </c>
      <c r="L312" s="55" t="str">
        <f>IF($B312="","",N('05_PRODUCTOS'!$G312))</f>
        <v/>
      </c>
      <c r="M312" s="57" t="str">
        <f>IF(OR(tblStock[[#This Row],[SKU]]="",N(tblStock[[#This Row],[StockMax]])=0),"",MAX(0,tblStock[[#This Row],[StockActual]])/tblStock[[#This Row],[StockMax]])</f>
        <v/>
      </c>
      <c r="N31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2" s="59" t="str">
        <f>IF($B312="","",N('05_PRODUCTOS'!$H312))</f>
        <v/>
      </c>
      <c r="P312" s="59" t="str">
        <f>IF(tblStock[[#This Row],[SKU]]="","",MAX(0,tblStock[[#This Row],[StockActual]])*tblStock[[#This Row],[CostoUnitario]])</f>
        <v/>
      </c>
      <c r="Q312" s="60" t="str">
        <f>IF(tblStock[[#This Row],[SKU]]="","",IFERROR(_xlfn.AGGREGATE(14,6,tblMovimientos[Fecha]/(tblMovimientos[SKU]=tblStock[[#This Row],[SKU]]),1),""))</f>
        <v/>
      </c>
      <c r="R312" s="61" t="str">
        <f ca="1">IF(OR(tblStock[[#This Row],[SKU]]="",tblStock[[#This Row],[UltimoMov]]=""),"",TODAY()-tblStock[[#This Row],[UltimoMov]])</f>
        <v/>
      </c>
    </row>
    <row r="313" spans="2:18" x14ac:dyDescent="0.25">
      <c r="B313" s="53" t="str">
        <f>IF('05_PRODUCTOS'!$B313="","",'05_PRODUCTOS'!$B313)</f>
        <v/>
      </c>
      <c r="C313" s="54" t="str">
        <f>IF($B313="","",'05_PRODUCTOS'!$C313)</f>
        <v/>
      </c>
      <c r="D313" s="54" t="str">
        <f>IF($B313="","",'05_PRODUCTOS'!$D313)</f>
        <v/>
      </c>
      <c r="E313" s="54" t="str">
        <f>IF($B313="","",'05_PRODUCTOS'!$I313&amp;"")</f>
        <v/>
      </c>
      <c r="F313" s="53" t="str">
        <f>IF($B313="","",'05_PRODUCTOS'!$E313)</f>
        <v/>
      </c>
      <c r="G313" s="53" t="str">
        <f>IF($B313="","",IF('05_PRODUCTOS'!$K313="NO","NO","SI"))</f>
        <v/>
      </c>
      <c r="H313" s="55" t="str">
        <f>IF(tblStock[[#This Row],[SKU]]="","",SUMIFS(tblMovimientos[CantidadNeta],tblMovimientos[SKU],tblStock[[#This Row],[SKU]],tblMovimientos[FactorStock],1))</f>
        <v/>
      </c>
      <c r="I313" s="55" t="str">
        <f>IF(tblStock[[#This Row],[SKU]]="","",-SUMIFS(tblMovimientos[CantidadNeta],tblMovimientos[SKU],tblStock[[#This Row],[SKU]],tblMovimientos[FactorStock],-1))</f>
        <v/>
      </c>
      <c r="J313" s="56" t="str">
        <f>IF(tblStock[[#This Row],[SKU]]="","",SUMIFS(tblMovimientos[CantidadNeta],tblMovimientos[SKU],tblStock[[#This Row],[SKU]]))</f>
        <v/>
      </c>
      <c r="K313" s="55" t="str">
        <f>IF($B313="","",N('05_PRODUCTOS'!$F313))</f>
        <v/>
      </c>
      <c r="L313" s="55" t="str">
        <f>IF($B313="","",N('05_PRODUCTOS'!$G313))</f>
        <v/>
      </c>
      <c r="M313" s="57" t="str">
        <f>IF(OR(tblStock[[#This Row],[SKU]]="",N(tblStock[[#This Row],[StockMax]])=0),"",MAX(0,tblStock[[#This Row],[StockActual]])/tblStock[[#This Row],[StockMax]])</f>
        <v/>
      </c>
      <c r="N31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3" s="59" t="str">
        <f>IF($B313="","",N('05_PRODUCTOS'!$H313))</f>
        <v/>
      </c>
      <c r="P313" s="59" t="str">
        <f>IF(tblStock[[#This Row],[SKU]]="","",MAX(0,tblStock[[#This Row],[StockActual]])*tblStock[[#This Row],[CostoUnitario]])</f>
        <v/>
      </c>
      <c r="Q313" s="60" t="str">
        <f>IF(tblStock[[#This Row],[SKU]]="","",IFERROR(_xlfn.AGGREGATE(14,6,tblMovimientos[Fecha]/(tblMovimientos[SKU]=tblStock[[#This Row],[SKU]]),1),""))</f>
        <v/>
      </c>
      <c r="R313" s="61" t="str">
        <f ca="1">IF(OR(tblStock[[#This Row],[SKU]]="",tblStock[[#This Row],[UltimoMov]]=""),"",TODAY()-tblStock[[#This Row],[UltimoMov]])</f>
        <v/>
      </c>
    </row>
    <row r="314" spans="2:18" x14ac:dyDescent="0.25">
      <c r="B314" s="53" t="str">
        <f>IF('05_PRODUCTOS'!$B314="","",'05_PRODUCTOS'!$B314)</f>
        <v/>
      </c>
      <c r="C314" s="54" t="str">
        <f>IF($B314="","",'05_PRODUCTOS'!$C314)</f>
        <v/>
      </c>
      <c r="D314" s="54" t="str">
        <f>IF($B314="","",'05_PRODUCTOS'!$D314)</f>
        <v/>
      </c>
      <c r="E314" s="54" t="str">
        <f>IF($B314="","",'05_PRODUCTOS'!$I314&amp;"")</f>
        <v/>
      </c>
      <c r="F314" s="53" t="str">
        <f>IF($B314="","",'05_PRODUCTOS'!$E314)</f>
        <v/>
      </c>
      <c r="G314" s="53" t="str">
        <f>IF($B314="","",IF('05_PRODUCTOS'!$K314="NO","NO","SI"))</f>
        <v/>
      </c>
      <c r="H314" s="55" t="str">
        <f>IF(tblStock[[#This Row],[SKU]]="","",SUMIFS(tblMovimientos[CantidadNeta],tblMovimientos[SKU],tblStock[[#This Row],[SKU]],tblMovimientos[FactorStock],1))</f>
        <v/>
      </c>
      <c r="I314" s="55" t="str">
        <f>IF(tblStock[[#This Row],[SKU]]="","",-SUMIFS(tblMovimientos[CantidadNeta],tblMovimientos[SKU],tblStock[[#This Row],[SKU]],tblMovimientos[FactorStock],-1))</f>
        <v/>
      </c>
      <c r="J314" s="56" t="str">
        <f>IF(tblStock[[#This Row],[SKU]]="","",SUMIFS(tblMovimientos[CantidadNeta],tblMovimientos[SKU],tblStock[[#This Row],[SKU]]))</f>
        <v/>
      </c>
      <c r="K314" s="55" t="str">
        <f>IF($B314="","",N('05_PRODUCTOS'!$F314))</f>
        <v/>
      </c>
      <c r="L314" s="55" t="str">
        <f>IF($B314="","",N('05_PRODUCTOS'!$G314))</f>
        <v/>
      </c>
      <c r="M314" s="57" t="str">
        <f>IF(OR(tblStock[[#This Row],[SKU]]="",N(tblStock[[#This Row],[StockMax]])=0),"",MAX(0,tblStock[[#This Row],[StockActual]])/tblStock[[#This Row],[StockMax]])</f>
        <v/>
      </c>
      <c r="N31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4" s="59" t="str">
        <f>IF($B314="","",N('05_PRODUCTOS'!$H314))</f>
        <v/>
      </c>
      <c r="P314" s="59" t="str">
        <f>IF(tblStock[[#This Row],[SKU]]="","",MAX(0,tblStock[[#This Row],[StockActual]])*tblStock[[#This Row],[CostoUnitario]])</f>
        <v/>
      </c>
      <c r="Q314" s="60" t="str">
        <f>IF(tblStock[[#This Row],[SKU]]="","",IFERROR(_xlfn.AGGREGATE(14,6,tblMovimientos[Fecha]/(tblMovimientos[SKU]=tblStock[[#This Row],[SKU]]),1),""))</f>
        <v/>
      </c>
      <c r="R314" s="61" t="str">
        <f ca="1">IF(OR(tblStock[[#This Row],[SKU]]="",tblStock[[#This Row],[UltimoMov]]=""),"",TODAY()-tblStock[[#This Row],[UltimoMov]])</f>
        <v/>
      </c>
    </row>
    <row r="315" spans="2:18" x14ac:dyDescent="0.25">
      <c r="B315" s="53" t="str">
        <f>IF('05_PRODUCTOS'!$B315="","",'05_PRODUCTOS'!$B315)</f>
        <v/>
      </c>
      <c r="C315" s="54" t="str">
        <f>IF($B315="","",'05_PRODUCTOS'!$C315)</f>
        <v/>
      </c>
      <c r="D315" s="54" t="str">
        <f>IF($B315="","",'05_PRODUCTOS'!$D315)</f>
        <v/>
      </c>
      <c r="E315" s="54" t="str">
        <f>IF($B315="","",'05_PRODUCTOS'!$I315&amp;"")</f>
        <v/>
      </c>
      <c r="F315" s="53" t="str">
        <f>IF($B315="","",'05_PRODUCTOS'!$E315)</f>
        <v/>
      </c>
      <c r="G315" s="53" t="str">
        <f>IF($B315="","",IF('05_PRODUCTOS'!$K315="NO","NO","SI"))</f>
        <v/>
      </c>
      <c r="H315" s="55" t="str">
        <f>IF(tblStock[[#This Row],[SKU]]="","",SUMIFS(tblMovimientos[CantidadNeta],tblMovimientos[SKU],tblStock[[#This Row],[SKU]],tblMovimientos[FactorStock],1))</f>
        <v/>
      </c>
      <c r="I315" s="55" t="str">
        <f>IF(tblStock[[#This Row],[SKU]]="","",-SUMIFS(tblMovimientos[CantidadNeta],tblMovimientos[SKU],tblStock[[#This Row],[SKU]],tblMovimientos[FactorStock],-1))</f>
        <v/>
      </c>
      <c r="J315" s="56" t="str">
        <f>IF(tblStock[[#This Row],[SKU]]="","",SUMIFS(tblMovimientos[CantidadNeta],tblMovimientos[SKU],tblStock[[#This Row],[SKU]]))</f>
        <v/>
      </c>
      <c r="K315" s="55" t="str">
        <f>IF($B315="","",N('05_PRODUCTOS'!$F315))</f>
        <v/>
      </c>
      <c r="L315" s="55" t="str">
        <f>IF($B315="","",N('05_PRODUCTOS'!$G315))</f>
        <v/>
      </c>
      <c r="M315" s="57" t="str">
        <f>IF(OR(tblStock[[#This Row],[SKU]]="",N(tblStock[[#This Row],[StockMax]])=0),"",MAX(0,tblStock[[#This Row],[StockActual]])/tblStock[[#This Row],[StockMax]])</f>
        <v/>
      </c>
      <c r="N31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5" s="59" t="str">
        <f>IF($B315="","",N('05_PRODUCTOS'!$H315))</f>
        <v/>
      </c>
      <c r="P315" s="59" t="str">
        <f>IF(tblStock[[#This Row],[SKU]]="","",MAX(0,tblStock[[#This Row],[StockActual]])*tblStock[[#This Row],[CostoUnitario]])</f>
        <v/>
      </c>
      <c r="Q315" s="60" t="str">
        <f>IF(tblStock[[#This Row],[SKU]]="","",IFERROR(_xlfn.AGGREGATE(14,6,tblMovimientos[Fecha]/(tblMovimientos[SKU]=tblStock[[#This Row],[SKU]]),1),""))</f>
        <v/>
      </c>
      <c r="R315" s="61" t="str">
        <f ca="1">IF(OR(tblStock[[#This Row],[SKU]]="",tblStock[[#This Row],[UltimoMov]]=""),"",TODAY()-tblStock[[#This Row],[UltimoMov]])</f>
        <v/>
      </c>
    </row>
    <row r="316" spans="2:18" x14ac:dyDescent="0.25">
      <c r="B316" s="53" t="str">
        <f>IF('05_PRODUCTOS'!$B316="","",'05_PRODUCTOS'!$B316)</f>
        <v/>
      </c>
      <c r="C316" s="54" t="str">
        <f>IF($B316="","",'05_PRODUCTOS'!$C316)</f>
        <v/>
      </c>
      <c r="D316" s="54" t="str">
        <f>IF($B316="","",'05_PRODUCTOS'!$D316)</f>
        <v/>
      </c>
      <c r="E316" s="54" t="str">
        <f>IF($B316="","",'05_PRODUCTOS'!$I316&amp;"")</f>
        <v/>
      </c>
      <c r="F316" s="53" t="str">
        <f>IF($B316="","",'05_PRODUCTOS'!$E316)</f>
        <v/>
      </c>
      <c r="G316" s="53" t="str">
        <f>IF($B316="","",IF('05_PRODUCTOS'!$K316="NO","NO","SI"))</f>
        <v/>
      </c>
      <c r="H316" s="55" t="str">
        <f>IF(tblStock[[#This Row],[SKU]]="","",SUMIFS(tblMovimientos[CantidadNeta],tblMovimientos[SKU],tblStock[[#This Row],[SKU]],tblMovimientos[FactorStock],1))</f>
        <v/>
      </c>
      <c r="I316" s="55" t="str">
        <f>IF(tblStock[[#This Row],[SKU]]="","",-SUMIFS(tblMovimientos[CantidadNeta],tblMovimientos[SKU],tblStock[[#This Row],[SKU]],tblMovimientos[FactorStock],-1))</f>
        <v/>
      </c>
      <c r="J316" s="56" t="str">
        <f>IF(tblStock[[#This Row],[SKU]]="","",SUMIFS(tblMovimientos[CantidadNeta],tblMovimientos[SKU],tblStock[[#This Row],[SKU]]))</f>
        <v/>
      </c>
      <c r="K316" s="55" t="str">
        <f>IF($B316="","",N('05_PRODUCTOS'!$F316))</f>
        <v/>
      </c>
      <c r="L316" s="55" t="str">
        <f>IF($B316="","",N('05_PRODUCTOS'!$G316))</f>
        <v/>
      </c>
      <c r="M316" s="57" t="str">
        <f>IF(OR(tblStock[[#This Row],[SKU]]="",N(tblStock[[#This Row],[StockMax]])=0),"",MAX(0,tblStock[[#This Row],[StockActual]])/tblStock[[#This Row],[StockMax]])</f>
        <v/>
      </c>
      <c r="N31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6" s="59" t="str">
        <f>IF($B316="","",N('05_PRODUCTOS'!$H316))</f>
        <v/>
      </c>
      <c r="P316" s="59" t="str">
        <f>IF(tblStock[[#This Row],[SKU]]="","",MAX(0,tblStock[[#This Row],[StockActual]])*tblStock[[#This Row],[CostoUnitario]])</f>
        <v/>
      </c>
      <c r="Q316" s="60" t="str">
        <f>IF(tblStock[[#This Row],[SKU]]="","",IFERROR(_xlfn.AGGREGATE(14,6,tblMovimientos[Fecha]/(tblMovimientos[SKU]=tblStock[[#This Row],[SKU]]),1),""))</f>
        <v/>
      </c>
      <c r="R316" s="61" t="str">
        <f ca="1">IF(OR(tblStock[[#This Row],[SKU]]="",tblStock[[#This Row],[UltimoMov]]=""),"",TODAY()-tblStock[[#This Row],[UltimoMov]])</f>
        <v/>
      </c>
    </row>
    <row r="317" spans="2:18" x14ac:dyDescent="0.25">
      <c r="B317" s="53" t="str">
        <f>IF('05_PRODUCTOS'!$B317="","",'05_PRODUCTOS'!$B317)</f>
        <v/>
      </c>
      <c r="C317" s="54" t="str">
        <f>IF($B317="","",'05_PRODUCTOS'!$C317)</f>
        <v/>
      </c>
      <c r="D317" s="54" t="str">
        <f>IF($B317="","",'05_PRODUCTOS'!$D317)</f>
        <v/>
      </c>
      <c r="E317" s="54" t="str">
        <f>IF($B317="","",'05_PRODUCTOS'!$I317&amp;"")</f>
        <v/>
      </c>
      <c r="F317" s="53" t="str">
        <f>IF($B317="","",'05_PRODUCTOS'!$E317)</f>
        <v/>
      </c>
      <c r="G317" s="53" t="str">
        <f>IF($B317="","",IF('05_PRODUCTOS'!$K317="NO","NO","SI"))</f>
        <v/>
      </c>
      <c r="H317" s="55" t="str">
        <f>IF(tblStock[[#This Row],[SKU]]="","",SUMIFS(tblMovimientos[CantidadNeta],tblMovimientos[SKU],tblStock[[#This Row],[SKU]],tblMovimientos[FactorStock],1))</f>
        <v/>
      </c>
      <c r="I317" s="55" t="str">
        <f>IF(tblStock[[#This Row],[SKU]]="","",-SUMIFS(tblMovimientos[CantidadNeta],tblMovimientos[SKU],tblStock[[#This Row],[SKU]],tblMovimientos[FactorStock],-1))</f>
        <v/>
      </c>
      <c r="J317" s="56" t="str">
        <f>IF(tblStock[[#This Row],[SKU]]="","",SUMIFS(tblMovimientos[CantidadNeta],tblMovimientos[SKU],tblStock[[#This Row],[SKU]]))</f>
        <v/>
      </c>
      <c r="K317" s="55" t="str">
        <f>IF($B317="","",N('05_PRODUCTOS'!$F317))</f>
        <v/>
      </c>
      <c r="L317" s="55" t="str">
        <f>IF($B317="","",N('05_PRODUCTOS'!$G317))</f>
        <v/>
      </c>
      <c r="M317" s="57" t="str">
        <f>IF(OR(tblStock[[#This Row],[SKU]]="",N(tblStock[[#This Row],[StockMax]])=0),"",MAX(0,tblStock[[#This Row],[StockActual]])/tblStock[[#This Row],[StockMax]])</f>
        <v/>
      </c>
      <c r="N31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7" s="59" t="str">
        <f>IF($B317="","",N('05_PRODUCTOS'!$H317))</f>
        <v/>
      </c>
      <c r="P317" s="59" t="str">
        <f>IF(tblStock[[#This Row],[SKU]]="","",MAX(0,tblStock[[#This Row],[StockActual]])*tblStock[[#This Row],[CostoUnitario]])</f>
        <v/>
      </c>
      <c r="Q317" s="60" t="str">
        <f>IF(tblStock[[#This Row],[SKU]]="","",IFERROR(_xlfn.AGGREGATE(14,6,tblMovimientos[Fecha]/(tblMovimientos[SKU]=tblStock[[#This Row],[SKU]]),1),""))</f>
        <v/>
      </c>
      <c r="R317" s="61" t="str">
        <f ca="1">IF(OR(tblStock[[#This Row],[SKU]]="",tblStock[[#This Row],[UltimoMov]]=""),"",TODAY()-tblStock[[#This Row],[UltimoMov]])</f>
        <v/>
      </c>
    </row>
    <row r="318" spans="2:18" x14ac:dyDescent="0.25">
      <c r="B318" s="53" t="str">
        <f>IF('05_PRODUCTOS'!$B318="","",'05_PRODUCTOS'!$B318)</f>
        <v/>
      </c>
      <c r="C318" s="54" t="str">
        <f>IF($B318="","",'05_PRODUCTOS'!$C318)</f>
        <v/>
      </c>
      <c r="D318" s="54" t="str">
        <f>IF($B318="","",'05_PRODUCTOS'!$D318)</f>
        <v/>
      </c>
      <c r="E318" s="54" t="str">
        <f>IF($B318="","",'05_PRODUCTOS'!$I318&amp;"")</f>
        <v/>
      </c>
      <c r="F318" s="53" t="str">
        <f>IF($B318="","",'05_PRODUCTOS'!$E318)</f>
        <v/>
      </c>
      <c r="G318" s="53" t="str">
        <f>IF($B318="","",IF('05_PRODUCTOS'!$K318="NO","NO","SI"))</f>
        <v/>
      </c>
      <c r="H318" s="55" t="str">
        <f>IF(tblStock[[#This Row],[SKU]]="","",SUMIFS(tblMovimientos[CantidadNeta],tblMovimientos[SKU],tblStock[[#This Row],[SKU]],tblMovimientos[FactorStock],1))</f>
        <v/>
      </c>
      <c r="I318" s="55" t="str">
        <f>IF(tblStock[[#This Row],[SKU]]="","",-SUMIFS(tblMovimientos[CantidadNeta],tblMovimientos[SKU],tblStock[[#This Row],[SKU]],tblMovimientos[FactorStock],-1))</f>
        <v/>
      </c>
      <c r="J318" s="56" t="str">
        <f>IF(tblStock[[#This Row],[SKU]]="","",SUMIFS(tblMovimientos[CantidadNeta],tblMovimientos[SKU],tblStock[[#This Row],[SKU]]))</f>
        <v/>
      </c>
      <c r="K318" s="55" t="str">
        <f>IF($B318="","",N('05_PRODUCTOS'!$F318))</f>
        <v/>
      </c>
      <c r="L318" s="55" t="str">
        <f>IF($B318="","",N('05_PRODUCTOS'!$G318))</f>
        <v/>
      </c>
      <c r="M318" s="57" t="str">
        <f>IF(OR(tblStock[[#This Row],[SKU]]="",N(tblStock[[#This Row],[StockMax]])=0),"",MAX(0,tblStock[[#This Row],[StockActual]])/tblStock[[#This Row],[StockMax]])</f>
        <v/>
      </c>
      <c r="N31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8" s="59" t="str">
        <f>IF($B318="","",N('05_PRODUCTOS'!$H318))</f>
        <v/>
      </c>
      <c r="P318" s="59" t="str">
        <f>IF(tblStock[[#This Row],[SKU]]="","",MAX(0,tblStock[[#This Row],[StockActual]])*tblStock[[#This Row],[CostoUnitario]])</f>
        <v/>
      </c>
      <c r="Q318" s="60" t="str">
        <f>IF(tblStock[[#This Row],[SKU]]="","",IFERROR(_xlfn.AGGREGATE(14,6,tblMovimientos[Fecha]/(tblMovimientos[SKU]=tblStock[[#This Row],[SKU]]),1),""))</f>
        <v/>
      </c>
      <c r="R318" s="61" t="str">
        <f ca="1">IF(OR(tblStock[[#This Row],[SKU]]="",tblStock[[#This Row],[UltimoMov]]=""),"",TODAY()-tblStock[[#This Row],[UltimoMov]])</f>
        <v/>
      </c>
    </row>
    <row r="319" spans="2:18" x14ac:dyDescent="0.25">
      <c r="B319" s="53" t="str">
        <f>IF('05_PRODUCTOS'!$B319="","",'05_PRODUCTOS'!$B319)</f>
        <v/>
      </c>
      <c r="C319" s="54" t="str">
        <f>IF($B319="","",'05_PRODUCTOS'!$C319)</f>
        <v/>
      </c>
      <c r="D319" s="54" t="str">
        <f>IF($B319="","",'05_PRODUCTOS'!$D319)</f>
        <v/>
      </c>
      <c r="E319" s="54" t="str">
        <f>IF($B319="","",'05_PRODUCTOS'!$I319&amp;"")</f>
        <v/>
      </c>
      <c r="F319" s="53" t="str">
        <f>IF($B319="","",'05_PRODUCTOS'!$E319)</f>
        <v/>
      </c>
      <c r="G319" s="53" t="str">
        <f>IF($B319="","",IF('05_PRODUCTOS'!$K319="NO","NO","SI"))</f>
        <v/>
      </c>
      <c r="H319" s="55" t="str">
        <f>IF(tblStock[[#This Row],[SKU]]="","",SUMIFS(tblMovimientos[CantidadNeta],tblMovimientos[SKU],tblStock[[#This Row],[SKU]],tblMovimientos[FactorStock],1))</f>
        <v/>
      </c>
      <c r="I319" s="55" t="str">
        <f>IF(tblStock[[#This Row],[SKU]]="","",-SUMIFS(tblMovimientos[CantidadNeta],tblMovimientos[SKU],tblStock[[#This Row],[SKU]],tblMovimientos[FactorStock],-1))</f>
        <v/>
      </c>
      <c r="J319" s="56" t="str">
        <f>IF(tblStock[[#This Row],[SKU]]="","",SUMIFS(tblMovimientos[CantidadNeta],tblMovimientos[SKU],tblStock[[#This Row],[SKU]]))</f>
        <v/>
      </c>
      <c r="K319" s="55" t="str">
        <f>IF($B319="","",N('05_PRODUCTOS'!$F319))</f>
        <v/>
      </c>
      <c r="L319" s="55" t="str">
        <f>IF($B319="","",N('05_PRODUCTOS'!$G319))</f>
        <v/>
      </c>
      <c r="M319" s="57" t="str">
        <f>IF(OR(tblStock[[#This Row],[SKU]]="",N(tblStock[[#This Row],[StockMax]])=0),"",MAX(0,tblStock[[#This Row],[StockActual]])/tblStock[[#This Row],[StockMax]])</f>
        <v/>
      </c>
      <c r="N31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19" s="59" t="str">
        <f>IF($B319="","",N('05_PRODUCTOS'!$H319))</f>
        <v/>
      </c>
      <c r="P319" s="59" t="str">
        <f>IF(tblStock[[#This Row],[SKU]]="","",MAX(0,tblStock[[#This Row],[StockActual]])*tblStock[[#This Row],[CostoUnitario]])</f>
        <v/>
      </c>
      <c r="Q319" s="60" t="str">
        <f>IF(tblStock[[#This Row],[SKU]]="","",IFERROR(_xlfn.AGGREGATE(14,6,tblMovimientos[Fecha]/(tblMovimientos[SKU]=tblStock[[#This Row],[SKU]]),1),""))</f>
        <v/>
      </c>
      <c r="R319" s="61" t="str">
        <f ca="1">IF(OR(tblStock[[#This Row],[SKU]]="",tblStock[[#This Row],[UltimoMov]]=""),"",TODAY()-tblStock[[#This Row],[UltimoMov]])</f>
        <v/>
      </c>
    </row>
    <row r="320" spans="2:18" x14ac:dyDescent="0.25">
      <c r="B320" s="53" t="str">
        <f>IF('05_PRODUCTOS'!$B320="","",'05_PRODUCTOS'!$B320)</f>
        <v/>
      </c>
      <c r="C320" s="54" t="str">
        <f>IF($B320="","",'05_PRODUCTOS'!$C320)</f>
        <v/>
      </c>
      <c r="D320" s="54" t="str">
        <f>IF($B320="","",'05_PRODUCTOS'!$D320)</f>
        <v/>
      </c>
      <c r="E320" s="54" t="str">
        <f>IF($B320="","",'05_PRODUCTOS'!$I320&amp;"")</f>
        <v/>
      </c>
      <c r="F320" s="53" t="str">
        <f>IF($B320="","",'05_PRODUCTOS'!$E320)</f>
        <v/>
      </c>
      <c r="G320" s="53" t="str">
        <f>IF($B320="","",IF('05_PRODUCTOS'!$K320="NO","NO","SI"))</f>
        <v/>
      </c>
      <c r="H320" s="55" t="str">
        <f>IF(tblStock[[#This Row],[SKU]]="","",SUMIFS(tblMovimientos[CantidadNeta],tblMovimientos[SKU],tblStock[[#This Row],[SKU]],tblMovimientos[FactorStock],1))</f>
        <v/>
      </c>
      <c r="I320" s="55" t="str">
        <f>IF(tblStock[[#This Row],[SKU]]="","",-SUMIFS(tblMovimientos[CantidadNeta],tblMovimientos[SKU],tblStock[[#This Row],[SKU]],tblMovimientos[FactorStock],-1))</f>
        <v/>
      </c>
      <c r="J320" s="56" t="str">
        <f>IF(tblStock[[#This Row],[SKU]]="","",SUMIFS(tblMovimientos[CantidadNeta],tblMovimientos[SKU],tblStock[[#This Row],[SKU]]))</f>
        <v/>
      </c>
      <c r="K320" s="55" t="str">
        <f>IF($B320="","",N('05_PRODUCTOS'!$F320))</f>
        <v/>
      </c>
      <c r="L320" s="55" t="str">
        <f>IF($B320="","",N('05_PRODUCTOS'!$G320))</f>
        <v/>
      </c>
      <c r="M320" s="57" t="str">
        <f>IF(OR(tblStock[[#This Row],[SKU]]="",N(tblStock[[#This Row],[StockMax]])=0),"",MAX(0,tblStock[[#This Row],[StockActual]])/tblStock[[#This Row],[StockMax]])</f>
        <v/>
      </c>
      <c r="N32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0" s="59" t="str">
        <f>IF($B320="","",N('05_PRODUCTOS'!$H320))</f>
        <v/>
      </c>
      <c r="P320" s="59" t="str">
        <f>IF(tblStock[[#This Row],[SKU]]="","",MAX(0,tblStock[[#This Row],[StockActual]])*tblStock[[#This Row],[CostoUnitario]])</f>
        <v/>
      </c>
      <c r="Q320" s="60" t="str">
        <f>IF(tblStock[[#This Row],[SKU]]="","",IFERROR(_xlfn.AGGREGATE(14,6,tblMovimientos[Fecha]/(tblMovimientos[SKU]=tblStock[[#This Row],[SKU]]),1),""))</f>
        <v/>
      </c>
      <c r="R320" s="61" t="str">
        <f ca="1">IF(OR(tblStock[[#This Row],[SKU]]="",tblStock[[#This Row],[UltimoMov]]=""),"",TODAY()-tblStock[[#This Row],[UltimoMov]])</f>
        <v/>
      </c>
    </row>
    <row r="321" spans="2:18" x14ac:dyDescent="0.25">
      <c r="B321" s="53" t="str">
        <f>IF('05_PRODUCTOS'!$B321="","",'05_PRODUCTOS'!$B321)</f>
        <v/>
      </c>
      <c r="C321" s="54" t="str">
        <f>IF($B321="","",'05_PRODUCTOS'!$C321)</f>
        <v/>
      </c>
      <c r="D321" s="54" t="str">
        <f>IF($B321="","",'05_PRODUCTOS'!$D321)</f>
        <v/>
      </c>
      <c r="E321" s="54" t="str">
        <f>IF($B321="","",'05_PRODUCTOS'!$I321&amp;"")</f>
        <v/>
      </c>
      <c r="F321" s="53" t="str">
        <f>IF($B321="","",'05_PRODUCTOS'!$E321)</f>
        <v/>
      </c>
      <c r="G321" s="53" t="str">
        <f>IF($B321="","",IF('05_PRODUCTOS'!$K321="NO","NO","SI"))</f>
        <v/>
      </c>
      <c r="H321" s="55" t="str">
        <f>IF(tblStock[[#This Row],[SKU]]="","",SUMIFS(tblMovimientos[CantidadNeta],tblMovimientos[SKU],tblStock[[#This Row],[SKU]],tblMovimientos[FactorStock],1))</f>
        <v/>
      </c>
      <c r="I321" s="55" t="str">
        <f>IF(tblStock[[#This Row],[SKU]]="","",-SUMIFS(tblMovimientos[CantidadNeta],tblMovimientos[SKU],tblStock[[#This Row],[SKU]],tblMovimientos[FactorStock],-1))</f>
        <v/>
      </c>
      <c r="J321" s="56" t="str">
        <f>IF(tblStock[[#This Row],[SKU]]="","",SUMIFS(tblMovimientos[CantidadNeta],tblMovimientos[SKU],tblStock[[#This Row],[SKU]]))</f>
        <v/>
      </c>
      <c r="K321" s="55" t="str">
        <f>IF($B321="","",N('05_PRODUCTOS'!$F321))</f>
        <v/>
      </c>
      <c r="L321" s="55" t="str">
        <f>IF($B321="","",N('05_PRODUCTOS'!$G321))</f>
        <v/>
      </c>
      <c r="M321" s="57" t="str">
        <f>IF(OR(tblStock[[#This Row],[SKU]]="",N(tblStock[[#This Row],[StockMax]])=0),"",MAX(0,tblStock[[#This Row],[StockActual]])/tblStock[[#This Row],[StockMax]])</f>
        <v/>
      </c>
      <c r="N32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1" s="59" t="str">
        <f>IF($B321="","",N('05_PRODUCTOS'!$H321))</f>
        <v/>
      </c>
      <c r="P321" s="59" t="str">
        <f>IF(tblStock[[#This Row],[SKU]]="","",MAX(0,tblStock[[#This Row],[StockActual]])*tblStock[[#This Row],[CostoUnitario]])</f>
        <v/>
      </c>
      <c r="Q321" s="60" t="str">
        <f>IF(tblStock[[#This Row],[SKU]]="","",IFERROR(_xlfn.AGGREGATE(14,6,tblMovimientos[Fecha]/(tblMovimientos[SKU]=tblStock[[#This Row],[SKU]]),1),""))</f>
        <v/>
      </c>
      <c r="R321" s="61" t="str">
        <f ca="1">IF(OR(tblStock[[#This Row],[SKU]]="",tblStock[[#This Row],[UltimoMov]]=""),"",TODAY()-tblStock[[#This Row],[UltimoMov]])</f>
        <v/>
      </c>
    </row>
    <row r="322" spans="2:18" x14ac:dyDescent="0.25">
      <c r="B322" s="53" t="str">
        <f>IF('05_PRODUCTOS'!$B322="","",'05_PRODUCTOS'!$B322)</f>
        <v/>
      </c>
      <c r="C322" s="54" t="str">
        <f>IF($B322="","",'05_PRODUCTOS'!$C322)</f>
        <v/>
      </c>
      <c r="D322" s="54" t="str">
        <f>IF($B322="","",'05_PRODUCTOS'!$D322)</f>
        <v/>
      </c>
      <c r="E322" s="54" t="str">
        <f>IF($B322="","",'05_PRODUCTOS'!$I322&amp;"")</f>
        <v/>
      </c>
      <c r="F322" s="53" t="str">
        <f>IF($B322="","",'05_PRODUCTOS'!$E322)</f>
        <v/>
      </c>
      <c r="G322" s="53" t="str">
        <f>IF($B322="","",IF('05_PRODUCTOS'!$K322="NO","NO","SI"))</f>
        <v/>
      </c>
      <c r="H322" s="55" t="str">
        <f>IF(tblStock[[#This Row],[SKU]]="","",SUMIFS(tblMovimientos[CantidadNeta],tblMovimientos[SKU],tblStock[[#This Row],[SKU]],tblMovimientos[FactorStock],1))</f>
        <v/>
      </c>
      <c r="I322" s="55" t="str">
        <f>IF(tblStock[[#This Row],[SKU]]="","",-SUMIFS(tblMovimientos[CantidadNeta],tblMovimientos[SKU],tblStock[[#This Row],[SKU]],tblMovimientos[FactorStock],-1))</f>
        <v/>
      </c>
      <c r="J322" s="56" t="str">
        <f>IF(tblStock[[#This Row],[SKU]]="","",SUMIFS(tblMovimientos[CantidadNeta],tblMovimientos[SKU],tblStock[[#This Row],[SKU]]))</f>
        <v/>
      </c>
      <c r="K322" s="55" t="str">
        <f>IF($B322="","",N('05_PRODUCTOS'!$F322))</f>
        <v/>
      </c>
      <c r="L322" s="55" t="str">
        <f>IF($B322="","",N('05_PRODUCTOS'!$G322))</f>
        <v/>
      </c>
      <c r="M322" s="57" t="str">
        <f>IF(OR(tblStock[[#This Row],[SKU]]="",N(tblStock[[#This Row],[StockMax]])=0),"",MAX(0,tblStock[[#This Row],[StockActual]])/tblStock[[#This Row],[StockMax]])</f>
        <v/>
      </c>
      <c r="N32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2" s="59" t="str">
        <f>IF($B322="","",N('05_PRODUCTOS'!$H322))</f>
        <v/>
      </c>
      <c r="P322" s="59" t="str">
        <f>IF(tblStock[[#This Row],[SKU]]="","",MAX(0,tblStock[[#This Row],[StockActual]])*tblStock[[#This Row],[CostoUnitario]])</f>
        <v/>
      </c>
      <c r="Q322" s="60" t="str">
        <f>IF(tblStock[[#This Row],[SKU]]="","",IFERROR(_xlfn.AGGREGATE(14,6,tblMovimientos[Fecha]/(tblMovimientos[SKU]=tblStock[[#This Row],[SKU]]),1),""))</f>
        <v/>
      </c>
      <c r="R322" s="61" t="str">
        <f ca="1">IF(OR(tblStock[[#This Row],[SKU]]="",tblStock[[#This Row],[UltimoMov]]=""),"",TODAY()-tblStock[[#This Row],[UltimoMov]])</f>
        <v/>
      </c>
    </row>
    <row r="323" spans="2:18" x14ac:dyDescent="0.25">
      <c r="B323" s="53" t="str">
        <f>IF('05_PRODUCTOS'!$B323="","",'05_PRODUCTOS'!$B323)</f>
        <v/>
      </c>
      <c r="C323" s="54" t="str">
        <f>IF($B323="","",'05_PRODUCTOS'!$C323)</f>
        <v/>
      </c>
      <c r="D323" s="54" t="str">
        <f>IF($B323="","",'05_PRODUCTOS'!$D323)</f>
        <v/>
      </c>
      <c r="E323" s="54" t="str">
        <f>IF($B323="","",'05_PRODUCTOS'!$I323&amp;"")</f>
        <v/>
      </c>
      <c r="F323" s="53" t="str">
        <f>IF($B323="","",'05_PRODUCTOS'!$E323)</f>
        <v/>
      </c>
      <c r="G323" s="53" t="str">
        <f>IF($B323="","",IF('05_PRODUCTOS'!$K323="NO","NO","SI"))</f>
        <v/>
      </c>
      <c r="H323" s="55" t="str">
        <f>IF(tblStock[[#This Row],[SKU]]="","",SUMIFS(tblMovimientos[CantidadNeta],tblMovimientos[SKU],tblStock[[#This Row],[SKU]],tblMovimientos[FactorStock],1))</f>
        <v/>
      </c>
      <c r="I323" s="55" t="str">
        <f>IF(tblStock[[#This Row],[SKU]]="","",-SUMIFS(tblMovimientos[CantidadNeta],tblMovimientos[SKU],tblStock[[#This Row],[SKU]],tblMovimientos[FactorStock],-1))</f>
        <v/>
      </c>
      <c r="J323" s="56" t="str">
        <f>IF(tblStock[[#This Row],[SKU]]="","",SUMIFS(tblMovimientos[CantidadNeta],tblMovimientos[SKU],tblStock[[#This Row],[SKU]]))</f>
        <v/>
      </c>
      <c r="K323" s="55" t="str">
        <f>IF($B323="","",N('05_PRODUCTOS'!$F323))</f>
        <v/>
      </c>
      <c r="L323" s="55" t="str">
        <f>IF($B323="","",N('05_PRODUCTOS'!$G323))</f>
        <v/>
      </c>
      <c r="M323" s="57" t="str">
        <f>IF(OR(tblStock[[#This Row],[SKU]]="",N(tblStock[[#This Row],[StockMax]])=0),"",MAX(0,tblStock[[#This Row],[StockActual]])/tblStock[[#This Row],[StockMax]])</f>
        <v/>
      </c>
      <c r="N32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3" s="59" t="str">
        <f>IF($B323="","",N('05_PRODUCTOS'!$H323))</f>
        <v/>
      </c>
      <c r="P323" s="59" t="str">
        <f>IF(tblStock[[#This Row],[SKU]]="","",MAX(0,tblStock[[#This Row],[StockActual]])*tblStock[[#This Row],[CostoUnitario]])</f>
        <v/>
      </c>
      <c r="Q323" s="60" t="str">
        <f>IF(tblStock[[#This Row],[SKU]]="","",IFERROR(_xlfn.AGGREGATE(14,6,tblMovimientos[Fecha]/(tblMovimientos[SKU]=tblStock[[#This Row],[SKU]]),1),""))</f>
        <v/>
      </c>
      <c r="R323" s="61" t="str">
        <f ca="1">IF(OR(tblStock[[#This Row],[SKU]]="",tblStock[[#This Row],[UltimoMov]]=""),"",TODAY()-tblStock[[#This Row],[UltimoMov]])</f>
        <v/>
      </c>
    </row>
    <row r="324" spans="2:18" x14ac:dyDescent="0.25">
      <c r="B324" s="53" t="str">
        <f>IF('05_PRODUCTOS'!$B324="","",'05_PRODUCTOS'!$B324)</f>
        <v/>
      </c>
      <c r="C324" s="54" t="str">
        <f>IF($B324="","",'05_PRODUCTOS'!$C324)</f>
        <v/>
      </c>
      <c r="D324" s="54" t="str">
        <f>IF($B324="","",'05_PRODUCTOS'!$D324)</f>
        <v/>
      </c>
      <c r="E324" s="54" t="str">
        <f>IF($B324="","",'05_PRODUCTOS'!$I324&amp;"")</f>
        <v/>
      </c>
      <c r="F324" s="53" t="str">
        <f>IF($B324="","",'05_PRODUCTOS'!$E324)</f>
        <v/>
      </c>
      <c r="G324" s="53" t="str">
        <f>IF($B324="","",IF('05_PRODUCTOS'!$K324="NO","NO","SI"))</f>
        <v/>
      </c>
      <c r="H324" s="55" t="str">
        <f>IF(tblStock[[#This Row],[SKU]]="","",SUMIFS(tblMovimientos[CantidadNeta],tblMovimientos[SKU],tblStock[[#This Row],[SKU]],tblMovimientos[FactorStock],1))</f>
        <v/>
      </c>
      <c r="I324" s="55" t="str">
        <f>IF(tblStock[[#This Row],[SKU]]="","",-SUMIFS(tblMovimientos[CantidadNeta],tblMovimientos[SKU],tblStock[[#This Row],[SKU]],tblMovimientos[FactorStock],-1))</f>
        <v/>
      </c>
      <c r="J324" s="56" t="str">
        <f>IF(tblStock[[#This Row],[SKU]]="","",SUMIFS(tblMovimientos[CantidadNeta],tblMovimientos[SKU],tblStock[[#This Row],[SKU]]))</f>
        <v/>
      </c>
      <c r="K324" s="55" t="str">
        <f>IF($B324="","",N('05_PRODUCTOS'!$F324))</f>
        <v/>
      </c>
      <c r="L324" s="55" t="str">
        <f>IF($B324="","",N('05_PRODUCTOS'!$G324))</f>
        <v/>
      </c>
      <c r="M324" s="57" t="str">
        <f>IF(OR(tblStock[[#This Row],[SKU]]="",N(tblStock[[#This Row],[StockMax]])=0),"",MAX(0,tblStock[[#This Row],[StockActual]])/tblStock[[#This Row],[StockMax]])</f>
        <v/>
      </c>
      <c r="N32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4" s="59" t="str">
        <f>IF($B324="","",N('05_PRODUCTOS'!$H324))</f>
        <v/>
      </c>
      <c r="P324" s="59" t="str">
        <f>IF(tblStock[[#This Row],[SKU]]="","",MAX(0,tblStock[[#This Row],[StockActual]])*tblStock[[#This Row],[CostoUnitario]])</f>
        <v/>
      </c>
      <c r="Q324" s="60" t="str">
        <f>IF(tblStock[[#This Row],[SKU]]="","",IFERROR(_xlfn.AGGREGATE(14,6,tblMovimientos[Fecha]/(tblMovimientos[SKU]=tblStock[[#This Row],[SKU]]),1),""))</f>
        <v/>
      </c>
      <c r="R324" s="61" t="str">
        <f ca="1">IF(OR(tblStock[[#This Row],[SKU]]="",tblStock[[#This Row],[UltimoMov]]=""),"",TODAY()-tblStock[[#This Row],[UltimoMov]])</f>
        <v/>
      </c>
    </row>
    <row r="325" spans="2:18" x14ac:dyDescent="0.25">
      <c r="B325" s="53" t="str">
        <f>IF('05_PRODUCTOS'!$B325="","",'05_PRODUCTOS'!$B325)</f>
        <v/>
      </c>
      <c r="C325" s="54" t="str">
        <f>IF($B325="","",'05_PRODUCTOS'!$C325)</f>
        <v/>
      </c>
      <c r="D325" s="54" t="str">
        <f>IF($B325="","",'05_PRODUCTOS'!$D325)</f>
        <v/>
      </c>
      <c r="E325" s="54" t="str">
        <f>IF($B325="","",'05_PRODUCTOS'!$I325&amp;"")</f>
        <v/>
      </c>
      <c r="F325" s="53" t="str">
        <f>IF($B325="","",'05_PRODUCTOS'!$E325)</f>
        <v/>
      </c>
      <c r="G325" s="53" t="str">
        <f>IF($B325="","",IF('05_PRODUCTOS'!$K325="NO","NO","SI"))</f>
        <v/>
      </c>
      <c r="H325" s="55" t="str">
        <f>IF(tblStock[[#This Row],[SKU]]="","",SUMIFS(tblMovimientos[CantidadNeta],tblMovimientos[SKU],tblStock[[#This Row],[SKU]],tblMovimientos[FactorStock],1))</f>
        <v/>
      </c>
      <c r="I325" s="55" t="str">
        <f>IF(tblStock[[#This Row],[SKU]]="","",-SUMIFS(tblMovimientos[CantidadNeta],tblMovimientos[SKU],tblStock[[#This Row],[SKU]],tblMovimientos[FactorStock],-1))</f>
        <v/>
      </c>
      <c r="J325" s="56" t="str">
        <f>IF(tblStock[[#This Row],[SKU]]="","",SUMIFS(tblMovimientos[CantidadNeta],tblMovimientos[SKU],tblStock[[#This Row],[SKU]]))</f>
        <v/>
      </c>
      <c r="K325" s="55" t="str">
        <f>IF($B325="","",N('05_PRODUCTOS'!$F325))</f>
        <v/>
      </c>
      <c r="L325" s="55" t="str">
        <f>IF($B325="","",N('05_PRODUCTOS'!$G325))</f>
        <v/>
      </c>
      <c r="M325" s="57" t="str">
        <f>IF(OR(tblStock[[#This Row],[SKU]]="",N(tblStock[[#This Row],[StockMax]])=0),"",MAX(0,tblStock[[#This Row],[StockActual]])/tblStock[[#This Row],[StockMax]])</f>
        <v/>
      </c>
      <c r="N32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5" s="59" t="str">
        <f>IF($B325="","",N('05_PRODUCTOS'!$H325))</f>
        <v/>
      </c>
      <c r="P325" s="59" t="str">
        <f>IF(tblStock[[#This Row],[SKU]]="","",MAX(0,tblStock[[#This Row],[StockActual]])*tblStock[[#This Row],[CostoUnitario]])</f>
        <v/>
      </c>
      <c r="Q325" s="60" t="str">
        <f>IF(tblStock[[#This Row],[SKU]]="","",IFERROR(_xlfn.AGGREGATE(14,6,tblMovimientos[Fecha]/(tblMovimientos[SKU]=tblStock[[#This Row],[SKU]]),1),""))</f>
        <v/>
      </c>
      <c r="R325" s="61" t="str">
        <f ca="1">IF(OR(tblStock[[#This Row],[SKU]]="",tblStock[[#This Row],[UltimoMov]]=""),"",TODAY()-tblStock[[#This Row],[UltimoMov]])</f>
        <v/>
      </c>
    </row>
    <row r="326" spans="2:18" x14ac:dyDescent="0.25">
      <c r="B326" s="53" t="str">
        <f>IF('05_PRODUCTOS'!$B326="","",'05_PRODUCTOS'!$B326)</f>
        <v/>
      </c>
      <c r="C326" s="54" t="str">
        <f>IF($B326="","",'05_PRODUCTOS'!$C326)</f>
        <v/>
      </c>
      <c r="D326" s="54" t="str">
        <f>IF($B326="","",'05_PRODUCTOS'!$D326)</f>
        <v/>
      </c>
      <c r="E326" s="54" t="str">
        <f>IF($B326="","",'05_PRODUCTOS'!$I326&amp;"")</f>
        <v/>
      </c>
      <c r="F326" s="53" t="str">
        <f>IF($B326="","",'05_PRODUCTOS'!$E326)</f>
        <v/>
      </c>
      <c r="G326" s="53" t="str">
        <f>IF($B326="","",IF('05_PRODUCTOS'!$K326="NO","NO","SI"))</f>
        <v/>
      </c>
      <c r="H326" s="55" t="str">
        <f>IF(tblStock[[#This Row],[SKU]]="","",SUMIFS(tblMovimientos[CantidadNeta],tblMovimientos[SKU],tblStock[[#This Row],[SKU]],tblMovimientos[FactorStock],1))</f>
        <v/>
      </c>
      <c r="I326" s="55" t="str">
        <f>IF(tblStock[[#This Row],[SKU]]="","",-SUMIFS(tblMovimientos[CantidadNeta],tblMovimientos[SKU],tblStock[[#This Row],[SKU]],tblMovimientos[FactorStock],-1))</f>
        <v/>
      </c>
      <c r="J326" s="56" t="str">
        <f>IF(tblStock[[#This Row],[SKU]]="","",SUMIFS(tblMovimientos[CantidadNeta],tblMovimientos[SKU],tblStock[[#This Row],[SKU]]))</f>
        <v/>
      </c>
      <c r="K326" s="55" t="str">
        <f>IF($B326="","",N('05_PRODUCTOS'!$F326))</f>
        <v/>
      </c>
      <c r="L326" s="55" t="str">
        <f>IF($B326="","",N('05_PRODUCTOS'!$G326))</f>
        <v/>
      </c>
      <c r="M326" s="57" t="str">
        <f>IF(OR(tblStock[[#This Row],[SKU]]="",N(tblStock[[#This Row],[StockMax]])=0),"",MAX(0,tblStock[[#This Row],[StockActual]])/tblStock[[#This Row],[StockMax]])</f>
        <v/>
      </c>
      <c r="N32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6" s="59" t="str">
        <f>IF($B326="","",N('05_PRODUCTOS'!$H326))</f>
        <v/>
      </c>
      <c r="P326" s="59" t="str">
        <f>IF(tblStock[[#This Row],[SKU]]="","",MAX(0,tblStock[[#This Row],[StockActual]])*tblStock[[#This Row],[CostoUnitario]])</f>
        <v/>
      </c>
      <c r="Q326" s="60" t="str">
        <f>IF(tblStock[[#This Row],[SKU]]="","",IFERROR(_xlfn.AGGREGATE(14,6,tblMovimientos[Fecha]/(tblMovimientos[SKU]=tblStock[[#This Row],[SKU]]),1),""))</f>
        <v/>
      </c>
      <c r="R326" s="61" t="str">
        <f ca="1">IF(OR(tblStock[[#This Row],[SKU]]="",tblStock[[#This Row],[UltimoMov]]=""),"",TODAY()-tblStock[[#This Row],[UltimoMov]])</f>
        <v/>
      </c>
    </row>
    <row r="327" spans="2:18" x14ac:dyDescent="0.25">
      <c r="B327" s="53" t="str">
        <f>IF('05_PRODUCTOS'!$B327="","",'05_PRODUCTOS'!$B327)</f>
        <v/>
      </c>
      <c r="C327" s="54" t="str">
        <f>IF($B327="","",'05_PRODUCTOS'!$C327)</f>
        <v/>
      </c>
      <c r="D327" s="54" t="str">
        <f>IF($B327="","",'05_PRODUCTOS'!$D327)</f>
        <v/>
      </c>
      <c r="E327" s="54" t="str">
        <f>IF($B327="","",'05_PRODUCTOS'!$I327&amp;"")</f>
        <v/>
      </c>
      <c r="F327" s="53" t="str">
        <f>IF($B327="","",'05_PRODUCTOS'!$E327)</f>
        <v/>
      </c>
      <c r="G327" s="53" t="str">
        <f>IF($B327="","",IF('05_PRODUCTOS'!$K327="NO","NO","SI"))</f>
        <v/>
      </c>
      <c r="H327" s="55" t="str">
        <f>IF(tblStock[[#This Row],[SKU]]="","",SUMIFS(tblMovimientos[CantidadNeta],tblMovimientos[SKU],tblStock[[#This Row],[SKU]],tblMovimientos[FactorStock],1))</f>
        <v/>
      </c>
      <c r="I327" s="55" t="str">
        <f>IF(tblStock[[#This Row],[SKU]]="","",-SUMIFS(tblMovimientos[CantidadNeta],tblMovimientos[SKU],tblStock[[#This Row],[SKU]],tblMovimientos[FactorStock],-1))</f>
        <v/>
      </c>
      <c r="J327" s="56" t="str">
        <f>IF(tblStock[[#This Row],[SKU]]="","",SUMIFS(tblMovimientos[CantidadNeta],tblMovimientos[SKU],tblStock[[#This Row],[SKU]]))</f>
        <v/>
      </c>
      <c r="K327" s="55" t="str">
        <f>IF($B327="","",N('05_PRODUCTOS'!$F327))</f>
        <v/>
      </c>
      <c r="L327" s="55" t="str">
        <f>IF($B327="","",N('05_PRODUCTOS'!$G327))</f>
        <v/>
      </c>
      <c r="M327" s="57" t="str">
        <f>IF(OR(tblStock[[#This Row],[SKU]]="",N(tblStock[[#This Row],[StockMax]])=0),"",MAX(0,tblStock[[#This Row],[StockActual]])/tblStock[[#This Row],[StockMax]])</f>
        <v/>
      </c>
      <c r="N32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7" s="59" t="str">
        <f>IF($B327="","",N('05_PRODUCTOS'!$H327))</f>
        <v/>
      </c>
      <c r="P327" s="59" t="str">
        <f>IF(tblStock[[#This Row],[SKU]]="","",MAX(0,tblStock[[#This Row],[StockActual]])*tblStock[[#This Row],[CostoUnitario]])</f>
        <v/>
      </c>
      <c r="Q327" s="60" t="str">
        <f>IF(tblStock[[#This Row],[SKU]]="","",IFERROR(_xlfn.AGGREGATE(14,6,tblMovimientos[Fecha]/(tblMovimientos[SKU]=tblStock[[#This Row],[SKU]]),1),""))</f>
        <v/>
      </c>
      <c r="R327" s="61" t="str">
        <f ca="1">IF(OR(tblStock[[#This Row],[SKU]]="",tblStock[[#This Row],[UltimoMov]]=""),"",TODAY()-tblStock[[#This Row],[UltimoMov]])</f>
        <v/>
      </c>
    </row>
    <row r="328" spans="2:18" x14ac:dyDescent="0.25">
      <c r="B328" s="53" t="str">
        <f>IF('05_PRODUCTOS'!$B328="","",'05_PRODUCTOS'!$B328)</f>
        <v/>
      </c>
      <c r="C328" s="54" t="str">
        <f>IF($B328="","",'05_PRODUCTOS'!$C328)</f>
        <v/>
      </c>
      <c r="D328" s="54" t="str">
        <f>IF($B328="","",'05_PRODUCTOS'!$D328)</f>
        <v/>
      </c>
      <c r="E328" s="54" t="str">
        <f>IF($B328="","",'05_PRODUCTOS'!$I328&amp;"")</f>
        <v/>
      </c>
      <c r="F328" s="53" t="str">
        <f>IF($B328="","",'05_PRODUCTOS'!$E328)</f>
        <v/>
      </c>
      <c r="G328" s="53" t="str">
        <f>IF($B328="","",IF('05_PRODUCTOS'!$K328="NO","NO","SI"))</f>
        <v/>
      </c>
      <c r="H328" s="55" t="str">
        <f>IF(tblStock[[#This Row],[SKU]]="","",SUMIFS(tblMovimientos[CantidadNeta],tblMovimientos[SKU],tblStock[[#This Row],[SKU]],tblMovimientos[FactorStock],1))</f>
        <v/>
      </c>
      <c r="I328" s="55" t="str">
        <f>IF(tblStock[[#This Row],[SKU]]="","",-SUMIFS(tblMovimientos[CantidadNeta],tblMovimientos[SKU],tblStock[[#This Row],[SKU]],tblMovimientos[FactorStock],-1))</f>
        <v/>
      </c>
      <c r="J328" s="56" t="str">
        <f>IF(tblStock[[#This Row],[SKU]]="","",SUMIFS(tblMovimientos[CantidadNeta],tblMovimientos[SKU],tblStock[[#This Row],[SKU]]))</f>
        <v/>
      </c>
      <c r="K328" s="55" t="str">
        <f>IF($B328="","",N('05_PRODUCTOS'!$F328))</f>
        <v/>
      </c>
      <c r="L328" s="55" t="str">
        <f>IF($B328="","",N('05_PRODUCTOS'!$G328))</f>
        <v/>
      </c>
      <c r="M328" s="57" t="str">
        <f>IF(OR(tblStock[[#This Row],[SKU]]="",N(tblStock[[#This Row],[StockMax]])=0),"",MAX(0,tblStock[[#This Row],[StockActual]])/tblStock[[#This Row],[StockMax]])</f>
        <v/>
      </c>
      <c r="N32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8" s="59" t="str">
        <f>IF($B328="","",N('05_PRODUCTOS'!$H328))</f>
        <v/>
      </c>
      <c r="P328" s="59" t="str">
        <f>IF(tblStock[[#This Row],[SKU]]="","",MAX(0,tblStock[[#This Row],[StockActual]])*tblStock[[#This Row],[CostoUnitario]])</f>
        <v/>
      </c>
      <c r="Q328" s="60" t="str">
        <f>IF(tblStock[[#This Row],[SKU]]="","",IFERROR(_xlfn.AGGREGATE(14,6,tblMovimientos[Fecha]/(tblMovimientos[SKU]=tblStock[[#This Row],[SKU]]),1),""))</f>
        <v/>
      </c>
      <c r="R328" s="61" t="str">
        <f ca="1">IF(OR(tblStock[[#This Row],[SKU]]="",tblStock[[#This Row],[UltimoMov]]=""),"",TODAY()-tblStock[[#This Row],[UltimoMov]])</f>
        <v/>
      </c>
    </row>
    <row r="329" spans="2:18" x14ac:dyDescent="0.25">
      <c r="B329" s="53" t="str">
        <f>IF('05_PRODUCTOS'!$B329="","",'05_PRODUCTOS'!$B329)</f>
        <v/>
      </c>
      <c r="C329" s="54" t="str">
        <f>IF($B329="","",'05_PRODUCTOS'!$C329)</f>
        <v/>
      </c>
      <c r="D329" s="54" t="str">
        <f>IF($B329="","",'05_PRODUCTOS'!$D329)</f>
        <v/>
      </c>
      <c r="E329" s="54" t="str">
        <f>IF($B329="","",'05_PRODUCTOS'!$I329&amp;"")</f>
        <v/>
      </c>
      <c r="F329" s="53" t="str">
        <f>IF($B329="","",'05_PRODUCTOS'!$E329)</f>
        <v/>
      </c>
      <c r="G329" s="53" t="str">
        <f>IF($B329="","",IF('05_PRODUCTOS'!$K329="NO","NO","SI"))</f>
        <v/>
      </c>
      <c r="H329" s="55" t="str">
        <f>IF(tblStock[[#This Row],[SKU]]="","",SUMIFS(tblMovimientos[CantidadNeta],tblMovimientos[SKU],tblStock[[#This Row],[SKU]],tblMovimientos[FactorStock],1))</f>
        <v/>
      </c>
      <c r="I329" s="55" t="str">
        <f>IF(tblStock[[#This Row],[SKU]]="","",-SUMIFS(tblMovimientos[CantidadNeta],tblMovimientos[SKU],tblStock[[#This Row],[SKU]],tblMovimientos[FactorStock],-1))</f>
        <v/>
      </c>
      <c r="J329" s="56" t="str">
        <f>IF(tblStock[[#This Row],[SKU]]="","",SUMIFS(tblMovimientos[CantidadNeta],tblMovimientos[SKU],tblStock[[#This Row],[SKU]]))</f>
        <v/>
      </c>
      <c r="K329" s="55" t="str">
        <f>IF($B329="","",N('05_PRODUCTOS'!$F329))</f>
        <v/>
      </c>
      <c r="L329" s="55" t="str">
        <f>IF($B329="","",N('05_PRODUCTOS'!$G329))</f>
        <v/>
      </c>
      <c r="M329" s="57" t="str">
        <f>IF(OR(tblStock[[#This Row],[SKU]]="",N(tblStock[[#This Row],[StockMax]])=0),"",MAX(0,tblStock[[#This Row],[StockActual]])/tblStock[[#This Row],[StockMax]])</f>
        <v/>
      </c>
      <c r="N32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29" s="59" t="str">
        <f>IF($B329="","",N('05_PRODUCTOS'!$H329))</f>
        <v/>
      </c>
      <c r="P329" s="59" t="str">
        <f>IF(tblStock[[#This Row],[SKU]]="","",MAX(0,tblStock[[#This Row],[StockActual]])*tblStock[[#This Row],[CostoUnitario]])</f>
        <v/>
      </c>
      <c r="Q329" s="60" t="str">
        <f>IF(tblStock[[#This Row],[SKU]]="","",IFERROR(_xlfn.AGGREGATE(14,6,tblMovimientos[Fecha]/(tblMovimientos[SKU]=tblStock[[#This Row],[SKU]]),1),""))</f>
        <v/>
      </c>
      <c r="R329" s="61" t="str">
        <f ca="1">IF(OR(tblStock[[#This Row],[SKU]]="",tblStock[[#This Row],[UltimoMov]]=""),"",TODAY()-tblStock[[#This Row],[UltimoMov]])</f>
        <v/>
      </c>
    </row>
    <row r="330" spans="2:18" x14ac:dyDescent="0.25">
      <c r="B330" s="53" t="str">
        <f>IF('05_PRODUCTOS'!$B330="","",'05_PRODUCTOS'!$B330)</f>
        <v/>
      </c>
      <c r="C330" s="54" t="str">
        <f>IF($B330="","",'05_PRODUCTOS'!$C330)</f>
        <v/>
      </c>
      <c r="D330" s="54" t="str">
        <f>IF($B330="","",'05_PRODUCTOS'!$D330)</f>
        <v/>
      </c>
      <c r="E330" s="54" t="str">
        <f>IF($B330="","",'05_PRODUCTOS'!$I330&amp;"")</f>
        <v/>
      </c>
      <c r="F330" s="53" t="str">
        <f>IF($B330="","",'05_PRODUCTOS'!$E330)</f>
        <v/>
      </c>
      <c r="G330" s="53" t="str">
        <f>IF($B330="","",IF('05_PRODUCTOS'!$K330="NO","NO","SI"))</f>
        <v/>
      </c>
      <c r="H330" s="55" t="str">
        <f>IF(tblStock[[#This Row],[SKU]]="","",SUMIFS(tblMovimientos[CantidadNeta],tblMovimientos[SKU],tblStock[[#This Row],[SKU]],tblMovimientos[FactorStock],1))</f>
        <v/>
      </c>
      <c r="I330" s="55" t="str">
        <f>IF(tblStock[[#This Row],[SKU]]="","",-SUMIFS(tblMovimientos[CantidadNeta],tblMovimientos[SKU],tblStock[[#This Row],[SKU]],tblMovimientos[FactorStock],-1))</f>
        <v/>
      </c>
      <c r="J330" s="56" t="str">
        <f>IF(tblStock[[#This Row],[SKU]]="","",SUMIFS(tblMovimientos[CantidadNeta],tblMovimientos[SKU],tblStock[[#This Row],[SKU]]))</f>
        <v/>
      </c>
      <c r="K330" s="55" t="str">
        <f>IF($B330="","",N('05_PRODUCTOS'!$F330))</f>
        <v/>
      </c>
      <c r="L330" s="55" t="str">
        <f>IF($B330="","",N('05_PRODUCTOS'!$G330))</f>
        <v/>
      </c>
      <c r="M330" s="57" t="str">
        <f>IF(OR(tblStock[[#This Row],[SKU]]="",N(tblStock[[#This Row],[StockMax]])=0),"",MAX(0,tblStock[[#This Row],[StockActual]])/tblStock[[#This Row],[StockMax]])</f>
        <v/>
      </c>
      <c r="N33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0" s="59" t="str">
        <f>IF($B330="","",N('05_PRODUCTOS'!$H330))</f>
        <v/>
      </c>
      <c r="P330" s="59" t="str">
        <f>IF(tblStock[[#This Row],[SKU]]="","",MAX(0,tblStock[[#This Row],[StockActual]])*tblStock[[#This Row],[CostoUnitario]])</f>
        <v/>
      </c>
      <c r="Q330" s="60" t="str">
        <f>IF(tblStock[[#This Row],[SKU]]="","",IFERROR(_xlfn.AGGREGATE(14,6,tblMovimientos[Fecha]/(tblMovimientos[SKU]=tblStock[[#This Row],[SKU]]),1),""))</f>
        <v/>
      </c>
      <c r="R330" s="61" t="str">
        <f ca="1">IF(OR(tblStock[[#This Row],[SKU]]="",tblStock[[#This Row],[UltimoMov]]=""),"",TODAY()-tblStock[[#This Row],[UltimoMov]])</f>
        <v/>
      </c>
    </row>
    <row r="331" spans="2:18" x14ac:dyDescent="0.25">
      <c r="B331" s="53" t="str">
        <f>IF('05_PRODUCTOS'!$B331="","",'05_PRODUCTOS'!$B331)</f>
        <v/>
      </c>
      <c r="C331" s="54" t="str">
        <f>IF($B331="","",'05_PRODUCTOS'!$C331)</f>
        <v/>
      </c>
      <c r="D331" s="54" t="str">
        <f>IF($B331="","",'05_PRODUCTOS'!$D331)</f>
        <v/>
      </c>
      <c r="E331" s="54" t="str">
        <f>IF($B331="","",'05_PRODUCTOS'!$I331&amp;"")</f>
        <v/>
      </c>
      <c r="F331" s="53" t="str">
        <f>IF($B331="","",'05_PRODUCTOS'!$E331)</f>
        <v/>
      </c>
      <c r="G331" s="53" t="str">
        <f>IF($B331="","",IF('05_PRODUCTOS'!$K331="NO","NO","SI"))</f>
        <v/>
      </c>
      <c r="H331" s="55" t="str">
        <f>IF(tblStock[[#This Row],[SKU]]="","",SUMIFS(tblMovimientos[CantidadNeta],tblMovimientos[SKU],tblStock[[#This Row],[SKU]],tblMovimientos[FactorStock],1))</f>
        <v/>
      </c>
      <c r="I331" s="55" t="str">
        <f>IF(tblStock[[#This Row],[SKU]]="","",-SUMIFS(tblMovimientos[CantidadNeta],tblMovimientos[SKU],tblStock[[#This Row],[SKU]],tblMovimientos[FactorStock],-1))</f>
        <v/>
      </c>
      <c r="J331" s="56" t="str">
        <f>IF(tblStock[[#This Row],[SKU]]="","",SUMIFS(tblMovimientos[CantidadNeta],tblMovimientos[SKU],tblStock[[#This Row],[SKU]]))</f>
        <v/>
      </c>
      <c r="K331" s="55" t="str">
        <f>IF($B331="","",N('05_PRODUCTOS'!$F331))</f>
        <v/>
      </c>
      <c r="L331" s="55" t="str">
        <f>IF($B331="","",N('05_PRODUCTOS'!$G331))</f>
        <v/>
      </c>
      <c r="M331" s="57" t="str">
        <f>IF(OR(tblStock[[#This Row],[SKU]]="",N(tblStock[[#This Row],[StockMax]])=0),"",MAX(0,tblStock[[#This Row],[StockActual]])/tblStock[[#This Row],[StockMax]])</f>
        <v/>
      </c>
      <c r="N33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1" s="59" t="str">
        <f>IF($B331="","",N('05_PRODUCTOS'!$H331))</f>
        <v/>
      </c>
      <c r="P331" s="59" t="str">
        <f>IF(tblStock[[#This Row],[SKU]]="","",MAX(0,tblStock[[#This Row],[StockActual]])*tblStock[[#This Row],[CostoUnitario]])</f>
        <v/>
      </c>
      <c r="Q331" s="60" t="str">
        <f>IF(tblStock[[#This Row],[SKU]]="","",IFERROR(_xlfn.AGGREGATE(14,6,tblMovimientos[Fecha]/(tblMovimientos[SKU]=tblStock[[#This Row],[SKU]]),1),""))</f>
        <v/>
      </c>
      <c r="R331" s="61" t="str">
        <f ca="1">IF(OR(tblStock[[#This Row],[SKU]]="",tblStock[[#This Row],[UltimoMov]]=""),"",TODAY()-tblStock[[#This Row],[UltimoMov]])</f>
        <v/>
      </c>
    </row>
    <row r="332" spans="2:18" x14ac:dyDescent="0.25">
      <c r="B332" s="53" t="str">
        <f>IF('05_PRODUCTOS'!$B332="","",'05_PRODUCTOS'!$B332)</f>
        <v/>
      </c>
      <c r="C332" s="54" t="str">
        <f>IF($B332="","",'05_PRODUCTOS'!$C332)</f>
        <v/>
      </c>
      <c r="D332" s="54" t="str">
        <f>IF($B332="","",'05_PRODUCTOS'!$D332)</f>
        <v/>
      </c>
      <c r="E332" s="54" t="str">
        <f>IF($B332="","",'05_PRODUCTOS'!$I332&amp;"")</f>
        <v/>
      </c>
      <c r="F332" s="53" t="str">
        <f>IF($B332="","",'05_PRODUCTOS'!$E332)</f>
        <v/>
      </c>
      <c r="G332" s="53" t="str">
        <f>IF($B332="","",IF('05_PRODUCTOS'!$K332="NO","NO","SI"))</f>
        <v/>
      </c>
      <c r="H332" s="55" t="str">
        <f>IF(tblStock[[#This Row],[SKU]]="","",SUMIFS(tblMovimientos[CantidadNeta],tblMovimientos[SKU],tblStock[[#This Row],[SKU]],tblMovimientos[FactorStock],1))</f>
        <v/>
      </c>
      <c r="I332" s="55" t="str">
        <f>IF(tblStock[[#This Row],[SKU]]="","",-SUMIFS(tblMovimientos[CantidadNeta],tblMovimientos[SKU],tblStock[[#This Row],[SKU]],tblMovimientos[FactorStock],-1))</f>
        <v/>
      </c>
      <c r="J332" s="56" t="str">
        <f>IF(tblStock[[#This Row],[SKU]]="","",SUMIFS(tblMovimientos[CantidadNeta],tblMovimientos[SKU],tblStock[[#This Row],[SKU]]))</f>
        <v/>
      </c>
      <c r="K332" s="55" t="str">
        <f>IF($B332="","",N('05_PRODUCTOS'!$F332))</f>
        <v/>
      </c>
      <c r="L332" s="55" t="str">
        <f>IF($B332="","",N('05_PRODUCTOS'!$G332))</f>
        <v/>
      </c>
      <c r="M332" s="57" t="str">
        <f>IF(OR(tblStock[[#This Row],[SKU]]="",N(tblStock[[#This Row],[StockMax]])=0),"",MAX(0,tblStock[[#This Row],[StockActual]])/tblStock[[#This Row],[StockMax]])</f>
        <v/>
      </c>
      <c r="N33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2" s="59" t="str">
        <f>IF($B332="","",N('05_PRODUCTOS'!$H332))</f>
        <v/>
      </c>
      <c r="P332" s="59" t="str">
        <f>IF(tblStock[[#This Row],[SKU]]="","",MAX(0,tblStock[[#This Row],[StockActual]])*tblStock[[#This Row],[CostoUnitario]])</f>
        <v/>
      </c>
      <c r="Q332" s="60" t="str">
        <f>IF(tblStock[[#This Row],[SKU]]="","",IFERROR(_xlfn.AGGREGATE(14,6,tblMovimientos[Fecha]/(tblMovimientos[SKU]=tblStock[[#This Row],[SKU]]),1),""))</f>
        <v/>
      </c>
      <c r="R332" s="61" t="str">
        <f ca="1">IF(OR(tblStock[[#This Row],[SKU]]="",tblStock[[#This Row],[UltimoMov]]=""),"",TODAY()-tblStock[[#This Row],[UltimoMov]])</f>
        <v/>
      </c>
    </row>
    <row r="333" spans="2:18" x14ac:dyDescent="0.25">
      <c r="B333" s="53" t="str">
        <f>IF('05_PRODUCTOS'!$B333="","",'05_PRODUCTOS'!$B333)</f>
        <v/>
      </c>
      <c r="C333" s="54" t="str">
        <f>IF($B333="","",'05_PRODUCTOS'!$C333)</f>
        <v/>
      </c>
      <c r="D333" s="54" t="str">
        <f>IF($B333="","",'05_PRODUCTOS'!$D333)</f>
        <v/>
      </c>
      <c r="E333" s="54" t="str">
        <f>IF($B333="","",'05_PRODUCTOS'!$I333&amp;"")</f>
        <v/>
      </c>
      <c r="F333" s="53" t="str">
        <f>IF($B333="","",'05_PRODUCTOS'!$E333)</f>
        <v/>
      </c>
      <c r="G333" s="53" t="str">
        <f>IF($B333="","",IF('05_PRODUCTOS'!$K333="NO","NO","SI"))</f>
        <v/>
      </c>
      <c r="H333" s="55" t="str">
        <f>IF(tblStock[[#This Row],[SKU]]="","",SUMIFS(tblMovimientos[CantidadNeta],tblMovimientos[SKU],tblStock[[#This Row],[SKU]],tblMovimientos[FactorStock],1))</f>
        <v/>
      </c>
      <c r="I333" s="55" t="str">
        <f>IF(tblStock[[#This Row],[SKU]]="","",-SUMIFS(tblMovimientos[CantidadNeta],tblMovimientos[SKU],tblStock[[#This Row],[SKU]],tblMovimientos[FactorStock],-1))</f>
        <v/>
      </c>
      <c r="J333" s="56" t="str">
        <f>IF(tblStock[[#This Row],[SKU]]="","",SUMIFS(tblMovimientos[CantidadNeta],tblMovimientos[SKU],tblStock[[#This Row],[SKU]]))</f>
        <v/>
      </c>
      <c r="K333" s="55" t="str">
        <f>IF($B333="","",N('05_PRODUCTOS'!$F333))</f>
        <v/>
      </c>
      <c r="L333" s="55" t="str">
        <f>IF($B333="","",N('05_PRODUCTOS'!$G333))</f>
        <v/>
      </c>
      <c r="M333" s="57" t="str">
        <f>IF(OR(tblStock[[#This Row],[SKU]]="",N(tblStock[[#This Row],[StockMax]])=0),"",MAX(0,tblStock[[#This Row],[StockActual]])/tblStock[[#This Row],[StockMax]])</f>
        <v/>
      </c>
      <c r="N33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3" s="59" t="str">
        <f>IF($B333="","",N('05_PRODUCTOS'!$H333))</f>
        <v/>
      </c>
      <c r="P333" s="59" t="str">
        <f>IF(tblStock[[#This Row],[SKU]]="","",MAX(0,tblStock[[#This Row],[StockActual]])*tblStock[[#This Row],[CostoUnitario]])</f>
        <v/>
      </c>
      <c r="Q333" s="60" t="str">
        <f>IF(tblStock[[#This Row],[SKU]]="","",IFERROR(_xlfn.AGGREGATE(14,6,tblMovimientos[Fecha]/(tblMovimientos[SKU]=tblStock[[#This Row],[SKU]]),1),""))</f>
        <v/>
      </c>
      <c r="R333" s="61" t="str">
        <f ca="1">IF(OR(tblStock[[#This Row],[SKU]]="",tblStock[[#This Row],[UltimoMov]]=""),"",TODAY()-tblStock[[#This Row],[UltimoMov]])</f>
        <v/>
      </c>
    </row>
    <row r="334" spans="2:18" x14ac:dyDescent="0.25">
      <c r="B334" s="53" t="str">
        <f>IF('05_PRODUCTOS'!$B334="","",'05_PRODUCTOS'!$B334)</f>
        <v/>
      </c>
      <c r="C334" s="54" t="str">
        <f>IF($B334="","",'05_PRODUCTOS'!$C334)</f>
        <v/>
      </c>
      <c r="D334" s="54" t="str">
        <f>IF($B334="","",'05_PRODUCTOS'!$D334)</f>
        <v/>
      </c>
      <c r="E334" s="54" t="str">
        <f>IF($B334="","",'05_PRODUCTOS'!$I334&amp;"")</f>
        <v/>
      </c>
      <c r="F334" s="53" t="str">
        <f>IF($B334="","",'05_PRODUCTOS'!$E334)</f>
        <v/>
      </c>
      <c r="G334" s="53" t="str">
        <f>IF($B334="","",IF('05_PRODUCTOS'!$K334="NO","NO","SI"))</f>
        <v/>
      </c>
      <c r="H334" s="55" t="str">
        <f>IF(tblStock[[#This Row],[SKU]]="","",SUMIFS(tblMovimientos[CantidadNeta],tblMovimientos[SKU],tblStock[[#This Row],[SKU]],tblMovimientos[FactorStock],1))</f>
        <v/>
      </c>
      <c r="I334" s="55" t="str">
        <f>IF(tblStock[[#This Row],[SKU]]="","",-SUMIFS(tblMovimientos[CantidadNeta],tblMovimientos[SKU],tblStock[[#This Row],[SKU]],tblMovimientos[FactorStock],-1))</f>
        <v/>
      </c>
      <c r="J334" s="56" t="str">
        <f>IF(tblStock[[#This Row],[SKU]]="","",SUMIFS(tblMovimientos[CantidadNeta],tblMovimientos[SKU],tblStock[[#This Row],[SKU]]))</f>
        <v/>
      </c>
      <c r="K334" s="55" t="str">
        <f>IF($B334="","",N('05_PRODUCTOS'!$F334))</f>
        <v/>
      </c>
      <c r="L334" s="55" t="str">
        <f>IF($B334="","",N('05_PRODUCTOS'!$G334))</f>
        <v/>
      </c>
      <c r="M334" s="57" t="str">
        <f>IF(OR(tblStock[[#This Row],[SKU]]="",N(tblStock[[#This Row],[StockMax]])=0),"",MAX(0,tblStock[[#This Row],[StockActual]])/tblStock[[#This Row],[StockMax]])</f>
        <v/>
      </c>
      <c r="N33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4" s="59" t="str">
        <f>IF($B334="","",N('05_PRODUCTOS'!$H334))</f>
        <v/>
      </c>
      <c r="P334" s="59" t="str">
        <f>IF(tblStock[[#This Row],[SKU]]="","",MAX(0,tblStock[[#This Row],[StockActual]])*tblStock[[#This Row],[CostoUnitario]])</f>
        <v/>
      </c>
      <c r="Q334" s="60" t="str">
        <f>IF(tblStock[[#This Row],[SKU]]="","",IFERROR(_xlfn.AGGREGATE(14,6,tblMovimientos[Fecha]/(tblMovimientos[SKU]=tblStock[[#This Row],[SKU]]),1),""))</f>
        <v/>
      </c>
      <c r="R334" s="61" t="str">
        <f ca="1">IF(OR(tblStock[[#This Row],[SKU]]="",tblStock[[#This Row],[UltimoMov]]=""),"",TODAY()-tblStock[[#This Row],[UltimoMov]])</f>
        <v/>
      </c>
    </row>
    <row r="335" spans="2:18" x14ac:dyDescent="0.25">
      <c r="B335" s="53" t="str">
        <f>IF('05_PRODUCTOS'!$B335="","",'05_PRODUCTOS'!$B335)</f>
        <v/>
      </c>
      <c r="C335" s="54" t="str">
        <f>IF($B335="","",'05_PRODUCTOS'!$C335)</f>
        <v/>
      </c>
      <c r="D335" s="54" t="str">
        <f>IF($B335="","",'05_PRODUCTOS'!$D335)</f>
        <v/>
      </c>
      <c r="E335" s="54" t="str">
        <f>IF($B335="","",'05_PRODUCTOS'!$I335&amp;"")</f>
        <v/>
      </c>
      <c r="F335" s="53" t="str">
        <f>IF($B335="","",'05_PRODUCTOS'!$E335)</f>
        <v/>
      </c>
      <c r="G335" s="53" t="str">
        <f>IF($B335="","",IF('05_PRODUCTOS'!$K335="NO","NO","SI"))</f>
        <v/>
      </c>
      <c r="H335" s="55" t="str">
        <f>IF(tblStock[[#This Row],[SKU]]="","",SUMIFS(tblMovimientos[CantidadNeta],tblMovimientos[SKU],tblStock[[#This Row],[SKU]],tblMovimientos[FactorStock],1))</f>
        <v/>
      </c>
      <c r="I335" s="55" t="str">
        <f>IF(tblStock[[#This Row],[SKU]]="","",-SUMIFS(tblMovimientos[CantidadNeta],tblMovimientos[SKU],tblStock[[#This Row],[SKU]],tblMovimientos[FactorStock],-1))</f>
        <v/>
      </c>
      <c r="J335" s="56" t="str">
        <f>IF(tblStock[[#This Row],[SKU]]="","",SUMIFS(tblMovimientos[CantidadNeta],tblMovimientos[SKU],tblStock[[#This Row],[SKU]]))</f>
        <v/>
      </c>
      <c r="K335" s="55" t="str">
        <f>IF($B335="","",N('05_PRODUCTOS'!$F335))</f>
        <v/>
      </c>
      <c r="L335" s="55" t="str">
        <f>IF($B335="","",N('05_PRODUCTOS'!$G335))</f>
        <v/>
      </c>
      <c r="M335" s="57" t="str">
        <f>IF(OR(tblStock[[#This Row],[SKU]]="",N(tblStock[[#This Row],[StockMax]])=0),"",MAX(0,tblStock[[#This Row],[StockActual]])/tblStock[[#This Row],[StockMax]])</f>
        <v/>
      </c>
      <c r="N33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5" s="59" t="str">
        <f>IF($B335="","",N('05_PRODUCTOS'!$H335))</f>
        <v/>
      </c>
      <c r="P335" s="59" t="str">
        <f>IF(tblStock[[#This Row],[SKU]]="","",MAX(0,tblStock[[#This Row],[StockActual]])*tblStock[[#This Row],[CostoUnitario]])</f>
        <v/>
      </c>
      <c r="Q335" s="60" t="str">
        <f>IF(tblStock[[#This Row],[SKU]]="","",IFERROR(_xlfn.AGGREGATE(14,6,tblMovimientos[Fecha]/(tblMovimientos[SKU]=tblStock[[#This Row],[SKU]]),1),""))</f>
        <v/>
      </c>
      <c r="R335" s="61" t="str">
        <f ca="1">IF(OR(tblStock[[#This Row],[SKU]]="",tblStock[[#This Row],[UltimoMov]]=""),"",TODAY()-tblStock[[#This Row],[UltimoMov]])</f>
        <v/>
      </c>
    </row>
    <row r="336" spans="2:18" x14ac:dyDescent="0.25">
      <c r="B336" s="53" t="str">
        <f>IF('05_PRODUCTOS'!$B336="","",'05_PRODUCTOS'!$B336)</f>
        <v/>
      </c>
      <c r="C336" s="54" t="str">
        <f>IF($B336="","",'05_PRODUCTOS'!$C336)</f>
        <v/>
      </c>
      <c r="D336" s="54" t="str">
        <f>IF($B336="","",'05_PRODUCTOS'!$D336)</f>
        <v/>
      </c>
      <c r="E336" s="54" t="str">
        <f>IF($B336="","",'05_PRODUCTOS'!$I336&amp;"")</f>
        <v/>
      </c>
      <c r="F336" s="53" t="str">
        <f>IF($B336="","",'05_PRODUCTOS'!$E336)</f>
        <v/>
      </c>
      <c r="G336" s="53" t="str">
        <f>IF($B336="","",IF('05_PRODUCTOS'!$K336="NO","NO","SI"))</f>
        <v/>
      </c>
      <c r="H336" s="55" t="str">
        <f>IF(tblStock[[#This Row],[SKU]]="","",SUMIFS(tblMovimientos[CantidadNeta],tblMovimientos[SKU],tblStock[[#This Row],[SKU]],tblMovimientos[FactorStock],1))</f>
        <v/>
      </c>
      <c r="I336" s="55" t="str">
        <f>IF(tblStock[[#This Row],[SKU]]="","",-SUMIFS(tblMovimientos[CantidadNeta],tblMovimientos[SKU],tblStock[[#This Row],[SKU]],tblMovimientos[FactorStock],-1))</f>
        <v/>
      </c>
      <c r="J336" s="56" t="str">
        <f>IF(tblStock[[#This Row],[SKU]]="","",SUMIFS(tblMovimientos[CantidadNeta],tblMovimientos[SKU],tblStock[[#This Row],[SKU]]))</f>
        <v/>
      </c>
      <c r="K336" s="55" t="str">
        <f>IF($B336="","",N('05_PRODUCTOS'!$F336))</f>
        <v/>
      </c>
      <c r="L336" s="55" t="str">
        <f>IF($B336="","",N('05_PRODUCTOS'!$G336))</f>
        <v/>
      </c>
      <c r="M336" s="57" t="str">
        <f>IF(OR(tblStock[[#This Row],[SKU]]="",N(tblStock[[#This Row],[StockMax]])=0),"",MAX(0,tblStock[[#This Row],[StockActual]])/tblStock[[#This Row],[StockMax]])</f>
        <v/>
      </c>
      <c r="N33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6" s="59" t="str">
        <f>IF($B336="","",N('05_PRODUCTOS'!$H336))</f>
        <v/>
      </c>
      <c r="P336" s="59" t="str">
        <f>IF(tblStock[[#This Row],[SKU]]="","",MAX(0,tblStock[[#This Row],[StockActual]])*tblStock[[#This Row],[CostoUnitario]])</f>
        <v/>
      </c>
      <c r="Q336" s="60" t="str">
        <f>IF(tblStock[[#This Row],[SKU]]="","",IFERROR(_xlfn.AGGREGATE(14,6,tblMovimientos[Fecha]/(tblMovimientos[SKU]=tblStock[[#This Row],[SKU]]),1),""))</f>
        <v/>
      </c>
      <c r="R336" s="61" t="str">
        <f ca="1">IF(OR(tblStock[[#This Row],[SKU]]="",tblStock[[#This Row],[UltimoMov]]=""),"",TODAY()-tblStock[[#This Row],[UltimoMov]])</f>
        <v/>
      </c>
    </row>
    <row r="337" spans="2:18" x14ac:dyDescent="0.25">
      <c r="B337" s="53" t="str">
        <f>IF('05_PRODUCTOS'!$B337="","",'05_PRODUCTOS'!$B337)</f>
        <v/>
      </c>
      <c r="C337" s="54" t="str">
        <f>IF($B337="","",'05_PRODUCTOS'!$C337)</f>
        <v/>
      </c>
      <c r="D337" s="54" t="str">
        <f>IF($B337="","",'05_PRODUCTOS'!$D337)</f>
        <v/>
      </c>
      <c r="E337" s="54" t="str">
        <f>IF($B337="","",'05_PRODUCTOS'!$I337&amp;"")</f>
        <v/>
      </c>
      <c r="F337" s="53" t="str">
        <f>IF($B337="","",'05_PRODUCTOS'!$E337)</f>
        <v/>
      </c>
      <c r="G337" s="53" t="str">
        <f>IF($B337="","",IF('05_PRODUCTOS'!$K337="NO","NO","SI"))</f>
        <v/>
      </c>
      <c r="H337" s="55" t="str">
        <f>IF(tblStock[[#This Row],[SKU]]="","",SUMIFS(tblMovimientos[CantidadNeta],tblMovimientos[SKU],tblStock[[#This Row],[SKU]],tblMovimientos[FactorStock],1))</f>
        <v/>
      </c>
      <c r="I337" s="55" t="str">
        <f>IF(tblStock[[#This Row],[SKU]]="","",-SUMIFS(tblMovimientos[CantidadNeta],tblMovimientos[SKU],tblStock[[#This Row],[SKU]],tblMovimientos[FactorStock],-1))</f>
        <v/>
      </c>
      <c r="J337" s="56" t="str">
        <f>IF(tblStock[[#This Row],[SKU]]="","",SUMIFS(tblMovimientos[CantidadNeta],tblMovimientos[SKU],tblStock[[#This Row],[SKU]]))</f>
        <v/>
      </c>
      <c r="K337" s="55" t="str">
        <f>IF($B337="","",N('05_PRODUCTOS'!$F337))</f>
        <v/>
      </c>
      <c r="L337" s="55" t="str">
        <f>IF($B337="","",N('05_PRODUCTOS'!$G337))</f>
        <v/>
      </c>
      <c r="M337" s="57" t="str">
        <f>IF(OR(tblStock[[#This Row],[SKU]]="",N(tblStock[[#This Row],[StockMax]])=0),"",MAX(0,tblStock[[#This Row],[StockActual]])/tblStock[[#This Row],[StockMax]])</f>
        <v/>
      </c>
      <c r="N33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7" s="59" t="str">
        <f>IF($B337="","",N('05_PRODUCTOS'!$H337))</f>
        <v/>
      </c>
      <c r="P337" s="59" t="str">
        <f>IF(tblStock[[#This Row],[SKU]]="","",MAX(0,tblStock[[#This Row],[StockActual]])*tblStock[[#This Row],[CostoUnitario]])</f>
        <v/>
      </c>
      <c r="Q337" s="60" t="str">
        <f>IF(tblStock[[#This Row],[SKU]]="","",IFERROR(_xlfn.AGGREGATE(14,6,tblMovimientos[Fecha]/(tblMovimientos[SKU]=tblStock[[#This Row],[SKU]]),1),""))</f>
        <v/>
      </c>
      <c r="R337" s="61" t="str">
        <f ca="1">IF(OR(tblStock[[#This Row],[SKU]]="",tblStock[[#This Row],[UltimoMov]]=""),"",TODAY()-tblStock[[#This Row],[UltimoMov]])</f>
        <v/>
      </c>
    </row>
    <row r="338" spans="2:18" x14ac:dyDescent="0.25">
      <c r="B338" s="53" t="str">
        <f>IF('05_PRODUCTOS'!$B338="","",'05_PRODUCTOS'!$B338)</f>
        <v/>
      </c>
      <c r="C338" s="54" t="str">
        <f>IF($B338="","",'05_PRODUCTOS'!$C338)</f>
        <v/>
      </c>
      <c r="D338" s="54" t="str">
        <f>IF($B338="","",'05_PRODUCTOS'!$D338)</f>
        <v/>
      </c>
      <c r="E338" s="54" t="str">
        <f>IF($B338="","",'05_PRODUCTOS'!$I338&amp;"")</f>
        <v/>
      </c>
      <c r="F338" s="53" t="str">
        <f>IF($B338="","",'05_PRODUCTOS'!$E338)</f>
        <v/>
      </c>
      <c r="G338" s="53" t="str">
        <f>IF($B338="","",IF('05_PRODUCTOS'!$K338="NO","NO","SI"))</f>
        <v/>
      </c>
      <c r="H338" s="55" t="str">
        <f>IF(tblStock[[#This Row],[SKU]]="","",SUMIFS(tblMovimientos[CantidadNeta],tblMovimientos[SKU],tblStock[[#This Row],[SKU]],tblMovimientos[FactorStock],1))</f>
        <v/>
      </c>
      <c r="I338" s="55" t="str">
        <f>IF(tblStock[[#This Row],[SKU]]="","",-SUMIFS(tblMovimientos[CantidadNeta],tblMovimientos[SKU],tblStock[[#This Row],[SKU]],tblMovimientos[FactorStock],-1))</f>
        <v/>
      </c>
      <c r="J338" s="56" t="str">
        <f>IF(tblStock[[#This Row],[SKU]]="","",SUMIFS(tblMovimientos[CantidadNeta],tblMovimientos[SKU],tblStock[[#This Row],[SKU]]))</f>
        <v/>
      </c>
      <c r="K338" s="55" t="str">
        <f>IF($B338="","",N('05_PRODUCTOS'!$F338))</f>
        <v/>
      </c>
      <c r="L338" s="55" t="str">
        <f>IF($B338="","",N('05_PRODUCTOS'!$G338))</f>
        <v/>
      </c>
      <c r="M338" s="57" t="str">
        <f>IF(OR(tblStock[[#This Row],[SKU]]="",N(tblStock[[#This Row],[StockMax]])=0),"",MAX(0,tblStock[[#This Row],[StockActual]])/tblStock[[#This Row],[StockMax]])</f>
        <v/>
      </c>
      <c r="N33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8" s="59" t="str">
        <f>IF($B338="","",N('05_PRODUCTOS'!$H338))</f>
        <v/>
      </c>
      <c r="P338" s="59" t="str">
        <f>IF(tblStock[[#This Row],[SKU]]="","",MAX(0,tblStock[[#This Row],[StockActual]])*tblStock[[#This Row],[CostoUnitario]])</f>
        <v/>
      </c>
      <c r="Q338" s="60" t="str">
        <f>IF(tblStock[[#This Row],[SKU]]="","",IFERROR(_xlfn.AGGREGATE(14,6,tblMovimientos[Fecha]/(tblMovimientos[SKU]=tblStock[[#This Row],[SKU]]),1),""))</f>
        <v/>
      </c>
      <c r="R338" s="61" t="str">
        <f ca="1">IF(OR(tblStock[[#This Row],[SKU]]="",tblStock[[#This Row],[UltimoMov]]=""),"",TODAY()-tblStock[[#This Row],[UltimoMov]])</f>
        <v/>
      </c>
    </row>
    <row r="339" spans="2:18" x14ac:dyDescent="0.25">
      <c r="B339" s="53" t="str">
        <f>IF('05_PRODUCTOS'!$B339="","",'05_PRODUCTOS'!$B339)</f>
        <v/>
      </c>
      <c r="C339" s="54" t="str">
        <f>IF($B339="","",'05_PRODUCTOS'!$C339)</f>
        <v/>
      </c>
      <c r="D339" s="54" t="str">
        <f>IF($B339="","",'05_PRODUCTOS'!$D339)</f>
        <v/>
      </c>
      <c r="E339" s="54" t="str">
        <f>IF($B339="","",'05_PRODUCTOS'!$I339&amp;"")</f>
        <v/>
      </c>
      <c r="F339" s="53" t="str">
        <f>IF($B339="","",'05_PRODUCTOS'!$E339)</f>
        <v/>
      </c>
      <c r="G339" s="53" t="str">
        <f>IF($B339="","",IF('05_PRODUCTOS'!$K339="NO","NO","SI"))</f>
        <v/>
      </c>
      <c r="H339" s="55" t="str">
        <f>IF(tblStock[[#This Row],[SKU]]="","",SUMIFS(tblMovimientos[CantidadNeta],tblMovimientos[SKU],tblStock[[#This Row],[SKU]],tblMovimientos[FactorStock],1))</f>
        <v/>
      </c>
      <c r="I339" s="55" t="str">
        <f>IF(tblStock[[#This Row],[SKU]]="","",-SUMIFS(tblMovimientos[CantidadNeta],tblMovimientos[SKU],tblStock[[#This Row],[SKU]],tblMovimientos[FactorStock],-1))</f>
        <v/>
      </c>
      <c r="J339" s="56" t="str">
        <f>IF(tblStock[[#This Row],[SKU]]="","",SUMIFS(tblMovimientos[CantidadNeta],tblMovimientos[SKU],tblStock[[#This Row],[SKU]]))</f>
        <v/>
      </c>
      <c r="K339" s="55" t="str">
        <f>IF($B339="","",N('05_PRODUCTOS'!$F339))</f>
        <v/>
      </c>
      <c r="L339" s="55" t="str">
        <f>IF($B339="","",N('05_PRODUCTOS'!$G339))</f>
        <v/>
      </c>
      <c r="M339" s="57" t="str">
        <f>IF(OR(tblStock[[#This Row],[SKU]]="",N(tblStock[[#This Row],[StockMax]])=0),"",MAX(0,tblStock[[#This Row],[StockActual]])/tblStock[[#This Row],[StockMax]])</f>
        <v/>
      </c>
      <c r="N33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39" s="59" t="str">
        <f>IF($B339="","",N('05_PRODUCTOS'!$H339))</f>
        <v/>
      </c>
      <c r="P339" s="59" t="str">
        <f>IF(tblStock[[#This Row],[SKU]]="","",MAX(0,tblStock[[#This Row],[StockActual]])*tblStock[[#This Row],[CostoUnitario]])</f>
        <v/>
      </c>
      <c r="Q339" s="60" t="str">
        <f>IF(tblStock[[#This Row],[SKU]]="","",IFERROR(_xlfn.AGGREGATE(14,6,tblMovimientos[Fecha]/(tblMovimientos[SKU]=tblStock[[#This Row],[SKU]]),1),""))</f>
        <v/>
      </c>
      <c r="R339" s="61" t="str">
        <f ca="1">IF(OR(tblStock[[#This Row],[SKU]]="",tblStock[[#This Row],[UltimoMov]]=""),"",TODAY()-tblStock[[#This Row],[UltimoMov]])</f>
        <v/>
      </c>
    </row>
    <row r="340" spans="2:18" x14ac:dyDescent="0.25">
      <c r="B340" s="53" t="str">
        <f>IF('05_PRODUCTOS'!$B340="","",'05_PRODUCTOS'!$B340)</f>
        <v/>
      </c>
      <c r="C340" s="54" t="str">
        <f>IF($B340="","",'05_PRODUCTOS'!$C340)</f>
        <v/>
      </c>
      <c r="D340" s="54" t="str">
        <f>IF($B340="","",'05_PRODUCTOS'!$D340)</f>
        <v/>
      </c>
      <c r="E340" s="54" t="str">
        <f>IF($B340="","",'05_PRODUCTOS'!$I340&amp;"")</f>
        <v/>
      </c>
      <c r="F340" s="53" t="str">
        <f>IF($B340="","",'05_PRODUCTOS'!$E340)</f>
        <v/>
      </c>
      <c r="G340" s="53" t="str">
        <f>IF($B340="","",IF('05_PRODUCTOS'!$K340="NO","NO","SI"))</f>
        <v/>
      </c>
      <c r="H340" s="55" t="str">
        <f>IF(tblStock[[#This Row],[SKU]]="","",SUMIFS(tblMovimientos[CantidadNeta],tblMovimientos[SKU],tblStock[[#This Row],[SKU]],tblMovimientos[FactorStock],1))</f>
        <v/>
      </c>
      <c r="I340" s="55" t="str">
        <f>IF(tblStock[[#This Row],[SKU]]="","",-SUMIFS(tblMovimientos[CantidadNeta],tblMovimientos[SKU],tblStock[[#This Row],[SKU]],tblMovimientos[FactorStock],-1))</f>
        <v/>
      </c>
      <c r="J340" s="56" t="str">
        <f>IF(tblStock[[#This Row],[SKU]]="","",SUMIFS(tblMovimientos[CantidadNeta],tblMovimientos[SKU],tblStock[[#This Row],[SKU]]))</f>
        <v/>
      </c>
      <c r="K340" s="55" t="str">
        <f>IF($B340="","",N('05_PRODUCTOS'!$F340))</f>
        <v/>
      </c>
      <c r="L340" s="55" t="str">
        <f>IF($B340="","",N('05_PRODUCTOS'!$G340))</f>
        <v/>
      </c>
      <c r="M340" s="57" t="str">
        <f>IF(OR(tblStock[[#This Row],[SKU]]="",N(tblStock[[#This Row],[StockMax]])=0),"",MAX(0,tblStock[[#This Row],[StockActual]])/tblStock[[#This Row],[StockMax]])</f>
        <v/>
      </c>
      <c r="N34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0" s="59" t="str">
        <f>IF($B340="","",N('05_PRODUCTOS'!$H340))</f>
        <v/>
      </c>
      <c r="P340" s="59" t="str">
        <f>IF(tblStock[[#This Row],[SKU]]="","",MAX(0,tblStock[[#This Row],[StockActual]])*tblStock[[#This Row],[CostoUnitario]])</f>
        <v/>
      </c>
      <c r="Q340" s="60" t="str">
        <f>IF(tblStock[[#This Row],[SKU]]="","",IFERROR(_xlfn.AGGREGATE(14,6,tblMovimientos[Fecha]/(tblMovimientos[SKU]=tblStock[[#This Row],[SKU]]),1),""))</f>
        <v/>
      </c>
      <c r="R340" s="61" t="str">
        <f ca="1">IF(OR(tblStock[[#This Row],[SKU]]="",tblStock[[#This Row],[UltimoMov]]=""),"",TODAY()-tblStock[[#This Row],[UltimoMov]])</f>
        <v/>
      </c>
    </row>
    <row r="341" spans="2:18" x14ac:dyDescent="0.25">
      <c r="B341" s="53" t="str">
        <f>IF('05_PRODUCTOS'!$B341="","",'05_PRODUCTOS'!$B341)</f>
        <v/>
      </c>
      <c r="C341" s="54" t="str">
        <f>IF($B341="","",'05_PRODUCTOS'!$C341)</f>
        <v/>
      </c>
      <c r="D341" s="54" t="str">
        <f>IF($B341="","",'05_PRODUCTOS'!$D341)</f>
        <v/>
      </c>
      <c r="E341" s="54" t="str">
        <f>IF($B341="","",'05_PRODUCTOS'!$I341&amp;"")</f>
        <v/>
      </c>
      <c r="F341" s="53" t="str">
        <f>IF($B341="","",'05_PRODUCTOS'!$E341)</f>
        <v/>
      </c>
      <c r="G341" s="53" t="str">
        <f>IF($B341="","",IF('05_PRODUCTOS'!$K341="NO","NO","SI"))</f>
        <v/>
      </c>
      <c r="H341" s="55" t="str">
        <f>IF(tblStock[[#This Row],[SKU]]="","",SUMIFS(tblMovimientos[CantidadNeta],tblMovimientos[SKU],tblStock[[#This Row],[SKU]],tblMovimientos[FactorStock],1))</f>
        <v/>
      </c>
      <c r="I341" s="55" t="str">
        <f>IF(tblStock[[#This Row],[SKU]]="","",-SUMIFS(tblMovimientos[CantidadNeta],tblMovimientos[SKU],tblStock[[#This Row],[SKU]],tblMovimientos[FactorStock],-1))</f>
        <v/>
      </c>
      <c r="J341" s="56" t="str">
        <f>IF(tblStock[[#This Row],[SKU]]="","",SUMIFS(tblMovimientos[CantidadNeta],tblMovimientos[SKU],tblStock[[#This Row],[SKU]]))</f>
        <v/>
      </c>
      <c r="K341" s="55" t="str">
        <f>IF($B341="","",N('05_PRODUCTOS'!$F341))</f>
        <v/>
      </c>
      <c r="L341" s="55" t="str">
        <f>IF($B341="","",N('05_PRODUCTOS'!$G341))</f>
        <v/>
      </c>
      <c r="M341" s="57" t="str">
        <f>IF(OR(tblStock[[#This Row],[SKU]]="",N(tblStock[[#This Row],[StockMax]])=0),"",MAX(0,tblStock[[#This Row],[StockActual]])/tblStock[[#This Row],[StockMax]])</f>
        <v/>
      </c>
      <c r="N34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1" s="59" t="str">
        <f>IF($B341="","",N('05_PRODUCTOS'!$H341))</f>
        <v/>
      </c>
      <c r="P341" s="59" t="str">
        <f>IF(tblStock[[#This Row],[SKU]]="","",MAX(0,tblStock[[#This Row],[StockActual]])*tblStock[[#This Row],[CostoUnitario]])</f>
        <v/>
      </c>
      <c r="Q341" s="60" t="str">
        <f>IF(tblStock[[#This Row],[SKU]]="","",IFERROR(_xlfn.AGGREGATE(14,6,tblMovimientos[Fecha]/(tblMovimientos[SKU]=tblStock[[#This Row],[SKU]]),1),""))</f>
        <v/>
      </c>
      <c r="R341" s="61" t="str">
        <f ca="1">IF(OR(tblStock[[#This Row],[SKU]]="",tblStock[[#This Row],[UltimoMov]]=""),"",TODAY()-tblStock[[#This Row],[UltimoMov]])</f>
        <v/>
      </c>
    </row>
    <row r="342" spans="2:18" x14ac:dyDescent="0.25">
      <c r="B342" s="53" t="str">
        <f>IF('05_PRODUCTOS'!$B342="","",'05_PRODUCTOS'!$B342)</f>
        <v/>
      </c>
      <c r="C342" s="54" t="str">
        <f>IF($B342="","",'05_PRODUCTOS'!$C342)</f>
        <v/>
      </c>
      <c r="D342" s="54" t="str">
        <f>IF($B342="","",'05_PRODUCTOS'!$D342)</f>
        <v/>
      </c>
      <c r="E342" s="54" t="str">
        <f>IF($B342="","",'05_PRODUCTOS'!$I342&amp;"")</f>
        <v/>
      </c>
      <c r="F342" s="53" t="str">
        <f>IF($B342="","",'05_PRODUCTOS'!$E342)</f>
        <v/>
      </c>
      <c r="G342" s="53" t="str">
        <f>IF($B342="","",IF('05_PRODUCTOS'!$K342="NO","NO","SI"))</f>
        <v/>
      </c>
      <c r="H342" s="55" t="str">
        <f>IF(tblStock[[#This Row],[SKU]]="","",SUMIFS(tblMovimientos[CantidadNeta],tblMovimientos[SKU],tblStock[[#This Row],[SKU]],tblMovimientos[FactorStock],1))</f>
        <v/>
      </c>
      <c r="I342" s="55" t="str">
        <f>IF(tblStock[[#This Row],[SKU]]="","",-SUMIFS(tblMovimientos[CantidadNeta],tblMovimientos[SKU],tblStock[[#This Row],[SKU]],tblMovimientos[FactorStock],-1))</f>
        <v/>
      </c>
      <c r="J342" s="56" t="str">
        <f>IF(tblStock[[#This Row],[SKU]]="","",SUMIFS(tblMovimientos[CantidadNeta],tblMovimientos[SKU],tblStock[[#This Row],[SKU]]))</f>
        <v/>
      </c>
      <c r="K342" s="55" t="str">
        <f>IF($B342="","",N('05_PRODUCTOS'!$F342))</f>
        <v/>
      </c>
      <c r="L342" s="55" t="str">
        <f>IF($B342="","",N('05_PRODUCTOS'!$G342))</f>
        <v/>
      </c>
      <c r="M342" s="57" t="str">
        <f>IF(OR(tblStock[[#This Row],[SKU]]="",N(tblStock[[#This Row],[StockMax]])=0),"",MAX(0,tblStock[[#This Row],[StockActual]])/tblStock[[#This Row],[StockMax]])</f>
        <v/>
      </c>
      <c r="N34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2" s="59" t="str">
        <f>IF($B342="","",N('05_PRODUCTOS'!$H342))</f>
        <v/>
      </c>
      <c r="P342" s="59" t="str">
        <f>IF(tblStock[[#This Row],[SKU]]="","",MAX(0,tblStock[[#This Row],[StockActual]])*tblStock[[#This Row],[CostoUnitario]])</f>
        <v/>
      </c>
      <c r="Q342" s="60" t="str">
        <f>IF(tblStock[[#This Row],[SKU]]="","",IFERROR(_xlfn.AGGREGATE(14,6,tblMovimientos[Fecha]/(tblMovimientos[SKU]=tblStock[[#This Row],[SKU]]),1),""))</f>
        <v/>
      </c>
      <c r="R342" s="61" t="str">
        <f ca="1">IF(OR(tblStock[[#This Row],[SKU]]="",tblStock[[#This Row],[UltimoMov]]=""),"",TODAY()-tblStock[[#This Row],[UltimoMov]])</f>
        <v/>
      </c>
    </row>
    <row r="343" spans="2:18" x14ac:dyDescent="0.25">
      <c r="B343" s="53" t="str">
        <f>IF('05_PRODUCTOS'!$B343="","",'05_PRODUCTOS'!$B343)</f>
        <v/>
      </c>
      <c r="C343" s="54" t="str">
        <f>IF($B343="","",'05_PRODUCTOS'!$C343)</f>
        <v/>
      </c>
      <c r="D343" s="54" t="str">
        <f>IF($B343="","",'05_PRODUCTOS'!$D343)</f>
        <v/>
      </c>
      <c r="E343" s="54" t="str">
        <f>IF($B343="","",'05_PRODUCTOS'!$I343&amp;"")</f>
        <v/>
      </c>
      <c r="F343" s="53" t="str">
        <f>IF($B343="","",'05_PRODUCTOS'!$E343)</f>
        <v/>
      </c>
      <c r="G343" s="53" t="str">
        <f>IF($B343="","",IF('05_PRODUCTOS'!$K343="NO","NO","SI"))</f>
        <v/>
      </c>
      <c r="H343" s="55" t="str">
        <f>IF(tblStock[[#This Row],[SKU]]="","",SUMIFS(tblMovimientos[CantidadNeta],tblMovimientos[SKU],tblStock[[#This Row],[SKU]],tblMovimientos[FactorStock],1))</f>
        <v/>
      </c>
      <c r="I343" s="55" t="str">
        <f>IF(tblStock[[#This Row],[SKU]]="","",-SUMIFS(tblMovimientos[CantidadNeta],tblMovimientos[SKU],tblStock[[#This Row],[SKU]],tblMovimientos[FactorStock],-1))</f>
        <v/>
      </c>
      <c r="J343" s="56" t="str">
        <f>IF(tblStock[[#This Row],[SKU]]="","",SUMIFS(tblMovimientos[CantidadNeta],tblMovimientos[SKU],tblStock[[#This Row],[SKU]]))</f>
        <v/>
      </c>
      <c r="K343" s="55" t="str">
        <f>IF($B343="","",N('05_PRODUCTOS'!$F343))</f>
        <v/>
      </c>
      <c r="L343" s="55" t="str">
        <f>IF($B343="","",N('05_PRODUCTOS'!$G343))</f>
        <v/>
      </c>
      <c r="M343" s="57" t="str">
        <f>IF(OR(tblStock[[#This Row],[SKU]]="",N(tblStock[[#This Row],[StockMax]])=0),"",MAX(0,tblStock[[#This Row],[StockActual]])/tblStock[[#This Row],[StockMax]])</f>
        <v/>
      </c>
      <c r="N34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3" s="59" t="str">
        <f>IF($B343="","",N('05_PRODUCTOS'!$H343))</f>
        <v/>
      </c>
      <c r="P343" s="59" t="str">
        <f>IF(tblStock[[#This Row],[SKU]]="","",MAX(0,tblStock[[#This Row],[StockActual]])*tblStock[[#This Row],[CostoUnitario]])</f>
        <v/>
      </c>
      <c r="Q343" s="60" t="str">
        <f>IF(tblStock[[#This Row],[SKU]]="","",IFERROR(_xlfn.AGGREGATE(14,6,tblMovimientos[Fecha]/(tblMovimientos[SKU]=tblStock[[#This Row],[SKU]]),1),""))</f>
        <v/>
      </c>
      <c r="R343" s="61" t="str">
        <f ca="1">IF(OR(tblStock[[#This Row],[SKU]]="",tblStock[[#This Row],[UltimoMov]]=""),"",TODAY()-tblStock[[#This Row],[UltimoMov]])</f>
        <v/>
      </c>
    </row>
    <row r="344" spans="2:18" x14ac:dyDescent="0.25">
      <c r="B344" s="53" t="str">
        <f>IF('05_PRODUCTOS'!$B344="","",'05_PRODUCTOS'!$B344)</f>
        <v/>
      </c>
      <c r="C344" s="54" t="str">
        <f>IF($B344="","",'05_PRODUCTOS'!$C344)</f>
        <v/>
      </c>
      <c r="D344" s="54" t="str">
        <f>IF($B344="","",'05_PRODUCTOS'!$D344)</f>
        <v/>
      </c>
      <c r="E344" s="54" t="str">
        <f>IF($B344="","",'05_PRODUCTOS'!$I344&amp;"")</f>
        <v/>
      </c>
      <c r="F344" s="53" t="str">
        <f>IF($B344="","",'05_PRODUCTOS'!$E344)</f>
        <v/>
      </c>
      <c r="G344" s="53" t="str">
        <f>IF($B344="","",IF('05_PRODUCTOS'!$K344="NO","NO","SI"))</f>
        <v/>
      </c>
      <c r="H344" s="55" t="str">
        <f>IF(tblStock[[#This Row],[SKU]]="","",SUMIFS(tblMovimientos[CantidadNeta],tblMovimientos[SKU],tblStock[[#This Row],[SKU]],tblMovimientos[FactorStock],1))</f>
        <v/>
      </c>
      <c r="I344" s="55" t="str">
        <f>IF(tblStock[[#This Row],[SKU]]="","",-SUMIFS(tblMovimientos[CantidadNeta],tblMovimientos[SKU],tblStock[[#This Row],[SKU]],tblMovimientos[FactorStock],-1))</f>
        <v/>
      </c>
      <c r="J344" s="56" t="str">
        <f>IF(tblStock[[#This Row],[SKU]]="","",SUMIFS(tblMovimientos[CantidadNeta],tblMovimientos[SKU],tblStock[[#This Row],[SKU]]))</f>
        <v/>
      </c>
      <c r="K344" s="55" t="str">
        <f>IF($B344="","",N('05_PRODUCTOS'!$F344))</f>
        <v/>
      </c>
      <c r="L344" s="55" t="str">
        <f>IF($B344="","",N('05_PRODUCTOS'!$G344))</f>
        <v/>
      </c>
      <c r="M344" s="57" t="str">
        <f>IF(OR(tblStock[[#This Row],[SKU]]="",N(tblStock[[#This Row],[StockMax]])=0),"",MAX(0,tblStock[[#This Row],[StockActual]])/tblStock[[#This Row],[StockMax]])</f>
        <v/>
      </c>
      <c r="N34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4" s="59" t="str">
        <f>IF($B344="","",N('05_PRODUCTOS'!$H344))</f>
        <v/>
      </c>
      <c r="P344" s="59" t="str">
        <f>IF(tblStock[[#This Row],[SKU]]="","",MAX(0,tblStock[[#This Row],[StockActual]])*tblStock[[#This Row],[CostoUnitario]])</f>
        <v/>
      </c>
      <c r="Q344" s="60" t="str">
        <f>IF(tblStock[[#This Row],[SKU]]="","",IFERROR(_xlfn.AGGREGATE(14,6,tblMovimientos[Fecha]/(tblMovimientos[SKU]=tblStock[[#This Row],[SKU]]),1),""))</f>
        <v/>
      </c>
      <c r="R344" s="61" t="str">
        <f ca="1">IF(OR(tblStock[[#This Row],[SKU]]="",tblStock[[#This Row],[UltimoMov]]=""),"",TODAY()-tblStock[[#This Row],[UltimoMov]])</f>
        <v/>
      </c>
    </row>
    <row r="345" spans="2:18" x14ac:dyDescent="0.25">
      <c r="B345" s="53" t="str">
        <f>IF('05_PRODUCTOS'!$B345="","",'05_PRODUCTOS'!$B345)</f>
        <v/>
      </c>
      <c r="C345" s="54" t="str">
        <f>IF($B345="","",'05_PRODUCTOS'!$C345)</f>
        <v/>
      </c>
      <c r="D345" s="54" t="str">
        <f>IF($B345="","",'05_PRODUCTOS'!$D345)</f>
        <v/>
      </c>
      <c r="E345" s="54" t="str">
        <f>IF($B345="","",'05_PRODUCTOS'!$I345&amp;"")</f>
        <v/>
      </c>
      <c r="F345" s="53" t="str">
        <f>IF($B345="","",'05_PRODUCTOS'!$E345)</f>
        <v/>
      </c>
      <c r="G345" s="53" t="str">
        <f>IF($B345="","",IF('05_PRODUCTOS'!$K345="NO","NO","SI"))</f>
        <v/>
      </c>
      <c r="H345" s="55" t="str">
        <f>IF(tblStock[[#This Row],[SKU]]="","",SUMIFS(tblMovimientos[CantidadNeta],tblMovimientos[SKU],tblStock[[#This Row],[SKU]],tblMovimientos[FactorStock],1))</f>
        <v/>
      </c>
      <c r="I345" s="55" t="str">
        <f>IF(tblStock[[#This Row],[SKU]]="","",-SUMIFS(tblMovimientos[CantidadNeta],tblMovimientos[SKU],tblStock[[#This Row],[SKU]],tblMovimientos[FactorStock],-1))</f>
        <v/>
      </c>
      <c r="J345" s="56" t="str">
        <f>IF(tblStock[[#This Row],[SKU]]="","",SUMIFS(tblMovimientos[CantidadNeta],tblMovimientos[SKU],tblStock[[#This Row],[SKU]]))</f>
        <v/>
      </c>
      <c r="K345" s="55" t="str">
        <f>IF($B345="","",N('05_PRODUCTOS'!$F345))</f>
        <v/>
      </c>
      <c r="L345" s="55" t="str">
        <f>IF($B345="","",N('05_PRODUCTOS'!$G345))</f>
        <v/>
      </c>
      <c r="M345" s="57" t="str">
        <f>IF(OR(tblStock[[#This Row],[SKU]]="",N(tblStock[[#This Row],[StockMax]])=0),"",MAX(0,tblStock[[#This Row],[StockActual]])/tblStock[[#This Row],[StockMax]])</f>
        <v/>
      </c>
      <c r="N34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5" s="59" t="str">
        <f>IF($B345="","",N('05_PRODUCTOS'!$H345))</f>
        <v/>
      </c>
      <c r="P345" s="59" t="str">
        <f>IF(tblStock[[#This Row],[SKU]]="","",MAX(0,tblStock[[#This Row],[StockActual]])*tblStock[[#This Row],[CostoUnitario]])</f>
        <v/>
      </c>
      <c r="Q345" s="60" t="str">
        <f>IF(tblStock[[#This Row],[SKU]]="","",IFERROR(_xlfn.AGGREGATE(14,6,tblMovimientos[Fecha]/(tblMovimientos[SKU]=tblStock[[#This Row],[SKU]]),1),""))</f>
        <v/>
      </c>
      <c r="R345" s="61" t="str">
        <f ca="1">IF(OR(tblStock[[#This Row],[SKU]]="",tblStock[[#This Row],[UltimoMov]]=""),"",TODAY()-tblStock[[#This Row],[UltimoMov]])</f>
        <v/>
      </c>
    </row>
    <row r="346" spans="2:18" x14ac:dyDescent="0.25">
      <c r="B346" s="53" t="str">
        <f>IF('05_PRODUCTOS'!$B346="","",'05_PRODUCTOS'!$B346)</f>
        <v/>
      </c>
      <c r="C346" s="54" t="str">
        <f>IF($B346="","",'05_PRODUCTOS'!$C346)</f>
        <v/>
      </c>
      <c r="D346" s="54" t="str">
        <f>IF($B346="","",'05_PRODUCTOS'!$D346)</f>
        <v/>
      </c>
      <c r="E346" s="54" t="str">
        <f>IF($B346="","",'05_PRODUCTOS'!$I346&amp;"")</f>
        <v/>
      </c>
      <c r="F346" s="53" t="str">
        <f>IF($B346="","",'05_PRODUCTOS'!$E346)</f>
        <v/>
      </c>
      <c r="G346" s="53" t="str">
        <f>IF($B346="","",IF('05_PRODUCTOS'!$K346="NO","NO","SI"))</f>
        <v/>
      </c>
      <c r="H346" s="55" t="str">
        <f>IF(tblStock[[#This Row],[SKU]]="","",SUMIFS(tblMovimientos[CantidadNeta],tblMovimientos[SKU],tblStock[[#This Row],[SKU]],tblMovimientos[FactorStock],1))</f>
        <v/>
      </c>
      <c r="I346" s="55" t="str">
        <f>IF(tblStock[[#This Row],[SKU]]="","",-SUMIFS(tblMovimientos[CantidadNeta],tblMovimientos[SKU],tblStock[[#This Row],[SKU]],tblMovimientos[FactorStock],-1))</f>
        <v/>
      </c>
      <c r="J346" s="56" t="str">
        <f>IF(tblStock[[#This Row],[SKU]]="","",SUMIFS(tblMovimientos[CantidadNeta],tblMovimientos[SKU],tblStock[[#This Row],[SKU]]))</f>
        <v/>
      </c>
      <c r="K346" s="55" t="str">
        <f>IF($B346="","",N('05_PRODUCTOS'!$F346))</f>
        <v/>
      </c>
      <c r="L346" s="55" t="str">
        <f>IF($B346="","",N('05_PRODUCTOS'!$G346))</f>
        <v/>
      </c>
      <c r="M346" s="57" t="str">
        <f>IF(OR(tblStock[[#This Row],[SKU]]="",N(tblStock[[#This Row],[StockMax]])=0),"",MAX(0,tblStock[[#This Row],[StockActual]])/tblStock[[#This Row],[StockMax]])</f>
        <v/>
      </c>
      <c r="N34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6" s="59" t="str">
        <f>IF($B346="","",N('05_PRODUCTOS'!$H346))</f>
        <v/>
      </c>
      <c r="P346" s="59" t="str">
        <f>IF(tblStock[[#This Row],[SKU]]="","",MAX(0,tblStock[[#This Row],[StockActual]])*tblStock[[#This Row],[CostoUnitario]])</f>
        <v/>
      </c>
      <c r="Q346" s="60" t="str">
        <f>IF(tblStock[[#This Row],[SKU]]="","",IFERROR(_xlfn.AGGREGATE(14,6,tblMovimientos[Fecha]/(tblMovimientos[SKU]=tblStock[[#This Row],[SKU]]),1),""))</f>
        <v/>
      </c>
      <c r="R346" s="61" t="str">
        <f ca="1">IF(OR(tblStock[[#This Row],[SKU]]="",tblStock[[#This Row],[UltimoMov]]=""),"",TODAY()-tblStock[[#This Row],[UltimoMov]])</f>
        <v/>
      </c>
    </row>
    <row r="347" spans="2:18" x14ac:dyDescent="0.25">
      <c r="B347" s="53" t="str">
        <f>IF('05_PRODUCTOS'!$B347="","",'05_PRODUCTOS'!$B347)</f>
        <v/>
      </c>
      <c r="C347" s="54" t="str">
        <f>IF($B347="","",'05_PRODUCTOS'!$C347)</f>
        <v/>
      </c>
      <c r="D347" s="54" t="str">
        <f>IF($B347="","",'05_PRODUCTOS'!$D347)</f>
        <v/>
      </c>
      <c r="E347" s="54" t="str">
        <f>IF($B347="","",'05_PRODUCTOS'!$I347&amp;"")</f>
        <v/>
      </c>
      <c r="F347" s="53" t="str">
        <f>IF($B347="","",'05_PRODUCTOS'!$E347)</f>
        <v/>
      </c>
      <c r="G347" s="53" t="str">
        <f>IF($B347="","",IF('05_PRODUCTOS'!$K347="NO","NO","SI"))</f>
        <v/>
      </c>
      <c r="H347" s="55" t="str">
        <f>IF(tblStock[[#This Row],[SKU]]="","",SUMIFS(tblMovimientos[CantidadNeta],tblMovimientos[SKU],tblStock[[#This Row],[SKU]],tblMovimientos[FactorStock],1))</f>
        <v/>
      </c>
      <c r="I347" s="55" t="str">
        <f>IF(tblStock[[#This Row],[SKU]]="","",-SUMIFS(tblMovimientos[CantidadNeta],tblMovimientos[SKU],tblStock[[#This Row],[SKU]],tblMovimientos[FactorStock],-1))</f>
        <v/>
      </c>
      <c r="J347" s="56" t="str">
        <f>IF(tblStock[[#This Row],[SKU]]="","",SUMIFS(tblMovimientos[CantidadNeta],tblMovimientos[SKU],tblStock[[#This Row],[SKU]]))</f>
        <v/>
      </c>
      <c r="K347" s="55" t="str">
        <f>IF($B347="","",N('05_PRODUCTOS'!$F347))</f>
        <v/>
      </c>
      <c r="L347" s="55" t="str">
        <f>IF($B347="","",N('05_PRODUCTOS'!$G347))</f>
        <v/>
      </c>
      <c r="M347" s="57" t="str">
        <f>IF(OR(tblStock[[#This Row],[SKU]]="",N(tblStock[[#This Row],[StockMax]])=0),"",MAX(0,tblStock[[#This Row],[StockActual]])/tblStock[[#This Row],[StockMax]])</f>
        <v/>
      </c>
      <c r="N34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7" s="59" t="str">
        <f>IF($B347="","",N('05_PRODUCTOS'!$H347))</f>
        <v/>
      </c>
      <c r="P347" s="59" t="str">
        <f>IF(tblStock[[#This Row],[SKU]]="","",MAX(0,tblStock[[#This Row],[StockActual]])*tblStock[[#This Row],[CostoUnitario]])</f>
        <v/>
      </c>
      <c r="Q347" s="60" t="str">
        <f>IF(tblStock[[#This Row],[SKU]]="","",IFERROR(_xlfn.AGGREGATE(14,6,tblMovimientos[Fecha]/(tblMovimientos[SKU]=tblStock[[#This Row],[SKU]]),1),""))</f>
        <v/>
      </c>
      <c r="R347" s="61" t="str">
        <f ca="1">IF(OR(tblStock[[#This Row],[SKU]]="",tblStock[[#This Row],[UltimoMov]]=""),"",TODAY()-tblStock[[#This Row],[UltimoMov]])</f>
        <v/>
      </c>
    </row>
    <row r="348" spans="2:18" x14ac:dyDescent="0.25">
      <c r="B348" s="53" t="str">
        <f>IF('05_PRODUCTOS'!$B348="","",'05_PRODUCTOS'!$B348)</f>
        <v/>
      </c>
      <c r="C348" s="54" t="str">
        <f>IF($B348="","",'05_PRODUCTOS'!$C348)</f>
        <v/>
      </c>
      <c r="D348" s="54" t="str">
        <f>IF($B348="","",'05_PRODUCTOS'!$D348)</f>
        <v/>
      </c>
      <c r="E348" s="54" t="str">
        <f>IF($B348="","",'05_PRODUCTOS'!$I348&amp;"")</f>
        <v/>
      </c>
      <c r="F348" s="53" t="str">
        <f>IF($B348="","",'05_PRODUCTOS'!$E348)</f>
        <v/>
      </c>
      <c r="G348" s="53" t="str">
        <f>IF($B348="","",IF('05_PRODUCTOS'!$K348="NO","NO","SI"))</f>
        <v/>
      </c>
      <c r="H348" s="55" t="str">
        <f>IF(tblStock[[#This Row],[SKU]]="","",SUMIFS(tblMovimientos[CantidadNeta],tblMovimientos[SKU],tblStock[[#This Row],[SKU]],tblMovimientos[FactorStock],1))</f>
        <v/>
      </c>
      <c r="I348" s="55" t="str">
        <f>IF(tblStock[[#This Row],[SKU]]="","",-SUMIFS(tblMovimientos[CantidadNeta],tblMovimientos[SKU],tblStock[[#This Row],[SKU]],tblMovimientos[FactorStock],-1))</f>
        <v/>
      </c>
      <c r="J348" s="56" t="str">
        <f>IF(tblStock[[#This Row],[SKU]]="","",SUMIFS(tblMovimientos[CantidadNeta],tblMovimientos[SKU],tblStock[[#This Row],[SKU]]))</f>
        <v/>
      </c>
      <c r="K348" s="55" t="str">
        <f>IF($B348="","",N('05_PRODUCTOS'!$F348))</f>
        <v/>
      </c>
      <c r="L348" s="55" t="str">
        <f>IF($B348="","",N('05_PRODUCTOS'!$G348))</f>
        <v/>
      </c>
      <c r="M348" s="57" t="str">
        <f>IF(OR(tblStock[[#This Row],[SKU]]="",N(tblStock[[#This Row],[StockMax]])=0),"",MAX(0,tblStock[[#This Row],[StockActual]])/tblStock[[#This Row],[StockMax]])</f>
        <v/>
      </c>
      <c r="N34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8" s="59" t="str">
        <f>IF($B348="","",N('05_PRODUCTOS'!$H348))</f>
        <v/>
      </c>
      <c r="P348" s="59" t="str">
        <f>IF(tblStock[[#This Row],[SKU]]="","",MAX(0,tblStock[[#This Row],[StockActual]])*tblStock[[#This Row],[CostoUnitario]])</f>
        <v/>
      </c>
      <c r="Q348" s="60" t="str">
        <f>IF(tblStock[[#This Row],[SKU]]="","",IFERROR(_xlfn.AGGREGATE(14,6,tblMovimientos[Fecha]/(tblMovimientos[SKU]=tblStock[[#This Row],[SKU]]),1),""))</f>
        <v/>
      </c>
      <c r="R348" s="61" t="str">
        <f ca="1">IF(OR(tblStock[[#This Row],[SKU]]="",tblStock[[#This Row],[UltimoMov]]=""),"",TODAY()-tblStock[[#This Row],[UltimoMov]])</f>
        <v/>
      </c>
    </row>
    <row r="349" spans="2:18" x14ac:dyDescent="0.25">
      <c r="B349" s="53" t="str">
        <f>IF('05_PRODUCTOS'!$B349="","",'05_PRODUCTOS'!$B349)</f>
        <v/>
      </c>
      <c r="C349" s="54" t="str">
        <f>IF($B349="","",'05_PRODUCTOS'!$C349)</f>
        <v/>
      </c>
      <c r="D349" s="54" t="str">
        <f>IF($B349="","",'05_PRODUCTOS'!$D349)</f>
        <v/>
      </c>
      <c r="E349" s="54" t="str">
        <f>IF($B349="","",'05_PRODUCTOS'!$I349&amp;"")</f>
        <v/>
      </c>
      <c r="F349" s="53" t="str">
        <f>IF($B349="","",'05_PRODUCTOS'!$E349)</f>
        <v/>
      </c>
      <c r="G349" s="53" t="str">
        <f>IF($B349="","",IF('05_PRODUCTOS'!$K349="NO","NO","SI"))</f>
        <v/>
      </c>
      <c r="H349" s="55" t="str">
        <f>IF(tblStock[[#This Row],[SKU]]="","",SUMIFS(tblMovimientos[CantidadNeta],tblMovimientos[SKU],tblStock[[#This Row],[SKU]],tblMovimientos[FactorStock],1))</f>
        <v/>
      </c>
      <c r="I349" s="55" t="str">
        <f>IF(tblStock[[#This Row],[SKU]]="","",-SUMIFS(tblMovimientos[CantidadNeta],tblMovimientos[SKU],tblStock[[#This Row],[SKU]],tblMovimientos[FactorStock],-1))</f>
        <v/>
      </c>
      <c r="J349" s="56" t="str">
        <f>IF(tblStock[[#This Row],[SKU]]="","",SUMIFS(tblMovimientos[CantidadNeta],tblMovimientos[SKU],tblStock[[#This Row],[SKU]]))</f>
        <v/>
      </c>
      <c r="K349" s="55" t="str">
        <f>IF($B349="","",N('05_PRODUCTOS'!$F349))</f>
        <v/>
      </c>
      <c r="L349" s="55" t="str">
        <f>IF($B349="","",N('05_PRODUCTOS'!$G349))</f>
        <v/>
      </c>
      <c r="M349" s="57" t="str">
        <f>IF(OR(tblStock[[#This Row],[SKU]]="",N(tblStock[[#This Row],[StockMax]])=0),"",MAX(0,tblStock[[#This Row],[StockActual]])/tblStock[[#This Row],[StockMax]])</f>
        <v/>
      </c>
      <c r="N34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49" s="59" t="str">
        <f>IF($B349="","",N('05_PRODUCTOS'!$H349))</f>
        <v/>
      </c>
      <c r="P349" s="59" t="str">
        <f>IF(tblStock[[#This Row],[SKU]]="","",MAX(0,tblStock[[#This Row],[StockActual]])*tblStock[[#This Row],[CostoUnitario]])</f>
        <v/>
      </c>
      <c r="Q349" s="60" t="str">
        <f>IF(tblStock[[#This Row],[SKU]]="","",IFERROR(_xlfn.AGGREGATE(14,6,tblMovimientos[Fecha]/(tblMovimientos[SKU]=tblStock[[#This Row],[SKU]]),1),""))</f>
        <v/>
      </c>
      <c r="R349" s="61" t="str">
        <f ca="1">IF(OR(tblStock[[#This Row],[SKU]]="",tblStock[[#This Row],[UltimoMov]]=""),"",TODAY()-tblStock[[#This Row],[UltimoMov]])</f>
        <v/>
      </c>
    </row>
    <row r="350" spans="2:18" x14ac:dyDescent="0.25">
      <c r="B350" s="53" t="str">
        <f>IF('05_PRODUCTOS'!$B350="","",'05_PRODUCTOS'!$B350)</f>
        <v/>
      </c>
      <c r="C350" s="54" t="str">
        <f>IF($B350="","",'05_PRODUCTOS'!$C350)</f>
        <v/>
      </c>
      <c r="D350" s="54" t="str">
        <f>IF($B350="","",'05_PRODUCTOS'!$D350)</f>
        <v/>
      </c>
      <c r="E350" s="54" t="str">
        <f>IF($B350="","",'05_PRODUCTOS'!$I350&amp;"")</f>
        <v/>
      </c>
      <c r="F350" s="53" t="str">
        <f>IF($B350="","",'05_PRODUCTOS'!$E350)</f>
        <v/>
      </c>
      <c r="G350" s="53" t="str">
        <f>IF($B350="","",IF('05_PRODUCTOS'!$K350="NO","NO","SI"))</f>
        <v/>
      </c>
      <c r="H350" s="55" t="str">
        <f>IF(tblStock[[#This Row],[SKU]]="","",SUMIFS(tblMovimientos[CantidadNeta],tblMovimientos[SKU],tblStock[[#This Row],[SKU]],tblMovimientos[FactorStock],1))</f>
        <v/>
      </c>
      <c r="I350" s="55" t="str">
        <f>IF(tblStock[[#This Row],[SKU]]="","",-SUMIFS(tblMovimientos[CantidadNeta],tblMovimientos[SKU],tblStock[[#This Row],[SKU]],tblMovimientos[FactorStock],-1))</f>
        <v/>
      </c>
      <c r="J350" s="56" t="str">
        <f>IF(tblStock[[#This Row],[SKU]]="","",SUMIFS(tblMovimientos[CantidadNeta],tblMovimientos[SKU],tblStock[[#This Row],[SKU]]))</f>
        <v/>
      </c>
      <c r="K350" s="55" t="str">
        <f>IF($B350="","",N('05_PRODUCTOS'!$F350))</f>
        <v/>
      </c>
      <c r="L350" s="55" t="str">
        <f>IF($B350="","",N('05_PRODUCTOS'!$G350))</f>
        <v/>
      </c>
      <c r="M350" s="57" t="str">
        <f>IF(OR(tblStock[[#This Row],[SKU]]="",N(tblStock[[#This Row],[StockMax]])=0),"",MAX(0,tblStock[[#This Row],[StockActual]])/tblStock[[#This Row],[StockMax]])</f>
        <v/>
      </c>
      <c r="N35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0" s="59" t="str">
        <f>IF($B350="","",N('05_PRODUCTOS'!$H350))</f>
        <v/>
      </c>
      <c r="P350" s="59" t="str">
        <f>IF(tblStock[[#This Row],[SKU]]="","",MAX(0,tblStock[[#This Row],[StockActual]])*tblStock[[#This Row],[CostoUnitario]])</f>
        <v/>
      </c>
      <c r="Q350" s="60" t="str">
        <f>IF(tblStock[[#This Row],[SKU]]="","",IFERROR(_xlfn.AGGREGATE(14,6,tblMovimientos[Fecha]/(tblMovimientos[SKU]=tblStock[[#This Row],[SKU]]),1),""))</f>
        <v/>
      </c>
      <c r="R350" s="61" t="str">
        <f ca="1">IF(OR(tblStock[[#This Row],[SKU]]="",tblStock[[#This Row],[UltimoMov]]=""),"",TODAY()-tblStock[[#This Row],[UltimoMov]])</f>
        <v/>
      </c>
    </row>
    <row r="351" spans="2:18" x14ac:dyDescent="0.25">
      <c r="B351" s="53" t="str">
        <f>IF('05_PRODUCTOS'!$B351="","",'05_PRODUCTOS'!$B351)</f>
        <v/>
      </c>
      <c r="C351" s="54" t="str">
        <f>IF($B351="","",'05_PRODUCTOS'!$C351)</f>
        <v/>
      </c>
      <c r="D351" s="54" t="str">
        <f>IF($B351="","",'05_PRODUCTOS'!$D351)</f>
        <v/>
      </c>
      <c r="E351" s="54" t="str">
        <f>IF($B351="","",'05_PRODUCTOS'!$I351&amp;"")</f>
        <v/>
      </c>
      <c r="F351" s="53" t="str">
        <f>IF($B351="","",'05_PRODUCTOS'!$E351)</f>
        <v/>
      </c>
      <c r="G351" s="53" t="str">
        <f>IF($B351="","",IF('05_PRODUCTOS'!$K351="NO","NO","SI"))</f>
        <v/>
      </c>
      <c r="H351" s="55" t="str">
        <f>IF(tblStock[[#This Row],[SKU]]="","",SUMIFS(tblMovimientos[CantidadNeta],tblMovimientos[SKU],tblStock[[#This Row],[SKU]],tblMovimientos[FactorStock],1))</f>
        <v/>
      </c>
      <c r="I351" s="55" t="str">
        <f>IF(tblStock[[#This Row],[SKU]]="","",-SUMIFS(tblMovimientos[CantidadNeta],tblMovimientos[SKU],tblStock[[#This Row],[SKU]],tblMovimientos[FactorStock],-1))</f>
        <v/>
      </c>
      <c r="J351" s="56" t="str">
        <f>IF(tblStock[[#This Row],[SKU]]="","",SUMIFS(tblMovimientos[CantidadNeta],tblMovimientos[SKU],tblStock[[#This Row],[SKU]]))</f>
        <v/>
      </c>
      <c r="K351" s="55" t="str">
        <f>IF($B351="","",N('05_PRODUCTOS'!$F351))</f>
        <v/>
      </c>
      <c r="L351" s="55" t="str">
        <f>IF($B351="","",N('05_PRODUCTOS'!$G351))</f>
        <v/>
      </c>
      <c r="M351" s="57" t="str">
        <f>IF(OR(tblStock[[#This Row],[SKU]]="",N(tblStock[[#This Row],[StockMax]])=0),"",MAX(0,tblStock[[#This Row],[StockActual]])/tblStock[[#This Row],[StockMax]])</f>
        <v/>
      </c>
      <c r="N35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1" s="59" t="str">
        <f>IF($B351="","",N('05_PRODUCTOS'!$H351))</f>
        <v/>
      </c>
      <c r="P351" s="59" t="str">
        <f>IF(tblStock[[#This Row],[SKU]]="","",MAX(0,tblStock[[#This Row],[StockActual]])*tblStock[[#This Row],[CostoUnitario]])</f>
        <v/>
      </c>
      <c r="Q351" s="60" t="str">
        <f>IF(tblStock[[#This Row],[SKU]]="","",IFERROR(_xlfn.AGGREGATE(14,6,tblMovimientos[Fecha]/(tblMovimientos[SKU]=tblStock[[#This Row],[SKU]]),1),""))</f>
        <v/>
      </c>
      <c r="R351" s="61" t="str">
        <f ca="1">IF(OR(tblStock[[#This Row],[SKU]]="",tblStock[[#This Row],[UltimoMov]]=""),"",TODAY()-tblStock[[#This Row],[UltimoMov]])</f>
        <v/>
      </c>
    </row>
    <row r="352" spans="2:18" x14ac:dyDescent="0.25">
      <c r="B352" s="53" t="str">
        <f>IF('05_PRODUCTOS'!$B352="","",'05_PRODUCTOS'!$B352)</f>
        <v/>
      </c>
      <c r="C352" s="54" t="str">
        <f>IF($B352="","",'05_PRODUCTOS'!$C352)</f>
        <v/>
      </c>
      <c r="D352" s="54" t="str">
        <f>IF($B352="","",'05_PRODUCTOS'!$D352)</f>
        <v/>
      </c>
      <c r="E352" s="54" t="str">
        <f>IF($B352="","",'05_PRODUCTOS'!$I352&amp;"")</f>
        <v/>
      </c>
      <c r="F352" s="53" t="str">
        <f>IF($B352="","",'05_PRODUCTOS'!$E352)</f>
        <v/>
      </c>
      <c r="G352" s="53" t="str">
        <f>IF($B352="","",IF('05_PRODUCTOS'!$K352="NO","NO","SI"))</f>
        <v/>
      </c>
      <c r="H352" s="55" t="str">
        <f>IF(tblStock[[#This Row],[SKU]]="","",SUMIFS(tblMovimientos[CantidadNeta],tblMovimientos[SKU],tblStock[[#This Row],[SKU]],tblMovimientos[FactorStock],1))</f>
        <v/>
      </c>
      <c r="I352" s="55" t="str">
        <f>IF(tblStock[[#This Row],[SKU]]="","",-SUMIFS(tblMovimientos[CantidadNeta],tblMovimientos[SKU],tblStock[[#This Row],[SKU]],tblMovimientos[FactorStock],-1))</f>
        <v/>
      </c>
      <c r="J352" s="56" t="str">
        <f>IF(tblStock[[#This Row],[SKU]]="","",SUMIFS(tblMovimientos[CantidadNeta],tblMovimientos[SKU],tblStock[[#This Row],[SKU]]))</f>
        <v/>
      </c>
      <c r="K352" s="55" t="str">
        <f>IF($B352="","",N('05_PRODUCTOS'!$F352))</f>
        <v/>
      </c>
      <c r="L352" s="55" t="str">
        <f>IF($B352="","",N('05_PRODUCTOS'!$G352))</f>
        <v/>
      </c>
      <c r="M352" s="57" t="str">
        <f>IF(OR(tblStock[[#This Row],[SKU]]="",N(tblStock[[#This Row],[StockMax]])=0),"",MAX(0,tblStock[[#This Row],[StockActual]])/tblStock[[#This Row],[StockMax]])</f>
        <v/>
      </c>
      <c r="N35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2" s="59" t="str">
        <f>IF($B352="","",N('05_PRODUCTOS'!$H352))</f>
        <v/>
      </c>
      <c r="P352" s="59" t="str">
        <f>IF(tblStock[[#This Row],[SKU]]="","",MAX(0,tblStock[[#This Row],[StockActual]])*tblStock[[#This Row],[CostoUnitario]])</f>
        <v/>
      </c>
      <c r="Q352" s="60" t="str">
        <f>IF(tblStock[[#This Row],[SKU]]="","",IFERROR(_xlfn.AGGREGATE(14,6,tblMovimientos[Fecha]/(tblMovimientos[SKU]=tblStock[[#This Row],[SKU]]),1),""))</f>
        <v/>
      </c>
      <c r="R352" s="61" t="str">
        <f ca="1">IF(OR(tblStock[[#This Row],[SKU]]="",tblStock[[#This Row],[UltimoMov]]=""),"",TODAY()-tblStock[[#This Row],[UltimoMov]])</f>
        <v/>
      </c>
    </row>
    <row r="353" spans="2:18" x14ac:dyDescent="0.25">
      <c r="B353" s="53" t="str">
        <f>IF('05_PRODUCTOS'!$B353="","",'05_PRODUCTOS'!$B353)</f>
        <v/>
      </c>
      <c r="C353" s="54" t="str">
        <f>IF($B353="","",'05_PRODUCTOS'!$C353)</f>
        <v/>
      </c>
      <c r="D353" s="54" t="str">
        <f>IF($B353="","",'05_PRODUCTOS'!$D353)</f>
        <v/>
      </c>
      <c r="E353" s="54" t="str">
        <f>IF($B353="","",'05_PRODUCTOS'!$I353&amp;"")</f>
        <v/>
      </c>
      <c r="F353" s="53" t="str">
        <f>IF($B353="","",'05_PRODUCTOS'!$E353)</f>
        <v/>
      </c>
      <c r="G353" s="53" t="str">
        <f>IF($B353="","",IF('05_PRODUCTOS'!$K353="NO","NO","SI"))</f>
        <v/>
      </c>
      <c r="H353" s="55" t="str">
        <f>IF(tblStock[[#This Row],[SKU]]="","",SUMIFS(tblMovimientos[CantidadNeta],tblMovimientos[SKU],tblStock[[#This Row],[SKU]],tblMovimientos[FactorStock],1))</f>
        <v/>
      </c>
      <c r="I353" s="55" t="str">
        <f>IF(tblStock[[#This Row],[SKU]]="","",-SUMIFS(tblMovimientos[CantidadNeta],tblMovimientos[SKU],tblStock[[#This Row],[SKU]],tblMovimientos[FactorStock],-1))</f>
        <v/>
      </c>
      <c r="J353" s="56" t="str">
        <f>IF(tblStock[[#This Row],[SKU]]="","",SUMIFS(tblMovimientos[CantidadNeta],tblMovimientos[SKU],tblStock[[#This Row],[SKU]]))</f>
        <v/>
      </c>
      <c r="K353" s="55" t="str">
        <f>IF($B353="","",N('05_PRODUCTOS'!$F353))</f>
        <v/>
      </c>
      <c r="L353" s="55" t="str">
        <f>IF($B353="","",N('05_PRODUCTOS'!$G353))</f>
        <v/>
      </c>
      <c r="M353" s="57" t="str">
        <f>IF(OR(tblStock[[#This Row],[SKU]]="",N(tblStock[[#This Row],[StockMax]])=0),"",MAX(0,tblStock[[#This Row],[StockActual]])/tblStock[[#This Row],[StockMax]])</f>
        <v/>
      </c>
      <c r="N35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3" s="59" t="str">
        <f>IF($B353="","",N('05_PRODUCTOS'!$H353))</f>
        <v/>
      </c>
      <c r="P353" s="59" t="str">
        <f>IF(tblStock[[#This Row],[SKU]]="","",MAX(0,tblStock[[#This Row],[StockActual]])*tblStock[[#This Row],[CostoUnitario]])</f>
        <v/>
      </c>
      <c r="Q353" s="60" t="str">
        <f>IF(tblStock[[#This Row],[SKU]]="","",IFERROR(_xlfn.AGGREGATE(14,6,tblMovimientos[Fecha]/(tblMovimientos[SKU]=tblStock[[#This Row],[SKU]]),1),""))</f>
        <v/>
      </c>
      <c r="R353" s="61" t="str">
        <f ca="1">IF(OR(tblStock[[#This Row],[SKU]]="",tblStock[[#This Row],[UltimoMov]]=""),"",TODAY()-tblStock[[#This Row],[UltimoMov]])</f>
        <v/>
      </c>
    </row>
    <row r="354" spans="2:18" x14ac:dyDescent="0.25">
      <c r="B354" s="53" t="str">
        <f>IF('05_PRODUCTOS'!$B354="","",'05_PRODUCTOS'!$B354)</f>
        <v/>
      </c>
      <c r="C354" s="54" t="str">
        <f>IF($B354="","",'05_PRODUCTOS'!$C354)</f>
        <v/>
      </c>
      <c r="D354" s="54" t="str">
        <f>IF($B354="","",'05_PRODUCTOS'!$D354)</f>
        <v/>
      </c>
      <c r="E354" s="54" t="str">
        <f>IF($B354="","",'05_PRODUCTOS'!$I354&amp;"")</f>
        <v/>
      </c>
      <c r="F354" s="53" t="str">
        <f>IF($B354="","",'05_PRODUCTOS'!$E354)</f>
        <v/>
      </c>
      <c r="G354" s="53" t="str">
        <f>IF($B354="","",IF('05_PRODUCTOS'!$K354="NO","NO","SI"))</f>
        <v/>
      </c>
      <c r="H354" s="55" t="str">
        <f>IF(tblStock[[#This Row],[SKU]]="","",SUMIFS(tblMovimientos[CantidadNeta],tblMovimientos[SKU],tblStock[[#This Row],[SKU]],tblMovimientos[FactorStock],1))</f>
        <v/>
      </c>
      <c r="I354" s="55" t="str">
        <f>IF(tblStock[[#This Row],[SKU]]="","",-SUMIFS(tblMovimientos[CantidadNeta],tblMovimientos[SKU],tblStock[[#This Row],[SKU]],tblMovimientos[FactorStock],-1))</f>
        <v/>
      </c>
      <c r="J354" s="56" t="str">
        <f>IF(tblStock[[#This Row],[SKU]]="","",SUMIFS(tblMovimientos[CantidadNeta],tblMovimientos[SKU],tblStock[[#This Row],[SKU]]))</f>
        <v/>
      </c>
      <c r="K354" s="55" t="str">
        <f>IF($B354="","",N('05_PRODUCTOS'!$F354))</f>
        <v/>
      </c>
      <c r="L354" s="55" t="str">
        <f>IF($B354="","",N('05_PRODUCTOS'!$G354))</f>
        <v/>
      </c>
      <c r="M354" s="57" t="str">
        <f>IF(OR(tblStock[[#This Row],[SKU]]="",N(tblStock[[#This Row],[StockMax]])=0),"",MAX(0,tblStock[[#This Row],[StockActual]])/tblStock[[#This Row],[StockMax]])</f>
        <v/>
      </c>
      <c r="N35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4" s="59" t="str">
        <f>IF($B354="","",N('05_PRODUCTOS'!$H354))</f>
        <v/>
      </c>
      <c r="P354" s="59" t="str">
        <f>IF(tblStock[[#This Row],[SKU]]="","",MAX(0,tblStock[[#This Row],[StockActual]])*tblStock[[#This Row],[CostoUnitario]])</f>
        <v/>
      </c>
      <c r="Q354" s="60" t="str">
        <f>IF(tblStock[[#This Row],[SKU]]="","",IFERROR(_xlfn.AGGREGATE(14,6,tblMovimientos[Fecha]/(tblMovimientos[SKU]=tblStock[[#This Row],[SKU]]),1),""))</f>
        <v/>
      </c>
      <c r="R354" s="61" t="str">
        <f ca="1">IF(OR(tblStock[[#This Row],[SKU]]="",tblStock[[#This Row],[UltimoMov]]=""),"",TODAY()-tblStock[[#This Row],[UltimoMov]])</f>
        <v/>
      </c>
    </row>
    <row r="355" spans="2:18" x14ac:dyDescent="0.25">
      <c r="B355" s="53" t="str">
        <f>IF('05_PRODUCTOS'!$B355="","",'05_PRODUCTOS'!$B355)</f>
        <v/>
      </c>
      <c r="C355" s="54" t="str">
        <f>IF($B355="","",'05_PRODUCTOS'!$C355)</f>
        <v/>
      </c>
      <c r="D355" s="54" t="str">
        <f>IF($B355="","",'05_PRODUCTOS'!$D355)</f>
        <v/>
      </c>
      <c r="E355" s="54" t="str">
        <f>IF($B355="","",'05_PRODUCTOS'!$I355&amp;"")</f>
        <v/>
      </c>
      <c r="F355" s="53" t="str">
        <f>IF($B355="","",'05_PRODUCTOS'!$E355)</f>
        <v/>
      </c>
      <c r="G355" s="53" t="str">
        <f>IF($B355="","",IF('05_PRODUCTOS'!$K355="NO","NO","SI"))</f>
        <v/>
      </c>
      <c r="H355" s="55" t="str">
        <f>IF(tblStock[[#This Row],[SKU]]="","",SUMIFS(tblMovimientos[CantidadNeta],tblMovimientos[SKU],tblStock[[#This Row],[SKU]],tblMovimientos[FactorStock],1))</f>
        <v/>
      </c>
      <c r="I355" s="55" t="str">
        <f>IF(tblStock[[#This Row],[SKU]]="","",-SUMIFS(tblMovimientos[CantidadNeta],tblMovimientos[SKU],tblStock[[#This Row],[SKU]],tblMovimientos[FactorStock],-1))</f>
        <v/>
      </c>
      <c r="J355" s="56" t="str">
        <f>IF(tblStock[[#This Row],[SKU]]="","",SUMIFS(tblMovimientos[CantidadNeta],tblMovimientos[SKU],tblStock[[#This Row],[SKU]]))</f>
        <v/>
      </c>
      <c r="K355" s="55" t="str">
        <f>IF($B355="","",N('05_PRODUCTOS'!$F355))</f>
        <v/>
      </c>
      <c r="L355" s="55" t="str">
        <f>IF($B355="","",N('05_PRODUCTOS'!$G355))</f>
        <v/>
      </c>
      <c r="M355" s="57" t="str">
        <f>IF(OR(tblStock[[#This Row],[SKU]]="",N(tblStock[[#This Row],[StockMax]])=0),"",MAX(0,tblStock[[#This Row],[StockActual]])/tblStock[[#This Row],[StockMax]])</f>
        <v/>
      </c>
      <c r="N35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5" s="59" t="str">
        <f>IF($B355="","",N('05_PRODUCTOS'!$H355))</f>
        <v/>
      </c>
      <c r="P355" s="59" t="str">
        <f>IF(tblStock[[#This Row],[SKU]]="","",MAX(0,tblStock[[#This Row],[StockActual]])*tblStock[[#This Row],[CostoUnitario]])</f>
        <v/>
      </c>
      <c r="Q355" s="60" t="str">
        <f>IF(tblStock[[#This Row],[SKU]]="","",IFERROR(_xlfn.AGGREGATE(14,6,tblMovimientos[Fecha]/(tblMovimientos[SKU]=tblStock[[#This Row],[SKU]]),1),""))</f>
        <v/>
      </c>
      <c r="R355" s="61" t="str">
        <f ca="1">IF(OR(tblStock[[#This Row],[SKU]]="",tblStock[[#This Row],[UltimoMov]]=""),"",TODAY()-tblStock[[#This Row],[UltimoMov]])</f>
        <v/>
      </c>
    </row>
    <row r="356" spans="2:18" x14ac:dyDescent="0.25">
      <c r="B356" s="53" t="str">
        <f>IF('05_PRODUCTOS'!$B356="","",'05_PRODUCTOS'!$B356)</f>
        <v/>
      </c>
      <c r="C356" s="54" t="str">
        <f>IF($B356="","",'05_PRODUCTOS'!$C356)</f>
        <v/>
      </c>
      <c r="D356" s="54" t="str">
        <f>IF($B356="","",'05_PRODUCTOS'!$D356)</f>
        <v/>
      </c>
      <c r="E356" s="54" t="str">
        <f>IF($B356="","",'05_PRODUCTOS'!$I356&amp;"")</f>
        <v/>
      </c>
      <c r="F356" s="53" t="str">
        <f>IF($B356="","",'05_PRODUCTOS'!$E356)</f>
        <v/>
      </c>
      <c r="G356" s="53" t="str">
        <f>IF($B356="","",IF('05_PRODUCTOS'!$K356="NO","NO","SI"))</f>
        <v/>
      </c>
      <c r="H356" s="55" t="str">
        <f>IF(tblStock[[#This Row],[SKU]]="","",SUMIFS(tblMovimientos[CantidadNeta],tblMovimientos[SKU],tblStock[[#This Row],[SKU]],tblMovimientos[FactorStock],1))</f>
        <v/>
      </c>
      <c r="I356" s="55" t="str">
        <f>IF(tblStock[[#This Row],[SKU]]="","",-SUMIFS(tblMovimientos[CantidadNeta],tblMovimientos[SKU],tblStock[[#This Row],[SKU]],tblMovimientos[FactorStock],-1))</f>
        <v/>
      </c>
      <c r="J356" s="56" t="str">
        <f>IF(tblStock[[#This Row],[SKU]]="","",SUMIFS(tblMovimientos[CantidadNeta],tblMovimientos[SKU],tblStock[[#This Row],[SKU]]))</f>
        <v/>
      </c>
      <c r="K356" s="55" t="str">
        <f>IF($B356="","",N('05_PRODUCTOS'!$F356))</f>
        <v/>
      </c>
      <c r="L356" s="55" t="str">
        <f>IF($B356="","",N('05_PRODUCTOS'!$G356))</f>
        <v/>
      </c>
      <c r="M356" s="57" t="str">
        <f>IF(OR(tblStock[[#This Row],[SKU]]="",N(tblStock[[#This Row],[StockMax]])=0),"",MAX(0,tblStock[[#This Row],[StockActual]])/tblStock[[#This Row],[StockMax]])</f>
        <v/>
      </c>
      <c r="N35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6" s="59" t="str">
        <f>IF($B356="","",N('05_PRODUCTOS'!$H356))</f>
        <v/>
      </c>
      <c r="P356" s="59" t="str">
        <f>IF(tblStock[[#This Row],[SKU]]="","",MAX(0,tblStock[[#This Row],[StockActual]])*tblStock[[#This Row],[CostoUnitario]])</f>
        <v/>
      </c>
      <c r="Q356" s="60" t="str">
        <f>IF(tblStock[[#This Row],[SKU]]="","",IFERROR(_xlfn.AGGREGATE(14,6,tblMovimientos[Fecha]/(tblMovimientos[SKU]=tblStock[[#This Row],[SKU]]),1),""))</f>
        <v/>
      </c>
      <c r="R356" s="61" t="str">
        <f ca="1">IF(OR(tblStock[[#This Row],[SKU]]="",tblStock[[#This Row],[UltimoMov]]=""),"",TODAY()-tblStock[[#This Row],[UltimoMov]])</f>
        <v/>
      </c>
    </row>
    <row r="357" spans="2:18" x14ac:dyDescent="0.25">
      <c r="B357" s="53" t="str">
        <f>IF('05_PRODUCTOS'!$B357="","",'05_PRODUCTOS'!$B357)</f>
        <v/>
      </c>
      <c r="C357" s="54" t="str">
        <f>IF($B357="","",'05_PRODUCTOS'!$C357)</f>
        <v/>
      </c>
      <c r="D357" s="54" t="str">
        <f>IF($B357="","",'05_PRODUCTOS'!$D357)</f>
        <v/>
      </c>
      <c r="E357" s="54" t="str">
        <f>IF($B357="","",'05_PRODUCTOS'!$I357&amp;"")</f>
        <v/>
      </c>
      <c r="F357" s="53" t="str">
        <f>IF($B357="","",'05_PRODUCTOS'!$E357)</f>
        <v/>
      </c>
      <c r="G357" s="53" t="str">
        <f>IF($B357="","",IF('05_PRODUCTOS'!$K357="NO","NO","SI"))</f>
        <v/>
      </c>
      <c r="H357" s="55" t="str">
        <f>IF(tblStock[[#This Row],[SKU]]="","",SUMIFS(tblMovimientos[CantidadNeta],tblMovimientos[SKU],tblStock[[#This Row],[SKU]],tblMovimientos[FactorStock],1))</f>
        <v/>
      </c>
      <c r="I357" s="55" t="str">
        <f>IF(tblStock[[#This Row],[SKU]]="","",-SUMIFS(tblMovimientos[CantidadNeta],tblMovimientos[SKU],tblStock[[#This Row],[SKU]],tblMovimientos[FactorStock],-1))</f>
        <v/>
      </c>
      <c r="J357" s="56" t="str">
        <f>IF(tblStock[[#This Row],[SKU]]="","",SUMIFS(tblMovimientos[CantidadNeta],tblMovimientos[SKU],tblStock[[#This Row],[SKU]]))</f>
        <v/>
      </c>
      <c r="K357" s="55" t="str">
        <f>IF($B357="","",N('05_PRODUCTOS'!$F357))</f>
        <v/>
      </c>
      <c r="L357" s="55" t="str">
        <f>IF($B357="","",N('05_PRODUCTOS'!$G357))</f>
        <v/>
      </c>
      <c r="M357" s="57" t="str">
        <f>IF(OR(tblStock[[#This Row],[SKU]]="",N(tblStock[[#This Row],[StockMax]])=0),"",MAX(0,tblStock[[#This Row],[StockActual]])/tblStock[[#This Row],[StockMax]])</f>
        <v/>
      </c>
      <c r="N35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7" s="59" t="str">
        <f>IF($B357="","",N('05_PRODUCTOS'!$H357))</f>
        <v/>
      </c>
      <c r="P357" s="59" t="str">
        <f>IF(tblStock[[#This Row],[SKU]]="","",MAX(0,tblStock[[#This Row],[StockActual]])*tblStock[[#This Row],[CostoUnitario]])</f>
        <v/>
      </c>
      <c r="Q357" s="60" t="str">
        <f>IF(tblStock[[#This Row],[SKU]]="","",IFERROR(_xlfn.AGGREGATE(14,6,tblMovimientos[Fecha]/(tblMovimientos[SKU]=tblStock[[#This Row],[SKU]]),1),""))</f>
        <v/>
      </c>
      <c r="R357" s="61" t="str">
        <f ca="1">IF(OR(tblStock[[#This Row],[SKU]]="",tblStock[[#This Row],[UltimoMov]]=""),"",TODAY()-tblStock[[#This Row],[UltimoMov]])</f>
        <v/>
      </c>
    </row>
    <row r="358" spans="2:18" x14ac:dyDescent="0.25">
      <c r="B358" s="53" t="str">
        <f>IF('05_PRODUCTOS'!$B358="","",'05_PRODUCTOS'!$B358)</f>
        <v/>
      </c>
      <c r="C358" s="54" t="str">
        <f>IF($B358="","",'05_PRODUCTOS'!$C358)</f>
        <v/>
      </c>
      <c r="D358" s="54" t="str">
        <f>IF($B358="","",'05_PRODUCTOS'!$D358)</f>
        <v/>
      </c>
      <c r="E358" s="54" t="str">
        <f>IF($B358="","",'05_PRODUCTOS'!$I358&amp;"")</f>
        <v/>
      </c>
      <c r="F358" s="53" t="str">
        <f>IF($B358="","",'05_PRODUCTOS'!$E358)</f>
        <v/>
      </c>
      <c r="G358" s="53" t="str">
        <f>IF($B358="","",IF('05_PRODUCTOS'!$K358="NO","NO","SI"))</f>
        <v/>
      </c>
      <c r="H358" s="55" t="str">
        <f>IF(tblStock[[#This Row],[SKU]]="","",SUMIFS(tblMovimientos[CantidadNeta],tblMovimientos[SKU],tblStock[[#This Row],[SKU]],tblMovimientos[FactorStock],1))</f>
        <v/>
      </c>
      <c r="I358" s="55" t="str">
        <f>IF(tblStock[[#This Row],[SKU]]="","",-SUMIFS(tblMovimientos[CantidadNeta],tblMovimientos[SKU],tblStock[[#This Row],[SKU]],tblMovimientos[FactorStock],-1))</f>
        <v/>
      </c>
      <c r="J358" s="56" t="str">
        <f>IF(tblStock[[#This Row],[SKU]]="","",SUMIFS(tblMovimientos[CantidadNeta],tblMovimientos[SKU],tblStock[[#This Row],[SKU]]))</f>
        <v/>
      </c>
      <c r="K358" s="55" t="str">
        <f>IF($B358="","",N('05_PRODUCTOS'!$F358))</f>
        <v/>
      </c>
      <c r="L358" s="55" t="str">
        <f>IF($B358="","",N('05_PRODUCTOS'!$G358))</f>
        <v/>
      </c>
      <c r="M358" s="57" t="str">
        <f>IF(OR(tblStock[[#This Row],[SKU]]="",N(tblStock[[#This Row],[StockMax]])=0),"",MAX(0,tblStock[[#This Row],[StockActual]])/tblStock[[#This Row],[StockMax]])</f>
        <v/>
      </c>
      <c r="N35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8" s="59" t="str">
        <f>IF($B358="","",N('05_PRODUCTOS'!$H358))</f>
        <v/>
      </c>
      <c r="P358" s="59" t="str">
        <f>IF(tblStock[[#This Row],[SKU]]="","",MAX(0,tblStock[[#This Row],[StockActual]])*tblStock[[#This Row],[CostoUnitario]])</f>
        <v/>
      </c>
      <c r="Q358" s="60" t="str">
        <f>IF(tblStock[[#This Row],[SKU]]="","",IFERROR(_xlfn.AGGREGATE(14,6,tblMovimientos[Fecha]/(tblMovimientos[SKU]=tblStock[[#This Row],[SKU]]),1),""))</f>
        <v/>
      </c>
      <c r="R358" s="61" t="str">
        <f ca="1">IF(OR(tblStock[[#This Row],[SKU]]="",tblStock[[#This Row],[UltimoMov]]=""),"",TODAY()-tblStock[[#This Row],[UltimoMov]])</f>
        <v/>
      </c>
    </row>
    <row r="359" spans="2:18" x14ac:dyDescent="0.25">
      <c r="B359" s="53" t="str">
        <f>IF('05_PRODUCTOS'!$B359="","",'05_PRODUCTOS'!$B359)</f>
        <v/>
      </c>
      <c r="C359" s="54" t="str">
        <f>IF($B359="","",'05_PRODUCTOS'!$C359)</f>
        <v/>
      </c>
      <c r="D359" s="54" t="str">
        <f>IF($B359="","",'05_PRODUCTOS'!$D359)</f>
        <v/>
      </c>
      <c r="E359" s="54" t="str">
        <f>IF($B359="","",'05_PRODUCTOS'!$I359&amp;"")</f>
        <v/>
      </c>
      <c r="F359" s="53" t="str">
        <f>IF($B359="","",'05_PRODUCTOS'!$E359)</f>
        <v/>
      </c>
      <c r="G359" s="53" t="str">
        <f>IF($B359="","",IF('05_PRODUCTOS'!$K359="NO","NO","SI"))</f>
        <v/>
      </c>
      <c r="H359" s="55" t="str">
        <f>IF(tblStock[[#This Row],[SKU]]="","",SUMIFS(tblMovimientos[CantidadNeta],tblMovimientos[SKU],tblStock[[#This Row],[SKU]],tblMovimientos[FactorStock],1))</f>
        <v/>
      </c>
      <c r="I359" s="55" t="str">
        <f>IF(tblStock[[#This Row],[SKU]]="","",-SUMIFS(tblMovimientos[CantidadNeta],tblMovimientos[SKU],tblStock[[#This Row],[SKU]],tblMovimientos[FactorStock],-1))</f>
        <v/>
      </c>
      <c r="J359" s="56" t="str">
        <f>IF(tblStock[[#This Row],[SKU]]="","",SUMIFS(tblMovimientos[CantidadNeta],tblMovimientos[SKU],tblStock[[#This Row],[SKU]]))</f>
        <v/>
      </c>
      <c r="K359" s="55" t="str">
        <f>IF($B359="","",N('05_PRODUCTOS'!$F359))</f>
        <v/>
      </c>
      <c r="L359" s="55" t="str">
        <f>IF($B359="","",N('05_PRODUCTOS'!$G359))</f>
        <v/>
      </c>
      <c r="M359" s="57" t="str">
        <f>IF(OR(tblStock[[#This Row],[SKU]]="",N(tblStock[[#This Row],[StockMax]])=0),"",MAX(0,tblStock[[#This Row],[StockActual]])/tblStock[[#This Row],[StockMax]])</f>
        <v/>
      </c>
      <c r="N35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59" s="59" t="str">
        <f>IF($B359="","",N('05_PRODUCTOS'!$H359))</f>
        <v/>
      </c>
      <c r="P359" s="59" t="str">
        <f>IF(tblStock[[#This Row],[SKU]]="","",MAX(0,tblStock[[#This Row],[StockActual]])*tblStock[[#This Row],[CostoUnitario]])</f>
        <v/>
      </c>
      <c r="Q359" s="60" t="str">
        <f>IF(tblStock[[#This Row],[SKU]]="","",IFERROR(_xlfn.AGGREGATE(14,6,tblMovimientos[Fecha]/(tblMovimientos[SKU]=tblStock[[#This Row],[SKU]]),1),""))</f>
        <v/>
      </c>
      <c r="R359" s="61" t="str">
        <f ca="1">IF(OR(tblStock[[#This Row],[SKU]]="",tblStock[[#This Row],[UltimoMov]]=""),"",TODAY()-tblStock[[#This Row],[UltimoMov]])</f>
        <v/>
      </c>
    </row>
    <row r="360" spans="2:18" x14ac:dyDescent="0.25">
      <c r="B360" s="53" t="str">
        <f>IF('05_PRODUCTOS'!$B360="","",'05_PRODUCTOS'!$B360)</f>
        <v/>
      </c>
      <c r="C360" s="54" t="str">
        <f>IF($B360="","",'05_PRODUCTOS'!$C360)</f>
        <v/>
      </c>
      <c r="D360" s="54" t="str">
        <f>IF($B360="","",'05_PRODUCTOS'!$D360)</f>
        <v/>
      </c>
      <c r="E360" s="54" t="str">
        <f>IF($B360="","",'05_PRODUCTOS'!$I360&amp;"")</f>
        <v/>
      </c>
      <c r="F360" s="53" t="str">
        <f>IF($B360="","",'05_PRODUCTOS'!$E360)</f>
        <v/>
      </c>
      <c r="G360" s="53" t="str">
        <f>IF($B360="","",IF('05_PRODUCTOS'!$K360="NO","NO","SI"))</f>
        <v/>
      </c>
      <c r="H360" s="55" t="str">
        <f>IF(tblStock[[#This Row],[SKU]]="","",SUMIFS(tblMovimientos[CantidadNeta],tblMovimientos[SKU],tblStock[[#This Row],[SKU]],tblMovimientos[FactorStock],1))</f>
        <v/>
      </c>
      <c r="I360" s="55" t="str">
        <f>IF(tblStock[[#This Row],[SKU]]="","",-SUMIFS(tblMovimientos[CantidadNeta],tblMovimientos[SKU],tblStock[[#This Row],[SKU]],tblMovimientos[FactorStock],-1))</f>
        <v/>
      </c>
      <c r="J360" s="56" t="str">
        <f>IF(tblStock[[#This Row],[SKU]]="","",SUMIFS(tblMovimientos[CantidadNeta],tblMovimientos[SKU],tblStock[[#This Row],[SKU]]))</f>
        <v/>
      </c>
      <c r="K360" s="55" t="str">
        <f>IF($B360="","",N('05_PRODUCTOS'!$F360))</f>
        <v/>
      </c>
      <c r="L360" s="55" t="str">
        <f>IF($B360="","",N('05_PRODUCTOS'!$G360))</f>
        <v/>
      </c>
      <c r="M360" s="57" t="str">
        <f>IF(OR(tblStock[[#This Row],[SKU]]="",N(tblStock[[#This Row],[StockMax]])=0),"",MAX(0,tblStock[[#This Row],[StockActual]])/tblStock[[#This Row],[StockMax]])</f>
        <v/>
      </c>
      <c r="N36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0" s="59" t="str">
        <f>IF($B360="","",N('05_PRODUCTOS'!$H360))</f>
        <v/>
      </c>
      <c r="P360" s="59" t="str">
        <f>IF(tblStock[[#This Row],[SKU]]="","",MAX(0,tblStock[[#This Row],[StockActual]])*tblStock[[#This Row],[CostoUnitario]])</f>
        <v/>
      </c>
      <c r="Q360" s="60" t="str">
        <f>IF(tblStock[[#This Row],[SKU]]="","",IFERROR(_xlfn.AGGREGATE(14,6,tblMovimientos[Fecha]/(tblMovimientos[SKU]=tblStock[[#This Row],[SKU]]),1),""))</f>
        <v/>
      </c>
      <c r="R360" s="61" t="str">
        <f ca="1">IF(OR(tblStock[[#This Row],[SKU]]="",tblStock[[#This Row],[UltimoMov]]=""),"",TODAY()-tblStock[[#This Row],[UltimoMov]])</f>
        <v/>
      </c>
    </row>
    <row r="361" spans="2:18" x14ac:dyDescent="0.25">
      <c r="B361" s="53" t="str">
        <f>IF('05_PRODUCTOS'!$B361="","",'05_PRODUCTOS'!$B361)</f>
        <v/>
      </c>
      <c r="C361" s="54" t="str">
        <f>IF($B361="","",'05_PRODUCTOS'!$C361)</f>
        <v/>
      </c>
      <c r="D361" s="54" t="str">
        <f>IF($B361="","",'05_PRODUCTOS'!$D361)</f>
        <v/>
      </c>
      <c r="E361" s="54" t="str">
        <f>IF($B361="","",'05_PRODUCTOS'!$I361&amp;"")</f>
        <v/>
      </c>
      <c r="F361" s="53" t="str">
        <f>IF($B361="","",'05_PRODUCTOS'!$E361)</f>
        <v/>
      </c>
      <c r="G361" s="53" t="str">
        <f>IF($B361="","",IF('05_PRODUCTOS'!$K361="NO","NO","SI"))</f>
        <v/>
      </c>
      <c r="H361" s="55" t="str">
        <f>IF(tblStock[[#This Row],[SKU]]="","",SUMIFS(tblMovimientos[CantidadNeta],tblMovimientos[SKU],tblStock[[#This Row],[SKU]],tblMovimientos[FactorStock],1))</f>
        <v/>
      </c>
      <c r="I361" s="55" t="str">
        <f>IF(tblStock[[#This Row],[SKU]]="","",-SUMIFS(tblMovimientos[CantidadNeta],tblMovimientos[SKU],tblStock[[#This Row],[SKU]],tblMovimientos[FactorStock],-1))</f>
        <v/>
      </c>
      <c r="J361" s="56" t="str">
        <f>IF(tblStock[[#This Row],[SKU]]="","",SUMIFS(tblMovimientos[CantidadNeta],tblMovimientos[SKU],tblStock[[#This Row],[SKU]]))</f>
        <v/>
      </c>
      <c r="K361" s="55" t="str">
        <f>IF($B361="","",N('05_PRODUCTOS'!$F361))</f>
        <v/>
      </c>
      <c r="L361" s="55" t="str">
        <f>IF($B361="","",N('05_PRODUCTOS'!$G361))</f>
        <v/>
      </c>
      <c r="M361" s="57" t="str">
        <f>IF(OR(tblStock[[#This Row],[SKU]]="",N(tblStock[[#This Row],[StockMax]])=0),"",MAX(0,tblStock[[#This Row],[StockActual]])/tblStock[[#This Row],[StockMax]])</f>
        <v/>
      </c>
      <c r="N36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1" s="59" t="str">
        <f>IF($B361="","",N('05_PRODUCTOS'!$H361))</f>
        <v/>
      </c>
      <c r="P361" s="59" t="str">
        <f>IF(tblStock[[#This Row],[SKU]]="","",MAX(0,tblStock[[#This Row],[StockActual]])*tblStock[[#This Row],[CostoUnitario]])</f>
        <v/>
      </c>
      <c r="Q361" s="60" t="str">
        <f>IF(tblStock[[#This Row],[SKU]]="","",IFERROR(_xlfn.AGGREGATE(14,6,tblMovimientos[Fecha]/(tblMovimientos[SKU]=tblStock[[#This Row],[SKU]]),1),""))</f>
        <v/>
      </c>
      <c r="R361" s="61" t="str">
        <f ca="1">IF(OR(tblStock[[#This Row],[SKU]]="",tblStock[[#This Row],[UltimoMov]]=""),"",TODAY()-tblStock[[#This Row],[UltimoMov]])</f>
        <v/>
      </c>
    </row>
    <row r="362" spans="2:18" x14ac:dyDescent="0.25">
      <c r="B362" s="53" t="str">
        <f>IF('05_PRODUCTOS'!$B362="","",'05_PRODUCTOS'!$B362)</f>
        <v/>
      </c>
      <c r="C362" s="54" t="str">
        <f>IF($B362="","",'05_PRODUCTOS'!$C362)</f>
        <v/>
      </c>
      <c r="D362" s="54" t="str">
        <f>IF($B362="","",'05_PRODUCTOS'!$D362)</f>
        <v/>
      </c>
      <c r="E362" s="54" t="str">
        <f>IF($B362="","",'05_PRODUCTOS'!$I362&amp;"")</f>
        <v/>
      </c>
      <c r="F362" s="53" t="str">
        <f>IF($B362="","",'05_PRODUCTOS'!$E362)</f>
        <v/>
      </c>
      <c r="G362" s="53" t="str">
        <f>IF($B362="","",IF('05_PRODUCTOS'!$K362="NO","NO","SI"))</f>
        <v/>
      </c>
      <c r="H362" s="55" t="str">
        <f>IF(tblStock[[#This Row],[SKU]]="","",SUMIFS(tblMovimientos[CantidadNeta],tblMovimientos[SKU],tblStock[[#This Row],[SKU]],tblMovimientos[FactorStock],1))</f>
        <v/>
      </c>
      <c r="I362" s="55" t="str">
        <f>IF(tblStock[[#This Row],[SKU]]="","",-SUMIFS(tblMovimientos[CantidadNeta],tblMovimientos[SKU],tblStock[[#This Row],[SKU]],tblMovimientos[FactorStock],-1))</f>
        <v/>
      </c>
      <c r="J362" s="56" t="str">
        <f>IF(tblStock[[#This Row],[SKU]]="","",SUMIFS(tblMovimientos[CantidadNeta],tblMovimientos[SKU],tblStock[[#This Row],[SKU]]))</f>
        <v/>
      </c>
      <c r="K362" s="55" t="str">
        <f>IF($B362="","",N('05_PRODUCTOS'!$F362))</f>
        <v/>
      </c>
      <c r="L362" s="55" t="str">
        <f>IF($B362="","",N('05_PRODUCTOS'!$G362))</f>
        <v/>
      </c>
      <c r="M362" s="57" t="str">
        <f>IF(OR(tblStock[[#This Row],[SKU]]="",N(tblStock[[#This Row],[StockMax]])=0),"",MAX(0,tblStock[[#This Row],[StockActual]])/tblStock[[#This Row],[StockMax]])</f>
        <v/>
      </c>
      <c r="N36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2" s="59" t="str">
        <f>IF($B362="","",N('05_PRODUCTOS'!$H362))</f>
        <v/>
      </c>
      <c r="P362" s="59" t="str">
        <f>IF(tblStock[[#This Row],[SKU]]="","",MAX(0,tblStock[[#This Row],[StockActual]])*tblStock[[#This Row],[CostoUnitario]])</f>
        <v/>
      </c>
      <c r="Q362" s="60" t="str">
        <f>IF(tblStock[[#This Row],[SKU]]="","",IFERROR(_xlfn.AGGREGATE(14,6,tblMovimientos[Fecha]/(tblMovimientos[SKU]=tblStock[[#This Row],[SKU]]),1),""))</f>
        <v/>
      </c>
      <c r="R362" s="61" t="str">
        <f ca="1">IF(OR(tblStock[[#This Row],[SKU]]="",tblStock[[#This Row],[UltimoMov]]=""),"",TODAY()-tblStock[[#This Row],[UltimoMov]])</f>
        <v/>
      </c>
    </row>
    <row r="363" spans="2:18" x14ac:dyDescent="0.25">
      <c r="B363" s="53" t="str">
        <f>IF('05_PRODUCTOS'!$B363="","",'05_PRODUCTOS'!$B363)</f>
        <v/>
      </c>
      <c r="C363" s="54" t="str">
        <f>IF($B363="","",'05_PRODUCTOS'!$C363)</f>
        <v/>
      </c>
      <c r="D363" s="54" t="str">
        <f>IF($B363="","",'05_PRODUCTOS'!$D363)</f>
        <v/>
      </c>
      <c r="E363" s="54" t="str">
        <f>IF($B363="","",'05_PRODUCTOS'!$I363&amp;"")</f>
        <v/>
      </c>
      <c r="F363" s="53" t="str">
        <f>IF($B363="","",'05_PRODUCTOS'!$E363)</f>
        <v/>
      </c>
      <c r="G363" s="53" t="str">
        <f>IF($B363="","",IF('05_PRODUCTOS'!$K363="NO","NO","SI"))</f>
        <v/>
      </c>
      <c r="H363" s="55" t="str">
        <f>IF(tblStock[[#This Row],[SKU]]="","",SUMIFS(tblMovimientos[CantidadNeta],tblMovimientos[SKU],tblStock[[#This Row],[SKU]],tblMovimientos[FactorStock],1))</f>
        <v/>
      </c>
      <c r="I363" s="55" t="str">
        <f>IF(tblStock[[#This Row],[SKU]]="","",-SUMIFS(tblMovimientos[CantidadNeta],tblMovimientos[SKU],tblStock[[#This Row],[SKU]],tblMovimientos[FactorStock],-1))</f>
        <v/>
      </c>
      <c r="J363" s="56" t="str">
        <f>IF(tblStock[[#This Row],[SKU]]="","",SUMIFS(tblMovimientos[CantidadNeta],tblMovimientos[SKU],tblStock[[#This Row],[SKU]]))</f>
        <v/>
      </c>
      <c r="K363" s="55" t="str">
        <f>IF($B363="","",N('05_PRODUCTOS'!$F363))</f>
        <v/>
      </c>
      <c r="L363" s="55" t="str">
        <f>IF($B363="","",N('05_PRODUCTOS'!$G363))</f>
        <v/>
      </c>
      <c r="M363" s="57" t="str">
        <f>IF(OR(tblStock[[#This Row],[SKU]]="",N(tblStock[[#This Row],[StockMax]])=0),"",MAX(0,tblStock[[#This Row],[StockActual]])/tblStock[[#This Row],[StockMax]])</f>
        <v/>
      </c>
      <c r="N36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3" s="59" t="str">
        <f>IF($B363="","",N('05_PRODUCTOS'!$H363))</f>
        <v/>
      </c>
      <c r="P363" s="59" t="str">
        <f>IF(tblStock[[#This Row],[SKU]]="","",MAX(0,tblStock[[#This Row],[StockActual]])*tblStock[[#This Row],[CostoUnitario]])</f>
        <v/>
      </c>
      <c r="Q363" s="60" t="str">
        <f>IF(tblStock[[#This Row],[SKU]]="","",IFERROR(_xlfn.AGGREGATE(14,6,tblMovimientos[Fecha]/(tblMovimientos[SKU]=tblStock[[#This Row],[SKU]]),1),""))</f>
        <v/>
      </c>
      <c r="R363" s="61" t="str">
        <f ca="1">IF(OR(tblStock[[#This Row],[SKU]]="",tblStock[[#This Row],[UltimoMov]]=""),"",TODAY()-tblStock[[#This Row],[UltimoMov]])</f>
        <v/>
      </c>
    </row>
    <row r="364" spans="2:18" x14ac:dyDescent="0.25">
      <c r="B364" s="53" t="str">
        <f>IF('05_PRODUCTOS'!$B364="","",'05_PRODUCTOS'!$B364)</f>
        <v/>
      </c>
      <c r="C364" s="54" t="str">
        <f>IF($B364="","",'05_PRODUCTOS'!$C364)</f>
        <v/>
      </c>
      <c r="D364" s="54" t="str">
        <f>IF($B364="","",'05_PRODUCTOS'!$D364)</f>
        <v/>
      </c>
      <c r="E364" s="54" t="str">
        <f>IF($B364="","",'05_PRODUCTOS'!$I364&amp;"")</f>
        <v/>
      </c>
      <c r="F364" s="53" t="str">
        <f>IF($B364="","",'05_PRODUCTOS'!$E364)</f>
        <v/>
      </c>
      <c r="G364" s="53" t="str">
        <f>IF($B364="","",IF('05_PRODUCTOS'!$K364="NO","NO","SI"))</f>
        <v/>
      </c>
      <c r="H364" s="55" t="str">
        <f>IF(tblStock[[#This Row],[SKU]]="","",SUMIFS(tblMovimientos[CantidadNeta],tblMovimientos[SKU],tblStock[[#This Row],[SKU]],tblMovimientos[FactorStock],1))</f>
        <v/>
      </c>
      <c r="I364" s="55" t="str">
        <f>IF(tblStock[[#This Row],[SKU]]="","",-SUMIFS(tblMovimientos[CantidadNeta],tblMovimientos[SKU],tblStock[[#This Row],[SKU]],tblMovimientos[FactorStock],-1))</f>
        <v/>
      </c>
      <c r="J364" s="56" t="str">
        <f>IF(tblStock[[#This Row],[SKU]]="","",SUMIFS(tblMovimientos[CantidadNeta],tblMovimientos[SKU],tblStock[[#This Row],[SKU]]))</f>
        <v/>
      </c>
      <c r="K364" s="55" t="str">
        <f>IF($B364="","",N('05_PRODUCTOS'!$F364))</f>
        <v/>
      </c>
      <c r="L364" s="55" t="str">
        <f>IF($B364="","",N('05_PRODUCTOS'!$G364))</f>
        <v/>
      </c>
      <c r="M364" s="57" t="str">
        <f>IF(OR(tblStock[[#This Row],[SKU]]="",N(tblStock[[#This Row],[StockMax]])=0),"",MAX(0,tblStock[[#This Row],[StockActual]])/tblStock[[#This Row],[StockMax]])</f>
        <v/>
      </c>
      <c r="N36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4" s="59" t="str">
        <f>IF($B364="","",N('05_PRODUCTOS'!$H364))</f>
        <v/>
      </c>
      <c r="P364" s="59" t="str">
        <f>IF(tblStock[[#This Row],[SKU]]="","",MAX(0,tblStock[[#This Row],[StockActual]])*tblStock[[#This Row],[CostoUnitario]])</f>
        <v/>
      </c>
      <c r="Q364" s="60" t="str">
        <f>IF(tblStock[[#This Row],[SKU]]="","",IFERROR(_xlfn.AGGREGATE(14,6,tblMovimientos[Fecha]/(tblMovimientos[SKU]=tblStock[[#This Row],[SKU]]),1),""))</f>
        <v/>
      </c>
      <c r="R364" s="61" t="str">
        <f ca="1">IF(OR(tblStock[[#This Row],[SKU]]="",tblStock[[#This Row],[UltimoMov]]=""),"",TODAY()-tblStock[[#This Row],[UltimoMov]])</f>
        <v/>
      </c>
    </row>
    <row r="365" spans="2:18" x14ac:dyDescent="0.25">
      <c r="B365" s="53" t="str">
        <f>IF('05_PRODUCTOS'!$B365="","",'05_PRODUCTOS'!$B365)</f>
        <v/>
      </c>
      <c r="C365" s="54" t="str">
        <f>IF($B365="","",'05_PRODUCTOS'!$C365)</f>
        <v/>
      </c>
      <c r="D365" s="54" t="str">
        <f>IF($B365="","",'05_PRODUCTOS'!$D365)</f>
        <v/>
      </c>
      <c r="E365" s="54" t="str">
        <f>IF($B365="","",'05_PRODUCTOS'!$I365&amp;"")</f>
        <v/>
      </c>
      <c r="F365" s="53" t="str">
        <f>IF($B365="","",'05_PRODUCTOS'!$E365)</f>
        <v/>
      </c>
      <c r="G365" s="53" t="str">
        <f>IF($B365="","",IF('05_PRODUCTOS'!$K365="NO","NO","SI"))</f>
        <v/>
      </c>
      <c r="H365" s="55" t="str">
        <f>IF(tblStock[[#This Row],[SKU]]="","",SUMIFS(tblMovimientos[CantidadNeta],tblMovimientos[SKU],tblStock[[#This Row],[SKU]],tblMovimientos[FactorStock],1))</f>
        <v/>
      </c>
      <c r="I365" s="55" t="str">
        <f>IF(tblStock[[#This Row],[SKU]]="","",-SUMIFS(tblMovimientos[CantidadNeta],tblMovimientos[SKU],tblStock[[#This Row],[SKU]],tblMovimientos[FactorStock],-1))</f>
        <v/>
      </c>
      <c r="J365" s="56" t="str">
        <f>IF(tblStock[[#This Row],[SKU]]="","",SUMIFS(tblMovimientos[CantidadNeta],tblMovimientos[SKU],tblStock[[#This Row],[SKU]]))</f>
        <v/>
      </c>
      <c r="K365" s="55" t="str">
        <f>IF($B365="","",N('05_PRODUCTOS'!$F365))</f>
        <v/>
      </c>
      <c r="L365" s="55" t="str">
        <f>IF($B365="","",N('05_PRODUCTOS'!$G365))</f>
        <v/>
      </c>
      <c r="M365" s="57" t="str">
        <f>IF(OR(tblStock[[#This Row],[SKU]]="",N(tblStock[[#This Row],[StockMax]])=0),"",MAX(0,tblStock[[#This Row],[StockActual]])/tblStock[[#This Row],[StockMax]])</f>
        <v/>
      </c>
      <c r="N36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5" s="59" t="str">
        <f>IF($B365="","",N('05_PRODUCTOS'!$H365))</f>
        <v/>
      </c>
      <c r="P365" s="59" t="str">
        <f>IF(tblStock[[#This Row],[SKU]]="","",MAX(0,tblStock[[#This Row],[StockActual]])*tblStock[[#This Row],[CostoUnitario]])</f>
        <v/>
      </c>
      <c r="Q365" s="60" t="str">
        <f>IF(tblStock[[#This Row],[SKU]]="","",IFERROR(_xlfn.AGGREGATE(14,6,tblMovimientos[Fecha]/(tblMovimientos[SKU]=tblStock[[#This Row],[SKU]]),1),""))</f>
        <v/>
      </c>
      <c r="R365" s="61" t="str">
        <f ca="1">IF(OR(tblStock[[#This Row],[SKU]]="",tblStock[[#This Row],[UltimoMov]]=""),"",TODAY()-tblStock[[#This Row],[UltimoMov]])</f>
        <v/>
      </c>
    </row>
    <row r="366" spans="2:18" x14ac:dyDescent="0.25">
      <c r="B366" s="53" t="str">
        <f>IF('05_PRODUCTOS'!$B366="","",'05_PRODUCTOS'!$B366)</f>
        <v/>
      </c>
      <c r="C366" s="54" t="str">
        <f>IF($B366="","",'05_PRODUCTOS'!$C366)</f>
        <v/>
      </c>
      <c r="D366" s="54" t="str">
        <f>IF($B366="","",'05_PRODUCTOS'!$D366)</f>
        <v/>
      </c>
      <c r="E366" s="54" t="str">
        <f>IF($B366="","",'05_PRODUCTOS'!$I366&amp;"")</f>
        <v/>
      </c>
      <c r="F366" s="53" t="str">
        <f>IF($B366="","",'05_PRODUCTOS'!$E366)</f>
        <v/>
      </c>
      <c r="G366" s="53" t="str">
        <f>IF($B366="","",IF('05_PRODUCTOS'!$K366="NO","NO","SI"))</f>
        <v/>
      </c>
      <c r="H366" s="55" t="str">
        <f>IF(tblStock[[#This Row],[SKU]]="","",SUMIFS(tblMovimientos[CantidadNeta],tblMovimientos[SKU],tblStock[[#This Row],[SKU]],tblMovimientos[FactorStock],1))</f>
        <v/>
      </c>
      <c r="I366" s="55" t="str">
        <f>IF(tblStock[[#This Row],[SKU]]="","",-SUMIFS(tblMovimientos[CantidadNeta],tblMovimientos[SKU],tblStock[[#This Row],[SKU]],tblMovimientos[FactorStock],-1))</f>
        <v/>
      </c>
      <c r="J366" s="56" t="str">
        <f>IF(tblStock[[#This Row],[SKU]]="","",SUMIFS(tblMovimientos[CantidadNeta],tblMovimientos[SKU],tblStock[[#This Row],[SKU]]))</f>
        <v/>
      </c>
      <c r="K366" s="55" t="str">
        <f>IF($B366="","",N('05_PRODUCTOS'!$F366))</f>
        <v/>
      </c>
      <c r="L366" s="55" t="str">
        <f>IF($B366="","",N('05_PRODUCTOS'!$G366))</f>
        <v/>
      </c>
      <c r="M366" s="57" t="str">
        <f>IF(OR(tblStock[[#This Row],[SKU]]="",N(tblStock[[#This Row],[StockMax]])=0),"",MAX(0,tblStock[[#This Row],[StockActual]])/tblStock[[#This Row],[StockMax]])</f>
        <v/>
      </c>
      <c r="N36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6" s="59" t="str">
        <f>IF($B366="","",N('05_PRODUCTOS'!$H366))</f>
        <v/>
      </c>
      <c r="P366" s="59" t="str">
        <f>IF(tblStock[[#This Row],[SKU]]="","",MAX(0,tblStock[[#This Row],[StockActual]])*tblStock[[#This Row],[CostoUnitario]])</f>
        <v/>
      </c>
      <c r="Q366" s="60" t="str">
        <f>IF(tblStock[[#This Row],[SKU]]="","",IFERROR(_xlfn.AGGREGATE(14,6,tblMovimientos[Fecha]/(tblMovimientos[SKU]=tblStock[[#This Row],[SKU]]),1),""))</f>
        <v/>
      </c>
      <c r="R366" s="61" t="str">
        <f ca="1">IF(OR(tblStock[[#This Row],[SKU]]="",tblStock[[#This Row],[UltimoMov]]=""),"",TODAY()-tblStock[[#This Row],[UltimoMov]])</f>
        <v/>
      </c>
    </row>
    <row r="367" spans="2:18" x14ac:dyDescent="0.25">
      <c r="B367" s="53" t="str">
        <f>IF('05_PRODUCTOS'!$B367="","",'05_PRODUCTOS'!$B367)</f>
        <v/>
      </c>
      <c r="C367" s="54" t="str">
        <f>IF($B367="","",'05_PRODUCTOS'!$C367)</f>
        <v/>
      </c>
      <c r="D367" s="54" t="str">
        <f>IF($B367="","",'05_PRODUCTOS'!$D367)</f>
        <v/>
      </c>
      <c r="E367" s="54" t="str">
        <f>IF($B367="","",'05_PRODUCTOS'!$I367&amp;"")</f>
        <v/>
      </c>
      <c r="F367" s="53" t="str">
        <f>IF($B367="","",'05_PRODUCTOS'!$E367)</f>
        <v/>
      </c>
      <c r="G367" s="53" t="str">
        <f>IF($B367="","",IF('05_PRODUCTOS'!$K367="NO","NO","SI"))</f>
        <v/>
      </c>
      <c r="H367" s="55" t="str">
        <f>IF(tblStock[[#This Row],[SKU]]="","",SUMIFS(tblMovimientos[CantidadNeta],tblMovimientos[SKU],tblStock[[#This Row],[SKU]],tblMovimientos[FactorStock],1))</f>
        <v/>
      </c>
      <c r="I367" s="55" t="str">
        <f>IF(tblStock[[#This Row],[SKU]]="","",-SUMIFS(tblMovimientos[CantidadNeta],tblMovimientos[SKU],tblStock[[#This Row],[SKU]],tblMovimientos[FactorStock],-1))</f>
        <v/>
      </c>
      <c r="J367" s="56" t="str">
        <f>IF(tblStock[[#This Row],[SKU]]="","",SUMIFS(tblMovimientos[CantidadNeta],tblMovimientos[SKU],tblStock[[#This Row],[SKU]]))</f>
        <v/>
      </c>
      <c r="K367" s="55" t="str">
        <f>IF($B367="","",N('05_PRODUCTOS'!$F367))</f>
        <v/>
      </c>
      <c r="L367" s="55" t="str">
        <f>IF($B367="","",N('05_PRODUCTOS'!$G367))</f>
        <v/>
      </c>
      <c r="M367" s="57" t="str">
        <f>IF(OR(tblStock[[#This Row],[SKU]]="",N(tblStock[[#This Row],[StockMax]])=0),"",MAX(0,tblStock[[#This Row],[StockActual]])/tblStock[[#This Row],[StockMax]])</f>
        <v/>
      </c>
      <c r="N36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7" s="59" t="str">
        <f>IF($B367="","",N('05_PRODUCTOS'!$H367))</f>
        <v/>
      </c>
      <c r="P367" s="59" t="str">
        <f>IF(tblStock[[#This Row],[SKU]]="","",MAX(0,tblStock[[#This Row],[StockActual]])*tblStock[[#This Row],[CostoUnitario]])</f>
        <v/>
      </c>
      <c r="Q367" s="60" t="str">
        <f>IF(tblStock[[#This Row],[SKU]]="","",IFERROR(_xlfn.AGGREGATE(14,6,tblMovimientos[Fecha]/(tblMovimientos[SKU]=tblStock[[#This Row],[SKU]]),1),""))</f>
        <v/>
      </c>
      <c r="R367" s="61" t="str">
        <f ca="1">IF(OR(tblStock[[#This Row],[SKU]]="",tblStock[[#This Row],[UltimoMov]]=""),"",TODAY()-tblStock[[#This Row],[UltimoMov]])</f>
        <v/>
      </c>
    </row>
    <row r="368" spans="2:18" x14ac:dyDescent="0.25">
      <c r="B368" s="53" t="str">
        <f>IF('05_PRODUCTOS'!$B368="","",'05_PRODUCTOS'!$B368)</f>
        <v/>
      </c>
      <c r="C368" s="54" t="str">
        <f>IF($B368="","",'05_PRODUCTOS'!$C368)</f>
        <v/>
      </c>
      <c r="D368" s="54" t="str">
        <f>IF($B368="","",'05_PRODUCTOS'!$D368)</f>
        <v/>
      </c>
      <c r="E368" s="54" t="str">
        <f>IF($B368="","",'05_PRODUCTOS'!$I368&amp;"")</f>
        <v/>
      </c>
      <c r="F368" s="53" t="str">
        <f>IF($B368="","",'05_PRODUCTOS'!$E368)</f>
        <v/>
      </c>
      <c r="G368" s="53" t="str">
        <f>IF($B368="","",IF('05_PRODUCTOS'!$K368="NO","NO","SI"))</f>
        <v/>
      </c>
      <c r="H368" s="55" t="str">
        <f>IF(tblStock[[#This Row],[SKU]]="","",SUMIFS(tblMovimientos[CantidadNeta],tblMovimientos[SKU],tblStock[[#This Row],[SKU]],tblMovimientos[FactorStock],1))</f>
        <v/>
      </c>
      <c r="I368" s="55" t="str">
        <f>IF(tblStock[[#This Row],[SKU]]="","",-SUMIFS(tblMovimientos[CantidadNeta],tblMovimientos[SKU],tblStock[[#This Row],[SKU]],tblMovimientos[FactorStock],-1))</f>
        <v/>
      </c>
      <c r="J368" s="56" t="str">
        <f>IF(tblStock[[#This Row],[SKU]]="","",SUMIFS(tblMovimientos[CantidadNeta],tblMovimientos[SKU],tblStock[[#This Row],[SKU]]))</f>
        <v/>
      </c>
      <c r="K368" s="55" t="str">
        <f>IF($B368="","",N('05_PRODUCTOS'!$F368))</f>
        <v/>
      </c>
      <c r="L368" s="55" t="str">
        <f>IF($B368="","",N('05_PRODUCTOS'!$G368))</f>
        <v/>
      </c>
      <c r="M368" s="57" t="str">
        <f>IF(OR(tblStock[[#This Row],[SKU]]="",N(tblStock[[#This Row],[StockMax]])=0),"",MAX(0,tblStock[[#This Row],[StockActual]])/tblStock[[#This Row],[StockMax]])</f>
        <v/>
      </c>
      <c r="N36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8" s="59" t="str">
        <f>IF($B368="","",N('05_PRODUCTOS'!$H368))</f>
        <v/>
      </c>
      <c r="P368" s="59" t="str">
        <f>IF(tblStock[[#This Row],[SKU]]="","",MAX(0,tblStock[[#This Row],[StockActual]])*tblStock[[#This Row],[CostoUnitario]])</f>
        <v/>
      </c>
      <c r="Q368" s="60" t="str">
        <f>IF(tblStock[[#This Row],[SKU]]="","",IFERROR(_xlfn.AGGREGATE(14,6,tblMovimientos[Fecha]/(tblMovimientos[SKU]=tblStock[[#This Row],[SKU]]),1),""))</f>
        <v/>
      </c>
      <c r="R368" s="61" t="str">
        <f ca="1">IF(OR(tblStock[[#This Row],[SKU]]="",tblStock[[#This Row],[UltimoMov]]=""),"",TODAY()-tblStock[[#This Row],[UltimoMov]])</f>
        <v/>
      </c>
    </row>
    <row r="369" spans="2:18" x14ac:dyDescent="0.25">
      <c r="B369" s="53" t="str">
        <f>IF('05_PRODUCTOS'!$B369="","",'05_PRODUCTOS'!$B369)</f>
        <v/>
      </c>
      <c r="C369" s="54" t="str">
        <f>IF($B369="","",'05_PRODUCTOS'!$C369)</f>
        <v/>
      </c>
      <c r="D369" s="54" t="str">
        <f>IF($B369="","",'05_PRODUCTOS'!$D369)</f>
        <v/>
      </c>
      <c r="E369" s="54" t="str">
        <f>IF($B369="","",'05_PRODUCTOS'!$I369&amp;"")</f>
        <v/>
      </c>
      <c r="F369" s="53" t="str">
        <f>IF($B369="","",'05_PRODUCTOS'!$E369)</f>
        <v/>
      </c>
      <c r="G369" s="53" t="str">
        <f>IF($B369="","",IF('05_PRODUCTOS'!$K369="NO","NO","SI"))</f>
        <v/>
      </c>
      <c r="H369" s="55" t="str">
        <f>IF(tblStock[[#This Row],[SKU]]="","",SUMIFS(tblMovimientos[CantidadNeta],tblMovimientos[SKU],tblStock[[#This Row],[SKU]],tblMovimientos[FactorStock],1))</f>
        <v/>
      </c>
      <c r="I369" s="55" t="str">
        <f>IF(tblStock[[#This Row],[SKU]]="","",-SUMIFS(tblMovimientos[CantidadNeta],tblMovimientos[SKU],tblStock[[#This Row],[SKU]],tblMovimientos[FactorStock],-1))</f>
        <v/>
      </c>
      <c r="J369" s="56" t="str">
        <f>IF(tblStock[[#This Row],[SKU]]="","",SUMIFS(tblMovimientos[CantidadNeta],tblMovimientos[SKU],tblStock[[#This Row],[SKU]]))</f>
        <v/>
      </c>
      <c r="K369" s="55" t="str">
        <f>IF($B369="","",N('05_PRODUCTOS'!$F369))</f>
        <v/>
      </c>
      <c r="L369" s="55" t="str">
        <f>IF($B369="","",N('05_PRODUCTOS'!$G369))</f>
        <v/>
      </c>
      <c r="M369" s="57" t="str">
        <f>IF(OR(tblStock[[#This Row],[SKU]]="",N(tblStock[[#This Row],[StockMax]])=0),"",MAX(0,tblStock[[#This Row],[StockActual]])/tblStock[[#This Row],[StockMax]])</f>
        <v/>
      </c>
      <c r="N36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69" s="59" t="str">
        <f>IF($B369="","",N('05_PRODUCTOS'!$H369))</f>
        <v/>
      </c>
      <c r="P369" s="59" t="str">
        <f>IF(tblStock[[#This Row],[SKU]]="","",MAX(0,tblStock[[#This Row],[StockActual]])*tblStock[[#This Row],[CostoUnitario]])</f>
        <v/>
      </c>
      <c r="Q369" s="60" t="str">
        <f>IF(tblStock[[#This Row],[SKU]]="","",IFERROR(_xlfn.AGGREGATE(14,6,tblMovimientos[Fecha]/(tblMovimientos[SKU]=tblStock[[#This Row],[SKU]]),1),""))</f>
        <v/>
      </c>
      <c r="R369" s="61" t="str">
        <f ca="1">IF(OR(tblStock[[#This Row],[SKU]]="",tblStock[[#This Row],[UltimoMov]]=""),"",TODAY()-tblStock[[#This Row],[UltimoMov]])</f>
        <v/>
      </c>
    </row>
    <row r="370" spans="2:18" x14ac:dyDescent="0.25">
      <c r="B370" s="53" t="str">
        <f>IF('05_PRODUCTOS'!$B370="","",'05_PRODUCTOS'!$B370)</f>
        <v/>
      </c>
      <c r="C370" s="54" t="str">
        <f>IF($B370="","",'05_PRODUCTOS'!$C370)</f>
        <v/>
      </c>
      <c r="D370" s="54" t="str">
        <f>IF($B370="","",'05_PRODUCTOS'!$D370)</f>
        <v/>
      </c>
      <c r="E370" s="54" t="str">
        <f>IF($B370="","",'05_PRODUCTOS'!$I370&amp;"")</f>
        <v/>
      </c>
      <c r="F370" s="53" t="str">
        <f>IF($B370="","",'05_PRODUCTOS'!$E370)</f>
        <v/>
      </c>
      <c r="G370" s="53" t="str">
        <f>IF($B370="","",IF('05_PRODUCTOS'!$K370="NO","NO","SI"))</f>
        <v/>
      </c>
      <c r="H370" s="55" t="str">
        <f>IF(tblStock[[#This Row],[SKU]]="","",SUMIFS(tblMovimientos[CantidadNeta],tblMovimientos[SKU],tblStock[[#This Row],[SKU]],tblMovimientos[FactorStock],1))</f>
        <v/>
      </c>
      <c r="I370" s="55" t="str">
        <f>IF(tblStock[[#This Row],[SKU]]="","",-SUMIFS(tblMovimientos[CantidadNeta],tblMovimientos[SKU],tblStock[[#This Row],[SKU]],tblMovimientos[FactorStock],-1))</f>
        <v/>
      </c>
      <c r="J370" s="56" t="str">
        <f>IF(tblStock[[#This Row],[SKU]]="","",SUMIFS(tblMovimientos[CantidadNeta],tblMovimientos[SKU],tblStock[[#This Row],[SKU]]))</f>
        <v/>
      </c>
      <c r="K370" s="55" t="str">
        <f>IF($B370="","",N('05_PRODUCTOS'!$F370))</f>
        <v/>
      </c>
      <c r="L370" s="55" t="str">
        <f>IF($B370="","",N('05_PRODUCTOS'!$G370))</f>
        <v/>
      </c>
      <c r="M370" s="57" t="str">
        <f>IF(OR(tblStock[[#This Row],[SKU]]="",N(tblStock[[#This Row],[StockMax]])=0),"",MAX(0,tblStock[[#This Row],[StockActual]])/tblStock[[#This Row],[StockMax]])</f>
        <v/>
      </c>
      <c r="N37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0" s="59" t="str">
        <f>IF($B370="","",N('05_PRODUCTOS'!$H370))</f>
        <v/>
      </c>
      <c r="P370" s="59" t="str">
        <f>IF(tblStock[[#This Row],[SKU]]="","",MAX(0,tblStock[[#This Row],[StockActual]])*tblStock[[#This Row],[CostoUnitario]])</f>
        <v/>
      </c>
      <c r="Q370" s="60" t="str">
        <f>IF(tblStock[[#This Row],[SKU]]="","",IFERROR(_xlfn.AGGREGATE(14,6,tblMovimientos[Fecha]/(tblMovimientos[SKU]=tblStock[[#This Row],[SKU]]),1),""))</f>
        <v/>
      </c>
      <c r="R370" s="61" t="str">
        <f ca="1">IF(OR(tblStock[[#This Row],[SKU]]="",tblStock[[#This Row],[UltimoMov]]=""),"",TODAY()-tblStock[[#This Row],[UltimoMov]])</f>
        <v/>
      </c>
    </row>
    <row r="371" spans="2:18" x14ac:dyDescent="0.25">
      <c r="B371" s="53" t="str">
        <f>IF('05_PRODUCTOS'!$B371="","",'05_PRODUCTOS'!$B371)</f>
        <v/>
      </c>
      <c r="C371" s="54" t="str">
        <f>IF($B371="","",'05_PRODUCTOS'!$C371)</f>
        <v/>
      </c>
      <c r="D371" s="54" t="str">
        <f>IF($B371="","",'05_PRODUCTOS'!$D371)</f>
        <v/>
      </c>
      <c r="E371" s="54" t="str">
        <f>IF($B371="","",'05_PRODUCTOS'!$I371&amp;"")</f>
        <v/>
      </c>
      <c r="F371" s="53" t="str">
        <f>IF($B371="","",'05_PRODUCTOS'!$E371)</f>
        <v/>
      </c>
      <c r="G371" s="53" t="str">
        <f>IF($B371="","",IF('05_PRODUCTOS'!$K371="NO","NO","SI"))</f>
        <v/>
      </c>
      <c r="H371" s="55" t="str">
        <f>IF(tblStock[[#This Row],[SKU]]="","",SUMIFS(tblMovimientos[CantidadNeta],tblMovimientos[SKU],tblStock[[#This Row],[SKU]],tblMovimientos[FactorStock],1))</f>
        <v/>
      </c>
      <c r="I371" s="55" t="str">
        <f>IF(tblStock[[#This Row],[SKU]]="","",-SUMIFS(tblMovimientos[CantidadNeta],tblMovimientos[SKU],tblStock[[#This Row],[SKU]],tblMovimientos[FactorStock],-1))</f>
        <v/>
      </c>
      <c r="J371" s="56" t="str">
        <f>IF(tblStock[[#This Row],[SKU]]="","",SUMIFS(tblMovimientos[CantidadNeta],tblMovimientos[SKU],tblStock[[#This Row],[SKU]]))</f>
        <v/>
      </c>
      <c r="K371" s="55" t="str">
        <f>IF($B371="","",N('05_PRODUCTOS'!$F371))</f>
        <v/>
      </c>
      <c r="L371" s="55" t="str">
        <f>IF($B371="","",N('05_PRODUCTOS'!$G371))</f>
        <v/>
      </c>
      <c r="M371" s="57" t="str">
        <f>IF(OR(tblStock[[#This Row],[SKU]]="",N(tblStock[[#This Row],[StockMax]])=0),"",MAX(0,tblStock[[#This Row],[StockActual]])/tblStock[[#This Row],[StockMax]])</f>
        <v/>
      </c>
      <c r="N37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1" s="59" t="str">
        <f>IF($B371="","",N('05_PRODUCTOS'!$H371))</f>
        <v/>
      </c>
      <c r="P371" s="59" t="str">
        <f>IF(tblStock[[#This Row],[SKU]]="","",MAX(0,tblStock[[#This Row],[StockActual]])*tblStock[[#This Row],[CostoUnitario]])</f>
        <v/>
      </c>
      <c r="Q371" s="60" t="str">
        <f>IF(tblStock[[#This Row],[SKU]]="","",IFERROR(_xlfn.AGGREGATE(14,6,tblMovimientos[Fecha]/(tblMovimientos[SKU]=tblStock[[#This Row],[SKU]]),1),""))</f>
        <v/>
      </c>
      <c r="R371" s="61" t="str">
        <f ca="1">IF(OR(tblStock[[#This Row],[SKU]]="",tblStock[[#This Row],[UltimoMov]]=""),"",TODAY()-tblStock[[#This Row],[UltimoMov]])</f>
        <v/>
      </c>
    </row>
    <row r="372" spans="2:18" x14ac:dyDescent="0.25">
      <c r="B372" s="53" t="str">
        <f>IF('05_PRODUCTOS'!$B372="","",'05_PRODUCTOS'!$B372)</f>
        <v/>
      </c>
      <c r="C372" s="54" t="str">
        <f>IF($B372="","",'05_PRODUCTOS'!$C372)</f>
        <v/>
      </c>
      <c r="D372" s="54" t="str">
        <f>IF($B372="","",'05_PRODUCTOS'!$D372)</f>
        <v/>
      </c>
      <c r="E372" s="54" t="str">
        <f>IF($B372="","",'05_PRODUCTOS'!$I372&amp;"")</f>
        <v/>
      </c>
      <c r="F372" s="53" t="str">
        <f>IF($B372="","",'05_PRODUCTOS'!$E372)</f>
        <v/>
      </c>
      <c r="G372" s="53" t="str">
        <f>IF($B372="","",IF('05_PRODUCTOS'!$K372="NO","NO","SI"))</f>
        <v/>
      </c>
      <c r="H372" s="55" t="str">
        <f>IF(tblStock[[#This Row],[SKU]]="","",SUMIFS(tblMovimientos[CantidadNeta],tblMovimientos[SKU],tblStock[[#This Row],[SKU]],tblMovimientos[FactorStock],1))</f>
        <v/>
      </c>
      <c r="I372" s="55" t="str">
        <f>IF(tblStock[[#This Row],[SKU]]="","",-SUMIFS(tblMovimientos[CantidadNeta],tblMovimientos[SKU],tblStock[[#This Row],[SKU]],tblMovimientos[FactorStock],-1))</f>
        <v/>
      </c>
      <c r="J372" s="56" t="str">
        <f>IF(tblStock[[#This Row],[SKU]]="","",SUMIFS(tblMovimientos[CantidadNeta],tblMovimientos[SKU],tblStock[[#This Row],[SKU]]))</f>
        <v/>
      </c>
      <c r="K372" s="55" t="str">
        <f>IF($B372="","",N('05_PRODUCTOS'!$F372))</f>
        <v/>
      </c>
      <c r="L372" s="55" t="str">
        <f>IF($B372="","",N('05_PRODUCTOS'!$G372))</f>
        <v/>
      </c>
      <c r="M372" s="57" t="str">
        <f>IF(OR(tblStock[[#This Row],[SKU]]="",N(tblStock[[#This Row],[StockMax]])=0),"",MAX(0,tblStock[[#This Row],[StockActual]])/tblStock[[#This Row],[StockMax]])</f>
        <v/>
      </c>
      <c r="N37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2" s="59" t="str">
        <f>IF($B372="","",N('05_PRODUCTOS'!$H372))</f>
        <v/>
      </c>
      <c r="P372" s="59" t="str">
        <f>IF(tblStock[[#This Row],[SKU]]="","",MAX(0,tblStock[[#This Row],[StockActual]])*tblStock[[#This Row],[CostoUnitario]])</f>
        <v/>
      </c>
      <c r="Q372" s="60" t="str">
        <f>IF(tblStock[[#This Row],[SKU]]="","",IFERROR(_xlfn.AGGREGATE(14,6,tblMovimientos[Fecha]/(tblMovimientos[SKU]=tblStock[[#This Row],[SKU]]),1),""))</f>
        <v/>
      </c>
      <c r="R372" s="61" t="str">
        <f ca="1">IF(OR(tblStock[[#This Row],[SKU]]="",tblStock[[#This Row],[UltimoMov]]=""),"",TODAY()-tblStock[[#This Row],[UltimoMov]])</f>
        <v/>
      </c>
    </row>
    <row r="373" spans="2:18" x14ac:dyDescent="0.25">
      <c r="B373" s="53" t="str">
        <f>IF('05_PRODUCTOS'!$B373="","",'05_PRODUCTOS'!$B373)</f>
        <v/>
      </c>
      <c r="C373" s="54" t="str">
        <f>IF($B373="","",'05_PRODUCTOS'!$C373)</f>
        <v/>
      </c>
      <c r="D373" s="54" t="str">
        <f>IF($B373="","",'05_PRODUCTOS'!$D373)</f>
        <v/>
      </c>
      <c r="E373" s="54" t="str">
        <f>IF($B373="","",'05_PRODUCTOS'!$I373&amp;"")</f>
        <v/>
      </c>
      <c r="F373" s="53" t="str">
        <f>IF($B373="","",'05_PRODUCTOS'!$E373)</f>
        <v/>
      </c>
      <c r="G373" s="53" t="str">
        <f>IF($B373="","",IF('05_PRODUCTOS'!$K373="NO","NO","SI"))</f>
        <v/>
      </c>
      <c r="H373" s="55" t="str">
        <f>IF(tblStock[[#This Row],[SKU]]="","",SUMIFS(tblMovimientos[CantidadNeta],tblMovimientos[SKU],tblStock[[#This Row],[SKU]],tblMovimientos[FactorStock],1))</f>
        <v/>
      </c>
      <c r="I373" s="55" t="str">
        <f>IF(tblStock[[#This Row],[SKU]]="","",-SUMIFS(tblMovimientos[CantidadNeta],tblMovimientos[SKU],tblStock[[#This Row],[SKU]],tblMovimientos[FactorStock],-1))</f>
        <v/>
      </c>
      <c r="J373" s="56" t="str">
        <f>IF(tblStock[[#This Row],[SKU]]="","",SUMIFS(tblMovimientos[CantidadNeta],tblMovimientos[SKU],tblStock[[#This Row],[SKU]]))</f>
        <v/>
      </c>
      <c r="K373" s="55" t="str">
        <f>IF($B373="","",N('05_PRODUCTOS'!$F373))</f>
        <v/>
      </c>
      <c r="L373" s="55" t="str">
        <f>IF($B373="","",N('05_PRODUCTOS'!$G373))</f>
        <v/>
      </c>
      <c r="M373" s="57" t="str">
        <f>IF(OR(tblStock[[#This Row],[SKU]]="",N(tblStock[[#This Row],[StockMax]])=0),"",MAX(0,tblStock[[#This Row],[StockActual]])/tblStock[[#This Row],[StockMax]])</f>
        <v/>
      </c>
      <c r="N37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3" s="59" t="str">
        <f>IF($B373="","",N('05_PRODUCTOS'!$H373))</f>
        <v/>
      </c>
      <c r="P373" s="59" t="str">
        <f>IF(tblStock[[#This Row],[SKU]]="","",MAX(0,tblStock[[#This Row],[StockActual]])*tblStock[[#This Row],[CostoUnitario]])</f>
        <v/>
      </c>
      <c r="Q373" s="60" t="str">
        <f>IF(tblStock[[#This Row],[SKU]]="","",IFERROR(_xlfn.AGGREGATE(14,6,tblMovimientos[Fecha]/(tblMovimientos[SKU]=tblStock[[#This Row],[SKU]]),1),""))</f>
        <v/>
      </c>
      <c r="R373" s="61" t="str">
        <f ca="1">IF(OR(tblStock[[#This Row],[SKU]]="",tblStock[[#This Row],[UltimoMov]]=""),"",TODAY()-tblStock[[#This Row],[UltimoMov]])</f>
        <v/>
      </c>
    </row>
    <row r="374" spans="2:18" x14ac:dyDescent="0.25">
      <c r="B374" s="53" t="str">
        <f>IF('05_PRODUCTOS'!$B374="","",'05_PRODUCTOS'!$B374)</f>
        <v/>
      </c>
      <c r="C374" s="54" t="str">
        <f>IF($B374="","",'05_PRODUCTOS'!$C374)</f>
        <v/>
      </c>
      <c r="D374" s="54" t="str">
        <f>IF($B374="","",'05_PRODUCTOS'!$D374)</f>
        <v/>
      </c>
      <c r="E374" s="54" t="str">
        <f>IF($B374="","",'05_PRODUCTOS'!$I374&amp;"")</f>
        <v/>
      </c>
      <c r="F374" s="53" t="str">
        <f>IF($B374="","",'05_PRODUCTOS'!$E374)</f>
        <v/>
      </c>
      <c r="G374" s="53" t="str">
        <f>IF($B374="","",IF('05_PRODUCTOS'!$K374="NO","NO","SI"))</f>
        <v/>
      </c>
      <c r="H374" s="55" t="str">
        <f>IF(tblStock[[#This Row],[SKU]]="","",SUMIFS(tblMovimientos[CantidadNeta],tblMovimientos[SKU],tblStock[[#This Row],[SKU]],tblMovimientos[FactorStock],1))</f>
        <v/>
      </c>
      <c r="I374" s="55" t="str">
        <f>IF(tblStock[[#This Row],[SKU]]="","",-SUMIFS(tblMovimientos[CantidadNeta],tblMovimientos[SKU],tblStock[[#This Row],[SKU]],tblMovimientos[FactorStock],-1))</f>
        <v/>
      </c>
      <c r="J374" s="56" t="str">
        <f>IF(tblStock[[#This Row],[SKU]]="","",SUMIFS(tblMovimientos[CantidadNeta],tblMovimientos[SKU],tblStock[[#This Row],[SKU]]))</f>
        <v/>
      </c>
      <c r="K374" s="55" t="str">
        <f>IF($B374="","",N('05_PRODUCTOS'!$F374))</f>
        <v/>
      </c>
      <c r="L374" s="55" t="str">
        <f>IF($B374="","",N('05_PRODUCTOS'!$G374))</f>
        <v/>
      </c>
      <c r="M374" s="57" t="str">
        <f>IF(OR(tblStock[[#This Row],[SKU]]="",N(tblStock[[#This Row],[StockMax]])=0),"",MAX(0,tblStock[[#This Row],[StockActual]])/tblStock[[#This Row],[StockMax]])</f>
        <v/>
      </c>
      <c r="N37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4" s="59" t="str">
        <f>IF($B374="","",N('05_PRODUCTOS'!$H374))</f>
        <v/>
      </c>
      <c r="P374" s="59" t="str">
        <f>IF(tblStock[[#This Row],[SKU]]="","",MAX(0,tblStock[[#This Row],[StockActual]])*tblStock[[#This Row],[CostoUnitario]])</f>
        <v/>
      </c>
      <c r="Q374" s="60" t="str">
        <f>IF(tblStock[[#This Row],[SKU]]="","",IFERROR(_xlfn.AGGREGATE(14,6,tblMovimientos[Fecha]/(tblMovimientos[SKU]=tblStock[[#This Row],[SKU]]),1),""))</f>
        <v/>
      </c>
      <c r="R374" s="61" t="str">
        <f ca="1">IF(OR(tblStock[[#This Row],[SKU]]="",tblStock[[#This Row],[UltimoMov]]=""),"",TODAY()-tblStock[[#This Row],[UltimoMov]])</f>
        <v/>
      </c>
    </row>
    <row r="375" spans="2:18" x14ac:dyDescent="0.25">
      <c r="B375" s="53" t="str">
        <f>IF('05_PRODUCTOS'!$B375="","",'05_PRODUCTOS'!$B375)</f>
        <v/>
      </c>
      <c r="C375" s="54" t="str">
        <f>IF($B375="","",'05_PRODUCTOS'!$C375)</f>
        <v/>
      </c>
      <c r="D375" s="54" t="str">
        <f>IF($B375="","",'05_PRODUCTOS'!$D375)</f>
        <v/>
      </c>
      <c r="E375" s="54" t="str">
        <f>IF($B375="","",'05_PRODUCTOS'!$I375&amp;"")</f>
        <v/>
      </c>
      <c r="F375" s="53" t="str">
        <f>IF($B375="","",'05_PRODUCTOS'!$E375)</f>
        <v/>
      </c>
      <c r="G375" s="53" t="str">
        <f>IF($B375="","",IF('05_PRODUCTOS'!$K375="NO","NO","SI"))</f>
        <v/>
      </c>
      <c r="H375" s="55" t="str">
        <f>IF(tblStock[[#This Row],[SKU]]="","",SUMIFS(tblMovimientos[CantidadNeta],tblMovimientos[SKU],tblStock[[#This Row],[SKU]],tblMovimientos[FactorStock],1))</f>
        <v/>
      </c>
      <c r="I375" s="55" t="str">
        <f>IF(tblStock[[#This Row],[SKU]]="","",-SUMIFS(tblMovimientos[CantidadNeta],tblMovimientos[SKU],tblStock[[#This Row],[SKU]],tblMovimientos[FactorStock],-1))</f>
        <v/>
      </c>
      <c r="J375" s="56" t="str">
        <f>IF(tblStock[[#This Row],[SKU]]="","",SUMIFS(tblMovimientos[CantidadNeta],tblMovimientos[SKU],tblStock[[#This Row],[SKU]]))</f>
        <v/>
      </c>
      <c r="K375" s="55" t="str">
        <f>IF($B375="","",N('05_PRODUCTOS'!$F375))</f>
        <v/>
      </c>
      <c r="L375" s="55" t="str">
        <f>IF($B375="","",N('05_PRODUCTOS'!$G375))</f>
        <v/>
      </c>
      <c r="M375" s="57" t="str">
        <f>IF(OR(tblStock[[#This Row],[SKU]]="",N(tblStock[[#This Row],[StockMax]])=0),"",MAX(0,tblStock[[#This Row],[StockActual]])/tblStock[[#This Row],[StockMax]])</f>
        <v/>
      </c>
      <c r="N37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5" s="59" t="str">
        <f>IF($B375="","",N('05_PRODUCTOS'!$H375))</f>
        <v/>
      </c>
      <c r="P375" s="59" t="str">
        <f>IF(tblStock[[#This Row],[SKU]]="","",MAX(0,tblStock[[#This Row],[StockActual]])*tblStock[[#This Row],[CostoUnitario]])</f>
        <v/>
      </c>
      <c r="Q375" s="60" t="str">
        <f>IF(tblStock[[#This Row],[SKU]]="","",IFERROR(_xlfn.AGGREGATE(14,6,tblMovimientos[Fecha]/(tblMovimientos[SKU]=tblStock[[#This Row],[SKU]]),1),""))</f>
        <v/>
      </c>
      <c r="R375" s="61" t="str">
        <f ca="1">IF(OR(tblStock[[#This Row],[SKU]]="",tblStock[[#This Row],[UltimoMov]]=""),"",TODAY()-tblStock[[#This Row],[UltimoMov]])</f>
        <v/>
      </c>
    </row>
    <row r="376" spans="2:18" x14ac:dyDescent="0.25">
      <c r="B376" s="53" t="str">
        <f>IF('05_PRODUCTOS'!$B376="","",'05_PRODUCTOS'!$B376)</f>
        <v/>
      </c>
      <c r="C376" s="54" t="str">
        <f>IF($B376="","",'05_PRODUCTOS'!$C376)</f>
        <v/>
      </c>
      <c r="D376" s="54" t="str">
        <f>IF($B376="","",'05_PRODUCTOS'!$D376)</f>
        <v/>
      </c>
      <c r="E376" s="54" t="str">
        <f>IF($B376="","",'05_PRODUCTOS'!$I376&amp;"")</f>
        <v/>
      </c>
      <c r="F376" s="53" t="str">
        <f>IF($B376="","",'05_PRODUCTOS'!$E376)</f>
        <v/>
      </c>
      <c r="G376" s="53" t="str">
        <f>IF($B376="","",IF('05_PRODUCTOS'!$K376="NO","NO","SI"))</f>
        <v/>
      </c>
      <c r="H376" s="55" t="str">
        <f>IF(tblStock[[#This Row],[SKU]]="","",SUMIFS(tblMovimientos[CantidadNeta],tblMovimientos[SKU],tblStock[[#This Row],[SKU]],tblMovimientos[FactorStock],1))</f>
        <v/>
      </c>
      <c r="I376" s="55" t="str">
        <f>IF(tblStock[[#This Row],[SKU]]="","",-SUMIFS(tblMovimientos[CantidadNeta],tblMovimientos[SKU],tblStock[[#This Row],[SKU]],tblMovimientos[FactorStock],-1))</f>
        <v/>
      </c>
      <c r="J376" s="56" t="str">
        <f>IF(tblStock[[#This Row],[SKU]]="","",SUMIFS(tblMovimientos[CantidadNeta],tblMovimientos[SKU],tblStock[[#This Row],[SKU]]))</f>
        <v/>
      </c>
      <c r="K376" s="55" t="str">
        <f>IF($B376="","",N('05_PRODUCTOS'!$F376))</f>
        <v/>
      </c>
      <c r="L376" s="55" t="str">
        <f>IF($B376="","",N('05_PRODUCTOS'!$G376))</f>
        <v/>
      </c>
      <c r="M376" s="57" t="str">
        <f>IF(OR(tblStock[[#This Row],[SKU]]="",N(tblStock[[#This Row],[StockMax]])=0),"",MAX(0,tblStock[[#This Row],[StockActual]])/tblStock[[#This Row],[StockMax]])</f>
        <v/>
      </c>
      <c r="N37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6" s="59" t="str">
        <f>IF($B376="","",N('05_PRODUCTOS'!$H376))</f>
        <v/>
      </c>
      <c r="P376" s="59" t="str">
        <f>IF(tblStock[[#This Row],[SKU]]="","",MAX(0,tblStock[[#This Row],[StockActual]])*tblStock[[#This Row],[CostoUnitario]])</f>
        <v/>
      </c>
      <c r="Q376" s="60" t="str">
        <f>IF(tblStock[[#This Row],[SKU]]="","",IFERROR(_xlfn.AGGREGATE(14,6,tblMovimientos[Fecha]/(tblMovimientos[SKU]=tblStock[[#This Row],[SKU]]),1),""))</f>
        <v/>
      </c>
      <c r="R376" s="61" t="str">
        <f ca="1">IF(OR(tblStock[[#This Row],[SKU]]="",tblStock[[#This Row],[UltimoMov]]=""),"",TODAY()-tblStock[[#This Row],[UltimoMov]])</f>
        <v/>
      </c>
    </row>
    <row r="377" spans="2:18" x14ac:dyDescent="0.25">
      <c r="B377" s="53" t="str">
        <f>IF('05_PRODUCTOS'!$B377="","",'05_PRODUCTOS'!$B377)</f>
        <v/>
      </c>
      <c r="C377" s="54" t="str">
        <f>IF($B377="","",'05_PRODUCTOS'!$C377)</f>
        <v/>
      </c>
      <c r="D377" s="54" t="str">
        <f>IF($B377="","",'05_PRODUCTOS'!$D377)</f>
        <v/>
      </c>
      <c r="E377" s="54" t="str">
        <f>IF($B377="","",'05_PRODUCTOS'!$I377&amp;"")</f>
        <v/>
      </c>
      <c r="F377" s="53" t="str">
        <f>IF($B377="","",'05_PRODUCTOS'!$E377)</f>
        <v/>
      </c>
      <c r="G377" s="53" t="str">
        <f>IF($B377="","",IF('05_PRODUCTOS'!$K377="NO","NO","SI"))</f>
        <v/>
      </c>
      <c r="H377" s="55" t="str">
        <f>IF(tblStock[[#This Row],[SKU]]="","",SUMIFS(tblMovimientos[CantidadNeta],tblMovimientos[SKU],tblStock[[#This Row],[SKU]],tblMovimientos[FactorStock],1))</f>
        <v/>
      </c>
      <c r="I377" s="55" t="str">
        <f>IF(tblStock[[#This Row],[SKU]]="","",-SUMIFS(tblMovimientos[CantidadNeta],tblMovimientos[SKU],tblStock[[#This Row],[SKU]],tblMovimientos[FactorStock],-1))</f>
        <v/>
      </c>
      <c r="J377" s="56" t="str">
        <f>IF(tblStock[[#This Row],[SKU]]="","",SUMIFS(tblMovimientos[CantidadNeta],tblMovimientos[SKU],tblStock[[#This Row],[SKU]]))</f>
        <v/>
      </c>
      <c r="K377" s="55" t="str">
        <f>IF($B377="","",N('05_PRODUCTOS'!$F377))</f>
        <v/>
      </c>
      <c r="L377" s="55" t="str">
        <f>IF($B377="","",N('05_PRODUCTOS'!$G377))</f>
        <v/>
      </c>
      <c r="M377" s="57" t="str">
        <f>IF(OR(tblStock[[#This Row],[SKU]]="",N(tblStock[[#This Row],[StockMax]])=0),"",MAX(0,tblStock[[#This Row],[StockActual]])/tblStock[[#This Row],[StockMax]])</f>
        <v/>
      </c>
      <c r="N37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7" s="59" t="str">
        <f>IF($B377="","",N('05_PRODUCTOS'!$H377))</f>
        <v/>
      </c>
      <c r="P377" s="59" t="str">
        <f>IF(tblStock[[#This Row],[SKU]]="","",MAX(0,tblStock[[#This Row],[StockActual]])*tblStock[[#This Row],[CostoUnitario]])</f>
        <v/>
      </c>
      <c r="Q377" s="60" t="str">
        <f>IF(tblStock[[#This Row],[SKU]]="","",IFERROR(_xlfn.AGGREGATE(14,6,tblMovimientos[Fecha]/(tblMovimientos[SKU]=tblStock[[#This Row],[SKU]]),1),""))</f>
        <v/>
      </c>
      <c r="R377" s="61" t="str">
        <f ca="1">IF(OR(tblStock[[#This Row],[SKU]]="",tblStock[[#This Row],[UltimoMov]]=""),"",TODAY()-tblStock[[#This Row],[UltimoMov]])</f>
        <v/>
      </c>
    </row>
    <row r="378" spans="2:18" x14ac:dyDescent="0.25">
      <c r="B378" s="53" t="str">
        <f>IF('05_PRODUCTOS'!$B378="","",'05_PRODUCTOS'!$B378)</f>
        <v/>
      </c>
      <c r="C378" s="54" t="str">
        <f>IF($B378="","",'05_PRODUCTOS'!$C378)</f>
        <v/>
      </c>
      <c r="D378" s="54" t="str">
        <f>IF($B378="","",'05_PRODUCTOS'!$D378)</f>
        <v/>
      </c>
      <c r="E378" s="54" t="str">
        <f>IF($B378="","",'05_PRODUCTOS'!$I378&amp;"")</f>
        <v/>
      </c>
      <c r="F378" s="53" t="str">
        <f>IF($B378="","",'05_PRODUCTOS'!$E378)</f>
        <v/>
      </c>
      <c r="G378" s="53" t="str">
        <f>IF($B378="","",IF('05_PRODUCTOS'!$K378="NO","NO","SI"))</f>
        <v/>
      </c>
      <c r="H378" s="55" t="str">
        <f>IF(tblStock[[#This Row],[SKU]]="","",SUMIFS(tblMovimientos[CantidadNeta],tblMovimientos[SKU],tblStock[[#This Row],[SKU]],tblMovimientos[FactorStock],1))</f>
        <v/>
      </c>
      <c r="I378" s="55" t="str">
        <f>IF(tblStock[[#This Row],[SKU]]="","",-SUMIFS(tblMovimientos[CantidadNeta],tblMovimientos[SKU],tblStock[[#This Row],[SKU]],tblMovimientos[FactorStock],-1))</f>
        <v/>
      </c>
      <c r="J378" s="56" t="str">
        <f>IF(tblStock[[#This Row],[SKU]]="","",SUMIFS(tblMovimientos[CantidadNeta],tblMovimientos[SKU],tblStock[[#This Row],[SKU]]))</f>
        <v/>
      </c>
      <c r="K378" s="55" t="str">
        <f>IF($B378="","",N('05_PRODUCTOS'!$F378))</f>
        <v/>
      </c>
      <c r="L378" s="55" t="str">
        <f>IF($B378="","",N('05_PRODUCTOS'!$G378))</f>
        <v/>
      </c>
      <c r="M378" s="57" t="str">
        <f>IF(OR(tblStock[[#This Row],[SKU]]="",N(tblStock[[#This Row],[StockMax]])=0),"",MAX(0,tblStock[[#This Row],[StockActual]])/tblStock[[#This Row],[StockMax]])</f>
        <v/>
      </c>
      <c r="N37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8" s="59" t="str">
        <f>IF($B378="","",N('05_PRODUCTOS'!$H378))</f>
        <v/>
      </c>
      <c r="P378" s="59" t="str">
        <f>IF(tblStock[[#This Row],[SKU]]="","",MAX(0,tblStock[[#This Row],[StockActual]])*tblStock[[#This Row],[CostoUnitario]])</f>
        <v/>
      </c>
      <c r="Q378" s="60" t="str">
        <f>IF(tblStock[[#This Row],[SKU]]="","",IFERROR(_xlfn.AGGREGATE(14,6,tblMovimientos[Fecha]/(tblMovimientos[SKU]=tblStock[[#This Row],[SKU]]),1),""))</f>
        <v/>
      </c>
      <c r="R378" s="61" t="str">
        <f ca="1">IF(OR(tblStock[[#This Row],[SKU]]="",tblStock[[#This Row],[UltimoMov]]=""),"",TODAY()-tblStock[[#This Row],[UltimoMov]])</f>
        <v/>
      </c>
    </row>
    <row r="379" spans="2:18" x14ac:dyDescent="0.25">
      <c r="B379" s="53" t="str">
        <f>IF('05_PRODUCTOS'!$B379="","",'05_PRODUCTOS'!$B379)</f>
        <v/>
      </c>
      <c r="C379" s="54" t="str">
        <f>IF($B379="","",'05_PRODUCTOS'!$C379)</f>
        <v/>
      </c>
      <c r="D379" s="54" t="str">
        <f>IF($B379="","",'05_PRODUCTOS'!$D379)</f>
        <v/>
      </c>
      <c r="E379" s="54" t="str">
        <f>IF($B379="","",'05_PRODUCTOS'!$I379&amp;"")</f>
        <v/>
      </c>
      <c r="F379" s="53" t="str">
        <f>IF($B379="","",'05_PRODUCTOS'!$E379)</f>
        <v/>
      </c>
      <c r="G379" s="53" t="str">
        <f>IF($B379="","",IF('05_PRODUCTOS'!$K379="NO","NO","SI"))</f>
        <v/>
      </c>
      <c r="H379" s="55" t="str">
        <f>IF(tblStock[[#This Row],[SKU]]="","",SUMIFS(tblMovimientos[CantidadNeta],tblMovimientos[SKU],tblStock[[#This Row],[SKU]],tblMovimientos[FactorStock],1))</f>
        <v/>
      </c>
      <c r="I379" s="55" t="str">
        <f>IF(tblStock[[#This Row],[SKU]]="","",-SUMIFS(tblMovimientos[CantidadNeta],tblMovimientos[SKU],tblStock[[#This Row],[SKU]],tblMovimientos[FactorStock],-1))</f>
        <v/>
      </c>
      <c r="J379" s="56" t="str">
        <f>IF(tblStock[[#This Row],[SKU]]="","",SUMIFS(tblMovimientos[CantidadNeta],tblMovimientos[SKU],tblStock[[#This Row],[SKU]]))</f>
        <v/>
      </c>
      <c r="K379" s="55" t="str">
        <f>IF($B379="","",N('05_PRODUCTOS'!$F379))</f>
        <v/>
      </c>
      <c r="L379" s="55" t="str">
        <f>IF($B379="","",N('05_PRODUCTOS'!$G379))</f>
        <v/>
      </c>
      <c r="M379" s="57" t="str">
        <f>IF(OR(tblStock[[#This Row],[SKU]]="",N(tblStock[[#This Row],[StockMax]])=0),"",MAX(0,tblStock[[#This Row],[StockActual]])/tblStock[[#This Row],[StockMax]])</f>
        <v/>
      </c>
      <c r="N37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79" s="59" t="str">
        <f>IF($B379="","",N('05_PRODUCTOS'!$H379))</f>
        <v/>
      </c>
      <c r="P379" s="59" t="str">
        <f>IF(tblStock[[#This Row],[SKU]]="","",MAX(0,tblStock[[#This Row],[StockActual]])*tblStock[[#This Row],[CostoUnitario]])</f>
        <v/>
      </c>
      <c r="Q379" s="60" t="str">
        <f>IF(tblStock[[#This Row],[SKU]]="","",IFERROR(_xlfn.AGGREGATE(14,6,tblMovimientos[Fecha]/(tblMovimientos[SKU]=tblStock[[#This Row],[SKU]]),1),""))</f>
        <v/>
      </c>
      <c r="R379" s="61" t="str">
        <f ca="1">IF(OR(tblStock[[#This Row],[SKU]]="",tblStock[[#This Row],[UltimoMov]]=""),"",TODAY()-tblStock[[#This Row],[UltimoMov]])</f>
        <v/>
      </c>
    </row>
    <row r="380" spans="2:18" x14ac:dyDescent="0.25">
      <c r="B380" s="53" t="str">
        <f>IF('05_PRODUCTOS'!$B380="","",'05_PRODUCTOS'!$B380)</f>
        <v/>
      </c>
      <c r="C380" s="54" t="str">
        <f>IF($B380="","",'05_PRODUCTOS'!$C380)</f>
        <v/>
      </c>
      <c r="D380" s="54" t="str">
        <f>IF($B380="","",'05_PRODUCTOS'!$D380)</f>
        <v/>
      </c>
      <c r="E380" s="54" t="str">
        <f>IF($B380="","",'05_PRODUCTOS'!$I380&amp;"")</f>
        <v/>
      </c>
      <c r="F380" s="53" t="str">
        <f>IF($B380="","",'05_PRODUCTOS'!$E380)</f>
        <v/>
      </c>
      <c r="G380" s="53" t="str">
        <f>IF($B380="","",IF('05_PRODUCTOS'!$K380="NO","NO","SI"))</f>
        <v/>
      </c>
      <c r="H380" s="55" t="str">
        <f>IF(tblStock[[#This Row],[SKU]]="","",SUMIFS(tblMovimientos[CantidadNeta],tblMovimientos[SKU],tblStock[[#This Row],[SKU]],tblMovimientos[FactorStock],1))</f>
        <v/>
      </c>
      <c r="I380" s="55" t="str">
        <f>IF(tblStock[[#This Row],[SKU]]="","",-SUMIFS(tblMovimientos[CantidadNeta],tblMovimientos[SKU],tblStock[[#This Row],[SKU]],tblMovimientos[FactorStock],-1))</f>
        <v/>
      </c>
      <c r="J380" s="56" t="str">
        <f>IF(tblStock[[#This Row],[SKU]]="","",SUMIFS(tblMovimientos[CantidadNeta],tblMovimientos[SKU],tblStock[[#This Row],[SKU]]))</f>
        <v/>
      </c>
      <c r="K380" s="55" t="str">
        <f>IF($B380="","",N('05_PRODUCTOS'!$F380))</f>
        <v/>
      </c>
      <c r="L380" s="55" t="str">
        <f>IF($B380="","",N('05_PRODUCTOS'!$G380))</f>
        <v/>
      </c>
      <c r="M380" s="57" t="str">
        <f>IF(OR(tblStock[[#This Row],[SKU]]="",N(tblStock[[#This Row],[StockMax]])=0),"",MAX(0,tblStock[[#This Row],[StockActual]])/tblStock[[#This Row],[StockMax]])</f>
        <v/>
      </c>
      <c r="N38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0" s="59" t="str">
        <f>IF($B380="","",N('05_PRODUCTOS'!$H380))</f>
        <v/>
      </c>
      <c r="P380" s="59" t="str">
        <f>IF(tblStock[[#This Row],[SKU]]="","",MAX(0,tblStock[[#This Row],[StockActual]])*tblStock[[#This Row],[CostoUnitario]])</f>
        <v/>
      </c>
      <c r="Q380" s="60" t="str">
        <f>IF(tblStock[[#This Row],[SKU]]="","",IFERROR(_xlfn.AGGREGATE(14,6,tblMovimientos[Fecha]/(tblMovimientos[SKU]=tblStock[[#This Row],[SKU]]),1),""))</f>
        <v/>
      </c>
      <c r="R380" s="61" t="str">
        <f ca="1">IF(OR(tblStock[[#This Row],[SKU]]="",tblStock[[#This Row],[UltimoMov]]=""),"",TODAY()-tblStock[[#This Row],[UltimoMov]])</f>
        <v/>
      </c>
    </row>
    <row r="381" spans="2:18" x14ac:dyDescent="0.25">
      <c r="B381" s="53" t="str">
        <f>IF('05_PRODUCTOS'!$B381="","",'05_PRODUCTOS'!$B381)</f>
        <v/>
      </c>
      <c r="C381" s="54" t="str">
        <f>IF($B381="","",'05_PRODUCTOS'!$C381)</f>
        <v/>
      </c>
      <c r="D381" s="54" t="str">
        <f>IF($B381="","",'05_PRODUCTOS'!$D381)</f>
        <v/>
      </c>
      <c r="E381" s="54" t="str">
        <f>IF($B381="","",'05_PRODUCTOS'!$I381&amp;"")</f>
        <v/>
      </c>
      <c r="F381" s="53" t="str">
        <f>IF($B381="","",'05_PRODUCTOS'!$E381)</f>
        <v/>
      </c>
      <c r="G381" s="53" t="str">
        <f>IF($B381="","",IF('05_PRODUCTOS'!$K381="NO","NO","SI"))</f>
        <v/>
      </c>
      <c r="H381" s="55" t="str">
        <f>IF(tblStock[[#This Row],[SKU]]="","",SUMIFS(tblMovimientos[CantidadNeta],tblMovimientos[SKU],tblStock[[#This Row],[SKU]],tblMovimientos[FactorStock],1))</f>
        <v/>
      </c>
      <c r="I381" s="55" t="str">
        <f>IF(tblStock[[#This Row],[SKU]]="","",-SUMIFS(tblMovimientos[CantidadNeta],tblMovimientos[SKU],tblStock[[#This Row],[SKU]],tblMovimientos[FactorStock],-1))</f>
        <v/>
      </c>
      <c r="J381" s="56" t="str">
        <f>IF(tblStock[[#This Row],[SKU]]="","",SUMIFS(tblMovimientos[CantidadNeta],tblMovimientos[SKU],tblStock[[#This Row],[SKU]]))</f>
        <v/>
      </c>
      <c r="K381" s="55" t="str">
        <f>IF($B381="","",N('05_PRODUCTOS'!$F381))</f>
        <v/>
      </c>
      <c r="L381" s="55" t="str">
        <f>IF($B381="","",N('05_PRODUCTOS'!$G381))</f>
        <v/>
      </c>
      <c r="M381" s="57" t="str">
        <f>IF(OR(tblStock[[#This Row],[SKU]]="",N(tblStock[[#This Row],[StockMax]])=0),"",MAX(0,tblStock[[#This Row],[StockActual]])/tblStock[[#This Row],[StockMax]])</f>
        <v/>
      </c>
      <c r="N38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1" s="59" t="str">
        <f>IF($B381="","",N('05_PRODUCTOS'!$H381))</f>
        <v/>
      </c>
      <c r="P381" s="59" t="str">
        <f>IF(tblStock[[#This Row],[SKU]]="","",MAX(0,tblStock[[#This Row],[StockActual]])*tblStock[[#This Row],[CostoUnitario]])</f>
        <v/>
      </c>
      <c r="Q381" s="60" t="str">
        <f>IF(tblStock[[#This Row],[SKU]]="","",IFERROR(_xlfn.AGGREGATE(14,6,tblMovimientos[Fecha]/(tblMovimientos[SKU]=tblStock[[#This Row],[SKU]]),1),""))</f>
        <v/>
      </c>
      <c r="R381" s="61" t="str">
        <f ca="1">IF(OR(tblStock[[#This Row],[SKU]]="",tblStock[[#This Row],[UltimoMov]]=""),"",TODAY()-tblStock[[#This Row],[UltimoMov]])</f>
        <v/>
      </c>
    </row>
    <row r="382" spans="2:18" x14ac:dyDescent="0.25">
      <c r="B382" s="53" t="str">
        <f>IF('05_PRODUCTOS'!$B382="","",'05_PRODUCTOS'!$B382)</f>
        <v/>
      </c>
      <c r="C382" s="54" t="str">
        <f>IF($B382="","",'05_PRODUCTOS'!$C382)</f>
        <v/>
      </c>
      <c r="D382" s="54" t="str">
        <f>IF($B382="","",'05_PRODUCTOS'!$D382)</f>
        <v/>
      </c>
      <c r="E382" s="54" t="str">
        <f>IF($B382="","",'05_PRODUCTOS'!$I382&amp;"")</f>
        <v/>
      </c>
      <c r="F382" s="53" t="str">
        <f>IF($B382="","",'05_PRODUCTOS'!$E382)</f>
        <v/>
      </c>
      <c r="G382" s="53" t="str">
        <f>IF($B382="","",IF('05_PRODUCTOS'!$K382="NO","NO","SI"))</f>
        <v/>
      </c>
      <c r="H382" s="55" t="str">
        <f>IF(tblStock[[#This Row],[SKU]]="","",SUMIFS(tblMovimientos[CantidadNeta],tblMovimientos[SKU],tblStock[[#This Row],[SKU]],tblMovimientos[FactorStock],1))</f>
        <v/>
      </c>
      <c r="I382" s="55" t="str">
        <f>IF(tblStock[[#This Row],[SKU]]="","",-SUMIFS(tblMovimientos[CantidadNeta],tblMovimientos[SKU],tblStock[[#This Row],[SKU]],tblMovimientos[FactorStock],-1))</f>
        <v/>
      </c>
      <c r="J382" s="56" t="str">
        <f>IF(tblStock[[#This Row],[SKU]]="","",SUMIFS(tblMovimientos[CantidadNeta],tblMovimientos[SKU],tblStock[[#This Row],[SKU]]))</f>
        <v/>
      </c>
      <c r="K382" s="55" t="str">
        <f>IF($B382="","",N('05_PRODUCTOS'!$F382))</f>
        <v/>
      </c>
      <c r="L382" s="55" t="str">
        <f>IF($B382="","",N('05_PRODUCTOS'!$G382))</f>
        <v/>
      </c>
      <c r="M382" s="57" t="str">
        <f>IF(OR(tblStock[[#This Row],[SKU]]="",N(tblStock[[#This Row],[StockMax]])=0),"",MAX(0,tblStock[[#This Row],[StockActual]])/tblStock[[#This Row],[StockMax]])</f>
        <v/>
      </c>
      <c r="N38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2" s="59" t="str">
        <f>IF($B382="","",N('05_PRODUCTOS'!$H382))</f>
        <v/>
      </c>
      <c r="P382" s="59" t="str">
        <f>IF(tblStock[[#This Row],[SKU]]="","",MAX(0,tblStock[[#This Row],[StockActual]])*tblStock[[#This Row],[CostoUnitario]])</f>
        <v/>
      </c>
      <c r="Q382" s="60" t="str">
        <f>IF(tblStock[[#This Row],[SKU]]="","",IFERROR(_xlfn.AGGREGATE(14,6,tblMovimientos[Fecha]/(tblMovimientos[SKU]=tblStock[[#This Row],[SKU]]),1),""))</f>
        <v/>
      </c>
      <c r="R382" s="61" t="str">
        <f ca="1">IF(OR(tblStock[[#This Row],[SKU]]="",tblStock[[#This Row],[UltimoMov]]=""),"",TODAY()-tblStock[[#This Row],[UltimoMov]])</f>
        <v/>
      </c>
    </row>
    <row r="383" spans="2:18" x14ac:dyDescent="0.25">
      <c r="B383" s="53" t="str">
        <f>IF('05_PRODUCTOS'!$B383="","",'05_PRODUCTOS'!$B383)</f>
        <v/>
      </c>
      <c r="C383" s="54" t="str">
        <f>IF($B383="","",'05_PRODUCTOS'!$C383)</f>
        <v/>
      </c>
      <c r="D383" s="54" t="str">
        <f>IF($B383="","",'05_PRODUCTOS'!$D383)</f>
        <v/>
      </c>
      <c r="E383" s="54" t="str">
        <f>IF($B383="","",'05_PRODUCTOS'!$I383&amp;"")</f>
        <v/>
      </c>
      <c r="F383" s="53" t="str">
        <f>IF($B383="","",'05_PRODUCTOS'!$E383)</f>
        <v/>
      </c>
      <c r="G383" s="53" t="str">
        <f>IF($B383="","",IF('05_PRODUCTOS'!$K383="NO","NO","SI"))</f>
        <v/>
      </c>
      <c r="H383" s="55" t="str">
        <f>IF(tblStock[[#This Row],[SKU]]="","",SUMIFS(tblMovimientos[CantidadNeta],tblMovimientos[SKU],tblStock[[#This Row],[SKU]],tblMovimientos[FactorStock],1))</f>
        <v/>
      </c>
      <c r="I383" s="55" t="str">
        <f>IF(tblStock[[#This Row],[SKU]]="","",-SUMIFS(tblMovimientos[CantidadNeta],tblMovimientos[SKU],tblStock[[#This Row],[SKU]],tblMovimientos[FactorStock],-1))</f>
        <v/>
      </c>
      <c r="J383" s="56" t="str">
        <f>IF(tblStock[[#This Row],[SKU]]="","",SUMIFS(tblMovimientos[CantidadNeta],tblMovimientos[SKU],tblStock[[#This Row],[SKU]]))</f>
        <v/>
      </c>
      <c r="K383" s="55" t="str">
        <f>IF($B383="","",N('05_PRODUCTOS'!$F383))</f>
        <v/>
      </c>
      <c r="L383" s="55" t="str">
        <f>IF($B383="","",N('05_PRODUCTOS'!$G383))</f>
        <v/>
      </c>
      <c r="M383" s="57" t="str">
        <f>IF(OR(tblStock[[#This Row],[SKU]]="",N(tblStock[[#This Row],[StockMax]])=0),"",MAX(0,tblStock[[#This Row],[StockActual]])/tblStock[[#This Row],[StockMax]])</f>
        <v/>
      </c>
      <c r="N38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3" s="59" t="str">
        <f>IF($B383="","",N('05_PRODUCTOS'!$H383))</f>
        <v/>
      </c>
      <c r="P383" s="59" t="str">
        <f>IF(tblStock[[#This Row],[SKU]]="","",MAX(0,tblStock[[#This Row],[StockActual]])*tblStock[[#This Row],[CostoUnitario]])</f>
        <v/>
      </c>
      <c r="Q383" s="60" t="str">
        <f>IF(tblStock[[#This Row],[SKU]]="","",IFERROR(_xlfn.AGGREGATE(14,6,tblMovimientos[Fecha]/(tblMovimientos[SKU]=tblStock[[#This Row],[SKU]]),1),""))</f>
        <v/>
      </c>
      <c r="R383" s="61" t="str">
        <f ca="1">IF(OR(tblStock[[#This Row],[SKU]]="",tblStock[[#This Row],[UltimoMov]]=""),"",TODAY()-tblStock[[#This Row],[UltimoMov]])</f>
        <v/>
      </c>
    </row>
    <row r="384" spans="2:18" x14ac:dyDescent="0.25">
      <c r="B384" s="53" t="str">
        <f>IF('05_PRODUCTOS'!$B384="","",'05_PRODUCTOS'!$B384)</f>
        <v/>
      </c>
      <c r="C384" s="54" t="str">
        <f>IF($B384="","",'05_PRODUCTOS'!$C384)</f>
        <v/>
      </c>
      <c r="D384" s="54" t="str">
        <f>IF($B384="","",'05_PRODUCTOS'!$D384)</f>
        <v/>
      </c>
      <c r="E384" s="54" t="str">
        <f>IF($B384="","",'05_PRODUCTOS'!$I384&amp;"")</f>
        <v/>
      </c>
      <c r="F384" s="53" t="str">
        <f>IF($B384="","",'05_PRODUCTOS'!$E384)</f>
        <v/>
      </c>
      <c r="G384" s="53" t="str">
        <f>IF($B384="","",IF('05_PRODUCTOS'!$K384="NO","NO","SI"))</f>
        <v/>
      </c>
      <c r="H384" s="55" t="str">
        <f>IF(tblStock[[#This Row],[SKU]]="","",SUMIFS(tblMovimientos[CantidadNeta],tblMovimientos[SKU],tblStock[[#This Row],[SKU]],tblMovimientos[FactorStock],1))</f>
        <v/>
      </c>
      <c r="I384" s="55" t="str">
        <f>IF(tblStock[[#This Row],[SKU]]="","",-SUMIFS(tblMovimientos[CantidadNeta],tblMovimientos[SKU],tblStock[[#This Row],[SKU]],tblMovimientos[FactorStock],-1))</f>
        <v/>
      </c>
      <c r="J384" s="56" t="str">
        <f>IF(tblStock[[#This Row],[SKU]]="","",SUMIFS(tblMovimientos[CantidadNeta],tblMovimientos[SKU],tblStock[[#This Row],[SKU]]))</f>
        <v/>
      </c>
      <c r="K384" s="55" t="str">
        <f>IF($B384="","",N('05_PRODUCTOS'!$F384))</f>
        <v/>
      </c>
      <c r="L384" s="55" t="str">
        <f>IF($B384="","",N('05_PRODUCTOS'!$G384))</f>
        <v/>
      </c>
      <c r="M384" s="57" t="str">
        <f>IF(OR(tblStock[[#This Row],[SKU]]="",N(tblStock[[#This Row],[StockMax]])=0),"",MAX(0,tblStock[[#This Row],[StockActual]])/tblStock[[#This Row],[StockMax]])</f>
        <v/>
      </c>
      <c r="N38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4" s="59" t="str">
        <f>IF($B384="","",N('05_PRODUCTOS'!$H384))</f>
        <v/>
      </c>
      <c r="P384" s="59" t="str">
        <f>IF(tblStock[[#This Row],[SKU]]="","",MAX(0,tblStock[[#This Row],[StockActual]])*tblStock[[#This Row],[CostoUnitario]])</f>
        <v/>
      </c>
      <c r="Q384" s="60" t="str">
        <f>IF(tblStock[[#This Row],[SKU]]="","",IFERROR(_xlfn.AGGREGATE(14,6,tblMovimientos[Fecha]/(tblMovimientos[SKU]=tblStock[[#This Row],[SKU]]),1),""))</f>
        <v/>
      </c>
      <c r="R384" s="61" t="str">
        <f ca="1">IF(OR(tblStock[[#This Row],[SKU]]="",tblStock[[#This Row],[UltimoMov]]=""),"",TODAY()-tblStock[[#This Row],[UltimoMov]])</f>
        <v/>
      </c>
    </row>
    <row r="385" spans="2:18" x14ac:dyDescent="0.25">
      <c r="B385" s="53" t="str">
        <f>IF('05_PRODUCTOS'!$B385="","",'05_PRODUCTOS'!$B385)</f>
        <v/>
      </c>
      <c r="C385" s="54" t="str">
        <f>IF($B385="","",'05_PRODUCTOS'!$C385)</f>
        <v/>
      </c>
      <c r="D385" s="54" t="str">
        <f>IF($B385="","",'05_PRODUCTOS'!$D385)</f>
        <v/>
      </c>
      <c r="E385" s="54" t="str">
        <f>IF($B385="","",'05_PRODUCTOS'!$I385&amp;"")</f>
        <v/>
      </c>
      <c r="F385" s="53" t="str">
        <f>IF($B385="","",'05_PRODUCTOS'!$E385)</f>
        <v/>
      </c>
      <c r="G385" s="53" t="str">
        <f>IF($B385="","",IF('05_PRODUCTOS'!$K385="NO","NO","SI"))</f>
        <v/>
      </c>
      <c r="H385" s="55" t="str">
        <f>IF(tblStock[[#This Row],[SKU]]="","",SUMIFS(tblMovimientos[CantidadNeta],tblMovimientos[SKU],tblStock[[#This Row],[SKU]],tblMovimientos[FactorStock],1))</f>
        <v/>
      </c>
      <c r="I385" s="55" t="str">
        <f>IF(tblStock[[#This Row],[SKU]]="","",-SUMIFS(tblMovimientos[CantidadNeta],tblMovimientos[SKU],tblStock[[#This Row],[SKU]],tblMovimientos[FactorStock],-1))</f>
        <v/>
      </c>
      <c r="J385" s="56" t="str">
        <f>IF(tblStock[[#This Row],[SKU]]="","",SUMIFS(tblMovimientos[CantidadNeta],tblMovimientos[SKU],tblStock[[#This Row],[SKU]]))</f>
        <v/>
      </c>
      <c r="K385" s="55" t="str">
        <f>IF($B385="","",N('05_PRODUCTOS'!$F385))</f>
        <v/>
      </c>
      <c r="L385" s="55" t="str">
        <f>IF($B385="","",N('05_PRODUCTOS'!$G385))</f>
        <v/>
      </c>
      <c r="M385" s="57" t="str">
        <f>IF(OR(tblStock[[#This Row],[SKU]]="",N(tblStock[[#This Row],[StockMax]])=0),"",MAX(0,tblStock[[#This Row],[StockActual]])/tblStock[[#This Row],[StockMax]])</f>
        <v/>
      </c>
      <c r="N38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5" s="59" t="str">
        <f>IF($B385="","",N('05_PRODUCTOS'!$H385))</f>
        <v/>
      </c>
      <c r="P385" s="59" t="str">
        <f>IF(tblStock[[#This Row],[SKU]]="","",MAX(0,tblStock[[#This Row],[StockActual]])*tblStock[[#This Row],[CostoUnitario]])</f>
        <v/>
      </c>
      <c r="Q385" s="60" t="str">
        <f>IF(tblStock[[#This Row],[SKU]]="","",IFERROR(_xlfn.AGGREGATE(14,6,tblMovimientos[Fecha]/(tblMovimientos[SKU]=tblStock[[#This Row],[SKU]]),1),""))</f>
        <v/>
      </c>
      <c r="R385" s="61" t="str">
        <f ca="1">IF(OR(tblStock[[#This Row],[SKU]]="",tblStock[[#This Row],[UltimoMov]]=""),"",TODAY()-tblStock[[#This Row],[UltimoMov]])</f>
        <v/>
      </c>
    </row>
    <row r="386" spans="2:18" x14ac:dyDescent="0.25">
      <c r="B386" s="53" t="str">
        <f>IF('05_PRODUCTOS'!$B386="","",'05_PRODUCTOS'!$B386)</f>
        <v/>
      </c>
      <c r="C386" s="54" t="str">
        <f>IF($B386="","",'05_PRODUCTOS'!$C386)</f>
        <v/>
      </c>
      <c r="D386" s="54" t="str">
        <f>IF($B386="","",'05_PRODUCTOS'!$D386)</f>
        <v/>
      </c>
      <c r="E386" s="54" t="str">
        <f>IF($B386="","",'05_PRODUCTOS'!$I386&amp;"")</f>
        <v/>
      </c>
      <c r="F386" s="53" t="str">
        <f>IF($B386="","",'05_PRODUCTOS'!$E386)</f>
        <v/>
      </c>
      <c r="G386" s="53" t="str">
        <f>IF($B386="","",IF('05_PRODUCTOS'!$K386="NO","NO","SI"))</f>
        <v/>
      </c>
      <c r="H386" s="55" t="str">
        <f>IF(tblStock[[#This Row],[SKU]]="","",SUMIFS(tblMovimientos[CantidadNeta],tblMovimientos[SKU],tblStock[[#This Row],[SKU]],tblMovimientos[FactorStock],1))</f>
        <v/>
      </c>
      <c r="I386" s="55" t="str">
        <f>IF(tblStock[[#This Row],[SKU]]="","",-SUMIFS(tblMovimientos[CantidadNeta],tblMovimientos[SKU],tblStock[[#This Row],[SKU]],tblMovimientos[FactorStock],-1))</f>
        <v/>
      </c>
      <c r="J386" s="56" t="str">
        <f>IF(tblStock[[#This Row],[SKU]]="","",SUMIFS(tblMovimientos[CantidadNeta],tblMovimientos[SKU],tblStock[[#This Row],[SKU]]))</f>
        <v/>
      </c>
      <c r="K386" s="55" t="str">
        <f>IF($B386="","",N('05_PRODUCTOS'!$F386))</f>
        <v/>
      </c>
      <c r="L386" s="55" t="str">
        <f>IF($B386="","",N('05_PRODUCTOS'!$G386))</f>
        <v/>
      </c>
      <c r="M386" s="57" t="str">
        <f>IF(OR(tblStock[[#This Row],[SKU]]="",N(tblStock[[#This Row],[StockMax]])=0),"",MAX(0,tblStock[[#This Row],[StockActual]])/tblStock[[#This Row],[StockMax]])</f>
        <v/>
      </c>
      <c r="N38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6" s="59" t="str">
        <f>IF($B386="","",N('05_PRODUCTOS'!$H386))</f>
        <v/>
      </c>
      <c r="P386" s="59" t="str">
        <f>IF(tblStock[[#This Row],[SKU]]="","",MAX(0,tblStock[[#This Row],[StockActual]])*tblStock[[#This Row],[CostoUnitario]])</f>
        <v/>
      </c>
      <c r="Q386" s="60" t="str">
        <f>IF(tblStock[[#This Row],[SKU]]="","",IFERROR(_xlfn.AGGREGATE(14,6,tblMovimientos[Fecha]/(tblMovimientos[SKU]=tblStock[[#This Row],[SKU]]),1),""))</f>
        <v/>
      </c>
      <c r="R386" s="61" t="str">
        <f ca="1">IF(OR(tblStock[[#This Row],[SKU]]="",tblStock[[#This Row],[UltimoMov]]=""),"",TODAY()-tblStock[[#This Row],[UltimoMov]])</f>
        <v/>
      </c>
    </row>
    <row r="387" spans="2:18" x14ac:dyDescent="0.25">
      <c r="B387" s="53" t="str">
        <f>IF('05_PRODUCTOS'!$B387="","",'05_PRODUCTOS'!$B387)</f>
        <v/>
      </c>
      <c r="C387" s="54" t="str">
        <f>IF($B387="","",'05_PRODUCTOS'!$C387)</f>
        <v/>
      </c>
      <c r="D387" s="54" t="str">
        <f>IF($B387="","",'05_PRODUCTOS'!$D387)</f>
        <v/>
      </c>
      <c r="E387" s="54" t="str">
        <f>IF($B387="","",'05_PRODUCTOS'!$I387&amp;"")</f>
        <v/>
      </c>
      <c r="F387" s="53" t="str">
        <f>IF($B387="","",'05_PRODUCTOS'!$E387)</f>
        <v/>
      </c>
      <c r="G387" s="53" t="str">
        <f>IF($B387="","",IF('05_PRODUCTOS'!$K387="NO","NO","SI"))</f>
        <v/>
      </c>
      <c r="H387" s="55" t="str">
        <f>IF(tblStock[[#This Row],[SKU]]="","",SUMIFS(tblMovimientos[CantidadNeta],tblMovimientos[SKU],tblStock[[#This Row],[SKU]],tblMovimientos[FactorStock],1))</f>
        <v/>
      </c>
      <c r="I387" s="55" t="str">
        <f>IF(tblStock[[#This Row],[SKU]]="","",-SUMIFS(tblMovimientos[CantidadNeta],tblMovimientos[SKU],tblStock[[#This Row],[SKU]],tblMovimientos[FactorStock],-1))</f>
        <v/>
      </c>
      <c r="J387" s="56" t="str">
        <f>IF(tblStock[[#This Row],[SKU]]="","",SUMIFS(tblMovimientos[CantidadNeta],tblMovimientos[SKU],tblStock[[#This Row],[SKU]]))</f>
        <v/>
      </c>
      <c r="K387" s="55" t="str">
        <f>IF($B387="","",N('05_PRODUCTOS'!$F387))</f>
        <v/>
      </c>
      <c r="L387" s="55" t="str">
        <f>IF($B387="","",N('05_PRODUCTOS'!$G387))</f>
        <v/>
      </c>
      <c r="M387" s="57" t="str">
        <f>IF(OR(tblStock[[#This Row],[SKU]]="",N(tblStock[[#This Row],[StockMax]])=0),"",MAX(0,tblStock[[#This Row],[StockActual]])/tblStock[[#This Row],[StockMax]])</f>
        <v/>
      </c>
      <c r="N38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7" s="59" t="str">
        <f>IF($B387="","",N('05_PRODUCTOS'!$H387))</f>
        <v/>
      </c>
      <c r="P387" s="59" t="str">
        <f>IF(tblStock[[#This Row],[SKU]]="","",MAX(0,tblStock[[#This Row],[StockActual]])*tblStock[[#This Row],[CostoUnitario]])</f>
        <v/>
      </c>
      <c r="Q387" s="60" t="str">
        <f>IF(tblStock[[#This Row],[SKU]]="","",IFERROR(_xlfn.AGGREGATE(14,6,tblMovimientos[Fecha]/(tblMovimientos[SKU]=tblStock[[#This Row],[SKU]]),1),""))</f>
        <v/>
      </c>
      <c r="R387" s="61" t="str">
        <f ca="1">IF(OR(tblStock[[#This Row],[SKU]]="",tblStock[[#This Row],[UltimoMov]]=""),"",TODAY()-tblStock[[#This Row],[UltimoMov]])</f>
        <v/>
      </c>
    </row>
    <row r="388" spans="2:18" x14ac:dyDescent="0.25">
      <c r="B388" s="53" t="str">
        <f>IF('05_PRODUCTOS'!$B388="","",'05_PRODUCTOS'!$B388)</f>
        <v/>
      </c>
      <c r="C388" s="54" t="str">
        <f>IF($B388="","",'05_PRODUCTOS'!$C388)</f>
        <v/>
      </c>
      <c r="D388" s="54" t="str">
        <f>IF($B388="","",'05_PRODUCTOS'!$D388)</f>
        <v/>
      </c>
      <c r="E388" s="54" t="str">
        <f>IF($B388="","",'05_PRODUCTOS'!$I388&amp;"")</f>
        <v/>
      </c>
      <c r="F388" s="53" t="str">
        <f>IF($B388="","",'05_PRODUCTOS'!$E388)</f>
        <v/>
      </c>
      <c r="G388" s="53" t="str">
        <f>IF($B388="","",IF('05_PRODUCTOS'!$K388="NO","NO","SI"))</f>
        <v/>
      </c>
      <c r="H388" s="55" t="str">
        <f>IF(tblStock[[#This Row],[SKU]]="","",SUMIFS(tblMovimientos[CantidadNeta],tblMovimientos[SKU],tblStock[[#This Row],[SKU]],tblMovimientos[FactorStock],1))</f>
        <v/>
      </c>
      <c r="I388" s="55" t="str">
        <f>IF(tblStock[[#This Row],[SKU]]="","",-SUMIFS(tblMovimientos[CantidadNeta],tblMovimientos[SKU],tblStock[[#This Row],[SKU]],tblMovimientos[FactorStock],-1))</f>
        <v/>
      </c>
      <c r="J388" s="56" t="str">
        <f>IF(tblStock[[#This Row],[SKU]]="","",SUMIFS(tblMovimientos[CantidadNeta],tblMovimientos[SKU],tblStock[[#This Row],[SKU]]))</f>
        <v/>
      </c>
      <c r="K388" s="55" t="str">
        <f>IF($B388="","",N('05_PRODUCTOS'!$F388))</f>
        <v/>
      </c>
      <c r="L388" s="55" t="str">
        <f>IF($B388="","",N('05_PRODUCTOS'!$G388))</f>
        <v/>
      </c>
      <c r="M388" s="57" t="str">
        <f>IF(OR(tblStock[[#This Row],[SKU]]="",N(tblStock[[#This Row],[StockMax]])=0),"",MAX(0,tblStock[[#This Row],[StockActual]])/tblStock[[#This Row],[StockMax]])</f>
        <v/>
      </c>
      <c r="N38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8" s="59" t="str">
        <f>IF($B388="","",N('05_PRODUCTOS'!$H388))</f>
        <v/>
      </c>
      <c r="P388" s="59" t="str">
        <f>IF(tblStock[[#This Row],[SKU]]="","",MAX(0,tblStock[[#This Row],[StockActual]])*tblStock[[#This Row],[CostoUnitario]])</f>
        <v/>
      </c>
      <c r="Q388" s="60" t="str">
        <f>IF(tblStock[[#This Row],[SKU]]="","",IFERROR(_xlfn.AGGREGATE(14,6,tblMovimientos[Fecha]/(tblMovimientos[SKU]=tblStock[[#This Row],[SKU]]),1),""))</f>
        <v/>
      </c>
      <c r="R388" s="61" t="str">
        <f ca="1">IF(OR(tblStock[[#This Row],[SKU]]="",tblStock[[#This Row],[UltimoMov]]=""),"",TODAY()-tblStock[[#This Row],[UltimoMov]])</f>
        <v/>
      </c>
    </row>
    <row r="389" spans="2:18" x14ac:dyDescent="0.25">
      <c r="B389" s="53" t="str">
        <f>IF('05_PRODUCTOS'!$B389="","",'05_PRODUCTOS'!$B389)</f>
        <v/>
      </c>
      <c r="C389" s="54" t="str">
        <f>IF($B389="","",'05_PRODUCTOS'!$C389)</f>
        <v/>
      </c>
      <c r="D389" s="54" t="str">
        <f>IF($B389="","",'05_PRODUCTOS'!$D389)</f>
        <v/>
      </c>
      <c r="E389" s="54" t="str">
        <f>IF($B389="","",'05_PRODUCTOS'!$I389&amp;"")</f>
        <v/>
      </c>
      <c r="F389" s="53" t="str">
        <f>IF($B389="","",'05_PRODUCTOS'!$E389)</f>
        <v/>
      </c>
      <c r="G389" s="53" t="str">
        <f>IF($B389="","",IF('05_PRODUCTOS'!$K389="NO","NO","SI"))</f>
        <v/>
      </c>
      <c r="H389" s="55" t="str">
        <f>IF(tblStock[[#This Row],[SKU]]="","",SUMIFS(tblMovimientos[CantidadNeta],tblMovimientos[SKU],tblStock[[#This Row],[SKU]],tblMovimientos[FactorStock],1))</f>
        <v/>
      </c>
      <c r="I389" s="55" t="str">
        <f>IF(tblStock[[#This Row],[SKU]]="","",-SUMIFS(tblMovimientos[CantidadNeta],tblMovimientos[SKU],tblStock[[#This Row],[SKU]],tblMovimientos[FactorStock],-1))</f>
        <v/>
      </c>
      <c r="J389" s="56" t="str">
        <f>IF(tblStock[[#This Row],[SKU]]="","",SUMIFS(tblMovimientos[CantidadNeta],tblMovimientos[SKU],tblStock[[#This Row],[SKU]]))</f>
        <v/>
      </c>
      <c r="K389" s="55" t="str">
        <f>IF($B389="","",N('05_PRODUCTOS'!$F389))</f>
        <v/>
      </c>
      <c r="L389" s="55" t="str">
        <f>IF($B389="","",N('05_PRODUCTOS'!$G389))</f>
        <v/>
      </c>
      <c r="M389" s="57" t="str">
        <f>IF(OR(tblStock[[#This Row],[SKU]]="",N(tblStock[[#This Row],[StockMax]])=0),"",MAX(0,tblStock[[#This Row],[StockActual]])/tblStock[[#This Row],[StockMax]])</f>
        <v/>
      </c>
      <c r="N38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89" s="59" t="str">
        <f>IF($B389="","",N('05_PRODUCTOS'!$H389))</f>
        <v/>
      </c>
      <c r="P389" s="59" t="str">
        <f>IF(tblStock[[#This Row],[SKU]]="","",MAX(0,tblStock[[#This Row],[StockActual]])*tblStock[[#This Row],[CostoUnitario]])</f>
        <v/>
      </c>
      <c r="Q389" s="60" t="str">
        <f>IF(tblStock[[#This Row],[SKU]]="","",IFERROR(_xlfn.AGGREGATE(14,6,tblMovimientos[Fecha]/(tblMovimientos[SKU]=tblStock[[#This Row],[SKU]]),1),""))</f>
        <v/>
      </c>
      <c r="R389" s="61" t="str">
        <f ca="1">IF(OR(tblStock[[#This Row],[SKU]]="",tblStock[[#This Row],[UltimoMov]]=""),"",TODAY()-tblStock[[#This Row],[UltimoMov]])</f>
        <v/>
      </c>
    </row>
    <row r="390" spans="2:18" x14ac:dyDescent="0.25">
      <c r="B390" s="53" t="str">
        <f>IF('05_PRODUCTOS'!$B390="","",'05_PRODUCTOS'!$B390)</f>
        <v/>
      </c>
      <c r="C390" s="54" t="str">
        <f>IF($B390="","",'05_PRODUCTOS'!$C390)</f>
        <v/>
      </c>
      <c r="D390" s="54" t="str">
        <f>IF($B390="","",'05_PRODUCTOS'!$D390)</f>
        <v/>
      </c>
      <c r="E390" s="54" t="str">
        <f>IF($B390="","",'05_PRODUCTOS'!$I390&amp;"")</f>
        <v/>
      </c>
      <c r="F390" s="53" t="str">
        <f>IF($B390="","",'05_PRODUCTOS'!$E390)</f>
        <v/>
      </c>
      <c r="G390" s="53" t="str">
        <f>IF($B390="","",IF('05_PRODUCTOS'!$K390="NO","NO","SI"))</f>
        <v/>
      </c>
      <c r="H390" s="55" t="str">
        <f>IF(tblStock[[#This Row],[SKU]]="","",SUMIFS(tblMovimientos[CantidadNeta],tblMovimientos[SKU],tblStock[[#This Row],[SKU]],tblMovimientos[FactorStock],1))</f>
        <v/>
      </c>
      <c r="I390" s="55" t="str">
        <f>IF(tblStock[[#This Row],[SKU]]="","",-SUMIFS(tblMovimientos[CantidadNeta],tblMovimientos[SKU],tblStock[[#This Row],[SKU]],tblMovimientos[FactorStock],-1))</f>
        <v/>
      </c>
      <c r="J390" s="56" t="str">
        <f>IF(tblStock[[#This Row],[SKU]]="","",SUMIFS(tblMovimientos[CantidadNeta],tblMovimientos[SKU],tblStock[[#This Row],[SKU]]))</f>
        <v/>
      </c>
      <c r="K390" s="55" t="str">
        <f>IF($B390="","",N('05_PRODUCTOS'!$F390))</f>
        <v/>
      </c>
      <c r="L390" s="55" t="str">
        <f>IF($B390="","",N('05_PRODUCTOS'!$G390))</f>
        <v/>
      </c>
      <c r="M390" s="57" t="str">
        <f>IF(OR(tblStock[[#This Row],[SKU]]="",N(tblStock[[#This Row],[StockMax]])=0),"",MAX(0,tblStock[[#This Row],[StockActual]])/tblStock[[#This Row],[StockMax]])</f>
        <v/>
      </c>
      <c r="N39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0" s="59" t="str">
        <f>IF($B390="","",N('05_PRODUCTOS'!$H390))</f>
        <v/>
      </c>
      <c r="P390" s="59" t="str">
        <f>IF(tblStock[[#This Row],[SKU]]="","",MAX(0,tblStock[[#This Row],[StockActual]])*tblStock[[#This Row],[CostoUnitario]])</f>
        <v/>
      </c>
      <c r="Q390" s="60" t="str">
        <f>IF(tblStock[[#This Row],[SKU]]="","",IFERROR(_xlfn.AGGREGATE(14,6,tblMovimientos[Fecha]/(tblMovimientos[SKU]=tblStock[[#This Row],[SKU]]),1),""))</f>
        <v/>
      </c>
      <c r="R390" s="61" t="str">
        <f ca="1">IF(OR(tblStock[[#This Row],[SKU]]="",tblStock[[#This Row],[UltimoMov]]=""),"",TODAY()-tblStock[[#This Row],[UltimoMov]])</f>
        <v/>
      </c>
    </row>
    <row r="391" spans="2:18" x14ac:dyDescent="0.25">
      <c r="B391" s="53" t="str">
        <f>IF('05_PRODUCTOS'!$B391="","",'05_PRODUCTOS'!$B391)</f>
        <v/>
      </c>
      <c r="C391" s="54" t="str">
        <f>IF($B391="","",'05_PRODUCTOS'!$C391)</f>
        <v/>
      </c>
      <c r="D391" s="54" t="str">
        <f>IF($B391="","",'05_PRODUCTOS'!$D391)</f>
        <v/>
      </c>
      <c r="E391" s="54" t="str">
        <f>IF($B391="","",'05_PRODUCTOS'!$I391&amp;"")</f>
        <v/>
      </c>
      <c r="F391" s="53" t="str">
        <f>IF($B391="","",'05_PRODUCTOS'!$E391)</f>
        <v/>
      </c>
      <c r="G391" s="53" t="str">
        <f>IF($B391="","",IF('05_PRODUCTOS'!$K391="NO","NO","SI"))</f>
        <v/>
      </c>
      <c r="H391" s="55" t="str">
        <f>IF(tblStock[[#This Row],[SKU]]="","",SUMIFS(tblMovimientos[CantidadNeta],tblMovimientos[SKU],tblStock[[#This Row],[SKU]],tblMovimientos[FactorStock],1))</f>
        <v/>
      </c>
      <c r="I391" s="55" t="str">
        <f>IF(tblStock[[#This Row],[SKU]]="","",-SUMIFS(tblMovimientos[CantidadNeta],tblMovimientos[SKU],tblStock[[#This Row],[SKU]],tblMovimientos[FactorStock],-1))</f>
        <v/>
      </c>
      <c r="J391" s="56" t="str">
        <f>IF(tblStock[[#This Row],[SKU]]="","",SUMIFS(tblMovimientos[CantidadNeta],tblMovimientos[SKU],tblStock[[#This Row],[SKU]]))</f>
        <v/>
      </c>
      <c r="K391" s="55" t="str">
        <f>IF($B391="","",N('05_PRODUCTOS'!$F391))</f>
        <v/>
      </c>
      <c r="L391" s="55" t="str">
        <f>IF($B391="","",N('05_PRODUCTOS'!$G391))</f>
        <v/>
      </c>
      <c r="M391" s="57" t="str">
        <f>IF(OR(tblStock[[#This Row],[SKU]]="",N(tblStock[[#This Row],[StockMax]])=0),"",MAX(0,tblStock[[#This Row],[StockActual]])/tblStock[[#This Row],[StockMax]])</f>
        <v/>
      </c>
      <c r="N39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1" s="59" t="str">
        <f>IF($B391="","",N('05_PRODUCTOS'!$H391))</f>
        <v/>
      </c>
      <c r="P391" s="59" t="str">
        <f>IF(tblStock[[#This Row],[SKU]]="","",MAX(0,tblStock[[#This Row],[StockActual]])*tblStock[[#This Row],[CostoUnitario]])</f>
        <v/>
      </c>
      <c r="Q391" s="60" t="str">
        <f>IF(tblStock[[#This Row],[SKU]]="","",IFERROR(_xlfn.AGGREGATE(14,6,tblMovimientos[Fecha]/(tblMovimientos[SKU]=tblStock[[#This Row],[SKU]]),1),""))</f>
        <v/>
      </c>
      <c r="R391" s="61" t="str">
        <f ca="1">IF(OR(tblStock[[#This Row],[SKU]]="",tblStock[[#This Row],[UltimoMov]]=""),"",TODAY()-tblStock[[#This Row],[UltimoMov]])</f>
        <v/>
      </c>
    </row>
    <row r="392" spans="2:18" x14ac:dyDescent="0.25">
      <c r="B392" s="53" t="str">
        <f>IF('05_PRODUCTOS'!$B392="","",'05_PRODUCTOS'!$B392)</f>
        <v/>
      </c>
      <c r="C392" s="54" t="str">
        <f>IF($B392="","",'05_PRODUCTOS'!$C392)</f>
        <v/>
      </c>
      <c r="D392" s="54" t="str">
        <f>IF($B392="","",'05_PRODUCTOS'!$D392)</f>
        <v/>
      </c>
      <c r="E392" s="54" t="str">
        <f>IF($B392="","",'05_PRODUCTOS'!$I392&amp;"")</f>
        <v/>
      </c>
      <c r="F392" s="53" t="str">
        <f>IF($B392="","",'05_PRODUCTOS'!$E392)</f>
        <v/>
      </c>
      <c r="G392" s="53" t="str">
        <f>IF($B392="","",IF('05_PRODUCTOS'!$K392="NO","NO","SI"))</f>
        <v/>
      </c>
      <c r="H392" s="55" t="str">
        <f>IF(tblStock[[#This Row],[SKU]]="","",SUMIFS(tblMovimientos[CantidadNeta],tblMovimientos[SKU],tblStock[[#This Row],[SKU]],tblMovimientos[FactorStock],1))</f>
        <v/>
      </c>
      <c r="I392" s="55" t="str">
        <f>IF(tblStock[[#This Row],[SKU]]="","",-SUMIFS(tblMovimientos[CantidadNeta],tblMovimientos[SKU],tblStock[[#This Row],[SKU]],tblMovimientos[FactorStock],-1))</f>
        <v/>
      </c>
      <c r="J392" s="56" t="str">
        <f>IF(tblStock[[#This Row],[SKU]]="","",SUMIFS(tblMovimientos[CantidadNeta],tblMovimientos[SKU],tblStock[[#This Row],[SKU]]))</f>
        <v/>
      </c>
      <c r="K392" s="55" t="str">
        <f>IF($B392="","",N('05_PRODUCTOS'!$F392))</f>
        <v/>
      </c>
      <c r="L392" s="55" t="str">
        <f>IF($B392="","",N('05_PRODUCTOS'!$G392))</f>
        <v/>
      </c>
      <c r="M392" s="57" t="str">
        <f>IF(OR(tblStock[[#This Row],[SKU]]="",N(tblStock[[#This Row],[StockMax]])=0),"",MAX(0,tblStock[[#This Row],[StockActual]])/tblStock[[#This Row],[StockMax]])</f>
        <v/>
      </c>
      <c r="N39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2" s="59" t="str">
        <f>IF($B392="","",N('05_PRODUCTOS'!$H392))</f>
        <v/>
      </c>
      <c r="P392" s="59" t="str">
        <f>IF(tblStock[[#This Row],[SKU]]="","",MAX(0,tblStock[[#This Row],[StockActual]])*tblStock[[#This Row],[CostoUnitario]])</f>
        <v/>
      </c>
      <c r="Q392" s="60" t="str">
        <f>IF(tblStock[[#This Row],[SKU]]="","",IFERROR(_xlfn.AGGREGATE(14,6,tblMovimientos[Fecha]/(tblMovimientos[SKU]=tblStock[[#This Row],[SKU]]),1),""))</f>
        <v/>
      </c>
      <c r="R392" s="61" t="str">
        <f ca="1">IF(OR(tblStock[[#This Row],[SKU]]="",tblStock[[#This Row],[UltimoMov]]=""),"",TODAY()-tblStock[[#This Row],[UltimoMov]])</f>
        <v/>
      </c>
    </row>
    <row r="393" spans="2:18" x14ac:dyDescent="0.25">
      <c r="B393" s="53" t="str">
        <f>IF('05_PRODUCTOS'!$B393="","",'05_PRODUCTOS'!$B393)</f>
        <v/>
      </c>
      <c r="C393" s="54" t="str">
        <f>IF($B393="","",'05_PRODUCTOS'!$C393)</f>
        <v/>
      </c>
      <c r="D393" s="54" t="str">
        <f>IF($B393="","",'05_PRODUCTOS'!$D393)</f>
        <v/>
      </c>
      <c r="E393" s="54" t="str">
        <f>IF($B393="","",'05_PRODUCTOS'!$I393&amp;"")</f>
        <v/>
      </c>
      <c r="F393" s="53" t="str">
        <f>IF($B393="","",'05_PRODUCTOS'!$E393)</f>
        <v/>
      </c>
      <c r="G393" s="53" t="str">
        <f>IF($B393="","",IF('05_PRODUCTOS'!$K393="NO","NO","SI"))</f>
        <v/>
      </c>
      <c r="H393" s="55" t="str">
        <f>IF(tblStock[[#This Row],[SKU]]="","",SUMIFS(tblMovimientos[CantidadNeta],tblMovimientos[SKU],tblStock[[#This Row],[SKU]],tblMovimientos[FactorStock],1))</f>
        <v/>
      </c>
      <c r="I393" s="55" t="str">
        <f>IF(tblStock[[#This Row],[SKU]]="","",-SUMIFS(tblMovimientos[CantidadNeta],tblMovimientos[SKU],tblStock[[#This Row],[SKU]],tblMovimientos[FactorStock],-1))</f>
        <v/>
      </c>
      <c r="J393" s="56" t="str">
        <f>IF(tblStock[[#This Row],[SKU]]="","",SUMIFS(tblMovimientos[CantidadNeta],tblMovimientos[SKU],tblStock[[#This Row],[SKU]]))</f>
        <v/>
      </c>
      <c r="K393" s="55" t="str">
        <f>IF($B393="","",N('05_PRODUCTOS'!$F393))</f>
        <v/>
      </c>
      <c r="L393" s="55" t="str">
        <f>IF($B393="","",N('05_PRODUCTOS'!$G393))</f>
        <v/>
      </c>
      <c r="M393" s="57" t="str">
        <f>IF(OR(tblStock[[#This Row],[SKU]]="",N(tblStock[[#This Row],[StockMax]])=0),"",MAX(0,tblStock[[#This Row],[StockActual]])/tblStock[[#This Row],[StockMax]])</f>
        <v/>
      </c>
      <c r="N39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3" s="59" t="str">
        <f>IF($B393="","",N('05_PRODUCTOS'!$H393))</f>
        <v/>
      </c>
      <c r="P393" s="59" t="str">
        <f>IF(tblStock[[#This Row],[SKU]]="","",MAX(0,tblStock[[#This Row],[StockActual]])*tblStock[[#This Row],[CostoUnitario]])</f>
        <v/>
      </c>
      <c r="Q393" s="60" t="str">
        <f>IF(tblStock[[#This Row],[SKU]]="","",IFERROR(_xlfn.AGGREGATE(14,6,tblMovimientos[Fecha]/(tblMovimientos[SKU]=tblStock[[#This Row],[SKU]]),1),""))</f>
        <v/>
      </c>
      <c r="R393" s="61" t="str">
        <f ca="1">IF(OR(tblStock[[#This Row],[SKU]]="",tblStock[[#This Row],[UltimoMov]]=""),"",TODAY()-tblStock[[#This Row],[UltimoMov]])</f>
        <v/>
      </c>
    </row>
    <row r="394" spans="2:18" x14ac:dyDescent="0.25">
      <c r="B394" s="53" t="str">
        <f>IF('05_PRODUCTOS'!$B394="","",'05_PRODUCTOS'!$B394)</f>
        <v/>
      </c>
      <c r="C394" s="54" t="str">
        <f>IF($B394="","",'05_PRODUCTOS'!$C394)</f>
        <v/>
      </c>
      <c r="D394" s="54" t="str">
        <f>IF($B394="","",'05_PRODUCTOS'!$D394)</f>
        <v/>
      </c>
      <c r="E394" s="54" t="str">
        <f>IF($B394="","",'05_PRODUCTOS'!$I394&amp;"")</f>
        <v/>
      </c>
      <c r="F394" s="53" t="str">
        <f>IF($B394="","",'05_PRODUCTOS'!$E394)</f>
        <v/>
      </c>
      <c r="G394" s="53" t="str">
        <f>IF($B394="","",IF('05_PRODUCTOS'!$K394="NO","NO","SI"))</f>
        <v/>
      </c>
      <c r="H394" s="55" t="str">
        <f>IF(tblStock[[#This Row],[SKU]]="","",SUMIFS(tblMovimientos[CantidadNeta],tblMovimientos[SKU],tblStock[[#This Row],[SKU]],tblMovimientos[FactorStock],1))</f>
        <v/>
      </c>
      <c r="I394" s="55" t="str">
        <f>IF(tblStock[[#This Row],[SKU]]="","",-SUMIFS(tblMovimientos[CantidadNeta],tblMovimientos[SKU],tblStock[[#This Row],[SKU]],tblMovimientos[FactorStock],-1))</f>
        <v/>
      </c>
      <c r="J394" s="56" t="str">
        <f>IF(tblStock[[#This Row],[SKU]]="","",SUMIFS(tblMovimientos[CantidadNeta],tblMovimientos[SKU],tblStock[[#This Row],[SKU]]))</f>
        <v/>
      </c>
      <c r="K394" s="55" t="str">
        <f>IF($B394="","",N('05_PRODUCTOS'!$F394))</f>
        <v/>
      </c>
      <c r="L394" s="55" t="str">
        <f>IF($B394="","",N('05_PRODUCTOS'!$G394))</f>
        <v/>
      </c>
      <c r="M394" s="57" t="str">
        <f>IF(OR(tblStock[[#This Row],[SKU]]="",N(tblStock[[#This Row],[StockMax]])=0),"",MAX(0,tblStock[[#This Row],[StockActual]])/tblStock[[#This Row],[StockMax]])</f>
        <v/>
      </c>
      <c r="N39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4" s="59" t="str">
        <f>IF($B394="","",N('05_PRODUCTOS'!$H394))</f>
        <v/>
      </c>
      <c r="P394" s="59" t="str">
        <f>IF(tblStock[[#This Row],[SKU]]="","",MAX(0,tblStock[[#This Row],[StockActual]])*tblStock[[#This Row],[CostoUnitario]])</f>
        <v/>
      </c>
      <c r="Q394" s="60" t="str">
        <f>IF(tblStock[[#This Row],[SKU]]="","",IFERROR(_xlfn.AGGREGATE(14,6,tblMovimientos[Fecha]/(tblMovimientos[SKU]=tblStock[[#This Row],[SKU]]),1),""))</f>
        <v/>
      </c>
      <c r="R394" s="61" t="str">
        <f ca="1">IF(OR(tblStock[[#This Row],[SKU]]="",tblStock[[#This Row],[UltimoMov]]=""),"",TODAY()-tblStock[[#This Row],[UltimoMov]])</f>
        <v/>
      </c>
    </row>
    <row r="395" spans="2:18" x14ac:dyDescent="0.25">
      <c r="B395" s="53" t="str">
        <f>IF('05_PRODUCTOS'!$B395="","",'05_PRODUCTOS'!$B395)</f>
        <v/>
      </c>
      <c r="C395" s="54" t="str">
        <f>IF($B395="","",'05_PRODUCTOS'!$C395)</f>
        <v/>
      </c>
      <c r="D395" s="54" t="str">
        <f>IF($B395="","",'05_PRODUCTOS'!$D395)</f>
        <v/>
      </c>
      <c r="E395" s="54" t="str">
        <f>IF($B395="","",'05_PRODUCTOS'!$I395&amp;"")</f>
        <v/>
      </c>
      <c r="F395" s="53" t="str">
        <f>IF($B395="","",'05_PRODUCTOS'!$E395)</f>
        <v/>
      </c>
      <c r="G395" s="53" t="str">
        <f>IF($B395="","",IF('05_PRODUCTOS'!$K395="NO","NO","SI"))</f>
        <v/>
      </c>
      <c r="H395" s="55" t="str">
        <f>IF(tblStock[[#This Row],[SKU]]="","",SUMIFS(tblMovimientos[CantidadNeta],tblMovimientos[SKU],tblStock[[#This Row],[SKU]],tblMovimientos[FactorStock],1))</f>
        <v/>
      </c>
      <c r="I395" s="55" t="str">
        <f>IF(tblStock[[#This Row],[SKU]]="","",-SUMIFS(tblMovimientos[CantidadNeta],tblMovimientos[SKU],tblStock[[#This Row],[SKU]],tblMovimientos[FactorStock],-1))</f>
        <v/>
      </c>
      <c r="J395" s="56" t="str">
        <f>IF(tblStock[[#This Row],[SKU]]="","",SUMIFS(tblMovimientos[CantidadNeta],tblMovimientos[SKU],tblStock[[#This Row],[SKU]]))</f>
        <v/>
      </c>
      <c r="K395" s="55" t="str">
        <f>IF($B395="","",N('05_PRODUCTOS'!$F395))</f>
        <v/>
      </c>
      <c r="L395" s="55" t="str">
        <f>IF($B395="","",N('05_PRODUCTOS'!$G395))</f>
        <v/>
      </c>
      <c r="M395" s="57" t="str">
        <f>IF(OR(tblStock[[#This Row],[SKU]]="",N(tblStock[[#This Row],[StockMax]])=0),"",MAX(0,tblStock[[#This Row],[StockActual]])/tblStock[[#This Row],[StockMax]])</f>
        <v/>
      </c>
      <c r="N39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5" s="59" t="str">
        <f>IF($B395="","",N('05_PRODUCTOS'!$H395))</f>
        <v/>
      </c>
      <c r="P395" s="59" t="str">
        <f>IF(tblStock[[#This Row],[SKU]]="","",MAX(0,tblStock[[#This Row],[StockActual]])*tblStock[[#This Row],[CostoUnitario]])</f>
        <v/>
      </c>
      <c r="Q395" s="60" t="str">
        <f>IF(tblStock[[#This Row],[SKU]]="","",IFERROR(_xlfn.AGGREGATE(14,6,tblMovimientos[Fecha]/(tblMovimientos[SKU]=tblStock[[#This Row],[SKU]]),1),""))</f>
        <v/>
      </c>
      <c r="R395" s="61" t="str">
        <f ca="1">IF(OR(tblStock[[#This Row],[SKU]]="",tblStock[[#This Row],[UltimoMov]]=""),"",TODAY()-tblStock[[#This Row],[UltimoMov]])</f>
        <v/>
      </c>
    </row>
    <row r="396" spans="2:18" x14ac:dyDescent="0.25">
      <c r="B396" s="53" t="str">
        <f>IF('05_PRODUCTOS'!$B396="","",'05_PRODUCTOS'!$B396)</f>
        <v/>
      </c>
      <c r="C396" s="54" t="str">
        <f>IF($B396="","",'05_PRODUCTOS'!$C396)</f>
        <v/>
      </c>
      <c r="D396" s="54" t="str">
        <f>IF($B396="","",'05_PRODUCTOS'!$D396)</f>
        <v/>
      </c>
      <c r="E396" s="54" t="str">
        <f>IF($B396="","",'05_PRODUCTOS'!$I396&amp;"")</f>
        <v/>
      </c>
      <c r="F396" s="53" t="str">
        <f>IF($B396="","",'05_PRODUCTOS'!$E396)</f>
        <v/>
      </c>
      <c r="G396" s="53" t="str">
        <f>IF($B396="","",IF('05_PRODUCTOS'!$K396="NO","NO","SI"))</f>
        <v/>
      </c>
      <c r="H396" s="55" t="str">
        <f>IF(tblStock[[#This Row],[SKU]]="","",SUMIFS(tblMovimientos[CantidadNeta],tblMovimientos[SKU],tblStock[[#This Row],[SKU]],tblMovimientos[FactorStock],1))</f>
        <v/>
      </c>
      <c r="I396" s="55" t="str">
        <f>IF(tblStock[[#This Row],[SKU]]="","",-SUMIFS(tblMovimientos[CantidadNeta],tblMovimientos[SKU],tblStock[[#This Row],[SKU]],tblMovimientos[FactorStock],-1))</f>
        <v/>
      </c>
      <c r="J396" s="56" t="str">
        <f>IF(tblStock[[#This Row],[SKU]]="","",SUMIFS(tblMovimientos[CantidadNeta],tblMovimientos[SKU],tblStock[[#This Row],[SKU]]))</f>
        <v/>
      </c>
      <c r="K396" s="55" t="str">
        <f>IF($B396="","",N('05_PRODUCTOS'!$F396))</f>
        <v/>
      </c>
      <c r="L396" s="55" t="str">
        <f>IF($B396="","",N('05_PRODUCTOS'!$G396))</f>
        <v/>
      </c>
      <c r="M396" s="57" t="str">
        <f>IF(OR(tblStock[[#This Row],[SKU]]="",N(tblStock[[#This Row],[StockMax]])=0),"",MAX(0,tblStock[[#This Row],[StockActual]])/tblStock[[#This Row],[StockMax]])</f>
        <v/>
      </c>
      <c r="N39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6" s="59" t="str">
        <f>IF($B396="","",N('05_PRODUCTOS'!$H396))</f>
        <v/>
      </c>
      <c r="P396" s="59" t="str">
        <f>IF(tblStock[[#This Row],[SKU]]="","",MAX(0,tblStock[[#This Row],[StockActual]])*tblStock[[#This Row],[CostoUnitario]])</f>
        <v/>
      </c>
      <c r="Q396" s="60" t="str">
        <f>IF(tblStock[[#This Row],[SKU]]="","",IFERROR(_xlfn.AGGREGATE(14,6,tblMovimientos[Fecha]/(tblMovimientos[SKU]=tblStock[[#This Row],[SKU]]),1),""))</f>
        <v/>
      </c>
      <c r="R396" s="61" t="str">
        <f ca="1">IF(OR(tblStock[[#This Row],[SKU]]="",tblStock[[#This Row],[UltimoMov]]=""),"",TODAY()-tblStock[[#This Row],[UltimoMov]])</f>
        <v/>
      </c>
    </row>
    <row r="397" spans="2:18" x14ac:dyDescent="0.25">
      <c r="B397" s="53" t="str">
        <f>IF('05_PRODUCTOS'!$B397="","",'05_PRODUCTOS'!$B397)</f>
        <v/>
      </c>
      <c r="C397" s="54" t="str">
        <f>IF($B397="","",'05_PRODUCTOS'!$C397)</f>
        <v/>
      </c>
      <c r="D397" s="54" t="str">
        <f>IF($B397="","",'05_PRODUCTOS'!$D397)</f>
        <v/>
      </c>
      <c r="E397" s="54" t="str">
        <f>IF($B397="","",'05_PRODUCTOS'!$I397&amp;"")</f>
        <v/>
      </c>
      <c r="F397" s="53" t="str">
        <f>IF($B397="","",'05_PRODUCTOS'!$E397)</f>
        <v/>
      </c>
      <c r="G397" s="53" t="str">
        <f>IF($B397="","",IF('05_PRODUCTOS'!$K397="NO","NO","SI"))</f>
        <v/>
      </c>
      <c r="H397" s="55" t="str">
        <f>IF(tblStock[[#This Row],[SKU]]="","",SUMIFS(tblMovimientos[CantidadNeta],tblMovimientos[SKU],tblStock[[#This Row],[SKU]],tblMovimientos[FactorStock],1))</f>
        <v/>
      </c>
      <c r="I397" s="55" t="str">
        <f>IF(tblStock[[#This Row],[SKU]]="","",-SUMIFS(tblMovimientos[CantidadNeta],tblMovimientos[SKU],tblStock[[#This Row],[SKU]],tblMovimientos[FactorStock],-1))</f>
        <v/>
      </c>
      <c r="J397" s="56" t="str">
        <f>IF(tblStock[[#This Row],[SKU]]="","",SUMIFS(tblMovimientos[CantidadNeta],tblMovimientos[SKU],tblStock[[#This Row],[SKU]]))</f>
        <v/>
      </c>
      <c r="K397" s="55" t="str">
        <f>IF($B397="","",N('05_PRODUCTOS'!$F397))</f>
        <v/>
      </c>
      <c r="L397" s="55" t="str">
        <f>IF($B397="","",N('05_PRODUCTOS'!$G397))</f>
        <v/>
      </c>
      <c r="M397" s="57" t="str">
        <f>IF(OR(tblStock[[#This Row],[SKU]]="",N(tblStock[[#This Row],[StockMax]])=0),"",MAX(0,tblStock[[#This Row],[StockActual]])/tblStock[[#This Row],[StockMax]])</f>
        <v/>
      </c>
      <c r="N39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7" s="59" t="str">
        <f>IF($B397="","",N('05_PRODUCTOS'!$H397))</f>
        <v/>
      </c>
      <c r="P397" s="59" t="str">
        <f>IF(tblStock[[#This Row],[SKU]]="","",MAX(0,tblStock[[#This Row],[StockActual]])*tblStock[[#This Row],[CostoUnitario]])</f>
        <v/>
      </c>
      <c r="Q397" s="60" t="str">
        <f>IF(tblStock[[#This Row],[SKU]]="","",IFERROR(_xlfn.AGGREGATE(14,6,tblMovimientos[Fecha]/(tblMovimientos[SKU]=tblStock[[#This Row],[SKU]]),1),""))</f>
        <v/>
      </c>
      <c r="R397" s="61" t="str">
        <f ca="1">IF(OR(tblStock[[#This Row],[SKU]]="",tblStock[[#This Row],[UltimoMov]]=""),"",TODAY()-tblStock[[#This Row],[UltimoMov]])</f>
        <v/>
      </c>
    </row>
    <row r="398" spans="2:18" x14ac:dyDescent="0.25">
      <c r="B398" s="53" t="str">
        <f>IF('05_PRODUCTOS'!$B398="","",'05_PRODUCTOS'!$B398)</f>
        <v/>
      </c>
      <c r="C398" s="54" t="str">
        <f>IF($B398="","",'05_PRODUCTOS'!$C398)</f>
        <v/>
      </c>
      <c r="D398" s="54" t="str">
        <f>IF($B398="","",'05_PRODUCTOS'!$D398)</f>
        <v/>
      </c>
      <c r="E398" s="54" t="str">
        <f>IF($B398="","",'05_PRODUCTOS'!$I398&amp;"")</f>
        <v/>
      </c>
      <c r="F398" s="53" t="str">
        <f>IF($B398="","",'05_PRODUCTOS'!$E398)</f>
        <v/>
      </c>
      <c r="G398" s="53" t="str">
        <f>IF($B398="","",IF('05_PRODUCTOS'!$K398="NO","NO","SI"))</f>
        <v/>
      </c>
      <c r="H398" s="55" t="str">
        <f>IF(tblStock[[#This Row],[SKU]]="","",SUMIFS(tblMovimientos[CantidadNeta],tblMovimientos[SKU],tblStock[[#This Row],[SKU]],tblMovimientos[FactorStock],1))</f>
        <v/>
      </c>
      <c r="I398" s="55" t="str">
        <f>IF(tblStock[[#This Row],[SKU]]="","",-SUMIFS(tblMovimientos[CantidadNeta],tblMovimientos[SKU],tblStock[[#This Row],[SKU]],tblMovimientos[FactorStock],-1))</f>
        <v/>
      </c>
      <c r="J398" s="56" t="str">
        <f>IF(tblStock[[#This Row],[SKU]]="","",SUMIFS(tblMovimientos[CantidadNeta],tblMovimientos[SKU],tblStock[[#This Row],[SKU]]))</f>
        <v/>
      </c>
      <c r="K398" s="55" t="str">
        <f>IF($B398="","",N('05_PRODUCTOS'!$F398))</f>
        <v/>
      </c>
      <c r="L398" s="55" t="str">
        <f>IF($B398="","",N('05_PRODUCTOS'!$G398))</f>
        <v/>
      </c>
      <c r="M398" s="57" t="str">
        <f>IF(OR(tblStock[[#This Row],[SKU]]="",N(tblStock[[#This Row],[StockMax]])=0),"",MAX(0,tblStock[[#This Row],[StockActual]])/tblStock[[#This Row],[StockMax]])</f>
        <v/>
      </c>
      <c r="N39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8" s="59" t="str">
        <f>IF($B398="","",N('05_PRODUCTOS'!$H398))</f>
        <v/>
      </c>
      <c r="P398" s="59" t="str">
        <f>IF(tblStock[[#This Row],[SKU]]="","",MAX(0,tblStock[[#This Row],[StockActual]])*tblStock[[#This Row],[CostoUnitario]])</f>
        <v/>
      </c>
      <c r="Q398" s="60" t="str">
        <f>IF(tblStock[[#This Row],[SKU]]="","",IFERROR(_xlfn.AGGREGATE(14,6,tblMovimientos[Fecha]/(tblMovimientos[SKU]=tblStock[[#This Row],[SKU]]),1),""))</f>
        <v/>
      </c>
      <c r="R398" s="61" t="str">
        <f ca="1">IF(OR(tblStock[[#This Row],[SKU]]="",tblStock[[#This Row],[UltimoMov]]=""),"",TODAY()-tblStock[[#This Row],[UltimoMov]])</f>
        <v/>
      </c>
    </row>
    <row r="399" spans="2:18" x14ac:dyDescent="0.25">
      <c r="B399" s="53" t="str">
        <f>IF('05_PRODUCTOS'!$B399="","",'05_PRODUCTOS'!$B399)</f>
        <v/>
      </c>
      <c r="C399" s="54" t="str">
        <f>IF($B399="","",'05_PRODUCTOS'!$C399)</f>
        <v/>
      </c>
      <c r="D399" s="54" t="str">
        <f>IF($B399="","",'05_PRODUCTOS'!$D399)</f>
        <v/>
      </c>
      <c r="E399" s="54" t="str">
        <f>IF($B399="","",'05_PRODUCTOS'!$I399&amp;"")</f>
        <v/>
      </c>
      <c r="F399" s="53" t="str">
        <f>IF($B399="","",'05_PRODUCTOS'!$E399)</f>
        <v/>
      </c>
      <c r="G399" s="53" t="str">
        <f>IF($B399="","",IF('05_PRODUCTOS'!$K399="NO","NO","SI"))</f>
        <v/>
      </c>
      <c r="H399" s="55" t="str">
        <f>IF(tblStock[[#This Row],[SKU]]="","",SUMIFS(tblMovimientos[CantidadNeta],tblMovimientos[SKU],tblStock[[#This Row],[SKU]],tblMovimientos[FactorStock],1))</f>
        <v/>
      </c>
      <c r="I399" s="55" t="str">
        <f>IF(tblStock[[#This Row],[SKU]]="","",-SUMIFS(tblMovimientos[CantidadNeta],tblMovimientos[SKU],tblStock[[#This Row],[SKU]],tblMovimientos[FactorStock],-1))</f>
        <v/>
      </c>
      <c r="J399" s="56" t="str">
        <f>IF(tblStock[[#This Row],[SKU]]="","",SUMIFS(tblMovimientos[CantidadNeta],tblMovimientos[SKU],tblStock[[#This Row],[SKU]]))</f>
        <v/>
      </c>
      <c r="K399" s="55" t="str">
        <f>IF($B399="","",N('05_PRODUCTOS'!$F399))</f>
        <v/>
      </c>
      <c r="L399" s="55" t="str">
        <f>IF($B399="","",N('05_PRODUCTOS'!$G399))</f>
        <v/>
      </c>
      <c r="M399" s="57" t="str">
        <f>IF(OR(tblStock[[#This Row],[SKU]]="",N(tblStock[[#This Row],[StockMax]])=0),"",MAX(0,tblStock[[#This Row],[StockActual]])/tblStock[[#This Row],[StockMax]])</f>
        <v/>
      </c>
      <c r="N39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399" s="59" t="str">
        <f>IF($B399="","",N('05_PRODUCTOS'!$H399))</f>
        <v/>
      </c>
      <c r="P399" s="59" t="str">
        <f>IF(tblStock[[#This Row],[SKU]]="","",MAX(0,tblStock[[#This Row],[StockActual]])*tblStock[[#This Row],[CostoUnitario]])</f>
        <v/>
      </c>
      <c r="Q399" s="60" t="str">
        <f>IF(tblStock[[#This Row],[SKU]]="","",IFERROR(_xlfn.AGGREGATE(14,6,tblMovimientos[Fecha]/(tblMovimientos[SKU]=tblStock[[#This Row],[SKU]]),1),""))</f>
        <v/>
      </c>
      <c r="R399" s="61" t="str">
        <f ca="1">IF(OR(tblStock[[#This Row],[SKU]]="",tblStock[[#This Row],[UltimoMov]]=""),"",TODAY()-tblStock[[#This Row],[UltimoMov]])</f>
        <v/>
      </c>
    </row>
    <row r="400" spans="2:18" x14ac:dyDescent="0.25">
      <c r="B400" s="53" t="str">
        <f>IF('05_PRODUCTOS'!$B400="","",'05_PRODUCTOS'!$B400)</f>
        <v/>
      </c>
      <c r="C400" s="54" t="str">
        <f>IF($B400="","",'05_PRODUCTOS'!$C400)</f>
        <v/>
      </c>
      <c r="D400" s="54" t="str">
        <f>IF($B400="","",'05_PRODUCTOS'!$D400)</f>
        <v/>
      </c>
      <c r="E400" s="54" t="str">
        <f>IF($B400="","",'05_PRODUCTOS'!$I400&amp;"")</f>
        <v/>
      </c>
      <c r="F400" s="53" t="str">
        <f>IF($B400="","",'05_PRODUCTOS'!$E400)</f>
        <v/>
      </c>
      <c r="G400" s="53" t="str">
        <f>IF($B400="","",IF('05_PRODUCTOS'!$K400="NO","NO","SI"))</f>
        <v/>
      </c>
      <c r="H400" s="55" t="str">
        <f>IF(tblStock[[#This Row],[SKU]]="","",SUMIFS(tblMovimientos[CantidadNeta],tblMovimientos[SKU],tblStock[[#This Row],[SKU]],tblMovimientos[FactorStock],1))</f>
        <v/>
      </c>
      <c r="I400" s="55" t="str">
        <f>IF(tblStock[[#This Row],[SKU]]="","",-SUMIFS(tblMovimientos[CantidadNeta],tblMovimientos[SKU],tblStock[[#This Row],[SKU]],tblMovimientos[FactorStock],-1))</f>
        <v/>
      </c>
      <c r="J400" s="56" t="str">
        <f>IF(tblStock[[#This Row],[SKU]]="","",SUMIFS(tblMovimientos[CantidadNeta],tblMovimientos[SKU],tblStock[[#This Row],[SKU]]))</f>
        <v/>
      </c>
      <c r="K400" s="55" t="str">
        <f>IF($B400="","",N('05_PRODUCTOS'!$F400))</f>
        <v/>
      </c>
      <c r="L400" s="55" t="str">
        <f>IF($B400="","",N('05_PRODUCTOS'!$G400))</f>
        <v/>
      </c>
      <c r="M400" s="57" t="str">
        <f>IF(OR(tblStock[[#This Row],[SKU]]="",N(tblStock[[#This Row],[StockMax]])=0),"",MAX(0,tblStock[[#This Row],[StockActual]])/tblStock[[#This Row],[StockMax]])</f>
        <v/>
      </c>
      <c r="N40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0" s="59" t="str">
        <f>IF($B400="","",N('05_PRODUCTOS'!$H400))</f>
        <v/>
      </c>
      <c r="P400" s="59" t="str">
        <f>IF(tblStock[[#This Row],[SKU]]="","",MAX(0,tblStock[[#This Row],[StockActual]])*tblStock[[#This Row],[CostoUnitario]])</f>
        <v/>
      </c>
      <c r="Q400" s="60" t="str">
        <f>IF(tblStock[[#This Row],[SKU]]="","",IFERROR(_xlfn.AGGREGATE(14,6,tblMovimientos[Fecha]/(tblMovimientos[SKU]=tblStock[[#This Row],[SKU]]),1),""))</f>
        <v/>
      </c>
      <c r="R400" s="61" t="str">
        <f ca="1">IF(OR(tblStock[[#This Row],[SKU]]="",tblStock[[#This Row],[UltimoMov]]=""),"",TODAY()-tblStock[[#This Row],[UltimoMov]])</f>
        <v/>
      </c>
    </row>
    <row r="401" spans="2:18" x14ac:dyDescent="0.25">
      <c r="B401" s="53" t="str">
        <f>IF('05_PRODUCTOS'!$B401="","",'05_PRODUCTOS'!$B401)</f>
        <v/>
      </c>
      <c r="C401" s="54" t="str">
        <f>IF($B401="","",'05_PRODUCTOS'!$C401)</f>
        <v/>
      </c>
      <c r="D401" s="54" t="str">
        <f>IF($B401="","",'05_PRODUCTOS'!$D401)</f>
        <v/>
      </c>
      <c r="E401" s="54" t="str">
        <f>IF($B401="","",'05_PRODUCTOS'!$I401&amp;"")</f>
        <v/>
      </c>
      <c r="F401" s="53" t="str">
        <f>IF($B401="","",'05_PRODUCTOS'!$E401)</f>
        <v/>
      </c>
      <c r="G401" s="53" t="str">
        <f>IF($B401="","",IF('05_PRODUCTOS'!$K401="NO","NO","SI"))</f>
        <v/>
      </c>
      <c r="H401" s="55" t="str">
        <f>IF(tblStock[[#This Row],[SKU]]="","",SUMIFS(tblMovimientos[CantidadNeta],tblMovimientos[SKU],tblStock[[#This Row],[SKU]],tblMovimientos[FactorStock],1))</f>
        <v/>
      </c>
      <c r="I401" s="55" t="str">
        <f>IF(tblStock[[#This Row],[SKU]]="","",-SUMIFS(tblMovimientos[CantidadNeta],tblMovimientos[SKU],tblStock[[#This Row],[SKU]],tblMovimientos[FactorStock],-1))</f>
        <v/>
      </c>
      <c r="J401" s="56" t="str">
        <f>IF(tblStock[[#This Row],[SKU]]="","",SUMIFS(tblMovimientos[CantidadNeta],tblMovimientos[SKU],tblStock[[#This Row],[SKU]]))</f>
        <v/>
      </c>
      <c r="K401" s="55" t="str">
        <f>IF($B401="","",N('05_PRODUCTOS'!$F401))</f>
        <v/>
      </c>
      <c r="L401" s="55" t="str">
        <f>IF($B401="","",N('05_PRODUCTOS'!$G401))</f>
        <v/>
      </c>
      <c r="M401" s="57" t="str">
        <f>IF(OR(tblStock[[#This Row],[SKU]]="",N(tblStock[[#This Row],[StockMax]])=0),"",MAX(0,tblStock[[#This Row],[StockActual]])/tblStock[[#This Row],[StockMax]])</f>
        <v/>
      </c>
      <c r="N40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1" s="59" t="str">
        <f>IF($B401="","",N('05_PRODUCTOS'!$H401))</f>
        <v/>
      </c>
      <c r="P401" s="59" t="str">
        <f>IF(tblStock[[#This Row],[SKU]]="","",MAX(0,tblStock[[#This Row],[StockActual]])*tblStock[[#This Row],[CostoUnitario]])</f>
        <v/>
      </c>
      <c r="Q401" s="60" t="str">
        <f>IF(tblStock[[#This Row],[SKU]]="","",IFERROR(_xlfn.AGGREGATE(14,6,tblMovimientos[Fecha]/(tblMovimientos[SKU]=tblStock[[#This Row],[SKU]]),1),""))</f>
        <v/>
      </c>
      <c r="R401" s="61" t="str">
        <f ca="1">IF(OR(tblStock[[#This Row],[SKU]]="",tblStock[[#This Row],[UltimoMov]]=""),"",TODAY()-tblStock[[#This Row],[UltimoMov]])</f>
        <v/>
      </c>
    </row>
    <row r="402" spans="2:18" x14ac:dyDescent="0.25">
      <c r="B402" s="53" t="str">
        <f>IF('05_PRODUCTOS'!$B402="","",'05_PRODUCTOS'!$B402)</f>
        <v/>
      </c>
      <c r="C402" s="54" t="str">
        <f>IF($B402="","",'05_PRODUCTOS'!$C402)</f>
        <v/>
      </c>
      <c r="D402" s="54" t="str">
        <f>IF($B402="","",'05_PRODUCTOS'!$D402)</f>
        <v/>
      </c>
      <c r="E402" s="54" t="str">
        <f>IF($B402="","",'05_PRODUCTOS'!$I402&amp;"")</f>
        <v/>
      </c>
      <c r="F402" s="53" t="str">
        <f>IF($B402="","",'05_PRODUCTOS'!$E402)</f>
        <v/>
      </c>
      <c r="G402" s="53" t="str">
        <f>IF($B402="","",IF('05_PRODUCTOS'!$K402="NO","NO","SI"))</f>
        <v/>
      </c>
      <c r="H402" s="55" t="str">
        <f>IF(tblStock[[#This Row],[SKU]]="","",SUMIFS(tblMovimientos[CantidadNeta],tblMovimientos[SKU],tblStock[[#This Row],[SKU]],tblMovimientos[FactorStock],1))</f>
        <v/>
      </c>
      <c r="I402" s="55" t="str">
        <f>IF(tblStock[[#This Row],[SKU]]="","",-SUMIFS(tblMovimientos[CantidadNeta],tblMovimientos[SKU],tblStock[[#This Row],[SKU]],tblMovimientos[FactorStock],-1))</f>
        <v/>
      </c>
      <c r="J402" s="56" t="str">
        <f>IF(tblStock[[#This Row],[SKU]]="","",SUMIFS(tblMovimientos[CantidadNeta],tblMovimientos[SKU],tblStock[[#This Row],[SKU]]))</f>
        <v/>
      </c>
      <c r="K402" s="55" t="str">
        <f>IF($B402="","",N('05_PRODUCTOS'!$F402))</f>
        <v/>
      </c>
      <c r="L402" s="55" t="str">
        <f>IF($B402="","",N('05_PRODUCTOS'!$G402))</f>
        <v/>
      </c>
      <c r="M402" s="57" t="str">
        <f>IF(OR(tblStock[[#This Row],[SKU]]="",N(tblStock[[#This Row],[StockMax]])=0),"",MAX(0,tblStock[[#This Row],[StockActual]])/tblStock[[#This Row],[StockMax]])</f>
        <v/>
      </c>
      <c r="N40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2" s="59" t="str">
        <f>IF($B402="","",N('05_PRODUCTOS'!$H402))</f>
        <v/>
      </c>
      <c r="P402" s="59" t="str">
        <f>IF(tblStock[[#This Row],[SKU]]="","",MAX(0,tblStock[[#This Row],[StockActual]])*tblStock[[#This Row],[CostoUnitario]])</f>
        <v/>
      </c>
      <c r="Q402" s="60" t="str">
        <f>IF(tblStock[[#This Row],[SKU]]="","",IFERROR(_xlfn.AGGREGATE(14,6,tblMovimientos[Fecha]/(tblMovimientos[SKU]=tblStock[[#This Row],[SKU]]),1),""))</f>
        <v/>
      </c>
      <c r="R402" s="61" t="str">
        <f ca="1">IF(OR(tblStock[[#This Row],[SKU]]="",tblStock[[#This Row],[UltimoMov]]=""),"",TODAY()-tblStock[[#This Row],[UltimoMov]])</f>
        <v/>
      </c>
    </row>
    <row r="403" spans="2:18" x14ac:dyDescent="0.25">
      <c r="B403" s="53" t="str">
        <f>IF('05_PRODUCTOS'!$B403="","",'05_PRODUCTOS'!$B403)</f>
        <v/>
      </c>
      <c r="C403" s="54" t="str">
        <f>IF($B403="","",'05_PRODUCTOS'!$C403)</f>
        <v/>
      </c>
      <c r="D403" s="54" t="str">
        <f>IF($B403="","",'05_PRODUCTOS'!$D403)</f>
        <v/>
      </c>
      <c r="E403" s="54" t="str">
        <f>IF($B403="","",'05_PRODUCTOS'!$I403&amp;"")</f>
        <v/>
      </c>
      <c r="F403" s="53" t="str">
        <f>IF($B403="","",'05_PRODUCTOS'!$E403)</f>
        <v/>
      </c>
      <c r="G403" s="53" t="str">
        <f>IF($B403="","",IF('05_PRODUCTOS'!$K403="NO","NO","SI"))</f>
        <v/>
      </c>
      <c r="H403" s="55" t="str">
        <f>IF(tblStock[[#This Row],[SKU]]="","",SUMIFS(tblMovimientos[CantidadNeta],tblMovimientos[SKU],tblStock[[#This Row],[SKU]],tblMovimientos[FactorStock],1))</f>
        <v/>
      </c>
      <c r="I403" s="55" t="str">
        <f>IF(tblStock[[#This Row],[SKU]]="","",-SUMIFS(tblMovimientos[CantidadNeta],tblMovimientos[SKU],tblStock[[#This Row],[SKU]],tblMovimientos[FactorStock],-1))</f>
        <v/>
      </c>
      <c r="J403" s="56" t="str">
        <f>IF(tblStock[[#This Row],[SKU]]="","",SUMIFS(tblMovimientos[CantidadNeta],tblMovimientos[SKU],tblStock[[#This Row],[SKU]]))</f>
        <v/>
      </c>
      <c r="K403" s="55" t="str">
        <f>IF($B403="","",N('05_PRODUCTOS'!$F403))</f>
        <v/>
      </c>
      <c r="L403" s="55" t="str">
        <f>IF($B403="","",N('05_PRODUCTOS'!$G403))</f>
        <v/>
      </c>
      <c r="M403" s="57" t="str">
        <f>IF(OR(tblStock[[#This Row],[SKU]]="",N(tblStock[[#This Row],[StockMax]])=0),"",MAX(0,tblStock[[#This Row],[StockActual]])/tblStock[[#This Row],[StockMax]])</f>
        <v/>
      </c>
      <c r="N40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3" s="59" t="str">
        <f>IF($B403="","",N('05_PRODUCTOS'!$H403))</f>
        <v/>
      </c>
      <c r="P403" s="59" t="str">
        <f>IF(tblStock[[#This Row],[SKU]]="","",MAX(0,tblStock[[#This Row],[StockActual]])*tblStock[[#This Row],[CostoUnitario]])</f>
        <v/>
      </c>
      <c r="Q403" s="60" t="str">
        <f>IF(tblStock[[#This Row],[SKU]]="","",IFERROR(_xlfn.AGGREGATE(14,6,tblMovimientos[Fecha]/(tblMovimientos[SKU]=tblStock[[#This Row],[SKU]]),1),""))</f>
        <v/>
      </c>
      <c r="R403" s="61" t="str">
        <f ca="1">IF(OR(tblStock[[#This Row],[SKU]]="",tblStock[[#This Row],[UltimoMov]]=""),"",TODAY()-tblStock[[#This Row],[UltimoMov]])</f>
        <v/>
      </c>
    </row>
    <row r="404" spans="2:18" x14ac:dyDescent="0.25">
      <c r="B404" s="53" t="str">
        <f>IF('05_PRODUCTOS'!$B404="","",'05_PRODUCTOS'!$B404)</f>
        <v/>
      </c>
      <c r="C404" s="54" t="str">
        <f>IF($B404="","",'05_PRODUCTOS'!$C404)</f>
        <v/>
      </c>
      <c r="D404" s="54" t="str">
        <f>IF($B404="","",'05_PRODUCTOS'!$D404)</f>
        <v/>
      </c>
      <c r="E404" s="54" t="str">
        <f>IF($B404="","",'05_PRODUCTOS'!$I404&amp;"")</f>
        <v/>
      </c>
      <c r="F404" s="53" t="str">
        <f>IF($B404="","",'05_PRODUCTOS'!$E404)</f>
        <v/>
      </c>
      <c r="G404" s="53" t="str">
        <f>IF($B404="","",IF('05_PRODUCTOS'!$K404="NO","NO","SI"))</f>
        <v/>
      </c>
      <c r="H404" s="55" t="str">
        <f>IF(tblStock[[#This Row],[SKU]]="","",SUMIFS(tblMovimientos[CantidadNeta],tblMovimientos[SKU],tblStock[[#This Row],[SKU]],tblMovimientos[FactorStock],1))</f>
        <v/>
      </c>
      <c r="I404" s="55" t="str">
        <f>IF(tblStock[[#This Row],[SKU]]="","",-SUMIFS(tblMovimientos[CantidadNeta],tblMovimientos[SKU],tblStock[[#This Row],[SKU]],tblMovimientos[FactorStock],-1))</f>
        <v/>
      </c>
      <c r="J404" s="56" t="str">
        <f>IF(tblStock[[#This Row],[SKU]]="","",SUMIFS(tblMovimientos[CantidadNeta],tblMovimientos[SKU],tblStock[[#This Row],[SKU]]))</f>
        <v/>
      </c>
      <c r="K404" s="55" t="str">
        <f>IF($B404="","",N('05_PRODUCTOS'!$F404))</f>
        <v/>
      </c>
      <c r="L404" s="55" t="str">
        <f>IF($B404="","",N('05_PRODUCTOS'!$G404))</f>
        <v/>
      </c>
      <c r="M404" s="57" t="str">
        <f>IF(OR(tblStock[[#This Row],[SKU]]="",N(tblStock[[#This Row],[StockMax]])=0),"",MAX(0,tblStock[[#This Row],[StockActual]])/tblStock[[#This Row],[StockMax]])</f>
        <v/>
      </c>
      <c r="N40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4" s="59" t="str">
        <f>IF($B404="","",N('05_PRODUCTOS'!$H404))</f>
        <v/>
      </c>
      <c r="P404" s="59" t="str">
        <f>IF(tblStock[[#This Row],[SKU]]="","",MAX(0,tblStock[[#This Row],[StockActual]])*tblStock[[#This Row],[CostoUnitario]])</f>
        <v/>
      </c>
      <c r="Q404" s="60" t="str">
        <f>IF(tblStock[[#This Row],[SKU]]="","",IFERROR(_xlfn.AGGREGATE(14,6,tblMovimientos[Fecha]/(tblMovimientos[SKU]=tblStock[[#This Row],[SKU]]),1),""))</f>
        <v/>
      </c>
      <c r="R404" s="61" t="str">
        <f ca="1">IF(OR(tblStock[[#This Row],[SKU]]="",tblStock[[#This Row],[UltimoMov]]=""),"",TODAY()-tblStock[[#This Row],[UltimoMov]])</f>
        <v/>
      </c>
    </row>
    <row r="405" spans="2:18" x14ac:dyDescent="0.25">
      <c r="B405" s="53" t="str">
        <f>IF('05_PRODUCTOS'!$B405="","",'05_PRODUCTOS'!$B405)</f>
        <v/>
      </c>
      <c r="C405" s="54" t="str">
        <f>IF($B405="","",'05_PRODUCTOS'!$C405)</f>
        <v/>
      </c>
      <c r="D405" s="54" t="str">
        <f>IF($B405="","",'05_PRODUCTOS'!$D405)</f>
        <v/>
      </c>
      <c r="E405" s="54" t="str">
        <f>IF($B405="","",'05_PRODUCTOS'!$I405&amp;"")</f>
        <v/>
      </c>
      <c r="F405" s="53" t="str">
        <f>IF($B405="","",'05_PRODUCTOS'!$E405)</f>
        <v/>
      </c>
      <c r="G405" s="53" t="str">
        <f>IF($B405="","",IF('05_PRODUCTOS'!$K405="NO","NO","SI"))</f>
        <v/>
      </c>
      <c r="H405" s="55" t="str">
        <f>IF(tblStock[[#This Row],[SKU]]="","",SUMIFS(tblMovimientos[CantidadNeta],tblMovimientos[SKU],tblStock[[#This Row],[SKU]],tblMovimientos[FactorStock],1))</f>
        <v/>
      </c>
      <c r="I405" s="55" t="str">
        <f>IF(tblStock[[#This Row],[SKU]]="","",-SUMIFS(tblMovimientos[CantidadNeta],tblMovimientos[SKU],tblStock[[#This Row],[SKU]],tblMovimientos[FactorStock],-1))</f>
        <v/>
      </c>
      <c r="J405" s="56" t="str">
        <f>IF(tblStock[[#This Row],[SKU]]="","",SUMIFS(tblMovimientos[CantidadNeta],tblMovimientos[SKU],tblStock[[#This Row],[SKU]]))</f>
        <v/>
      </c>
      <c r="K405" s="55" t="str">
        <f>IF($B405="","",N('05_PRODUCTOS'!$F405))</f>
        <v/>
      </c>
      <c r="L405" s="55" t="str">
        <f>IF($B405="","",N('05_PRODUCTOS'!$G405))</f>
        <v/>
      </c>
      <c r="M405" s="57" t="str">
        <f>IF(OR(tblStock[[#This Row],[SKU]]="",N(tblStock[[#This Row],[StockMax]])=0),"",MAX(0,tblStock[[#This Row],[StockActual]])/tblStock[[#This Row],[StockMax]])</f>
        <v/>
      </c>
      <c r="N40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5" s="59" t="str">
        <f>IF($B405="","",N('05_PRODUCTOS'!$H405))</f>
        <v/>
      </c>
      <c r="P405" s="59" t="str">
        <f>IF(tblStock[[#This Row],[SKU]]="","",MAX(0,tblStock[[#This Row],[StockActual]])*tblStock[[#This Row],[CostoUnitario]])</f>
        <v/>
      </c>
      <c r="Q405" s="60" t="str">
        <f>IF(tblStock[[#This Row],[SKU]]="","",IFERROR(_xlfn.AGGREGATE(14,6,tblMovimientos[Fecha]/(tblMovimientos[SKU]=tblStock[[#This Row],[SKU]]),1),""))</f>
        <v/>
      </c>
      <c r="R405" s="61" t="str">
        <f ca="1">IF(OR(tblStock[[#This Row],[SKU]]="",tblStock[[#This Row],[UltimoMov]]=""),"",TODAY()-tblStock[[#This Row],[UltimoMov]])</f>
        <v/>
      </c>
    </row>
    <row r="406" spans="2:18" x14ac:dyDescent="0.25">
      <c r="B406" s="53" t="str">
        <f>IF('05_PRODUCTOS'!$B406="","",'05_PRODUCTOS'!$B406)</f>
        <v/>
      </c>
      <c r="C406" s="54" t="str">
        <f>IF($B406="","",'05_PRODUCTOS'!$C406)</f>
        <v/>
      </c>
      <c r="D406" s="54" t="str">
        <f>IF($B406="","",'05_PRODUCTOS'!$D406)</f>
        <v/>
      </c>
      <c r="E406" s="54" t="str">
        <f>IF($B406="","",'05_PRODUCTOS'!$I406&amp;"")</f>
        <v/>
      </c>
      <c r="F406" s="53" t="str">
        <f>IF($B406="","",'05_PRODUCTOS'!$E406)</f>
        <v/>
      </c>
      <c r="G406" s="53" t="str">
        <f>IF($B406="","",IF('05_PRODUCTOS'!$K406="NO","NO","SI"))</f>
        <v/>
      </c>
      <c r="H406" s="55" t="str">
        <f>IF(tblStock[[#This Row],[SKU]]="","",SUMIFS(tblMovimientos[CantidadNeta],tblMovimientos[SKU],tblStock[[#This Row],[SKU]],tblMovimientos[FactorStock],1))</f>
        <v/>
      </c>
      <c r="I406" s="55" t="str">
        <f>IF(tblStock[[#This Row],[SKU]]="","",-SUMIFS(tblMovimientos[CantidadNeta],tblMovimientos[SKU],tblStock[[#This Row],[SKU]],tblMovimientos[FactorStock],-1))</f>
        <v/>
      </c>
      <c r="J406" s="56" t="str">
        <f>IF(tblStock[[#This Row],[SKU]]="","",SUMIFS(tblMovimientos[CantidadNeta],tblMovimientos[SKU],tblStock[[#This Row],[SKU]]))</f>
        <v/>
      </c>
      <c r="K406" s="55" t="str">
        <f>IF($B406="","",N('05_PRODUCTOS'!$F406))</f>
        <v/>
      </c>
      <c r="L406" s="55" t="str">
        <f>IF($B406="","",N('05_PRODUCTOS'!$G406))</f>
        <v/>
      </c>
      <c r="M406" s="57" t="str">
        <f>IF(OR(tblStock[[#This Row],[SKU]]="",N(tblStock[[#This Row],[StockMax]])=0),"",MAX(0,tblStock[[#This Row],[StockActual]])/tblStock[[#This Row],[StockMax]])</f>
        <v/>
      </c>
      <c r="N40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6" s="59" t="str">
        <f>IF($B406="","",N('05_PRODUCTOS'!$H406))</f>
        <v/>
      </c>
      <c r="P406" s="59" t="str">
        <f>IF(tblStock[[#This Row],[SKU]]="","",MAX(0,tblStock[[#This Row],[StockActual]])*tblStock[[#This Row],[CostoUnitario]])</f>
        <v/>
      </c>
      <c r="Q406" s="60" t="str">
        <f>IF(tblStock[[#This Row],[SKU]]="","",IFERROR(_xlfn.AGGREGATE(14,6,tblMovimientos[Fecha]/(tblMovimientos[SKU]=tblStock[[#This Row],[SKU]]),1),""))</f>
        <v/>
      </c>
      <c r="R406" s="61" t="str">
        <f ca="1">IF(OR(tblStock[[#This Row],[SKU]]="",tblStock[[#This Row],[UltimoMov]]=""),"",TODAY()-tblStock[[#This Row],[UltimoMov]])</f>
        <v/>
      </c>
    </row>
    <row r="407" spans="2:18" x14ac:dyDescent="0.25">
      <c r="B407" s="53" t="str">
        <f>IF('05_PRODUCTOS'!$B407="","",'05_PRODUCTOS'!$B407)</f>
        <v/>
      </c>
      <c r="C407" s="54" t="str">
        <f>IF($B407="","",'05_PRODUCTOS'!$C407)</f>
        <v/>
      </c>
      <c r="D407" s="54" t="str">
        <f>IF($B407="","",'05_PRODUCTOS'!$D407)</f>
        <v/>
      </c>
      <c r="E407" s="54" t="str">
        <f>IF($B407="","",'05_PRODUCTOS'!$I407&amp;"")</f>
        <v/>
      </c>
      <c r="F407" s="53" t="str">
        <f>IF($B407="","",'05_PRODUCTOS'!$E407)</f>
        <v/>
      </c>
      <c r="G407" s="53" t="str">
        <f>IF($B407="","",IF('05_PRODUCTOS'!$K407="NO","NO","SI"))</f>
        <v/>
      </c>
      <c r="H407" s="55" t="str">
        <f>IF(tblStock[[#This Row],[SKU]]="","",SUMIFS(tblMovimientos[CantidadNeta],tblMovimientos[SKU],tblStock[[#This Row],[SKU]],tblMovimientos[FactorStock],1))</f>
        <v/>
      </c>
      <c r="I407" s="55" t="str">
        <f>IF(tblStock[[#This Row],[SKU]]="","",-SUMIFS(tblMovimientos[CantidadNeta],tblMovimientos[SKU],tblStock[[#This Row],[SKU]],tblMovimientos[FactorStock],-1))</f>
        <v/>
      </c>
      <c r="J407" s="56" t="str">
        <f>IF(tblStock[[#This Row],[SKU]]="","",SUMIFS(tblMovimientos[CantidadNeta],tblMovimientos[SKU],tblStock[[#This Row],[SKU]]))</f>
        <v/>
      </c>
      <c r="K407" s="55" t="str">
        <f>IF($B407="","",N('05_PRODUCTOS'!$F407))</f>
        <v/>
      </c>
      <c r="L407" s="55" t="str">
        <f>IF($B407="","",N('05_PRODUCTOS'!$G407))</f>
        <v/>
      </c>
      <c r="M407" s="57" t="str">
        <f>IF(OR(tblStock[[#This Row],[SKU]]="",N(tblStock[[#This Row],[StockMax]])=0),"",MAX(0,tblStock[[#This Row],[StockActual]])/tblStock[[#This Row],[StockMax]])</f>
        <v/>
      </c>
      <c r="N40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7" s="59" t="str">
        <f>IF($B407="","",N('05_PRODUCTOS'!$H407))</f>
        <v/>
      </c>
      <c r="P407" s="59" t="str">
        <f>IF(tblStock[[#This Row],[SKU]]="","",MAX(0,tblStock[[#This Row],[StockActual]])*tblStock[[#This Row],[CostoUnitario]])</f>
        <v/>
      </c>
      <c r="Q407" s="60" t="str">
        <f>IF(tblStock[[#This Row],[SKU]]="","",IFERROR(_xlfn.AGGREGATE(14,6,tblMovimientos[Fecha]/(tblMovimientos[SKU]=tblStock[[#This Row],[SKU]]),1),""))</f>
        <v/>
      </c>
      <c r="R407" s="61" t="str">
        <f ca="1">IF(OR(tblStock[[#This Row],[SKU]]="",tblStock[[#This Row],[UltimoMov]]=""),"",TODAY()-tblStock[[#This Row],[UltimoMov]])</f>
        <v/>
      </c>
    </row>
    <row r="408" spans="2:18" x14ac:dyDescent="0.25">
      <c r="B408" s="53" t="str">
        <f>IF('05_PRODUCTOS'!$B408="","",'05_PRODUCTOS'!$B408)</f>
        <v/>
      </c>
      <c r="C408" s="54" t="str">
        <f>IF($B408="","",'05_PRODUCTOS'!$C408)</f>
        <v/>
      </c>
      <c r="D408" s="54" t="str">
        <f>IF($B408="","",'05_PRODUCTOS'!$D408)</f>
        <v/>
      </c>
      <c r="E408" s="54" t="str">
        <f>IF($B408="","",'05_PRODUCTOS'!$I408&amp;"")</f>
        <v/>
      </c>
      <c r="F408" s="53" t="str">
        <f>IF($B408="","",'05_PRODUCTOS'!$E408)</f>
        <v/>
      </c>
      <c r="G408" s="53" t="str">
        <f>IF($B408="","",IF('05_PRODUCTOS'!$K408="NO","NO","SI"))</f>
        <v/>
      </c>
      <c r="H408" s="55" t="str">
        <f>IF(tblStock[[#This Row],[SKU]]="","",SUMIFS(tblMovimientos[CantidadNeta],tblMovimientos[SKU],tblStock[[#This Row],[SKU]],tblMovimientos[FactorStock],1))</f>
        <v/>
      </c>
      <c r="I408" s="55" t="str">
        <f>IF(tblStock[[#This Row],[SKU]]="","",-SUMIFS(tblMovimientos[CantidadNeta],tblMovimientos[SKU],tblStock[[#This Row],[SKU]],tblMovimientos[FactorStock],-1))</f>
        <v/>
      </c>
      <c r="J408" s="56" t="str">
        <f>IF(tblStock[[#This Row],[SKU]]="","",SUMIFS(tblMovimientos[CantidadNeta],tblMovimientos[SKU],tblStock[[#This Row],[SKU]]))</f>
        <v/>
      </c>
      <c r="K408" s="55" t="str">
        <f>IF($B408="","",N('05_PRODUCTOS'!$F408))</f>
        <v/>
      </c>
      <c r="L408" s="55" t="str">
        <f>IF($B408="","",N('05_PRODUCTOS'!$G408))</f>
        <v/>
      </c>
      <c r="M408" s="57" t="str">
        <f>IF(OR(tblStock[[#This Row],[SKU]]="",N(tblStock[[#This Row],[StockMax]])=0),"",MAX(0,tblStock[[#This Row],[StockActual]])/tblStock[[#This Row],[StockMax]])</f>
        <v/>
      </c>
      <c r="N40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8" s="59" t="str">
        <f>IF($B408="","",N('05_PRODUCTOS'!$H408))</f>
        <v/>
      </c>
      <c r="P408" s="59" t="str">
        <f>IF(tblStock[[#This Row],[SKU]]="","",MAX(0,tblStock[[#This Row],[StockActual]])*tblStock[[#This Row],[CostoUnitario]])</f>
        <v/>
      </c>
      <c r="Q408" s="60" t="str">
        <f>IF(tblStock[[#This Row],[SKU]]="","",IFERROR(_xlfn.AGGREGATE(14,6,tblMovimientos[Fecha]/(tblMovimientos[SKU]=tblStock[[#This Row],[SKU]]),1),""))</f>
        <v/>
      </c>
      <c r="R408" s="61" t="str">
        <f ca="1">IF(OR(tblStock[[#This Row],[SKU]]="",tblStock[[#This Row],[UltimoMov]]=""),"",TODAY()-tblStock[[#This Row],[UltimoMov]])</f>
        <v/>
      </c>
    </row>
    <row r="409" spans="2:18" x14ac:dyDescent="0.25">
      <c r="B409" s="53" t="str">
        <f>IF('05_PRODUCTOS'!$B409="","",'05_PRODUCTOS'!$B409)</f>
        <v/>
      </c>
      <c r="C409" s="54" t="str">
        <f>IF($B409="","",'05_PRODUCTOS'!$C409)</f>
        <v/>
      </c>
      <c r="D409" s="54" t="str">
        <f>IF($B409="","",'05_PRODUCTOS'!$D409)</f>
        <v/>
      </c>
      <c r="E409" s="54" t="str">
        <f>IF($B409="","",'05_PRODUCTOS'!$I409&amp;"")</f>
        <v/>
      </c>
      <c r="F409" s="53" t="str">
        <f>IF($B409="","",'05_PRODUCTOS'!$E409)</f>
        <v/>
      </c>
      <c r="G409" s="53" t="str">
        <f>IF($B409="","",IF('05_PRODUCTOS'!$K409="NO","NO","SI"))</f>
        <v/>
      </c>
      <c r="H409" s="55" t="str">
        <f>IF(tblStock[[#This Row],[SKU]]="","",SUMIFS(tblMovimientos[CantidadNeta],tblMovimientos[SKU],tblStock[[#This Row],[SKU]],tblMovimientos[FactorStock],1))</f>
        <v/>
      </c>
      <c r="I409" s="55" t="str">
        <f>IF(tblStock[[#This Row],[SKU]]="","",-SUMIFS(tblMovimientos[CantidadNeta],tblMovimientos[SKU],tblStock[[#This Row],[SKU]],tblMovimientos[FactorStock],-1))</f>
        <v/>
      </c>
      <c r="J409" s="56" t="str">
        <f>IF(tblStock[[#This Row],[SKU]]="","",SUMIFS(tblMovimientos[CantidadNeta],tblMovimientos[SKU],tblStock[[#This Row],[SKU]]))</f>
        <v/>
      </c>
      <c r="K409" s="55" t="str">
        <f>IF($B409="","",N('05_PRODUCTOS'!$F409))</f>
        <v/>
      </c>
      <c r="L409" s="55" t="str">
        <f>IF($B409="","",N('05_PRODUCTOS'!$G409))</f>
        <v/>
      </c>
      <c r="M409" s="57" t="str">
        <f>IF(OR(tblStock[[#This Row],[SKU]]="",N(tblStock[[#This Row],[StockMax]])=0),"",MAX(0,tblStock[[#This Row],[StockActual]])/tblStock[[#This Row],[StockMax]])</f>
        <v/>
      </c>
      <c r="N40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09" s="59" t="str">
        <f>IF($B409="","",N('05_PRODUCTOS'!$H409))</f>
        <v/>
      </c>
      <c r="P409" s="59" t="str">
        <f>IF(tblStock[[#This Row],[SKU]]="","",MAX(0,tblStock[[#This Row],[StockActual]])*tblStock[[#This Row],[CostoUnitario]])</f>
        <v/>
      </c>
      <c r="Q409" s="60" t="str">
        <f>IF(tblStock[[#This Row],[SKU]]="","",IFERROR(_xlfn.AGGREGATE(14,6,tblMovimientos[Fecha]/(tblMovimientos[SKU]=tblStock[[#This Row],[SKU]]),1),""))</f>
        <v/>
      </c>
      <c r="R409" s="61" t="str">
        <f ca="1">IF(OR(tblStock[[#This Row],[SKU]]="",tblStock[[#This Row],[UltimoMov]]=""),"",TODAY()-tblStock[[#This Row],[UltimoMov]])</f>
        <v/>
      </c>
    </row>
    <row r="410" spans="2:18" x14ac:dyDescent="0.25">
      <c r="B410" s="53" t="str">
        <f>IF('05_PRODUCTOS'!$B410="","",'05_PRODUCTOS'!$B410)</f>
        <v/>
      </c>
      <c r="C410" s="54" t="str">
        <f>IF($B410="","",'05_PRODUCTOS'!$C410)</f>
        <v/>
      </c>
      <c r="D410" s="54" t="str">
        <f>IF($B410="","",'05_PRODUCTOS'!$D410)</f>
        <v/>
      </c>
      <c r="E410" s="54" t="str">
        <f>IF($B410="","",'05_PRODUCTOS'!$I410&amp;"")</f>
        <v/>
      </c>
      <c r="F410" s="53" t="str">
        <f>IF($B410="","",'05_PRODUCTOS'!$E410)</f>
        <v/>
      </c>
      <c r="G410" s="53" t="str">
        <f>IF($B410="","",IF('05_PRODUCTOS'!$K410="NO","NO","SI"))</f>
        <v/>
      </c>
      <c r="H410" s="55" t="str">
        <f>IF(tblStock[[#This Row],[SKU]]="","",SUMIFS(tblMovimientos[CantidadNeta],tblMovimientos[SKU],tblStock[[#This Row],[SKU]],tblMovimientos[FactorStock],1))</f>
        <v/>
      </c>
      <c r="I410" s="55" t="str">
        <f>IF(tblStock[[#This Row],[SKU]]="","",-SUMIFS(tblMovimientos[CantidadNeta],tblMovimientos[SKU],tblStock[[#This Row],[SKU]],tblMovimientos[FactorStock],-1))</f>
        <v/>
      </c>
      <c r="J410" s="56" t="str">
        <f>IF(tblStock[[#This Row],[SKU]]="","",SUMIFS(tblMovimientos[CantidadNeta],tblMovimientos[SKU],tblStock[[#This Row],[SKU]]))</f>
        <v/>
      </c>
      <c r="K410" s="55" t="str">
        <f>IF($B410="","",N('05_PRODUCTOS'!$F410))</f>
        <v/>
      </c>
      <c r="L410" s="55" t="str">
        <f>IF($B410="","",N('05_PRODUCTOS'!$G410))</f>
        <v/>
      </c>
      <c r="M410" s="57" t="str">
        <f>IF(OR(tblStock[[#This Row],[SKU]]="",N(tblStock[[#This Row],[StockMax]])=0),"",MAX(0,tblStock[[#This Row],[StockActual]])/tblStock[[#This Row],[StockMax]])</f>
        <v/>
      </c>
      <c r="N41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0" s="59" t="str">
        <f>IF($B410="","",N('05_PRODUCTOS'!$H410))</f>
        <v/>
      </c>
      <c r="P410" s="59" t="str">
        <f>IF(tblStock[[#This Row],[SKU]]="","",MAX(0,tblStock[[#This Row],[StockActual]])*tblStock[[#This Row],[CostoUnitario]])</f>
        <v/>
      </c>
      <c r="Q410" s="60" t="str">
        <f>IF(tblStock[[#This Row],[SKU]]="","",IFERROR(_xlfn.AGGREGATE(14,6,tblMovimientos[Fecha]/(tblMovimientos[SKU]=tblStock[[#This Row],[SKU]]),1),""))</f>
        <v/>
      </c>
      <c r="R410" s="61" t="str">
        <f ca="1">IF(OR(tblStock[[#This Row],[SKU]]="",tblStock[[#This Row],[UltimoMov]]=""),"",TODAY()-tblStock[[#This Row],[UltimoMov]])</f>
        <v/>
      </c>
    </row>
    <row r="411" spans="2:18" x14ac:dyDescent="0.25">
      <c r="B411" s="53" t="str">
        <f>IF('05_PRODUCTOS'!$B411="","",'05_PRODUCTOS'!$B411)</f>
        <v/>
      </c>
      <c r="C411" s="54" t="str">
        <f>IF($B411="","",'05_PRODUCTOS'!$C411)</f>
        <v/>
      </c>
      <c r="D411" s="54" t="str">
        <f>IF($B411="","",'05_PRODUCTOS'!$D411)</f>
        <v/>
      </c>
      <c r="E411" s="54" t="str">
        <f>IF($B411="","",'05_PRODUCTOS'!$I411&amp;"")</f>
        <v/>
      </c>
      <c r="F411" s="53" t="str">
        <f>IF($B411="","",'05_PRODUCTOS'!$E411)</f>
        <v/>
      </c>
      <c r="G411" s="53" t="str">
        <f>IF($B411="","",IF('05_PRODUCTOS'!$K411="NO","NO","SI"))</f>
        <v/>
      </c>
      <c r="H411" s="55" t="str">
        <f>IF(tblStock[[#This Row],[SKU]]="","",SUMIFS(tblMovimientos[CantidadNeta],tblMovimientos[SKU],tblStock[[#This Row],[SKU]],tblMovimientos[FactorStock],1))</f>
        <v/>
      </c>
      <c r="I411" s="55" t="str">
        <f>IF(tblStock[[#This Row],[SKU]]="","",-SUMIFS(tblMovimientos[CantidadNeta],tblMovimientos[SKU],tblStock[[#This Row],[SKU]],tblMovimientos[FactorStock],-1))</f>
        <v/>
      </c>
      <c r="J411" s="56" t="str">
        <f>IF(tblStock[[#This Row],[SKU]]="","",SUMIFS(tblMovimientos[CantidadNeta],tblMovimientos[SKU],tblStock[[#This Row],[SKU]]))</f>
        <v/>
      </c>
      <c r="K411" s="55" t="str">
        <f>IF($B411="","",N('05_PRODUCTOS'!$F411))</f>
        <v/>
      </c>
      <c r="L411" s="55" t="str">
        <f>IF($B411="","",N('05_PRODUCTOS'!$G411))</f>
        <v/>
      </c>
      <c r="M411" s="57" t="str">
        <f>IF(OR(tblStock[[#This Row],[SKU]]="",N(tblStock[[#This Row],[StockMax]])=0),"",MAX(0,tblStock[[#This Row],[StockActual]])/tblStock[[#This Row],[StockMax]])</f>
        <v/>
      </c>
      <c r="N41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1" s="59" t="str">
        <f>IF($B411="","",N('05_PRODUCTOS'!$H411))</f>
        <v/>
      </c>
      <c r="P411" s="59" t="str">
        <f>IF(tblStock[[#This Row],[SKU]]="","",MAX(0,tblStock[[#This Row],[StockActual]])*tblStock[[#This Row],[CostoUnitario]])</f>
        <v/>
      </c>
      <c r="Q411" s="60" t="str">
        <f>IF(tblStock[[#This Row],[SKU]]="","",IFERROR(_xlfn.AGGREGATE(14,6,tblMovimientos[Fecha]/(tblMovimientos[SKU]=tblStock[[#This Row],[SKU]]),1),""))</f>
        <v/>
      </c>
      <c r="R411" s="61" t="str">
        <f ca="1">IF(OR(tblStock[[#This Row],[SKU]]="",tblStock[[#This Row],[UltimoMov]]=""),"",TODAY()-tblStock[[#This Row],[UltimoMov]])</f>
        <v/>
      </c>
    </row>
    <row r="412" spans="2:18" x14ac:dyDescent="0.25">
      <c r="B412" s="53" t="str">
        <f>IF('05_PRODUCTOS'!$B412="","",'05_PRODUCTOS'!$B412)</f>
        <v/>
      </c>
      <c r="C412" s="54" t="str">
        <f>IF($B412="","",'05_PRODUCTOS'!$C412)</f>
        <v/>
      </c>
      <c r="D412" s="54" t="str">
        <f>IF($B412="","",'05_PRODUCTOS'!$D412)</f>
        <v/>
      </c>
      <c r="E412" s="54" t="str">
        <f>IF($B412="","",'05_PRODUCTOS'!$I412&amp;"")</f>
        <v/>
      </c>
      <c r="F412" s="53" t="str">
        <f>IF($B412="","",'05_PRODUCTOS'!$E412)</f>
        <v/>
      </c>
      <c r="G412" s="53" t="str">
        <f>IF($B412="","",IF('05_PRODUCTOS'!$K412="NO","NO","SI"))</f>
        <v/>
      </c>
      <c r="H412" s="55" t="str">
        <f>IF(tblStock[[#This Row],[SKU]]="","",SUMIFS(tblMovimientos[CantidadNeta],tblMovimientos[SKU],tblStock[[#This Row],[SKU]],tblMovimientos[FactorStock],1))</f>
        <v/>
      </c>
      <c r="I412" s="55" t="str">
        <f>IF(tblStock[[#This Row],[SKU]]="","",-SUMIFS(tblMovimientos[CantidadNeta],tblMovimientos[SKU],tblStock[[#This Row],[SKU]],tblMovimientos[FactorStock],-1))</f>
        <v/>
      </c>
      <c r="J412" s="56" t="str">
        <f>IF(tblStock[[#This Row],[SKU]]="","",SUMIFS(tblMovimientos[CantidadNeta],tblMovimientos[SKU],tblStock[[#This Row],[SKU]]))</f>
        <v/>
      </c>
      <c r="K412" s="55" t="str">
        <f>IF($B412="","",N('05_PRODUCTOS'!$F412))</f>
        <v/>
      </c>
      <c r="L412" s="55" t="str">
        <f>IF($B412="","",N('05_PRODUCTOS'!$G412))</f>
        <v/>
      </c>
      <c r="M412" s="57" t="str">
        <f>IF(OR(tblStock[[#This Row],[SKU]]="",N(tblStock[[#This Row],[StockMax]])=0),"",MAX(0,tblStock[[#This Row],[StockActual]])/tblStock[[#This Row],[StockMax]])</f>
        <v/>
      </c>
      <c r="N41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2" s="59" t="str">
        <f>IF($B412="","",N('05_PRODUCTOS'!$H412))</f>
        <v/>
      </c>
      <c r="P412" s="59" t="str">
        <f>IF(tblStock[[#This Row],[SKU]]="","",MAX(0,tblStock[[#This Row],[StockActual]])*tblStock[[#This Row],[CostoUnitario]])</f>
        <v/>
      </c>
      <c r="Q412" s="60" t="str">
        <f>IF(tblStock[[#This Row],[SKU]]="","",IFERROR(_xlfn.AGGREGATE(14,6,tblMovimientos[Fecha]/(tblMovimientos[SKU]=tblStock[[#This Row],[SKU]]),1),""))</f>
        <v/>
      </c>
      <c r="R412" s="61" t="str">
        <f ca="1">IF(OR(tblStock[[#This Row],[SKU]]="",tblStock[[#This Row],[UltimoMov]]=""),"",TODAY()-tblStock[[#This Row],[UltimoMov]])</f>
        <v/>
      </c>
    </row>
    <row r="413" spans="2:18" x14ac:dyDescent="0.25">
      <c r="B413" s="53" t="str">
        <f>IF('05_PRODUCTOS'!$B413="","",'05_PRODUCTOS'!$B413)</f>
        <v/>
      </c>
      <c r="C413" s="54" t="str">
        <f>IF($B413="","",'05_PRODUCTOS'!$C413)</f>
        <v/>
      </c>
      <c r="D413" s="54" t="str">
        <f>IF($B413="","",'05_PRODUCTOS'!$D413)</f>
        <v/>
      </c>
      <c r="E413" s="54" t="str">
        <f>IF($B413="","",'05_PRODUCTOS'!$I413&amp;"")</f>
        <v/>
      </c>
      <c r="F413" s="53" t="str">
        <f>IF($B413="","",'05_PRODUCTOS'!$E413)</f>
        <v/>
      </c>
      <c r="G413" s="53" t="str">
        <f>IF($B413="","",IF('05_PRODUCTOS'!$K413="NO","NO","SI"))</f>
        <v/>
      </c>
      <c r="H413" s="55" t="str">
        <f>IF(tblStock[[#This Row],[SKU]]="","",SUMIFS(tblMovimientos[CantidadNeta],tblMovimientos[SKU],tblStock[[#This Row],[SKU]],tblMovimientos[FactorStock],1))</f>
        <v/>
      </c>
      <c r="I413" s="55" t="str">
        <f>IF(tblStock[[#This Row],[SKU]]="","",-SUMIFS(tblMovimientos[CantidadNeta],tblMovimientos[SKU],tblStock[[#This Row],[SKU]],tblMovimientos[FactorStock],-1))</f>
        <v/>
      </c>
      <c r="J413" s="56" t="str">
        <f>IF(tblStock[[#This Row],[SKU]]="","",SUMIFS(tblMovimientos[CantidadNeta],tblMovimientos[SKU],tblStock[[#This Row],[SKU]]))</f>
        <v/>
      </c>
      <c r="K413" s="55" t="str">
        <f>IF($B413="","",N('05_PRODUCTOS'!$F413))</f>
        <v/>
      </c>
      <c r="L413" s="55" t="str">
        <f>IF($B413="","",N('05_PRODUCTOS'!$G413))</f>
        <v/>
      </c>
      <c r="M413" s="57" t="str">
        <f>IF(OR(tblStock[[#This Row],[SKU]]="",N(tblStock[[#This Row],[StockMax]])=0),"",MAX(0,tblStock[[#This Row],[StockActual]])/tblStock[[#This Row],[StockMax]])</f>
        <v/>
      </c>
      <c r="N41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3" s="59" t="str">
        <f>IF($B413="","",N('05_PRODUCTOS'!$H413))</f>
        <v/>
      </c>
      <c r="P413" s="59" t="str">
        <f>IF(tblStock[[#This Row],[SKU]]="","",MAX(0,tblStock[[#This Row],[StockActual]])*tblStock[[#This Row],[CostoUnitario]])</f>
        <v/>
      </c>
      <c r="Q413" s="60" t="str">
        <f>IF(tblStock[[#This Row],[SKU]]="","",IFERROR(_xlfn.AGGREGATE(14,6,tblMovimientos[Fecha]/(tblMovimientos[SKU]=tblStock[[#This Row],[SKU]]),1),""))</f>
        <v/>
      </c>
      <c r="R413" s="61" t="str">
        <f ca="1">IF(OR(tblStock[[#This Row],[SKU]]="",tblStock[[#This Row],[UltimoMov]]=""),"",TODAY()-tblStock[[#This Row],[UltimoMov]])</f>
        <v/>
      </c>
    </row>
    <row r="414" spans="2:18" x14ac:dyDescent="0.25">
      <c r="B414" s="53" t="str">
        <f>IF('05_PRODUCTOS'!$B414="","",'05_PRODUCTOS'!$B414)</f>
        <v/>
      </c>
      <c r="C414" s="54" t="str">
        <f>IF($B414="","",'05_PRODUCTOS'!$C414)</f>
        <v/>
      </c>
      <c r="D414" s="54" t="str">
        <f>IF($B414="","",'05_PRODUCTOS'!$D414)</f>
        <v/>
      </c>
      <c r="E414" s="54" t="str">
        <f>IF($B414="","",'05_PRODUCTOS'!$I414&amp;"")</f>
        <v/>
      </c>
      <c r="F414" s="53" t="str">
        <f>IF($B414="","",'05_PRODUCTOS'!$E414)</f>
        <v/>
      </c>
      <c r="G414" s="53" t="str">
        <f>IF($B414="","",IF('05_PRODUCTOS'!$K414="NO","NO","SI"))</f>
        <v/>
      </c>
      <c r="H414" s="55" t="str">
        <f>IF(tblStock[[#This Row],[SKU]]="","",SUMIFS(tblMovimientos[CantidadNeta],tblMovimientos[SKU],tblStock[[#This Row],[SKU]],tblMovimientos[FactorStock],1))</f>
        <v/>
      </c>
      <c r="I414" s="55" t="str">
        <f>IF(tblStock[[#This Row],[SKU]]="","",-SUMIFS(tblMovimientos[CantidadNeta],tblMovimientos[SKU],tblStock[[#This Row],[SKU]],tblMovimientos[FactorStock],-1))</f>
        <v/>
      </c>
      <c r="J414" s="56" t="str">
        <f>IF(tblStock[[#This Row],[SKU]]="","",SUMIFS(tblMovimientos[CantidadNeta],tblMovimientos[SKU],tblStock[[#This Row],[SKU]]))</f>
        <v/>
      </c>
      <c r="K414" s="55" t="str">
        <f>IF($B414="","",N('05_PRODUCTOS'!$F414))</f>
        <v/>
      </c>
      <c r="L414" s="55" t="str">
        <f>IF($B414="","",N('05_PRODUCTOS'!$G414))</f>
        <v/>
      </c>
      <c r="M414" s="57" t="str">
        <f>IF(OR(tblStock[[#This Row],[SKU]]="",N(tblStock[[#This Row],[StockMax]])=0),"",MAX(0,tblStock[[#This Row],[StockActual]])/tblStock[[#This Row],[StockMax]])</f>
        <v/>
      </c>
      <c r="N41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4" s="59" t="str">
        <f>IF($B414="","",N('05_PRODUCTOS'!$H414))</f>
        <v/>
      </c>
      <c r="P414" s="59" t="str">
        <f>IF(tblStock[[#This Row],[SKU]]="","",MAX(0,tblStock[[#This Row],[StockActual]])*tblStock[[#This Row],[CostoUnitario]])</f>
        <v/>
      </c>
      <c r="Q414" s="60" t="str">
        <f>IF(tblStock[[#This Row],[SKU]]="","",IFERROR(_xlfn.AGGREGATE(14,6,tblMovimientos[Fecha]/(tblMovimientos[SKU]=tblStock[[#This Row],[SKU]]),1),""))</f>
        <v/>
      </c>
      <c r="R414" s="61" t="str">
        <f ca="1">IF(OR(tblStock[[#This Row],[SKU]]="",tblStock[[#This Row],[UltimoMov]]=""),"",TODAY()-tblStock[[#This Row],[UltimoMov]])</f>
        <v/>
      </c>
    </row>
    <row r="415" spans="2:18" x14ac:dyDescent="0.25">
      <c r="B415" s="53" t="str">
        <f>IF('05_PRODUCTOS'!$B415="","",'05_PRODUCTOS'!$B415)</f>
        <v/>
      </c>
      <c r="C415" s="54" t="str">
        <f>IF($B415="","",'05_PRODUCTOS'!$C415)</f>
        <v/>
      </c>
      <c r="D415" s="54" t="str">
        <f>IF($B415="","",'05_PRODUCTOS'!$D415)</f>
        <v/>
      </c>
      <c r="E415" s="54" t="str">
        <f>IF($B415="","",'05_PRODUCTOS'!$I415&amp;"")</f>
        <v/>
      </c>
      <c r="F415" s="53" t="str">
        <f>IF($B415="","",'05_PRODUCTOS'!$E415)</f>
        <v/>
      </c>
      <c r="G415" s="53" t="str">
        <f>IF($B415="","",IF('05_PRODUCTOS'!$K415="NO","NO","SI"))</f>
        <v/>
      </c>
      <c r="H415" s="55" t="str">
        <f>IF(tblStock[[#This Row],[SKU]]="","",SUMIFS(tblMovimientos[CantidadNeta],tblMovimientos[SKU],tblStock[[#This Row],[SKU]],tblMovimientos[FactorStock],1))</f>
        <v/>
      </c>
      <c r="I415" s="55" t="str">
        <f>IF(tblStock[[#This Row],[SKU]]="","",-SUMIFS(tblMovimientos[CantidadNeta],tblMovimientos[SKU],tblStock[[#This Row],[SKU]],tblMovimientos[FactorStock],-1))</f>
        <v/>
      </c>
      <c r="J415" s="56" t="str">
        <f>IF(tblStock[[#This Row],[SKU]]="","",SUMIFS(tblMovimientos[CantidadNeta],tblMovimientos[SKU],tblStock[[#This Row],[SKU]]))</f>
        <v/>
      </c>
      <c r="K415" s="55" t="str">
        <f>IF($B415="","",N('05_PRODUCTOS'!$F415))</f>
        <v/>
      </c>
      <c r="L415" s="55" t="str">
        <f>IF($B415="","",N('05_PRODUCTOS'!$G415))</f>
        <v/>
      </c>
      <c r="M415" s="57" t="str">
        <f>IF(OR(tblStock[[#This Row],[SKU]]="",N(tblStock[[#This Row],[StockMax]])=0),"",MAX(0,tblStock[[#This Row],[StockActual]])/tblStock[[#This Row],[StockMax]])</f>
        <v/>
      </c>
      <c r="N41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5" s="59" t="str">
        <f>IF($B415="","",N('05_PRODUCTOS'!$H415))</f>
        <v/>
      </c>
      <c r="P415" s="59" t="str">
        <f>IF(tblStock[[#This Row],[SKU]]="","",MAX(0,tblStock[[#This Row],[StockActual]])*tblStock[[#This Row],[CostoUnitario]])</f>
        <v/>
      </c>
      <c r="Q415" s="60" t="str">
        <f>IF(tblStock[[#This Row],[SKU]]="","",IFERROR(_xlfn.AGGREGATE(14,6,tblMovimientos[Fecha]/(tblMovimientos[SKU]=tblStock[[#This Row],[SKU]]),1),""))</f>
        <v/>
      </c>
      <c r="R415" s="61" t="str">
        <f ca="1">IF(OR(tblStock[[#This Row],[SKU]]="",tblStock[[#This Row],[UltimoMov]]=""),"",TODAY()-tblStock[[#This Row],[UltimoMov]])</f>
        <v/>
      </c>
    </row>
    <row r="416" spans="2:18" x14ac:dyDescent="0.25">
      <c r="B416" s="53" t="str">
        <f>IF('05_PRODUCTOS'!$B416="","",'05_PRODUCTOS'!$B416)</f>
        <v/>
      </c>
      <c r="C416" s="54" t="str">
        <f>IF($B416="","",'05_PRODUCTOS'!$C416)</f>
        <v/>
      </c>
      <c r="D416" s="54" t="str">
        <f>IF($B416="","",'05_PRODUCTOS'!$D416)</f>
        <v/>
      </c>
      <c r="E416" s="54" t="str">
        <f>IF($B416="","",'05_PRODUCTOS'!$I416&amp;"")</f>
        <v/>
      </c>
      <c r="F416" s="53" t="str">
        <f>IF($B416="","",'05_PRODUCTOS'!$E416)</f>
        <v/>
      </c>
      <c r="G416" s="53" t="str">
        <f>IF($B416="","",IF('05_PRODUCTOS'!$K416="NO","NO","SI"))</f>
        <v/>
      </c>
      <c r="H416" s="55" t="str">
        <f>IF(tblStock[[#This Row],[SKU]]="","",SUMIFS(tblMovimientos[CantidadNeta],tblMovimientos[SKU],tblStock[[#This Row],[SKU]],tblMovimientos[FactorStock],1))</f>
        <v/>
      </c>
      <c r="I416" s="55" t="str">
        <f>IF(tblStock[[#This Row],[SKU]]="","",-SUMIFS(tblMovimientos[CantidadNeta],tblMovimientos[SKU],tblStock[[#This Row],[SKU]],tblMovimientos[FactorStock],-1))</f>
        <v/>
      </c>
      <c r="J416" s="56" t="str">
        <f>IF(tblStock[[#This Row],[SKU]]="","",SUMIFS(tblMovimientos[CantidadNeta],tblMovimientos[SKU],tblStock[[#This Row],[SKU]]))</f>
        <v/>
      </c>
      <c r="K416" s="55" t="str">
        <f>IF($B416="","",N('05_PRODUCTOS'!$F416))</f>
        <v/>
      </c>
      <c r="L416" s="55" t="str">
        <f>IF($B416="","",N('05_PRODUCTOS'!$G416))</f>
        <v/>
      </c>
      <c r="M416" s="57" t="str">
        <f>IF(OR(tblStock[[#This Row],[SKU]]="",N(tblStock[[#This Row],[StockMax]])=0),"",MAX(0,tblStock[[#This Row],[StockActual]])/tblStock[[#This Row],[StockMax]])</f>
        <v/>
      </c>
      <c r="N41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6" s="59" t="str">
        <f>IF($B416="","",N('05_PRODUCTOS'!$H416))</f>
        <v/>
      </c>
      <c r="P416" s="59" t="str">
        <f>IF(tblStock[[#This Row],[SKU]]="","",MAX(0,tblStock[[#This Row],[StockActual]])*tblStock[[#This Row],[CostoUnitario]])</f>
        <v/>
      </c>
      <c r="Q416" s="60" t="str">
        <f>IF(tblStock[[#This Row],[SKU]]="","",IFERROR(_xlfn.AGGREGATE(14,6,tblMovimientos[Fecha]/(tblMovimientos[SKU]=tblStock[[#This Row],[SKU]]),1),""))</f>
        <v/>
      </c>
      <c r="R416" s="61" t="str">
        <f ca="1">IF(OR(tblStock[[#This Row],[SKU]]="",tblStock[[#This Row],[UltimoMov]]=""),"",TODAY()-tblStock[[#This Row],[UltimoMov]])</f>
        <v/>
      </c>
    </row>
    <row r="417" spans="2:18" x14ac:dyDescent="0.25">
      <c r="B417" s="53" t="str">
        <f>IF('05_PRODUCTOS'!$B417="","",'05_PRODUCTOS'!$B417)</f>
        <v/>
      </c>
      <c r="C417" s="54" t="str">
        <f>IF($B417="","",'05_PRODUCTOS'!$C417)</f>
        <v/>
      </c>
      <c r="D417" s="54" t="str">
        <f>IF($B417="","",'05_PRODUCTOS'!$D417)</f>
        <v/>
      </c>
      <c r="E417" s="54" t="str">
        <f>IF($B417="","",'05_PRODUCTOS'!$I417&amp;"")</f>
        <v/>
      </c>
      <c r="F417" s="53" t="str">
        <f>IF($B417="","",'05_PRODUCTOS'!$E417)</f>
        <v/>
      </c>
      <c r="G417" s="53" t="str">
        <f>IF($B417="","",IF('05_PRODUCTOS'!$K417="NO","NO","SI"))</f>
        <v/>
      </c>
      <c r="H417" s="55" t="str">
        <f>IF(tblStock[[#This Row],[SKU]]="","",SUMIFS(tblMovimientos[CantidadNeta],tblMovimientos[SKU],tblStock[[#This Row],[SKU]],tblMovimientos[FactorStock],1))</f>
        <v/>
      </c>
      <c r="I417" s="55" t="str">
        <f>IF(tblStock[[#This Row],[SKU]]="","",-SUMIFS(tblMovimientos[CantidadNeta],tblMovimientos[SKU],tblStock[[#This Row],[SKU]],tblMovimientos[FactorStock],-1))</f>
        <v/>
      </c>
      <c r="J417" s="56" t="str">
        <f>IF(tblStock[[#This Row],[SKU]]="","",SUMIFS(tblMovimientos[CantidadNeta],tblMovimientos[SKU],tblStock[[#This Row],[SKU]]))</f>
        <v/>
      </c>
      <c r="K417" s="55" t="str">
        <f>IF($B417="","",N('05_PRODUCTOS'!$F417))</f>
        <v/>
      </c>
      <c r="L417" s="55" t="str">
        <f>IF($B417="","",N('05_PRODUCTOS'!$G417))</f>
        <v/>
      </c>
      <c r="M417" s="57" t="str">
        <f>IF(OR(tblStock[[#This Row],[SKU]]="",N(tblStock[[#This Row],[StockMax]])=0),"",MAX(0,tblStock[[#This Row],[StockActual]])/tblStock[[#This Row],[StockMax]])</f>
        <v/>
      </c>
      <c r="N41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7" s="59" t="str">
        <f>IF($B417="","",N('05_PRODUCTOS'!$H417))</f>
        <v/>
      </c>
      <c r="P417" s="59" t="str">
        <f>IF(tblStock[[#This Row],[SKU]]="","",MAX(0,tblStock[[#This Row],[StockActual]])*tblStock[[#This Row],[CostoUnitario]])</f>
        <v/>
      </c>
      <c r="Q417" s="60" t="str">
        <f>IF(tblStock[[#This Row],[SKU]]="","",IFERROR(_xlfn.AGGREGATE(14,6,tblMovimientos[Fecha]/(tblMovimientos[SKU]=tblStock[[#This Row],[SKU]]),1),""))</f>
        <v/>
      </c>
      <c r="R417" s="61" t="str">
        <f ca="1">IF(OR(tblStock[[#This Row],[SKU]]="",tblStock[[#This Row],[UltimoMov]]=""),"",TODAY()-tblStock[[#This Row],[UltimoMov]])</f>
        <v/>
      </c>
    </row>
    <row r="418" spans="2:18" x14ac:dyDescent="0.25">
      <c r="B418" s="53" t="str">
        <f>IF('05_PRODUCTOS'!$B418="","",'05_PRODUCTOS'!$B418)</f>
        <v/>
      </c>
      <c r="C418" s="54" t="str">
        <f>IF($B418="","",'05_PRODUCTOS'!$C418)</f>
        <v/>
      </c>
      <c r="D418" s="54" t="str">
        <f>IF($B418="","",'05_PRODUCTOS'!$D418)</f>
        <v/>
      </c>
      <c r="E418" s="54" t="str">
        <f>IF($B418="","",'05_PRODUCTOS'!$I418&amp;"")</f>
        <v/>
      </c>
      <c r="F418" s="53" t="str">
        <f>IF($B418="","",'05_PRODUCTOS'!$E418)</f>
        <v/>
      </c>
      <c r="G418" s="53" t="str">
        <f>IF($B418="","",IF('05_PRODUCTOS'!$K418="NO","NO","SI"))</f>
        <v/>
      </c>
      <c r="H418" s="55" t="str">
        <f>IF(tblStock[[#This Row],[SKU]]="","",SUMIFS(tblMovimientos[CantidadNeta],tblMovimientos[SKU],tblStock[[#This Row],[SKU]],tblMovimientos[FactorStock],1))</f>
        <v/>
      </c>
      <c r="I418" s="55" t="str">
        <f>IF(tblStock[[#This Row],[SKU]]="","",-SUMIFS(tblMovimientos[CantidadNeta],tblMovimientos[SKU],tblStock[[#This Row],[SKU]],tblMovimientos[FactorStock],-1))</f>
        <v/>
      </c>
      <c r="J418" s="56" t="str">
        <f>IF(tblStock[[#This Row],[SKU]]="","",SUMIFS(tblMovimientos[CantidadNeta],tblMovimientos[SKU],tblStock[[#This Row],[SKU]]))</f>
        <v/>
      </c>
      <c r="K418" s="55" t="str">
        <f>IF($B418="","",N('05_PRODUCTOS'!$F418))</f>
        <v/>
      </c>
      <c r="L418" s="55" t="str">
        <f>IF($B418="","",N('05_PRODUCTOS'!$G418))</f>
        <v/>
      </c>
      <c r="M418" s="57" t="str">
        <f>IF(OR(tblStock[[#This Row],[SKU]]="",N(tblStock[[#This Row],[StockMax]])=0),"",MAX(0,tblStock[[#This Row],[StockActual]])/tblStock[[#This Row],[StockMax]])</f>
        <v/>
      </c>
      <c r="N41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8" s="59" t="str">
        <f>IF($B418="","",N('05_PRODUCTOS'!$H418))</f>
        <v/>
      </c>
      <c r="P418" s="59" t="str">
        <f>IF(tblStock[[#This Row],[SKU]]="","",MAX(0,tblStock[[#This Row],[StockActual]])*tblStock[[#This Row],[CostoUnitario]])</f>
        <v/>
      </c>
      <c r="Q418" s="60" t="str">
        <f>IF(tblStock[[#This Row],[SKU]]="","",IFERROR(_xlfn.AGGREGATE(14,6,tblMovimientos[Fecha]/(tblMovimientos[SKU]=tblStock[[#This Row],[SKU]]),1),""))</f>
        <v/>
      </c>
      <c r="R418" s="61" t="str">
        <f ca="1">IF(OR(tblStock[[#This Row],[SKU]]="",tblStock[[#This Row],[UltimoMov]]=""),"",TODAY()-tblStock[[#This Row],[UltimoMov]])</f>
        <v/>
      </c>
    </row>
    <row r="419" spans="2:18" x14ac:dyDescent="0.25">
      <c r="B419" s="53" t="str">
        <f>IF('05_PRODUCTOS'!$B419="","",'05_PRODUCTOS'!$B419)</f>
        <v/>
      </c>
      <c r="C419" s="54" t="str">
        <f>IF($B419="","",'05_PRODUCTOS'!$C419)</f>
        <v/>
      </c>
      <c r="D419" s="54" t="str">
        <f>IF($B419="","",'05_PRODUCTOS'!$D419)</f>
        <v/>
      </c>
      <c r="E419" s="54" t="str">
        <f>IF($B419="","",'05_PRODUCTOS'!$I419&amp;"")</f>
        <v/>
      </c>
      <c r="F419" s="53" t="str">
        <f>IF($B419="","",'05_PRODUCTOS'!$E419)</f>
        <v/>
      </c>
      <c r="G419" s="53" t="str">
        <f>IF($B419="","",IF('05_PRODUCTOS'!$K419="NO","NO","SI"))</f>
        <v/>
      </c>
      <c r="H419" s="55" t="str">
        <f>IF(tblStock[[#This Row],[SKU]]="","",SUMIFS(tblMovimientos[CantidadNeta],tblMovimientos[SKU],tblStock[[#This Row],[SKU]],tblMovimientos[FactorStock],1))</f>
        <v/>
      </c>
      <c r="I419" s="55" t="str">
        <f>IF(tblStock[[#This Row],[SKU]]="","",-SUMIFS(tblMovimientos[CantidadNeta],tblMovimientos[SKU],tblStock[[#This Row],[SKU]],tblMovimientos[FactorStock],-1))</f>
        <v/>
      </c>
      <c r="J419" s="56" t="str">
        <f>IF(tblStock[[#This Row],[SKU]]="","",SUMIFS(tblMovimientos[CantidadNeta],tblMovimientos[SKU],tblStock[[#This Row],[SKU]]))</f>
        <v/>
      </c>
      <c r="K419" s="55" t="str">
        <f>IF($B419="","",N('05_PRODUCTOS'!$F419))</f>
        <v/>
      </c>
      <c r="L419" s="55" t="str">
        <f>IF($B419="","",N('05_PRODUCTOS'!$G419))</f>
        <v/>
      </c>
      <c r="M419" s="57" t="str">
        <f>IF(OR(tblStock[[#This Row],[SKU]]="",N(tblStock[[#This Row],[StockMax]])=0),"",MAX(0,tblStock[[#This Row],[StockActual]])/tblStock[[#This Row],[StockMax]])</f>
        <v/>
      </c>
      <c r="N41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19" s="59" t="str">
        <f>IF($B419="","",N('05_PRODUCTOS'!$H419))</f>
        <v/>
      </c>
      <c r="P419" s="59" t="str">
        <f>IF(tblStock[[#This Row],[SKU]]="","",MAX(0,tblStock[[#This Row],[StockActual]])*tblStock[[#This Row],[CostoUnitario]])</f>
        <v/>
      </c>
      <c r="Q419" s="60" t="str">
        <f>IF(tblStock[[#This Row],[SKU]]="","",IFERROR(_xlfn.AGGREGATE(14,6,tblMovimientos[Fecha]/(tblMovimientos[SKU]=tblStock[[#This Row],[SKU]]),1),""))</f>
        <v/>
      </c>
      <c r="R419" s="61" t="str">
        <f ca="1">IF(OR(tblStock[[#This Row],[SKU]]="",tblStock[[#This Row],[UltimoMov]]=""),"",TODAY()-tblStock[[#This Row],[UltimoMov]])</f>
        <v/>
      </c>
    </row>
    <row r="420" spans="2:18" x14ac:dyDescent="0.25">
      <c r="B420" s="53" t="str">
        <f>IF('05_PRODUCTOS'!$B420="","",'05_PRODUCTOS'!$B420)</f>
        <v/>
      </c>
      <c r="C420" s="54" t="str">
        <f>IF($B420="","",'05_PRODUCTOS'!$C420)</f>
        <v/>
      </c>
      <c r="D420" s="54" t="str">
        <f>IF($B420="","",'05_PRODUCTOS'!$D420)</f>
        <v/>
      </c>
      <c r="E420" s="54" t="str">
        <f>IF($B420="","",'05_PRODUCTOS'!$I420&amp;"")</f>
        <v/>
      </c>
      <c r="F420" s="53" t="str">
        <f>IF($B420="","",'05_PRODUCTOS'!$E420)</f>
        <v/>
      </c>
      <c r="G420" s="53" t="str">
        <f>IF($B420="","",IF('05_PRODUCTOS'!$K420="NO","NO","SI"))</f>
        <v/>
      </c>
      <c r="H420" s="55" t="str">
        <f>IF(tblStock[[#This Row],[SKU]]="","",SUMIFS(tblMovimientos[CantidadNeta],tblMovimientos[SKU],tblStock[[#This Row],[SKU]],tblMovimientos[FactorStock],1))</f>
        <v/>
      </c>
      <c r="I420" s="55" t="str">
        <f>IF(tblStock[[#This Row],[SKU]]="","",-SUMIFS(tblMovimientos[CantidadNeta],tblMovimientos[SKU],tblStock[[#This Row],[SKU]],tblMovimientos[FactorStock],-1))</f>
        <v/>
      </c>
      <c r="J420" s="56" t="str">
        <f>IF(tblStock[[#This Row],[SKU]]="","",SUMIFS(tblMovimientos[CantidadNeta],tblMovimientos[SKU],tblStock[[#This Row],[SKU]]))</f>
        <v/>
      </c>
      <c r="K420" s="55" t="str">
        <f>IF($B420="","",N('05_PRODUCTOS'!$F420))</f>
        <v/>
      </c>
      <c r="L420" s="55" t="str">
        <f>IF($B420="","",N('05_PRODUCTOS'!$G420))</f>
        <v/>
      </c>
      <c r="M420" s="57" t="str">
        <f>IF(OR(tblStock[[#This Row],[SKU]]="",N(tblStock[[#This Row],[StockMax]])=0),"",MAX(0,tblStock[[#This Row],[StockActual]])/tblStock[[#This Row],[StockMax]])</f>
        <v/>
      </c>
      <c r="N42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0" s="59" t="str">
        <f>IF($B420="","",N('05_PRODUCTOS'!$H420))</f>
        <v/>
      </c>
      <c r="P420" s="59" t="str">
        <f>IF(tblStock[[#This Row],[SKU]]="","",MAX(0,tblStock[[#This Row],[StockActual]])*tblStock[[#This Row],[CostoUnitario]])</f>
        <v/>
      </c>
      <c r="Q420" s="60" t="str">
        <f>IF(tblStock[[#This Row],[SKU]]="","",IFERROR(_xlfn.AGGREGATE(14,6,tblMovimientos[Fecha]/(tblMovimientos[SKU]=tblStock[[#This Row],[SKU]]),1),""))</f>
        <v/>
      </c>
      <c r="R420" s="61" t="str">
        <f ca="1">IF(OR(tblStock[[#This Row],[SKU]]="",tblStock[[#This Row],[UltimoMov]]=""),"",TODAY()-tblStock[[#This Row],[UltimoMov]])</f>
        <v/>
      </c>
    </row>
    <row r="421" spans="2:18" x14ac:dyDescent="0.25">
      <c r="B421" s="53" t="str">
        <f>IF('05_PRODUCTOS'!$B421="","",'05_PRODUCTOS'!$B421)</f>
        <v/>
      </c>
      <c r="C421" s="54" t="str">
        <f>IF($B421="","",'05_PRODUCTOS'!$C421)</f>
        <v/>
      </c>
      <c r="D421" s="54" t="str">
        <f>IF($B421="","",'05_PRODUCTOS'!$D421)</f>
        <v/>
      </c>
      <c r="E421" s="54" t="str">
        <f>IF($B421="","",'05_PRODUCTOS'!$I421&amp;"")</f>
        <v/>
      </c>
      <c r="F421" s="53" t="str">
        <f>IF($B421="","",'05_PRODUCTOS'!$E421)</f>
        <v/>
      </c>
      <c r="G421" s="53" t="str">
        <f>IF($B421="","",IF('05_PRODUCTOS'!$K421="NO","NO","SI"))</f>
        <v/>
      </c>
      <c r="H421" s="55" t="str">
        <f>IF(tblStock[[#This Row],[SKU]]="","",SUMIFS(tblMovimientos[CantidadNeta],tblMovimientos[SKU],tblStock[[#This Row],[SKU]],tblMovimientos[FactorStock],1))</f>
        <v/>
      </c>
      <c r="I421" s="55" t="str">
        <f>IF(tblStock[[#This Row],[SKU]]="","",-SUMIFS(tblMovimientos[CantidadNeta],tblMovimientos[SKU],tblStock[[#This Row],[SKU]],tblMovimientos[FactorStock],-1))</f>
        <v/>
      </c>
      <c r="J421" s="56" t="str">
        <f>IF(tblStock[[#This Row],[SKU]]="","",SUMIFS(tblMovimientos[CantidadNeta],tblMovimientos[SKU],tblStock[[#This Row],[SKU]]))</f>
        <v/>
      </c>
      <c r="K421" s="55" t="str">
        <f>IF($B421="","",N('05_PRODUCTOS'!$F421))</f>
        <v/>
      </c>
      <c r="L421" s="55" t="str">
        <f>IF($B421="","",N('05_PRODUCTOS'!$G421))</f>
        <v/>
      </c>
      <c r="M421" s="57" t="str">
        <f>IF(OR(tblStock[[#This Row],[SKU]]="",N(tblStock[[#This Row],[StockMax]])=0),"",MAX(0,tblStock[[#This Row],[StockActual]])/tblStock[[#This Row],[StockMax]])</f>
        <v/>
      </c>
      <c r="N42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1" s="59" t="str">
        <f>IF($B421="","",N('05_PRODUCTOS'!$H421))</f>
        <v/>
      </c>
      <c r="P421" s="59" t="str">
        <f>IF(tblStock[[#This Row],[SKU]]="","",MAX(0,tblStock[[#This Row],[StockActual]])*tblStock[[#This Row],[CostoUnitario]])</f>
        <v/>
      </c>
      <c r="Q421" s="60" t="str">
        <f>IF(tblStock[[#This Row],[SKU]]="","",IFERROR(_xlfn.AGGREGATE(14,6,tblMovimientos[Fecha]/(tblMovimientos[SKU]=tblStock[[#This Row],[SKU]]),1),""))</f>
        <v/>
      </c>
      <c r="R421" s="61" t="str">
        <f ca="1">IF(OR(tblStock[[#This Row],[SKU]]="",tblStock[[#This Row],[UltimoMov]]=""),"",TODAY()-tblStock[[#This Row],[UltimoMov]])</f>
        <v/>
      </c>
    </row>
    <row r="422" spans="2:18" x14ac:dyDescent="0.25">
      <c r="B422" s="53" t="str">
        <f>IF('05_PRODUCTOS'!$B422="","",'05_PRODUCTOS'!$B422)</f>
        <v/>
      </c>
      <c r="C422" s="54" t="str">
        <f>IF($B422="","",'05_PRODUCTOS'!$C422)</f>
        <v/>
      </c>
      <c r="D422" s="54" t="str">
        <f>IF($B422="","",'05_PRODUCTOS'!$D422)</f>
        <v/>
      </c>
      <c r="E422" s="54" t="str">
        <f>IF($B422="","",'05_PRODUCTOS'!$I422&amp;"")</f>
        <v/>
      </c>
      <c r="F422" s="53" t="str">
        <f>IF($B422="","",'05_PRODUCTOS'!$E422)</f>
        <v/>
      </c>
      <c r="G422" s="53" t="str">
        <f>IF($B422="","",IF('05_PRODUCTOS'!$K422="NO","NO","SI"))</f>
        <v/>
      </c>
      <c r="H422" s="55" t="str">
        <f>IF(tblStock[[#This Row],[SKU]]="","",SUMIFS(tblMovimientos[CantidadNeta],tblMovimientos[SKU],tblStock[[#This Row],[SKU]],tblMovimientos[FactorStock],1))</f>
        <v/>
      </c>
      <c r="I422" s="55" t="str">
        <f>IF(tblStock[[#This Row],[SKU]]="","",-SUMIFS(tblMovimientos[CantidadNeta],tblMovimientos[SKU],tblStock[[#This Row],[SKU]],tblMovimientos[FactorStock],-1))</f>
        <v/>
      </c>
      <c r="J422" s="56" t="str">
        <f>IF(tblStock[[#This Row],[SKU]]="","",SUMIFS(tblMovimientos[CantidadNeta],tblMovimientos[SKU],tblStock[[#This Row],[SKU]]))</f>
        <v/>
      </c>
      <c r="K422" s="55" t="str">
        <f>IF($B422="","",N('05_PRODUCTOS'!$F422))</f>
        <v/>
      </c>
      <c r="L422" s="55" t="str">
        <f>IF($B422="","",N('05_PRODUCTOS'!$G422))</f>
        <v/>
      </c>
      <c r="M422" s="57" t="str">
        <f>IF(OR(tblStock[[#This Row],[SKU]]="",N(tblStock[[#This Row],[StockMax]])=0),"",MAX(0,tblStock[[#This Row],[StockActual]])/tblStock[[#This Row],[StockMax]])</f>
        <v/>
      </c>
      <c r="N42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2" s="59" t="str">
        <f>IF($B422="","",N('05_PRODUCTOS'!$H422))</f>
        <v/>
      </c>
      <c r="P422" s="59" t="str">
        <f>IF(tblStock[[#This Row],[SKU]]="","",MAX(0,tblStock[[#This Row],[StockActual]])*tblStock[[#This Row],[CostoUnitario]])</f>
        <v/>
      </c>
      <c r="Q422" s="60" t="str">
        <f>IF(tblStock[[#This Row],[SKU]]="","",IFERROR(_xlfn.AGGREGATE(14,6,tblMovimientos[Fecha]/(tblMovimientos[SKU]=tblStock[[#This Row],[SKU]]),1),""))</f>
        <v/>
      </c>
      <c r="R422" s="61" t="str">
        <f ca="1">IF(OR(tblStock[[#This Row],[SKU]]="",tblStock[[#This Row],[UltimoMov]]=""),"",TODAY()-tblStock[[#This Row],[UltimoMov]])</f>
        <v/>
      </c>
    </row>
    <row r="423" spans="2:18" x14ac:dyDescent="0.25">
      <c r="B423" s="53" t="str">
        <f>IF('05_PRODUCTOS'!$B423="","",'05_PRODUCTOS'!$B423)</f>
        <v/>
      </c>
      <c r="C423" s="54" t="str">
        <f>IF($B423="","",'05_PRODUCTOS'!$C423)</f>
        <v/>
      </c>
      <c r="D423" s="54" t="str">
        <f>IF($B423="","",'05_PRODUCTOS'!$D423)</f>
        <v/>
      </c>
      <c r="E423" s="54" t="str">
        <f>IF($B423="","",'05_PRODUCTOS'!$I423&amp;"")</f>
        <v/>
      </c>
      <c r="F423" s="53" t="str">
        <f>IF($B423="","",'05_PRODUCTOS'!$E423)</f>
        <v/>
      </c>
      <c r="G423" s="53" t="str">
        <f>IF($B423="","",IF('05_PRODUCTOS'!$K423="NO","NO","SI"))</f>
        <v/>
      </c>
      <c r="H423" s="55" t="str">
        <f>IF(tblStock[[#This Row],[SKU]]="","",SUMIFS(tblMovimientos[CantidadNeta],tblMovimientos[SKU],tblStock[[#This Row],[SKU]],tblMovimientos[FactorStock],1))</f>
        <v/>
      </c>
      <c r="I423" s="55" t="str">
        <f>IF(tblStock[[#This Row],[SKU]]="","",-SUMIFS(tblMovimientos[CantidadNeta],tblMovimientos[SKU],tblStock[[#This Row],[SKU]],tblMovimientos[FactorStock],-1))</f>
        <v/>
      </c>
      <c r="J423" s="56" t="str">
        <f>IF(tblStock[[#This Row],[SKU]]="","",SUMIFS(tblMovimientos[CantidadNeta],tblMovimientos[SKU],tblStock[[#This Row],[SKU]]))</f>
        <v/>
      </c>
      <c r="K423" s="55" t="str">
        <f>IF($B423="","",N('05_PRODUCTOS'!$F423))</f>
        <v/>
      </c>
      <c r="L423" s="55" t="str">
        <f>IF($B423="","",N('05_PRODUCTOS'!$G423))</f>
        <v/>
      </c>
      <c r="M423" s="57" t="str">
        <f>IF(OR(tblStock[[#This Row],[SKU]]="",N(tblStock[[#This Row],[StockMax]])=0),"",MAX(0,tblStock[[#This Row],[StockActual]])/tblStock[[#This Row],[StockMax]])</f>
        <v/>
      </c>
      <c r="N42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3" s="59" t="str">
        <f>IF($B423="","",N('05_PRODUCTOS'!$H423))</f>
        <v/>
      </c>
      <c r="P423" s="59" t="str">
        <f>IF(tblStock[[#This Row],[SKU]]="","",MAX(0,tblStock[[#This Row],[StockActual]])*tblStock[[#This Row],[CostoUnitario]])</f>
        <v/>
      </c>
      <c r="Q423" s="60" t="str">
        <f>IF(tblStock[[#This Row],[SKU]]="","",IFERROR(_xlfn.AGGREGATE(14,6,tblMovimientos[Fecha]/(tblMovimientos[SKU]=tblStock[[#This Row],[SKU]]),1),""))</f>
        <v/>
      </c>
      <c r="R423" s="61" t="str">
        <f ca="1">IF(OR(tblStock[[#This Row],[SKU]]="",tblStock[[#This Row],[UltimoMov]]=""),"",TODAY()-tblStock[[#This Row],[UltimoMov]])</f>
        <v/>
      </c>
    </row>
    <row r="424" spans="2:18" x14ac:dyDescent="0.25">
      <c r="B424" s="53" t="str">
        <f>IF('05_PRODUCTOS'!$B424="","",'05_PRODUCTOS'!$B424)</f>
        <v/>
      </c>
      <c r="C424" s="54" t="str">
        <f>IF($B424="","",'05_PRODUCTOS'!$C424)</f>
        <v/>
      </c>
      <c r="D424" s="54" t="str">
        <f>IF($B424="","",'05_PRODUCTOS'!$D424)</f>
        <v/>
      </c>
      <c r="E424" s="54" t="str">
        <f>IF($B424="","",'05_PRODUCTOS'!$I424&amp;"")</f>
        <v/>
      </c>
      <c r="F424" s="53" t="str">
        <f>IF($B424="","",'05_PRODUCTOS'!$E424)</f>
        <v/>
      </c>
      <c r="G424" s="53" t="str">
        <f>IF($B424="","",IF('05_PRODUCTOS'!$K424="NO","NO","SI"))</f>
        <v/>
      </c>
      <c r="H424" s="55" t="str">
        <f>IF(tblStock[[#This Row],[SKU]]="","",SUMIFS(tblMovimientos[CantidadNeta],tblMovimientos[SKU],tblStock[[#This Row],[SKU]],tblMovimientos[FactorStock],1))</f>
        <v/>
      </c>
      <c r="I424" s="55" t="str">
        <f>IF(tblStock[[#This Row],[SKU]]="","",-SUMIFS(tblMovimientos[CantidadNeta],tblMovimientos[SKU],tblStock[[#This Row],[SKU]],tblMovimientos[FactorStock],-1))</f>
        <v/>
      </c>
      <c r="J424" s="56" t="str">
        <f>IF(tblStock[[#This Row],[SKU]]="","",SUMIFS(tblMovimientos[CantidadNeta],tblMovimientos[SKU],tblStock[[#This Row],[SKU]]))</f>
        <v/>
      </c>
      <c r="K424" s="55" t="str">
        <f>IF($B424="","",N('05_PRODUCTOS'!$F424))</f>
        <v/>
      </c>
      <c r="L424" s="55" t="str">
        <f>IF($B424="","",N('05_PRODUCTOS'!$G424))</f>
        <v/>
      </c>
      <c r="M424" s="57" t="str">
        <f>IF(OR(tblStock[[#This Row],[SKU]]="",N(tblStock[[#This Row],[StockMax]])=0),"",MAX(0,tblStock[[#This Row],[StockActual]])/tblStock[[#This Row],[StockMax]])</f>
        <v/>
      </c>
      <c r="N42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4" s="59" t="str">
        <f>IF($B424="","",N('05_PRODUCTOS'!$H424))</f>
        <v/>
      </c>
      <c r="P424" s="59" t="str">
        <f>IF(tblStock[[#This Row],[SKU]]="","",MAX(0,tblStock[[#This Row],[StockActual]])*tblStock[[#This Row],[CostoUnitario]])</f>
        <v/>
      </c>
      <c r="Q424" s="60" t="str">
        <f>IF(tblStock[[#This Row],[SKU]]="","",IFERROR(_xlfn.AGGREGATE(14,6,tblMovimientos[Fecha]/(tblMovimientos[SKU]=tblStock[[#This Row],[SKU]]),1),""))</f>
        <v/>
      </c>
      <c r="R424" s="61" t="str">
        <f ca="1">IF(OR(tblStock[[#This Row],[SKU]]="",tblStock[[#This Row],[UltimoMov]]=""),"",TODAY()-tblStock[[#This Row],[UltimoMov]])</f>
        <v/>
      </c>
    </row>
    <row r="425" spans="2:18" x14ac:dyDescent="0.25">
      <c r="B425" s="53" t="str">
        <f>IF('05_PRODUCTOS'!$B425="","",'05_PRODUCTOS'!$B425)</f>
        <v/>
      </c>
      <c r="C425" s="54" t="str">
        <f>IF($B425="","",'05_PRODUCTOS'!$C425)</f>
        <v/>
      </c>
      <c r="D425" s="54" t="str">
        <f>IF($B425="","",'05_PRODUCTOS'!$D425)</f>
        <v/>
      </c>
      <c r="E425" s="54" t="str">
        <f>IF($B425="","",'05_PRODUCTOS'!$I425&amp;"")</f>
        <v/>
      </c>
      <c r="F425" s="53" t="str">
        <f>IF($B425="","",'05_PRODUCTOS'!$E425)</f>
        <v/>
      </c>
      <c r="G425" s="53" t="str">
        <f>IF($B425="","",IF('05_PRODUCTOS'!$K425="NO","NO","SI"))</f>
        <v/>
      </c>
      <c r="H425" s="55" t="str">
        <f>IF(tblStock[[#This Row],[SKU]]="","",SUMIFS(tblMovimientos[CantidadNeta],tblMovimientos[SKU],tblStock[[#This Row],[SKU]],tblMovimientos[FactorStock],1))</f>
        <v/>
      </c>
      <c r="I425" s="55" t="str">
        <f>IF(tblStock[[#This Row],[SKU]]="","",-SUMIFS(tblMovimientos[CantidadNeta],tblMovimientos[SKU],tblStock[[#This Row],[SKU]],tblMovimientos[FactorStock],-1))</f>
        <v/>
      </c>
      <c r="J425" s="56" t="str">
        <f>IF(tblStock[[#This Row],[SKU]]="","",SUMIFS(tblMovimientos[CantidadNeta],tblMovimientos[SKU],tblStock[[#This Row],[SKU]]))</f>
        <v/>
      </c>
      <c r="K425" s="55" t="str">
        <f>IF($B425="","",N('05_PRODUCTOS'!$F425))</f>
        <v/>
      </c>
      <c r="L425" s="55" t="str">
        <f>IF($B425="","",N('05_PRODUCTOS'!$G425))</f>
        <v/>
      </c>
      <c r="M425" s="57" t="str">
        <f>IF(OR(tblStock[[#This Row],[SKU]]="",N(tblStock[[#This Row],[StockMax]])=0),"",MAX(0,tblStock[[#This Row],[StockActual]])/tblStock[[#This Row],[StockMax]])</f>
        <v/>
      </c>
      <c r="N42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5" s="59" t="str">
        <f>IF($B425="","",N('05_PRODUCTOS'!$H425))</f>
        <v/>
      </c>
      <c r="P425" s="59" t="str">
        <f>IF(tblStock[[#This Row],[SKU]]="","",MAX(0,tblStock[[#This Row],[StockActual]])*tblStock[[#This Row],[CostoUnitario]])</f>
        <v/>
      </c>
      <c r="Q425" s="60" t="str">
        <f>IF(tblStock[[#This Row],[SKU]]="","",IFERROR(_xlfn.AGGREGATE(14,6,tblMovimientos[Fecha]/(tblMovimientos[SKU]=tblStock[[#This Row],[SKU]]),1),""))</f>
        <v/>
      </c>
      <c r="R425" s="61" t="str">
        <f ca="1">IF(OR(tblStock[[#This Row],[SKU]]="",tblStock[[#This Row],[UltimoMov]]=""),"",TODAY()-tblStock[[#This Row],[UltimoMov]])</f>
        <v/>
      </c>
    </row>
    <row r="426" spans="2:18" x14ac:dyDescent="0.25">
      <c r="B426" s="53" t="str">
        <f>IF('05_PRODUCTOS'!$B426="","",'05_PRODUCTOS'!$B426)</f>
        <v/>
      </c>
      <c r="C426" s="54" t="str">
        <f>IF($B426="","",'05_PRODUCTOS'!$C426)</f>
        <v/>
      </c>
      <c r="D426" s="54" t="str">
        <f>IF($B426="","",'05_PRODUCTOS'!$D426)</f>
        <v/>
      </c>
      <c r="E426" s="54" t="str">
        <f>IF($B426="","",'05_PRODUCTOS'!$I426&amp;"")</f>
        <v/>
      </c>
      <c r="F426" s="53" t="str">
        <f>IF($B426="","",'05_PRODUCTOS'!$E426)</f>
        <v/>
      </c>
      <c r="G426" s="53" t="str">
        <f>IF($B426="","",IF('05_PRODUCTOS'!$K426="NO","NO","SI"))</f>
        <v/>
      </c>
      <c r="H426" s="55" t="str">
        <f>IF(tblStock[[#This Row],[SKU]]="","",SUMIFS(tblMovimientos[CantidadNeta],tblMovimientos[SKU],tblStock[[#This Row],[SKU]],tblMovimientos[FactorStock],1))</f>
        <v/>
      </c>
      <c r="I426" s="55" t="str">
        <f>IF(tblStock[[#This Row],[SKU]]="","",-SUMIFS(tblMovimientos[CantidadNeta],tblMovimientos[SKU],tblStock[[#This Row],[SKU]],tblMovimientos[FactorStock],-1))</f>
        <v/>
      </c>
      <c r="J426" s="56" t="str">
        <f>IF(tblStock[[#This Row],[SKU]]="","",SUMIFS(tblMovimientos[CantidadNeta],tblMovimientos[SKU],tblStock[[#This Row],[SKU]]))</f>
        <v/>
      </c>
      <c r="K426" s="55" t="str">
        <f>IF($B426="","",N('05_PRODUCTOS'!$F426))</f>
        <v/>
      </c>
      <c r="L426" s="55" t="str">
        <f>IF($B426="","",N('05_PRODUCTOS'!$G426))</f>
        <v/>
      </c>
      <c r="M426" s="57" t="str">
        <f>IF(OR(tblStock[[#This Row],[SKU]]="",N(tblStock[[#This Row],[StockMax]])=0),"",MAX(0,tblStock[[#This Row],[StockActual]])/tblStock[[#This Row],[StockMax]])</f>
        <v/>
      </c>
      <c r="N42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6" s="59" t="str">
        <f>IF($B426="","",N('05_PRODUCTOS'!$H426))</f>
        <v/>
      </c>
      <c r="P426" s="59" t="str">
        <f>IF(tblStock[[#This Row],[SKU]]="","",MAX(0,tblStock[[#This Row],[StockActual]])*tblStock[[#This Row],[CostoUnitario]])</f>
        <v/>
      </c>
      <c r="Q426" s="60" t="str">
        <f>IF(tblStock[[#This Row],[SKU]]="","",IFERROR(_xlfn.AGGREGATE(14,6,tblMovimientos[Fecha]/(tblMovimientos[SKU]=tblStock[[#This Row],[SKU]]),1),""))</f>
        <v/>
      </c>
      <c r="R426" s="61" t="str">
        <f ca="1">IF(OR(tblStock[[#This Row],[SKU]]="",tblStock[[#This Row],[UltimoMov]]=""),"",TODAY()-tblStock[[#This Row],[UltimoMov]])</f>
        <v/>
      </c>
    </row>
    <row r="427" spans="2:18" x14ac:dyDescent="0.25">
      <c r="B427" s="53" t="str">
        <f>IF('05_PRODUCTOS'!$B427="","",'05_PRODUCTOS'!$B427)</f>
        <v/>
      </c>
      <c r="C427" s="54" t="str">
        <f>IF($B427="","",'05_PRODUCTOS'!$C427)</f>
        <v/>
      </c>
      <c r="D427" s="54" t="str">
        <f>IF($B427="","",'05_PRODUCTOS'!$D427)</f>
        <v/>
      </c>
      <c r="E427" s="54" t="str">
        <f>IF($B427="","",'05_PRODUCTOS'!$I427&amp;"")</f>
        <v/>
      </c>
      <c r="F427" s="53" t="str">
        <f>IF($B427="","",'05_PRODUCTOS'!$E427)</f>
        <v/>
      </c>
      <c r="G427" s="53" t="str">
        <f>IF($B427="","",IF('05_PRODUCTOS'!$K427="NO","NO","SI"))</f>
        <v/>
      </c>
      <c r="H427" s="55" t="str">
        <f>IF(tblStock[[#This Row],[SKU]]="","",SUMIFS(tblMovimientos[CantidadNeta],tblMovimientos[SKU],tblStock[[#This Row],[SKU]],tblMovimientos[FactorStock],1))</f>
        <v/>
      </c>
      <c r="I427" s="55" t="str">
        <f>IF(tblStock[[#This Row],[SKU]]="","",-SUMIFS(tblMovimientos[CantidadNeta],tblMovimientos[SKU],tblStock[[#This Row],[SKU]],tblMovimientos[FactorStock],-1))</f>
        <v/>
      </c>
      <c r="J427" s="56" t="str">
        <f>IF(tblStock[[#This Row],[SKU]]="","",SUMIFS(tblMovimientos[CantidadNeta],tblMovimientos[SKU],tblStock[[#This Row],[SKU]]))</f>
        <v/>
      </c>
      <c r="K427" s="55" t="str">
        <f>IF($B427="","",N('05_PRODUCTOS'!$F427))</f>
        <v/>
      </c>
      <c r="L427" s="55" t="str">
        <f>IF($B427="","",N('05_PRODUCTOS'!$G427))</f>
        <v/>
      </c>
      <c r="M427" s="57" t="str">
        <f>IF(OR(tblStock[[#This Row],[SKU]]="",N(tblStock[[#This Row],[StockMax]])=0),"",MAX(0,tblStock[[#This Row],[StockActual]])/tblStock[[#This Row],[StockMax]])</f>
        <v/>
      </c>
      <c r="N42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7" s="59" t="str">
        <f>IF($B427="","",N('05_PRODUCTOS'!$H427))</f>
        <v/>
      </c>
      <c r="P427" s="59" t="str">
        <f>IF(tblStock[[#This Row],[SKU]]="","",MAX(0,tblStock[[#This Row],[StockActual]])*tblStock[[#This Row],[CostoUnitario]])</f>
        <v/>
      </c>
      <c r="Q427" s="60" t="str">
        <f>IF(tblStock[[#This Row],[SKU]]="","",IFERROR(_xlfn.AGGREGATE(14,6,tblMovimientos[Fecha]/(tblMovimientos[SKU]=tblStock[[#This Row],[SKU]]),1),""))</f>
        <v/>
      </c>
      <c r="R427" s="61" t="str">
        <f ca="1">IF(OR(tblStock[[#This Row],[SKU]]="",tblStock[[#This Row],[UltimoMov]]=""),"",TODAY()-tblStock[[#This Row],[UltimoMov]])</f>
        <v/>
      </c>
    </row>
    <row r="428" spans="2:18" x14ac:dyDescent="0.25">
      <c r="B428" s="53" t="str">
        <f>IF('05_PRODUCTOS'!$B428="","",'05_PRODUCTOS'!$B428)</f>
        <v/>
      </c>
      <c r="C428" s="54" t="str">
        <f>IF($B428="","",'05_PRODUCTOS'!$C428)</f>
        <v/>
      </c>
      <c r="D428" s="54" t="str">
        <f>IF($B428="","",'05_PRODUCTOS'!$D428)</f>
        <v/>
      </c>
      <c r="E428" s="54" t="str">
        <f>IF($B428="","",'05_PRODUCTOS'!$I428&amp;"")</f>
        <v/>
      </c>
      <c r="F428" s="53" t="str">
        <f>IF($B428="","",'05_PRODUCTOS'!$E428)</f>
        <v/>
      </c>
      <c r="G428" s="53" t="str">
        <f>IF($B428="","",IF('05_PRODUCTOS'!$K428="NO","NO","SI"))</f>
        <v/>
      </c>
      <c r="H428" s="55" t="str">
        <f>IF(tblStock[[#This Row],[SKU]]="","",SUMIFS(tblMovimientos[CantidadNeta],tblMovimientos[SKU],tblStock[[#This Row],[SKU]],tblMovimientos[FactorStock],1))</f>
        <v/>
      </c>
      <c r="I428" s="55" t="str">
        <f>IF(tblStock[[#This Row],[SKU]]="","",-SUMIFS(tblMovimientos[CantidadNeta],tblMovimientos[SKU],tblStock[[#This Row],[SKU]],tblMovimientos[FactorStock],-1))</f>
        <v/>
      </c>
      <c r="J428" s="56" t="str">
        <f>IF(tblStock[[#This Row],[SKU]]="","",SUMIFS(tblMovimientos[CantidadNeta],tblMovimientos[SKU],tblStock[[#This Row],[SKU]]))</f>
        <v/>
      </c>
      <c r="K428" s="55" t="str">
        <f>IF($B428="","",N('05_PRODUCTOS'!$F428))</f>
        <v/>
      </c>
      <c r="L428" s="55" t="str">
        <f>IF($B428="","",N('05_PRODUCTOS'!$G428))</f>
        <v/>
      </c>
      <c r="M428" s="57" t="str">
        <f>IF(OR(tblStock[[#This Row],[SKU]]="",N(tblStock[[#This Row],[StockMax]])=0),"",MAX(0,tblStock[[#This Row],[StockActual]])/tblStock[[#This Row],[StockMax]])</f>
        <v/>
      </c>
      <c r="N42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8" s="59" t="str">
        <f>IF($B428="","",N('05_PRODUCTOS'!$H428))</f>
        <v/>
      </c>
      <c r="P428" s="59" t="str">
        <f>IF(tblStock[[#This Row],[SKU]]="","",MAX(0,tblStock[[#This Row],[StockActual]])*tblStock[[#This Row],[CostoUnitario]])</f>
        <v/>
      </c>
      <c r="Q428" s="60" t="str">
        <f>IF(tblStock[[#This Row],[SKU]]="","",IFERROR(_xlfn.AGGREGATE(14,6,tblMovimientos[Fecha]/(tblMovimientos[SKU]=tblStock[[#This Row],[SKU]]),1),""))</f>
        <v/>
      </c>
      <c r="R428" s="61" t="str">
        <f ca="1">IF(OR(tblStock[[#This Row],[SKU]]="",tblStock[[#This Row],[UltimoMov]]=""),"",TODAY()-tblStock[[#This Row],[UltimoMov]])</f>
        <v/>
      </c>
    </row>
    <row r="429" spans="2:18" x14ac:dyDescent="0.25">
      <c r="B429" s="53" t="str">
        <f>IF('05_PRODUCTOS'!$B429="","",'05_PRODUCTOS'!$B429)</f>
        <v/>
      </c>
      <c r="C429" s="54" t="str">
        <f>IF($B429="","",'05_PRODUCTOS'!$C429)</f>
        <v/>
      </c>
      <c r="D429" s="54" t="str">
        <f>IF($B429="","",'05_PRODUCTOS'!$D429)</f>
        <v/>
      </c>
      <c r="E429" s="54" t="str">
        <f>IF($B429="","",'05_PRODUCTOS'!$I429&amp;"")</f>
        <v/>
      </c>
      <c r="F429" s="53" t="str">
        <f>IF($B429="","",'05_PRODUCTOS'!$E429)</f>
        <v/>
      </c>
      <c r="G429" s="53" t="str">
        <f>IF($B429="","",IF('05_PRODUCTOS'!$K429="NO","NO","SI"))</f>
        <v/>
      </c>
      <c r="H429" s="55" t="str">
        <f>IF(tblStock[[#This Row],[SKU]]="","",SUMIFS(tblMovimientos[CantidadNeta],tblMovimientos[SKU],tblStock[[#This Row],[SKU]],tblMovimientos[FactorStock],1))</f>
        <v/>
      </c>
      <c r="I429" s="55" t="str">
        <f>IF(tblStock[[#This Row],[SKU]]="","",-SUMIFS(tblMovimientos[CantidadNeta],tblMovimientos[SKU],tblStock[[#This Row],[SKU]],tblMovimientos[FactorStock],-1))</f>
        <v/>
      </c>
      <c r="J429" s="56" t="str">
        <f>IF(tblStock[[#This Row],[SKU]]="","",SUMIFS(tblMovimientos[CantidadNeta],tblMovimientos[SKU],tblStock[[#This Row],[SKU]]))</f>
        <v/>
      </c>
      <c r="K429" s="55" t="str">
        <f>IF($B429="","",N('05_PRODUCTOS'!$F429))</f>
        <v/>
      </c>
      <c r="L429" s="55" t="str">
        <f>IF($B429="","",N('05_PRODUCTOS'!$G429))</f>
        <v/>
      </c>
      <c r="M429" s="57" t="str">
        <f>IF(OR(tblStock[[#This Row],[SKU]]="",N(tblStock[[#This Row],[StockMax]])=0),"",MAX(0,tblStock[[#This Row],[StockActual]])/tblStock[[#This Row],[StockMax]])</f>
        <v/>
      </c>
      <c r="N42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29" s="59" t="str">
        <f>IF($B429="","",N('05_PRODUCTOS'!$H429))</f>
        <v/>
      </c>
      <c r="P429" s="59" t="str">
        <f>IF(tblStock[[#This Row],[SKU]]="","",MAX(0,tblStock[[#This Row],[StockActual]])*tblStock[[#This Row],[CostoUnitario]])</f>
        <v/>
      </c>
      <c r="Q429" s="60" t="str">
        <f>IF(tblStock[[#This Row],[SKU]]="","",IFERROR(_xlfn.AGGREGATE(14,6,tblMovimientos[Fecha]/(tblMovimientos[SKU]=tblStock[[#This Row],[SKU]]),1),""))</f>
        <v/>
      </c>
      <c r="R429" s="61" t="str">
        <f ca="1">IF(OR(tblStock[[#This Row],[SKU]]="",tblStock[[#This Row],[UltimoMov]]=""),"",TODAY()-tblStock[[#This Row],[UltimoMov]])</f>
        <v/>
      </c>
    </row>
    <row r="430" spans="2:18" x14ac:dyDescent="0.25">
      <c r="B430" s="53" t="str">
        <f>IF('05_PRODUCTOS'!$B430="","",'05_PRODUCTOS'!$B430)</f>
        <v/>
      </c>
      <c r="C430" s="54" t="str">
        <f>IF($B430="","",'05_PRODUCTOS'!$C430)</f>
        <v/>
      </c>
      <c r="D430" s="54" t="str">
        <f>IF($B430="","",'05_PRODUCTOS'!$D430)</f>
        <v/>
      </c>
      <c r="E430" s="54" t="str">
        <f>IF($B430="","",'05_PRODUCTOS'!$I430&amp;"")</f>
        <v/>
      </c>
      <c r="F430" s="53" t="str">
        <f>IF($B430="","",'05_PRODUCTOS'!$E430)</f>
        <v/>
      </c>
      <c r="G430" s="53" t="str">
        <f>IF($B430="","",IF('05_PRODUCTOS'!$K430="NO","NO","SI"))</f>
        <v/>
      </c>
      <c r="H430" s="55" t="str">
        <f>IF(tblStock[[#This Row],[SKU]]="","",SUMIFS(tblMovimientos[CantidadNeta],tblMovimientos[SKU],tblStock[[#This Row],[SKU]],tblMovimientos[FactorStock],1))</f>
        <v/>
      </c>
      <c r="I430" s="55" t="str">
        <f>IF(tblStock[[#This Row],[SKU]]="","",-SUMIFS(tblMovimientos[CantidadNeta],tblMovimientos[SKU],tblStock[[#This Row],[SKU]],tblMovimientos[FactorStock],-1))</f>
        <v/>
      </c>
      <c r="J430" s="56" t="str">
        <f>IF(tblStock[[#This Row],[SKU]]="","",SUMIFS(tblMovimientos[CantidadNeta],tblMovimientos[SKU],tblStock[[#This Row],[SKU]]))</f>
        <v/>
      </c>
      <c r="K430" s="55" t="str">
        <f>IF($B430="","",N('05_PRODUCTOS'!$F430))</f>
        <v/>
      </c>
      <c r="L430" s="55" t="str">
        <f>IF($B430="","",N('05_PRODUCTOS'!$G430))</f>
        <v/>
      </c>
      <c r="M430" s="57" t="str">
        <f>IF(OR(tblStock[[#This Row],[SKU]]="",N(tblStock[[#This Row],[StockMax]])=0),"",MAX(0,tblStock[[#This Row],[StockActual]])/tblStock[[#This Row],[StockMax]])</f>
        <v/>
      </c>
      <c r="N43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0" s="59" t="str">
        <f>IF($B430="","",N('05_PRODUCTOS'!$H430))</f>
        <v/>
      </c>
      <c r="P430" s="59" t="str">
        <f>IF(tblStock[[#This Row],[SKU]]="","",MAX(0,tblStock[[#This Row],[StockActual]])*tblStock[[#This Row],[CostoUnitario]])</f>
        <v/>
      </c>
      <c r="Q430" s="60" t="str">
        <f>IF(tblStock[[#This Row],[SKU]]="","",IFERROR(_xlfn.AGGREGATE(14,6,tblMovimientos[Fecha]/(tblMovimientos[SKU]=tblStock[[#This Row],[SKU]]),1),""))</f>
        <v/>
      </c>
      <c r="R430" s="61" t="str">
        <f ca="1">IF(OR(tblStock[[#This Row],[SKU]]="",tblStock[[#This Row],[UltimoMov]]=""),"",TODAY()-tblStock[[#This Row],[UltimoMov]])</f>
        <v/>
      </c>
    </row>
    <row r="431" spans="2:18" x14ac:dyDescent="0.25">
      <c r="B431" s="53" t="str">
        <f>IF('05_PRODUCTOS'!$B431="","",'05_PRODUCTOS'!$B431)</f>
        <v/>
      </c>
      <c r="C431" s="54" t="str">
        <f>IF($B431="","",'05_PRODUCTOS'!$C431)</f>
        <v/>
      </c>
      <c r="D431" s="54" t="str">
        <f>IF($B431="","",'05_PRODUCTOS'!$D431)</f>
        <v/>
      </c>
      <c r="E431" s="54" t="str">
        <f>IF($B431="","",'05_PRODUCTOS'!$I431&amp;"")</f>
        <v/>
      </c>
      <c r="F431" s="53" t="str">
        <f>IF($B431="","",'05_PRODUCTOS'!$E431)</f>
        <v/>
      </c>
      <c r="G431" s="53" t="str">
        <f>IF($B431="","",IF('05_PRODUCTOS'!$K431="NO","NO","SI"))</f>
        <v/>
      </c>
      <c r="H431" s="55" t="str">
        <f>IF(tblStock[[#This Row],[SKU]]="","",SUMIFS(tblMovimientos[CantidadNeta],tblMovimientos[SKU],tblStock[[#This Row],[SKU]],tblMovimientos[FactorStock],1))</f>
        <v/>
      </c>
      <c r="I431" s="55" t="str">
        <f>IF(tblStock[[#This Row],[SKU]]="","",-SUMIFS(tblMovimientos[CantidadNeta],tblMovimientos[SKU],tblStock[[#This Row],[SKU]],tblMovimientos[FactorStock],-1))</f>
        <v/>
      </c>
      <c r="J431" s="56" t="str">
        <f>IF(tblStock[[#This Row],[SKU]]="","",SUMIFS(tblMovimientos[CantidadNeta],tblMovimientos[SKU],tblStock[[#This Row],[SKU]]))</f>
        <v/>
      </c>
      <c r="K431" s="55" t="str">
        <f>IF($B431="","",N('05_PRODUCTOS'!$F431))</f>
        <v/>
      </c>
      <c r="L431" s="55" t="str">
        <f>IF($B431="","",N('05_PRODUCTOS'!$G431))</f>
        <v/>
      </c>
      <c r="M431" s="57" t="str">
        <f>IF(OR(tblStock[[#This Row],[SKU]]="",N(tblStock[[#This Row],[StockMax]])=0),"",MAX(0,tblStock[[#This Row],[StockActual]])/tblStock[[#This Row],[StockMax]])</f>
        <v/>
      </c>
      <c r="N43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1" s="59" t="str">
        <f>IF($B431="","",N('05_PRODUCTOS'!$H431))</f>
        <v/>
      </c>
      <c r="P431" s="59" t="str">
        <f>IF(tblStock[[#This Row],[SKU]]="","",MAX(0,tblStock[[#This Row],[StockActual]])*tblStock[[#This Row],[CostoUnitario]])</f>
        <v/>
      </c>
      <c r="Q431" s="60" t="str">
        <f>IF(tblStock[[#This Row],[SKU]]="","",IFERROR(_xlfn.AGGREGATE(14,6,tblMovimientos[Fecha]/(tblMovimientos[SKU]=tblStock[[#This Row],[SKU]]),1),""))</f>
        <v/>
      </c>
      <c r="R431" s="61" t="str">
        <f ca="1">IF(OR(tblStock[[#This Row],[SKU]]="",tblStock[[#This Row],[UltimoMov]]=""),"",TODAY()-tblStock[[#This Row],[UltimoMov]])</f>
        <v/>
      </c>
    </row>
    <row r="432" spans="2:18" x14ac:dyDescent="0.25">
      <c r="B432" s="53" t="str">
        <f>IF('05_PRODUCTOS'!$B432="","",'05_PRODUCTOS'!$B432)</f>
        <v/>
      </c>
      <c r="C432" s="54" t="str">
        <f>IF($B432="","",'05_PRODUCTOS'!$C432)</f>
        <v/>
      </c>
      <c r="D432" s="54" t="str">
        <f>IF($B432="","",'05_PRODUCTOS'!$D432)</f>
        <v/>
      </c>
      <c r="E432" s="54" t="str">
        <f>IF($B432="","",'05_PRODUCTOS'!$I432&amp;"")</f>
        <v/>
      </c>
      <c r="F432" s="53" t="str">
        <f>IF($B432="","",'05_PRODUCTOS'!$E432)</f>
        <v/>
      </c>
      <c r="G432" s="53" t="str">
        <f>IF($B432="","",IF('05_PRODUCTOS'!$K432="NO","NO","SI"))</f>
        <v/>
      </c>
      <c r="H432" s="55" t="str">
        <f>IF(tblStock[[#This Row],[SKU]]="","",SUMIFS(tblMovimientos[CantidadNeta],tblMovimientos[SKU],tblStock[[#This Row],[SKU]],tblMovimientos[FactorStock],1))</f>
        <v/>
      </c>
      <c r="I432" s="55" t="str">
        <f>IF(tblStock[[#This Row],[SKU]]="","",-SUMIFS(tblMovimientos[CantidadNeta],tblMovimientos[SKU],tblStock[[#This Row],[SKU]],tblMovimientos[FactorStock],-1))</f>
        <v/>
      </c>
      <c r="J432" s="56" t="str">
        <f>IF(tblStock[[#This Row],[SKU]]="","",SUMIFS(tblMovimientos[CantidadNeta],tblMovimientos[SKU],tblStock[[#This Row],[SKU]]))</f>
        <v/>
      </c>
      <c r="K432" s="55" t="str">
        <f>IF($B432="","",N('05_PRODUCTOS'!$F432))</f>
        <v/>
      </c>
      <c r="L432" s="55" t="str">
        <f>IF($B432="","",N('05_PRODUCTOS'!$G432))</f>
        <v/>
      </c>
      <c r="M432" s="57" t="str">
        <f>IF(OR(tblStock[[#This Row],[SKU]]="",N(tblStock[[#This Row],[StockMax]])=0),"",MAX(0,tblStock[[#This Row],[StockActual]])/tblStock[[#This Row],[StockMax]])</f>
        <v/>
      </c>
      <c r="N43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2" s="59" t="str">
        <f>IF($B432="","",N('05_PRODUCTOS'!$H432))</f>
        <v/>
      </c>
      <c r="P432" s="59" t="str">
        <f>IF(tblStock[[#This Row],[SKU]]="","",MAX(0,tblStock[[#This Row],[StockActual]])*tblStock[[#This Row],[CostoUnitario]])</f>
        <v/>
      </c>
      <c r="Q432" s="60" t="str">
        <f>IF(tblStock[[#This Row],[SKU]]="","",IFERROR(_xlfn.AGGREGATE(14,6,tblMovimientos[Fecha]/(tblMovimientos[SKU]=tblStock[[#This Row],[SKU]]),1),""))</f>
        <v/>
      </c>
      <c r="R432" s="61" t="str">
        <f ca="1">IF(OR(tblStock[[#This Row],[SKU]]="",tblStock[[#This Row],[UltimoMov]]=""),"",TODAY()-tblStock[[#This Row],[UltimoMov]])</f>
        <v/>
      </c>
    </row>
    <row r="433" spans="2:18" x14ac:dyDescent="0.25">
      <c r="B433" s="53" t="str">
        <f>IF('05_PRODUCTOS'!$B433="","",'05_PRODUCTOS'!$B433)</f>
        <v/>
      </c>
      <c r="C433" s="54" t="str">
        <f>IF($B433="","",'05_PRODUCTOS'!$C433)</f>
        <v/>
      </c>
      <c r="D433" s="54" t="str">
        <f>IF($B433="","",'05_PRODUCTOS'!$D433)</f>
        <v/>
      </c>
      <c r="E433" s="54" t="str">
        <f>IF($B433="","",'05_PRODUCTOS'!$I433&amp;"")</f>
        <v/>
      </c>
      <c r="F433" s="53" t="str">
        <f>IF($B433="","",'05_PRODUCTOS'!$E433)</f>
        <v/>
      </c>
      <c r="G433" s="53" t="str">
        <f>IF($B433="","",IF('05_PRODUCTOS'!$K433="NO","NO","SI"))</f>
        <v/>
      </c>
      <c r="H433" s="55" t="str">
        <f>IF(tblStock[[#This Row],[SKU]]="","",SUMIFS(tblMovimientos[CantidadNeta],tblMovimientos[SKU],tblStock[[#This Row],[SKU]],tblMovimientos[FactorStock],1))</f>
        <v/>
      </c>
      <c r="I433" s="55" t="str">
        <f>IF(tblStock[[#This Row],[SKU]]="","",-SUMIFS(tblMovimientos[CantidadNeta],tblMovimientos[SKU],tblStock[[#This Row],[SKU]],tblMovimientos[FactorStock],-1))</f>
        <v/>
      </c>
      <c r="J433" s="56" t="str">
        <f>IF(tblStock[[#This Row],[SKU]]="","",SUMIFS(tblMovimientos[CantidadNeta],tblMovimientos[SKU],tblStock[[#This Row],[SKU]]))</f>
        <v/>
      </c>
      <c r="K433" s="55" t="str">
        <f>IF($B433="","",N('05_PRODUCTOS'!$F433))</f>
        <v/>
      </c>
      <c r="L433" s="55" t="str">
        <f>IF($B433="","",N('05_PRODUCTOS'!$G433))</f>
        <v/>
      </c>
      <c r="M433" s="57" t="str">
        <f>IF(OR(tblStock[[#This Row],[SKU]]="",N(tblStock[[#This Row],[StockMax]])=0),"",MAX(0,tblStock[[#This Row],[StockActual]])/tblStock[[#This Row],[StockMax]])</f>
        <v/>
      </c>
      <c r="N43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3" s="59" t="str">
        <f>IF($B433="","",N('05_PRODUCTOS'!$H433))</f>
        <v/>
      </c>
      <c r="P433" s="59" t="str">
        <f>IF(tblStock[[#This Row],[SKU]]="","",MAX(0,tblStock[[#This Row],[StockActual]])*tblStock[[#This Row],[CostoUnitario]])</f>
        <v/>
      </c>
      <c r="Q433" s="60" t="str">
        <f>IF(tblStock[[#This Row],[SKU]]="","",IFERROR(_xlfn.AGGREGATE(14,6,tblMovimientos[Fecha]/(tblMovimientos[SKU]=tblStock[[#This Row],[SKU]]),1),""))</f>
        <v/>
      </c>
      <c r="R433" s="61" t="str">
        <f ca="1">IF(OR(tblStock[[#This Row],[SKU]]="",tblStock[[#This Row],[UltimoMov]]=""),"",TODAY()-tblStock[[#This Row],[UltimoMov]])</f>
        <v/>
      </c>
    </row>
    <row r="434" spans="2:18" x14ac:dyDescent="0.25">
      <c r="B434" s="53" t="str">
        <f>IF('05_PRODUCTOS'!$B434="","",'05_PRODUCTOS'!$B434)</f>
        <v/>
      </c>
      <c r="C434" s="54" t="str">
        <f>IF($B434="","",'05_PRODUCTOS'!$C434)</f>
        <v/>
      </c>
      <c r="D434" s="54" t="str">
        <f>IF($B434="","",'05_PRODUCTOS'!$D434)</f>
        <v/>
      </c>
      <c r="E434" s="54" t="str">
        <f>IF($B434="","",'05_PRODUCTOS'!$I434&amp;"")</f>
        <v/>
      </c>
      <c r="F434" s="53" t="str">
        <f>IF($B434="","",'05_PRODUCTOS'!$E434)</f>
        <v/>
      </c>
      <c r="G434" s="53" t="str">
        <f>IF($B434="","",IF('05_PRODUCTOS'!$K434="NO","NO","SI"))</f>
        <v/>
      </c>
      <c r="H434" s="55" t="str">
        <f>IF(tblStock[[#This Row],[SKU]]="","",SUMIFS(tblMovimientos[CantidadNeta],tblMovimientos[SKU],tblStock[[#This Row],[SKU]],tblMovimientos[FactorStock],1))</f>
        <v/>
      </c>
      <c r="I434" s="55" t="str">
        <f>IF(tblStock[[#This Row],[SKU]]="","",-SUMIFS(tblMovimientos[CantidadNeta],tblMovimientos[SKU],tblStock[[#This Row],[SKU]],tblMovimientos[FactorStock],-1))</f>
        <v/>
      </c>
      <c r="J434" s="56" t="str">
        <f>IF(tblStock[[#This Row],[SKU]]="","",SUMIFS(tblMovimientos[CantidadNeta],tblMovimientos[SKU],tblStock[[#This Row],[SKU]]))</f>
        <v/>
      </c>
      <c r="K434" s="55" t="str">
        <f>IF($B434="","",N('05_PRODUCTOS'!$F434))</f>
        <v/>
      </c>
      <c r="L434" s="55" t="str">
        <f>IF($B434="","",N('05_PRODUCTOS'!$G434))</f>
        <v/>
      </c>
      <c r="M434" s="57" t="str">
        <f>IF(OR(tblStock[[#This Row],[SKU]]="",N(tblStock[[#This Row],[StockMax]])=0),"",MAX(0,tblStock[[#This Row],[StockActual]])/tblStock[[#This Row],[StockMax]])</f>
        <v/>
      </c>
      <c r="N43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4" s="59" t="str">
        <f>IF($B434="","",N('05_PRODUCTOS'!$H434))</f>
        <v/>
      </c>
      <c r="P434" s="59" t="str">
        <f>IF(tblStock[[#This Row],[SKU]]="","",MAX(0,tblStock[[#This Row],[StockActual]])*tblStock[[#This Row],[CostoUnitario]])</f>
        <v/>
      </c>
      <c r="Q434" s="60" t="str">
        <f>IF(tblStock[[#This Row],[SKU]]="","",IFERROR(_xlfn.AGGREGATE(14,6,tblMovimientos[Fecha]/(tblMovimientos[SKU]=tblStock[[#This Row],[SKU]]),1),""))</f>
        <v/>
      </c>
      <c r="R434" s="61" t="str">
        <f ca="1">IF(OR(tblStock[[#This Row],[SKU]]="",tblStock[[#This Row],[UltimoMov]]=""),"",TODAY()-tblStock[[#This Row],[UltimoMov]])</f>
        <v/>
      </c>
    </row>
    <row r="435" spans="2:18" x14ac:dyDescent="0.25">
      <c r="B435" s="53" t="str">
        <f>IF('05_PRODUCTOS'!$B435="","",'05_PRODUCTOS'!$B435)</f>
        <v/>
      </c>
      <c r="C435" s="54" t="str">
        <f>IF($B435="","",'05_PRODUCTOS'!$C435)</f>
        <v/>
      </c>
      <c r="D435" s="54" t="str">
        <f>IF($B435="","",'05_PRODUCTOS'!$D435)</f>
        <v/>
      </c>
      <c r="E435" s="54" t="str">
        <f>IF($B435="","",'05_PRODUCTOS'!$I435&amp;"")</f>
        <v/>
      </c>
      <c r="F435" s="53" t="str">
        <f>IF($B435="","",'05_PRODUCTOS'!$E435)</f>
        <v/>
      </c>
      <c r="G435" s="53" t="str">
        <f>IF($B435="","",IF('05_PRODUCTOS'!$K435="NO","NO","SI"))</f>
        <v/>
      </c>
      <c r="H435" s="55" t="str">
        <f>IF(tblStock[[#This Row],[SKU]]="","",SUMIFS(tblMovimientos[CantidadNeta],tblMovimientos[SKU],tblStock[[#This Row],[SKU]],tblMovimientos[FactorStock],1))</f>
        <v/>
      </c>
      <c r="I435" s="55" t="str">
        <f>IF(tblStock[[#This Row],[SKU]]="","",-SUMIFS(tblMovimientos[CantidadNeta],tblMovimientos[SKU],tblStock[[#This Row],[SKU]],tblMovimientos[FactorStock],-1))</f>
        <v/>
      </c>
      <c r="J435" s="56" t="str">
        <f>IF(tblStock[[#This Row],[SKU]]="","",SUMIFS(tblMovimientos[CantidadNeta],tblMovimientos[SKU],tblStock[[#This Row],[SKU]]))</f>
        <v/>
      </c>
      <c r="K435" s="55" t="str">
        <f>IF($B435="","",N('05_PRODUCTOS'!$F435))</f>
        <v/>
      </c>
      <c r="L435" s="55" t="str">
        <f>IF($B435="","",N('05_PRODUCTOS'!$G435))</f>
        <v/>
      </c>
      <c r="M435" s="57" t="str">
        <f>IF(OR(tblStock[[#This Row],[SKU]]="",N(tblStock[[#This Row],[StockMax]])=0),"",MAX(0,tblStock[[#This Row],[StockActual]])/tblStock[[#This Row],[StockMax]])</f>
        <v/>
      </c>
      <c r="N43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5" s="59" t="str">
        <f>IF($B435="","",N('05_PRODUCTOS'!$H435))</f>
        <v/>
      </c>
      <c r="P435" s="59" t="str">
        <f>IF(tblStock[[#This Row],[SKU]]="","",MAX(0,tblStock[[#This Row],[StockActual]])*tblStock[[#This Row],[CostoUnitario]])</f>
        <v/>
      </c>
      <c r="Q435" s="60" t="str">
        <f>IF(tblStock[[#This Row],[SKU]]="","",IFERROR(_xlfn.AGGREGATE(14,6,tblMovimientos[Fecha]/(tblMovimientos[SKU]=tblStock[[#This Row],[SKU]]),1),""))</f>
        <v/>
      </c>
      <c r="R435" s="61" t="str">
        <f ca="1">IF(OR(tblStock[[#This Row],[SKU]]="",tblStock[[#This Row],[UltimoMov]]=""),"",TODAY()-tblStock[[#This Row],[UltimoMov]])</f>
        <v/>
      </c>
    </row>
    <row r="436" spans="2:18" x14ac:dyDescent="0.25">
      <c r="B436" s="53" t="str">
        <f>IF('05_PRODUCTOS'!$B436="","",'05_PRODUCTOS'!$B436)</f>
        <v/>
      </c>
      <c r="C436" s="54" t="str">
        <f>IF($B436="","",'05_PRODUCTOS'!$C436)</f>
        <v/>
      </c>
      <c r="D436" s="54" t="str">
        <f>IF($B436="","",'05_PRODUCTOS'!$D436)</f>
        <v/>
      </c>
      <c r="E436" s="54" t="str">
        <f>IF($B436="","",'05_PRODUCTOS'!$I436&amp;"")</f>
        <v/>
      </c>
      <c r="F436" s="53" t="str">
        <f>IF($B436="","",'05_PRODUCTOS'!$E436)</f>
        <v/>
      </c>
      <c r="G436" s="53" t="str">
        <f>IF($B436="","",IF('05_PRODUCTOS'!$K436="NO","NO","SI"))</f>
        <v/>
      </c>
      <c r="H436" s="55" t="str">
        <f>IF(tblStock[[#This Row],[SKU]]="","",SUMIFS(tblMovimientos[CantidadNeta],tblMovimientos[SKU],tblStock[[#This Row],[SKU]],tblMovimientos[FactorStock],1))</f>
        <v/>
      </c>
      <c r="I436" s="55" t="str">
        <f>IF(tblStock[[#This Row],[SKU]]="","",-SUMIFS(tblMovimientos[CantidadNeta],tblMovimientos[SKU],tblStock[[#This Row],[SKU]],tblMovimientos[FactorStock],-1))</f>
        <v/>
      </c>
      <c r="J436" s="56" t="str">
        <f>IF(tblStock[[#This Row],[SKU]]="","",SUMIFS(tblMovimientos[CantidadNeta],tblMovimientos[SKU],tblStock[[#This Row],[SKU]]))</f>
        <v/>
      </c>
      <c r="K436" s="55" t="str">
        <f>IF($B436="","",N('05_PRODUCTOS'!$F436))</f>
        <v/>
      </c>
      <c r="L436" s="55" t="str">
        <f>IF($B436="","",N('05_PRODUCTOS'!$G436))</f>
        <v/>
      </c>
      <c r="M436" s="57" t="str">
        <f>IF(OR(tblStock[[#This Row],[SKU]]="",N(tblStock[[#This Row],[StockMax]])=0),"",MAX(0,tblStock[[#This Row],[StockActual]])/tblStock[[#This Row],[StockMax]])</f>
        <v/>
      </c>
      <c r="N43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6" s="59" t="str">
        <f>IF($B436="","",N('05_PRODUCTOS'!$H436))</f>
        <v/>
      </c>
      <c r="P436" s="59" t="str">
        <f>IF(tblStock[[#This Row],[SKU]]="","",MAX(0,tblStock[[#This Row],[StockActual]])*tblStock[[#This Row],[CostoUnitario]])</f>
        <v/>
      </c>
      <c r="Q436" s="60" t="str">
        <f>IF(tblStock[[#This Row],[SKU]]="","",IFERROR(_xlfn.AGGREGATE(14,6,tblMovimientos[Fecha]/(tblMovimientos[SKU]=tblStock[[#This Row],[SKU]]),1),""))</f>
        <v/>
      </c>
      <c r="R436" s="61" t="str">
        <f ca="1">IF(OR(tblStock[[#This Row],[SKU]]="",tblStock[[#This Row],[UltimoMov]]=""),"",TODAY()-tblStock[[#This Row],[UltimoMov]])</f>
        <v/>
      </c>
    </row>
    <row r="437" spans="2:18" x14ac:dyDescent="0.25">
      <c r="B437" s="53" t="str">
        <f>IF('05_PRODUCTOS'!$B437="","",'05_PRODUCTOS'!$B437)</f>
        <v/>
      </c>
      <c r="C437" s="54" t="str">
        <f>IF($B437="","",'05_PRODUCTOS'!$C437)</f>
        <v/>
      </c>
      <c r="D437" s="54" t="str">
        <f>IF($B437="","",'05_PRODUCTOS'!$D437)</f>
        <v/>
      </c>
      <c r="E437" s="54" t="str">
        <f>IF($B437="","",'05_PRODUCTOS'!$I437&amp;"")</f>
        <v/>
      </c>
      <c r="F437" s="53" t="str">
        <f>IF($B437="","",'05_PRODUCTOS'!$E437)</f>
        <v/>
      </c>
      <c r="G437" s="53" t="str">
        <f>IF($B437="","",IF('05_PRODUCTOS'!$K437="NO","NO","SI"))</f>
        <v/>
      </c>
      <c r="H437" s="55" t="str">
        <f>IF(tblStock[[#This Row],[SKU]]="","",SUMIFS(tblMovimientos[CantidadNeta],tblMovimientos[SKU],tblStock[[#This Row],[SKU]],tblMovimientos[FactorStock],1))</f>
        <v/>
      </c>
      <c r="I437" s="55" t="str">
        <f>IF(tblStock[[#This Row],[SKU]]="","",-SUMIFS(tblMovimientos[CantidadNeta],tblMovimientos[SKU],tblStock[[#This Row],[SKU]],tblMovimientos[FactorStock],-1))</f>
        <v/>
      </c>
      <c r="J437" s="56" t="str">
        <f>IF(tblStock[[#This Row],[SKU]]="","",SUMIFS(tblMovimientos[CantidadNeta],tblMovimientos[SKU],tblStock[[#This Row],[SKU]]))</f>
        <v/>
      </c>
      <c r="K437" s="55" t="str">
        <f>IF($B437="","",N('05_PRODUCTOS'!$F437))</f>
        <v/>
      </c>
      <c r="L437" s="55" t="str">
        <f>IF($B437="","",N('05_PRODUCTOS'!$G437))</f>
        <v/>
      </c>
      <c r="M437" s="57" t="str">
        <f>IF(OR(tblStock[[#This Row],[SKU]]="",N(tblStock[[#This Row],[StockMax]])=0),"",MAX(0,tblStock[[#This Row],[StockActual]])/tblStock[[#This Row],[StockMax]])</f>
        <v/>
      </c>
      <c r="N43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7" s="59" t="str">
        <f>IF($B437="","",N('05_PRODUCTOS'!$H437))</f>
        <v/>
      </c>
      <c r="P437" s="59" t="str">
        <f>IF(tblStock[[#This Row],[SKU]]="","",MAX(0,tblStock[[#This Row],[StockActual]])*tblStock[[#This Row],[CostoUnitario]])</f>
        <v/>
      </c>
      <c r="Q437" s="60" t="str">
        <f>IF(tblStock[[#This Row],[SKU]]="","",IFERROR(_xlfn.AGGREGATE(14,6,tblMovimientos[Fecha]/(tblMovimientos[SKU]=tblStock[[#This Row],[SKU]]),1),""))</f>
        <v/>
      </c>
      <c r="R437" s="61" t="str">
        <f ca="1">IF(OR(tblStock[[#This Row],[SKU]]="",tblStock[[#This Row],[UltimoMov]]=""),"",TODAY()-tblStock[[#This Row],[UltimoMov]])</f>
        <v/>
      </c>
    </row>
    <row r="438" spans="2:18" x14ac:dyDescent="0.25">
      <c r="B438" s="53" t="str">
        <f>IF('05_PRODUCTOS'!$B438="","",'05_PRODUCTOS'!$B438)</f>
        <v/>
      </c>
      <c r="C438" s="54" t="str">
        <f>IF($B438="","",'05_PRODUCTOS'!$C438)</f>
        <v/>
      </c>
      <c r="D438" s="54" t="str">
        <f>IF($B438="","",'05_PRODUCTOS'!$D438)</f>
        <v/>
      </c>
      <c r="E438" s="54" t="str">
        <f>IF($B438="","",'05_PRODUCTOS'!$I438&amp;"")</f>
        <v/>
      </c>
      <c r="F438" s="53" t="str">
        <f>IF($B438="","",'05_PRODUCTOS'!$E438)</f>
        <v/>
      </c>
      <c r="G438" s="53" t="str">
        <f>IF($B438="","",IF('05_PRODUCTOS'!$K438="NO","NO","SI"))</f>
        <v/>
      </c>
      <c r="H438" s="55" t="str">
        <f>IF(tblStock[[#This Row],[SKU]]="","",SUMIFS(tblMovimientos[CantidadNeta],tblMovimientos[SKU],tblStock[[#This Row],[SKU]],tblMovimientos[FactorStock],1))</f>
        <v/>
      </c>
      <c r="I438" s="55" t="str">
        <f>IF(tblStock[[#This Row],[SKU]]="","",-SUMIFS(tblMovimientos[CantidadNeta],tblMovimientos[SKU],tblStock[[#This Row],[SKU]],tblMovimientos[FactorStock],-1))</f>
        <v/>
      </c>
      <c r="J438" s="56" t="str">
        <f>IF(tblStock[[#This Row],[SKU]]="","",SUMIFS(tblMovimientos[CantidadNeta],tblMovimientos[SKU],tblStock[[#This Row],[SKU]]))</f>
        <v/>
      </c>
      <c r="K438" s="55" t="str">
        <f>IF($B438="","",N('05_PRODUCTOS'!$F438))</f>
        <v/>
      </c>
      <c r="L438" s="55" t="str">
        <f>IF($B438="","",N('05_PRODUCTOS'!$G438))</f>
        <v/>
      </c>
      <c r="M438" s="57" t="str">
        <f>IF(OR(tblStock[[#This Row],[SKU]]="",N(tblStock[[#This Row],[StockMax]])=0),"",MAX(0,tblStock[[#This Row],[StockActual]])/tblStock[[#This Row],[StockMax]])</f>
        <v/>
      </c>
      <c r="N43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8" s="59" t="str">
        <f>IF($B438="","",N('05_PRODUCTOS'!$H438))</f>
        <v/>
      </c>
      <c r="P438" s="59" t="str">
        <f>IF(tblStock[[#This Row],[SKU]]="","",MAX(0,tblStock[[#This Row],[StockActual]])*tblStock[[#This Row],[CostoUnitario]])</f>
        <v/>
      </c>
      <c r="Q438" s="60" t="str">
        <f>IF(tblStock[[#This Row],[SKU]]="","",IFERROR(_xlfn.AGGREGATE(14,6,tblMovimientos[Fecha]/(tblMovimientos[SKU]=tblStock[[#This Row],[SKU]]),1),""))</f>
        <v/>
      </c>
      <c r="R438" s="61" t="str">
        <f ca="1">IF(OR(tblStock[[#This Row],[SKU]]="",tblStock[[#This Row],[UltimoMov]]=""),"",TODAY()-tblStock[[#This Row],[UltimoMov]])</f>
        <v/>
      </c>
    </row>
    <row r="439" spans="2:18" x14ac:dyDescent="0.25">
      <c r="B439" s="53" t="str">
        <f>IF('05_PRODUCTOS'!$B439="","",'05_PRODUCTOS'!$B439)</f>
        <v/>
      </c>
      <c r="C439" s="54" t="str">
        <f>IF($B439="","",'05_PRODUCTOS'!$C439)</f>
        <v/>
      </c>
      <c r="D439" s="54" t="str">
        <f>IF($B439="","",'05_PRODUCTOS'!$D439)</f>
        <v/>
      </c>
      <c r="E439" s="54" t="str">
        <f>IF($B439="","",'05_PRODUCTOS'!$I439&amp;"")</f>
        <v/>
      </c>
      <c r="F439" s="53" t="str">
        <f>IF($B439="","",'05_PRODUCTOS'!$E439)</f>
        <v/>
      </c>
      <c r="G439" s="53" t="str">
        <f>IF($B439="","",IF('05_PRODUCTOS'!$K439="NO","NO","SI"))</f>
        <v/>
      </c>
      <c r="H439" s="55" t="str">
        <f>IF(tblStock[[#This Row],[SKU]]="","",SUMIFS(tblMovimientos[CantidadNeta],tblMovimientos[SKU],tblStock[[#This Row],[SKU]],tblMovimientos[FactorStock],1))</f>
        <v/>
      </c>
      <c r="I439" s="55" t="str">
        <f>IF(tblStock[[#This Row],[SKU]]="","",-SUMIFS(tblMovimientos[CantidadNeta],tblMovimientos[SKU],tblStock[[#This Row],[SKU]],tblMovimientos[FactorStock],-1))</f>
        <v/>
      </c>
      <c r="J439" s="56" t="str">
        <f>IF(tblStock[[#This Row],[SKU]]="","",SUMIFS(tblMovimientos[CantidadNeta],tblMovimientos[SKU],tblStock[[#This Row],[SKU]]))</f>
        <v/>
      </c>
      <c r="K439" s="55" t="str">
        <f>IF($B439="","",N('05_PRODUCTOS'!$F439))</f>
        <v/>
      </c>
      <c r="L439" s="55" t="str">
        <f>IF($B439="","",N('05_PRODUCTOS'!$G439))</f>
        <v/>
      </c>
      <c r="M439" s="57" t="str">
        <f>IF(OR(tblStock[[#This Row],[SKU]]="",N(tblStock[[#This Row],[StockMax]])=0),"",MAX(0,tblStock[[#This Row],[StockActual]])/tblStock[[#This Row],[StockMax]])</f>
        <v/>
      </c>
      <c r="N43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39" s="59" t="str">
        <f>IF($B439="","",N('05_PRODUCTOS'!$H439))</f>
        <v/>
      </c>
      <c r="P439" s="59" t="str">
        <f>IF(tblStock[[#This Row],[SKU]]="","",MAX(0,tblStock[[#This Row],[StockActual]])*tblStock[[#This Row],[CostoUnitario]])</f>
        <v/>
      </c>
      <c r="Q439" s="60" t="str">
        <f>IF(tblStock[[#This Row],[SKU]]="","",IFERROR(_xlfn.AGGREGATE(14,6,tblMovimientos[Fecha]/(tblMovimientos[SKU]=tblStock[[#This Row],[SKU]]),1),""))</f>
        <v/>
      </c>
      <c r="R439" s="61" t="str">
        <f ca="1">IF(OR(tblStock[[#This Row],[SKU]]="",tblStock[[#This Row],[UltimoMov]]=""),"",TODAY()-tblStock[[#This Row],[UltimoMov]])</f>
        <v/>
      </c>
    </row>
    <row r="440" spans="2:18" x14ac:dyDescent="0.25">
      <c r="B440" s="53" t="str">
        <f>IF('05_PRODUCTOS'!$B440="","",'05_PRODUCTOS'!$B440)</f>
        <v/>
      </c>
      <c r="C440" s="54" t="str">
        <f>IF($B440="","",'05_PRODUCTOS'!$C440)</f>
        <v/>
      </c>
      <c r="D440" s="54" t="str">
        <f>IF($B440="","",'05_PRODUCTOS'!$D440)</f>
        <v/>
      </c>
      <c r="E440" s="54" t="str">
        <f>IF($B440="","",'05_PRODUCTOS'!$I440&amp;"")</f>
        <v/>
      </c>
      <c r="F440" s="53" t="str">
        <f>IF($B440="","",'05_PRODUCTOS'!$E440)</f>
        <v/>
      </c>
      <c r="G440" s="53" t="str">
        <f>IF($B440="","",IF('05_PRODUCTOS'!$K440="NO","NO","SI"))</f>
        <v/>
      </c>
      <c r="H440" s="55" t="str">
        <f>IF(tblStock[[#This Row],[SKU]]="","",SUMIFS(tblMovimientos[CantidadNeta],tblMovimientos[SKU],tblStock[[#This Row],[SKU]],tblMovimientos[FactorStock],1))</f>
        <v/>
      </c>
      <c r="I440" s="55" t="str">
        <f>IF(tblStock[[#This Row],[SKU]]="","",-SUMIFS(tblMovimientos[CantidadNeta],tblMovimientos[SKU],tblStock[[#This Row],[SKU]],tblMovimientos[FactorStock],-1))</f>
        <v/>
      </c>
      <c r="J440" s="56" t="str">
        <f>IF(tblStock[[#This Row],[SKU]]="","",SUMIFS(tblMovimientos[CantidadNeta],tblMovimientos[SKU],tblStock[[#This Row],[SKU]]))</f>
        <v/>
      </c>
      <c r="K440" s="55" t="str">
        <f>IF($B440="","",N('05_PRODUCTOS'!$F440))</f>
        <v/>
      </c>
      <c r="L440" s="55" t="str">
        <f>IF($B440="","",N('05_PRODUCTOS'!$G440))</f>
        <v/>
      </c>
      <c r="M440" s="57" t="str">
        <f>IF(OR(tblStock[[#This Row],[SKU]]="",N(tblStock[[#This Row],[StockMax]])=0),"",MAX(0,tblStock[[#This Row],[StockActual]])/tblStock[[#This Row],[StockMax]])</f>
        <v/>
      </c>
      <c r="N44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0" s="59" t="str">
        <f>IF($B440="","",N('05_PRODUCTOS'!$H440))</f>
        <v/>
      </c>
      <c r="P440" s="59" t="str">
        <f>IF(tblStock[[#This Row],[SKU]]="","",MAX(0,tblStock[[#This Row],[StockActual]])*tblStock[[#This Row],[CostoUnitario]])</f>
        <v/>
      </c>
      <c r="Q440" s="60" t="str">
        <f>IF(tblStock[[#This Row],[SKU]]="","",IFERROR(_xlfn.AGGREGATE(14,6,tblMovimientos[Fecha]/(tblMovimientos[SKU]=tblStock[[#This Row],[SKU]]),1),""))</f>
        <v/>
      </c>
      <c r="R440" s="61" t="str">
        <f ca="1">IF(OR(tblStock[[#This Row],[SKU]]="",tblStock[[#This Row],[UltimoMov]]=""),"",TODAY()-tblStock[[#This Row],[UltimoMov]])</f>
        <v/>
      </c>
    </row>
    <row r="441" spans="2:18" x14ac:dyDescent="0.25">
      <c r="B441" s="53" t="str">
        <f>IF('05_PRODUCTOS'!$B441="","",'05_PRODUCTOS'!$B441)</f>
        <v/>
      </c>
      <c r="C441" s="54" t="str">
        <f>IF($B441="","",'05_PRODUCTOS'!$C441)</f>
        <v/>
      </c>
      <c r="D441" s="54" t="str">
        <f>IF($B441="","",'05_PRODUCTOS'!$D441)</f>
        <v/>
      </c>
      <c r="E441" s="54" t="str">
        <f>IF($B441="","",'05_PRODUCTOS'!$I441&amp;"")</f>
        <v/>
      </c>
      <c r="F441" s="53" t="str">
        <f>IF($B441="","",'05_PRODUCTOS'!$E441)</f>
        <v/>
      </c>
      <c r="G441" s="53" t="str">
        <f>IF($B441="","",IF('05_PRODUCTOS'!$K441="NO","NO","SI"))</f>
        <v/>
      </c>
      <c r="H441" s="55" t="str">
        <f>IF(tblStock[[#This Row],[SKU]]="","",SUMIFS(tblMovimientos[CantidadNeta],tblMovimientos[SKU],tblStock[[#This Row],[SKU]],tblMovimientos[FactorStock],1))</f>
        <v/>
      </c>
      <c r="I441" s="55" t="str">
        <f>IF(tblStock[[#This Row],[SKU]]="","",-SUMIFS(tblMovimientos[CantidadNeta],tblMovimientos[SKU],tblStock[[#This Row],[SKU]],tblMovimientos[FactorStock],-1))</f>
        <v/>
      </c>
      <c r="J441" s="56" t="str">
        <f>IF(tblStock[[#This Row],[SKU]]="","",SUMIFS(tblMovimientos[CantidadNeta],tblMovimientos[SKU],tblStock[[#This Row],[SKU]]))</f>
        <v/>
      </c>
      <c r="K441" s="55" t="str">
        <f>IF($B441="","",N('05_PRODUCTOS'!$F441))</f>
        <v/>
      </c>
      <c r="L441" s="55" t="str">
        <f>IF($B441="","",N('05_PRODUCTOS'!$G441))</f>
        <v/>
      </c>
      <c r="M441" s="57" t="str">
        <f>IF(OR(tblStock[[#This Row],[SKU]]="",N(tblStock[[#This Row],[StockMax]])=0),"",MAX(0,tblStock[[#This Row],[StockActual]])/tblStock[[#This Row],[StockMax]])</f>
        <v/>
      </c>
      <c r="N44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1" s="59" t="str">
        <f>IF($B441="","",N('05_PRODUCTOS'!$H441))</f>
        <v/>
      </c>
      <c r="P441" s="59" t="str">
        <f>IF(tblStock[[#This Row],[SKU]]="","",MAX(0,tblStock[[#This Row],[StockActual]])*tblStock[[#This Row],[CostoUnitario]])</f>
        <v/>
      </c>
      <c r="Q441" s="60" t="str">
        <f>IF(tblStock[[#This Row],[SKU]]="","",IFERROR(_xlfn.AGGREGATE(14,6,tblMovimientos[Fecha]/(tblMovimientos[SKU]=tblStock[[#This Row],[SKU]]),1),""))</f>
        <v/>
      </c>
      <c r="R441" s="61" t="str">
        <f ca="1">IF(OR(tblStock[[#This Row],[SKU]]="",tblStock[[#This Row],[UltimoMov]]=""),"",TODAY()-tblStock[[#This Row],[UltimoMov]])</f>
        <v/>
      </c>
    </row>
    <row r="442" spans="2:18" x14ac:dyDescent="0.25">
      <c r="B442" s="53" t="str">
        <f>IF('05_PRODUCTOS'!$B442="","",'05_PRODUCTOS'!$B442)</f>
        <v/>
      </c>
      <c r="C442" s="54" t="str">
        <f>IF($B442="","",'05_PRODUCTOS'!$C442)</f>
        <v/>
      </c>
      <c r="D442" s="54" t="str">
        <f>IF($B442="","",'05_PRODUCTOS'!$D442)</f>
        <v/>
      </c>
      <c r="E442" s="54" t="str">
        <f>IF($B442="","",'05_PRODUCTOS'!$I442&amp;"")</f>
        <v/>
      </c>
      <c r="F442" s="53" t="str">
        <f>IF($B442="","",'05_PRODUCTOS'!$E442)</f>
        <v/>
      </c>
      <c r="G442" s="53" t="str">
        <f>IF($B442="","",IF('05_PRODUCTOS'!$K442="NO","NO","SI"))</f>
        <v/>
      </c>
      <c r="H442" s="55" t="str">
        <f>IF(tblStock[[#This Row],[SKU]]="","",SUMIFS(tblMovimientos[CantidadNeta],tblMovimientos[SKU],tblStock[[#This Row],[SKU]],tblMovimientos[FactorStock],1))</f>
        <v/>
      </c>
      <c r="I442" s="55" t="str">
        <f>IF(tblStock[[#This Row],[SKU]]="","",-SUMIFS(tblMovimientos[CantidadNeta],tblMovimientos[SKU],tblStock[[#This Row],[SKU]],tblMovimientos[FactorStock],-1))</f>
        <v/>
      </c>
      <c r="J442" s="56" t="str">
        <f>IF(tblStock[[#This Row],[SKU]]="","",SUMIFS(tblMovimientos[CantidadNeta],tblMovimientos[SKU],tblStock[[#This Row],[SKU]]))</f>
        <v/>
      </c>
      <c r="K442" s="55" t="str">
        <f>IF($B442="","",N('05_PRODUCTOS'!$F442))</f>
        <v/>
      </c>
      <c r="L442" s="55" t="str">
        <f>IF($B442="","",N('05_PRODUCTOS'!$G442))</f>
        <v/>
      </c>
      <c r="M442" s="57" t="str">
        <f>IF(OR(tblStock[[#This Row],[SKU]]="",N(tblStock[[#This Row],[StockMax]])=0),"",MAX(0,tblStock[[#This Row],[StockActual]])/tblStock[[#This Row],[StockMax]])</f>
        <v/>
      </c>
      <c r="N44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2" s="59" t="str">
        <f>IF($B442="","",N('05_PRODUCTOS'!$H442))</f>
        <v/>
      </c>
      <c r="P442" s="59" t="str">
        <f>IF(tblStock[[#This Row],[SKU]]="","",MAX(0,tblStock[[#This Row],[StockActual]])*tblStock[[#This Row],[CostoUnitario]])</f>
        <v/>
      </c>
      <c r="Q442" s="60" t="str">
        <f>IF(tblStock[[#This Row],[SKU]]="","",IFERROR(_xlfn.AGGREGATE(14,6,tblMovimientos[Fecha]/(tblMovimientos[SKU]=tblStock[[#This Row],[SKU]]),1),""))</f>
        <v/>
      </c>
      <c r="R442" s="61" t="str">
        <f ca="1">IF(OR(tblStock[[#This Row],[SKU]]="",tblStock[[#This Row],[UltimoMov]]=""),"",TODAY()-tblStock[[#This Row],[UltimoMov]])</f>
        <v/>
      </c>
    </row>
    <row r="443" spans="2:18" x14ac:dyDescent="0.25">
      <c r="B443" s="53" t="str">
        <f>IF('05_PRODUCTOS'!$B443="","",'05_PRODUCTOS'!$B443)</f>
        <v/>
      </c>
      <c r="C443" s="54" t="str">
        <f>IF($B443="","",'05_PRODUCTOS'!$C443)</f>
        <v/>
      </c>
      <c r="D443" s="54" t="str">
        <f>IF($B443="","",'05_PRODUCTOS'!$D443)</f>
        <v/>
      </c>
      <c r="E443" s="54" t="str">
        <f>IF($B443="","",'05_PRODUCTOS'!$I443&amp;"")</f>
        <v/>
      </c>
      <c r="F443" s="53" t="str">
        <f>IF($B443="","",'05_PRODUCTOS'!$E443)</f>
        <v/>
      </c>
      <c r="G443" s="53" t="str">
        <f>IF($B443="","",IF('05_PRODUCTOS'!$K443="NO","NO","SI"))</f>
        <v/>
      </c>
      <c r="H443" s="55" t="str">
        <f>IF(tblStock[[#This Row],[SKU]]="","",SUMIFS(tblMovimientos[CantidadNeta],tblMovimientos[SKU],tblStock[[#This Row],[SKU]],tblMovimientos[FactorStock],1))</f>
        <v/>
      </c>
      <c r="I443" s="55" t="str">
        <f>IF(tblStock[[#This Row],[SKU]]="","",-SUMIFS(tblMovimientos[CantidadNeta],tblMovimientos[SKU],tblStock[[#This Row],[SKU]],tblMovimientos[FactorStock],-1))</f>
        <v/>
      </c>
      <c r="J443" s="56" t="str">
        <f>IF(tblStock[[#This Row],[SKU]]="","",SUMIFS(tblMovimientos[CantidadNeta],tblMovimientos[SKU],tblStock[[#This Row],[SKU]]))</f>
        <v/>
      </c>
      <c r="K443" s="55" t="str">
        <f>IF($B443="","",N('05_PRODUCTOS'!$F443))</f>
        <v/>
      </c>
      <c r="L443" s="55" t="str">
        <f>IF($B443="","",N('05_PRODUCTOS'!$G443))</f>
        <v/>
      </c>
      <c r="M443" s="57" t="str">
        <f>IF(OR(tblStock[[#This Row],[SKU]]="",N(tblStock[[#This Row],[StockMax]])=0),"",MAX(0,tblStock[[#This Row],[StockActual]])/tblStock[[#This Row],[StockMax]])</f>
        <v/>
      </c>
      <c r="N44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3" s="59" t="str">
        <f>IF($B443="","",N('05_PRODUCTOS'!$H443))</f>
        <v/>
      </c>
      <c r="P443" s="59" t="str">
        <f>IF(tblStock[[#This Row],[SKU]]="","",MAX(0,tblStock[[#This Row],[StockActual]])*tblStock[[#This Row],[CostoUnitario]])</f>
        <v/>
      </c>
      <c r="Q443" s="60" t="str">
        <f>IF(tblStock[[#This Row],[SKU]]="","",IFERROR(_xlfn.AGGREGATE(14,6,tblMovimientos[Fecha]/(tblMovimientos[SKU]=tblStock[[#This Row],[SKU]]),1),""))</f>
        <v/>
      </c>
      <c r="R443" s="61" t="str">
        <f ca="1">IF(OR(tblStock[[#This Row],[SKU]]="",tblStock[[#This Row],[UltimoMov]]=""),"",TODAY()-tblStock[[#This Row],[UltimoMov]])</f>
        <v/>
      </c>
    </row>
    <row r="444" spans="2:18" x14ac:dyDescent="0.25">
      <c r="B444" s="53" t="str">
        <f>IF('05_PRODUCTOS'!$B444="","",'05_PRODUCTOS'!$B444)</f>
        <v/>
      </c>
      <c r="C444" s="54" t="str">
        <f>IF($B444="","",'05_PRODUCTOS'!$C444)</f>
        <v/>
      </c>
      <c r="D444" s="54" t="str">
        <f>IF($B444="","",'05_PRODUCTOS'!$D444)</f>
        <v/>
      </c>
      <c r="E444" s="54" t="str">
        <f>IF($B444="","",'05_PRODUCTOS'!$I444&amp;"")</f>
        <v/>
      </c>
      <c r="F444" s="53" t="str">
        <f>IF($B444="","",'05_PRODUCTOS'!$E444)</f>
        <v/>
      </c>
      <c r="G444" s="53" t="str">
        <f>IF($B444="","",IF('05_PRODUCTOS'!$K444="NO","NO","SI"))</f>
        <v/>
      </c>
      <c r="H444" s="55" t="str">
        <f>IF(tblStock[[#This Row],[SKU]]="","",SUMIFS(tblMovimientos[CantidadNeta],tblMovimientos[SKU],tblStock[[#This Row],[SKU]],tblMovimientos[FactorStock],1))</f>
        <v/>
      </c>
      <c r="I444" s="55" t="str">
        <f>IF(tblStock[[#This Row],[SKU]]="","",-SUMIFS(tblMovimientos[CantidadNeta],tblMovimientos[SKU],tblStock[[#This Row],[SKU]],tblMovimientos[FactorStock],-1))</f>
        <v/>
      </c>
      <c r="J444" s="56" t="str">
        <f>IF(tblStock[[#This Row],[SKU]]="","",SUMIFS(tblMovimientos[CantidadNeta],tblMovimientos[SKU],tblStock[[#This Row],[SKU]]))</f>
        <v/>
      </c>
      <c r="K444" s="55" t="str">
        <f>IF($B444="","",N('05_PRODUCTOS'!$F444))</f>
        <v/>
      </c>
      <c r="L444" s="55" t="str">
        <f>IF($B444="","",N('05_PRODUCTOS'!$G444))</f>
        <v/>
      </c>
      <c r="M444" s="57" t="str">
        <f>IF(OR(tblStock[[#This Row],[SKU]]="",N(tblStock[[#This Row],[StockMax]])=0),"",MAX(0,tblStock[[#This Row],[StockActual]])/tblStock[[#This Row],[StockMax]])</f>
        <v/>
      </c>
      <c r="N44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4" s="59" t="str">
        <f>IF($B444="","",N('05_PRODUCTOS'!$H444))</f>
        <v/>
      </c>
      <c r="P444" s="59" t="str">
        <f>IF(tblStock[[#This Row],[SKU]]="","",MAX(0,tblStock[[#This Row],[StockActual]])*tblStock[[#This Row],[CostoUnitario]])</f>
        <v/>
      </c>
      <c r="Q444" s="60" t="str">
        <f>IF(tblStock[[#This Row],[SKU]]="","",IFERROR(_xlfn.AGGREGATE(14,6,tblMovimientos[Fecha]/(tblMovimientos[SKU]=tblStock[[#This Row],[SKU]]),1),""))</f>
        <v/>
      </c>
      <c r="R444" s="61" t="str">
        <f ca="1">IF(OR(tblStock[[#This Row],[SKU]]="",tblStock[[#This Row],[UltimoMov]]=""),"",TODAY()-tblStock[[#This Row],[UltimoMov]])</f>
        <v/>
      </c>
    </row>
    <row r="445" spans="2:18" x14ac:dyDescent="0.25">
      <c r="B445" s="53" t="str">
        <f>IF('05_PRODUCTOS'!$B445="","",'05_PRODUCTOS'!$B445)</f>
        <v/>
      </c>
      <c r="C445" s="54" t="str">
        <f>IF($B445="","",'05_PRODUCTOS'!$C445)</f>
        <v/>
      </c>
      <c r="D445" s="54" t="str">
        <f>IF($B445="","",'05_PRODUCTOS'!$D445)</f>
        <v/>
      </c>
      <c r="E445" s="54" t="str">
        <f>IF($B445="","",'05_PRODUCTOS'!$I445&amp;"")</f>
        <v/>
      </c>
      <c r="F445" s="53" t="str">
        <f>IF($B445="","",'05_PRODUCTOS'!$E445)</f>
        <v/>
      </c>
      <c r="G445" s="53" t="str">
        <f>IF($B445="","",IF('05_PRODUCTOS'!$K445="NO","NO","SI"))</f>
        <v/>
      </c>
      <c r="H445" s="55" t="str">
        <f>IF(tblStock[[#This Row],[SKU]]="","",SUMIFS(tblMovimientos[CantidadNeta],tblMovimientos[SKU],tblStock[[#This Row],[SKU]],tblMovimientos[FactorStock],1))</f>
        <v/>
      </c>
      <c r="I445" s="55" t="str">
        <f>IF(tblStock[[#This Row],[SKU]]="","",-SUMIFS(tblMovimientos[CantidadNeta],tblMovimientos[SKU],tblStock[[#This Row],[SKU]],tblMovimientos[FactorStock],-1))</f>
        <v/>
      </c>
      <c r="J445" s="56" t="str">
        <f>IF(tblStock[[#This Row],[SKU]]="","",SUMIFS(tblMovimientos[CantidadNeta],tblMovimientos[SKU],tblStock[[#This Row],[SKU]]))</f>
        <v/>
      </c>
      <c r="K445" s="55" t="str">
        <f>IF($B445="","",N('05_PRODUCTOS'!$F445))</f>
        <v/>
      </c>
      <c r="L445" s="55" t="str">
        <f>IF($B445="","",N('05_PRODUCTOS'!$G445))</f>
        <v/>
      </c>
      <c r="M445" s="57" t="str">
        <f>IF(OR(tblStock[[#This Row],[SKU]]="",N(tblStock[[#This Row],[StockMax]])=0),"",MAX(0,tblStock[[#This Row],[StockActual]])/tblStock[[#This Row],[StockMax]])</f>
        <v/>
      </c>
      <c r="N44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5" s="59" t="str">
        <f>IF($B445="","",N('05_PRODUCTOS'!$H445))</f>
        <v/>
      </c>
      <c r="P445" s="59" t="str">
        <f>IF(tblStock[[#This Row],[SKU]]="","",MAX(0,tblStock[[#This Row],[StockActual]])*tblStock[[#This Row],[CostoUnitario]])</f>
        <v/>
      </c>
      <c r="Q445" s="60" t="str">
        <f>IF(tblStock[[#This Row],[SKU]]="","",IFERROR(_xlfn.AGGREGATE(14,6,tblMovimientos[Fecha]/(tblMovimientos[SKU]=tblStock[[#This Row],[SKU]]),1),""))</f>
        <v/>
      </c>
      <c r="R445" s="61" t="str">
        <f ca="1">IF(OR(tblStock[[#This Row],[SKU]]="",tblStock[[#This Row],[UltimoMov]]=""),"",TODAY()-tblStock[[#This Row],[UltimoMov]])</f>
        <v/>
      </c>
    </row>
    <row r="446" spans="2:18" x14ac:dyDescent="0.25">
      <c r="B446" s="53" t="str">
        <f>IF('05_PRODUCTOS'!$B446="","",'05_PRODUCTOS'!$B446)</f>
        <v/>
      </c>
      <c r="C446" s="54" t="str">
        <f>IF($B446="","",'05_PRODUCTOS'!$C446)</f>
        <v/>
      </c>
      <c r="D446" s="54" t="str">
        <f>IF($B446="","",'05_PRODUCTOS'!$D446)</f>
        <v/>
      </c>
      <c r="E446" s="54" t="str">
        <f>IF($B446="","",'05_PRODUCTOS'!$I446&amp;"")</f>
        <v/>
      </c>
      <c r="F446" s="53" t="str">
        <f>IF($B446="","",'05_PRODUCTOS'!$E446)</f>
        <v/>
      </c>
      <c r="G446" s="53" t="str">
        <f>IF($B446="","",IF('05_PRODUCTOS'!$K446="NO","NO","SI"))</f>
        <v/>
      </c>
      <c r="H446" s="55" t="str">
        <f>IF(tblStock[[#This Row],[SKU]]="","",SUMIFS(tblMovimientos[CantidadNeta],tblMovimientos[SKU],tblStock[[#This Row],[SKU]],tblMovimientos[FactorStock],1))</f>
        <v/>
      </c>
      <c r="I446" s="55" t="str">
        <f>IF(tblStock[[#This Row],[SKU]]="","",-SUMIFS(tblMovimientos[CantidadNeta],tblMovimientos[SKU],tblStock[[#This Row],[SKU]],tblMovimientos[FactorStock],-1))</f>
        <v/>
      </c>
      <c r="J446" s="56" t="str">
        <f>IF(tblStock[[#This Row],[SKU]]="","",SUMIFS(tblMovimientos[CantidadNeta],tblMovimientos[SKU],tblStock[[#This Row],[SKU]]))</f>
        <v/>
      </c>
      <c r="K446" s="55" t="str">
        <f>IF($B446="","",N('05_PRODUCTOS'!$F446))</f>
        <v/>
      </c>
      <c r="L446" s="55" t="str">
        <f>IF($B446="","",N('05_PRODUCTOS'!$G446))</f>
        <v/>
      </c>
      <c r="M446" s="57" t="str">
        <f>IF(OR(tblStock[[#This Row],[SKU]]="",N(tblStock[[#This Row],[StockMax]])=0),"",MAX(0,tblStock[[#This Row],[StockActual]])/tblStock[[#This Row],[StockMax]])</f>
        <v/>
      </c>
      <c r="N44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6" s="59" t="str">
        <f>IF($B446="","",N('05_PRODUCTOS'!$H446))</f>
        <v/>
      </c>
      <c r="P446" s="59" t="str">
        <f>IF(tblStock[[#This Row],[SKU]]="","",MAX(0,tblStock[[#This Row],[StockActual]])*tblStock[[#This Row],[CostoUnitario]])</f>
        <v/>
      </c>
      <c r="Q446" s="60" t="str">
        <f>IF(tblStock[[#This Row],[SKU]]="","",IFERROR(_xlfn.AGGREGATE(14,6,tblMovimientos[Fecha]/(tblMovimientos[SKU]=tblStock[[#This Row],[SKU]]),1),""))</f>
        <v/>
      </c>
      <c r="R446" s="61" t="str">
        <f ca="1">IF(OR(tblStock[[#This Row],[SKU]]="",tblStock[[#This Row],[UltimoMov]]=""),"",TODAY()-tblStock[[#This Row],[UltimoMov]])</f>
        <v/>
      </c>
    </row>
    <row r="447" spans="2:18" x14ac:dyDescent="0.25">
      <c r="B447" s="53" t="str">
        <f>IF('05_PRODUCTOS'!$B447="","",'05_PRODUCTOS'!$B447)</f>
        <v/>
      </c>
      <c r="C447" s="54" t="str">
        <f>IF($B447="","",'05_PRODUCTOS'!$C447)</f>
        <v/>
      </c>
      <c r="D447" s="54" t="str">
        <f>IF($B447="","",'05_PRODUCTOS'!$D447)</f>
        <v/>
      </c>
      <c r="E447" s="54" t="str">
        <f>IF($B447="","",'05_PRODUCTOS'!$I447&amp;"")</f>
        <v/>
      </c>
      <c r="F447" s="53" t="str">
        <f>IF($B447="","",'05_PRODUCTOS'!$E447)</f>
        <v/>
      </c>
      <c r="G447" s="53" t="str">
        <f>IF($B447="","",IF('05_PRODUCTOS'!$K447="NO","NO","SI"))</f>
        <v/>
      </c>
      <c r="H447" s="55" t="str">
        <f>IF(tblStock[[#This Row],[SKU]]="","",SUMIFS(tblMovimientos[CantidadNeta],tblMovimientos[SKU],tblStock[[#This Row],[SKU]],tblMovimientos[FactorStock],1))</f>
        <v/>
      </c>
      <c r="I447" s="55" t="str">
        <f>IF(tblStock[[#This Row],[SKU]]="","",-SUMIFS(tblMovimientos[CantidadNeta],tblMovimientos[SKU],tblStock[[#This Row],[SKU]],tblMovimientos[FactorStock],-1))</f>
        <v/>
      </c>
      <c r="J447" s="56" t="str">
        <f>IF(tblStock[[#This Row],[SKU]]="","",SUMIFS(tblMovimientos[CantidadNeta],tblMovimientos[SKU],tblStock[[#This Row],[SKU]]))</f>
        <v/>
      </c>
      <c r="K447" s="55" t="str">
        <f>IF($B447="","",N('05_PRODUCTOS'!$F447))</f>
        <v/>
      </c>
      <c r="L447" s="55" t="str">
        <f>IF($B447="","",N('05_PRODUCTOS'!$G447))</f>
        <v/>
      </c>
      <c r="M447" s="57" t="str">
        <f>IF(OR(tblStock[[#This Row],[SKU]]="",N(tblStock[[#This Row],[StockMax]])=0),"",MAX(0,tblStock[[#This Row],[StockActual]])/tblStock[[#This Row],[StockMax]])</f>
        <v/>
      </c>
      <c r="N44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7" s="59" t="str">
        <f>IF($B447="","",N('05_PRODUCTOS'!$H447))</f>
        <v/>
      </c>
      <c r="P447" s="59" t="str">
        <f>IF(tblStock[[#This Row],[SKU]]="","",MAX(0,tblStock[[#This Row],[StockActual]])*tblStock[[#This Row],[CostoUnitario]])</f>
        <v/>
      </c>
      <c r="Q447" s="60" t="str">
        <f>IF(tblStock[[#This Row],[SKU]]="","",IFERROR(_xlfn.AGGREGATE(14,6,tblMovimientos[Fecha]/(tblMovimientos[SKU]=tblStock[[#This Row],[SKU]]),1),""))</f>
        <v/>
      </c>
      <c r="R447" s="61" t="str">
        <f ca="1">IF(OR(tblStock[[#This Row],[SKU]]="",tblStock[[#This Row],[UltimoMov]]=""),"",TODAY()-tblStock[[#This Row],[UltimoMov]])</f>
        <v/>
      </c>
    </row>
    <row r="448" spans="2:18" x14ac:dyDescent="0.25">
      <c r="B448" s="53" t="str">
        <f>IF('05_PRODUCTOS'!$B448="","",'05_PRODUCTOS'!$B448)</f>
        <v/>
      </c>
      <c r="C448" s="54" t="str">
        <f>IF($B448="","",'05_PRODUCTOS'!$C448)</f>
        <v/>
      </c>
      <c r="D448" s="54" t="str">
        <f>IF($B448="","",'05_PRODUCTOS'!$D448)</f>
        <v/>
      </c>
      <c r="E448" s="54" t="str">
        <f>IF($B448="","",'05_PRODUCTOS'!$I448&amp;"")</f>
        <v/>
      </c>
      <c r="F448" s="53" t="str">
        <f>IF($B448="","",'05_PRODUCTOS'!$E448)</f>
        <v/>
      </c>
      <c r="G448" s="53" t="str">
        <f>IF($B448="","",IF('05_PRODUCTOS'!$K448="NO","NO","SI"))</f>
        <v/>
      </c>
      <c r="H448" s="55" t="str">
        <f>IF(tblStock[[#This Row],[SKU]]="","",SUMIFS(tblMovimientos[CantidadNeta],tblMovimientos[SKU],tblStock[[#This Row],[SKU]],tblMovimientos[FactorStock],1))</f>
        <v/>
      </c>
      <c r="I448" s="55" t="str">
        <f>IF(tblStock[[#This Row],[SKU]]="","",-SUMIFS(tblMovimientos[CantidadNeta],tblMovimientos[SKU],tblStock[[#This Row],[SKU]],tblMovimientos[FactorStock],-1))</f>
        <v/>
      </c>
      <c r="J448" s="56" t="str">
        <f>IF(tblStock[[#This Row],[SKU]]="","",SUMIFS(tblMovimientos[CantidadNeta],tblMovimientos[SKU],tblStock[[#This Row],[SKU]]))</f>
        <v/>
      </c>
      <c r="K448" s="55" t="str">
        <f>IF($B448="","",N('05_PRODUCTOS'!$F448))</f>
        <v/>
      </c>
      <c r="L448" s="55" t="str">
        <f>IF($B448="","",N('05_PRODUCTOS'!$G448))</f>
        <v/>
      </c>
      <c r="M448" s="57" t="str">
        <f>IF(OR(tblStock[[#This Row],[SKU]]="",N(tblStock[[#This Row],[StockMax]])=0),"",MAX(0,tblStock[[#This Row],[StockActual]])/tblStock[[#This Row],[StockMax]])</f>
        <v/>
      </c>
      <c r="N44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8" s="59" t="str">
        <f>IF($B448="","",N('05_PRODUCTOS'!$H448))</f>
        <v/>
      </c>
      <c r="P448" s="59" t="str">
        <f>IF(tblStock[[#This Row],[SKU]]="","",MAX(0,tblStock[[#This Row],[StockActual]])*tblStock[[#This Row],[CostoUnitario]])</f>
        <v/>
      </c>
      <c r="Q448" s="60" t="str">
        <f>IF(tblStock[[#This Row],[SKU]]="","",IFERROR(_xlfn.AGGREGATE(14,6,tblMovimientos[Fecha]/(tblMovimientos[SKU]=tblStock[[#This Row],[SKU]]),1),""))</f>
        <v/>
      </c>
      <c r="R448" s="61" t="str">
        <f ca="1">IF(OR(tblStock[[#This Row],[SKU]]="",tblStock[[#This Row],[UltimoMov]]=""),"",TODAY()-tblStock[[#This Row],[UltimoMov]])</f>
        <v/>
      </c>
    </row>
    <row r="449" spans="2:18" x14ac:dyDescent="0.25">
      <c r="B449" s="53" t="str">
        <f>IF('05_PRODUCTOS'!$B449="","",'05_PRODUCTOS'!$B449)</f>
        <v/>
      </c>
      <c r="C449" s="54" t="str">
        <f>IF($B449="","",'05_PRODUCTOS'!$C449)</f>
        <v/>
      </c>
      <c r="D449" s="54" t="str">
        <f>IF($B449="","",'05_PRODUCTOS'!$D449)</f>
        <v/>
      </c>
      <c r="E449" s="54" t="str">
        <f>IF($B449="","",'05_PRODUCTOS'!$I449&amp;"")</f>
        <v/>
      </c>
      <c r="F449" s="53" t="str">
        <f>IF($B449="","",'05_PRODUCTOS'!$E449)</f>
        <v/>
      </c>
      <c r="G449" s="53" t="str">
        <f>IF($B449="","",IF('05_PRODUCTOS'!$K449="NO","NO","SI"))</f>
        <v/>
      </c>
      <c r="H449" s="55" t="str">
        <f>IF(tblStock[[#This Row],[SKU]]="","",SUMIFS(tblMovimientos[CantidadNeta],tblMovimientos[SKU],tblStock[[#This Row],[SKU]],tblMovimientos[FactorStock],1))</f>
        <v/>
      </c>
      <c r="I449" s="55" t="str">
        <f>IF(tblStock[[#This Row],[SKU]]="","",-SUMIFS(tblMovimientos[CantidadNeta],tblMovimientos[SKU],tblStock[[#This Row],[SKU]],tblMovimientos[FactorStock],-1))</f>
        <v/>
      </c>
      <c r="J449" s="56" t="str">
        <f>IF(tblStock[[#This Row],[SKU]]="","",SUMIFS(tblMovimientos[CantidadNeta],tblMovimientos[SKU],tblStock[[#This Row],[SKU]]))</f>
        <v/>
      </c>
      <c r="K449" s="55" t="str">
        <f>IF($B449="","",N('05_PRODUCTOS'!$F449))</f>
        <v/>
      </c>
      <c r="L449" s="55" t="str">
        <f>IF($B449="","",N('05_PRODUCTOS'!$G449))</f>
        <v/>
      </c>
      <c r="M449" s="57" t="str">
        <f>IF(OR(tblStock[[#This Row],[SKU]]="",N(tblStock[[#This Row],[StockMax]])=0),"",MAX(0,tblStock[[#This Row],[StockActual]])/tblStock[[#This Row],[StockMax]])</f>
        <v/>
      </c>
      <c r="N44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49" s="59" t="str">
        <f>IF($B449="","",N('05_PRODUCTOS'!$H449))</f>
        <v/>
      </c>
      <c r="P449" s="59" t="str">
        <f>IF(tblStock[[#This Row],[SKU]]="","",MAX(0,tblStock[[#This Row],[StockActual]])*tblStock[[#This Row],[CostoUnitario]])</f>
        <v/>
      </c>
      <c r="Q449" s="60" t="str">
        <f>IF(tblStock[[#This Row],[SKU]]="","",IFERROR(_xlfn.AGGREGATE(14,6,tblMovimientos[Fecha]/(tblMovimientos[SKU]=tblStock[[#This Row],[SKU]]),1),""))</f>
        <v/>
      </c>
      <c r="R449" s="61" t="str">
        <f ca="1">IF(OR(tblStock[[#This Row],[SKU]]="",tblStock[[#This Row],[UltimoMov]]=""),"",TODAY()-tblStock[[#This Row],[UltimoMov]])</f>
        <v/>
      </c>
    </row>
    <row r="450" spans="2:18" x14ac:dyDescent="0.25">
      <c r="B450" s="53" t="str">
        <f>IF('05_PRODUCTOS'!$B450="","",'05_PRODUCTOS'!$B450)</f>
        <v/>
      </c>
      <c r="C450" s="54" t="str">
        <f>IF($B450="","",'05_PRODUCTOS'!$C450)</f>
        <v/>
      </c>
      <c r="D450" s="54" t="str">
        <f>IF($B450="","",'05_PRODUCTOS'!$D450)</f>
        <v/>
      </c>
      <c r="E450" s="54" t="str">
        <f>IF($B450="","",'05_PRODUCTOS'!$I450&amp;"")</f>
        <v/>
      </c>
      <c r="F450" s="53" t="str">
        <f>IF($B450="","",'05_PRODUCTOS'!$E450)</f>
        <v/>
      </c>
      <c r="G450" s="53" t="str">
        <f>IF($B450="","",IF('05_PRODUCTOS'!$K450="NO","NO","SI"))</f>
        <v/>
      </c>
      <c r="H450" s="55" t="str">
        <f>IF(tblStock[[#This Row],[SKU]]="","",SUMIFS(tblMovimientos[CantidadNeta],tblMovimientos[SKU],tblStock[[#This Row],[SKU]],tblMovimientos[FactorStock],1))</f>
        <v/>
      </c>
      <c r="I450" s="55" t="str">
        <f>IF(tblStock[[#This Row],[SKU]]="","",-SUMIFS(tblMovimientos[CantidadNeta],tblMovimientos[SKU],tblStock[[#This Row],[SKU]],tblMovimientos[FactorStock],-1))</f>
        <v/>
      </c>
      <c r="J450" s="56" t="str">
        <f>IF(tblStock[[#This Row],[SKU]]="","",SUMIFS(tblMovimientos[CantidadNeta],tblMovimientos[SKU],tblStock[[#This Row],[SKU]]))</f>
        <v/>
      </c>
      <c r="K450" s="55" t="str">
        <f>IF($B450="","",N('05_PRODUCTOS'!$F450))</f>
        <v/>
      </c>
      <c r="L450" s="55" t="str">
        <f>IF($B450="","",N('05_PRODUCTOS'!$G450))</f>
        <v/>
      </c>
      <c r="M450" s="57" t="str">
        <f>IF(OR(tblStock[[#This Row],[SKU]]="",N(tblStock[[#This Row],[StockMax]])=0),"",MAX(0,tblStock[[#This Row],[StockActual]])/tblStock[[#This Row],[StockMax]])</f>
        <v/>
      </c>
      <c r="N45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0" s="59" t="str">
        <f>IF($B450="","",N('05_PRODUCTOS'!$H450))</f>
        <v/>
      </c>
      <c r="P450" s="59" t="str">
        <f>IF(tblStock[[#This Row],[SKU]]="","",MAX(0,tblStock[[#This Row],[StockActual]])*tblStock[[#This Row],[CostoUnitario]])</f>
        <v/>
      </c>
      <c r="Q450" s="60" t="str">
        <f>IF(tblStock[[#This Row],[SKU]]="","",IFERROR(_xlfn.AGGREGATE(14,6,tblMovimientos[Fecha]/(tblMovimientos[SKU]=tblStock[[#This Row],[SKU]]),1),""))</f>
        <v/>
      </c>
      <c r="R450" s="61" t="str">
        <f ca="1">IF(OR(tblStock[[#This Row],[SKU]]="",tblStock[[#This Row],[UltimoMov]]=""),"",TODAY()-tblStock[[#This Row],[UltimoMov]])</f>
        <v/>
      </c>
    </row>
    <row r="451" spans="2:18" x14ac:dyDescent="0.25">
      <c r="B451" s="53" t="str">
        <f>IF('05_PRODUCTOS'!$B451="","",'05_PRODUCTOS'!$B451)</f>
        <v/>
      </c>
      <c r="C451" s="54" t="str">
        <f>IF($B451="","",'05_PRODUCTOS'!$C451)</f>
        <v/>
      </c>
      <c r="D451" s="54" t="str">
        <f>IF($B451="","",'05_PRODUCTOS'!$D451)</f>
        <v/>
      </c>
      <c r="E451" s="54" t="str">
        <f>IF($B451="","",'05_PRODUCTOS'!$I451&amp;"")</f>
        <v/>
      </c>
      <c r="F451" s="53" t="str">
        <f>IF($B451="","",'05_PRODUCTOS'!$E451)</f>
        <v/>
      </c>
      <c r="G451" s="53" t="str">
        <f>IF($B451="","",IF('05_PRODUCTOS'!$K451="NO","NO","SI"))</f>
        <v/>
      </c>
      <c r="H451" s="55" t="str">
        <f>IF(tblStock[[#This Row],[SKU]]="","",SUMIFS(tblMovimientos[CantidadNeta],tblMovimientos[SKU],tblStock[[#This Row],[SKU]],tblMovimientos[FactorStock],1))</f>
        <v/>
      </c>
      <c r="I451" s="55" t="str">
        <f>IF(tblStock[[#This Row],[SKU]]="","",-SUMIFS(tblMovimientos[CantidadNeta],tblMovimientos[SKU],tblStock[[#This Row],[SKU]],tblMovimientos[FactorStock],-1))</f>
        <v/>
      </c>
      <c r="J451" s="56" t="str">
        <f>IF(tblStock[[#This Row],[SKU]]="","",SUMIFS(tblMovimientos[CantidadNeta],tblMovimientos[SKU],tblStock[[#This Row],[SKU]]))</f>
        <v/>
      </c>
      <c r="K451" s="55" t="str">
        <f>IF($B451="","",N('05_PRODUCTOS'!$F451))</f>
        <v/>
      </c>
      <c r="L451" s="55" t="str">
        <f>IF($B451="","",N('05_PRODUCTOS'!$G451))</f>
        <v/>
      </c>
      <c r="M451" s="57" t="str">
        <f>IF(OR(tblStock[[#This Row],[SKU]]="",N(tblStock[[#This Row],[StockMax]])=0),"",MAX(0,tblStock[[#This Row],[StockActual]])/tblStock[[#This Row],[StockMax]])</f>
        <v/>
      </c>
      <c r="N45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1" s="59" t="str">
        <f>IF($B451="","",N('05_PRODUCTOS'!$H451))</f>
        <v/>
      </c>
      <c r="P451" s="59" t="str">
        <f>IF(tblStock[[#This Row],[SKU]]="","",MAX(0,tblStock[[#This Row],[StockActual]])*tblStock[[#This Row],[CostoUnitario]])</f>
        <v/>
      </c>
      <c r="Q451" s="60" t="str">
        <f>IF(tblStock[[#This Row],[SKU]]="","",IFERROR(_xlfn.AGGREGATE(14,6,tblMovimientos[Fecha]/(tblMovimientos[SKU]=tblStock[[#This Row],[SKU]]),1),""))</f>
        <v/>
      </c>
      <c r="R451" s="61" t="str">
        <f ca="1">IF(OR(tblStock[[#This Row],[SKU]]="",tblStock[[#This Row],[UltimoMov]]=""),"",TODAY()-tblStock[[#This Row],[UltimoMov]])</f>
        <v/>
      </c>
    </row>
    <row r="452" spans="2:18" x14ac:dyDescent="0.25">
      <c r="B452" s="53" t="str">
        <f>IF('05_PRODUCTOS'!$B452="","",'05_PRODUCTOS'!$B452)</f>
        <v/>
      </c>
      <c r="C452" s="54" t="str">
        <f>IF($B452="","",'05_PRODUCTOS'!$C452)</f>
        <v/>
      </c>
      <c r="D452" s="54" t="str">
        <f>IF($B452="","",'05_PRODUCTOS'!$D452)</f>
        <v/>
      </c>
      <c r="E452" s="54" t="str">
        <f>IF($B452="","",'05_PRODUCTOS'!$I452&amp;"")</f>
        <v/>
      </c>
      <c r="F452" s="53" t="str">
        <f>IF($B452="","",'05_PRODUCTOS'!$E452)</f>
        <v/>
      </c>
      <c r="G452" s="53" t="str">
        <f>IF($B452="","",IF('05_PRODUCTOS'!$K452="NO","NO","SI"))</f>
        <v/>
      </c>
      <c r="H452" s="55" t="str">
        <f>IF(tblStock[[#This Row],[SKU]]="","",SUMIFS(tblMovimientos[CantidadNeta],tblMovimientos[SKU],tblStock[[#This Row],[SKU]],tblMovimientos[FactorStock],1))</f>
        <v/>
      </c>
      <c r="I452" s="55" t="str">
        <f>IF(tblStock[[#This Row],[SKU]]="","",-SUMIFS(tblMovimientos[CantidadNeta],tblMovimientos[SKU],tblStock[[#This Row],[SKU]],tblMovimientos[FactorStock],-1))</f>
        <v/>
      </c>
      <c r="J452" s="56" t="str">
        <f>IF(tblStock[[#This Row],[SKU]]="","",SUMIFS(tblMovimientos[CantidadNeta],tblMovimientos[SKU],tblStock[[#This Row],[SKU]]))</f>
        <v/>
      </c>
      <c r="K452" s="55" t="str">
        <f>IF($B452="","",N('05_PRODUCTOS'!$F452))</f>
        <v/>
      </c>
      <c r="L452" s="55" t="str">
        <f>IF($B452="","",N('05_PRODUCTOS'!$G452))</f>
        <v/>
      </c>
      <c r="M452" s="57" t="str">
        <f>IF(OR(tblStock[[#This Row],[SKU]]="",N(tblStock[[#This Row],[StockMax]])=0),"",MAX(0,tblStock[[#This Row],[StockActual]])/tblStock[[#This Row],[StockMax]])</f>
        <v/>
      </c>
      <c r="N45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2" s="59" t="str">
        <f>IF($B452="","",N('05_PRODUCTOS'!$H452))</f>
        <v/>
      </c>
      <c r="P452" s="59" t="str">
        <f>IF(tblStock[[#This Row],[SKU]]="","",MAX(0,tblStock[[#This Row],[StockActual]])*tblStock[[#This Row],[CostoUnitario]])</f>
        <v/>
      </c>
      <c r="Q452" s="60" t="str">
        <f>IF(tblStock[[#This Row],[SKU]]="","",IFERROR(_xlfn.AGGREGATE(14,6,tblMovimientos[Fecha]/(tblMovimientos[SKU]=tblStock[[#This Row],[SKU]]),1),""))</f>
        <v/>
      </c>
      <c r="R452" s="61" t="str">
        <f ca="1">IF(OR(tblStock[[#This Row],[SKU]]="",tblStock[[#This Row],[UltimoMov]]=""),"",TODAY()-tblStock[[#This Row],[UltimoMov]])</f>
        <v/>
      </c>
    </row>
    <row r="453" spans="2:18" x14ac:dyDescent="0.25">
      <c r="B453" s="53" t="str">
        <f>IF('05_PRODUCTOS'!$B453="","",'05_PRODUCTOS'!$B453)</f>
        <v/>
      </c>
      <c r="C453" s="54" t="str">
        <f>IF($B453="","",'05_PRODUCTOS'!$C453)</f>
        <v/>
      </c>
      <c r="D453" s="54" t="str">
        <f>IF($B453="","",'05_PRODUCTOS'!$D453)</f>
        <v/>
      </c>
      <c r="E453" s="54" t="str">
        <f>IF($B453="","",'05_PRODUCTOS'!$I453&amp;"")</f>
        <v/>
      </c>
      <c r="F453" s="53" t="str">
        <f>IF($B453="","",'05_PRODUCTOS'!$E453)</f>
        <v/>
      </c>
      <c r="G453" s="53" t="str">
        <f>IF($B453="","",IF('05_PRODUCTOS'!$K453="NO","NO","SI"))</f>
        <v/>
      </c>
      <c r="H453" s="55" t="str">
        <f>IF(tblStock[[#This Row],[SKU]]="","",SUMIFS(tblMovimientos[CantidadNeta],tblMovimientos[SKU],tblStock[[#This Row],[SKU]],tblMovimientos[FactorStock],1))</f>
        <v/>
      </c>
      <c r="I453" s="55" t="str">
        <f>IF(tblStock[[#This Row],[SKU]]="","",-SUMIFS(tblMovimientos[CantidadNeta],tblMovimientos[SKU],tblStock[[#This Row],[SKU]],tblMovimientos[FactorStock],-1))</f>
        <v/>
      </c>
      <c r="J453" s="56" t="str">
        <f>IF(tblStock[[#This Row],[SKU]]="","",SUMIFS(tblMovimientos[CantidadNeta],tblMovimientos[SKU],tblStock[[#This Row],[SKU]]))</f>
        <v/>
      </c>
      <c r="K453" s="55" t="str">
        <f>IF($B453="","",N('05_PRODUCTOS'!$F453))</f>
        <v/>
      </c>
      <c r="L453" s="55" t="str">
        <f>IF($B453="","",N('05_PRODUCTOS'!$G453))</f>
        <v/>
      </c>
      <c r="M453" s="57" t="str">
        <f>IF(OR(tblStock[[#This Row],[SKU]]="",N(tblStock[[#This Row],[StockMax]])=0),"",MAX(0,tblStock[[#This Row],[StockActual]])/tblStock[[#This Row],[StockMax]])</f>
        <v/>
      </c>
      <c r="N45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3" s="59" t="str">
        <f>IF($B453="","",N('05_PRODUCTOS'!$H453))</f>
        <v/>
      </c>
      <c r="P453" s="59" t="str">
        <f>IF(tblStock[[#This Row],[SKU]]="","",MAX(0,tblStock[[#This Row],[StockActual]])*tblStock[[#This Row],[CostoUnitario]])</f>
        <v/>
      </c>
      <c r="Q453" s="60" t="str">
        <f>IF(tblStock[[#This Row],[SKU]]="","",IFERROR(_xlfn.AGGREGATE(14,6,tblMovimientos[Fecha]/(tblMovimientos[SKU]=tblStock[[#This Row],[SKU]]),1),""))</f>
        <v/>
      </c>
      <c r="R453" s="61" t="str">
        <f ca="1">IF(OR(tblStock[[#This Row],[SKU]]="",tblStock[[#This Row],[UltimoMov]]=""),"",TODAY()-tblStock[[#This Row],[UltimoMov]])</f>
        <v/>
      </c>
    </row>
    <row r="454" spans="2:18" x14ac:dyDescent="0.25">
      <c r="B454" s="53" t="str">
        <f>IF('05_PRODUCTOS'!$B454="","",'05_PRODUCTOS'!$B454)</f>
        <v/>
      </c>
      <c r="C454" s="54" t="str">
        <f>IF($B454="","",'05_PRODUCTOS'!$C454)</f>
        <v/>
      </c>
      <c r="D454" s="54" t="str">
        <f>IF($B454="","",'05_PRODUCTOS'!$D454)</f>
        <v/>
      </c>
      <c r="E454" s="54" t="str">
        <f>IF($B454="","",'05_PRODUCTOS'!$I454&amp;"")</f>
        <v/>
      </c>
      <c r="F454" s="53" t="str">
        <f>IF($B454="","",'05_PRODUCTOS'!$E454)</f>
        <v/>
      </c>
      <c r="G454" s="53" t="str">
        <f>IF($B454="","",IF('05_PRODUCTOS'!$K454="NO","NO","SI"))</f>
        <v/>
      </c>
      <c r="H454" s="55" t="str">
        <f>IF(tblStock[[#This Row],[SKU]]="","",SUMIFS(tblMovimientos[CantidadNeta],tblMovimientos[SKU],tblStock[[#This Row],[SKU]],tblMovimientos[FactorStock],1))</f>
        <v/>
      </c>
      <c r="I454" s="55" t="str">
        <f>IF(tblStock[[#This Row],[SKU]]="","",-SUMIFS(tblMovimientos[CantidadNeta],tblMovimientos[SKU],tblStock[[#This Row],[SKU]],tblMovimientos[FactorStock],-1))</f>
        <v/>
      </c>
      <c r="J454" s="56" t="str">
        <f>IF(tblStock[[#This Row],[SKU]]="","",SUMIFS(tblMovimientos[CantidadNeta],tblMovimientos[SKU],tblStock[[#This Row],[SKU]]))</f>
        <v/>
      </c>
      <c r="K454" s="55" t="str">
        <f>IF($B454="","",N('05_PRODUCTOS'!$F454))</f>
        <v/>
      </c>
      <c r="L454" s="55" t="str">
        <f>IF($B454="","",N('05_PRODUCTOS'!$G454))</f>
        <v/>
      </c>
      <c r="M454" s="57" t="str">
        <f>IF(OR(tblStock[[#This Row],[SKU]]="",N(tblStock[[#This Row],[StockMax]])=0),"",MAX(0,tblStock[[#This Row],[StockActual]])/tblStock[[#This Row],[StockMax]])</f>
        <v/>
      </c>
      <c r="N45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4" s="59" t="str">
        <f>IF($B454="","",N('05_PRODUCTOS'!$H454))</f>
        <v/>
      </c>
      <c r="P454" s="59" t="str">
        <f>IF(tblStock[[#This Row],[SKU]]="","",MAX(0,tblStock[[#This Row],[StockActual]])*tblStock[[#This Row],[CostoUnitario]])</f>
        <v/>
      </c>
      <c r="Q454" s="60" t="str">
        <f>IF(tblStock[[#This Row],[SKU]]="","",IFERROR(_xlfn.AGGREGATE(14,6,tblMovimientos[Fecha]/(tblMovimientos[SKU]=tblStock[[#This Row],[SKU]]),1),""))</f>
        <v/>
      </c>
      <c r="R454" s="61" t="str">
        <f ca="1">IF(OR(tblStock[[#This Row],[SKU]]="",tblStock[[#This Row],[UltimoMov]]=""),"",TODAY()-tblStock[[#This Row],[UltimoMov]])</f>
        <v/>
      </c>
    </row>
    <row r="455" spans="2:18" x14ac:dyDescent="0.25">
      <c r="B455" s="53" t="str">
        <f>IF('05_PRODUCTOS'!$B455="","",'05_PRODUCTOS'!$B455)</f>
        <v/>
      </c>
      <c r="C455" s="54" t="str">
        <f>IF($B455="","",'05_PRODUCTOS'!$C455)</f>
        <v/>
      </c>
      <c r="D455" s="54" t="str">
        <f>IF($B455="","",'05_PRODUCTOS'!$D455)</f>
        <v/>
      </c>
      <c r="E455" s="54" t="str">
        <f>IF($B455="","",'05_PRODUCTOS'!$I455&amp;"")</f>
        <v/>
      </c>
      <c r="F455" s="53" t="str">
        <f>IF($B455="","",'05_PRODUCTOS'!$E455)</f>
        <v/>
      </c>
      <c r="G455" s="53" t="str">
        <f>IF($B455="","",IF('05_PRODUCTOS'!$K455="NO","NO","SI"))</f>
        <v/>
      </c>
      <c r="H455" s="55" t="str">
        <f>IF(tblStock[[#This Row],[SKU]]="","",SUMIFS(tblMovimientos[CantidadNeta],tblMovimientos[SKU],tblStock[[#This Row],[SKU]],tblMovimientos[FactorStock],1))</f>
        <v/>
      </c>
      <c r="I455" s="55" t="str">
        <f>IF(tblStock[[#This Row],[SKU]]="","",-SUMIFS(tblMovimientos[CantidadNeta],tblMovimientos[SKU],tblStock[[#This Row],[SKU]],tblMovimientos[FactorStock],-1))</f>
        <v/>
      </c>
      <c r="J455" s="56" t="str">
        <f>IF(tblStock[[#This Row],[SKU]]="","",SUMIFS(tblMovimientos[CantidadNeta],tblMovimientos[SKU],tblStock[[#This Row],[SKU]]))</f>
        <v/>
      </c>
      <c r="K455" s="55" t="str">
        <f>IF($B455="","",N('05_PRODUCTOS'!$F455))</f>
        <v/>
      </c>
      <c r="L455" s="55" t="str">
        <f>IF($B455="","",N('05_PRODUCTOS'!$G455))</f>
        <v/>
      </c>
      <c r="M455" s="57" t="str">
        <f>IF(OR(tblStock[[#This Row],[SKU]]="",N(tblStock[[#This Row],[StockMax]])=0),"",MAX(0,tblStock[[#This Row],[StockActual]])/tblStock[[#This Row],[StockMax]])</f>
        <v/>
      </c>
      <c r="N45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5" s="59" t="str">
        <f>IF($B455="","",N('05_PRODUCTOS'!$H455))</f>
        <v/>
      </c>
      <c r="P455" s="59" t="str">
        <f>IF(tblStock[[#This Row],[SKU]]="","",MAX(0,tblStock[[#This Row],[StockActual]])*tblStock[[#This Row],[CostoUnitario]])</f>
        <v/>
      </c>
      <c r="Q455" s="60" t="str">
        <f>IF(tblStock[[#This Row],[SKU]]="","",IFERROR(_xlfn.AGGREGATE(14,6,tblMovimientos[Fecha]/(tblMovimientos[SKU]=tblStock[[#This Row],[SKU]]),1),""))</f>
        <v/>
      </c>
      <c r="R455" s="61" t="str">
        <f ca="1">IF(OR(tblStock[[#This Row],[SKU]]="",tblStock[[#This Row],[UltimoMov]]=""),"",TODAY()-tblStock[[#This Row],[UltimoMov]])</f>
        <v/>
      </c>
    </row>
    <row r="456" spans="2:18" x14ac:dyDescent="0.25">
      <c r="B456" s="53" t="str">
        <f>IF('05_PRODUCTOS'!$B456="","",'05_PRODUCTOS'!$B456)</f>
        <v/>
      </c>
      <c r="C456" s="54" t="str">
        <f>IF($B456="","",'05_PRODUCTOS'!$C456)</f>
        <v/>
      </c>
      <c r="D456" s="54" t="str">
        <f>IF($B456="","",'05_PRODUCTOS'!$D456)</f>
        <v/>
      </c>
      <c r="E456" s="54" t="str">
        <f>IF($B456="","",'05_PRODUCTOS'!$I456&amp;"")</f>
        <v/>
      </c>
      <c r="F456" s="53" t="str">
        <f>IF($B456="","",'05_PRODUCTOS'!$E456)</f>
        <v/>
      </c>
      <c r="G456" s="53" t="str">
        <f>IF($B456="","",IF('05_PRODUCTOS'!$K456="NO","NO","SI"))</f>
        <v/>
      </c>
      <c r="H456" s="55" t="str">
        <f>IF(tblStock[[#This Row],[SKU]]="","",SUMIFS(tblMovimientos[CantidadNeta],tblMovimientos[SKU],tblStock[[#This Row],[SKU]],tblMovimientos[FactorStock],1))</f>
        <v/>
      </c>
      <c r="I456" s="55" t="str">
        <f>IF(tblStock[[#This Row],[SKU]]="","",-SUMIFS(tblMovimientos[CantidadNeta],tblMovimientos[SKU],tblStock[[#This Row],[SKU]],tblMovimientos[FactorStock],-1))</f>
        <v/>
      </c>
      <c r="J456" s="56" t="str">
        <f>IF(tblStock[[#This Row],[SKU]]="","",SUMIFS(tblMovimientos[CantidadNeta],tblMovimientos[SKU],tblStock[[#This Row],[SKU]]))</f>
        <v/>
      </c>
      <c r="K456" s="55" t="str">
        <f>IF($B456="","",N('05_PRODUCTOS'!$F456))</f>
        <v/>
      </c>
      <c r="L456" s="55" t="str">
        <f>IF($B456="","",N('05_PRODUCTOS'!$G456))</f>
        <v/>
      </c>
      <c r="M456" s="57" t="str">
        <f>IF(OR(tblStock[[#This Row],[SKU]]="",N(tblStock[[#This Row],[StockMax]])=0),"",MAX(0,tblStock[[#This Row],[StockActual]])/tblStock[[#This Row],[StockMax]])</f>
        <v/>
      </c>
      <c r="N45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6" s="59" t="str">
        <f>IF($B456="","",N('05_PRODUCTOS'!$H456))</f>
        <v/>
      </c>
      <c r="P456" s="59" t="str">
        <f>IF(tblStock[[#This Row],[SKU]]="","",MAX(0,tblStock[[#This Row],[StockActual]])*tblStock[[#This Row],[CostoUnitario]])</f>
        <v/>
      </c>
      <c r="Q456" s="60" t="str">
        <f>IF(tblStock[[#This Row],[SKU]]="","",IFERROR(_xlfn.AGGREGATE(14,6,tblMovimientos[Fecha]/(tblMovimientos[SKU]=tblStock[[#This Row],[SKU]]),1),""))</f>
        <v/>
      </c>
      <c r="R456" s="61" t="str">
        <f ca="1">IF(OR(tblStock[[#This Row],[SKU]]="",tblStock[[#This Row],[UltimoMov]]=""),"",TODAY()-tblStock[[#This Row],[UltimoMov]])</f>
        <v/>
      </c>
    </row>
    <row r="457" spans="2:18" x14ac:dyDescent="0.25">
      <c r="B457" s="53" t="str">
        <f>IF('05_PRODUCTOS'!$B457="","",'05_PRODUCTOS'!$B457)</f>
        <v/>
      </c>
      <c r="C457" s="54" t="str">
        <f>IF($B457="","",'05_PRODUCTOS'!$C457)</f>
        <v/>
      </c>
      <c r="D457" s="54" t="str">
        <f>IF($B457="","",'05_PRODUCTOS'!$D457)</f>
        <v/>
      </c>
      <c r="E457" s="54" t="str">
        <f>IF($B457="","",'05_PRODUCTOS'!$I457&amp;"")</f>
        <v/>
      </c>
      <c r="F457" s="53" t="str">
        <f>IF($B457="","",'05_PRODUCTOS'!$E457)</f>
        <v/>
      </c>
      <c r="G457" s="53" t="str">
        <f>IF($B457="","",IF('05_PRODUCTOS'!$K457="NO","NO","SI"))</f>
        <v/>
      </c>
      <c r="H457" s="55" t="str">
        <f>IF(tblStock[[#This Row],[SKU]]="","",SUMIFS(tblMovimientos[CantidadNeta],tblMovimientos[SKU],tblStock[[#This Row],[SKU]],tblMovimientos[FactorStock],1))</f>
        <v/>
      </c>
      <c r="I457" s="55" t="str">
        <f>IF(tblStock[[#This Row],[SKU]]="","",-SUMIFS(tblMovimientos[CantidadNeta],tblMovimientos[SKU],tblStock[[#This Row],[SKU]],tblMovimientos[FactorStock],-1))</f>
        <v/>
      </c>
      <c r="J457" s="56" t="str">
        <f>IF(tblStock[[#This Row],[SKU]]="","",SUMIFS(tblMovimientos[CantidadNeta],tblMovimientos[SKU],tblStock[[#This Row],[SKU]]))</f>
        <v/>
      </c>
      <c r="K457" s="55" t="str">
        <f>IF($B457="","",N('05_PRODUCTOS'!$F457))</f>
        <v/>
      </c>
      <c r="L457" s="55" t="str">
        <f>IF($B457="","",N('05_PRODUCTOS'!$G457))</f>
        <v/>
      </c>
      <c r="M457" s="57" t="str">
        <f>IF(OR(tblStock[[#This Row],[SKU]]="",N(tblStock[[#This Row],[StockMax]])=0),"",MAX(0,tblStock[[#This Row],[StockActual]])/tblStock[[#This Row],[StockMax]])</f>
        <v/>
      </c>
      <c r="N45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7" s="59" t="str">
        <f>IF($B457="","",N('05_PRODUCTOS'!$H457))</f>
        <v/>
      </c>
      <c r="P457" s="59" t="str">
        <f>IF(tblStock[[#This Row],[SKU]]="","",MAX(0,tblStock[[#This Row],[StockActual]])*tblStock[[#This Row],[CostoUnitario]])</f>
        <v/>
      </c>
      <c r="Q457" s="60" t="str">
        <f>IF(tblStock[[#This Row],[SKU]]="","",IFERROR(_xlfn.AGGREGATE(14,6,tblMovimientos[Fecha]/(tblMovimientos[SKU]=tblStock[[#This Row],[SKU]]),1),""))</f>
        <v/>
      </c>
      <c r="R457" s="61" t="str">
        <f ca="1">IF(OR(tblStock[[#This Row],[SKU]]="",tblStock[[#This Row],[UltimoMov]]=""),"",TODAY()-tblStock[[#This Row],[UltimoMov]])</f>
        <v/>
      </c>
    </row>
    <row r="458" spans="2:18" x14ac:dyDescent="0.25">
      <c r="B458" s="53" t="str">
        <f>IF('05_PRODUCTOS'!$B458="","",'05_PRODUCTOS'!$B458)</f>
        <v/>
      </c>
      <c r="C458" s="54" t="str">
        <f>IF($B458="","",'05_PRODUCTOS'!$C458)</f>
        <v/>
      </c>
      <c r="D458" s="54" t="str">
        <f>IF($B458="","",'05_PRODUCTOS'!$D458)</f>
        <v/>
      </c>
      <c r="E458" s="54" t="str">
        <f>IF($B458="","",'05_PRODUCTOS'!$I458&amp;"")</f>
        <v/>
      </c>
      <c r="F458" s="53" t="str">
        <f>IF($B458="","",'05_PRODUCTOS'!$E458)</f>
        <v/>
      </c>
      <c r="G458" s="53" t="str">
        <f>IF($B458="","",IF('05_PRODUCTOS'!$K458="NO","NO","SI"))</f>
        <v/>
      </c>
      <c r="H458" s="55" t="str">
        <f>IF(tblStock[[#This Row],[SKU]]="","",SUMIFS(tblMovimientos[CantidadNeta],tblMovimientos[SKU],tblStock[[#This Row],[SKU]],tblMovimientos[FactorStock],1))</f>
        <v/>
      </c>
      <c r="I458" s="55" t="str">
        <f>IF(tblStock[[#This Row],[SKU]]="","",-SUMIFS(tblMovimientos[CantidadNeta],tblMovimientos[SKU],tblStock[[#This Row],[SKU]],tblMovimientos[FactorStock],-1))</f>
        <v/>
      </c>
      <c r="J458" s="56" t="str">
        <f>IF(tblStock[[#This Row],[SKU]]="","",SUMIFS(tblMovimientos[CantidadNeta],tblMovimientos[SKU],tblStock[[#This Row],[SKU]]))</f>
        <v/>
      </c>
      <c r="K458" s="55" t="str">
        <f>IF($B458="","",N('05_PRODUCTOS'!$F458))</f>
        <v/>
      </c>
      <c r="L458" s="55" t="str">
        <f>IF($B458="","",N('05_PRODUCTOS'!$G458))</f>
        <v/>
      </c>
      <c r="M458" s="57" t="str">
        <f>IF(OR(tblStock[[#This Row],[SKU]]="",N(tblStock[[#This Row],[StockMax]])=0),"",MAX(0,tblStock[[#This Row],[StockActual]])/tblStock[[#This Row],[StockMax]])</f>
        <v/>
      </c>
      <c r="N45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8" s="59" t="str">
        <f>IF($B458="","",N('05_PRODUCTOS'!$H458))</f>
        <v/>
      </c>
      <c r="P458" s="59" t="str">
        <f>IF(tblStock[[#This Row],[SKU]]="","",MAX(0,tblStock[[#This Row],[StockActual]])*tblStock[[#This Row],[CostoUnitario]])</f>
        <v/>
      </c>
      <c r="Q458" s="60" t="str">
        <f>IF(tblStock[[#This Row],[SKU]]="","",IFERROR(_xlfn.AGGREGATE(14,6,tblMovimientos[Fecha]/(tblMovimientos[SKU]=tblStock[[#This Row],[SKU]]),1),""))</f>
        <v/>
      </c>
      <c r="R458" s="61" t="str">
        <f ca="1">IF(OR(tblStock[[#This Row],[SKU]]="",tblStock[[#This Row],[UltimoMov]]=""),"",TODAY()-tblStock[[#This Row],[UltimoMov]])</f>
        <v/>
      </c>
    </row>
    <row r="459" spans="2:18" x14ac:dyDescent="0.25">
      <c r="B459" s="53" t="str">
        <f>IF('05_PRODUCTOS'!$B459="","",'05_PRODUCTOS'!$B459)</f>
        <v/>
      </c>
      <c r="C459" s="54" t="str">
        <f>IF($B459="","",'05_PRODUCTOS'!$C459)</f>
        <v/>
      </c>
      <c r="D459" s="54" t="str">
        <f>IF($B459="","",'05_PRODUCTOS'!$D459)</f>
        <v/>
      </c>
      <c r="E459" s="54" t="str">
        <f>IF($B459="","",'05_PRODUCTOS'!$I459&amp;"")</f>
        <v/>
      </c>
      <c r="F459" s="53" t="str">
        <f>IF($B459="","",'05_PRODUCTOS'!$E459)</f>
        <v/>
      </c>
      <c r="G459" s="53" t="str">
        <f>IF($B459="","",IF('05_PRODUCTOS'!$K459="NO","NO","SI"))</f>
        <v/>
      </c>
      <c r="H459" s="55" t="str">
        <f>IF(tblStock[[#This Row],[SKU]]="","",SUMIFS(tblMovimientos[CantidadNeta],tblMovimientos[SKU],tblStock[[#This Row],[SKU]],tblMovimientos[FactorStock],1))</f>
        <v/>
      </c>
      <c r="I459" s="55" t="str">
        <f>IF(tblStock[[#This Row],[SKU]]="","",-SUMIFS(tblMovimientos[CantidadNeta],tblMovimientos[SKU],tblStock[[#This Row],[SKU]],tblMovimientos[FactorStock],-1))</f>
        <v/>
      </c>
      <c r="J459" s="56" t="str">
        <f>IF(tblStock[[#This Row],[SKU]]="","",SUMIFS(tblMovimientos[CantidadNeta],tblMovimientos[SKU],tblStock[[#This Row],[SKU]]))</f>
        <v/>
      </c>
      <c r="K459" s="55" t="str">
        <f>IF($B459="","",N('05_PRODUCTOS'!$F459))</f>
        <v/>
      </c>
      <c r="L459" s="55" t="str">
        <f>IF($B459="","",N('05_PRODUCTOS'!$G459))</f>
        <v/>
      </c>
      <c r="M459" s="57" t="str">
        <f>IF(OR(tblStock[[#This Row],[SKU]]="",N(tblStock[[#This Row],[StockMax]])=0),"",MAX(0,tblStock[[#This Row],[StockActual]])/tblStock[[#This Row],[StockMax]])</f>
        <v/>
      </c>
      <c r="N45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59" s="59" t="str">
        <f>IF($B459="","",N('05_PRODUCTOS'!$H459))</f>
        <v/>
      </c>
      <c r="P459" s="59" t="str">
        <f>IF(tblStock[[#This Row],[SKU]]="","",MAX(0,tblStock[[#This Row],[StockActual]])*tblStock[[#This Row],[CostoUnitario]])</f>
        <v/>
      </c>
      <c r="Q459" s="60" t="str">
        <f>IF(tblStock[[#This Row],[SKU]]="","",IFERROR(_xlfn.AGGREGATE(14,6,tblMovimientos[Fecha]/(tblMovimientos[SKU]=tblStock[[#This Row],[SKU]]),1),""))</f>
        <v/>
      </c>
      <c r="R459" s="61" t="str">
        <f ca="1">IF(OR(tblStock[[#This Row],[SKU]]="",tblStock[[#This Row],[UltimoMov]]=""),"",TODAY()-tblStock[[#This Row],[UltimoMov]])</f>
        <v/>
      </c>
    </row>
    <row r="460" spans="2:18" x14ac:dyDescent="0.25">
      <c r="B460" s="53" t="str">
        <f>IF('05_PRODUCTOS'!$B460="","",'05_PRODUCTOS'!$B460)</f>
        <v/>
      </c>
      <c r="C460" s="54" t="str">
        <f>IF($B460="","",'05_PRODUCTOS'!$C460)</f>
        <v/>
      </c>
      <c r="D460" s="54" t="str">
        <f>IF($B460="","",'05_PRODUCTOS'!$D460)</f>
        <v/>
      </c>
      <c r="E460" s="54" t="str">
        <f>IF($B460="","",'05_PRODUCTOS'!$I460&amp;"")</f>
        <v/>
      </c>
      <c r="F460" s="53" t="str">
        <f>IF($B460="","",'05_PRODUCTOS'!$E460)</f>
        <v/>
      </c>
      <c r="G460" s="53" t="str">
        <f>IF($B460="","",IF('05_PRODUCTOS'!$K460="NO","NO","SI"))</f>
        <v/>
      </c>
      <c r="H460" s="55" t="str">
        <f>IF(tblStock[[#This Row],[SKU]]="","",SUMIFS(tblMovimientos[CantidadNeta],tblMovimientos[SKU],tblStock[[#This Row],[SKU]],tblMovimientos[FactorStock],1))</f>
        <v/>
      </c>
      <c r="I460" s="55" t="str">
        <f>IF(tblStock[[#This Row],[SKU]]="","",-SUMIFS(tblMovimientos[CantidadNeta],tblMovimientos[SKU],tblStock[[#This Row],[SKU]],tblMovimientos[FactorStock],-1))</f>
        <v/>
      </c>
      <c r="J460" s="56" t="str">
        <f>IF(tblStock[[#This Row],[SKU]]="","",SUMIFS(tblMovimientos[CantidadNeta],tblMovimientos[SKU],tblStock[[#This Row],[SKU]]))</f>
        <v/>
      </c>
      <c r="K460" s="55" t="str">
        <f>IF($B460="","",N('05_PRODUCTOS'!$F460))</f>
        <v/>
      </c>
      <c r="L460" s="55" t="str">
        <f>IF($B460="","",N('05_PRODUCTOS'!$G460))</f>
        <v/>
      </c>
      <c r="M460" s="57" t="str">
        <f>IF(OR(tblStock[[#This Row],[SKU]]="",N(tblStock[[#This Row],[StockMax]])=0),"",MAX(0,tblStock[[#This Row],[StockActual]])/tblStock[[#This Row],[StockMax]])</f>
        <v/>
      </c>
      <c r="N46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0" s="59" t="str">
        <f>IF($B460="","",N('05_PRODUCTOS'!$H460))</f>
        <v/>
      </c>
      <c r="P460" s="59" t="str">
        <f>IF(tblStock[[#This Row],[SKU]]="","",MAX(0,tblStock[[#This Row],[StockActual]])*tblStock[[#This Row],[CostoUnitario]])</f>
        <v/>
      </c>
      <c r="Q460" s="60" t="str">
        <f>IF(tblStock[[#This Row],[SKU]]="","",IFERROR(_xlfn.AGGREGATE(14,6,tblMovimientos[Fecha]/(tblMovimientos[SKU]=tblStock[[#This Row],[SKU]]),1),""))</f>
        <v/>
      </c>
      <c r="R460" s="61" t="str">
        <f ca="1">IF(OR(tblStock[[#This Row],[SKU]]="",tblStock[[#This Row],[UltimoMov]]=""),"",TODAY()-tblStock[[#This Row],[UltimoMov]])</f>
        <v/>
      </c>
    </row>
    <row r="461" spans="2:18" x14ac:dyDescent="0.25">
      <c r="B461" s="53" t="str">
        <f>IF('05_PRODUCTOS'!$B461="","",'05_PRODUCTOS'!$B461)</f>
        <v/>
      </c>
      <c r="C461" s="54" t="str">
        <f>IF($B461="","",'05_PRODUCTOS'!$C461)</f>
        <v/>
      </c>
      <c r="D461" s="54" t="str">
        <f>IF($B461="","",'05_PRODUCTOS'!$D461)</f>
        <v/>
      </c>
      <c r="E461" s="54" t="str">
        <f>IF($B461="","",'05_PRODUCTOS'!$I461&amp;"")</f>
        <v/>
      </c>
      <c r="F461" s="53" t="str">
        <f>IF($B461="","",'05_PRODUCTOS'!$E461)</f>
        <v/>
      </c>
      <c r="G461" s="53" t="str">
        <f>IF($B461="","",IF('05_PRODUCTOS'!$K461="NO","NO","SI"))</f>
        <v/>
      </c>
      <c r="H461" s="55" t="str">
        <f>IF(tblStock[[#This Row],[SKU]]="","",SUMIFS(tblMovimientos[CantidadNeta],tblMovimientos[SKU],tblStock[[#This Row],[SKU]],tblMovimientos[FactorStock],1))</f>
        <v/>
      </c>
      <c r="I461" s="55" t="str">
        <f>IF(tblStock[[#This Row],[SKU]]="","",-SUMIFS(tblMovimientos[CantidadNeta],tblMovimientos[SKU],tblStock[[#This Row],[SKU]],tblMovimientos[FactorStock],-1))</f>
        <v/>
      </c>
      <c r="J461" s="56" t="str">
        <f>IF(tblStock[[#This Row],[SKU]]="","",SUMIFS(tblMovimientos[CantidadNeta],tblMovimientos[SKU],tblStock[[#This Row],[SKU]]))</f>
        <v/>
      </c>
      <c r="K461" s="55" t="str">
        <f>IF($B461="","",N('05_PRODUCTOS'!$F461))</f>
        <v/>
      </c>
      <c r="L461" s="55" t="str">
        <f>IF($B461="","",N('05_PRODUCTOS'!$G461))</f>
        <v/>
      </c>
      <c r="M461" s="57" t="str">
        <f>IF(OR(tblStock[[#This Row],[SKU]]="",N(tblStock[[#This Row],[StockMax]])=0),"",MAX(0,tblStock[[#This Row],[StockActual]])/tblStock[[#This Row],[StockMax]])</f>
        <v/>
      </c>
      <c r="N46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1" s="59" t="str">
        <f>IF($B461="","",N('05_PRODUCTOS'!$H461))</f>
        <v/>
      </c>
      <c r="P461" s="59" t="str">
        <f>IF(tblStock[[#This Row],[SKU]]="","",MAX(0,tblStock[[#This Row],[StockActual]])*tblStock[[#This Row],[CostoUnitario]])</f>
        <v/>
      </c>
      <c r="Q461" s="60" t="str">
        <f>IF(tblStock[[#This Row],[SKU]]="","",IFERROR(_xlfn.AGGREGATE(14,6,tblMovimientos[Fecha]/(tblMovimientos[SKU]=tblStock[[#This Row],[SKU]]),1),""))</f>
        <v/>
      </c>
      <c r="R461" s="61" t="str">
        <f ca="1">IF(OR(tblStock[[#This Row],[SKU]]="",tblStock[[#This Row],[UltimoMov]]=""),"",TODAY()-tblStock[[#This Row],[UltimoMov]])</f>
        <v/>
      </c>
    </row>
    <row r="462" spans="2:18" x14ac:dyDescent="0.25">
      <c r="B462" s="53" t="str">
        <f>IF('05_PRODUCTOS'!$B462="","",'05_PRODUCTOS'!$B462)</f>
        <v/>
      </c>
      <c r="C462" s="54" t="str">
        <f>IF($B462="","",'05_PRODUCTOS'!$C462)</f>
        <v/>
      </c>
      <c r="D462" s="54" t="str">
        <f>IF($B462="","",'05_PRODUCTOS'!$D462)</f>
        <v/>
      </c>
      <c r="E462" s="54" t="str">
        <f>IF($B462="","",'05_PRODUCTOS'!$I462&amp;"")</f>
        <v/>
      </c>
      <c r="F462" s="53" t="str">
        <f>IF($B462="","",'05_PRODUCTOS'!$E462)</f>
        <v/>
      </c>
      <c r="G462" s="53" t="str">
        <f>IF($B462="","",IF('05_PRODUCTOS'!$K462="NO","NO","SI"))</f>
        <v/>
      </c>
      <c r="H462" s="55" t="str">
        <f>IF(tblStock[[#This Row],[SKU]]="","",SUMIFS(tblMovimientos[CantidadNeta],tblMovimientos[SKU],tblStock[[#This Row],[SKU]],tblMovimientos[FactorStock],1))</f>
        <v/>
      </c>
      <c r="I462" s="55" t="str">
        <f>IF(tblStock[[#This Row],[SKU]]="","",-SUMIFS(tblMovimientos[CantidadNeta],tblMovimientos[SKU],tblStock[[#This Row],[SKU]],tblMovimientos[FactorStock],-1))</f>
        <v/>
      </c>
      <c r="J462" s="56" t="str">
        <f>IF(tblStock[[#This Row],[SKU]]="","",SUMIFS(tblMovimientos[CantidadNeta],tblMovimientos[SKU],tblStock[[#This Row],[SKU]]))</f>
        <v/>
      </c>
      <c r="K462" s="55" t="str">
        <f>IF($B462="","",N('05_PRODUCTOS'!$F462))</f>
        <v/>
      </c>
      <c r="L462" s="55" t="str">
        <f>IF($B462="","",N('05_PRODUCTOS'!$G462))</f>
        <v/>
      </c>
      <c r="M462" s="57" t="str">
        <f>IF(OR(tblStock[[#This Row],[SKU]]="",N(tblStock[[#This Row],[StockMax]])=0),"",MAX(0,tblStock[[#This Row],[StockActual]])/tblStock[[#This Row],[StockMax]])</f>
        <v/>
      </c>
      <c r="N46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2" s="59" t="str">
        <f>IF($B462="","",N('05_PRODUCTOS'!$H462))</f>
        <v/>
      </c>
      <c r="P462" s="59" t="str">
        <f>IF(tblStock[[#This Row],[SKU]]="","",MAX(0,tblStock[[#This Row],[StockActual]])*tblStock[[#This Row],[CostoUnitario]])</f>
        <v/>
      </c>
      <c r="Q462" s="60" t="str">
        <f>IF(tblStock[[#This Row],[SKU]]="","",IFERROR(_xlfn.AGGREGATE(14,6,tblMovimientos[Fecha]/(tblMovimientos[SKU]=tblStock[[#This Row],[SKU]]),1),""))</f>
        <v/>
      </c>
      <c r="R462" s="61" t="str">
        <f ca="1">IF(OR(tblStock[[#This Row],[SKU]]="",tblStock[[#This Row],[UltimoMov]]=""),"",TODAY()-tblStock[[#This Row],[UltimoMov]])</f>
        <v/>
      </c>
    </row>
    <row r="463" spans="2:18" x14ac:dyDescent="0.25">
      <c r="B463" s="53" t="str">
        <f>IF('05_PRODUCTOS'!$B463="","",'05_PRODUCTOS'!$B463)</f>
        <v/>
      </c>
      <c r="C463" s="54" t="str">
        <f>IF($B463="","",'05_PRODUCTOS'!$C463)</f>
        <v/>
      </c>
      <c r="D463" s="54" t="str">
        <f>IF($B463="","",'05_PRODUCTOS'!$D463)</f>
        <v/>
      </c>
      <c r="E463" s="54" t="str">
        <f>IF($B463="","",'05_PRODUCTOS'!$I463&amp;"")</f>
        <v/>
      </c>
      <c r="F463" s="53" t="str">
        <f>IF($B463="","",'05_PRODUCTOS'!$E463)</f>
        <v/>
      </c>
      <c r="G463" s="53" t="str">
        <f>IF($B463="","",IF('05_PRODUCTOS'!$K463="NO","NO","SI"))</f>
        <v/>
      </c>
      <c r="H463" s="55" t="str">
        <f>IF(tblStock[[#This Row],[SKU]]="","",SUMIFS(tblMovimientos[CantidadNeta],tblMovimientos[SKU],tblStock[[#This Row],[SKU]],tblMovimientos[FactorStock],1))</f>
        <v/>
      </c>
      <c r="I463" s="55" t="str">
        <f>IF(tblStock[[#This Row],[SKU]]="","",-SUMIFS(tblMovimientos[CantidadNeta],tblMovimientos[SKU],tblStock[[#This Row],[SKU]],tblMovimientos[FactorStock],-1))</f>
        <v/>
      </c>
      <c r="J463" s="56" t="str">
        <f>IF(tblStock[[#This Row],[SKU]]="","",SUMIFS(tblMovimientos[CantidadNeta],tblMovimientos[SKU],tblStock[[#This Row],[SKU]]))</f>
        <v/>
      </c>
      <c r="K463" s="55" t="str">
        <f>IF($B463="","",N('05_PRODUCTOS'!$F463))</f>
        <v/>
      </c>
      <c r="L463" s="55" t="str">
        <f>IF($B463="","",N('05_PRODUCTOS'!$G463))</f>
        <v/>
      </c>
      <c r="M463" s="57" t="str">
        <f>IF(OR(tblStock[[#This Row],[SKU]]="",N(tblStock[[#This Row],[StockMax]])=0),"",MAX(0,tblStock[[#This Row],[StockActual]])/tblStock[[#This Row],[StockMax]])</f>
        <v/>
      </c>
      <c r="N46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3" s="59" t="str">
        <f>IF($B463="","",N('05_PRODUCTOS'!$H463))</f>
        <v/>
      </c>
      <c r="P463" s="59" t="str">
        <f>IF(tblStock[[#This Row],[SKU]]="","",MAX(0,tblStock[[#This Row],[StockActual]])*tblStock[[#This Row],[CostoUnitario]])</f>
        <v/>
      </c>
      <c r="Q463" s="60" t="str">
        <f>IF(tblStock[[#This Row],[SKU]]="","",IFERROR(_xlfn.AGGREGATE(14,6,tblMovimientos[Fecha]/(tblMovimientos[SKU]=tblStock[[#This Row],[SKU]]),1),""))</f>
        <v/>
      </c>
      <c r="R463" s="61" t="str">
        <f ca="1">IF(OR(tblStock[[#This Row],[SKU]]="",tblStock[[#This Row],[UltimoMov]]=""),"",TODAY()-tblStock[[#This Row],[UltimoMov]])</f>
        <v/>
      </c>
    </row>
    <row r="464" spans="2:18" x14ac:dyDescent="0.25">
      <c r="B464" s="53" t="str">
        <f>IF('05_PRODUCTOS'!$B464="","",'05_PRODUCTOS'!$B464)</f>
        <v/>
      </c>
      <c r="C464" s="54" t="str">
        <f>IF($B464="","",'05_PRODUCTOS'!$C464)</f>
        <v/>
      </c>
      <c r="D464" s="54" t="str">
        <f>IF($B464="","",'05_PRODUCTOS'!$D464)</f>
        <v/>
      </c>
      <c r="E464" s="54" t="str">
        <f>IF($B464="","",'05_PRODUCTOS'!$I464&amp;"")</f>
        <v/>
      </c>
      <c r="F464" s="53" t="str">
        <f>IF($B464="","",'05_PRODUCTOS'!$E464)</f>
        <v/>
      </c>
      <c r="G464" s="53" t="str">
        <f>IF($B464="","",IF('05_PRODUCTOS'!$K464="NO","NO","SI"))</f>
        <v/>
      </c>
      <c r="H464" s="55" t="str">
        <f>IF(tblStock[[#This Row],[SKU]]="","",SUMIFS(tblMovimientos[CantidadNeta],tblMovimientos[SKU],tblStock[[#This Row],[SKU]],tblMovimientos[FactorStock],1))</f>
        <v/>
      </c>
      <c r="I464" s="55" t="str">
        <f>IF(tblStock[[#This Row],[SKU]]="","",-SUMIFS(tblMovimientos[CantidadNeta],tblMovimientos[SKU],tblStock[[#This Row],[SKU]],tblMovimientos[FactorStock],-1))</f>
        <v/>
      </c>
      <c r="J464" s="56" t="str">
        <f>IF(tblStock[[#This Row],[SKU]]="","",SUMIFS(tblMovimientos[CantidadNeta],tblMovimientos[SKU],tblStock[[#This Row],[SKU]]))</f>
        <v/>
      </c>
      <c r="K464" s="55" t="str">
        <f>IF($B464="","",N('05_PRODUCTOS'!$F464))</f>
        <v/>
      </c>
      <c r="L464" s="55" t="str">
        <f>IF($B464="","",N('05_PRODUCTOS'!$G464))</f>
        <v/>
      </c>
      <c r="M464" s="57" t="str">
        <f>IF(OR(tblStock[[#This Row],[SKU]]="",N(tblStock[[#This Row],[StockMax]])=0),"",MAX(0,tblStock[[#This Row],[StockActual]])/tblStock[[#This Row],[StockMax]])</f>
        <v/>
      </c>
      <c r="N46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4" s="59" t="str">
        <f>IF($B464="","",N('05_PRODUCTOS'!$H464))</f>
        <v/>
      </c>
      <c r="P464" s="59" t="str">
        <f>IF(tblStock[[#This Row],[SKU]]="","",MAX(0,tblStock[[#This Row],[StockActual]])*tblStock[[#This Row],[CostoUnitario]])</f>
        <v/>
      </c>
      <c r="Q464" s="60" t="str">
        <f>IF(tblStock[[#This Row],[SKU]]="","",IFERROR(_xlfn.AGGREGATE(14,6,tblMovimientos[Fecha]/(tblMovimientos[SKU]=tblStock[[#This Row],[SKU]]),1),""))</f>
        <v/>
      </c>
      <c r="R464" s="61" t="str">
        <f ca="1">IF(OR(tblStock[[#This Row],[SKU]]="",tblStock[[#This Row],[UltimoMov]]=""),"",TODAY()-tblStock[[#This Row],[UltimoMov]])</f>
        <v/>
      </c>
    </row>
    <row r="465" spans="2:18" x14ac:dyDescent="0.25">
      <c r="B465" s="53" t="str">
        <f>IF('05_PRODUCTOS'!$B465="","",'05_PRODUCTOS'!$B465)</f>
        <v/>
      </c>
      <c r="C465" s="54" t="str">
        <f>IF($B465="","",'05_PRODUCTOS'!$C465)</f>
        <v/>
      </c>
      <c r="D465" s="54" t="str">
        <f>IF($B465="","",'05_PRODUCTOS'!$D465)</f>
        <v/>
      </c>
      <c r="E465" s="54" t="str">
        <f>IF($B465="","",'05_PRODUCTOS'!$I465&amp;"")</f>
        <v/>
      </c>
      <c r="F465" s="53" t="str">
        <f>IF($B465="","",'05_PRODUCTOS'!$E465)</f>
        <v/>
      </c>
      <c r="G465" s="53" t="str">
        <f>IF($B465="","",IF('05_PRODUCTOS'!$K465="NO","NO","SI"))</f>
        <v/>
      </c>
      <c r="H465" s="55" t="str">
        <f>IF(tblStock[[#This Row],[SKU]]="","",SUMIFS(tblMovimientos[CantidadNeta],tblMovimientos[SKU],tblStock[[#This Row],[SKU]],tblMovimientos[FactorStock],1))</f>
        <v/>
      </c>
      <c r="I465" s="55" t="str">
        <f>IF(tblStock[[#This Row],[SKU]]="","",-SUMIFS(tblMovimientos[CantidadNeta],tblMovimientos[SKU],tblStock[[#This Row],[SKU]],tblMovimientos[FactorStock],-1))</f>
        <v/>
      </c>
      <c r="J465" s="56" t="str">
        <f>IF(tblStock[[#This Row],[SKU]]="","",SUMIFS(tblMovimientos[CantidadNeta],tblMovimientos[SKU],tblStock[[#This Row],[SKU]]))</f>
        <v/>
      </c>
      <c r="K465" s="55" t="str">
        <f>IF($B465="","",N('05_PRODUCTOS'!$F465))</f>
        <v/>
      </c>
      <c r="L465" s="55" t="str">
        <f>IF($B465="","",N('05_PRODUCTOS'!$G465))</f>
        <v/>
      </c>
      <c r="M465" s="57" t="str">
        <f>IF(OR(tblStock[[#This Row],[SKU]]="",N(tblStock[[#This Row],[StockMax]])=0),"",MAX(0,tblStock[[#This Row],[StockActual]])/tblStock[[#This Row],[StockMax]])</f>
        <v/>
      </c>
      <c r="N46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5" s="59" t="str">
        <f>IF($B465="","",N('05_PRODUCTOS'!$H465))</f>
        <v/>
      </c>
      <c r="P465" s="59" t="str">
        <f>IF(tblStock[[#This Row],[SKU]]="","",MAX(0,tblStock[[#This Row],[StockActual]])*tblStock[[#This Row],[CostoUnitario]])</f>
        <v/>
      </c>
      <c r="Q465" s="60" t="str">
        <f>IF(tblStock[[#This Row],[SKU]]="","",IFERROR(_xlfn.AGGREGATE(14,6,tblMovimientos[Fecha]/(tblMovimientos[SKU]=tblStock[[#This Row],[SKU]]),1),""))</f>
        <v/>
      </c>
      <c r="R465" s="61" t="str">
        <f ca="1">IF(OR(tblStock[[#This Row],[SKU]]="",tblStock[[#This Row],[UltimoMov]]=""),"",TODAY()-tblStock[[#This Row],[UltimoMov]])</f>
        <v/>
      </c>
    </row>
    <row r="466" spans="2:18" x14ac:dyDescent="0.25">
      <c r="B466" s="53" t="str">
        <f>IF('05_PRODUCTOS'!$B466="","",'05_PRODUCTOS'!$B466)</f>
        <v/>
      </c>
      <c r="C466" s="54" t="str">
        <f>IF($B466="","",'05_PRODUCTOS'!$C466)</f>
        <v/>
      </c>
      <c r="D466" s="54" t="str">
        <f>IF($B466="","",'05_PRODUCTOS'!$D466)</f>
        <v/>
      </c>
      <c r="E466" s="54" t="str">
        <f>IF($B466="","",'05_PRODUCTOS'!$I466&amp;"")</f>
        <v/>
      </c>
      <c r="F466" s="53" t="str">
        <f>IF($B466="","",'05_PRODUCTOS'!$E466)</f>
        <v/>
      </c>
      <c r="G466" s="53" t="str">
        <f>IF($B466="","",IF('05_PRODUCTOS'!$K466="NO","NO","SI"))</f>
        <v/>
      </c>
      <c r="H466" s="55" t="str">
        <f>IF(tblStock[[#This Row],[SKU]]="","",SUMIFS(tblMovimientos[CantidadNeta],tblMovimientos[SKU],tblStock[[#This Row],[SKU]],tblMovimientos[FactorStock],1))</f>
        <v/>
      </c>
      <c r="I466" s="55" t="str">
        <f>IF(tblStock[[#This Row],[SKU]]="","",-SUMIFS(tblMovimientos[CantidadNeta],tblMovimientos[SKU],tblStock[[#This Row],[SKU]],tblMovimientos[FactorStock],-1))</f>
        <v/>
      </c>
      <c r="J466" s="56" t="str">
        <f>IF(tblStock[[#This Row],[SKU]]="","",SUMIFS(tblMovimientos[CantidadNeta],tblMovimientos[SKU],tblStock[[#This Row],[SKU]]))</f>
        <v/>
      </c>
      <c r="K466" s="55" t="str">
        <f>IF($B466="","",N('05_PRODUCTOS'!$F466))</f>
        <v/>
      </c>
      <c r="L466" s="55" t="str">
        <f>IF($B466="","",N('05_PRODUCTOS'!$G466))</f>
        <v/>
      </c>
      <c r="M466" s="57" t="str">
        <f>IF(OR(tblStock[[#This Row],[SKU]]="",N(tblStock[[#This Row],[StockMax]])=0),"",MAX(0,tblStock[[#This Row],[StockActual]])/tblStock[[#This Row],[StockMax]])</f>
        <v/>
      </c>
      <c r="N46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6" s="59" t="str">
        <f>IF($B466="","",N('05_PRODUCTOS'!$H466))</f>
        <v/>
      </c>
      <c r="P466" s="59" t="str">
        <f>IF(tblStock[[#This Row],[SKU]]="","",MAX(0,tblStock[[#This Row],[StockActual]])*tblStock[[#This Row],[CostoUnitario]])</f>
        <v/>
      </c>
      <c r="Q466" s="60" t="str">
        <f>IF(tblStock[[#This Row],[SKU]]="","",IFERROR(_xlfn.AGGREGATE(14,6,tblMovimientos[Fecha]/(tblMovimientos[SKU]=tblStock[[#This Row],[SKU]]),1),""))</f>
        <v/>
      </c>
      <c r="R466" s="61" t="str">
        <f ca="1">IF(OR(tblStock[[#This Row],[SKU]]="",tblStock[[#This Row],[UltimoMov]]=""),"",TODAY()-tblStock[[#This Row],[UltimoMov]])</f>
        <v/>
      </c>
    </row>
    <row r="467" spans="2:18" x14ac:dyDescent="0.25">
      <c r="B467" s="53" t="str">
        <f>IF('05_PRODUCTOS'!$B467="","",'05_PRODUCTOS'!$B467)</f>
        <v/>
      </c>
      <c r="C467" s="54" t="str">
        <f>IF($B467="","",'05_PRODUCTOS'!$C467)</f>
        <v/>
      </c>
      <c r="D467" s="54" t="str">
        <f>IF($B467="","",'05_PRODUCTOS'!$D467)</f>
        <v/>
      </c>
      <c r="E467" s="54" t="str">
        <f>IF($B467="","",'05_PRODUCTOS'!$I467&amp;"")</f>
        <v/>
      </c>
      <c r="F467" s="53" t="str">
        <f>IF($B467="","",'05_PRODUCTOS'!$E467)</f>
        <v/>
      </c>
      <c r="G467" s="53" t="str">
        <f>IF($B467="","",IF('05_PRODUCTOS'!$K467="NO","NO","SI"))</f>
        <v/>
      </c>
      <c r="H467" s="55" t="str">
        <f>IF(tblStock[[#This Row],[SKU]]="","",SUMIFS(tblMovimientos[CantidadNeta],tblMovimientos[SKU],tblStock[[#This Row],[SKU]],tblMovimientos[FactorStock],1))</f>
        <v/>
      </c>
      <c r="I467" s="55" t="str">
        <f>IF(tblStock[[#This Row],[SKU]]="","",-SUMIFS(tblMovimientos[CantidadNeta],tblMovimientos[SKU],tblStock[[#This Row],[SKU]],tblMovimientos[FactorStock],-1))</f>
        <v/>
      </c>
      <c r="J467" s="56" t="str">
        <f>IF(tblStock[[#This Row],[SKU]]="","",SUMIFS(tblMovimientos[CantidadNeta],tblMovimientos[SKU],tblStock[[#This Row],[SKU]]))</f>
        <v/>
      </c>
      <c r="K467" s="55" t="str">
        <f>IF($B467="","",N('05_PRODUCTOS'!$F467))</f>
        <v/>
      </c>
      <c r="L467" s="55" t="str">
        <f>IF($B467="","",N('05_PRODUCTOS'!$G467))</f>
        <v/>
      </c>
      <c r="M467" s="57" t="str">
        <f>IF(OR(tblStock[[#This Row],[SKU]]="",N(tblStock[[#This Row],[StockMax]])=0),"",MAX(0,tblStock[[#This Row],[StockActual]])/tblStock[[#This Row],[StockMax]])</f>
        <v/>
      </c>
      <c r="N46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7" s="59" t="str">
        <f>IF($B467="","",N('05_PRODUCTOS'!$H467))</f>
        <v/>
      </c>
      <c r="P467" s="59" t="str">
        <f>IF(tblStock[[#This Row],[SKU]]="","",MAX(0,tblStock[[#This Row],[StockActual]])*tblStock[[#This Row],[CostoUnitario]])</f>
        <v/>
      </c>
      <c r="Q467" s="60" t="str">
        <f>IF(tblStock[[#This Row],[SKU]]="","",IFERROR(_xlfn.AGGREGATE(14,6,tblMovimientos[Fecha]/(tblMovimientos[SKU]=tblStock[[#This Row],[SKU]]),1),""))</f>
        <v/>
      </c>
      <c r="R467" s="61" t="str">
        <f ca="1">IF(OR(tblStock[[#This Row],[SKU]]="",tblStock[[#This Row],[UltimoMov]]=""),"",TODAY()-tblStock[[#This Row],[UltimoMov]])</f>
        <v/>
      </c>
    </row>
    <row r="468" spans="2:18" x14ac:dyDescent="0.25">
      <c r="B468" s="53" t="str">
        <f>IF('05_PRODUCTOS'!$B468="","",'05_PRODUCTOS'!$B468)</f>
        <v/>
      </c>
      <c r="C468" s="54" t="str">
        <f>IF($B468="","",'05_PRODUCTOS'!$C468)</f>
        <v/>
      </c>
      <c r="D468" s="54" t="str">
        <f>IF($B468="","",'05_PRODUCTOS'!$D468)</f>
        <v/>
      </c>
      <c r="E468" s="54" t="str">
        <f>IF($B468="","",'05_PRODUCTOS'!$I468&amp;"")</f>
        <v/>
      </c>
      <c r="F468" s="53" t="str">
        <f>IF($B468="","",'05_PRODUCTOS'!$E468)</f>
        <v/>
      </c>
      <c r="G468" s="53" t="str">
        <f>IF($B468="","",IF('05_PRODUCTOS'!$K468="NO","NO","SI"))</f>
        <v/>
      </c>
      <c r="H468" s="55" t="str">
        <f>IF(tblStock[[#This Row],[SKU]]="","",SUMIFS(tblMovimientos[CantidadNeta],tblMovimientos[SKU],tblStock[[#This Row],[SKU]],tblMovimientos[FactorStock],1))</f>
        <v/>
      </c>
      <c r="I468" s="55" t="str">
        <f>IF(tblStock[[#This Row],[SKU]]="","",-SUMIFS(tblMovimientos[CantidadNeta],tblMovimientos[SKU],tblStock[[#This Row],[SKU]],tblMovimientos[FactorStock],-1))</f>
        <v/>
      </c>
      <c r="J468" s="56" t="str">
        <f>IF(tblStock[[#This Row],[SKU]]="","",SUMIFS(tblMovimientos[CantidadNeta],tblMovimientos[SKU],tblStock[[#This Row],[SKU]]))</f>
        <v/>
      </c>
      <c r="K468" s="55" t="str">
        <f>IF($B468="","",N('05_PRODUCTOS'!$F468))</f>
        <v/>
      </c>
      <c r="L468" s="55" t="str">
        <f>IF($B468="","",N('05_PRODUCTOS'!$G468))</f>
        <v/>
      </c>
      <c r="M468" s="57" t="str">
        <f>IF(OR(tblStock[[#This Row],[SKU]]="",N(tblStock[[#This Row],[StockMax]])=0),"",MAX(0,tblStock[[#This Row],[StockActual]])/tblStock[[#This Row],[StockMax]])</f>
        <v/>
      </c>
      <c r="N46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8" s="59" t="str">
        <f>IF($B468="","",N('05_PRODUCTOS'!$H468))</f>
        <v/>
      </c>
      <c r="P468" s="59" t="str">
        <f>IF(tblStock[[#This Row],[SKU]]="","",MAX(0,tblStock[[#This Row],[StockActual]])*tblStock[[#This Row],[CostoUnitario]])</f>
        <v/>
      </c>
      <c r="Q468" s="60" t="str">
        <f>IF(tblStock[[#This Row],[SKU]]="","",IFERROR(_xlfn.AGGREGATE(14,6,tblMovimientos[Fecha]/(tblMovimientos[SKU]=tblStock[[#This Row],[SKU]]),1),""))</f>
        <v/>
      </c>
      <c r="R468" s="61" t="str">
        <f ca="1">IF(OR(tblStock[[#This Row],[SKU]]="",tblStock[[#This Row],[UltimoMov]]=""),"",TODAY()-tblStock[[#This Row],[UltimoMov]])</f>
        <v/>
      </c>
    </row>
    <row r="469" spans="2:18" x14ac:dyDescent="0.25">
      <c r="B469" s="53" t="str">
        <f>IF('05_PRODUCTOS'!$B469="","",'05_PRODUCTOS'!$B469)</f>
        <v/>
      </c>
      <c r="C469" s="54" t="str">
        <f>IF($B469="","",'05_PRODUCTOS'!$C469)</f>
        <v/>
      </c>
      <c r="D469" s="54" t="str">
        <f>IF($B469="","",'05_PRODUCTOS'!$D469)</f>
        <v/>
      </c>
      <c r="E469" s="54" t="str">
        <f>IF($B469="","",'05_PRODUCTOS'!$I469&amp;"")</f>
        <v/>
      </c>
      <c r="F469" s="53" t="str">
        <f>IF($B469="","",'05_PRODUCTOS'!$E469)</f>
        <v/>
      </c>
      <c r="G469" s="53" t="str">
        <f>IF($B469="","",IF('05_PRODUCTOS'!$K469="NO","NO","SI"))</f>
        <v/>
      </c>
      <c r="H469" s="55" t="str">
        <f>IF(tblStock[[#This Row],[SKU]]="","",SUMIFS(tblMovimientos[CantidadNeta],tblMovimientos[SKU],tblStock[[#This Row],[SKU]],tblMovimientos[FactorStock],1))</f>
        <v/>
      </c>
      <c r="I469" s="55" t="str">
        <f>IF(tblStock[[#This Row],[SKU]]="","",-SUMIFS(tblMovimientos[CantidadNeta],tblMovimientos[SKU],tblStock[[#This Row],[SKU]],tblMovimientos[FactorStock],-1))</f>
        <v/>
      </c>
      <c r="J469" s="56" t="str">
        <f>IF(tblStock[[#This Row],[SKU]]="","",SUMIFS(tblMovimientos[CantidadNeta],tblMovimientos[SKU],tblStock[[#This Row],[SKU]]))</f>
        <v/>
      </c>
      <c r="K469" s="55" t="str">
        <f>IF($B469="","",N('05_PRODUCTOS'!$F469))</f>
        <v/>
      </c>
      <c r="L469" s="55" t="str">
        <f>IF($B469="","",N('05_PRODUCTOS'!$G469))</f>
        <v/>
      </c>
      <c r="M469" s="57" t="str">
        <f>IF(OR(tblStock[[#This Row],[SKU]]="",N(tblStock[[#This Row],[StockMax]])=0),"",MAX(0,tblStock[[#This Row],[StockActual]])/tblStock[[#This Row],[StockMax]])</f>
        <v/>
      </c>
      <c r="N46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69" s="59" t="str">
        <f>IF($B469="","",N('05_PRODUCTOS'!$H469))</f>
        <v/>
      </c>
      <c r="P469" s="59" t="str">
        <f>IF(tblStock[[#This Row],[SKU]]="","",MAX(0,tblStock[[#This Row],[StockActual]])*tblStock[[#This Row],[CostoUnitario]])</f>
        <v/>
      </c>
      <c r="Q469" s="60" t="str">
        <f>IF(tblStock[[#This Row],[SKU]]="","",IFERROR(_xlfn.AGGREGATE(14,6,tblMovimientos[Fecha]/(tblMovimientos[SKU]=tblStock[[#This Row],[SKU]]),1),""))</f>
        <v/>
      </c>
      <c r="R469" s="61" t="str">
        <f ca="1">IF(OR(tblStock[[#This Row],[SKU]]="",tblStock[[#This Row],[UltimoMov]]=""),"",TODAY()-tblStock[[#This Row],[UltimoMov]])</f>
        <v/>
      </c>
    </row>
    <row r="470" spans="2:18" x14ac:dyDescent="0.25">
      <c r="B470" s="53" t="str">
        <f>IF('05_PRODUCTOS'!$B470="","",'05_PRODUCTOS'!$B470)</f>
        <v/>
      </c>
      <c r="C470" s="54" t="str">
        <f>IF($B470="","",'05_PRODUCTOS'!$C470)</f>
        <v/>
      </c>
      <c r="D470" s="54" t="str">
        <f>IF($B470="","",'05_PRODUCTOS'!$D470)</f>
        <v/>
      </c>
      <c r="E470" s="54" t="str">
        <f>IF($B470="","",'05_PRODUCTOS'!$I470&amp;"")</f>
        <v/>
      </c>
      <c r="F470" s="53" t="str">
        <f>IF($B470="","",'05_PRODUCTOS'!$E470)</f>
        <v/>
      </c>
      <c r="G470" s="53" t="str">
        <f>IF($B470="","",IF('05_PRODUCTOS'!$K470="NO","NO","SI"))</f>
        <v/>
      </c>
      <c r="H470" s="55" t="str">
        <f>IF(tblStock[[#This Row],[SKU]]="","",SUMIFS(tblMovimientos[CantidadNeta],tblMovimientos[SKU],tblStock[[#This Row],[SKU]],tblMovimientos[FactorStock],1))</f>
        <v/>
      </c>
      <c r="I470" s="55" t="str">
        <f>IF(tblStock[[#This Row],[SKU]]="","",-SUMIFS(tblMovimientos[CantidadNeta],tblMovimientos[SKU],tblStock[[#This Row],[SKU]],tblMovimientos[FactorStock],-1))</f>
        <v/>
      </c>
      <c r="J470" s="56" t="str">
        <f>IF(tblStock[[#This Row],[SKU]]="","",SUMIFS(tblMovimientos[CantidadNeta],tblMovimientos[SKU],tblStock[[#This Row],[SKU]]))</f>
        <v/>
      </c>
      <c r="K470" s="55" t="str">
        <f>IF($B470="","",N('05_PRODUCTOS'!$F470))</f>
        <v/>
      </c>
      <c r="L470" s="55" t="str">
        <f>IF($B470="","",N('05_PRODUCTOS'!$G470))</f>
        <v/>
      </c>
      <c r="M470" s="57" t="str">
        <f>IF(OR(tblStock[[#This Row],[SKU]]="",N(tblStock[[#This Row],[StockMax]])=0),"",MAX(0,tblStock[[#This Row],[StockActual]])/tblStock[[#This Row],[StockMax]])</f>
        <v/>
      </c>
      <c r="N47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0" s="59" t="str">
        <f>IF($B470="","",N('05_PRODUCTOS'!$H470))</f>
        <v/>
      </c>
      <c r="P470" s="59" t="str">
        <f>IF(tblStock[[#This Row],[SKU]]="","",MAX(0,tblStock[[#This Row],[StockActual]])*tblStock[[#This Row],[CostoUnitario]])</f>
        <v/>
      </c>
      <c r="Q470" s="60" t="str">
        <f>IF(tblStock[[#This Row],[SKU]]="","",IFERROR(_xlfn.AGGREGATE(14,6,tblMovimientos[Fecha]/(tblMovimientos[SKU]=tblStock[[#This Row],[SKU]]),1),""))</f>
        <v/>
      </c>
      <c r="R470" s="61" t="str">
        <f ca="1">IF(OR(tblStock[[#This Row],[SKU]]="",tblStock[[#This Row],[UltimoMov]]=""),"",TODAY()-tblStock[[#This Row],[UltimoMov]])</f>
        <v/>
      </c>
    </row>
    <row r="471" spans="2:18" x14ac:dyDescent="0.25">
      <c r="B471" s="53" t="str">
        <f>IF('05_PRODUCTOS'!$B471="","",'05_PRODUCTOS'!$B471)</f>
        <v/>
      </c>
      <c r="C471" s="54" t="str">
        <f>IF($B471="","",'05_PRODUCTOS'!$C471)</f>
        <v/>
      </c>
      <c r="D471" s="54" t="str">
        <f>IF($B471="","",'05_PRODUCTOS'!$D471)</f>
        <v/>
      </c>
      <c r="E471" s="54" t="str">
        <f>IF($B471="","",'05_PRODUCTOS'!$I471&amp;"")</f>
        <v/>
      </c>
      <c r="F471" s="53" t="str">
        <f>IF($B471="","",'05_PRODUCTOS'!$E471)</f>
        <v/>
      </c>
      <c r="G471" s="53" t="str">
        <f>IF($B471="","",IF('05_PRODUCTOS'!$K471="NO","NO","SI"))</f>
        <v/>
      </c>
      <c r="H471" s="55" t="str">
        <f>IF(tblStock[[#This Row],[SKU]]="","",SUMIFS(tblMovimientos[CantidadNeta],tblMovimientos[SKU],tblStock[[#This Row],[SKU]],tblMovimientos[FactorStock],1))</f>
        <v/>
      </c>
      <c r="I471" s="55" t="str">
        <f>IF(tblStock[[#This Row],[SKU]]="","",-SUMIFS(tblMovimientos[CantidadNeta],tblMovimientos[SKU],tblStock[[#This Row],[SKU]],tblMovimientos[FactorStock],-1))</f>
        <v/>
      </c>
      <c r="J471" s="56" t="str">
        <f>IF(tblStock[[#This Row],[SKU]]="","",SUMIFS(tblMovimientos[CantidadNeta],tblMovimientos[SKU],tblStock[[#This Row],[SKU]]))</f>
        <v/>
      </c>
      <c r="K471" s="55" t="str">
        <f>IF($B471="","",N('05_PRODUCTOS'!$F471))</f>
        <v/>
      </c>
      <c r="L471" s="55" t="str">
        <f>IF($B471="","",N('05_PRODUCTOS'!$G471))</f>
        <v/>
      </c>
      <c r="M471" s="57" t="str">
        <f>IF(OR(tblStock[[#This Row],[SKU]]="",N(tblStock[[#This Row],[StockMax]])=0),"",MAX(0,tblStock[[#This Row],[StockActual]])/tblStock[[#This Row],[StockMax]])</f>
        <v/>
      </c>
      <c r="N47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1" s="59" t="str">
        <f>IF($B471="","",N('05_PRODUCTOS'!$H471))</f>
        <v/>
      </c>
      <c r="P471" s="59" t="str">
        <f>IF(tblStock[[#This Row],[SKU]]="","",MAX(0,tblStock[[#This Row],[StockActual]])*tblStock[[#This Row],[CostoUnitario]])</f>
        <v/>
      </c>
      <c r="Q471" s="60" t="str">
        <f>IF(tblStock[[#This Row],[SKU]]="","",IFERROR(_xlfn.AGGREGATE(14,6,tblMovimientos[Fecha]/(tblMovimientos[SKU]=tblStock[[#This Row],[SKU]]),1),""))</f>
        <v/>
      </c>
      <c r="R471" s="61" t="str">
        <f ca="1">IF(OR(tblStock[[#This Row],[SKU]]="",tblStock[[#This Row],[UltimoMov]]=""),"",TODAY()-tblStock[[#This Row],[UltimoMov]])</f>
        <v/>
      </c>
    </row>
    <row r="472" spans="2:18" x14ac:dyDescent="0.25">
      <c r="B472" s="53" t="str">
        <f>IF('05_PRODUCTOS'!$B472="","",'05_PRODUCTOS'!$B472)</f>
        <v/>
      </c>
      <c r="C472" s="54" t="str">
        <f>IF($B472="","",'05_PRODUCTOS'!$C472)</f>
        <v/>
      </c>
      <c r="D472" s="54" t="str">
        <f>IF($B472="","",'05_PRODUCTOS'!$D472)</f>
        <v/>
      </c>
      <c r="E472" s="54" t="str">
        <f>IF($B472="","",'05_PRODUCTOS'!$I472&amp;"")</f>
        <v/>
      </c>
      <c r="F472" s="53" t="str">
        <f>IF($B472="","",'05_PRODUCTOS'!$E472)</f>
        <v/>
      </c>
      <c r="G472" s="53" t="str">
        <f>IF($B472="","",IF('05_PRODUCTOS'!$K472="NO","NO","SI"))</f>
        <v/>
      </c>
      <c r="H472" s="55" t="str">
        <f>IF(tblStock[[#This Row],[SKU]]="","",SUMIFS(tblMovimientos[CantidadNeta],tblMovimientos[SKU],tblStock[[#This Row],[SKU]],tblMovimientos[FactorStock],1))</f>
        <v/>
      </c>
      <c r="I472" s="55" t="str">
        <f>IF(tblStock[[#This Row],[SKU]]="","",-SUMIFS(tblMovimientos[CantidadNeta],tblMovimientos[SKU],tblStock[[#This Row],[SKU]],tblMovimientos[FactorStock],-1))</f>
        <v/>
      </c>
      <c r="J472" s="56" t="str">
        <f>IF(tblStock[[#This Row],[SKU]]="","",SUMIFS(tblMovimientos[CantidadNeta],tblMovimientos[SKU],tblStock[[#This Row],[SKU]]))</f>
        <v/>
      </c>
      <c r="K472" s="55" t="str">
        <f>IF($B472="","",N('05_PRODUCTOS'!$F472))</f>
        <v/>
      </c>
      <c r="L472" s="55" t="str">
        <f>IF($B472="","",N('05_PRODUCTOS'!$G472))</f>
        <v/>
      </c>
      <c r="M472" s="57" t="str">
        <f>IF(OR(tblStock[[#This Row],[SKU]]="",N(tblStock[[#This Row],[StockMax]])=0),"",MAX(0,tblStock[[#This Row],[StockActual]])/tblStock[[#This Row],[StockMax]])</f>
        <v/>
      </c>
      <c r="N47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2" s="59" t="str">
        <f>IF($B472="","",N('05_PRODUCTOS'!$H472))</f>
        <v/>
      </c>
      <c r="P472" s="59" t="str">
        <f>IF(tblStock[[#This Row],[SKU]]="","",MAX(0,tblStock[[#This Row],[StockActual]])*tblStock[[#This Row],[CostoUnitario]])</f>
        <v/>
      </c>
      <c r="Q472" s="60" t="str">
        <f>IF(tblStock[[#This Row],[SKU]]="","",IFERROR(_xlfn.AGGREGATE(14,6,tblMovimientos[Fecha]/(tblMovimientos[SKU]=tblStock[[#This Row],[SKU]]),1),""))</f>
        <v/>
      </c>
      <c r="R472" s="61" t="str">
        <f ca="1">IF(OR(tblStock[[#This Row],[SKU]]="",tblStock[[#This Row],[UltimoMov]]=""),"",TODAY()-tblStock[[#This Row],[UltimoMov]])</f>
        <v/>
      </c>
    </row>
    <row r="473" spans="2:18" x14ac:dyDescent="0.25">
      <c r="B473" s="53" t="str">
        <f>IF('05_PRODUCTOS'!$B473="","",'05_PRODUCTOS'!$B473)</f>
        <v/>
      </c>
      <c r="C473" s="54" t="str">
        <f>IF($B473="","",'05_PRODUCTOS'!$C473)</f>
        <v/>
      </c>
      <c r="D473" s="54" t="str">
        <f>IF($B473="","",'05_PRODUCTOS'!$D473)</f>
        <v/>
      </c>
      <c r="E473" s="54" t="str">
        <f>IF($B473="","",'05_PRODUCTOS'!$I473&amp;"")</f>
        <v/>
      </c>
      <c r="F473" s="53" t="str">
        <f>IF($B473="","",'05_PRODUCTOS'!$E473)</f>
        <v/>
      </c>
      <c r="G473" s="53" t="str">
        <f>IF($B473="","",IF('05_PRODUCTOS'!$K473="NO","NO","SI"))</f>
        <v/>
      </c>
      <c r="H473" s="55" t="str">
        <f>IF(tblStock[[#This Row],[SKU]]="","",SUMIFS(tblMovimientos[CantidadNeta],tblMovimientos[SKU],tblStock[[#This Row],[SKU]],tblMovimientos[FactorStock],1))</f>
        <v/>
      </c>
      <c r="I473" s="55" t="str">
        <f>IF(tblStock[[#This Row],[SKU]]="","",-SUMIFS(tblMovimientos[CantidadNeta],tblMovimientos[SKU],tblStock[[#This Row],[SKU]],tblMovimientos[FactorStock],-1))</f>
        <v/>
      </c>
      <c r="J473" s="56" t="str">
        <f>IF(tblStock[[#This Row],[SKU]]="","",SUMIFS(tblMovimientos[CantidadNeta],tblMovimientos[SKU],tblStock[[#This Row],[SKU]]))</f>
        <v/>
      </c>
      <c r="K473" s="55" t="str">
        <f>IF($B473="","",N('05_PRODUCTOS'!$F473))</f>
        <v/>
      </c>
      <c r="L473" s="55" t="str">
        <f>IF($B473="","",N('05_PRODUCTOS'!$G473))</f>
        <v/>
      </c>
      <c r="M473" s="57" t="str">
        <f>IF(OR(tblStock[[#This Row],[SKU]]="",N(tblStock[[#This Row],[StockMax]])=0),"",MAX(0,tblStock[[#This Row],[StockActual]])/tblStock[[#This Row],[StockMax]])</f>
        <v/>
      </c>
      <c r="N47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3" s="59" t="str">
        <f>IF($B473="","",N('05_PRODUCTOS'!$H473))</f>
        <v/>
      </c>
      <c r="P473" s="59" t="str">
        <f>IF(tblStock[[#This Row],[SKU]]="","",MAX(0,tblStock[[#This Row],[StockActual]])*tblStock[[#This Row],[CostoUnitario]])</f>
        <v/>
      </c>
      <c r="Q473" s="60" t="str">
        <f>IF(tblStock[[#This Row],[SKU]]="","",IFERROR(_xlfn.AGGREGATE(14,6,tblMovimientos[Fecha]/(tblMovimientos[SKU]=tblStock[[#This Row],[SKU]]),1),""))</f>
        <v/>
      </c>
      <c r="R473" s="61" t="str">
        <f ca="1">IF(OR(tblStock[[#This Row],[SKU]]="",tblStock[[#This Row],[UltimoMov]]=""),"",TODAY()-tblStock[[#This Row],[UltimoMov]])</f>
        <v/>
      </c>
    </row>
    <row r="474" spans="2:18" x14ac:dyDescent="0.25">
      <c r="B474" s="53" t="str">
        <f>IF('05_PRODUCTOS'!$B474="","",'05_PRODUCTOS'!$B474)</f>
        <v/>
      </c>
      <c r="C474" s="54" t="str">
        <f>IF($B474="","",'05_PRODUCTOS'!$C474)</f>
        <v/>
      </c>
      <c r="D474" s="54" t="str">
        <f>IF($B474="","",'05_PRODUCTOS'!$D474)</f>
        <v/>
      </c>
      <c r="E474" s="54" t="str">
        <f>IF($B474="","",'05_PRODUCTOS'!$I474&amp;"")</f>
        <v/>
      </c>
      <c r="F474" s="53" t="str">
        <f>IF($B474="","",'05_PRODUCTOS'!$E474)</f>
        <v/>
      </c>
      <c r="G474" s="53" t="str">
        <f>IF($B474="","",IF('05_PRODUCTOS'!$K474="NO","NO","SI"))</f>
        <v/>
      </c>
      <c r="H474" s="55" t="str">
        <f>IF(tblStock[[#This Row],[SKU]]="","",SUMIFS(tblMovimientos[CantidadNeta],tblMovimientos[SKU],tblStock[[#This Row],[SKU]],tblMovimientos[FactorStock],1))</f>
        <v/>
      </c>
      <c r="I474" s="55" t="str">
        <f>IF(tblStock[[#This Row],[SKU]]="","",-SUMIFS(tblMovimientos[CantidadNeta],tblMovimientos[SKU],tblStock[[#This Row],[SKU]],tblMovimientos[FactorStock],-1))</f>
        <v/>
      </c>
      <c r="J474" s="56" t="str">
        <f>IF(tblStock[[#This Row],[SKU]]="","",SUMIFS(tblMovimientos[CantidadNeta],tblMovimientos[SKU],tblStock[[#This Row],[SKU]]))</f>
        <v/>
      </c>
      <c r="K474" s="55" t="str">
        <f>IF($B474="","",N('05_PRODUCTOS'!$F474))</f>
        <v/>
      </c>
      <c r="L474" s="55" t="str">
        <f>IF($B474="","",N('05_PRODUCTOS'!$G474))</f>
        <v/>
      </c>
      <c r="M474" s="57" t="str">
        <f>IF(OR(tblStock[[#This Row],[SKU]]="",N(tblStock[[#This Row],[StockMax]])=0),"",MAX(0,tblStock[[#This Row],[StockActual]])/tblStock[[#This Row],[StockMax]])</f>
        <v/>
      </c>
      <c r="N47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4" s="59" t="str">
        <f>IF($B474="","",N('05_PRODUCTOS'!$H474))</f>
        <v/>
      </c>
      <c r="P474" s="59" t="str">
        <f>IF(tblStock[[#This Row],[SKU]]="","",MAX(0,tblStock[[#This Row],[StockActual]])*tblStock[[#This Row],[CostoUnitario]])</f>
        <v/>
      </c>
      <c r="Q474" s="60" t="str">
        <f>IF(tblStock[[#This Row],[SKU]]="","",IFERROR(_xlfn.AGGREGATE(14,6,tblMovimientos[Fecha]/(tblMovimientos[SKU]=tblStock[[#This Row],[SKU]]),1),""))</f>
        <v/>
      </c>
      <c r="R474" s="61" t="str">
        <f ca="1">IF(OR(tblStock[[#This Row],[SKU]]="",tblStock[[#This Row],[UltimoMov]]=""),"",TODAY()-tblStock[[#This Row],[UltimoMov]])</f>
        <v/>
      </c>
    </row>
    <row r="475" spans="2:18" x14ac:dyDescent="0.25">
      <c r="B475" s="53" t="str">
        <f>IF('05_PRODUCTOS'!$B475="","",'05_PRODUCTOS'!$B475)</f>
        <v/>
      </c>
      <c r="C475" s="54" t="str">
        <f>IF($B475="","",'05_PRODUCTOS'!$C475)</f>
        <v/>
      </c>
      <c r="D475" s="54" t="str">
        <f>IF($B475="","",'05_PRODUCTOS'!$D475)</f>
        <v/>
      </c>
      <c r="E475" s="54" t="str">
        <f>IF($B475="","",'05_PRODUCTOS'!$I475&amp;"")</f>
        <v/>
      </c>
      <c r="F475" s="53" t="str">
        <f>IF($B475="","",'05_PRODUCTOS'!$E475)</f>
        <v/>
      </c>
      <c r="G475" s="53" t="str">
        <f>IF($B475="","",IF('05_PRODUCTOS'!$K475="NO","NO","SI"))</f>
        <v/>
      </c>
      <c r="H475" s="55" t="str">
        <f>IF(tblStock[[#This Row],[SKU]]="","",SUMIFS(tblMovimientos[CantidadNeta],tblMovimientos[SKU],tblStock[[#This Row],[SKU]],tblMovimientos[FactorStock],1))</f>
        <v/>
      </c>
      <c r="I475" s="55" t="str">
        <f>IF(tblStock[[#This Row],[SKU]]="","",-SUMIFS(tblMovimientos[CantidadNeta],tblMovimientos[SKU],tblStock[[#This Row],[SKU]],tblMovimientos[FactorStock],-1))</f>
        <v/>
      </c>
      <c r="J475" s="56" t="str">
        <f>IF(tblStock[[#This Row],[SKU]]="","",SUMIFS(tblMovimientos[CantidadNeta],tblMovimientos[SKU],tblStock[[#This Row],[SKU]]))</f>
        <v/>
      </c>
      <c r="K475" s="55" t="str">
        <f>IF($B475="","",N('05_PRODUCTOS'!$F475))</f>
        <v/>
      </c>
      <c r="L475" s="55" t="str">
        <f>IF($B475="","",N('05_PRODUCTOS'!$G475))</f>
        <v/>
      </c>
      <c r="M475" s="57" t="str">
        <f>IF(OR(tblStock[[#This Row],[SKU]]="",N(tblStock[[#This Row],[StockMax]])=0),"",MAX(0,tblStock[[#This Row],[StockActual]])/tblStock[[#This Row],[StockMax]])</f>
        <v/>
      </c>
      <c r="N47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5" s="59" t="str">
        <f>IF($B475="","",N('05_PRODUCTOS'!$H475))</f>
        <v/>
      </c>
      <c r="P475" s="59" t="str">
        <f>IF(tblStock[[#This Row],[SKU]]="","",MAX(0,tblStock[[#This Row],[StockActual]])*tblStock[[#This Row],[CostoUnitario]])</f>
        <v/>
      </c>
      <c r="Q475" s="60" t="str">
        <f>IF(tblStock[[#This Row],[SKU]]="","",IFERROR(_xlfn.AGGREGATE(14,6,tblMovimientos[Fecha]/(tblMovimientos[SKU]=tblStock[[#This Row],[SKU]]),1),""))</f>
        <v/>
      </c>
      <c r="R475" s="61" t="str">
        <f ca="1">IF(OR(tblStock[[#This Row],[SKU]]="",tblStock[[#This Row],[UltimoMov]]=""),"",TODAY()-tblStock[[#This Row],[UltimoMov]])</f>
        <v/>
      </c>
    </row>
    <row r="476" spans="2:18" x14ac:dyDescent="0.25">
      <c r="B476" s="53" t="str">
        <f>IF('05_PRODUCTOS'!$B476="","",'05_PRODUCTOS'!$B476)</f>
        <v/>
      </c>
      <c r="C476" s="54" t="str">
        <f>IF($B476="","",'05_PRODUCTOS'!$C476)</f>
        <v/>
      </c>
      <c r="D476" s="54" t="str">
        <f>IF($B476="","",'05_PRODUCTOS'!$D476)</f>
        <v/>
      </c>
      <c r="E476" s="54" t="str">
        <f>IF($B476="","",'05_PRODUCTOS'!$I476&amp;"")</f>
        <v/>
      </c>
      <c r="F476" s="53" t="str">
        <f>IF($B476="","",'05_PRODUCTOS'!$E476)</f>
        <v/>
      </c>
      <c r="G476" s="53" t="str">
        <f>IF($B476="","",IF('05_PRODUCTOS'!$K476="NO","NO","SI"))</f>
        <v/>
      </c>
      <c r="H476" s="55" t="str">
        <f>IF(tblStock[[#This Row],[SKU]]="","",SUMIFS(tblMovimientos[CantidadNeta],tblMovimientos[SKU],tblStock[[#This Row],[SKU]],tblMovimientos[FactorStock],1))</f>
        <v/>
      </c>
      <c r="I476" s="55" t="str">
        <f>IF(tblStock[[#This Row],[SKU]]="","",-SUMIFS(tblMovimientos[CantidadNeta],tblMovimientos[SKU],tblStock[[#This Row],[SKU]],tblMovimientos[FactorStock],-1))</f>
        <v/>
      </c>
      <c r="J476" s="56" t="str">
        <f>IF(tblStock[[#This Row],[SKU]]="","",SUMIFS(tblMovimientos[CantidadNeta],tblMovimientos[SKU],tblStock[[#This Row],[SKU]]))</f>
        <v/>
      </c>
      <c r="K476" s="55" t="str">
        <f>IF($B476="","",N('05_PRODUCTOS'!$F476))</f>
        <v/>
      </c>
      <c r="L476" s="55" t="str">
        <f>IF($B476="","",N('05_PRODUCTOS'!$G476))</f>
        <v/>
      </c>
      <c r="M476" s="57" t="str">
        <f>IF(OR(tblStock[[#This Row],[SKU]]="",N(tblStock[[#This Row],[StockMax]])=0),"",MAX(0,tblStock[[#This Row],[StockActual]])/tblStock[[#This Row],[StockMax]])</f>
        <v/>
      </c>
      <c r="N47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6" s="59" t="str">
        <f>IF($B476="","",N('05_PRODUCTOS'!$H476))</f>
        <v/>
      </c>
      <c r="P476" s="59" t="str">
        <f>IF(tblStock[[#This Row],[SKU]]="","",MAX(0,tblStock[[#This Row],[StockActual]])*tblStock[[#This Row],[CostoUnitario]])</f>
        <v/>
      </c>
      <c r="Q476" s="60" t="str">
        <f>IF(tblStock[[#This Row],[SKU]]="","",IFERROR(_xlfn.AGGREGATE(14,6,tblMovimientos[Fecha]/(tblMovimientos[SKU]=tblStock[[#This Row],[SKU]]),1),""))</f>
        <v/>
      </c>
      <c r="R476" s="61" t="str">
        <f ca="1">IF(OR(tblStock[[#This Row],[SKU]]="",tblStock[[#This Row],[UltimoMov]]=""),"",TODAY()-tblStock[[#This Row],[UltimoMov]])</f>
        <v/>
      </c>
    </row>
    <row r="477" spans="2:18" x14ac:dyDescent="0.25">
      <c r="B477" s="53" t="str">
        <f>IF('05_PRODUCTOS'!$B477="","",'05_PRODUCTOS'!$B477)</f>
        <v/>
      </c>
      <c r="C477" s="54" t="str">
        <f>IF($B477="","",'05_PRODUCTOS'!$C477)</f>
        <v/>
      </c>
      <c r="D477" s="54" t="str">
        <f>IF($B477="","",'05_PRODUCTOS'!$D477)</f>
        <v/>
      </c>
      <c r="E477" s="54" t="str">
        <f>IF($B477="","",'05_PRODUCTOS'!$I477&amp;"")</f>
        <v/>
      </c>
      <c r="F477" s="53" t="str">
        <f>IF($B477="","",'05_PRODUCTOS'!$E477)</f>
        <v/>
      </c>
      <c r="G477" s="53" t="str">
        <f>IF($B477="","",IF('05_PRODUCTOS'!$K477="NO","NO","SI"))</f>
        <v/>
      </c>
      <c r="H477" s="55" t="str">
        <f>IF(tblStock[[#This Row],[SKU]]="","",SUMIFS(tblMovimientos[CantidadNeta],tblMovimientos[SKU],tblStock[[#This Row],[SKU]],tblMovimientos[FactorStock],1))</f>
        <v/>
      </c>
      <c r="I477" s="55" t="str">
        <f>IF(tblStock[[#This Row],[SKU]]="","",-SUMIFS(tblMovimientos[CantidadNeta],tblMovimientos[SKU],tblStock[[#This Row],[SKU]],tblMovimientos[FactorStock],-1))</f>
        <v/>
      </c>
      <c r="J477" s="56" t="str">
        <f>IF(tblStock[[#This Row],[SKU]]="","",SUMIFS(tblMovimientos[CantidadNeta],tblMovimientos[SKU],tblStock[[#This Row],[SKU]]))</f>
        <v/>
      </c>
      <c r="K477" s="55" t="str">
        <f>IF($B477="","",N('05_PRODUCTOS'!$F477))</f>
        <v/>
      </c>
      <c r="L477" s="55" t="str">
        <f>IF($B477="","",N('05_PRODUCTOS'!$G477))</f>
        <v/>
      </c>
      <c r="M477" s="57" t="str">
        <f>IF(OR(tblStock[[#This Row],[SKU]]="",N(tblStock[[#This Row],[StockMax]])=0),"",MAX(0,tblStock[[#This Row],[StockActual]])/tblStock[[#This Row],[StockMax]])</f>
        <v/>
      </c>
      <c r="N47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7" s="59" t="str">
        <f>IF($B477="","",N('05_PRODUCTOS'!$H477))</f>
        <v/>
      </c>
      <c r="P477" s="59" t="str">
        <f>IF(tblStock[[#This Row],[SKU]]="","",MAX(0,tblStock[[#This Row],[StockActual]])*tblStock[[#This Row],[CostoUnitario]])</f>
        <v/>
      </c>
      <c r="Q477" s="60" t="str">
        <f>IF(tblStock[[#This Row],[SKU]]="","",IFERROR(_xlfn.AGGREGATE(14,6,tblMovimientos[Fecha]/(tblMovimientos[SKU]=tblStock[[#This Row],[SKU]]),1),""))</f>
        <v/>
      </c>
      <c r="R477" s="61" t="str">
        <f ca="1">IF(OR(tblStock[[#This Row],[SKU]]="",tblStock[[#This Row],[UltimoMov]]=""),"",TODAY()-tblStock[[#This Row],[UltimoMov]])</f>
        <v/>
      </c>
    </row>
    <row r="478" spans="2:18" x14ac:dyDescent="0.25">
      <c r="B478" s="53" t="str">
        <f>IF('05_PRODUCTOS'!$B478="","",'05_PRODUCTOS'!$B478)</f>
        <v/>
      </c>
      <c r="C478" s="54" t="str">
        <f>IF($B478="","",'05_PRODUCTOS'!$C478)</f>
        <v/>
      </c>
      <c r="D478" s="54" t="str">
        <f>IF($B478="","",'05_PRODUCTOS'!$D478)</f>
        <v/>
      </c>
      <c r="E478" s="54" t="str">
        <f>IF($B478="","",'05_PRODUCTOS'!$I478&amp;"")</f>
        <v/>
      </c>
      <c r="F478" s="53" t="str">
        <f>IF($B478="","",'05_PRODUCTOS'!$E478)</f>
        <v/>
      </c>
      <c r="G478" s="53" t="str">
        <f>IF($B478="","",IF('05_PRODUCTOS'!$K478="NO","NO","SI"))</f>
        <v/>
      </c>
      <c r="H478" s="55" t="str">
        <f>IF(tblStock[[#This Row],[SKU]]="","",SUMIFS(tblMovimientos[CantidadNeta],tblMovimientos[SKU],tblStock[[#This Row],[SKU]],tblMovimientos[FactorStock],1))</f>
        <v/>
      </c>
      <c r="I478" s="55" t="str">
        <f>IF(tblStock[[#This Row],[SKU]]="","",-SUMIFS(tblMovimientos[CantidadNeta],tblMovimientos[SKU],tblStock[[#This Row],[SKU]],tblMovimientos[FactorStock],-1))</f>
        <v/>
      </c>
      <c r="J478" s="56" t="str">
        <f>IF(tblStock[[#This Row],[SKU]]="","",SUMIFS(tblMovimientos[CantidadNeta],tblMovimientos[SKU],tblStock[[#This Row],[SKU]]))</f>
        <v/>
      </c>
      <c r="K478" s="55" t="str">
        <f>IF($B478="","",N('05_PRODUCTOS'!$F478))</f>
        <v/>
      </c>
      <c r="L478" s="55" t="str">
        <f>IF($B478="","",N('05_PRODUCTOS'!$G478))</f>
        <v/>
      </c>
      <c r="M478" s="57" t="str">
        <f>IF(OR(tblStock[[#This Row],[SKU]]="",N(tblStock[[#This Row],[StockMax]])=0),"",MAX(0,tblStock[[#This Row],[StockActual]])/tblStock[[#This Row],[StockMax]])</f>
        <v/>
      </c>
      <c r="N47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8" s="59" t="str">
        <f>IF($B478="","",N('05_PRODUCTOS'!$H478))</f>
        <v/>
      </c>
      <c r="P478" s="59" t="str">
        <f>IF(tblStock[[#This Row],[SKU]]="","",MAX(0,tblStock[[#This Row],[StockActual]])*tblStock[[#This Row],[CostoUnitario]])</f>
        <v/>
      </c>
      <c r="Q478" s="60" t="str">
        <f>IF(tblStock[[#This Row],[SKU]]="","",IFERROR(_xlfn.AGGREGATE(14,6,tblMovimientos[Fecha]/(tblMovimientos[SKU]=tblStock[[#This Row],[SKU]]),1),""))</f>
        <v/>
      </c>
      <c r="R478" s="61" t="str">
        <f ca="1">IF(OR(tblStock[[#This Row],[SKU]]="",tblStock[[#This Row],[UltimoMov]]=""),"",TODAY()-tblStock[[#This Row],[UltimoMov]])</f>
        <v/>
      </c>
    </row>
    <row r="479" spans="2:18" x14ac:dyDescent="0.25">
      <c r="B479" s="53" t="str">
        <f>IF('05_PRODUCTOS'!$B479="","",'05_PRODUCTOS'!$B479)</f>
        <v/>
      </c>
      <c r="C479" s="54" t="str">
        <f>IF($B479="","",'05_PRODUCTOS'!$C479)</f>
        <v/>
      </c>
      <c r="D479" s="54" t="str">
        <f>IF($B479="","",'05_PRODUCTOS'!$D479)</f>
        <v/>
      </c>
      <c r="E479" s="54" t="str">
        <f>IF($B479="","",'05_PRODUCTOS'!$I479&amp;"")</f>
        <v/>
      </c>
      <c r="F479" s="53" t="str">
        <f>IF($B479="","",'05_PRODUCTOS'!$E479)</f>
        <v/>
      </c>
      <c r="G479" s="53" t="str">
        <f>IF($B479="","",IF('05_PRODUCTOS'!$K479="NO","NO","SI"))</f>
        <v/>
      </c>
      <c r="H479" s="55" t="str">
        <f>IF(tblStock[[#This Row],[SKU]]="","",SUMIFS(tblMovimientos[CantidadNeta],tblMovimientos[SKU],tblStock[[#This Row],[SKU]],tblMovimientos[FactorStock],1))</f>
        <v/>
      </c>
      <c r="I479" s="55" t="str">
        <f>IF(tblStock[[#This Row],[SKU]]="","",-SUMIFS(tblMovimientos[CantidadNeta],tblMovimientos[SKU],tblStock[[#This Row],[SKU]],tblMovimientos[FactorStock],-1))</f>
        <v/>
      </c>
      <c r="J479" s="56" t="str">
        <f>IF(tblStock[[#This Row],[SKU]]="","",SUMIFS(tblMovimientos[CantidadNeta],tblMovimientos[SKU],tblStock[[#This Row],[SKU]]))</f>
        <v/>
      </c>
      <c r="K479" s="55" t="str">
        <f>IF($B479="","",N('05_PRODUCTOS'!$F479))</f>
        <v/>
      </c>
      <c r="L479" s="55" t="str">
        <f>IF($B479="","",N('05_PRODUCTOS'!$G479))</f>
        <v/>
      </c>
      <c r="M479" s="57" t="str">
        <f>IF(OR(tblStock[[#This Row],[SKU]]="",N(tblStock[[#This Row],[StockMax]])=0),"",MAX(0,tblStock[[#This Row],[StockActual]])/tblStock[[#This Row],[StockMax]])</f>
        <v/>
      </c>
      <c r="N47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79" s="59" t="str">
        <f>IF($B479="","",N('05_PRODUCTOS'!$H479))</f>
        <v/>
      </c>
      <c r="P479" s="59" t="str">
        <f>IF(tblStock[[#This Row],[SKU]]="","",MAX(0,tblStock[[#This Row],[StockActual]])*tblStock[[#This Row],[CostoUnitario]])</f>
        <v/>
      </c>
      <c r="Q479" s="60" t="str">
        <f>IF(tblStock[[#This Row],[SKU]]="","",IFERROR(_xlfn.AGGREGATE(14,6,tblMovimientos[Fecha]/(tblMovimientos[SKU]=tblStock[[#This Row],[SKU]]),1),""))</f>
        <v/>
      </c>
      <c r="R479" s="61" t="str">
        <f ca="1">IF(OR(tblStock[[#This Row],[SKU]]="",tblStock[[#This Row],[UltimoMov]]=""),"",TODAY()-tblStock[[#This Row],[UltimoMov]])</f>
        <v/>
      </c>
    </row>
    <row r="480" spans="2:18" x14ac:dyDescent="0.25">
      <c r="B480" s="53" t="str">
        <f>IF('05_PRODUCTOS'!$B480="","",'05_PRODUCTOS'!$B480)</f>
        <v/>
      </c>
      <c r="C480" s="54" t="str">
        <f>IF($B480="","",'05_PRODUCTOS'!$C480)</f>
        <v/>
      </c>
      <c r="D480" s="54" t="str">
        <f>IF($B480="","",'05_PRODUCTOS'!$D480)</f>
        <v/>
      </c>
      <c r="E480" s="54" t="str">
        <f>IF($B480="","",'05_PRODUCTOS'!$I480&amp;"")</f>
        <v/>
      </c>
      <c r="F480" s="53" t="str">
        <f>IF($B480="","",'05_PRODUCTOS'!$E480)</f>
        <v/>
      </c>
      <c r="G480" s="53" t="str">
        <f>IF($B480="","",IF('05_PRODUCTOS'!$K480="NO","NO","SI"))</f>
        <v/>
      </c>
      <c r="H480" s="55" t="str">
        <f>IF(tblStock[[#This Row],[SKU]]="","",SUMIFS(tblMovimientos[CantidadNeta],tblMovimientos[SKU],tblStock[[#This Row],[SKU]],tblMovimientos[FactorStock],1))</f>
        <v/>
      </c>
      <c r="I480" s="55" t="str">
        <f>IF(tblStock[[#This Row],[SKU]]="","",-SUMIFS(tblMovimientos[CantidadNeta],tblMovimientos[SKU],tblStock[[#This Row],[SKU]],tblMovimientos[FactorStock],-1))</f>
        <v/>
      </c>
      <c r="J480" s="56" t="str">
        <f>IF(tblStock[[#This Row],[SKU]]="","",SUMIFS(tblMovimientos[CantidadNeta],tblMovimientos[SKU],tblStock[[#This Row],[SKU]]))</f>
        <v/>
      </c>
      <c r="K480" s="55" t="str">
        <f>IF($B480="","",N('05_PRODUCTOS'!$F480))</f>
        <v/>
      </c>
      <c r="L480" s="55" t="str">
        <f>IF($B480="","",N('05_PRODUCTOS'!$G480))</f>
        <v/>
      </c>
      <c r="M480" s="57" t="str">
        <f>IF(OR(tblStock[[#This Row],[SKU]]="",N(tblStock[[#This Row],[StockMax]])=0),"",MAX(0,tblStock[[#This Row],[StockActual]])/tblStock[[#This Row],[StockMax]])</f>
        <v/>
      </c>
      <c r="N48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0" s="59" t="str">
        <f>IF($B480="","",N('05_PRODUCTOS'!$H480))</f>
        <v/>
      </c>
      <c r="P480" s="59" t="str">
        <f>IF(tblStock[[#This Row],[SKU]]="","",MAX(0,tblStock[[#This Row],[StockActual]])*tblStock[[#This Row],[CostoUnitario]])</f>
        <v/>
      </c>
      <c r="Q480" s="60" t="str">
        <f>IF(tblStock[[#This Row],[SKU]]="","",IFERROR(_xlfn.AGGREGATE(14,6,tblMovimientos[Fecha]/(tblMovimientos[SKU]=tblStock[[#This Row],[SKU]]),1),""))</f>
        <v/>
      </c>
      <c r="R480" s="61" t="str">
        <f ca="1">IF(OR(tblStock[[#This Row],[SKU]]="",tblStock[[#This Row],[UltimoMov]]=""),"",TODAY()-tblStock[[#This Row],[UltimoMov]])</f>
        <v/>
      </c>
    </row>
    <row r="481" spans="2:18" x14ac:dyDescent="0.25">
      <c r="B481" s="53" t="str">
        <f>IF('05_PRODUCTOS'!$B481="","",'05_PRODUCTOS'!$B481)</f>
        <v/>
      </c>
      <c r="C481" s="54" t="str">
        <f>IF($B481="","",'05_PRODUCTOS'!$C481)</f>
        <v/>
      </c>
      <c r="D481" s="54" t="str">
        <f>IF($B481="","",'05_PRODUCTOS'!$D481)</f>
        <v/>
      </c>
      <c r="E481" s="54" t="str">
        <f>IF($B481="","",'05_PRODUCTOS'!$I481&amp;"")</f>
        <v/>
      </c>
      <c r="F481" s="53" t="str">
        <f>IF($B481="","",'05_PRODUCTOS'!$E481)</f>
        <v/>
      </c>
      <c r="G481" s="53" t="str">
        <f>IF($B481="","",IF('05_PRODUCTOS'!$K481="NO","NO","SI"))</f>
        <v/>
      </c>
      <c r="H481" s="55" t="str">
        <f>IF(tblStock[[#This Row],[SKU]]="","",SUMIFS(tblMovimientos[CantidadNeta],tblMovimientos[SKU],tblStock[[#This Row],[SKU]],tblMovimientos[FactorStock],1))</f>
        <v/>
      </c>
      <c r="I481" s="55" t="str">
        <f>IF(tblStock[[#This Row],[SKU]]="","",-SUMIFS(tblMovimientos[CantidadNeta],tblMovimientos[SKU],tblStock[[#This Row],[SKU]],tblMovimientos[FactorStock],-1))</f>
        <v/>
      </c>
      <c r="J481" s="56" t="str">
        <f>IF(tblStock[[#This Row],[SKU]]="","",SUMIFS(tblMovimientos[CantidadNeta],tblMovimientos[SKU],tblStock[[#This Row],[SKU]]))</f>
        <v/>
      </c>
      <c r="K481" s="55" t="str">
        <f>IF($B481="","",N('05_PRODUCTOS'!$F481))</f>
        <v/>
      </c>
      <c r="L481" s="55" t="str">
        <f>IF($B481="","",N('05_PRODUCTOS'!$G481))</f>
        <v/>
      </c>
      <c r="M481" s="57" t="str">
        <f>IF(OR(tblStock[[#This Row],[SKU]]="",N(tblStock[[#This Row],[StockMax]])=0),"",MAX(0,tblStock[[#This Row],[StockActual]])/tblStock[[#This Row],[StockMax]])</f>
        <v/>
      </c>
      <c r="N48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1" s="59" t="str">
        <f>IF($B481="","",N('05_PRODUCTOS'!$H481))</f>
        <v/>
      </c>
      <c r="P481" s="59" t="str">
        <f>IF(tblStock[[#This Row],[SKU]]="","",MAX(0,tblStock[[#This Row],[StockActual]])*tblStock[[#This Row],[CostoUnitario]])</f>
        <v/>
      </c>
      <c r="Q481" s="60" t="str">
        <f>IF(tblStock[[#This Row],[SKU]]="","",IFERROR(_xlfn.AGGREGATE(14,6,tblMovimientos[Fecha]/(tblMovimientos[SKU]=tblStock[[#This Row],[SKU]]),1),""))</f>
        <v/>
      </c>
      <c r="R481" s="61" t="str">
        <f ca="1">IF(OR(tblStock[[#This Row],[SKU]]="",tblStock[[#This Row],[UltimoMov]]=""),"",TODAY()-tblStock[[#This Row],[UltimoMov]])</f>
        <v/>
      </c>
    </row>
    <row r="482" spans="2:18" x14ac:dyDescent="0.25">
      <c r="B482" s="53" t="str">
        <f>IF('05_PRODUCTOS'!$B482="","",'05_PRODUCTOS'!$B482)</f>
        <v/>
      </c>
      <c r="C482" s="54" t="str">
        <f>IF($B482="","",'05_PRODUCTOS'!$C482)</f>
        <v/>
      </c>
      <c r="D482" s="54" t="str">
        <f>IF($B482="","",'05_PRODUCTOS'!$D482)</f>
        <v/>
      </c>
      <c r="E482" s="54" t="str">
        <f>IF($B482="","",'05_PRODUCTOS'!$I482&amp;"")</f>
        <v/>
      </c>
      <c r="F482" s="53" t="str">
        <f>IF($B482="","",'05_PRODUCTOS'!$E482)</f>
        <v/>
      </c>
      <c r="G482" s="53" t="str">
        <f>IF($B482="","",IF('05_PRODUCTOS'!$K482="NO","NO","SI"))</f>
        <v/>
      </c>
      <c r="H482" s="55" t="str">
        <f>IF(tblStock[[#This Row],[SKU]]="","",SUMIFS(tblMovimientos[CantidadNeta],tblMovimientos[SKU],tblStock[[#This Row],[SKU]],tblMovimientos[FactorStock],1))</f>
        <v/>
      </c>
      <c r="I482" s="55" t="str">
        <f>IF(tblStock[[#This Row],[SKU]]="","",-SUMIFS(tblMovimientos[CantidadNeta],tblMovimientos[SKU],tblStock[[#This Row],[SKU]],tblMovimientos[FactorStock],-1))</f>
        <v/>
      </c>
      <c r="J482" s="56" t="str">
        <f>IF(tblStock[[#This Row],[SKU]]="","",SUMIFS(tblMovimientos[CantidadNeta],tblMovimientos[SKU],tblStock[[#This Row],[SKU]]))</f>
        <v/>
      </c>
      <c r="K482" s="55" t="str">
        <f>IF($B482="","",N('05_PRODUCTOS'!$F482))</f>
        <v/>
      </c>
      <c r="L482" s="55" t="str">
        <f>IF($B482="","",N('05_PRODUCTOS'!$G482))</f>
        <v/>
      </c>
      <c r="M482" s="57" t="str">
        <f>IF(OR(tblStock[[#This Row],[SKU]]="",N(tblStock[[#This Row],[StockMax]])=0),"",MAX(0,tblStock[[#This Row],[StockActual]])/tblStock[[#This Row],[StockMax]])</f>
        <v/>
      </c>
      <c r="N48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2" s="59" t="str">
        <f>IF($B482="","",N('05_PRODUCTOS'!$H482))</f>
        <v/>
      </c>
      <c r="P482" s="59" t="str">
        <f>IF(tblStock[[#This Row],[SKU]]="","",MAX(0,tblStock[[#This Row],[StockActual]])*tblStock[[#This Row],[CostoUnitario]])</f>
        <v/>
      </c>
      <c r="Q482" s="60" t="str">
        <f>IF(tblStock[[#This Row],[SKU]]="","",IFERROR(_xlfn.AGGREGATE(14,6,tblMovimientos[Fecha]/(tblMovimientos[SKU]=tblStock[[#This Row],[SKU]]),1),""))</f>
        <v/>
      </c>
      <c r="R482" s="61" t="str">
        <f ca="1">IF(OR(tblStock[[#This Row],[SKU]]="",tblStock[[#This Row],[UltimoMov]]=""),"",TODAY()-tblStock[[#This Row],[UltimoMov]])</f>
        <v/>
      </c>
    </row>
    <row r="483" spans="2:18" x14ac:dyDescent="0.25">
      <c r="B483" s="53" t="str">
        <f>IF('05_PRODUCTOS'!$B483="","",'05_PRODUCTOS'!$B483)</f>
        <v/>
      </c>
      <c r="C483" s="54" t="str">
        <f>IF($B483="","",'05_PRODUCTOS'!$C483)</f>
        <v/>
      </c>
      <c r="D483" s="54" t="str">
        <f>IF($B483="","",'05_PRODUCTOS'!$D483)</f>
        <v/>
      </c>
      <c r="E483" s="54" t="str">
        <f>IF($B483="","",'05_PRODUCTOS'!$I483&amp;"")</f>
        <v/>
      </c>
      <c r="F483" s="53" t="str">
        <f>IF($B483="","",'05_PRODUCTOS'!$E483)</f>
        <v/>
      </c>
      <c r="G483" s="53" t="str">
        <f>IF($B483="","",IF('05_PRODUCTOS'!$K483="NO","NO","SI"))</f>
        <v/>
      </c>
      <c r="H483" s="55" t="str">
        <f>IF(tblStock[[#This Row],[SKU]]="","",SUMIFS(tblMovimientos[CantidadNeta],tblMovimientos[SKU],tblStock[[#This Row],[SKU]],tblMovimientos[FactorStock],1))</f>
        <v/>
      </c>
      <c r="I483" s="55" t="str">
        <f>IF(tblStock[[#This Row],[SKU]]="","",-SUMIFS(tblMovimientos[CantidadNeta],tblMovimientos[SKU],tblStock[[#This Row],[SKU]],tblMovimientos[FactorStock],-1))</f>
        <v/>
      </c>
      <c r="J483" s="56" t="str">
        <f>IF(tblStock[[#This Row],[SKU]]="","",SUMIFS(tblMovimientos[CantidadNeta],tblMovimientos[SKU],tblStock[[#This Row],[SKU]]))</f>
        <v/>
      </c>
      <c r="K483" s="55" t="str">
        <f>IF($B483="","",N('05_PRODUCTOS'!$F483))</f>
        <v/>
      </c>
      <c r="L483" s="55" t="str">
        <f>IF($B483="","",N('05_PRODUCTOS'!$G483))</f>
        <v/>
      </c>
      <c r="M483" s="57" t="str">
        <f>IF(OR(tblStock[[#This Row],[SKU]]="",N(tblStock[[#This Row],[StockMax]])=0),"",MAX(0,tblStock[[#This Row],[StockActual]])/tblStock[[#This Row],[StockMax]])</f>
        <v/>
      </c>
      <c r="N48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3" s="59" t="str">
        <f>IF($B483="","",N('05_PRODUCTOS'!$H483))</f>
        <v/>
      </c>
      <c r="P483" s="59" t="str">
        <f>IF(tblStock[[#This Row],[SKU]]="","",MAX(0,tblStock[[#This Row],[StockActual]])*tblStock[[#This Row],[CostoUnitario]])</f>
        <v/>
      </c>
      <c r="Q483" s="60" t="str">
        <f>IF(tblStock[[#This Row],[SKU]]="","",IFERROR(_xlfn.AGGREGATE(14,6,tblMovimientos[Fecha]/(tblMovimientos[SKU]=tblStock[[#This Row],[SKU]]),1),""))</f>
        <v/>
      </c>
      <c r="R483" s="61" t="str">
        <f ca="1">IF(OR(tblStock[[#This Row],[SKU]]="",tblStock[[#This Row],[UltimoMov]]=""),"",TODAY()-tblStock[[#This Row],[UltimoMov]])</f>
        <v/>
      </c>
    </row>
    <row r="484" spans="2:18" x14ac:dyDescent="0.25">
      <c r="B484" s="53" t="str">
        <f>IF('05_PRODUCTOS'!$B484="","",'05_PRODUCTOS'!$B484)</f>
        <v/>
      </c>
      <c r="C484" s="54" t="str">
        <f>IF($B484="","",'05_PRODUCTOS'!$C484)</f>
        <v/>
      </c>
      <c r="D484" s="54" t="str">
        <f>IF($B484="","",'05_PRODUCTOS'!$D484)</f>
        <v/>
      </c>
      <c r="E484" s="54" t="str">
        <f>IF($B484="","",'05_PRODUCTOS'!$I484&amp;"")</f>
        <v/>
      </c>
      <c r="F484" s="53" t="str">
        <f>IF($B484="","",'05_PRODUCTOS'!$E484)</f>
        <v/>
      </c>
      <c r="G484" s="53" t="str">
        <f>IF($B484="","",IF('05_PRODUCTOS'!$K484="NO","NO","SI"))</f>
        <v/>
      </c>
      <c r="H484" s="55" t="str">
        <f>IF(tblStock[[#This Row],[SKU]]="","",SUMIFS(tblMovimientos[CantidadNeta],tblMovimientos[SKU],tblStock[[#This Row],[SKU]],tblMovimientos[FactorStock],1))</f>
        <v/>
      </c>
      <c r="I484" s="55" t="str">
        <f>IF(tblStock[[#This Row],[SKU]]="","",-SUMIFS(tblMovimientos[CantidadNeta],tblMovimientos[SKU],tblStock[[#This Row],[SKU]],tblMovimientos[FactorStock],-1))</f>
        <v/>
      </c>
      <c r="J484" s="56" t="str">
        <f>IF(tblStock[[#This Row],[SKU]]="","",SUMIFS(tblMovimientos[CantidadNeta],tblMovimientos[SKU],tblStock[[#This Row],[SKU]]))</f>
        <v/>
      </c>
      <c r="K484" s="55" t="str">
        <f>IF($B484="","",N('05_PRODUCTOS'!$F484))</f>
        <v/>
      </c>
      <c r="L484" s="55" t="str">
        <f>IF($B484="","",N('05_PRODUCTOS'!$G484))</f>
        <v/>
      </c>
      <c r="M484" s="57" t="str">
        <f>IF(OR(tblStock[[#This Row],[SKU]]="",N(tblStock[[#This Row],[StockMax]])=0),"",MAX(0,tblStock[[#This Row],[StockActual]])/tblStock[[#This Row],[StockMax]])</f>
        <v/>
      </c>
      <c r="N48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4" s="59" t="str">
        <f>IF($B484="","",N('05_PRODUCTOS'!$H484))</f>
        <v/>
      </c>
      <c r="P484" s="59" t="str">
        <f>IF(tblStock[[#This Row],[SKU]]="","",MAX(0,tblStock[[#This Row],[StockActual]])*tblStock[[#This Row],[CostoUnitario]])</f>
        <v/>
      </c>
      <c r="Q484" s="60" t="str">
        <f>IF(tblStock[[#This Row],[SKU]]="","",IFERROR(_xlfn.AGGREGATE(14,6,tblMovimientos[Fecha]/(tblMovimientos[SKU]=tblStock[[#This Row],[SKU]]),1),""))</f>
        <v/>
      </c>
      <c r="R484" s="61" t="str">
        <f ca="1">IF(OR(tblStock[[#This Row],[SKU]]="",tblStock[[#This Row],[UltimoMov]]=""),"",TODAY()-tblStock[[#This Row],[UltimoMov]])</f>
        <v/>
      </c>
    </row>
    <row r="485" spans="2:18" x14ac:dyDescent="0.25">
      <c r="B485" s="53" t="str">
        <f>IF('05_PRODUCTOS'!$B485="","",'05_PRODUCTOS'!$B485)</f>
        <v/>
      </c>
      <c r="C485" s="54" t="str">
        <f>IF($B485="","",'05_PRODUCTOS'!$C485)</f>
        <v/>
      </c>
      <c r="D485" s="54" t="str">
        <f>IF($B485="","",'05_PRODUCTOS'!$D485)</f>
        <v/>
      </c>
      <c r="E485" s="54" t="str">
        <f>IF($B485="","",'05_PRODUCTOS'!$I485&amp;"")</f>
        <v/>
      </c>
      <c r="F485" s="53" t="str">
        <f>IF($B485="","",'05_PRODUCTOS'!$E485)</f>
        <v/>
      </c>
      <c r="G485" s="53" t="str">
        <f>IF($B485="","",IF('05_PRODUCTOS'!$K485="NO","NO","SI"))</f>
        <v/>
      </c>
      <c r="H485" s="55" t="str">
        <f>IF(tblStock[[#This Row],[SKU]]="","",SUMIFS(tblMovimientos[CantidadNeta],tblMovimientos[SKU],tblStock[[#This Row],[SKU]],tblMovimientos[FactorStock],1))</f>
        <v/>
      </c>
      <c r="I485" s="55" t="str">
        <f>IF(tblStock[[#This Row],[SKU]]="","",-SUMIFS(tblMovimientos[CantidadNeta],tblMovimientos[SKU],tblStock[[#This Row],[SKU]],tblMovimientos[FactorStock],-1))</f>
        <v/>
      </c>
      <c r="J485" s="56" t="str">
        <f>IF(tblStock[[#This Row],[SKU]]="","",SUMIFS(tblMovimientos[CantidadNeta],tblMovimientos[SKU],tblStock[[#This Row],[SKU]]))</f>
        <v/>
      </c>
      <c r="K485" s="55" t="str">
        <f>IF($B485="","",N('05_PRODUCTOS'!$F485))</f>
        <v/>
      </c>
      <c r="L485" s="55" t="str">
        <f>IF($B485="","",N('05_PRODUCTOS'!$G485))</f>
        <v/>
      </c>
      <c r="M485" s="57" t="str">
        <f>IF(OR(tblStock[[#This Row],[SKU]]="",N(tblStock[[#This Row],[StockMax]])=0),"",MAX(0,tblStock[[#This Row],[StockActual]])/tblStock[[#This Row],[StockMax]])</f>
        <v/>
      </c>
      <c r="N48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5" s="59" t="str">
        <f>IF($B485="","",N('05_PRODUCTOS'!$H485))</f>
        <v/>
      </c>
      <c r="P485" s="59" t="str">
        <f>IF(tblStock[[#This Row],[SKU]]="","",MAX(0,tblStock[[#This Row],[StockActual]])*tblStock[[#This Row],[CostoUnitario]])</f>
        <v/>
      </c>
      <c r="Q485" s="60" t="str">
        <f>IF(tblStock[[#This Row],[SKU]]="","",IFERROR(_xlfn.AGGREGATE(14,6,tblMovimientos[Fecha]/(tblMovimientos[SKU]=tblStock[[#This Row],[SKU]]),1),""))</f>
        <v/>
      </c>
      <c r="R485" s="61" t="str">
        <f ca="1">IF(OR(tblStock[[#This Row],[SKU]]="",tblStock[[#This Row],[UltimoMov]]=""),"",TODAY()-tblStock[[#This Row],[UltimoMov]])</f>
        <v/>
      </c>
    </row>
    <row r="486" spans="2:18" x14ac:dyDescent="0.25">
      <c r="B486" s="53" t="str">
        <f>IF('05_PRODUCTOS'!$B486="","",'05_PRODUCTOS'!$B486)</f>
        <v/>
      </c>
      <c r="C486" s="54" t="str">
        <f>IF($B486="","",'05_PRODUCTOS'!$C486)</f>
        <v/>
      </c>
      <c r="D486" s="54" t="str">
        <f>IF($B486="","",'05_PRODUCTOS'!$D486)</f>
        <v/>
      </c>
      <c r="E486" s="54" t="str">
        <f>IF($B486="","",'05_PRODUCTOS'!$I486&amp;"")</f>
        <v/>
      </c>
      <c r="F486" s="53" t="str">
        <f>IF($B486="","",'05_PRODUCTOS'!$E486)</f>
        <v/>
      </c>
      <c r="G486" s="53" t="str">
        <f>IF($B486="","",IF('05_PRODUCTOS'!$K486="NO","NO","SI"))</f>
        <v/>
      </c>
      <c r="H486" s="55" t="str">
        <f>IF(tblStock[[#This Row],[SKU]]="","",SUMIFS(tblMovimientos[CantidadNeta],tblMovimientos[SKU],tblStock[[#This Row],[SKU]],tblMovimientos[FactorStock],1))</f>
        <v/>
      </c>
      <c r="I486" s="55" t="str">
        <f>IF(tblStock[[#This Row],[SKU]]="","",-SUMIFS(tblMovimientos[CantidadNeta],tblMovimientos[SKU],tblStock[[#This Row],[SKU]],tblMovimientos[FactorStock],-1))</f>
        <v/>
      </c>
      <c r="J486" s="56" t="str">
        <f>IF(tblStock[[#This Row],[SKU]]="","",SUMIFS(tblMovimientos[CantidadNeta],tblMovimientos[SKU],tblStock[[#This Row],[SKU]]))</f>
        <v/>
      </c>
      <c r="K486" s="55" t="str">
        <f>IF($B486="","",N('05_PRODUCTOS'!$F486))</f>
        <v/>
      </c>
      <c r="L486" s="55" t="str">
        <f>IF($B486="","",N('05_PRODUCTOS'!$G486))</f>
        <v/>
      </c>
      <c r="M486" s="57" t="str">
        <f>IF(OR(tblStock[[#This Row],[SKU]]="",N(tblStock[[#This Row],[StockMax]])=0),"",MAX(0,tblStock[[#This Row],[StockActual]])/tblStock[[#This Row],[StockMax]])</f>
        <v/>
      </c>
      <c r="N48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6" s="59" t="str">
        <f>IF($B486="","",N('05_PRODUCTOS'!$H486))</f>
        <v/>
      </c>
      <c r="P486" s="59" t="str">
        <f>IF(tblStock[[#This Row],[SKU]]="","",MAX(0,tblStock[[#This Row],[StockActual]])*tblStock[[#This Row],[CostoUnitario]])</f>
        <v/>
      </c>
      <c r="Q486" s="60" t="str">
        <f>IF(tblStock[[#This Row],[SKU]]="","",IFERROR(_xlfn.AGGREGATE(14,6,tblMovimientos[Fecha]/(tblMovimientos[SKU]=tblStock[[#This Row],[SKU]]),1),""))</f>
        <v/>
      </c>
      <c r="R486" s="61" t="str">
        <f ca="1">IF(OR(tblStock[[#This Row],[SKU]]="",tblStock[[#This Row],[UltimoMov]]=""),"",TODAY()-tblStock[[#This Row],[UltimoMov]])</f>
        <v/>
      </c>
    </row>
    <row r="487" spans="2:18" x14ac:dyDescent="0.25">
      <c r="B487" s="53" t="str">
        <f>IF('05_PRODUCTOS'!$B487="","",'05_PRODUCTOS'!$B487)</f>
        <v/>
      </c>
      <c r="C487" s="54" t="str">
        <f>IF($B487="","",'05_PRODUCTOS'!$C487)</f>
        <v/>
      </c>
      <c r="D487" s="54" t="str">
        <f>IF($B487="","",'05_PRODUCTOS'!$D487)</f>
        <v/>
      </c>
      <c r="E487" s="54" t="str">
        <f>IF($B487="","",'05_PRODUCTOS'!$I487&amp;"")</f>
        <v/>
      </c>
      <c r="F487" s="53" t="str">
        <f>IF($B487="","",'05_PRODUCTOS'!$E487)</f>
        <v/>
      </c>
      <c r="G487" s="53" t="str">
        <f>IF($B487="","",IF('05_PRODUCTOS'!$K487="NO","NO","SI"))</f>
        <v/>
      </c>
      <c r="H487" s="55" t="str">
        <f>IF(tblStock[[#This Row],[SKU]]="","",SUMIFS(tblMovimientos[CantidadNeta],tblMovimientos[SKU],tblStock[[#This Row],[SKU]],tblMovimientos[FactorStock],1))</f>
        <v/>
      </c>
      <c r="I487" s="55" t="str">
        <f>IF(tblStock[[#This Row],[SKU]]="","",-SUMIFS(tblMovimientos[CantidadNeta],tblMovimientos[SKU],tblStock[[#This Row],[SKU]],tblMovimientos[FactorStock],-1))</f>
        <v/>
      </c>
      <c r="J487" s="56" t="str">
        <f>IF(tblStock[[#This Row],[SKU]]="","",SUMIFS(tblMovimientos[CantidadNeta],tblMovimientos[SKU],tblStock[[#This Row],[SKU]]))</f>
        <v/>
      </c>
      <c r="K487" s="55" t="str">
        <f>IF($B487="","",N('05_PRODUCTOS'!$F487))</f>
        <v/>
      </c>
      <c r="L487" s="55" t="str">
        <f>IF($B487="","",N('05_PRODUCTOS'!$G487))</f>
        <v/>
      </c>
      <c r="M487" s="57" t="str">
        <f>IF(OR(tblStock[[#This Row],[SKU]]="",N(tblStock[[#This Row],[StockMax]])=0),"",MAX(0,tblStock[[#This Row],[StockActual]])/tblStock[[#This Row],[StockMax]])</f>
        <v/>
      </c>
      <c r="N48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7" s="59" t="str">
        <f>IF($B487="","",N('05_PRODUCTOS'!$H487))</f>
        <v/>
      </c>
      <c r="P487" s="59" t="str">
        <f>IF(tblStock[[#This Row],[SKU]]="","",MAX(0,tblStock[[#This Row],[StockActual]])*tblStock[[#This Row],[CostoUnitario]])</f>
        <v/>
      </c>
      <c r="Q487" s="60" t="str">
        <f>IF(tblStock[[#This Row],[SKU]]="","",IFERROR(_xlfn.AGGREGATE(14,6,tblMovimientos[Fecha]/(tblMovimientos[SKU]=tblStock[[#This Row],[SKU]]),1),""))</f>
        <v/>
      </c>
      <c r="R487" s="61" t="str">
        <f ca="1">IF(OR(tblStock[[#This Row],[SKU]]="",tblStock[[#This Row],[UltimoMov]]=""),"",TODAY()-tblStock[[#This Row],[UltimoMov]])</f>
        <v/>
      </c>
    </row>
    <row r="488" spans="2:18" x14ac:dyDescent="0.25">
      <c r="B488" s="53" t="str">
        <f>IF('05_PRODUCTOS'!$B488="","",'05_PRODUCTOS'!$B488)</f>
        <v/>
      </c>
      <c r="C488" s="54" t="str">
        <f>IF($B488="","",'05_PRODUCTOS'!$C488)</f>
        <v/>
      </c>
      <c r="D488" s="54" t="str">
        <f>IF($B488="","",'05_PRODUCTOS'!$D488)</f>
        <v/>
      </c>
      <c r="E488" s="54" t="str">
        <f>IF($B488="","",'05_PRODUCTOS'!$I488&amp;"")</f>
        <v/>
      </c>
      <c r="F488" s="53" t="str">
        <f>IF($B488="","",'05_PRODUCTOS'!$E488)</f>
        <v/>
      </c>
      <c r="G488" s="53" t="str">
        <f>IF($B488="","",IF('05_PRODUCTOS'!$K488="NO","NO","SI"))</f>
        <v/>
      </c>
      <c r="H488" s="55" t="str">
        <f>IF(tblStock[[#This Row],[SKU]]="","",SUMIFS(tblMovimientos[CantidadNeta],tblMovimientos[SKU],tblStock[[#This Row],[SKU]],tblMovimientos[FactorStock],1))</f>
        <v/>
      </c>
      <c r="I488" s="55" t="str">
        <f>IF(tblStock[[#This Row],[SKU]]="","",-SUMIFS(tblMovimientos[CantidadNeta],tblMovimientos[SKU],tblStock[[#This Row],[SKU]],tblMovimientos[FactorStock],-1))</f>
        <v/>
      </c>
      <c r="J488" s="56" t="str">
        <f>IF(tblStock[[#This Row],[SKU]]="","",SUMIFS(tblMovimientos[CantidadNeta],tblMovimientos[SKU],tblStock[[#This Row],[SKU]]))</f>
        <v/>
      </c>
      <c r="K488" s="55" t="str">
        <f>IF($B488="","",N('05_PRODUCTOS'!$F488))</f>
        <v/>
      </c>
      <c r="L488" s="55" t="str">
        <f>IF($B488="","",N('05_PRODUCTOS'!$G488))</f>
        <v/>
      </c>
      <c r="M488" s="57" t="str">
        <f>IF(OR(tblStock[[#This Row],[SKU]]="",N(tblStock[[#This Row],[StockMax]])=0),"",MAX(0,tblStock[[#This Row],[StockActual]])/tblStock[[#This Row],[StockMax]])</f>
        <v/>
      </c>
      <c r="N48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8" s="59" t="str">
        <f>IF($B488="","",N('05_PRODUCTOS'!$H488))</f>
        <v/>
      </c>
      <c r="P488" s="59" t="str">
        <f>IF(tblStock[[#This Row],[SKU]]="","",MAX(0,tblStock[[#This Row],[StockActual]])*tblStock[[#This Row],[CostoUnitario]])</f>
        <v/>
      </c>
      <c r="Q488" s="60" t="str">
        <f>IF(tblStock[[#This Row],[SKU]]="","",IFERROR(_xlfn.AGGREGATE(14,6,tblMovimientos[Fecha]/(tblMovimientos[SKU]=tblStock[[#This Row],[SKU]]),1),""))</f>
        <v/>
      </c>
      <c r="R488" s="61" t="str">
        <f ca="1">IF(OR(tblStock[[#This Row],[SKU]]="",tblStock[[#This Row],[UltimoMov]]=""),"",TODAY()-tblStock[[#This Row],[UltimoMov]])</f>
        <v/>
      </c>
    </row>
    <row r="489" spans="2:18" x14ac:dyDescent="0.25">
      <c r="B489" s="53" t="str">
        <f>IF('05_PRODUCTOS'!$B489="","",'05_PRODUCTOS'!$B489)</f>
        <v/>
      </c>
      <c r="C489" s="54" t="str">
        <f>IF($B489="","",'05_PRODUCTOS'!$C489)</f>
        <v/>
      </c>
      <c r="D489" s="54" t="str">
        <f>IF($B489="","",'05_PRODUCTOS'!$D489)</f>
        <v/>
      </c>
      <c r="E489" s="54" t="str">
        <f>IF($B489="","",'05_PRODUCTOS'!$I489&amp;"")</f>
        <v/>
      </c>
      <c r="F489" s="53" t="str">
        <f>IF($B489="","",'05_PRODUCTOS'!$E489)</f>
        <v/>
      </c>
      <c r="G489" s="53" t="str">
        <f>IF($B489="","",IF('05_PRODUCTOS'!$K489="NO","NO","SI"))</f>
        <v/>
      </c>
      <c r="H489" s="55" t="str">
        <f>IF(tblStock[[#This Row],[SKU]]="","",SUMIFS(tblMovimientos[CantidadNeta],tblMovimientos[SKU],tblStock[[#This Row],[SKU]],tblMovimientos[FactorStock],1))</f>
        <v/>
      </c>
      <c r="I489" s="55" t="str">
        <f>IF(tblStock[[#This Row],[SKU]]="","",-SUMIFS(tblMovimientos[CantidadNeta],tblMovimientos[SKU],tblStock[[#This Row],[SKU]],tblMovimientos[FactorStock],-1))</f>
        <v/>
      </c>
      <c r="J489" s="56" t="str">
        <f>IF(tblStock[[#This Row],[SKU]]="","",SUMIFS(tblMovimientos[CantidadNeta],tblMovimientos[SKU],tblStock[[#This Row],[SKU]]))</f>
        <v/>
      </c>
      <c r="K489" s="55" t="str">
        <f>IF($B489="","",N('05_PRODUCTOS'!$F489))</f>
        <v/>
      </c>
      <c r="L489" s="55" t="str">
        <f>IF($B489="","",N('05_PRODUCTOS'!$G489))</f>
        <v/>
      </c>
      <c r="M489" s="57" t="str">
        <f>IF(OR(tblStock[[#This Row],[SKU]]="",N(tblStock[[#This Row],[StockMax]])=0),"",MAX(0,tblStock[[#This Row],[StockActual]])/tblStock[[#This Row],[StockMax]])</f>
        <v/>
      </c>
      <c r="N48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89" s="59" t="str">
        <f>IF($B489="","",N('05_PRODUCTOS'!$H489))</f>
        <v/>
      </c>
      <c r="P489" s="59" t="str">
        <f>IF(tblStock[[#This Row],[SKU]]="","",MAX(0,tblStock[[#This Row],[StockActual]])*tblStock[[#This Row],[CostoUnitario]])</f>
        <v/>
      </c>
      <c r="Q489" s="60" t="str">
        <f>IF(tblStock[[#This Row],[SKU]]="","",IFERROR(_xlfn.AGGREGATE(14,6,tblMovimientos[Fecha]/(tblMovimientos[SKU]=tblStock[[#This Row],[SKU]]),1),""))</f>
        <v/>
      </c>
      <c r="R489" s="61" t="str">
        <f ca="1">IF(OR(tblStock[[#This Row],[SKU]]="",tblStock[[#This Row],[UltimoMov]]=""),"",TODAY()-tblStock[[#This Row],[UltimoMov]])</f>
        <v/>
      </c>
    </row>
    <row r="490" spans="2:18" x14ac:dyDescent="0.25">
      <c r="B490" s="53" t="str">
        <f>IF('05_PRODUCTOS'!$B490="","",'05_PRODUCTOS'!$B490)</f>
        <v/>
      </c>
      <c r="C490" s="54" t="str">
        <f>IF($B490="","",'05_PRODUCTOS'!$C490)</f>
        <v/>
      </c>
      <c r="D490" s="54" t="str">
        <f>IF($B490="","",'05_PRODUCTOS'!$D490)</f>
        <v/>
      </c>
      <c r="E490" s="54" t="str">
        <f>IF($B490="","",'05_PRODUCTOS'!$I490&amp;"")</f>
        <v/>
      </c>
      <c r="F490" s="53" t="str">
        <f>IF($B490="","",'05_PRODUCTOS'!$E490)</f>
        <v/>
      </c>
      <c r="G490" s="53" t="str">
        <f>IF($B490="","",IF('05_PRODUCTOS'!$K490="NO","NO","SI"))</f>
        <v/>
      </c>
      <c r="H490" s="55" t="str">
        <f>IF(tblStock[[#This Row],[SKU]]="","",SUMIFS(tblMovimientos[CantidadNeta],tblMovimientos[SKU],tblStock[[#This Row],[SKU]],tblMovimientos[FactorStock],1))</f>
        <v/>
      </c>
      <c r="I490" s="55" t="str">
        <f>IF(tblStock[[#This Row],[SKU]]="","",-SUMIFS(tblMovimientos[CantidadNeta],tblMovimientos[SKU],tblStock[[#This Row],[SKU]],tblMovimientos[FactorStock],-1))</f>
        <v/>
      </c>
      <c r="J490" s="56" t="str">
        <f>IF(tblStock[[#This Row],[SKU]]="","",SUMIFS(tblMovimientos[CantidadNeta],tblMovimientos[SKU],tblStock[[#This Row],[SKU]]))</f>
        <v/>
      </c>
      <c r="K490" s="55" t="str">
        <f>IF($B490="","",N('05_PRODUCTOS'!$F490))</f>
        <v/>
      </c>
      <c r="L490" s="55" t="str">
        <f>IF($B490="","",N('05_PRODUCTOS'!$G490))</f>
        <v/>
      </c>
      <c r="M490" s="57" t="str">
        <f>IF(OR(tblStock[[#This Row],[SKU]]="",N(tblStock[[#This Row],[StockMax]])=0),"",MAX(0,tblStock[[#This Row],[StockActual]])/tblStock[[#This Row],[StockMax]])</f>
        <v/>
      </c>
      <c r="N49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0" s="59" t="str">
        <f>IF($B490="","",N('05_PRODUCTOS'!$H490))</f>
        <v/>
      </c>
      <c r="P490" s="59" t="str">
        <f>IF(tblStock[[#This Row],[SKU]]="","",MAX(0,tblStock[[#This Row],[StockActual]])*tblStock[[#This Row],[CostoUnitario]])</f>
        <v/>
      </c>
      <c r="Q490" s="60" t="str">
        <f>IF(tblStock[[#This Row],[SKU]]="","",IFERROR(_xlfn.AGGREGATE(14,6,tblMovimientos[Fecha]/(tblMovimientos[SKU]=tblStock[[#This Row],[SKU]]),1),""))</f>
        <v/>
      </c>
      <c r="R490" s="61" t="str">
        <f ca="1">IF(OR(tblStock[[#This Row],[SKU]]="",tblStock[[#This Row],[UltimoMov]]=""),"",TODAY()-tblStock[[#This Row],[UltimoMov]])</f>
        <v/>
      </c>
    </row>
    <row r="491" spans="2:18" x14ac:dyDescent="0.25">
      <c r="B491" s="53" t="str">
        <f>IF('05_PRODUCTOS'!$B491="","",'05_PRODUCTOS'!$B491)</f>
        <v/>
      </c>
      <c r="C491" s="54" t="str">
        <f>IF($B491="","",'05_PRODUCTOS'!$C491)</f>
        <v/>
      </c>
      <c r="D491" s="54" t="str">
        <f>IF($B491="","",'05_PRODUCTOS'!$D491)</f>
        <v/>
      </c>
      <c r="E491" s="54" t="str">
        <f>IF($B491="","",'05_PRODUCTOS'!$I491&amp;"")</f>
        <v/>
      </c>
      <c r="F491" s="53" t="str">
        <f>IF($B491="","",'05_PRODUCTOS'!$E491)</f>
        <v/>
      </c>
      <c r="G491" s="53" t="str">
        <f>IF($B491="","",IF('05_PRODUCTOS'!$K491="NO","NO","SI"))</f>
        <v/>
      </c>
      <c r="H491" s="55" t="str">
        <f>IF(tblStock[[#This Row],[SKU]]="","",SUMIFS(tblMovimientos[CantidadNeta],tblMovimientos[SKU],tblStock[[#This Row],[SKU]],tblMovimientos[FactorStock],1))</f>
        <v/>
      </c>
      <c r="I491" s="55" t="str">
        <f>IF(tblStock[[#This Row],[SKU]]="","",-SUMIFS(tblMovimientos[CantidadNeta],tblMovimientos[SKU],tblStock[[#This Row],[SKU]],tblMovimientos[FactorStock],-1))</f>
        <v/>
      </c>
      <c r="J491" s="56" t="str">
        <f>IF(tblStock[[#This Row],[SKU]]="","",SUMIFS(tblMovimientos[CantidadNeta],tblMovimientos[SKU],tblStock[[#This Row],[SKU]]))</f>
        <v/>
      </c>
      <c r="K491" s="55" t="str">
        <f>IF($B491="","",N('05_PRODUCTOS'!$F491))</f>
        <v/>
      </c>
      <c r="L491" s="55" t="str">
        <f>IF($B491="","",N('05_PRODUCTOS'!$G491))</f>
        <v/>
      </c>
      <c r="M491" s="57" t="str">
        <f>IF(OR(tblStock[[#This Row],[SKU]]="",N(tblStock[[#This Row],[StockMax]])=0),"",MAX(0,tblStock[[#This Row],[StockActual]])/tblStock[[#This Row],[StockMax]])</f>
        <v/>
      </c>
      <c r="N49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1" s="59" t="str">
        <f>IF($B491="","",N('05_PRODUCTOS'!$H491))</f>
        <v/>
      </c>
      <c r="P491" s="59" t="str">
        <f>IF(tblStock[[#This Row],[SKU]]="","",MAX(0,tblStock[[#This Row],[StockActual]])*tblStock[[#This Row],[CostoUnitario]])</f>
        <v/>
      </c>
      <c r="Q491" s="60" t="str">
        <f>IF(tblStock[[#This Row],[SKU]]="","",IFERROR(_xlfn.AGGREGATE(14,6,tblMovimientos[Fecha]/(tblMovimientos[SKU]=tblStock[[#This Row],[SKU]]),1),""))</f>
        <v/>
      </c>
      <c r="R491" s="61" t="str">
        <f ca="1">IF(OR(tblStock[[#This Row],[SKU]]="",tblStock[[#This Row],[UltimoMov]]=""),"",TODAY()-tblStock[[#This Row],[UltimoMov]])</f>
        <v/>
      </c>
    </row>
    <row r="492" spans="2:18" x14ac:dyDescent="0.25">
      <c r="B492" s="53" t="str">
        <f>IF('05_PRODUCTOS'!$B492="","",'05_PRODUCTOS'!$B492)</f>
        <v/>
      </c>
      <c r="C492" s="54" t="str">
        <f>IF($B492="","",'05_PRODUCTOS'!$C492)</f>
        <v/>
      </c>
      <c r="D492" s="54" t="str">
        <f>IF($B492="","",'05_PRODUCTOS'!$D492)</f>
        <v/>
      </c>
      <c r="E492" s="54" t="str">
        <f>IF($B492="","",'05_PRODUCTOS'!$I492&amp;"")</f>
        <v/>
      </c>
      <c r="F492" s="53" t="str">
        <f>IF($B492="","",'05_PRODUCTOS'!$E492)</f>
        <v/>
      </c>
      <c r="G492" s="53" t="str">
        <f>IF($B492="","",IF('05_PRODUCTOS'!$K492="NO","NO","SI"))</f>
        <v/>
      </c>
      <c r="H492" s="55" t="str">
        <f>IF(tblStock[[#This Row],[SKU]]="","",SUMIFS(tblMovimientos[CantidadNeta],tblMovimientos[SKU],tblStock[[#This Row],[SKU]],tblMovimientos[FactorStock],1))</f>
        <v/>
      </c>
      <c r="I492" s="55" t="str">
        <f>IF(tblStock[[#This Row],[SKU]]="","",-SUMIFS(tblMovimientos[CantidadNeta],tblMovimientos[SKU],tblStock[[#This Row],[SKU]],tblMovimientos[FactorStock],-1))</f>
        <v/>
      </c>
      <c r="J492" s="56" t="str">
        <f>IF(tblStock[[#This Row],[SKU]]="","",SUMIFS(tblMovimientos[CantidadNeta],tblMovimientos[SKU],tblStock[[#This Row],[SKU]]))</f>
        <v/>
      </c>
      <c r="K492" s="55" t="str">
        <f>IF($B492="","",N('05_PRODUCTOS'!$F492))</f>
        <v/>
      </c>
      <c r="L492" s="55" t="str">
        <f>IF($B492="","",N('05_PRODUCTOS'!$G492))</f>
        <v/>
      </c>
      <c r="M492" s="57" t="str">
        <f>IF(OR(tblStock[[#This Row],[SKU]]="",N(tblStock[[#This Row],[StockMax]])=0),"",MAX(0,tblStock[[#This Row],[StockActual]])/tblStock[[#This Row],[StockMax]])</f>
        <v/>
      </c>
      <c r="N49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2" s="59" t="str">
        <f>IF($B492="","",N('05_PRODUCTOS'!$H492))</f>
        <v/>
      </c>
      <c r="P492" s="59" t="str">
        <f>IF(tblStock[[#This Row],[SKU]]="","",MAX(0,tblStock[[#This Row],[StockActual]])*tblStock[[#This Row],[CostoUnitario]])</f>
        <v/>
      </c>
      <c r="Q492" s="60" t="str">
        <f>IF(tblStock[[#This Row],[SKU]]="","",IFERROR(_xlfn.AGGREGATE(14,6,tblMovimientos[Fecha]/(tblMovimientos[SKU]=tblStock[[#This Row],[SKU]]),1),""))</f>
        <v/>
      </c>
      <c r="R492" s="61" t="str">
        <f ca="1">IF(OR(tblStock[[#This Row],[SKU]]="",tblStock[[#This Row],[UltimoMov]]=""),"",TODAY()-tblStock[[#This Row],[UltimoMov]])</f>
        <v/>
      </c>
    </row>
    <row r="493" spans="2:18" x14ac:dyDescent="0.25">
      <c r="B493" s="53" t="str">
        <f>IF('05_PRODUCTOS'!$B493="","",'05_PRODUCTOS'!$B493)</f>
        <v/>
      </c>
      <c r="C493" s="54" t="str">
        <f>IF($B493="","",'05_PRODUCTOS'!$C493)</f>
        <v/>
      </c>
      <c r="D493" s="54" t="str">
        <f>IF($B493="","",'05_PRODUCTOS'!$D493)</f>
        <v/>
      </c>
      <c r="E493" s="54" t="str">
        <f>IF($B493="","",'05_PRODUCTOS'!$I493&amp;"")</f>
        <v/>
      </c>
      <c r="F493" s="53" t="str">
        <f>IF($B493="","",'05_PRODUCTOS'!$E493)</f>
        <v/>
      </c>
      <c r="G493" s="53" t="str">
        <f>IF($B493="","",IF('05_PRODUCTOS'!$K493="NO","NO","SI"))</f>
        <v/>
      </c>
      <c r="H493" s="55" t="str">
        <f>IF(tblStock[[#This Row],[SKU]]="","",SUMIFS(tblMovimientos[CantidadNeta],tblMovimientos[SKU],tblStock[[#This Row],[SKU]],tblMovimientos[FactorStock],1))</f>
        <v/>
      </c>
      <c r="I493" s="55" t="str">
        <f>IF(tblStock[[#This Row],[SKU]]="","",-SUMIFS(tblMovimientos[CantidadNeta],tblMovimientos[SKU],tblStock[[#This Row],[SKU]],tblMovimientos[FactorStock],-1))</f>
        <v/>
      </c>
      <c r="J493" s="56" t="str">
        <f>IF(tblStock[[#This Row],[SKU]]="","",SUMIFS(tblMovimientos[CantidadNeta],tblMovimientos[SKU],tblStock[[#This Row],[SKU]]))</f>
        <v/>
      </c>
      <c r="K493" s="55" t="str">
        <f>IF($B493="","",N('05_PRODUCTOS'!$F493))</f>
        <v/>
      </c>
      <c r="L493" s="55" t="str">
        <f>IF($B493="","",N('05_PRODUCTOS'!$G493))</f>
        <v/>
      </c>
      <c r="M493" s="57" t="str">
        <f>IF(OR(tblStock[[#This Row],[SKU]]="",N(tblStock[[#This Row],[StockMax]])=0),"",MAX(0,tblStock[[#This Row],[StockActual]])/tblStock[[#This Row],[StockMax]])</f>
        <v/>
      </c>
      <c r="N49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3" s="59" t="str">
        <f>IF($B493="","",N('05_PRODUCTOS'!$H493))</f>
        <v/>
      </c>
      <c r="P493" s="59" t="str">
        <f>IF(tblStock[[#This Row],[SKU]]="","",MAX(0,tblStock[[#This Row],[StockActual]])*tblStock[[#This Row],[CostoUnitario]])</f>
        <v/>
      </c>
      <c r="Q493" s="60" t="str">
        <f>IF(tblStock[[#This Row],[SKU]]="","",IFERROR(_xlfn.AGGREGATE(14,6,tblMovimientos[Fecha]/(tblMovimientos[SKU]=tblStock[[#This Row],[SKU]]),1),""))</f>
        <v/>
      </c>
      <c r="R493" s="61" t="str">
        <f ca="1">IF(OR(tblStock[[#This Row],[SKU]]="",tblStock[[#This Row],[UltimoMov]]=""),"",TODAY()-tblStock[[#This Row],[UltimoMov]])</f>
        <v/>
      </c>
    </row>
    <row r="494" spans="2:18" x14ac:dyDescent="0.25">
      <c r="B494" s="53" t="str">
        <f>IF('05_PRODUCTOS'!$B494="","",'05_PRODUCTOS'!$B494)</f>
        <v/>
      </c>
      <c r="C494" s="54" t="str">
        <f>IF($B494="","",'05_PRODUCTOS'!$C494)</f>
        <v/>
      </c>
      <c r="D494" s="54" t="str">
        <f>IF($B494="","",'05_PRODUCTOS'!$D494)</f>
        <v/>
      </c>
      <c r="E494" s="54" t="str">
        <f>IF($B494="","",'05_PRODUCTOS'!$I494&amp;"")</f>
        <v/>
      </c>
      <c r="F494" s="53" t="str">
        <f>IF($B494="","",'05_PRODUCTOS'!$E494)</f>
        <v/>
      </c>
      <c r="G494" s="53" t="str">
        <f>IF($B494="","",IF('05_PRODUCTOS'!$K494="NO","NO","SI"))</f>
        <v/>
      </c>
      <c r="H494" s="55" t="str">
        <f>IF(tblStock[[#This Row],[SKU]]="","",SUMIFS(tblMovimientos[CantidadNeta],tblMovimientos[SKU],tblStock[[#This Row],[SKU]],tblMovimientos[FactorStock],1))</f>
        <v/>
      </c>
      <c r="I494" s="55" t="str">
        <f>IF(tblStock[[#This Row],[SKU]]="","",-SUMIFS(tblMovimientos[CantidadNeta],tblMovimientos[SKU],tblStock[[#This Row],[SKU]],tblMovimientos[FactorStock],-1))</f>
        <v/>
      </c>
      <c r="J494" s="56" t="str">
        <f>IF(tblStock[[#This Row],[SKU]]="","",SUMIFS(tblMovimientos[CantidadNeta],tblMovimientos[SKU],tblStock[[#This Row],[SKU]]))</f>
        <v/>
      </c>
      <c r="K494" s="55" t="str">
        <f>IF($B494="","",N('05_PRODUCTOS'!$F494))</f>
        <v/>
      </c>
      <c r="L494" s="55" t="str">
        <f>IF($B494="","",N('05_PRODUCTOS'!$G494))</f>
        <v/>
      </c>
      <c r="M494" s="57" t="str">
        <f>IF(OR(tblStock[[#This Row],[SKU]]="",N(tblStock[[#This Row],[StockMax]])=0),"",MAX(0,tblStock[[#This Row],[StockActual]])/tblStock[[#This Row],[StockMax]])</f>
        <v/>
      </c>
      <c r="N49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4" s="59" t="str">
        <f>IF($B494="","",N('05_PRODUCTOS'!$H494))</f>
        <v/>
      </c>
      <c r="P494" s="59" t="str">
        <f>IF(tblStock[[#This Row],[SKU]]="","",MAX(0,tblStock[[#This Row],[StockActual]])*tblStock[[#This Row],[CostoUnitario]])</f>
        <v/>
      </c>
      <c r="Q494" s="60" t="str">
        <f>IF(tblStock[[#This Row],[SKU]]="","",IFERROR(_xlfn.AGGREGATE(14,6,tblMovimientos[Fecha]/(tblMovimientos[SKU]=tblStock[[#This Row],[SKU]]),1),""))</f>
        <v/>
      </c>
      <c r="R494" s="61" t="str">
        <f ca="1">IF(OR(tblStock[[#This Row],[SKU]]="",tblStock[[#This Row],[UltimoMov]]=""),"",TODAY()-tblStock[[#This Row],[UltimoMov]])</f>
        <v/>
      </c>
    </row>
    <row r="495" spans="2:18" x14ac:dyDescent="0.25">
      <c r="B495" s="53" t="str">
        <f>IF('05_PRODUCTOS'!$B495="","",'05_PRODUCTOS'!$B495)</f>
        <v/>
      </c>
      <c r="C495" s="54" t="str">
        <f>IF($B495="","",'05_PRODUCTOS'!$C495)</f>
        <v/>
      </c>
      <c r="D495" s="54" t="str">
        <f>IF($B495="","",'05_PRODUCTOS'!$D495)</f>
        <v/>
      </c>
      <c r="E495" s="54" t="str">
        <f>IF($B495="","",'05_PRODUCTOS'!$I495&amp;"")</f>
        <v/>
      </c>
      <c r="F495" s="53" t="str">
        <f>IF($B495="","",'05_PRODUCTOS'!$E495)</f>
        <v/>
      </c>
      <c r="G495" s="53" t="str">
        <f>IF($B495="","",IF('05_PRODUCTOS'!$K495="NO","NO","SI"))</f>
        <v/>
      </c>
      <c r="H495" s="55" t="str">
        <f>IF(tblStock[[#This Row],[SKU]]="","",SUMIFS(tblMovimientos[CantidadNeta],tblMovimientos[SKU],tblStock[[#This Row],[SKU]],tblMovimientos[FactorStock],1))</f>
        <v/>
      </c>
      <c r="I495" s="55" t="str">
        <f>IF(tblStock[[#This Row],[SKU]]="","",-SUMIFS(tblMovimientos[CantidadNeta],tblMovimientos[SKU],tblStock[[#This Row],[SKU]],tblMovimientos[FactorStock],-1))</f>
        <v/>
      </c>
      <c r="J495" s="56" t="str">
        <f>IF(tblStock[[#This Row],[SKU]]="","",SUMIFS(tblMovimientos[CantidadNeta],tblMovimientos[SKU],tblStock[[#This Row],[SKU]]))</f>
        <v/>
      </c>
      <c r="K495" s="55" t="str">
        <f>IF($B495="","",N('05_PRODUCTOS'!$F495))</f>
        <v/>
      </c>
      <c r="L495" s="55" t="str">
        <f>IF($B495="","",N('05_PRODUCTOS'!$G495))</f>
        <v/>
      </c>
      <c r="M495" s="57" t="str">
        <f>IF(OR(tblStock[[#This Row],[SKU]]="",N(tblStock[[#This Row],[StockMax]])=0),"",MAX(0,tblStock[[#This Row],[StockActual]])/tblStock[[#This Row],[StockMax]])</f>
        <v/>
      </c>
      <c r="N49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5" s="59" t="str">
        <f>IF($B495="","",N('05_PRODUCTOS'!$H495))</f>
        <v/>
      </c>
      <c r="P495" s="59" t="str">
        <f>IF(tblStock[[#This Row],[SKU]]="","",MAX(0,tblStock[[#This Row],[StockActual]])*tblStock[[#This Row],[CostoUnitario]])</f>
        <v/>
      </c>
      <c r="Q495" s="60" t="str">
        <f>IF(tblStock[[#This Row],[SKU]]="","",IFERROR(_xlfn.AGGREGATE(14,6,tblMovimientos[Fecha]/(tblMovimientos[SKU]=tblStock[[#This Row],[SKU]]),1),""))</f>
        <v/>
      </c>
      <c r="R495" s="61" t="str">
        <f ca="1">IF(OR(tblStock[[#This Row],[SKU]]="",tblStock[[#This Row],[UltimoMov]]=""),"",TODAY()-tblStock[[#This Row],[UltimoMov]])</f>
        <v/>
      </c>
    </row>
    <row r="496" spans="2:18" x14ac:dyDescent="0.25">
      <c r="B496" s="53" t="str">
        <f>IF('05_PRODUCTOS'!$B496="","",'05_PRODUCTOS'!$B496)</f>
        <v/>
      </c>
      <c r="C496" s="54" t="str">
        <f>IF($B496="","",'05_PRODUCTOS'!$C496)</f>
        <v/>
      </c>
      <c r="D496" s="54" t="str">
        <f>IF($B496="","",'05_PRODUCTOS'!$D496)</f>
        <v/>
      </c>
      <c r="E496" s="54" t="str">
        <f>IF($B496="","",'05_PRODUCTOS'!$I496&amp;"")</f>
        <v/>
      </c>
      <c r="F496" s="53" t="str">
        <f>IF($B496="","",'05_PRODUCTOS'!$E496)</f>
        <v/>
      </c>
      <c r="G496" s="53" t="str">
        <f>IF($B496="","",IF('05_PRODUCTOS'!$K496="NO","NO","SI"))</f>
        <v/>
      </c>
      <c r="H496" s="55" t="str">
        <f>IF(tblStock[[#This Row],[SKU]]="","",SUMIFS(tblMovimientos[CantidadNeta],tblMovimientos[SKU],tblStock[[#This Row],[SKU]],tblMovimientos[FactorStock],1))</f>
        <v/>
      </c>
      <c r="I496" s="55" t="str">
        <f>IF(tblStock[[#This Row],[SKU]]="","",-SUMIFS(tblMovimientos[CantidadNeta],tblMovimientos[SKU],tblStock[[#This Row],[SKU]],tblMovimientos[FactorStock],-1))</f>
        <v/>
      </c>
      <c r="J496" s="56" t="str">
        <f>IF(tblStock[[#This Row],[SKU]]="","",SUMIFS(tblMovimientos[CantidadNeta],tblMovimientos[SKU],tblStock[[#This Row],[SKU]]))</f>
        <v/>
      </c>
      <c r="K496" s="55" t="str">
        <f>IF($B496="","",N('05_PRODUCTOS'!$F496))</f>
        <v/>
      </c>
      <c r="L496" s="55" t="str">
        <f>IF($B496="","",N('05_PRODUCTOS'!$G496))</f>
        <v/>
      </c>
      <c r="M496" s="57" t="str">
        <f>IF(OR(tblStock[[#This Row],[SKU]]="",N(tblStock[[#This Row],[StockMax]])=0),"",MAX(0,tblStock[[#This Row],[StockActual]])/tblStock[[#This Row],[StockMax]])</f>
        <v/>
      </c>
      <c r="N49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6" s="59" t="str">
        <f>IF($B496="","",N('05_PRODUCTOS'!$H496))</f>
        <v/>
      </c>
      <c r="P496" s="59" t="str">
        <f>IF(tblStock[[#This Row],[SKU]]="","",MAX(0,tblStock[[#This Row],[StockActual]])*tblStock[[#This Row],[CostoUnitario]])</f>
        <v/>
      </c>
      <c r="Q496" s="60" t="str">
        <f>IF(tblStock[[#This Row],[SKU]]="","",IFERROR(_xlfn.AGGREGATE(14,6,tblMovimientos[Fecha]/(tblMovimientos[SKU]=tblStock[[#This Row],[SKU]]),1),""))</f>
        <v/>
      </c>
      <c r="R496" s="61" t="str">
        <f ca="1">IF(OR(tblStock[[#This Row],[SKU]]="",tblStock[[#This Row],[UltimoMov]]=""),"",TODAY()-tblStock[[#This Row],[UltimoMov]])</f>
        <v/>
      </c>
    </row>
    <row r="497" spans="2:18" x14ac:dyDescent="0.25">
      <c r="B497" s="53" t="str">
        <f>IF('05_PRODUCTOS'!$B497="","",'05_PRODUCTOS'!$B497)</f>
        <v/>
      </c>
      <c r="C497" s="54" t="str">
        <f>IF($B497="","",'05_PRODUCTOS'!$C497)</f>
        <v/>
      </c>
      <c r="D497" s="54" t="str">
        <f>IF($B497="","",'05_PRODUCTOS'!$D497)</f>
        <v/>
      </c>
      <c r="E497" s="54" t="str">
        <f>IF($B497="","",'05_PRODUCTOS'!$I497&amp;"")</f>
        <v/>
      </c>
      <c r="F497" s="53" t="str">
        <f>IF($B497="","",'05_PRODUCTOS'!$E497)</f>
        <v/>
      </c>
      <c r="G497" s="53" t="str">
        <f>IF($B497="","",IF('05_PRODUCTOS'!$K497="NO","NO","SI"))</f>
        <v/>
      </c>
      <c r="H497" s="55" t="str">
        <f>IF(tblStock[[#This Row],[SKU]]="","",SUMIFS(tblMovimientos[CantidadNeta],tblMovimientos[SKU],tblStock[[#This Row],[SKU]],tblMovimientos[FactorStock],1))</f>
        <v/>
      </c>
      <c r="I497" s="55" t="str">
        <f>IF(tblStock[[#This Row],[SKU]]="","",-SUMIFS(tblMovimientos[CantidadNeta],tblMovimientos[SKU],tblStock[[#This Row],[SKU]],tblMovimientos[FactorStock],-1))</f>
        <v/>
      </c>
      <c r="J497" s="56" t="str">
        <f>IF(tblStock[[#This Row],[SKU]]="","",SUMIFS(tblMovimientos[CantidadNeta],tblMovimientos[SKU],tblStock[[#This Row],[SKU]]))</f>
        <v/>
      </c>
      <c r="K497" s="55" t="str">
        <f>IF($B497="","",N('05_PRODUCTOS'!$F497))</f>
        <v/>
      </c>
      <c r="L497" s="55" t="str">
        <f>IF($B497="","",N('05_PRODUCTOS'!$G497))</f>
        <v/>
      </c>
      <c r="M497" s="57" t="str">
        <f>IF(OR(tblStock[[#This Row],[SKU]]="",N(tblStock[[#This Row],[StockMax]])=0),"",MAX(0,tblStock[[#This Row],[StockActual]])/tblStock[[#This Row],[StockMax]])</f>
        <v/>
      </c>
      <c r="N49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7" s="59" t="str">
        <f>IF($B497="","",N('05_PRODUCTOS'!$H497))</f>
        <v/>
      </c>
      <c r="P497" s="59" t="str">
        <f>IF(tblStock[[#This Row],[SKU]]="","",MAX(0,tblStock[[#This Row],[StockActual]])*tblStock[[#This Row],[CostoUnitario]])</f>
        <v/>
      </c>
      <c r="Q497" s="60" t="str">
        <f>IF(tblStock[[#This Row],[SKU]]="","",IFERROR(_xlfn.AGGREGATE(14,6,tblMovimientos[Fecha]/(tblMovimientos[SKU]=tblStock[[#This Row],[SKU]]),1),""))</f>
        <v/>
      </c>
      <c r="R497" s="61" t="str">
        <f ca="1">IF(OR(tblStock[[#This Row],[SKU]]="",tblStock[[#This Row],[UltimoMov]]=""),"",TODAY()-tblStock[[#This Row],[UltimoMov]])</f>
        <v/>
      </c>
    </row>
    <row r="498" spans="2:18" x14ac:dyDescent="0.25">
      <c r="B498" s="53" t="str">
        <f>IF('05_PRODUCTOS'!$B498="","",'05_PRODUCTOS'!$B498)</f>
        <v/>
      </c>
      <c r="C498" s="54" t="str">
        <f>IF($B498="","",'05_PRODUCTOS'!$C498)</f>
        <v/>
      </c>
      <c r="D498" s="54" t="str">
        <f>IF($B498="","",'05_PRODUCTOS'!$D498)</f>
        <v/>
      </c>
      <c r="E498" s="54" t="str">
        <f>IF($B498="","",'05_PRODUCTOS'!$I498&amp;"")</f>
        <v/>
      </c>
      <c r="F498" s="53" t="str">
        <f>IF($B498="","",'05_PRODUCTOS'!$E498)</f>
        <v/>
      </c>
      <c r="G498" s="53" t="str">
        <f>IF($B498="","",IF('05_PRODUCTOS'!$K498="NO","NO","SI"))</f>
        <v/>
      </c>
      <c r="H498" s="55" t="str">
        <f>IF(tblStock[[#This Row],[SKU]]="","",SUMIFS(tblMovimientos[CantidadNeta],tblMovimientos[SKU],tblStock[[#This Row],[SKU]],tblMovimientos[FactorStock],1))</f>
        <v/>
      </c>
      <c r="I498" s="55" t="str">
        <f>IF(tblStock[[#This Row],[SKU]]="","",-SUMIFS(tblMovimientos[CantidadNeta],tblMovimientos[SKU],tblStock[[#This Row],[SKU]],tblMovimientos[FactorStock],-1))</f>
        <v/>
      </c>
      <c r="J498" s="56" t="str">
        <f>IF(tblStock[[#This Row],[SKU]]="","",SUMIFS(tblMovimientos[CantidadNeta],tblMovimientos[SKU],tblStock[[#This Row],[SKU]]))</f>
        <v/>
      </c>
      <c r="K498" s="55" t="str">
        <f>IF($B498="","",N('05_PRODUCTOS'!$F498))</f>
        <v/>
      </c>
      <c r="L498" s="55" t="str">
        <f>IF($B498="","",N('05_PRODUCTOS'!$G498))</f>
        <v/>
      </c>
      <c r="M498" s="57" t="str">
        <f>IF(OR(tblStock[[#This Row],[SKU]]="",N(tblStock[[#This Row],[StockMax]])=0),"",MAX(0,tblStock[[#This Row],[StockActual]])/tblStock[[#This Row],[StockMax]])</f>
        <v/>
      </c>
      <c r="N498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8" s="59" t="str">
        <f>IF($B498="","",N('05_PRODUCTOS'!$H498))</f>
        <v/>
      </c>
      <c r="P498" s="59" t="str">
        <f>IF(tblStock[[#This Row],[SKU]]="","",MAX(0,tblStock[[#This Row],[StockActual]])*tblStock[[#This Row],[CostoUnitario]])</f>
        <v/>
      </c>
      <c r="Q498" s="60" t="str">
        <f>IF(tblStock[[#This Row],[SKU]]="","",IFERROR(_xlfn.AGGREGATE(14,6,tblMovimientos[Fecha]/(tblMovimientos[SKU]=tblStock[[#This Row],[SKU]]),1),""))</f>
        <v/>
      </c>
      <c r="R498" s="61" t="str">
        <f ca="1">IF(OR(tblStock[[#This Row],[SKU]]="",tblStock[[#This Row],[UltimoMov]]=""),"",TODAY()-tblStock[[#This Row],[UltimoMov]])</f>
        <v/>
      </c>
    </row>
    <row r="499" spans="2:18" x14ac:dyDescent="0.25">
      <c r="B499" s="53" t="str">
        <f>IF('05_PRODUCTOS'!$B499="","",'05_PRODUCTOS'!$B499)</f>
        <v/>
      </c>
      <c r="C499" s="54" t="str">
        <f>IF($B499="","",'05_PRODUCTOS'!$C499)</f>
        <v/>
      </c>
      <c r="D499" s="54" t="str">
        <f>IF($B499="","",'05_PRODUCTOS'!$D499)</f>
        <v/>
      </c>
      <c r="E499" s="54" t="str">
        <f>IF($B499="","",'05_PRODUCTOS'!$I499&amp;"")</f>
        <v/>
      </c>
      <c r="F499" s="53" t="str">
        <f>IF($B499="","",'05_PRODUCTOS'!$E499)</f>
        <v/>
      </c>
      <c r="G499" s="53" t="str">
        <f>IF($B499="","",IF('05_PRODUCTOS'!$K499="NO","NO","SI"))</f>
        <v/>
      </c>
      <c r="H499" s="55" t="str">
        <f>IF(tblStock[[#This Row],[SKU]]="","",SUMIFS(tblMovimientos[CantidadNeta],tblMovimientos[SKU],tblStock[[#This Row],[SKU]],tblMovimientos[FactorStock],1))</f>
        <v/>
      </c>
      <c r="I499" s="55" t="str">
        <f>IF(tblStock[[#This Row],[SKU]]="","",-SUMIFS(tblMovimientos[CantidadNeta],tblMovimientos[SKU],tblStock[[#This Row],[SKU]],tblMovimientos[FactorStock],-1))</f>
        <v/>
      </c>
      <c r="J499" s="56" t="str">
        <f>IF(tblStock[[#This Row],[SKU]]="","",SUMIFS(tblMovimientos[CantidadNeta],tblMovimientos[SKU],tblStock[[#This Row],[SKU]]))</f>
        <v/>
      </c>
      <c r="K499" s="55" t="str">
        <f>IF($B499="","",N('05_PRODUCTOS'!$F499))</f>
        <v/>
      </c>
      <c r="L499" s="55" t="str">
        <f>IF($B499="","",N('05_PRODUCTOS'!$G499))</f>
        <v/>
      </c>
      <c r="M499" s="57" t="str">
        <f>IF(OR(tblStock[[#This Row],[SKU]]="",N(tblStock[[#This Row],[StockMax]])=0),"",MAX(0,tblStock[[#This Row],[StockActual]])/tblStock[[#This Row],[StockMax]])</f>
        <v/>
      </c>
      <c r="N499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499" s="59" t="str">
        <f>IF($B499="","",N('05_PRODUCTOS'!$H499))</f>
        <v/>
      </c>
      <c r="P499" s="59" t="str">
        <f>IF(tblStock[[#This Row],[SKU]]="","",MAX(0,tblStock[[#This Row],[StockActual]])*tblStock[[#This Row],[CostoUnitario]])</f>
        <v/>
      </c>
      <c r="Q499" s="60" t="str">
        <f>IF(tblStock[[#This Row],[SKU]]="","",IFERROR(_xlfn.AGGREGATE(14,6,tblMovimientos[Fecha]/(tblMovimientos[SKU]=tblStock[[#This Row],[SKU]]),1),""))</f>
        <v/>
      </c>
      <c r="R499" s="61" t="str">
        <f ca="1">IF(OR(tblStock[[#This Row],[SKU]]="",tblStock[[#This Row],[UltimoMov]]=""),"",TODAY()-tblStock[[#This Row],[UltimoMov]])</f>
        <v/>
      </c>
    </row>
    <row r="500" spans="2:18" x14ac:dyDescent="0.25">
      <c r="B500" s="53" t="str">
        <f>IF('05_PRODUCTOS'!$B500="","",'05_PRODUCTOS'!$B500)</f>
        <v/>
      </c>
      <c r="C500" s="54" t="str">
        <f>IF($B500="","",'05_PRODUCTOS'!$C500)</f>
        <v/>
      </c>
      <c r="D500" s="54" t="str">
        <f>IF($B500="","",'05_PRODUCTOS'!$D500)</f>
        <v/>
      </c>
      <c r="E500" s="54" t="str">
        <f>IF($B500="","",'05_PRODUCTOS'!$I500&amp;"")</f>
        <v/>
      </c>
      <c r="F500" s="53" t="str">
        <f>IF($B500="","",'05_PRODUCTOS'!$E500)</f>
        <v/>
      </c>
      <c r="G500" s="53" t="str">
        <f>IF($B500="","",IF('05_PRODUCTOS'!$K500="NO","NO","SI"))</f>
        <v/>
      </c>
      <c r="H500" s="55" t="str">
        <f>IF(tblStock[[#This Row],[SKU]]="","",SUMIFS(tblMovimientos[CantidadNeta],tblMovimientos[SKU],tblStock[[#This Row],[SKU]],tblMovimientos[FactorStock],1))</f>
        <v/>
      </c>
      <c r="I500" s="55" t="str">
        <f>IF(tblStock[[#This Row],[SKU]]="","",-SUMIFS(tblMovimientos[CantidadNeta],tblMovimientos[SKU],tblStock[[#This Row],[SKU]],tblMovimientos[FactorStock],-1))</f>
        <v/>
      </c>
      <c r="J500" s="56" t="str">
        <f>IF(tblStock[[#This Row],[SKU]]="","",SUMIFS(tblMovimientos[CantidadNeta],tblMovimientos[SKU],tblStock[[#This Row],[SKU]]))</f>
        <v/>
      </c>
      <c r="K500" s="55" t="str">
        <f>IF($B500="","",N('05_PRODUCTOS'!$F500))</f>
        <v/>
      </c>
      <c r="L500" s="55" t="str">
        <f>IF($B500="","",N('05_PRODUCTOS'!$G500))</f>
        <v/>
      </c>
      <c r="M500" s="57" t="str">
        <f>IF(OR(tblStock[[#This Row],[SKU]]="",N(tblStock[[#This Row],[StockMax]])=0),"",MAX(0,tblStock[[#This Row],[StockActual]])/tblStock[[#This Row],[StockMax]])</f>
        <v/>
      </c>
      <c r="N500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0" s="59" t="str">
        <f>IF($B500="","",N('05_PRODUCTOS'!$H500))</f>
        <v/>
      </c>
      <c r="P500" s="59" t="str">
        <f>IF(tblStock[[#This Row],[SKU]]="","",MAX(0,tblStock[[#This Row],[StockActual]])*tblStock[[#This Row],[CostoUnitario]])</f>
        <v/>
      </c>
      <c r="Q500" s="60" t="str">
        <f>IF(tblStock[[#This Row],[SKU]]="","",IFERROR(_xlfn.AGGREGATE(14,6,tblMovimientos[Fecha]/(tblMovimientos[SKU]=tblStock[[#This Row],[SKU]]),1),""))</f>
        <v/>
      </c>
      <c r="R500" s="61" t="str">
        <f ca="1">IF(OR(tblStock[[#This Row],[SKU]]="",tblStock[[#This Row],[UltimoMov]]=""),"",TODAY()-tblStock[[#This Row],[UltimoMov]])</f>
        <v/>
      </c>
    </row>
    <row r="501" spans="2:18" x14ac:dyDescent="0.25">
      <c r="B501" s="53" t="str">
        <f>IF('05_PRODUCTOS'!$B501="","",'05_PRODUCTOS'!$B501)</f>
        <v/>
      </c>
      <c r="C501" s="54" t="str">
        <f>IF($B501="","",'05_PRODUCTOS'!$C501)</f>
        <v/>
      </c>
      <c r="D501" s="54" t="str">
        <f>IF($B501="","",'05_PRODUCTOS'!$D501)</f>
        <v/>
      </c>
      <c r="E501" s="54" t="str">
        <f>IF($B501="","",'05_PRODUCTOS'!$I501&amp;"")</f>
        <v/>
      </c>
      <c r="F501" s="53" t="str">
        <f>IF($B501="","",'05_PRODUCTOS'!$E501)</f>
        <v/>
      </c>
      <c r="G501" s="53" t="str">
        <f>IF($B501="","",IF('05_PRODUCTOS'!$K501="NO","NO","SI"))</f>
        <v/>
      </c>
      <c r="H501" s="55" t="str">
        <f>IF(tblStock[[#This Row],[SKU]]="","",SUMIFS(tblMovimientos[CantidadNeta],tblMovimientos[SKU],tblStock[[#This Row],[SKU]],tblMovimientos[FactorStock],1))</f>
        <v/>
      </c>
      <c r="I501" s="55" t="str">
        <f>IF(tblStock[[#This Row],[SKU]]="","",-SUMIFS(tblMovimientos[CantidadNeta],tblMovimientos[SKU],tblStock[[#This Row],[SKU]],tblMovimientos[FactorStock],-1))</f>
        <v/>
      </c>
      <c r="J501" s="56" t="str">
        <f>IF(tblStock[[#This Row],[SKU]]="","",SUMIFS(tblMovimientos[CantidadNeta],tblMovimientos[SKU],tblStock[[#This Row],[SKU]]))</f>
        <v/>
      </c>
      <c r="K501" s="55" t="str">
        <f>IF($B501="","",N('05_PRODUCTOS'!$F501))</f>
        <v/>
      </c>
      <c r="L501" s="55" t="str">
        <f>IF($B501="","",N('05_PRODUCTOS'!$G501))</f>
        <v/>
      </c>
      <c r="M501" s="57" t="str">
        <f>IF(OR(tblStock[[#This Row],[SKU]]="",N(tblStock[[#This Row],[StockMax]])=0),"",MAX(0,tblStock[[#This Row],[StockActual]])/tblStock[[#This Row],[StockMax]])</f>
        <v/>
      </c>
      <c r="N501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1" s="59" t="str">
        <f>IF($B501="","",N('05_PRODUCTOS'!$H501))</f>
        <v/>
      </c>
      <c r="P501" s="59" t="str">
        <f>IF(tblStock[[#This Row],[SKU]]="","",MAX(0,tblStock[[#This Row],[StockActual]])*tblStock[[#This Row],[CostoUnitario]])</f>
        <v/>
      </c>
      <c r="Q501" s="60" t="str">
        <f>IF(tblStock[[#This Row],[SKU]]="","",IFERROR(_xlfn.AGGREGATE(14,6,tblMovimientos[Fecha]/(tblMovimientos[SKU]=tblStock[[#This Row],[SKU]]),1),""))</f>
        <v/>
      </c>
      <c r="R501" s="61" t="str">
        <f ca="1">IF(OR(tblStock[[#This Row],[SKU]]="",tblStock[[#This Row],[UltimoMov]]=""),"",TODAY()-tblStock[[#This Row],[UltimoMov]])</f>
        <v/>
      </c>
    </row>
    <row r="502" spans="2:18" x14ac:dyDescent="0.25">
      <c r="B502" s="53" t="str">
        <f>IF('05_PRODUCTOS'!$B502="","",'05_PRODUCTOS'!$B502)</f>
        <v/>
      </c>
      <c r="C502" s="54" t="str">
        <f>IF($B502="","",'05_PRODUCTOS'!$C502)</f>
        <v/>
      </c>
      <c r="D502" s="54" t="str">
        <f>IF($B502="","",'05_PRODUCTOS'!$D502)</f>
        <v/>
      </c>
      <c r="E502" s="54" t="str">
        <f>IF($B502="","",'05_PRODUCTOS'!$I502&amp;"")</f>
        <v/>
      </c>
      <c r="F502" s="53" t="str">
        <f>IF($B502="","",'05_PRODUCTOS'!$E502)</f>
        <v/>
      </c>
      <c r="G502" s="53" t="str">
        <f>IF($B502="","",IF('05_PRODUCTOS'!$K502="NO","NO","SI"))</f>
        <v/>
      </c>
      <c r="H502" s="55" t="str">
        <f>IF(tblStock[[#This Row],[SKU]]="","",SUMIFS(tblMovimientos[CantidadNeta],tblMovimientos[SKU],tblStock[[#This Row],[SKU]],tblMovimientos[FactorStock],1))</f>
        <v/>
      </c>
      <c r="I502" s="55" t="str">
        <f>IF(tblStock[[#This Row],[SKU]]="","",-SUMIFS(tblMovimientos[CantidadNeta],tblMovimientos[SKU],tblStock[[#This Row],[SKU]],tblMovimientos[FactorStock],-1))</f>
        <v/>
      </c>
      <c r="J502" s="56" t="str">
        <f>IF(tblStock[[#This Row],[SKU]]="","",SUMIFS(tblMovimientos[CantidadNeta],tblMovimientos[SKU],tblStock[[#This Row],[SKU]]))</f>
        <v/>
      </c>
      <c r="K502" s="55" t="str">
        <f>IF($B502="","",N('05_PRODUCTOS'!$F502))</f>
        <v/>
      </c>
      <c r="L502" s="55" t="str">
        <f>IF($B502="","",N('05_PRODUCTOS'!$G502))</f>
        <v/>
      </c>
      <c r="M502" s="57" t="str">
        <f>IF(OR(tblStock[[#This Row],[SKU]]="",N(tblStock[[#This Row],[StockMax]])=0),"",MAX(0,tblStock[[#This Row],[StockActual]])/tblStock[[#This Row],[StockMax]])</f>
        <v/>
      </c>
      <c r="N502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2" s="59" t="str">
        <f>IF($B502="","",N('05_PRODUCTOS'!$H502))</f>
        <v/>
      </c>
      <c r="P502" s="59" t="str">
        <f>IF(tblStock[[#This Row],[SKU]]="","",MAX(0,tblStock[[#This Row],[StockActual]])*tblStock[[#This Row],[CostoUnitario]])</f>
        <v/>
      </c>
      <c r="Q502" s="60" t="str">
        <f>IF(tblStock[[#This Row],[SKU]]="","",IFERROR(_xlfn.AGGREGATE(14,6,tblMovimientos[Fecha]/(tblMovimientos[SKU]=tblStock[[#This Row],[SKU]]),1),""))</f>
        <v/>
      </c>
      <c r="R502" s="61" t="str">
        <f ca="1">IF(OR(tblStock[[#This Row],[SKU]]="",tblStock[[#This Row],[UltimoMov]]=""),"",TODAY()-tblStock[[#This Row],[UltimoMov]])</f>
        <v/>
      </c>
    </row>
    <row r="503" spans="2:18" x14ac:dyDescent="0.25">
      <c r="B503" s="53" t="str">
        <f>IF('05_PRODUCTOS'!$B503="","",'05_PRODUCTOS'!$B503)</f>
        <v/>
      </c>
      <c r="C503" s="54" t="str">
        <f>IF($B503="","",'05_PRODUCTOS'!$C503)</f>
        <v/>
      </c>
      <c r="D503" s="54" t="str">
        <f>IF($B503="","",'05_PRODUCTOS'!$D503)</f>
        <v/>
      </c>
      <c r="E503" s="54" t="str">
        <f>IF($B503="","",'05_PRODUCTOS'!$I503&amp;"")</f>
        <v/>
      </c>
      <c r="F503" s="53" t="str">
        <f>IF($B503="","",'05_PRODUCTOS'!$E503)</f>
        <v/>
      </c>
      <c r="G503" s="53" t="str">
        <f>IF($B503="","",IF('05_PRODUCTOS'!$K503="NO","NO","SI"))</f>
        <v/>
      </c>
      <c r="H503" s="55" t="str">
        <f>IF(tblStock[[#This Row],[SKU]]="","",SUMIFS(tblMovimientos[CantidadNeta],tblMovimientos[SKU],tblStock[[#This Row],[SKU]],tblMovimientos[FactorStock],1))</f>
        <v/>
      </c>
      <c r="I503" s="55" t="str">
        <f>IF(tblStock[[#This Row],[SKU]]="","",-SUMIFS(tblMovimientos[CantidadNeta],tblMovimientos[SKU],tblStock[[#This Row],[SKU]],tblMovimientos[FactorStock],-1))</f>
        <v/>
      </c>
      <c r="J503" s="56" t="str">
        <f>IF(tblStock[[#This Row],[SKU]]="","",SUMIFS(tblMovimientos[CantidadNeta],tblMovimientos[SKU],tblStock[[#This Row],[SKU]]))</f>
        <v/>
      </c>
      <c r="K503" s="55" t="str">
        <f>IF($B503="","",N('05_PRODUCTOS'!$F503))</f>
        <v/>
      </c>
      <c r="L503" s="55" t="str">
        <f>IF($B503="","",N('05_PRODUCTOS'!$G503))</f>
        <v/>
      </c>
      <c r="M503" s="57" t="str">
        <f>IF(OR(tblStock[[#This Row],[SKU]]="",N(tblStock[[#This Row],[StockMax]])=0),"",MAX(0,tblStock[[#This Row],[StockActual]])/tblStock[[#This Row],[StockMax]])</f>
        <v/>
      </c>
      <c r="N503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3" s="59" t="str">
        <f>IF($B503="","",N('05_PRODUCTOS'!$H503))</f>
        <v/>
      </c>
      <c r="P503" s="59" t="str">
        <f>IF(tblStock[[#This Row],[SKU]]="","",MAX(0,tblStock[[#This Row],[StockActual]])*tblStock[[#This Row],[CostoUnitario]])</f>
        <v/>
      </c>
      <c r="Q503" s="60" t="str">
        <f>IF(tblStock[[#This Row],[SKU]]="","",IFERROR(_xlfn.AGGREGATE(14,6,tblMovimientos[Fecha]/(tblMovimientos[SKU]=tblStock[[#This Row],[SKU]]),1),""))</f>
        <v/>
      </c>
      <c r="R503" s="61" t="str">
        <f ca="1">IF(OR(tblStock[[#This Row],[SKU]]="",tblStock[[#This Row],[UltimoMov]]=""),"",TODAY()-tblStock[[#This Row],[UltimoMov]])</f>
        <v/>
      </c>
    </row>
    <row r="504" spans="2:18" x14ac:dyDescent="0.25">
      <c r="B504" s="53" t="str">
        <f>IF('05_PRODUCTOS'!$B504="","",'05_PRODUCTOS'!$B504)</f>
        <v/>
      </c>
      <c r="C504" s="54" t="str">
        <f>IF($B504="","",'05_PRODUCTOS'!$C504)</f>
        <v/>
      </c>
      <c r="D504" s="54" t="str">
        <f>IF($B504="","",'05_PRODUCTOS'!$D504)</f>
        <v/>
      </c>
      <c r="E504" s="54" t="str">
        <f>IF($B504="","",'05_PRODUCTOS'!$I504&amp;"")</f>
        <v/>
      </c>
      <c r="F504" s="53" t="str">
        <f>IF($B504="","",'05_PRODUCTOS'!$E504)</f>
        <v/>
      </c>
      <c r="G504" s="53" t="str">
        <f>IF($B504="","",IF('05_PRODUCTOS'!$K504="NO","NO","SI"))</f>
        <v/>
      </c>
      <c r="H504" s="55" t="str">
        <f>IF(tblStock[[#This Row],[SKU]]="","",SUMIFS(tblMovimientos[CantidadNeta],tblMovimientos[SKU],tblStock[[#This Row],[SKU]],tblMovimientos[FactorStock],1))</f>
        <v/>
      </c>
      <c r="I504" s="55" t="str">
        <f>IF(tblStock[[#This Row],[SKU]]="","",-SUMIFS(tblMovimientos[CantidadNeta],tblMovimientos[SKU],tblStock[[#This Row],[SKU]],tblMovimientos[FactorStock],-1))</f>
        <v/>
      </c>
      <c r="J504" s="56" t="str">
        <f>IF(tblStock[[#This Row],[SKU]]="","",SUMIFS(tblMovimientos[CantidadNeta],tblMovimientos[SKU],tblStock[[#This Row],[SKU]]))</f>
        <v/>
      </c>
      <c r="K504" s="55" t="str">
        <f>IF($B504="","",N('05_PRODUCTOS'!$F504))</f>
        <v/>
      </c>
      <c r="L504" s="55" t="str">
        <f>IF($B504="","",N('05_PRODUCTOS'!$G504))</f>
        <v/>
      </c>
      <c r="M504" s="57" t="str">
        <f>IF(OR(tblStock[[#This Row],[SKU]]="",N(tblStock[[#This Row],[StockMax]])=0),"",MAX(0,tblStock[[#This Row],[StockActual]])/tblStock[[#This Row],[StockMax]])</f>
        <v/>
      </c>
      <c r="N504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4" s="59" t="str">
        <f>IF($B504="","",N('05_PRODUCTOS'!$H504))</f>
        <v/>
      </c>
      <c r="P504" s="59" t="str">
        <f>IF(tblStock[[#This Row],[SKU]]="","",MAX(0,tblStock[[#This Row],[StockActual]])*tblStock[[#This Row],[CostoUnitario]])</f>
        <v/>
      </c>
      <c r="Q504" s="60" t="str">
        <f>IF(tblStock[[#This Row],[SKU]]="","",IFERROR(_xlfn.AGGREGATE(14,6,tblMovimientos[Fecha]/(tblMovimientos[SKU]=tblStock[[#This Row],[SKU]]),1),""))</f>
        <v/>
      </c>
      <c r="R504" s="61" t="str">
        <f ca="1">IF(OR(tblStock[[#This Row],[SKU]]="",tblStock[[#This Row],[UltimoMov]]=""),"",TODAY()-tblStock[[#This Row],[UltimoMov]])</f>
        <v/>
      </c>
    </row>
    <row r="505" spans="2:18" x14ac:dyDescent="0.25">
      <c r="B505" s="53" t="str">
        <f>IF('05_PRODUCTOS'!$B505="","",'05_PRODUCTOS'!$B505)</f>
        <v/>
      </c>
      <c r="C505" s="54" t="str">
        <f>IF($B505="","",'05_PRODUCTOS'!$C505)</f>
        <v/>
      </c>
      <c r="D505" s="54" t="str">
        <f>IF($B505="","",'05_PRODUCTOS'!$D505)</f>
        <v/>
      </c>
      <c r="E505" s="54" t="str">
        <f>IF($B505="","",'05_PRODUCTOS'!$I505&amp;"")</f>
        <v/>
      </c>
      <c r="F505" s="53" t="str">
        <f>IF($B505="","",'05_PRODUCTOS'!$E505)</f>
        <v/>
      </c>
      <c r="G505" s="53" t="str">
        <f>IF($B505="","",IF('05_PRODUCTOS'!$K505="NO","NO","SI"))</f>
        <v/>
      </c>
      <c r="H505" s="55" t="str">
        <f>IF(tblStock[[#This Row],[SKU]]="","",SUMIFS(tblMovimientos[CantidadNeta],tblMovimientos[SKU],tblStock[[#This Row],[SKU]],tblMovimientos[FactorStock],1))</f>
        <v/>
      </c>
      <c r="I505" s="55" t="str">
        <f>IF(tblStock[[#This Row],[SKU]]="","",-SUMIFS(tblMovimientos[CantidadNeta],tblMovimientos[SKU],tblStock[[#This Row],[SKU]],tblMovimientos[FactorStock],-1))</f>
        <v/>
      </c>
      <c r="J505" s="56" t="str">
        <f>IF(tblStock[[#This Row],[SKU]]="","",SUMIFS(tblMovimientos[CantidadNeta],tblMovimientos[SKU],tblStock[[#This Row],[SKU]]))</f>
        <v/>
      </c>
      <c r="K505" s="55" t="str">
        <f>IF($B505="","",N('05_PRODUCTOS'!$F505))</f>
        <v/>
      </c>
      <c r="L505" s="55" t="str">
        <f>IF($B505="","",N('05_PRODUCTOS'!$G505))</f>
        <v/>
      </c>
      <c r="M505" s="57" t="str">
        <f>IF(OR(tblStock[[#This Row],[SKU]]="",N(tblStock[[#This Row],[StockMax]])=0),"",MAX(0,tblStock[[#This Row],[StockActual]])/tblStock[[#This Row],[StockMax]])</f>
        <v/>
      </c>
      <c r="N505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5" s="59" t="str">
        <f>IF($B505="","",N('05_PRODUCTOS'!$H505))</f>
        <v/>
      </c>
      <c r="P505" s="59" t="str">
        <f>IF(tblStock[[#This Row],[SKU]]="","",MAX(0,tblStock[[#This Row],[StockActual]])*tblStock[[#This Row],[CostoUnitario]])</f>
        <v/>
      </c>
      <c r="Q505" s="60" t="str">
        <f>IF(tblStock[[#This Row],[SKU]]="","",IFERROR(_xlfn.AGGREGATE(14,6,tblMovimientos[Fecha]/(tblMovimientos[SKU]=tblStock[[#This Row],[SKU]]),1),""))</f>
        <v/>
      </c>
      <c r="R505" s="61" t="str">
        <f ca="1">IF(OR(tblStock[[#This Row],[SKU]]="",tblStock[[#This Row],[UltimoMov]]=""),"",TODAY()-tblStock[[#This Row],[UltimoMov]])</f>
        <v/>
      </c>
    </row>
    <row r="506" spans="2:18" x14ac:dyDescent="0.25">
      <c r="B506" s="53" t="str">
        <f>IF('05_PRODUCTOS'!$B506="","",'05_PRODUCTOS'!$B506)</f>
        <v/>
      </c>
      <c r="C506" s="54" t="str">
        <f>IF($B506="","",'05_PRODUCTOS'!$C506)</f>
        <v/>
      </c>
      <c r="D506" s="54" t="str">
        <f>IF($B506="","",'05_PRODUCTOS'!$D506)</f>
        <v/>
      </c>
      <c r="E506" s="54" t="str">
        <f>IF($B506="","",'05_PRODUCTOS'!$I506&amp;"")</f>
        <v/>
      </c>
      <c r="F506" s="53" t="str">
        <f>IF($B506="","",'05_PRODUCTOS'!$E506)</f>
        <v/>
      </c>
      <c r="G506" s="53" t="str">
        <f>IF($B506="","",IF('05_PRODUCTOS'!$K506="NO","NO","SI"))</f>
        <v/>
      </c>
      <c r="H506" s="55" t="str">
        <f>IF(tblStock[[#This Row],[SKU]]="","",SUMIFS(tblMovimientos[CantidadNeta],tblMovimientos[SKU],tblStock[[#This Row],[SKU]],tblMovimientos[FactorStock],1))</f>
        <v/>
      </c>
      <c r="I506" s="55" t="str">
        <f>IF(tblStock[[#This Row],[SKU]]="","",-SUMIFS(tblMovimientos[CantidadNeta],tblMovimientos[SKU],tblStock[[#This Row],[SKU]],tblMovimientos[FactorStock],-1))</f>
        <v/>
      </c>
      <c r="J506" s="56" t="str">
        <f>IF(tblStock[[#This Row],[SKU]]="","",SUMIFS(tblMovimientos[CantidadNeta],tblMovimientos[SKU],tblStock[[#This Row],[SKU]]))</f>
        <v/>
      </c>
      <c r="K506" s="55" t="str">
        <f>IF($B506="","",N('05_PRODUCTOS'!$F506))</f>
        <v/>
      </c>
      <c r="L506" s="55" t="str">
        <f>IF($B506="","",N('05_PRODUCTOS'!$G506))</f>
        <v/>
      </c>
      <c r="M506" s="57" t="str">
        <f>IF(OR(tblStock[[#This Row],[SKU]]="",N(tblStock[[#This Row],[StockMax]])=0),"",MAX(0,tblStock[[#This Row],[StockActual]])/tblStock[[#This Row],[StockMax]])</f>
        <v/>
      </c>
      <c r="N506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6" s="59" t="str">
        <f>IF($B506="","",N('05_PRODUCTOS'!$H506))</f>
        <v/>
      </c>
      <c r="P506" s="59" t="str">
        <f>IF(tblStock[[#This Row],[SKU]]="","",MAX(0,tblStock[[#This Row],[StockActual]])*tblStock[[#This Row],[CostoUnitario]])</f>
        <v/>
      </c>
      <c r="Q506" s="60" t="str">
        <f>IF(tblStock[[#This Row],[SKU]]="","",IFERROR(_xlfn.AGGREGATE(14,6,tblMovimientos[Fecha]/(tblMovimientos[SKU]=tblStock[[#This Row],[SKU]]),1),""))</f>
        <v/>
      </c>
      <c r="R506" s="61" t="str">
        <f ca="1">IF(OR(tblStock[[#This Row],[SKU]]="",tblStock[[#This Row],[UltimoMov]]=""),"",TODAY()-tblStock[[#This Row],[UltimoMov]])</f>
        <v/>
      </c>
    </row>
    <row r="507" spans="2:18" x14ac:dyDescent="0.25">
      <c r="B507" s="53" t="str">
        <f>IF('05_PRODUCTOS'!$B507="","",'05_PRODUCTOS'!$B507)</f>
        <v/>
      </c>
      <c r="C507" s="54" t="str">
        <f>IF($B507="","",'05_PRODUCTOS'!$C507)</f>
        <v/>
      </c>
      <c r="D507" s="54" t="str">
        <f>IF($B507="","",'05_PRODUCTOS'!$D507)</f>
        <v/>
      </c>
      <c r="E507" s="54" t="str">
        <f>IF($B507="","",'05_PRODUCTOS'!$I507&amp;"")</f>
        <v/>
      </c>
      <c r="F507" s="53" t="str">
        <f>IF($B507="","",'05_PRODUCTOS'!$E507)</f>
        <v/>
      </c>
      <c r="G507" s="53" t="str">
        <f>IF($B507="","",IF('05_PRODUCTOS'!$K507="NO","NO","SI"))</f>
        <v/>
      </c>
      <c r="H507" s="55" t="str">
        <f>IF(tblStock[[#This Row],[SKU]]="","",SUMIFS(tblMovimientos[CantidadNeta],tblMovimientos[SKU],tblStock[[#This Row],[SKU]],tblMovimientos[FactorStock],1))</f>
        <v/>
      </c>
      <c r="I507" s="55" t="str">
        <f>IF(tblStock[[#This Row],[SKU]]="","",-SUMIFS(tblMovimientos[CantidadNeta],tblMovimientos[SKU],tblStock[[#This Row],[SKU]],tblMovimientos[FactorStock],-1))</f>
        <v/>
      </c>
      <c r="J507" s="56" t="str">
        <f>IF(tblStock[[#This Row],[SKU]]="","",SUMIFS(tblMovimientos[CantidadNeta],tblMovimientos[SKU],tblStock[[#This Row],[SKU]]))</f>
        <v/>
      </c>
      <c r="K507" s="55" t="str">
        <f>IF($B507="","",N('05_PRODUCTOS'!$F507))</f>
        <v/>
      </c>
      <c r="L507" s="55" t="str">
        <f>IF($B507="","",N('05_PRODUCTOS'!$G507))</f>
        <v/>
      </c>
      <c r="M507" s="57" t="str">
        <f>IF(OR(tblStock[[#This Row],[SKU]]="",N(tblStock[[#This Row],[StockMax]])=0),"",MAX(0,tblStock[[#This Row],[StockActual]])/tblStock[[#This Row],[StockMax]])</f>
        <v/>
      </c>
      <c r="N507" s="58" t="str">
        <f>IF(tblStock[[#This Row],[SKU]]="","",IF(tblStock[[#This Row],[Activo]]="NO","INACTIVO",IF(tblStock[[#This Row],[StockActual]]&lt;0,"INCONSISTENTE",IF(tblStock[[#This Row],[StockActual]]=0,"AGOTADO",IF(tblStock[[#This Row],[StockActual]]&lt;=tblStock[[#This Row],[StockMin]],"CRÍTICO",IF(tblStock[[#This Row],[StockActual]]&lt;=tblStock[[#This Row],[StockMin]]*(1+cfgMargenAlerta),"BAJO",IF(AND(tblStock[[#This Row],[StockMax]]&gt;0,tblStock[[#This Row],[StockActual]]&gt;tblStock[[#This Row],[StockMax]]),"SOBRESTOCK","ÓPTIMO")))))))</f>
        <v/>
      </c>
      <c r="O507" s="59" t="str">
        <f>IF($B507="","",N('05_PRODUCTOS'!$H507))</f>
        <v/>
      </c>
      <c r="P507" s="59" t="str">
        <f>IF(tblStock[[#This Row],[SKU]]="","",MAX(0,tblStock[[#This Row],[StockActual]])*tblStock[[#This Row],[CostoUnitario]])</f>
        <v/>
      </c>
      <c r="Q507" s="60" t="str">
        <f>IF(tblStock[[#This Row],[SKU]]="","",IFERROR(_xlfn.AGGREGATE(14,6,tblMovimientos[Fecha]/(tblMovimientos[SKU]=tblStock[[#This Row],[SKU]]),1),""))</f>
        <v/>
      </c>
      <c r="R507" s="61" t="str">
        <f ca="1">IF(OR(tblStock[[#This Row],[SKU]]="",tblStock[[#This Row],[UltimoMov]]=""),"",TODAY()-tblStock[[#This Row],[UltimoMov]])</f>
        <v/>
      </c>
    </row>
  </sheetData>
  <sheetProtection password="930D" sheet="1" objects="1" scenarios="1" formatColumns="0" autoFilter="0"/>
  <conditionalFormatting sqref="B8:R507">
    <cfRule type="expression" dxfId="76" priority="21">
      <formula>AND($B8&lt;&gt;"",MOD(ROW(),2)=0)</formula>
    </cfRule>
    <cfRule type="expression" dxfId="75" priority="22">
      <formula>$B8&lt;&gt;""</formula>
    </cfRule>
  </conditionalFormatting>
  <conditionalFormatting sqref="H8:H507">
    <cfRule type="expression" dxfId="74" priority="16">
      <formula>AND(ISNUMBER(H8),H8&lt;&gt;INT(H8))</formula>
    </cfRule>
  </conditionalFormatting>
  <conditionalFormatting sqref="I8:I507">
    <cfRule type="expression" dxfId="73" priority="17">
      <formula>AND(ISNUMBER(I8),I8&lt;&gt;INT(I8))</formula>
    </cfRule>
  </conditionalFormatting>
  <conditionalFormatting sqref="J8:J507">
    <cfRule type="expression" dxfId="72" priority="8">
      <formula>$N8="AGOTADO"</formula>
    </cfRule>
    <cfRule type="expression" dxfId="71" priority="9">
      <formula>$N8="CRÍTICO"</formula>
    </cfRule>
    <cfRule type="expression" dxfId="70" priority="10">
      <formula>$N8="INCONSISTENTE"</formula>
    </cfRule>
    <cfRule type="expression" dxfId="69" priority="11">
      <formula>$N8="BAJO"</formula>
    </cfRule>
    <cfRule type="expression" dxfId="68" priority="12">
      <formula>$N8="ÓPTIMO"</formula>
    </cfRule>
    <cfRule type="expression" dxfId="67" priority="13">
      <formula>$N8="SOBRESTOCK"</formula>
    </cfRule>
    <cfRule type="expression" dxfId="66" priority="18">
      <formula>AND(ISNUMBER(J8),J8&lt;&gt;INT(J8))</formula>
    </cfRule>
  </conditionalFormatting>
  <conditionalFormatting sqref="K8:K507">
    <cfRule type="expression" dxfId="65" priority="19">
      <formula>AND(ISNUMBER(K8),K8&lt;&gt;INT(K8))</formula>
    </cfRule>
  </conditionalFormatting>
  <conditionalFormatting sqref="L8:L507">
    <cfRule type="expression" dxfId="64" priority="20">
      <formula>AND(ISNUMBER(L8),L8&lt;&gt;INT(L8))</formula>
    </cfRule>
  </conditionalFormatting>
  <conditionalFormatting sqref="M8:M507">
    <cfRule type="dataBar" priority="14">
      <dataBar>
        <cfvo type="num" val="0"/>
        <cfvo type="num" val="1"/>
        <color rgb="FF90CAF9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conditionalFormatting sqref="N8:N507">
    <cfRule type="expression" dxfId="63" priority="1">
      <formula>$N8="INCONSISTENTE"</formula>
    </cfRule>
    <cfRule type="expression" dxfId="62" priority="2">
      <formula>$N8="AGOTADO"</formula>
    </cfRule>
    <cfRule type="expression" dxfId="61" priority="3">
      <formula>$N8="CRÍTICO"</formula>
    </cfRule>
    <cfRule type="expression" dxfId="60" priority="4">
      <formula>$N8="BAJO"</formula>
    </cfRule>
    <cfRule type="expression" dxfId="59" priority="5">
      <formula>$N8="ÓPTIMO"</formula>
    </cfRule>
    <cfRule type="expression" dxfId="58" priority="6">
      <formula>$N8="SOBRESTOCK"</formula>
    </cfRule>
    <cfRule type="expression" dxfId="57" priority="7">
      <formula>$N8="INACTIVO"</formula>
    </cfRule>
  </conditionalFormatting>
  <conditionalFormatting sqref="R8:R507">
    <cfRule type="expression" dxfId="56" priority="15">
      <formula>AND(ISNUMBER($R8),$R8&gt;cfgDiasSinRotacion,N($J8)&gt;0)</formula>
    </cfRule>
  </conditionalFormatting>
  <dataValidations count="9">
    <dataValidation allowBlank="1" showInputMessage="1" showErrorMessage="1" promptTitle="ƒx SKU" prompt="Espejo de 05_PRODUCTOS (misma fila)." sqref="B7" xr:uid="{00000000-0002-0000-0800-000000000000}"/>
    <dataValidation allowBlank="1" showInputMessage="1" showErrorMessage="1" promptTitle="ƒx Entradas" prompt="Suma de movimientos con FactorStock +1 (saldo inicial, entradas, ajustes +)." sqref="H7" xr:uid="{00000000-0002-0000-0800-000001000000}"/>
    <dataValidation allowBlank="1" showInputMessage="1" showErrorMessage="1" promptTitle="ƒx Salidas" prompt="Suma de movimientos con FactorStock -1 (salidas y ajustes -)." sqref="I7" xr:uid="{00000000-0002-0000-0800-000002000000}"/>
    <dataValidation allowBlank="1" showInputMessage="1" showErrorMessage="1" promptTitle="ƒx StockActual" prompt="SUMAR.SI.CONJUNTO de CantidadNeta por SKU. Nunca se escribe a mano: cambia solo con movimientos." sqref="J7" xr:uid="{00000000-0002-0000-0800-000003000000}"/>
    <dataValidation allowBlank="1" showInputMessage="1" showErrorMessage="1" promptTitle="ƒx Nivel" prompt="Stock actual ÷ stock máximo (barra de nivel)." sqref="M7" xr:uid="{00000000-0002-0000-0800-000004000000}"/>
    <dataValidation allowBlank="1" showInputMessage="1" showErrorMessage="1" promptTitle="ƒx Estado" prompt="Semáforo según reglas de tblEstados (01_CONFIG) y el margen de alerta." sqref="N7" xr:uid="{00000000-0002-0000-0800-000005000000}"/>
    <dataValidation allowBlank="1" showInputMessage="1" showErrorMessage="1" promptTitle="ƒx ValorInventario" prompt="Stock actual (no negativo) × costo unitario." sqref="P7" xr:uid="{00000000-0002-0000-0800-000006000000}"/>
    <dataValidation allowBlank="1" showInputMessage="1" showErrorMessage="1" promptTitle="ƒx UltimoMov" prompt="Fecha del último movimiento del SKU." sqref="Q7" xr:uid="{00000000-0002-0000-0800-000007000000}"/>
    <dataValidation allowBlank="1" showInputMessage="1" showErrorMessage="1" promptTitle="ƒx DiasSinMov" prompt="Días desde el último movimiento. En ámbar si supera el plazo de rotación (cfgDiasSinRotacion) y aún hay stock." sqref="R7" xr:uid="{00000000-0002-0000-0800-000008000000}"/>
  </dataValidations>
  <pageMargins left="0.4" right="0.4" top="0.7" bottom="0.6" header="0.3" footer="0.3"/>
  <pageSetup fitToHeight="0" orientation="landscape"/>
  <headerFooter>
    <oddHeader>&amp;L&amp;"Segoe UI,Bold"&amp;9M-INV · Stock actual&amp;R&amp;"Segoe UI,Regular"&amp;8&amp;D</oddHeader>
    <oddFooter>&amp;L&amp;"Segoe UI,Regular"&amp;8Z&amp;&amp;P Software Fast Solutions&amp;R&amp;"Segoe UI,Regular"&amp;8Página &amp;P de &amp;N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4B5F6"/>
              <x14:negativeFillColor rgb="FFFF0000"/>
              <x14:negativeBorderColor rgb="FFFF0000"/>
              <x14:axisColor rgb="FF000000"/>
            </x14:dataBar>
          </x14:cfRule>
          <xm:sqref>M8:M507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62828"/>
    <pageSetUpPr fitToPage="1"/>
  </sheetPr>
  <dimension ref="B1:O507"/>
  <sheetViews>
    <sheetView showGridLines="0" showRowColHeaders="0" workbookViewId="0">
      <pane ySplit="7" topLeftCell="A8" activePane="bottomLeft" state="frozen"/>
      <selection pane="bottomLeft" activeCell="B8" sqref="B8"/>
    </sheetView>
  </sheetViews>
  <sheetFormatPr baseColWidth="10" defaultColWidth="0" defaultRowHeight="15" zeroHeight="1" x14ac:dyDescent="0.25"/>
  <cols>
    <col min="1" max="1" width="2.28515625" customWidth="1"/>
    <col min="2" max="2" width="6" customWidth="1"/>
    <col min="3" max="3" width="19.7109375" customWidth="1"/>
    <col min="4" max="4" width="12" customWidth="1"/>
    <col min="5" max="5" width="38.5703125" customWidth="1"/>
    <col min="6" max="6" width="24" customWidth="1"/>
    <col min="7" max="7" width="28.5703125" customWidth="1"/>
    <col min="8" max="8" width="12.28515625" customWidth="1"/>
    <col min="9" max="10" width="13.140625" customWidth="1"/>
    <col min="11" max="11" width="10.85546875" customWidth="1"/>
    <col min="12" max="12" width="12.5703125" customWidth="1"/>
    <col min="13" max="13" width="18.85546875" customWidth="1"/>
    <col min="14" max="14" width="35.7109375" customWidth="1"/>
    <col min="15" max="15" width="16" customWidth="1"/>
    <col min="16" max="16" width="2.28515625" customWidth="1"/>
    <col min="17" max="17" width="0" hidden="1" customWidth="1"/>
  </cols>
  <sheetData>
    <row r="1" spans="2:15" s="1" customFormat="1" ht="6" customHeight="1" x14ac:dyDescent="0.25"/>
    <row r="2" spans="2:15" s="1" customFormat="1" ht="24" customHeight="1" x14ac:dyDescent="0.25">
      <c r="B2" s="12" t="s">
        <v>190</v>
      </c>
    </row>
    <row r="3" spans="2:15" s="1" customFormat="1" ht="14.25" x14ac:dyDescent="0.25">
      <c r="B3" s="13" t="s">
        <v>191</v>
      </c>
    </row>
    <row r="4" spans="2:15" s="1" customFormat="1" ht="7.5" customHeight="1" x14ac:dyDescent="0.25"/>
    <row r="5" spans="2:15" s="4" customFormat="1" ht="25.5" customHeight="1" x14ac:dyDescent="0.25"/>
    <row r="6" spans="2:15" s="4" customFormat="1" ht="12" customHeight="1" x14ac:dyDescent="0.25">
      <c r="B6" s="36" t="s">
        <v>149</v>
      </c>
      <c r="C6" s="36" t="s">
        <v>149</v>
      </c>
      <c r="D6" s="36" t="s">
        <v>149</v>
      </c>
      <c r="E6" s="36" t="s">
        <v>149</v>
      </c>
      <c r="F6" s="36" t="s">
        <v>149</v>
      </c>
      <c r="G6" s="36" t="s">
        <v>149</v>
      </c>
      <c r="H6" s="36" t="s">
        <v>149</v>
      </c>
      <c r="I6" s="36" t="s">
        <v>149</v>
      </c>
      <c r="J6" s="36" t="s">
        <v>149</v>
      </c>
      <c r="K6" s="36" t="s">
        <v>149</v>
      </c>
      <c r="L6" s="36" t="s">
        <v>149</v>
      </c>
      <c r="M6" s="36" t="s">
        <v>149</v>
      </c>
      <c r="N6" s="36" t="s">
        <v>149</v>
      </c>
      <c r="O6" s="36" t="s">
        <v>149</v>
      </c>
    </row>
    <row r="7" spans="2:15" ht="25.5" customHeight="1" x14ac:dyDescent="0.25">
      <c r="B7" s="15" t="s">
        <v>192</v>
      </c>
      <c r="C7" s="15" t="s">
        <v>186</v>
      </c>
      <c r="D7" s="15" t="s">
        <v>152</v>
      </c>
      <c r="E7" s="15" t="s">
        <v>153</v>
      </c>
      <c r="F7" s="15" t="s">
        <v>86</v>
      </c>
      <c r="G7" s="15" t="s">
        <v>139</v>
      </c>
      <c r="H7" s="15" t="s">
        <v>193</v>
      </c>
      <c r="I7" s="15" t="s">
        <v>194</v>
      </c>
      <c r="J7" s="15" t="s">
        <v>195</v>
      </c>
      <c r="K7" s="15" t="s">
        <v>107</v>
      </c>
      <c r="L7" s="15" t="s">
        <v>196</v>
      </c>
      <c r="M7" s="15" t="s">
        <v>197</v>
      </c>
      <c r="N7" s="15" t="s">
        <v>198</v>
      </c>
      <c r="O7" s="15" t="s">
        <v>188</v>
      </c>
    </row>
    <row r="8" spans="2:15" x14ac:dyDescent="0.25">
      <c r="B8" s="62" t="str">
        <f>IF('91_KPIS'!$Q8="","",'91_KPIS'!$O8)</f>
        <v/>
      </c>
      <c r="C8" s="58" t="str">
        <f>IF($B8="","",INDEX(tblStock[Estado],'91_KPIS'!$Q8))</f>
        <v/>
      </c>
      <c r="D8" s="53" t="str">
        <f>IF($B8="","",INDEX(tblStock[SKU],'91_KPIS'!$Q8))</f>
        <v/>
      </c>
      <c r="E8" s="54" t="str">
        <f>IF($B8="","",INDEX(tblStock[Producto],'91_KPIS'!$Q8))</f>
        <v/>
      </c>
      <c r="F8" s="54" t="str">
        <f>IF($B8="","",INDEX(tblStock[Categoría],'91_KPIS'!$Q8))</f>
        <v/>
      </c>
      <c r="G8" s="54" t="str">
        <f>IF($B8="","",INDEX(tblStock[Proveedor],'91_KPIS'!$Q8)&amp;"")</f>
        <v/>
      </c>
      <c r="H8" s="56" t="str">
        <f>IF($B8="","",INDEX(tblStock[StockActual],'91_KPIS'!$Q8))</f>
        <v/>
      </c>
      <c r="I8" s="55" t="str">
        <f>IF($B8="","",INDEX(tblStock[StockMin],'91_KPIS'!$Q8))</f>
        <v/>
      </c>
      <c r="J8" s="55" t="str">
        <f>IF($B8="","",INDEX(tblStock[StockMax],'91_KPIS'!$Q8))</f>
        <v/>
      </c>
      <c r="K8" s="53" t="str">
        <f>IF($B8="","",INDEX(tblStock[Unidad],'91_KPIS'!$Q8))</f>
        <v/>
      </c>
      <c r="L8" s="55" t="str">
        <f t="shared" ref="L8:L71" si="0">IF($B8="","",MAX(0,$I8-$H8))</f>
        <v/>
      </c>
      <c r="M8" s="55" t="str">
        <f t="shared" ref="M8:M71" si="1">IF($B8="","",IF(OR($C8="SOBRESTOCK",$C8="INCONSISTENTE"),0,MAX(0,IF($J8&gt;0,$J8,2*$I8)-MAX(0,$H8))))</f>
        <v/>
      </c>
      <c r="N8" s="54" t="str">
        <f>IF($B8="","",IFERROR(INDEX(tblEstados[Acción],MATCH($C8,tblEstados[Estado],0)),""))</f>
        <v/>
      </c>
      <c r="O8" s="60" t="str">
        <f>IF($B8="","",INDEX(tblStock[UltimoMov],'91_KPIS'!$Q8))</f>
        <v/>
      </c>
    </row>
    <row r="9" spans="2:15" x14ac:dyDescent="0.25">
      <c r="B9" s="62" t="str">
        <f>IF('91_KPIS'!$Q9="","",'91_KPIS'!$O9)</f>
        <v/>
      </c>
      <c r="C9" s="58" t="str">
        <f>IF($B9="","",INDEX(tblStock[Estado],'91_KPIS'!$Q9))</f>
        <v/>
      </c>
      <c r="D9" s="53" t="str">
        <f>IF($B9="","",INDEX(tblStock[SKU],'91_KPIS'!$Q9))</f>
        <v/>
      </c>
      <c r="E9" s="54" t="str">
        <f>IF($B9="","",INDEX(tblStock[Producto],'91_KPIS'!$Q9))</f>
        <v/>
      </c>
      <c r="F9" s="54" t="str">
        <f>IF($B9="","",INDEX(tblStock[Categoría],'91_KPIS'!$Q9))</f>
        <v/>
      </c>
      <c r="G9" s="54" t="str">
        <f>IF($B9="","",INDEX(tblStock[Proveedor],'91_KPIS'!$Q9)&amp;"")</f>
        <v/>
      </c>
      <c r="H9" s="56" t="str">
        <f>IF($B9="","",INDEX(tblStock[StockActual],'91_KPIS'!$Q9))</f>
        <v/>
      </c>
      <c r="I9" s="55" t="str">
        <f>IF($B9="","",INDEX(tblStock[StockMin],'91_KPIS'!$Q9))</f>
        <v/>
      </c>
      <c r="J9" s="55" t="str">
        <f>IF($B9="","",INDEX(tblStock[StockMax],'91_KPIS'!$Q9))</f>
        <v/>
      </c>
      <c r="K9" s="53" t="str">
        <f>IF($B9="","",INDEX(tblStock[Unidad],'91_KPIS'!$Q9))</f>
        <v/>
      </c>
      <c r="L9" s="55" t="str">
        <f t="shared" si="0"/>
        <v/>
      </c>
      <c r="M9" s="55" t="str">
        <f t="shared" si="1"/>
        <v/>
      </c>
      <c r="N9" s="54" t="str">
        <f>IF($B9="","",IFERROR(INDEX(tblEstados[Acción],MATCH($C9,tblEstados[Estado],0)),""))</f>
        <v/>
      </c>
      <c r="O9" s="60" t="str">
        <f>IF($B9="","",INDEX(tblStock[UltimoMov],'91_KPIS'!$Q9))</f>
        <v/>
      </c>
    </row>
    <row r="10" spans="2:15" x14ac:dyDescent="0.25">
      <c r="B10" s="62" t="str">
        <f>IF('91_KPIS'!$Q10="","",'91_KPIS'!$O10)</f>
        <v/>
      </c>
      <c r="C10" s="58" t="str">
        <f>IF($B10="","",INDEX(tblStock[Estado],'91_KPIS'!$Q10))</f>
        <v/>
      </c>
      <c r="D10" s="53" t="str">
        <f>IF($B10="","",INDEX(tblStock[SKU],'91_KPIS'!$Q10))</f>
        <v/>
      </c>
      <c r="E10" s="54" t="str">
        <f>IF($B10="","",INDEX(tblStock[Producto],'91_KPIS'!$Q10))</f>
        <v/>
      </c>
      <c r="F10" s="54" t="str">
        <f>IF($B10="","",INDEX(tblStock[Categoría],'91_KPIS'!$Q10))</f>
        <v/>
      </c>
      <c r="G10" s="54" t="str">
        <f>IF($B10="","",INDEX(tblStock[Proveedor],'91_KPIS'!$Q10)&amp;"")</f>
        <v/>
      </c>
      <c r="H10" s="56" t="str">
        <f>IF($B10="","",INDEX(tblStock[StockActual],'91_KPIS'!$Q10))</f>
        <v/>
      </c>
      <c r="I10" s="55" t="str">
        <f>IF($B10="","",INDEX(tblStock[StockMin],'91_KPIS'!$Q10))</f>
        <v/>
      </c>
      <c r="J10" s="55" t="str">
        <f>IF($B10="","",INDEX(tblStock[StockMax],'91_KPIS'!$Q10))</f>
        <v/>
      </c>
      <c r="K10" s="53" t="str">
        <f>IF($B10="","",INDEX(tblStock[Unidad],'91_KPIS'!$Q10))</f>
        <v/>
      </c>
      <c r="L10" s="55" t="str">
        <f t="shared" si="0"/>
        <v/>
      </c>
      <c r="M10" s="55" t="str">
        <f t="shared" si="1"/>
        <v/>
      </c>
      <c r="N10" s="54" t="str">
        <f>IF($B10="","",IFERROR(INDEX(tblEstados[Acción],MATCH($C10,tblEstados[Estado],0)),""))</f>
        <v/>
      </c>
      <c r="O10" s="60" t="str">
        <f>IF($B10="","",INDEX(tblStock[UltimoMov],'91_KPIS'!$Q10))</f>
        <v/>
      </c>
    </row>
    <row r="11" spans="2:15" x14ac:dyDescent="0.25">
      <c r="B11" s="62" t="str">
        <f>IF('91_KPIS'!$Q11="","",'91_KPIS'!$O11)</f>
        <v/>
      </c>
      <c r="C11" s="58" t="str">
        <f>IF($B11="","",INDEX(tblStock[Estado],'91_KPIS'!$Q11))</f>
        <v/>
      </c>
      <c r="D11" s="53" t="str">
        <f>IF($B11="","",INDEX(tblStock[SKU],'91_KPIS'!$Q11))</f>
        <v/>
      </c>
      <c r="E11" s="54" t="str">
        <f>IF($B11="","",INDEX(tblStock[Producto],'91_KPIS'!$Q11))</f>
        <v/>
      </c>
      <c r="F11" s="54" t="str">
        <f>IF($B11="","",INDEX(tblStock[Categoría],'91_KPIS'!$Q11))</f>
        <v/>
      </c>
      <c r="G11" s="54" t="str">
        <f>IF($B11="","",INDEX(tblStock[Proveedor],'91_KPIS'!$Q11)&amp;"")</f>
        <v/>
      </c>
      <c r="H11" s="56" t="str">
        <f>IF($B11="","",INDEX(tblStock[StockActual],'91_KPIS'!$Q11))</f>
        <v/>
      </c>
      <c r="I11" s="55" t="str">
        <f>IF($B11="","",INDEX(tblStock[StockMin],'91_KPIS'!$Q11))</f>
        <v/>
      </c>
      <c r="J11" s="55" t="str">
        <f>IF($B11="","",INDEX(tblStock[StockMax],'91_KPIS'!$Q11))</f>
        <v/>
      </c>
      <c r="K11" s="53" t="str">
        <f>IF($B11="","",INDEX(tblStock[Unidad],'91_KPIS'!$Q11))</f>
        <v/>
      </c>
      <c r="L11" s="55" t="str">
        <f t="shared" si="0"/>
        <v/>
      </c>
      <c r="M11" s="55" t="str">
        <f t="shared" si="1"/>
        <v/>
      </c>
      <c r="N11" s="54" t="str">
        <f>IF($B11="","",IFERROR(INDEX(tblEstados[Acción],MATCH($C11,tblEstados[Estado],0)),""))</f>
        <v/>
      </c>
      <c r="O11" s="60" t="str">
        <f>IF($B11="","",INDEX(tblStock[UltimoMov],'91_KPIS'!$Q11))</f>
        <v/>
      </c>
    </row>
    <row r="12" spans="2:15" x14ac:dyDescent="0.25">
      <c r="B12" s="62" t="str">
        <f>IF('91_KPIS'!$Q12="","",'91_KPIS'!$O12)</f>
        <v/>
      </c>
      <c r="C12" s="58" t="str">
        <f>IF($B12="","",INDEX(tblStock[Estado],'91_KPIS'!$Q12))</f>
        <v/>
      </c>
      <c r="D12" s="53" t="str">
        <f>IF($B12="","",INDEX(tblStock[SKU],'91_KPIS'!$Q12))</f>
        <v/>
      </c>
      <c r="E12" s="54" t="str">
        <f>IF($B12="","",INDEX(tblStock[Producto],'91_KPIS'!$Q12))</f>
        <v/>
      </c>
      <c r="F12" s="54" t="str">
        <f>IF($B12="","",INDEX(tblStock[Categoría],'91_KPIS'!$Q12))</f>
        <v/>
      </c>
      <c r="G12" s="54" t="str">
        <f>IF($B12="","",INDEX(tblStock[Proveedor],'91_KPIS'!$Q12)&amp;"")</f>
        <v/>
      </c>
      <c r="H12" s="56" t="str">
        <f>IF($B12="","",INDEX(tblStock[StockActual],'91_KPIS'!$Q12))</f>
        <v/>
      </c>
      <c r="I12" s="55" t="str">
        <f>IF($B12="","",INDEX(tblStock[StockMin],'91_KPIS'!$Q12))</f>
        <v/>
      </c>
      <c r="J12" s="55" t="str">
        <f>IF($B12="","",INDEX(tblStock[StockMax],'91_KPIS'!$Q12))</f>
        <v/>
      </c>
      <c r="K12" s="53" t="str">
        <f>IF($B12="","",INDEX(tblStock[Unidad],'91_KPIS'!$Q12))</f>
        <v/>
      </c>
      <c r="L12" s="55" t="str">
        <f t="shared" si="0"/>
        <v/>
      </c>
      <c r="M12" s="55" t="str">
        <f t="shared" si="1"/>
        <v/>
      </c>
      <c r="N12" s="54" t="str">
        <f>IF($B12="","",IFERROR(INDEX(tblEstados[Acción],MATCH($C12,tblEstados[Estado],0)),""))</f>
        <v/>
      </c>
      <c r="O12" s="60" t="str">
        <f>IF($B12="","",INDEX(tblStock[UltimoMov],'91_KPIS'!$Q12))</f>
        <v/>
      </c>
    </row>
    <row r="13" spans="2:15" x14ac:dyDescent="0.25">
      <c r="B13" s="62" t="str">
        <f>IF('91_KPIS'!$Q13="","",'91_KPIS'!$O13)</f>
        <v/>
      </c>
      <c r="C13" s="58" t="str">
        <f>IF($B13="","",INDEX(tblStock[Estado],'91_KPIS'!$Q13))</f>
        <v/>
      </c>
      <c r="D13" s="53" t="str">
        <f>IF($B13="","",INDEX(tblStock[SKU],'91_KPIS'!$Q13))</f>
        <v/>
      </c>
      <c r="E13" s="54" t="str">
        <f>IF($B13="","",INDEX(tblStock[Producto],'91_KPIS'!$Q13))</f>
        <v/>
      </c>
      <c r="F13" s="54" t="str">
        <f>IF($B13="","",INDEX(tblStock[Categoría],'91_KPIS'!$Q13))</f>
        <v/>
      </c>
      <c r="G13" s="54" t="str">
        <f>IF($B13="","",INDEX(tblStock[Proveedor],'91_KPIS'!$Q13)&amp;"")</f>
        <v/>
      </c>
      <c r="H13" s="56" t="str">
        <f>IF($B13="","",INDEX(tblStock[StockActual],'91_KPIS'!$Q13))</f>
        <v/>
      </c>
      <c r="I13" s="55" t="str">
        <f>IF($B13="","",INDEX(tblStock[StockMin],'91_KPIS'!$Q13))</f>
        <v/>
      </c>
      <c r="J13" s="55" t="str">
        <f>IF($B13="","",INDEX(tblStock[StockMax],'91_KPIS'!$Q13))</f>
        <v/>
      </c>
      <c r="K13" s="53" t="str">
        <f>IF($B13="","",INDEX(tblStock[Unidad],'91_KPIS'!$Q13))</f>
        <v/>
      </c>
      <c r="L13" s="55" t="str">
        <f t="shared" si="0"/>
        <v/>
      </c>
      <c r="M13" s="55" t="str">
        <f t="shared" si="1"/>
        <v/>
      </c>
      <c r="N13" s="54" t="str">
        <f>IF($B13="","",IFERROR(INDEX(tblEstados[Acción],MATCH($C13,tblEstados[Estado],0)),""))</f>
        <v/>
      </c>
      <c r="O13" s="60" t="str">
        <f>IF($B13="","",INDEX(tblStock[UltimoMov],'91_KPIS'!$Q13))</f>
        <v/>
      </c>
    </row>
    <row r="14" spans="2:15" x14ac:dyDescent="0.25">
      <c r="B14" s="62" t="str">
        <f>IF('91_KPIS'!$Q14="","",'91_KPIS'!$O14)</f>
        <v/>
      </c>
      <c r="C14" s="58" t="str">
        <f>IF($B14="","",INDEX(tblStock[Estado],'91_KPIS'!$Q14))</f>
        <v/>
      </c>
      <c r="D14" s="53" t="str">
        <f>IF($B14="","",INDEX(tblStock[SKU],'91_KPIS'!$Q14))</f>
        <v/>
      </c>
      <c r="E14" s="54" t="str">
        <f>IF($B14="","",INDEX(tblStock[Producto],'91_KPIS'!$Q14))</f>
        <v/>
      </c>
      <c r="F14" s="54" t="str">
        <f>IF($B14="","",INDEX(tblStock[Categoría],'91_KPIS'!$Q14))</f>
        <v/>
      </c>
      <c r="G14" s="54" t="str">
        <f>IF($B14="","",INDEX(tblStock[Proveedor],'91_KPIS'!$Q14)&amp;"")</f>
        <v/>
      </c>
      <c r="H14" s="56" t="str">
        <f>IF($B14="","",INDEX(tblStock[StockActual],'91_KPIS'!$Q14))</f>
        <v/>
      </c>
      <c r="I14" s="55" t="str">
        <f>IF($B14="","",INDEX(tblStock[StockMin],'91_KPIS'!$Q14))</f>
        <v/>
      </c>
      <c r="J14" s="55" t="str">
        <f>IF($B14="","",INDEX(tblStock[StockMax],'91_KPIS'!$Q14))</f>
        <v/>
      </c>
      <c r="K14" s="53" t="str">
        <f>IF($B14="","",INDEX(tblStock[Unidad],'91_KPIS'!$Q14))</f>
        <v/>
      </c>
      <c r="L14" s="55" t="str">
        <f t="shared" si="0"/>
        <v/>
      </c>
      <c r="M14" s="55" t="str">
        <f t="shared" si="1"/>
        <v/>
      </c>
      <c r="N14" s="54" t="str">
        <f>IF($B14="","",IFERROR(INDEX(tblEstados[Acción],MATCH($C14,tblEstados[Estado],0)),""))</f>
        <v/>
      </c>
      <c r="O14" s="60" t="str">
        <f>IF($B14="","",INDEX(tblStock[UltimoMov],'91_KPIS'!$Q14))</f>
        <v/>
      </c>
    </row>
    <row r="15" spans="2:15" x14ac:dyDescent="0.25">
      <c r="B15" s="62" t="str">
        <f>IF('91_KPIS'!$Q15="","",'91_KPIS'!$O15)</f>
        <v/>
      </c>
      <c r="C15" s="58" t="str">
        <f>IF($B15="","",INDEX(tblStock[Estado],'91_KPIS'!$Q15))</f>
        <v/>
      </c>
      <c r="D15" s="53" t="str">
        <f>IF($B15="","",INDEX(tblStock[SKU],'91_KPIS'!$Q15))</f>
        <v/>
      </c>
      <c r="E15" s="54" t="str">
        <f>IF($B15="","",INDEX(tblStock[Producto],'91_KPIS'!$Q15))</f>
        <v/>
      </c>
      <c r="F15" s="54" t="str">
        <f>IF($B15="","",INDEX(tblStock[Categoría],'91_KPIS'!$Q15))</f>
        <v/>
      </c>
      <c r="G15" s="54" t="str">
        <f>IF($B15="","",INDEX(tblStock[Proveedor],'91_KPIS'!$Q15)&amp;"")</f>
        <v/>
      </c>
      <c r="H15" s="56" t="str">
        <f>IF($B15="","",INDEX(tblStock[StockActual],'91_KPIS'!$Q15))</f>
        <v/>
      </c>
      <c r="I15" s="55" t="str">
        <f>IF($B15="","",INDEX(tblStock[StockMin],'91_KPIS'!$Q15))</f>
        <v/>
      </c>
      <c r="J15" s="55" t="str">
        <f>IF($B15="","",INDEX(tblStock[StockMax],'91_KPIS'!$Q15))</f>
        <v/>
      </c>
      <c r="K15" s="53" t="str">
        <f>IF($B15="","",INDEX(tblStock[Unidad],'91_KPIS'!$Q15))</f>
        <v/>
      </c>
      <c r="L15" s="55" t="str">
        <f t="shared" si="0"/>
        <v/>
      </c>
      <c r="M15" s="55" t="str">
        <f t="shared" si="1"/>
        <v/>
      </c>
      <c r="N15" s="54" t="str">
        <f>IF($B15="","",IFERROR(INDEX(tblEstados[Acción],MATCH($C15,tblEstados[Estado],0)),""))</f>
        <v/>
      </c>
      <c r="O15" s="60" t="str">
        <f>IF($B15="","",INDEX(tblStock[UltimoMov],'91_KPIS'!$Q15))</f>
        <v/>
      </c>
    </row>
    <row r="16" spans="2:15" x14ac:dyDescent="0.25">
      <c r="B16" s="62" t="str">
        <f>IF('91_KPIS'!$Q16="","",'91_KPIS'!$O16)</f>
        <v/>
      </c>
      <c r="C16" s="58" t="str">
        <f>IF($B16="","",INDEX(tblStock[Estado],'91_KPIS'!$Q16))</f>
        <v/>
      </c>
      <c r="D16" s="53" t="str">
        <f>IF($B16="","",INDEX(tblStock[SKU],'91_KPIS'!$Q16))</f>
        <v/>
      </c>
      <c r="E16" s="54" t="str">
        <f>IF($B16="","",INDEX(tblStock[Producto],'91_KPIS'!$Q16))</f>
        <v/>
      </c>
      <c r="F16" s="54" t="str">
        <f>IF($B16="","",INDEX(tblStock[Categoría],'91_KPIS'!$Q16))</f>
        <v/>
      </c>
      <c r="G16" s="54" t="str">
        <f>IF($B16="","",INDEX(tblStock[Proveedor],'91_KPIS'!$Q16)&amp;"")</f>
        <v/>
      </c>
      <c r="H16" s="56" t="str">
        <f>IF($B16="","",INDEX(tblStock[StockActual],'91_KPIS'!$Q16))</f>
        <v/>
      </c>
      <c r="I16" s="55" t="str">
        <f>IF($B16="","",INDEX(tblStock[StockMin],'91_KPIS'!$Q16))</f>
        <v/>
      </c>
      <c r="J16" s="55" t="str">
        <f>IF($B16="","",INDEX(tblStock[StockMax],'91_KPIS'!$Q16))</f>
        <v/>
      </c>
      <c r="K16" s="53" t="str">
        <f>IF($B16="","",INDEX(tblStock[Unidad],'91_KPIS'!$Q16))</f>
        <v/>
      </c>
      <c r="L16" s="55" t="str">
        <f t="shared" si="0"/>
        <v/>
      </c>
      <c r="M16" s="55" t="str">
        <f t="shared" si="1"/>
        <v/>
      </c>
      <c r="N16" s="54" t="str">
        <f>IF($B16="","",IFERROR(INDEX(tblEstados[Acción],MATCH($C16,tblEstados[Estado],0)),""))</f>
        <v/>
      </c>
      <c r="O16" s="60" t="str">
        <f>IF($B16="","",INDEX(tblStock[UltimoMov],'91_KPIS'!$Q16))</f>
        <v/>
      </c>
    </row>
    <row r="17" spans="2:15" x14ac:dyDescent="0.25">
      <c r="B17" s="62" t="str">
        <f>IF('91_KPIS'!$Q17="","",'91_KPIS'!$O17)</f>
        <v/>
      </c>
      <c r="C17" s="58" t="str">
        <f>IF($B17="","",INDEX(tblStock[Estado],'91_KPIS'!$Q17))</f>
        <v/>
      </c>
      <c r="D17" s="53" t="str">
        <f>IF($B17="","",INDEX(tblStock[SKU],'91_KPIS'!$Q17))</f>
        <v/>
      </c>
      <c r="E17" s="54" t="str">
        <f>IF($B17="","",INDEX(tblStock[Producto],'91_KPIS'!$Q17))</f>
        <v/>
      </c>
      <c r="F17" s="54" t="str">
        <f>IF($B17="","",INDEX(tblStock[Categoría],'91_KPIS'!$Q17))</f>
        <v/>
      </c>
      <c r="G17" s="54" t="str">
        <f>IF($B17="","",INDEX(tblStock[Proveedor],'91_KPIS'!$Q17)&amp;"")</f>
        <v/>
      </c>
      <c r="H17" s="56" t="str">
        <f>IF($B17="","",INDEX(tblStock[StockActual],'91_KPIS'!$Q17))</f>
        <v/>
      </c>
      <c r="I17" s="55" t="str">
        <f>IF($B17="","",INDEX(tblStock[StockMin],'91_KPIS'!$Q17))</f>
        <v/>
      </c>
      <c r="J17" s="55" t="str">
        <f>IF($B17="","",INDEX(tblStock[StockMax],'91_KPIS'!$Q17))</f>
        <v/>
      </c>
      <c r="K17" s="53" t="str">
        <f>IF($B17="","",INDEX(tblStock[Unidad],'91_KPIS'!$Q17))</f>
        <v/>
      </c>
      <c r="L17" s="55" t="str">
        <f t="shared" si="0"/>
        <v/>
      </c>
      <c r="M17" s="55" t="str">
        <f t="shared" si="1"/>
        <v/>
      </c>
      <c r="N17" s="54" t="str">
        <f>IF($B17="","",IFERROR(INDEX(tblEstados[Acción],MATCH($C17,tblEstados[Estado],0)),""))</f>
        <v/>
      </c>
      <c r="O17" s="60" t="str">
        <f>IF($B17="","",INDEX(tblStock[UltimoMov],'91_KPIS'!$Q17))</f>
        <v/>
      </c>
    </row>
    <row r="18" spans="2:15" x14ac:dyDescent="0.25">
      <c r="B18" s="62" t="str">
        <f>IF('91_KPIS'!$Q18="","",'91_KPIS'!$O18)</f>
        <v/>
      </c>
      <c r="C18" s="58" t="str">
        <f>IF($B18="","",INDEX(tblStock[Estado],'91_KPIS'!$Q18))</f>
        <v/>
      </c>
      <c r="D18" s="53" t="str">
        <f>IF($B18="","",INDEX(tblStock[SKU],'91_KPIS'!$Q18))</f>
        <v/>
      </c>
      <c r="E18" s="54" t="str">
        <f>IF($B18="","",INDEX(tblStock[Producto],'91_KPIS'!$Q18))</f>
        <v/>
      </c>
      <c r="F18" s="54" t="str">
        <f>IF($B18="","",INDEX(tblStock[Categoría],'91_KPIS'!$Q18))</f>
        <v/>
      </c>
      <c r="G18" s="54" t="str">
        <f>IF($B18="","",INDEX(tblStock[Proveedor],'91_KPIS'!$Q18)&amp;"")</f>
        <v/>
      </c>
      <c r="H18" s="56" t="str">
        <f>IF($B18="","",INDEX(tblStock[StockActual],'91_KPIS'!$Q18))</f>
        <v/>
      </c>
      <c r="I18" s="55" t="str">
        <f>IF($B18="","",INDEX(tblStock[StockMin],'91_KPIS'!$Q18))</f>
        <v/>
      </c>
      <c r="J18" s="55" t="str">
        <f>IF($B18="","",INDEX(tblStock[StockMax],'91_KPIS'!$Q18))</f>
        <v/>
      </c>
      <c r="K18" s="53" t="str">
        <f>IF($B18="","",INDEX(tblStock[Unidad],'91_KPIS'!$Q18))</f>
        <v/>
      </c>
      <c r="L18" s="55" t="str">
        <f t="shared" si="0"/>
        <v/>
      </c>
      <c r="M18" s="55" t="str">
        <f t="shared" si="1"/>
        <v/>
      </c>
      <c r="N18" s="54" t="str">
        <f>IF($B18="","",IFERROR(INDEX(tblEstados[Acción],MATCH($C18,tblEstados[Estado],0)),""))</f>
        <v/>
      </c>
      <c r="O18" s="60" t="str">
        <f>IF($B18="","",INDEX(tblStock[UltimoMov],'91_KPIS'!$Q18))</f>
        <v/>
      </c>
    </row>
    <row r="19" spans="2:15" x14ac:dyDescent="0.25">
      <c r="B19" s="62" t="str">
        <f>IF('91_KPIS'!$Q19="","",'91_KPIS'!$O19)</f>
        <v/>
      </c>
      <c r="C19" s="58" t="str">
        <f>IF($B19="","",INDEX(tblStock[Estado],'91_KPIS'!$Q19))</f>
        <v/>
      </c>
      <c r="D19" s="53" t="str">
        <f>IF($B19="","",INDEX(tblStock[SKU],'91_KPIS'!$Q19))</f>
        <v/>
      </c>
      <c r="E19" s="54" t="str">
        <f>IF($B19="","",INDEX(tblStock[Producto],'91_KPIS'!$Q19))</f>
        <v/>
      </c>
      <c r="F19" s="54" t="str">
        <f>IF($B19="","",INDEX(tblStock[Categoría],'91_KPIS'!$Q19))</f>
        <v/>
      </c>
      <c r="G19" s="54" t="str">
        <f>IF($B19="","",INDEX(tblStock[Proveedor],'91_KPIS'!$Q19)&amp;"")</f>
        <v/>
      </c>
      <c r="H19" s="56" t="str">
        <f>IF($B19="","",INDEX(tblStock[StockActual],'91_KPIS'!$Q19))</f>
        <v/>
      </c>
      <c r="I19" s="55" t="str">
        <f>IF($B19="","",INDEX(tblStock[StockMin],'91_KPIS'!$Q19))</f>
        <v/>
      </c>
      <c r="J19" s="55" t="str">
        <f>IF($B19="","",INDEX(tblStock[StockMax],'91_KPIS'!$Q19))</f>
        <v/>
      </c>
      <c r="K19" s="53" t="str">
        <f>IF($B19="","",INDEX(tblStock[Unidad],'91_KPIS'!$Q19))</f>
        <v/>
      </c>
      <c r="L19" s="55" t="str">
        <f t="shared" si="0"/>
        <v/>
      </c>
      <c r="M19" s="55" t="str">
        <f t="shared" si="1"/>
        <v/>
      </c>
      <c r="N19" s="54" t="str">
        <f>IF($B19="","",IFERROR(INDEX(tblEstados[Acción],MATCH($C19,tblEstados[Estado],0)),""))</f>
        <v/>
      </c>
      <c r="O19" s="60" t="str">
        <f>IF($B19="","",INDEX(tblStock[UltimoMov],'91_KPIS'!$Q19))</f>
        <v/>
      </c>
    </row>
    <row r="20" spans="2:15" x14ac:dyDescent="0.25">
      <c r="B20" s="62" t="str">
        <f>IF('91_KPIS'!$Q20="","",'91_KPIS'!$O20)</f>
        <v/>
      </c>
      <c r="C20" s="58" t="str">
        <f>IF($B20="","",INDEX(tblStock[Estado],'91_KPIS'!$Q20))</f>
        <v/>
      </c>
      <c r="D20" s="53" t="str">
        <f>IF($B20="","",INDEX(tblStock[SKU],'91_KPIS'!$Q20))</f>
        <v/>
      </c>
      <c r="E20" s="54" t="str">
        <f>IF($B20="","",INDEX(tblStock[Producto],'91_KPIS'!$Q20))</f>
        <v/>
      </c>
      <c r="F20" s="54" t="str">
        <f>IF($B20="","",INDEX(tblStock[Categoría],'91_KPIS'!$Q20))</f>
        <v/>
      </c>
      <c r="G20" s="54" t="str">
        <f>IF($B20="","",INDEX(tblStock[Proveedor],'91_KPIS'!$Q20)&amp;"")</f>
        <v/>
      </c>
      <c r="H20" s="56" t="str">
        <f>IF($B20="","",INDEX(tblStock[StockActual],'91_KPIS'!$Q20))</f>
        <v/>
      </c>
      <c r="I20" s="55" t="str">
        <f>IF($B20="","",INDEX(tblStock[StockMin],'91_KPIS'!$Q20))</f>
        <v/>
      </c>
      <c r="J20" s="55" t="str">
        <f>IF($B20="","",INDEX(tblStock[StockMax],'91_KPIS'!$Q20))</f>
        <v/>
      </c>
      <c r="K20" s="53" t="str">
        <f>IF($B20="","",INDEX(tblStock[Unidad],'91_KPIS'!$Q20))</f>
        <v/>
      </c>
      <c r="L20" s="55" t="str">
        <f t="shared" si="0"/>
        <v/>
      </c>
      <c r="M20" s="55" t="str">
        <f t="shared" si="1"/>
        <v/>
      </c>
      <c r="N20" s="54" t="str">
        <f>IF($B20="","",IFERROR(INDEX(tblEstados[Acción],MATCH($C20,tblEstados[Estado],0)),""))</f>
        <v/>
      </c>
      <c r="O20" s="60" t="str">
        <f>IF($B20="","",INDEX(tblStock[UltimoMov],'91_KPIS'!$Q20))</f>
        <v/>
      </c>
    </row>
    <row r="21" spans="2:15" x14ac:dyDescent="0.25">
      <c r="B21" s="62" t="str">
        <f>IF('91_KPIS'!$Q21="","",'91_KPIS'!$O21)</f>
        <v/>
      </c>
      <c r="C21" s="58" t="str">
        <f>IF($B21="","",INDEX(tblStock[Estado],'91_KPIS'!$Q21))</f>
        <v/>
      </c>
      <c r="D21" s="53" t="str">
        <f>IF($B21="","",INDEX(tblStock[SKU],'91_KPIS'!$Q21))</f>
        <v/>
      </c>
      <c r="E21" s="54" t="str">
        <f>IF($B21="","",INDEX(tblStock[Producto],'91_KPIS'!$Q21))</f>
        <v/>
      </c>
      <c r="F21" s="54" t="str">
        <f>IF($B21="","",INDEX(tblStock[Categoría],'91_KPIS'!$Q21))</f>
        <v/>
      </c>
      <c r="G21" s="54" t="str">
        <f>IF($B21="","",INDEX(tblStock[Proveedor],'91_KPIS'!$Q21)&amp;"")</f>
        <v/>
      </c>
      <c r="H21" s="56" t="str">
        <f>IF($B21="","",INDEX(tblStock[StockActual],'91_KPIS'!$Q21))</f>
        <v/>
      </c>
      <c r="I21" s="55" t="str">
        <f>IF($B21="","",INDEX(tblStock[StockMin],'91_KPIS'!$Q21))</f>
        <v/>
      </c>
      <c r="J21" s="55" t="str">
        <f>IF($B21="","",INDEX(tblStock[StockMax],'91_KPIS'!$Q21))</f>
        <v/>
      </c>
      <c r="K21" s="53" t="str">
        <f>IF($B21="","",INDEX(tblStock[Unidad],'91_KPIS'!$Q21))</f>
        <v/>
      </c>
      <c r="L21" s="55" t="str">
        <f t="shared" si="0"/>
        <v/>
      </c>
      <c r="M21" s="55" t="str">
        <f t="shared" si="1"/>
        <v/>
      </c>
      <c r="N21" s="54" t="str">
        <f>IF($B21="","",IFERROR(INDEX(tblEstados[Acción],MATCH($C21,tblEstados[Estado],0)),""))</f>
        <v/>
      </c>
      <c r="O21" s="60" t="str">
        <f>IF($B21="","",INDEX(tblStock[UltimoMov],'91_KPIS'!$Q21))</f>
        <v/>
      </c>
    </row>
    <row r="22" spans="2:15" x14ac:dyDescent="0.25">
      <c r="B22" s="62" t="str">
        <f>IF('91_KPIS'!$Q22="","",'91_KPIS'!$O22)</f>
        <v/>
      </c>
      <c r="C22" s="58" t="str">
        <f>IF($B22="","",INDEX(tblStock[Estado],'91_KPIS'!$Q22))</f>
        <v/>
      </c>
      <c r="D22" s="53" t="str">
        <f>IF($B22="","",INDEX(tblStock[SKU],'91_KPIS'!$Q22))</f>
        <v/>
      </c>
      <c r="E22" s="54" t="str">
        <f>IF($B22="","",INDEX(tblStock[Producto],'91_KPIS'!$Q22))</f>
        <v/>
      </c>
      <c r="F22" s="54" t="str">
        <f>IF($B22="","",INDEX(tblStock[Categoría],'91_KPIS'!$Q22))</f>
        <v/>
      </c>
      <c r="G22" s="54" t="str">
        <f>IF($B22="","",INDEX(tblStock[Proveedor],'91_KPIS'!$Q22)&amp;"")</f>
        <v/>
      </c>
      <c r="H22" s="56" t="str">
        <f>IF($B22="","",INDEX(tblStock[StockActual],'91_KPIS'!$Q22))</f>
        <v/>
      </c>
      <c r="I22" s="55" t="str">
        <f>IF($B22="","",INDEX(tblStock[StockMin],'91_KPIS'!$Q22))</f>
        <v/>
      </c>
      <c r="J22" s="55" t="str">
        <f>IF($B22="","",INDEX(tblStock[StockMax],'91_KPIS'!$Q22))</f>
        <v/>
      </c>
      <c r="K22" s="53" t="str">
        <f>IF($B22="","",INDEX(tblStock[Unidad],'91_KPIS'!$Q22))</f>
        <v/>
      </c>
      <c r="L22" s="55" t="str">
        <f t="shared" si="0"/>
        <v/>
      </c>
      <c r="M22" s="55" t="str">
        <f t="shared" si="1"/>
        <v/>
      </c>
      <c r="N22" s="54" t="str">
        <f>IF($B22="","",IFERROR(INDEX(tblEstados[Acción],MATCH($C22,tblEstados[Estado],0)),""))</f>
        <v/>
      </c>
      <c r="O22" s="60" t="str">
        <f>IF($B22="","",INDEX(tblStock[UltimoMov],'91_KPIS'!$Q22))</f>
        <v/>
      </c>
    </row>
    <row r="23" spans="2:15" x14ac:dyDescent="0.25">
      <c r="B23" s="62" t="str">
        <f>IF('91_KPIS'!$Q23="","",'91_KPIS'!$O23)</f>
        <v/>
      </c>
      <c r="C23" s="58" t="str">
        <f>IF($B23="","",INDEX(tblStock[Estado],'91_KPIS'!$Q23))</f>
        <v/>
      </c>
      <c r="D23" s="53" t="str">
        <f>IF($B23="","",INDEX(tblStock[SKU],'91_KPIS'!$Q23))</f>
        <v/>
      </c>
      <c r="E23" s="54" t="str">
        <f>IF($B23="","",INDEX(tblStock[Producto],'91_KPIS'!$Q23))</f>
        <v/>
      </c>
      <c r="F23" s="54" t="str">
        <f>IF($B23="","",INDEX(tblStock[Categoría],'91_KPIS'!$Q23))</f>
        <v/>
      </c>
      <c r="G23" s="54" t="str">
        <f>IF($B23="","",INDEX(tblStock[Proveedor],'91_KPIS'!$Q23)&amp;"")</f>
        <v/>
      </c>
      <c r="H23" s="56" t="str">
        <f>IF($B23="","",INDEX(tblStock[StockActual],'91_KPIS'!$Q23))</f>
        <v/>
      </c>
      <c r="I23" s="55" t="str">
        <f>IF($B23="","",INDEX(tblStock[StockMin],'91_KPIS'!$Q23))</f>
        <v/>
      </c>
      <c r="J23" s="55" t="str">
        <f>IF($B23="","",INDEX(tblStock[StockMax],'91_KPIS'!$Q23))</f>
        <v/>
      </c>
      <c r="K23" s="53" t="str">
        <f>IF($B23="","",INDEX(tblStock[Unidad],'91_KPIS'!$Q23))</f>
        <v/>
      </c>
      <c r="L23" s="55" t="str">
        <f t="shared" si="0"/>
        <v/>
      </c>
      <c r="M23" s="55" t="str">
        <f t="shared" si="1"/>
        <v/>
      </c>
      <c r="N23" s="54" t="str">
        <f>IF($B23="","",IFERROR(INDEX(tblEstados[Acción],MATCH($C23,tblEstados[Estado],0)),""))</f>
        <v/>
      </c>
      <c r="O23" s="60" t="str">
        <f>IF($B23="","",INDEX(tblStock[UltimoMov],'91_KPIS'!$Q23))</f>
        <v/>
      </c>
    </row>
    <row r="24" spans="2:15" x14ac:dyDescent="0.25">
      <c r="B24" s="62" t="str">
        <f>IF('91_KPIS'!$Q24="","",'91_KPIS'!$O24)</f>
        <v/>
      </c>
      <c r="C24" s="58" t="str">
        <f>IF($B24="","",INDEX(tblStock[Estado],'91_KPIS'!$Q24))</f>
        <v/>
      </c>
      <c r="D24" s="53" t="str">
        <f>IF($B24="","",INDEX(tblStock[SKU],'91_KPIS'!$Q24))</f>
        <v/>
      </c>
      <c r="E24" s="54" t="str">
        <f>IF($B24="","",INDEX(tblStock[Producto],'91_KPIS'!$Q24))</f>
        <v/>
      </c>
      <c r="F24" s="54" t="str">
        <f>IF($B24="","",INDEX(tblStock[Categoría],'91_KPIS'!$Q24))</f>
        <v/>
      </c>
      <c r="G24" s="54" t="str">
        <f>IF($B24="","",INDEX(tblStock[Proveedor],'91_KPIS'!$Q24)&amp;"")</f>
        <v/>
      </c>
      <c r="H24" s="56" t="str">
        <f>IF($B24="","",INDEX(tblStock[StockActual],'91_KPIS'!$Q24))</f>
        <v/>
      </c>
      <c r="I24" s="55" t="str">
        <f>IF($B24="","",INDEX(tblStock[StockMin],'91_KPIS'!$Q24))</f>
        <v/>
      </c>
      <c r="J24" s="55" t="str">
        <f>IF($B24="","",INDEX(tblStock[StockMax],'91_KPIS'!$Q24))</f>
        <v/>
      </c>
      <c r="K24" s="53" t="str">
        <f>IF($B24="","",INDEX(tblStock[Unidad],'91_KPIS'!$Q24))</f>
        <v/>
      </c>
      <c r="L24" s="55" t="str">
        <f t="shared" si="0"/>
        <v/>
      </c>
      <c r="M24" s="55" t="str">
        <f t="shared" si="1"/>
        <v/>
      </c>
      <c r="N24" s="54" t="str">
        <f>IF($B24="","",IFERROR(INDEX(tblEstados[Acción],MATCH($C24,tblEstados[Estado],0)),""))</f>
        <v/>
      </c>
      <c r="O24" s="60" t="str">
        <f>IF($B24="","",INDEX(tblStock[UltimoMov],'91_KPIS'!$Q24))</f>
        <v/>
      </c>
    </row>
    <row r="25" spans="2:15" x14ac:dyDescent="0.25">
      <c r="B25" s="62" t="str">
        <f>IF('91_KPIS'!$Q25="","",'91_KPIS'!$O25)</f>
        <v/>
      </c>
      <c r="C25" s="58" t="str">
        <f>IF($B25="","",INDEX(tblStock[Estado],'91_KPIS'!$Q25))</f>
        <v/>
      </c>
      <c r="D25" s="53" t="str">
        <f>IF($B25="","",INDEX(tblStock[SKU],'91_KPIS'!$Q25))</f>
        <v/>
      </c>
      <c r="E25" s="54" t="str">
        <f>IF($B25="","",INDEX(tblStock[Producto],'91_KPIS'!$Q25))</f>
        <v/>
      </c>
      <c r="F25" s="54" t="str">
        <f>IF($B25="","",INDEX(tblStock[Categoría],'91_KPIS'!$Q25))</f>
        <v/>
      </c>
      <c r="G25" s="54" t="str">
        <f>IF($B25="","",INDEX(tblStock[Proveedor],'91_KPIS'!$Q25)&amp;"")</f>
        <v/>
      </c>
      <c r="H25" s="56" t="str">
        <f>IF($B25="","",INDEX(tblStock[StockActual],'91_KPIS'!$Q25))</f>
        <v/>
      </c>
      <c r="I25" s="55" t="str">
        <f>IF($B25="","",INDEX(tblStock[StockMin],'91_KPIS'!$Q25))</f>
        <v/>
      </c>
      <c r="J25" s="55" t="str">
        <f>IF($B25="","",INDEX(tblStock[StockMax],'91_KPIS'!$Q25))</f>
        <v/>
      </c>
      <c r="K25" s="53" t="str">
        <f>IF($B25="","",INDEX(tblStock[Unidad],'91_KPIS'!$Q25))</f>
        <v/>
      </c>
      <c r="L25" s="55" t="str">
        <f t="shared" si="0"/>
        <v/>
      </c>
      <c r="M25" s="55" t="str">
        <f t="shared" si="1"/>
        <v/>
      </c>
      <c r="N25" s="54" t="str">
        <f>IF($B25="","",IFERROR(INDEX(tblEstados[Acción],MATCH($C25,tblEstados[Estado],0)),""))</f>
        <v/>
      </c>
      <c r="O25" s="60" t="str">
        <f>IF($B25="","",INDEX(tblStock[UltimoMov],'91_KPIS'!$Q25))</f>
        <v/>
      </c>
    </row>
    <row r="26" spans="2:15" x14ac:dyDescent="0.25">
      <c r="B26" s="62" t="str">
        <f>IF('91_KPIS'!$Q26="","",'91_KPIS'!$O26)</f>
        <v/>
      </c>
      <c r="C26" s="58" t="str">
        <f>IF($B26="","",INDEX(tblStock[Estado],'91_KPIS'!$Q26))</f>
        <v/>
      </c>
      <c r="D26" s="53" t="str">
        <f>IF($B26="","",INDEX(tblStock[SKU],'91_KPIS'!$Q26))</f>
        <v/>
      </c>
      <c r="E26" s="54" t="str">
        <f>IF($B26="","",INDEX(tblStock[Producto],'91_KPIS'!$Q26))</f>
        <v/>
      </c>
      <c r="F26" s="54" t="str">
        <f>IF($B26="","",INDEX(tblStock[Categoría],'91_KPIS'!$Q26))</f>
        <v/>
      </c>
      <c r="G26" s="54" t="str">
        <f>IF($B26="","",INDEX(tblStock[Proveedor],'91_KPIS'!$Q26)&amp;"")</f>
        <v/>
      </c>
      <c r="H26" s="56" t="str">
        <f>IF($B26="","",INDEX(tblStock[StockActual],'91_KPIS'!$Q26))</f>
        <v/>
      </c>
      <c r="I26" s="55" t="str">
        <f>IF($B26="","",INDEX(tblStock[StockMin],'91_KPIS'!$Q26))</f>
        <v/>
      </c>
      <c r="J26" s="55" t="str">
        <f>IF($B26="","",INDEX(tblStock[StockMax],'91_KPIS'!$Q26))</f>
        <v/>
      </c>
      <c r="K26" s="53" t="str">
        <f>IF($B26="","",INDEX(tblStock[Unidad],'91_KPIS'!$Q26))</f>
        <v/>
      </c>
      <c r="L26" s="55" t="str">
        <f t="shared" si="0"/>
        <v/>
      </c>
      <c r="M26" s="55" t="str">
        <f t="shared" si="1"/>
        <v/>
      </c>
      <c r="N26" s="54" t="str">
        <f>IF($B26="","",IFERROR(INDEX(tblEstados[Acción],MATCH($C26,tblEstados[Estado],0)),""))</f>
        <v/>
      </c>
      <c r="O26" s="60" t="str">
        <f>IF($B26="","",INDEX(tblStock[UltimoMov],'91_KPIS'!$Q26))</f>
        <v/>
      </c>
    </row>
    <row r="27" spans="2:15" x14ac:dyDescent="0.25">
      <c r="B27" s="62" t="str">
        <f>IF('91_KPIS'!$Q27="","",'91_KPIS'!$O27)</f>
        <v/>
      </c>
      <c r="C27" s="58" t="str">
        <f>IF($B27="","",INDEX(tblStock[Estado],'91_KPIS'!$Q27))</f>
        <v/>
      </c>
      <c r="D27" s="53" t="str">
        <f>IF($B27="","",INDEX(tblStock[SKU],'91_KPIS'!$Q27))</f>
        <v/>
      </c>
      <c r="E27" s="54" t="str">
        <f>IF($B27="","",INDEX(tblStock[Producto],'91_KPIS'!$Q27))</f>
        <v/>
      </c>
      <c r="F27" s="54" t="str">
        <f>IF($B27="","",INDEX(tblStock[Categoría],'91_KPIS'!$Q27))</f>
        <v/>
      </c>
      <c r="G27" s="54" t="str">
        <f>IF($B27="","",INDEX(tblStock[Proveedor],'91_KPIS'!$Q27)&amp;"")</f>
        <v/>
      </c>
      <c r="H27" s="56" t="str">
        <f>IF($B27="","",INDEX(tblStock[StockActual],'91_KPIS'!$Q27))</f>
        <v/>
      </c>
      <c r="I27" s="55" t="str">
        <f>IF($B27="","",INDEX(tblStock[StockMin],'91_KPIS'!$Q27))</f>
        <v/>
      </c>
      <c r="J27" s="55" t="str">
        <f>IF($B27="","",INDEX(tblStock[StockMax],'91_KPIS'!$Q27))</f>
        <v/>
      </c>
      <c r="K27" s="53" t="str">
        <f>IF($B27="","",INDEX(tblStock[Unidad],'91_KPIS'!$Q27))</f>
        <v/>
      </c>
      <c r="L27" s="55" t="str">
        <f t="shared" si="0"/>
        <v/>
      </c>
      <c r="M27" s="55" t="str">
        <f t="shared" si="1"/>
        <v/>
      </c>
      <c r="N27" s="54" t="str">
        <f>IF($B27="","",IFERROR(INDEX(tblEstados[Acción],MATCH($C27,tblEstados[Estado],0)),""))</f>
        <v/>
      </c>
      <c r="O27" s="60" t="str">
        <f>IF($B27="","",INDEX(tblStock[UltimoMov],'91_KPIS'!$Q27))</f>
        <v/>
      </c>
    </row>
    <row r="28" spans="2:15" x14ac:dyDescent="0.25">
      <c r="B28" s="62" t="str">
        <f>IF('91_KPIS'!$Q28="","",'91_KPIS'!$O28)</f>
        <v/>
      </c>
      <c r="C28" s="58" t="str">
        <f>IF($B28="","",INDEX(tblStock[Estado],'91_KPIS'!$Q28))</f>
        <v/>
      </c>
      <c r="D28" s="53" t="str">
        <f>IF($B28="","",INDEX(tblStock[SKU],'91_KPIS'!$Q28))</f>
        <v/>
      </c>
      <c r="E28" s="54" t="str">
        <f>IF($B28="","",INDEX(tblStock[Producto],'91_KPIS'!$Q28))</f>
        <v/>
      </c>
      <c r="F28" s="54" t="str">
        <f>IF($B28="","",INDEX(tblStock[Categoría],'91_KPIS'!$Q28))</f>
        <v/>
      </c>
      <c r="G28" s="54" t="str">
        <f>IF($B28="","",INDEX(tblStock[Proveedor],'91_KPIS'!$Q28)&amp;"")</f>
        <v/>
      </c>
      <c r="H28" s="56" t="str">
        <f>IF($B28="","",INDEX(tblStock[StockActual],'91_KPIS'!$Q28))</f>
        <v/>
      </c>
      <c r="I28" s="55" t="str">
        <f>IF($B28="","",INDEX(tblStock[StockMin],'91_KPIS'!$Q28))</f>
        <v/>
      </c>
      <c r="J28" s="55" t="str">
        <f>IF($B28="","",INDEX(tblStock[StockMax],'91_KPIS'!$Q28))</f>
        <v/>
      </c>
      <c r="K28" s="53" t="str">
        <f>IF($B28="","",INDEX(tblStock[Unidad],'91_KPIS'!$Q28))</f>
        <v/>
      </c>
      <c r="L28" s="55" t="str">
        <f t="shared" si="0"/>
        <v/>
      </c>
      <c r="M28" s="55" t="str">
        <f t="shared" si="1"/>
        <v/>
      </c>
      <c r="N28" s="54" t="str">
        <f>IF($B28="","",IFERROR(INDEX(tblEstados[Acción],MATCH($C28,tblEstados[Estado],0)),""))</f>
        <v/>
      </c>
      <c r="O28" s="60" t="str">
        <f>IF($B28="","",INDEX(tblStock[UltimoMov],'91_KPIS'!$Q28))</f>
        <v/>
      </c>
    </row>
    <row r="29" spans="2:15" x14ac:dyDescent="0.25">
      <c r="B29" s="62" t="str">
        <f>IF('91_KPIS'!$Q29="","",'91_KPIS'!$O29)</f>
        <v/>
      </c>
      <c r="C29" s="58" t="str">
        <f>IF($B29="","",INDEX(tblStock[Estado],'91_KPIS'!$Q29))</f>
        <v/>
      </c>
      <c r="D29" s="53" t="str">
        <f>IF($B29="","",INDEX(tblStock[SKU],'91_KPIS'!$Q29))</f>
        <v/>
      </c>
      <c r="E29" s="54" t="str">
        <f>IF($B29="","",INDEX(tblStock[Producto],'91_KPIS'!$Q29))</f>
        <v/>
      </c>
      <c r="F29" s="54" t="str">
        <f>IF($B29="","",INDEX(tblStock[Categoría],'91_KPIS'!$Q29))</f>
        <v/>
      </c>
      <c r="G29" s="54" t="str">
        <f>IF($B29="","",INDEX(tblStock[Proveedor],'91_KPIS'!$Q29)&amp;"")</f>
        <v/>
      </c>
      <c r="H29" s="56" t="str">
        <f>IF($B29="","",INDEX(tblStock[StockActual],'91_KPIS'!$Q29))</f>
        <v/>
      </c>
      <c r="I29" s="55" t="str">
        <f>IF($B29="","",INDEX(tblStock[StockMin],'91_KPIS'!$Q29))</f>
        <v/>
      </c>
      <c r="J29" s="55" t="str">
        <f>IF($B29="","",INDEX(tblStock[StockMax],'91_KPIS'!$Q29))</f>
        <v/>
      </c>
      <c r="K29" s="53" t="str">
        <f>IF($B29="","",INDEX(tblStock[Unidad],'91_KPIS'!$Q29))</f>
        <v/>
      </c>
      <c r="L29" s="55" t="str">
        <f t="shared" si="0"/>
        <v/>
      </c>
      <c r="M29" s="55" t="str">
        <f t="shared" si="1"/>
        <v/>
      </c>
      <c r="N29" s="54" t="str">
        <f>IF($B29="","",IFERROR(INDEX(tblEstados[Acción],MATCH($C29,tblEstados[Estado],0)),""))</f>
        <v/>
      </c>
      <c r="O29" s="60" t="str">
        <f>IF($B29="","",INDEX(tblStock[UltimoMov],'91_KPIS'!$Q29))</f>
        <v/>
      </c>
    </row>
    <row r="30" spans="2:15" x14ac:dyDescent="0.25">
      <c r="B30" s="62" t="str">
        <f>IF('91_KPIS'!$Q30="","",'91_KPIS'!$O30)</f>
        <v/>
      </c>
      <c r="C30" s="58" t="str">
        <f>IF($B30="","",INDEX(tblStock[Estado],'91_KPIS'!$Q30))</f>
        <v/>
      </c>
      <c r="D30" s="53" t="str">
        <f>IF($B30="","",INDEX(tblStock[SKU],'91_KPIS'!$Q30))</f>
        <v/>
      </c>
      <c r="E30" s="54" t="str">
        <f>IF($B30="","",INDEX(tblStock[Producto],'91_KPIS'!$Q30))</f>
        <v/>
      </c>
      <c r="F30" s="54" t="str">
        <f>IF($B30="","",INDEX(tblStock[Categoría],'91_KPIS'!$Q30))</f>
        <v/>
      </c>
      <c r="G30" s="54" t="str">
        <f>IF($B30="","",INDEX(tblStock[Proveedor],'91_KPIS'!$Q30)&amp;"")</f>
        <v/>
      </c>
      <c r="H30" s="56" t="str">
        <f>IF($B30="","",INDEX(tblStock[StockActual],'91_KPIS'!$Q30))</f>
        <v/>
      </c>
      <c r="I30" s="55" t="str">
        <f>IF($B30="","",INDEX(tblStock[StockMin],'91_KPIS'!$Q30))</f>
        <v/>
      </c>
      <c r="J30" s="55" t="str">
        <f>IF($B30="","",INDEX(tblStock[StockMax],'91_KPIS'!$Q30))</f>
        <v/>
      </c>
      <c r="K30" s="53" t="str">
        <f>IF($B30="","",INDEX(tblStock[Unidad],'91_KPIS'!$Q30))</f>
        <v/>
      </c>
      <c r="L30" s="55" t="str">
        <f t="shared" si="0"/>
        <v/>
      </c>
      <c r="M30" s="55" t="str">
        <f t="shared" si="1"/>
        <v/>
      </c>
      <c r="N30" s="54" t="str">
        <f>IF($B30="","",IFERROR(INDEX(tblEstados[Acción],MATCH($C30,tblEstados[Estado],0)),""))</f>
        <v/>
      </c>
      <c r="O30" s="60" t="str">
        <f>IF($B30="","",INDEX(tblStock[UltimoMov],'91_KPIS'!$Q30))</f>
        <v/>
      </c>
    </row>
    <row r="31" spans="2:15" x14ac:dyDescent="0.25">
      <c r="B31" s="62" t="str">
        <f>IF('91_KPIS'!$Q31="","",'91_KPIS'!$O31)</f>
        <v/>
      </c>
      <c r="C31" s="58" t="str">
        <f>IF($B31="","",INDEX(tblStock[Estado],'91_KPIS'!$Q31))</f>
        <v/>
      </c>
      <c r="D31" s="53" t="str">
        <f>IF($B31="","",INDEX(tblStock[SKU],'91_KPIS'!$Q31))</f>
        <v/>
      </c>
      <c r="E31" s="54" t="str">
        <f>IF($B31="","",INDEX(tblStock[Producto],'91_KPIS'!$Q31))</f>
        <v/>
      </c>
      <c r="F31" s="54" t="str">
        <f>IF($B31="","",INDEX(tblStock[Categoría],'91_KPIS'!$Q31))</f>
        <v/>
      </c>
      <c r="G31" s="54" t="str">
        <f>IF($B31="","",INDEX(tblStock[Proveedor],'91_KPIS'!$Q31)&amp;"")</f>
        <v/>
      </c>
      <c r="H31" s="56" t="str">
        <f>IF($B31="","",INDEX(tblStock[StockActual],'91_KPIS'!$Q31))</f>
        <v/>
      </c>
      <c r="I31" s="55" t="str">
        <f>IF($B31="","",INDEX(tblStock[StockMin],'91_KPIS'!$Q31))</f>
        <v/>
      </c>
      <c r="J31" s="55" t="str">
        <f>IF($B31="","",INDEX(tblStock[StockMax],'91_KPIS'!$Q31))</f>
        <v/>
      </c>
      <c r="K31" s="53" t="str">
        <f>IF($B31="","",INDEX(tblStock[Unidad],'91_KPIS'!$Q31))</f>
        <v/>
      </c>
      <c r="L31" s="55" t="str">
        <f t="shared" si="0"/>
        <v/>
      </c>
      <c r="M31" s="55" t="str">
        <f t="shared" si="1"/>
        <v/>
      </c>
      <c r="N31" s="54" t="str">
        <f>IF($B31="","",IFERROR(INDEX(tblEstados[Acción],MATCH($C31,tblEstados[Estado],0)),""))</f>
        <v/>
      </c>
      <c r="O31" s="60" t="str">
        <f>IF($B31="","",INDEX(tblStock[UltimoMov],'91_KPIS'!$Q31))</f>
        <v/>
      </c>
    </row>
    <row r="32" spans="2:15" x14ac:dyDescent="0.25">
      <c r="B32" s="62" t="str">
        <f>IF('91_KPIS'!$Q32="","",'91_KPIS'!$O32)</f>
        <v/>
      </c>
      <c r="C32" s="58" t="str">
        <f>IF($B32="","",INDEX(tblStock[Estado],'91_KPIS'!$Q32))</f>
        <v/>
      </c>
      <c r="D32" s="53" t="str">
        <f>IF($B32="","",INDEX(tblStock[SKU],'91_KPIS'!$Q32))</f>
        <v/>
      </c>
      <c r="E32" s="54" t="str">
        <f>IF($B32="","",INDEX(tblStock[Producto],'91_KPIS'!$Q32))</f>
        <v/>
      </c>
      <c r="F32" s="54" t="str">
        <f>IF($B32="","",INDEX(tblStock[Categoría],'91_KPIS'!$Q32))</f>
        <v/>
      </c>
      <c r="G32" s="54" t="str">
        <f>IF($B32="","",INDEX(tblStock[Proveedor],'91_KPIS'!$Q32)&amp;"")</f>
        <v/>
      </c>
      <c r="H32" s="56" t="str">
        <f>IF($B32="","",INDEX(tblStock[StockActual],'91_KPIS'!$Q32))</f>
        <v/>
      </c>
      <c r="I32" s="55" t="str">
        <f>IF($B32="","",INDEX(tblStock[StockMin],'91_KPIS'!$Q32))</f>
        <v/>
      </c>
      <c r="J32" s="55" t="str">
        <f>IF($B32="","",INDEX(tblStock[StockMax],'91_KPIS'!$Q32))</f>
        <v/>
      </c>
      <c r="K32" s="53" t="str">
        <f>IF($B32="","",INDEX(tblStock[Unidad],'91_KPIS'!$Q32))</f>
        <v/>
      </c>
      <c r="L32" s="55" t="str">
        <f t="shared" si="0"/>
        <v/>
      </c>
      <c r="M32" s="55" t="str">
        <f t="shared" si="1"/>
        <v/>
      </c>
      <c r="N32" s="54" t="str">
        <f>IF($B32="","",IFERROR(INDEX(tblEstados[Acción],MATCH($C32,tblEstados[Estado],0)),""))</f>
        <v/>
      </c>
      <c r="O32" s="60" t="str">
        <f>IF($B32="","",INDEX(tblStock[UltimoMov],'91_KPIS'!$Q32))</f>
        <v/>
      </c>
    </row>
    <row r="33" spans="2:15" x14ac:dyDescent="0.25">
      <c r="B33" s="62" t="str">
        <f>IF('91_KPIS'!$Q33="","",'91_KPIS'!$O33)</f>
        <v/>
      </c>
      <c r="C33" s="58" t="str">
        <f>IF($B33="","",INDEX(tblStock[Estado],'91_KPIS'!$Q33))</f>
        <v/>
      </c>
      <c r="D33" s="53" t="str">
        <f>IF($B33="","",INDEX(tblStock[SKU],'91_KPIS'!$Q33))</f>
        <v/>
      </c>
      <c r="E33" s="54" t="str">
        <f>IF($B33="","",INDEX(tblStock[Producto],'91_KPIS'!$Q33))</f>
        <v/>
      </c>
      <c r="F33" s="54" t="str">
        <f>IF($B33="","",INDEX(tblStock[Categoría],'91_KPIS'!$Q33))</f>
        <v/>
      </c>
      <c r="G33" s="54" t="str">
        <f>IF($B33="","",INDEX(tblStock[Proveedor],'91_KPIS'!$Q33)&amp;"")</f>
        <v/>
      </c>
      <c r="H33" s="56" t="str">
        <f>IF($B33="","",INDEX(tblStock[StockActual],'91_KPIS'!$Q33))</f>
        <v/>
      </c>
      <c r="I33" s="55" t="str">
        <f>IF($B33="","",INDEX(tblStock[StockMin],'91_KPIS'!$Q33))</f>
        <v/>
      </c>
      <c r="J33" s="55" t="str">
        <f>IF($B33="","",INDEX(tblStock[StockMax],'91_KPIS'!$Q33))</f>
        <v/>
      </c>
      <c r="K33" s="53" t="str">
        <f>IF($B33="","",INDEX(tblStock[Unidad],'91_KPIS'!$Q33))</f>
        <v/>
      </c>
      <c r="L33" s="55" t="str">
        <f t="shared" si="0"/>
        <v/>
      </c>
      <c r="M33" s="55" t="str">
        <f t="shared" si="1"/>
        <v/>
      </c>
      <c r="N33" s="54" t="str">
        <f>IF($B33="","",IFERROR(INDEX(tblEstados[Acción],MATCH($C33,tblEstados[Estado],0)),""))</f>
        <v/>
      </c>
      <c r="O33" s="60" t="str">
        <f>IF($B33="","",INDEX(tblStock[UltimoMov],'91_KPIS'!$Q33))</f>
        <v/>
      </c>
    </row>
    <row r="34" spans="2:15" x14ac:dyDescent="0.25">
      <c r="B34" s="62" t="str">
        <f>IF('91_KPIS'!$Q34="","",'91_KPIS'!$O34)</f>
        <v/>
      </c>
      <c r="C34" s="58" t="str">
        <f>IF($B34="","",INDEX(tblStock[Estado],'91_KPIS'!$Q34))</f>
        <v/>
      </c>
      <c r="D34" s="53" t="str">
        <f>IF($B34="","",INDEX(tblStock[SKU],'91_KPIS'!$Q34))</f>
        <v/>
      </c>
      <c r="E34" s="54" t="str">
        <f>IF($B34="","",INDEX(tblStock[Producto],'91_KPIS'!$Q34))</f>
        <v/>
      </c>
      <c r="F34" s="54" t="str">
        <f>IF($B34="","",INDEX(tblStock[Categoría],'91_KPIS'!$Q34))</f>
        <v/>
      </c>
      <c r="G34" s="54" t="str">
        <f>IF($B34="","",INDEX(tblStock[Proveedor],'91_KPIS'!$Q34)&amp;"")</f>
        <v/>
      </c>
      <c r="H34" s="56" t="str">
        <f>IF($B34="","",INDEX(tblStock[StockActual],'91_KPIS'!$Q34))</f>
        <v/>
      </c>
      <c r="I34" s="55" t="str">
        <f>IF($B34="","",INDEX(tblStock[StockMin],'91_KPIS'!$Q34))</f>
        <v/>
      </c>
      <c r="J34" s="55" t="str">
        <f>IF($B34="","",INDEX(tblStock[StockMax],'91_KPIS'!$Q34))</f>
        <v/>
      </c>
      <c r="K34" s="53" t="str">
        <f>IF($B34="","",INDEX(tblStock[Unidad],'91_KPIS'!$Q34))</f>
        <v/>
      </c>
      <c r="L34" s="55" t="str">
        <f t="shared" si="0"/>
        <v/>
      </c>
      <c r="M34" s="55" t="str">
        <f t="shared" si="1"/>
        <v/>
      </c>
      <c r="N34" s="54" t="str">
        <f>IF($B34="","",IFERROR(INDEX(tblEstados[Acción],MATCH($C34,tblEstados[Estado],0)),""))</f>
        <v/>
      </c>
      <c r="O34" s="60" t="str">
        <f>IF($B34="","",INDEX(tblStock[UltimoMov],'91_KPIS'!$Q34))</f>
        <v/>
      </c>
    </row>
    <row r="35" spans="2:15" x14ac:dyDescent="0.25">
      <c r="B35" s="62" t="str">
        <f>IF('91_KPIS'!$Q35="","",'91_KPIS'!$O35)</f>
        <v/>
      </c>
      <c r="C35" s="58" t="str">
        <f>IF($B35="","",INDEX(tblStock[Estado],'91_KPIS'!$Q35))</f>
        <v/>
      </c>
      <c r="D35" s="53" t="str">
        <f>IF($B35="","",INDEX(tblStock[SKU],'91_KPIS'!$Q35))</f>
        <v/>
      </c>
      <c r="E35" s="54" t="str">
        <f>IF($B35="","",INDEX(tblStock[Producto],'91_KPIS'!$Q35))</f>
        <v/>
      </c>
      <c r="F35" s="54" t="str">
        <f>IF($B35="","",INDEX(tblStock[Categoría],'91_KPIS'!$Q35))</f>
        <v/>
      </c>
      <c r="G35" s="54" t="str">
        <f>IF($B35="","",INDEX(tblStock[Proveedor],'91_KPIS'!$Q35)&amp;"")</f>
        <v/>
      </c>
      <c r="H35" s="56" t="str">
        <f>IF($B35="","",INDEX(tblStock[StockActual],'91_KPIS'!$Q35))</f>
        <v/>
      </c>
      <c r="I35" s="55" t="str">
        <f>IF($B35="","",INDEX(tblStock[StockMin],'91_KPIS'!$Q35))</f>
        <v/>
      </c>
      <c r="J35" s="55" t="str">
        <f>IF($B35="","",INDEX(tblStock[StockMax],'91_KPIS'!$Q35))</f>
        <v/>
      </c>
      <c r="K35" s="53" t="str">
        <f>IF($B35="","",INDEX(tblStock[Unidad],'91_KPIS'!$Q35))</f>
        <v/>
      </c>
      <c r="L35" s="55" t="str">
        <f t="shared" si="0"/>
        <v/>
      </c>
      <c r="M35" s="55" t="str">
        <f t="shared" si="1"/>
        <v/>
      </c>
      <c r="N35" s="54" t="str">
        <f>IF($B35="","",IFERROR(INDEX(tblEstados[Acción],MATCH($C35,tblEstados[Estado],0)),""))</f>
        <v/>
      </c>
      <c r="O35" s="60" t="str">
        <f>IF($B35="","",INDEX(tblStock[UltimoMov],'91_KPIS'!$Q35))</f>
        <v/>
      </c>
    </row>
    <row r="36" spans="2:15" x14ac:dyDescent="0.25">
      <c r="B36" s="62" t="str">
        <f>IF('91_KPIS'!$Q36="","",'91_KPIS'!$O36)</f>
        <v/>
      </c>
      <c r="C36" s="58" t="str">
        <f>IF($B36="","",INDEX(tblStock[Estado],'91_KPIS'!$Q36))</f>
        <v/>
      </c>
      <c r="D36" s="53" t="str">
        <f>IF($B36="","",INDEX(tblStock[SKU],'91_KPIS'!$Q36))</f>
        <v/>
      </c>
      <c r="E36" s="54" t="str">
        <f>IF($B36="","",INDEX(tblStock[Producto],'91_KPIS'!$Q36))</f>
        <v/>
      </c>
      <c r="F36" s="54" t="str">
        <f>IF($B36="","",INDEX(tblStock[Categoría],'91_KPIS'!$Q36))</f>
        <v/>
      </c>
      <c r="G36" s="54" t="str">
        <f>IF($B36="","",INDEX(tblStock[Proveedor],'91_KPIS'!$Q36)&amp;"")</f>
        <v/>
      </c>
      <c r="H36" s="56" t="str">
        <f>IF($B36="","",INDEX(tblStock[StockActual],'91_KPIS'!$Q36))</f>
        <v/>
      </c>
      <c r="I36" s="55" t="str">
        <f>IF($B36="","",INDEX(tblStock[StockMin],'91_KPIS'!$Q36))</f>
        <v/>
      </c>
      <c r="J36" s="55" t="str">
        <f>IF($B36="","",INDEX(tblStock[StockMax],'91_KPIS'!$Q36))</f>
        <v/>
      </c>
      <c r="K36" s="53" t="str">
        <f>IF($B36="","",INDEX(tblStock[Unidad],'91_KPIS'!$Q36))</f>
        <v/>
      </c>
      <c r="L36" s="55" t="str">
        <f t="shared" si="0"/>
        <v/>
      </c>
      <c r="M36" s="55" t="str">
        <f t="shared" si="1"/>
        <v/>
      </c>
      <c r="N36" s="54" t="str">
        <f>IF($B36="","",IFERROR(INDEX(tblEstados[Acción],MATCH($C36,tblEstados[Estado],0)),""))</f>
        <v/>
      </c>
      <c r="O36" s="60" t="str">
        <f>IF($B36="","",INDEX(tblStock[UltimoMov],'91_KPIS'!$Q36))</f>
        <v/>
      </c>
    </row>
    <row r="37" spans="2:15" x14ac:dyDescent="0.25">
      <c r="B37" s="62" t="str">
        <f>IF('91_KPIS'!$Q37="","",'91_KPIS'!$O37)</f>
        <v/>
      </c>
      <c r="C37" s="58" t="str">
        <f>IF($B37="","",INDEX(tblStock[Estado],'91_KPIS'!$Q37))</f>
        <v/>
      </c>
      <c r="D37" s="53" t="str">
        <f>IF($B37="","",INDEX(tblStock[SKU],'91_KPIS'!$Q37))</f>
        <v/>
      </c>
      <c r="E37" s="54" t="str">
        <f>IF($B37="","",INDEX(tblStock[Producto],'91_KPIS'!$Q37))</f>
        <v/>
      </c>
      <c r="F37" s="54" t="str">
        <f>IF($B37="","",INDEX(tblStock[Categoría],'91_KPIS'!$Q37))</f>
        <v/>
      </c>
      <c r="G37" s="54" t="str">
        <f>IF($B37="","",INDEX(tblStock[Proveedor],'91_KPIS'!$Q37)&amp;"")</f>
        <v/>
      </c>
      <c r="H37" s="56" t="str">
        <f>IF($B37="","",INDEX(tblStock[StockActual],'91_KPIS'!$Q37))</f>
        <v/>
      </c>
      <c r="I37" s="55" t="str">
        <f>IF($B37="","",INDEX(tblStock[StockMin],'91_KPIS'!$Q37))</f>
        <v/>
      </c>
      <c r="J37" s="55" t="str">
        <f>IF($B37="","",INDEX(tblStock[StockMax],'91_KPIS'!$Q37))</f>
        <v/>
      </c>
      <c r="K37" s="53" t="str">
        <f>IF($B37="","",INDEX(tblStock[Unidad],'91_KPIS'!$Q37))</f>
        <v/>
      </c>
      <c r="L37" s="55" t="str">
        <f t="shared" si="0"/>
        <v/>
      </c>
      <c r="M37" s="55" t="str">
        <f t="shared" si="1"/>
        <v/>
      </c>
      <c r="N37" s="54" t="str">
        <f>IF($B37="","",IFERROR(INDEX(tblEstados[Acción],MATCH($C37,tblEstados[Estado],0)),""))</f>
        <v/>
      </c>
      <c r="O37" s="60" t="str">
        <f>IF($B37="","",INDEX(tblStock[UltimoMov],'91_KPIS'!$Q37))</f>
        <v/>
      </c>
    </row>
    <row r="38" spans="2:15" x14ac:dyDescent="0.25">
      <c r="B38" s="62" t="str">
        <f>IF('91_KPIS'!$Q38="","",'91_KPIS'!$O38)</f>
        <v/>
      </c>
      <c r="C38" s="58" t="str">
        <f>IF($B38="","",INDEX(tblStock[Estado],'91_KPIS'!$Q38))</f>
        <v/>
      </c>
      <c r="D38" s="53" t="str">
        <f>IF($B38="","",INDEX(tblStock[SKU],'91_KPIS'!$Q38))</f>
        <v/>
      </c>
      <c r="E38" s="54" t="str">
        <f>IF($B38="","",INDEX(tblStock[Producto],'91_KPIS'!$Q38))</f>
        <v/>
      </c>
      <c r="F38" s="54" t="str">
        <f>IF($B38="","",INDEX(tblStock[Categoría],'91_KPIS'!$Q38))</f>
        <v/>
      </c>
      <c r="G38" s="54" t="str">
        <f>IF($B38="","",INDEX(tblStock[Proveedor],'91_KPIS'!$Q38)&amp;"")</f>
        <v/>
      </c>
      <c r="H38" s="56" t="str">
        <f>IF($B38="","",INDEX(tblStock[StockActual],'91_KPIS'!$Q38))</f>
        <v/>
      </c>
      <c r="I38" s="55" t="str">
        <f>IF($B38="","",INDEX(tblStock[StockMin],'91_KPIS'!$Q38))</f>
        <v/>
      </c>
      <c r="J38" s="55" t="str">
        <f>IF($B38="","",INDEX(tblStock[StockMax],'91_KPIS'!$Q38))</f>
        <v/>
      </c>
      <c r="K38" s="53" t="str">
        <f>IF($B38="","",INDEX(tblStock[Unidad],'91_KPIS'!$Q38))</f>
        <v/>
      </c>
      <c r="L38" s="55" t="str">
        <f t="shared" si="0"/>
        <v/>
      </c>
      <c r="M38" s="55" t="str">
        <f t="shared" si="1"/>
        <v/>
      </c>
      <c r="N38" s="54" t="str">
        <f>IF($B38="","",IFERROR(INDEX(tblEstados[Acción],MATCH($C38,tblEstados[Estado],0)),""))</f>
        <v/>
      </c>
      <c r="O38" s="60" t="str">
        <f>IF($B38="","",INDEX(tblStock[UltimoMov],'91_KPIS'!$Q38))</f>
        <v/>
      </c>
    </row>
    <row r="39" spans="2:15" x14ac:dyDescent="0.25">
      <c r="B39" s="62" t="str">
        <f>IF('91_KPIS'!$Q39="","",'91_KPIS'!$O39)</f>
        <v/>
      </c>
      <c r="C39" s="58" t="str">
        <f>IF($B39="","",INDEX(tblStock[Estado],'91_KPIS'!$Q39))</f>
        <v/>
      </c>
      <c r="D39" s="53" t="str">
        <f>IF($B39="","",INDEX(tblStock[SKU],'91_KPIS'!$Q39))</f>
        <v/>
      </c>
      <c r="E39" s="54" t="str">
        <f>IF($B39="","",INDEX(tblStock[Producto],'91_KPIS'!$Q39))</f>
        <v/>
      </c>
      <c r="F39" s="54" t="str">
        <f>IF($B39="","",INDEX(tblStock[Categoría],'91_KPIS'!$Q39))</f>
        <v/>
      </c>
      <c r="G39" s="54" t="str">
        <f>IF($B39="","",INDEX(tblStock[Proveedor],'91_KPIS'!$Q39)&amp;"")</f>
        <v/>
      </c>
      <c r="H39" s="56" t="str">
        <f>IF($B39="","",INDEX(tblStock[StockActual],'91_KPIS'!$Q39))</f>
        <v/>
      </c>
      <c r="I39" s="55" t="str">
        <f>IF($B39="","",INDEX(tblStock[StockMin],'91_KPIS'!$Q39))</f>
        <v/>
      </c>
      <c r="J39" s="55" t="str">
        <f>IF($B39="","",INDEX(tblStock[StockMax],'91_KPIS'!$Q39))</f>
        <v/>
      </c>
      <c r="K39" s="53" t="str">
        <f>IF($B39="","",INDEX(tblStock[Unidad],'91_KPIS'!$Q39))</f>
        <v/>
      </c>
      <c r="L39" s="55" t="str">
        <f t="shared" si="0"/>
        <v/>
      </c>
      <c r="M39" s="55" t="str">
        <f t="shared" si="1"/>
        <v/>
      </c>
      <c r="N39" s="54" t="str">
        <f>IF($B39="","",IFERROR(INDEX(tblEstados[Acción],MATCH($C39,tblEstados[Estado],0)),""))</f>
        <v/>
      </c>
      <c r="O39" s="60" t="str">
        <f>IF($B39="","",INDEX(tblStock[UltimoMov],'91_KPIS'!$Q39))</f>
        <v/>
      </c>
    </row>
    <row r="40" spans="2:15" x14ac:dyDescent="0.25">
      <c r="B40" s="62" t="str">
        <f>IF('91_KPIS'!$Q40="","",'91_KPIS'!$O40)</f>
        <v/>
      </c>
      <c r="C40" s="58" t="str">
        <f>IF($B40="","",INDEX(tblStock[Estado],'91_KPIS'!$Q40))</f>
        <v/>
      </c>
      <c r="D40" s="53" t="str">
        <f>IF($B40="","",INDEX(tblStock[SKU],'91_KPIS'!$Q40))</f>
        <v/>
      </c>
      <c r="E40" s="54" t="str">
        <f>IF($B40="","",INDEX(tblStock[Producto],'91_KPIS'!$Q40))</f>
        <v/>
      </c>
      <c r="F40" s="54" t="str">
        <f>IF($B40="","",INDEX(tblStock[Categoría],'91_KPIS'!$Q40))</f>
        <v/>
      </c>
      <c r="G40" s="54" t="str">
        <f>IF($B40="","",INDEX(tblStock[Proveedor],'91_KPIS'!$Q40)&amp;"")</f>
        <v/>
      </c>
      <c r="H40" s="56" t="str">
        <f>IF($B40="","",INDEX(tblStock[StockActual],'91_KPIS'!$Q40))</f>
        <v/>
      </c>
      <c r="I40" s="55" t="str">
        <f>IF($B40="","",INDEX(tblStock[StockMin],'91_KPIS'!$Q40))</f>
        <v/>
      </c>
      <c r="J40" s="55" t="str">
        <f>IF($B40="","",INDEX(tblStock[StockMax],'91_KPIS'!$Q40))</f>
        <v/>
      </c>
      <c r="K40" s="53" t="str">
        <f>IF($B40="","",INDEX(tblStock[Unidad],'91_KPIS'!$Q40))</f>
        <v/>
      </c>
      <c r="L40" s="55" t="str">
        <f t="shared" si="0"/>
        <v/>
      </c>
      <c r="M40" s="55" t="str">
        <f t="shared" si="1"/>
        <v/>
      </c>
      <c r="N40" s="54" t="str">
        <f>IF($B40="","",IFERROR(INDEX(tblEstados[Acción],MATCH($C40,tblEstados[Estado],0)),""))</f>
        <v/>
      </c>
      <c r="O40" s="60" t="str">
        <f>IF($B40="","",INDEX(tblStock[UltimoMov],'91_KPIS'!$Q40))</f>
        <v/>
      </c>
    </row>
    <row r="41" spans="2:15" x14ac:dyDescent="0.25">
      <c r="B41" s="62" t="str">
        <f>IF('91_KPIS'!$Q41="","",'91_KPIS'!$O41)</f>
        <v/>
      </c>
      <c r="C41" s="58" t="str">
        <f>IF($B41="","",INDEX(tblStock[Estado],'91_KPIS'!$Q41))</f>
        <v/>
      </c>
      <c r="D41" s="53" t="str">
        <f>IF($B41="","",INDEX(tblStock[SKU],'91_KPIS'!$Q41))</f>
        <v/>
      </c>
      <c r="E41" s="54" t="str">
        <f>IF($B41="","",INDEX(tblStock[Producto],'91_KPIS'!$Q41))</f>
        <v/>
      </c>
      <c r="F41" s="54" t="str">
        <f>IF($B41="","",INDEX(tblStock[Categoría],'91_KPIS'!$Q41))</f>
        <v/>
      </c>
      <c r="G41" s="54" t="str">
        <f>IF($B41="","",INDEX(tblStock[Proveedor],'91_KPIS'!$Q41)&amp;"")</f>
        <v/>
      </c>
      <c r="H41" s="56" t="str">
        <f>IF($B41="","",INDEX(tblStock[StockActual],'91_KPIS'!$Q41))</f>
        <v/>
      </c>
      <c r="I41" s="55" t="str">
        <f>IF($B41="","",INDEX(tblStock[StockMin],'91_KPIS'!$Q41))</f>
        <v/>
      </c>
      <c r="J41" s="55" t="str">
        <f>IF($B41="","",INDEX(tblStock[StockMax],'91_KPIS'!$Q41))</f>
        <v/>
      </c>
      <c r="K41" s="53" t="str">
        <f>IF($B41="","",INDEX(tblStock[Unidad],'91_KPIS'!$Q41))</f>
        <v/>
      </c>
      <c r="L41" s="55" t="str">
        <f t="shared" si="0"/>
        <v/>
      </c>
      <c r="M41" s="55" t="str">
        <f t="shared" si="1"/>
        <v/>
      </c>
      <c r="N41" s="54" t="str">
        <f>IF($B41="","",IFERROR(INDEX(tblEstados[Acción],MATCH($C41,tblEstados[Estado],0)),""))</f>
        <v/>
      </c>
      <c r="O41" s="60" t="str">
        <f>IF($B41="","",INDEX(tblStock[UltimoMov],'91_KPIS'!$Q41))</f>
        <v/>
      </c>
    </row>
    <row r="42" spans="2:15" x14ac:dyDescent="0.25">
      <c r="B42" s="62" t="str">
        <f>IF('91_KPIS'!$Q42="","",'91_KPIS'!$O42)</f>
        <v/>
      </c>
      <c r="C42" s="58" t="str">
        <f>IF($B42="","",INDEX(tblStock[Estado],'91_KPIS'!$Q42))</f>
        <v/>
      </c>
      <c r="D42" s="53" t="str">
        <f>IF($B42="","",INDEX(tblStock[SKU],'91_KPIS'!$Q42))</f>
        <v/>
      </c>
      <c r="E42" s="54" t="str">
        <f>IF($B42="","",INDEX(tblStock[Producto],'91_KPIS'!$Q42))</f>
        <v/>
      </c>
      <c r="F42" s="54" t="str">
        <f>IF($B42="","",INDEX(tblStock[Categoría],'91_KPIS'!$Q42))</f>
        <v/>
      </c>
      <c r="G42" s="54" t="str">
        <f>IF($B42="","",INDEX(tblStock[Proveedor],'91_KPIS'!$Q42)&amp;"")</f>
        <v/>
      </c>
      <c r="H42" s="56" t="str">
        <f>IF($B42="","",INDEX(tblStock[StockActual],'91_KPIS'!$Q42))</f>
        <v/>
      </c>
      <c r="I42" s="55" t="str">
        <f>IF($B42="","",INDEX(tblStock[StockMin],'91_KPIS'!$Q42))</f>
        <v/>
      </c>
      <c r="J42" s="55" t="str">
        <f>IF($B42="","",INDEX(tblStock[StockMax],'91_KPIS'!$Q42))</f>
        <v/>
      </c>
      <c r="K42" s="53" t="str">
        <f>IF($B42="","",INDEX(tblStock[Unidad],'91_KPIS'!$Q42))</f>
        <v/>
      </c>
      <c r="L42" s="55" t="str">
        <f t="shared" si="0"/>
        <v/>
      </c>
      <c r="M42" s="55" t="str">
        <f t="shared" si="1"/>
        <v/>
      </c>
      <c r="N42" s="54" t="str">
        <f>IF($B42="","",IFERROR(INDEX(tblEstados[Acción],MATCH($C42,tblEstados[Estado],0)),""))</f>
        <v/>
      </c>
      <c r="O42" s="60" t="str">
        <f>IF($B42="","",INDEX(tblStock[UltimoMov],'91_KPIS'!$Q42))</f>
        <v/>
      </c>
    </row>
    <row r="43" spans="2:15" x14ac:dyDescent="0.25">
      <c r="B43" s="62" t="str">
        <f>IF('91_KPIS'!$Q43="","",'91_KPIS'!$O43)</f>
        <v/>
      </c>
      <c r="C43" s="58" t="str">
        <f>IF($B43="","",INDEX(tblStock[Estado],'91_KPIS'!$Q43))</f>
        <v/>
      </c>
      <c r="D43" s="53" t="str">
        <f>IF($B43="","",INDEX(tblStock[SKU],'91_KPIS'!$Q43))</f>
        <v/>
      </c>
      <c r="E43" s="54" t="str">
        <f>IF($B43="","",INDEX(tblStock[Producto],'91_KPIS'!$Q43))</f>
        <v/>
      </c>
      <c r="F43" s="54" t="str">
        <f>IF($B43="","",INDEX(tblStock[Categoría],'91_KPIS'!$Q43))</f>
        <v/>
      </c>
      <c r="G43" s="54" t="str">
        <f>IF($B43="","",INDEX(tblStock[Proveedor],'91_KPIS'!$Q43)&amp;"")</f>
        <v/>
      </c>
      <c r="H43" s="56" t="str">
        <f>IF($B43="","",INDEX(tblStock[StockActual],'91_KPIS'!$Q43))</f>
        <v/>
      </c>
      <c r="I43" s="55" t="str">
        <f>IF($B43="","",INDEX(tblStock[StockMin],'91_KPIS'!$Q43))</f>
        <v/>
      </c>
      <c r="J43" s="55" t="str">
        <f>IF($B43="","",INDEX(tblStock[StockMax],'91_KPIS'!$Q43))</f>
        <v/>
      </c>
      <c r="K43" s="53" t="str">
        <f>IF($B43="","",INDEX(tblStock[Unidad],'91_KPIS'!$Q43))</f>
        <v/>
      </c>
      <c r="L43" s="55" t="str">
        <f t="shared" si="0"/>
        <v/>
      </c>
      <c r="M43" s="55" t="str">
        <f t="shared" si="1"/>
        <v/>
      </c>
      <c r="N43" s="54" t="str">
        <f>IF($B43="","",IFERROR(INDEX(tblEstados[Acción],MATCH($C43,tblEstados[Estado],0)),""))</f>
        <v/>
      </c>
      <c r="O43" s="60" t="str">
        <f>IF($B43="","",INDEX(tblStock[UltimoMov],'91_KPIS'!$Q43))</f>
        <v/>
      </c>
    </row>
    <row r="44" spans="2:15" x14ac:dyDescent="0.25">
      <c r="B44" s="62" t="str">
        <f>IF('91_KPIS'!$Q44="","",'91_KPIS'!$O44)</f>
        <v/>
      </c>
      <c r="C44" s="58" t="str">
        <f>IF($B44="","",INDEX(tblStock[Estado],'91_KPIS'!$Q44))</f>
        <v/>
      </c>
      <c r="D44" s="53" t="str">
        <f>IF($B44="","",INDEX(tblStock[SKU],'91_KPIS'!$Q44))</f>
        <v/>
      </c>
      <c r="E44" s="54" t="str">
        <f>IF($B44="","",INDEX(tblStock[Producto],'91_KPIS'!$Q44))</f>
        <v/>
      </c>
      <c r="F44" s="54" t="str">
        <f>IF($B44="","",INDEX(tblStock[Categoría],'91_KPIS'!$Q44))</f>
        <v/>
      </c>
      <c r="G44" s="54" t="str">
        <f>IF($B44="","",INDEX(tblStock[Proveedor],'91_KPIS'!$Q44)&amp;"")</f>
        <v/>
      </c>
      <c r="H44" s="56" t="str">
        <f>IF($B44="","",INDEX(tblStock[StockActual],'91_KPIS'!$Q44))</f>
        <v/>
      </c>
      <c r="I44" s="55" t="str">
        <f>IF($B44="","",INDEX(tblStock[StockMin],'91_KPIS'!$Q44))</f>
        <v/>
      </c>
      <c r="J44" s="55" t="str">
        <f>IF($B44="","",INDEX(tblStock[StockMax],'91_KPIS'!$Q44))</f>
        <v/>
      </c>
      <c r="K44" s="53" t="str">
        <f>IF($B44="","",INDEX(tblStock[Unidad],'91_KPIS'!$Q44))</f>
        <v/>
      </c>
      <c r="L44" s="55" t="str">
        <f t="shared" si="0"/>
        <v/>
      </c>
      <c r="M44" s="55" t="str">
        <f t="shared" si="1"/>
        <v/>
      </c>
      <c r="N44" s="54" t="str">
        <f>IF($B44="","",IFERROR(INDEX(tblEstados[Acción],MATCH($C44,tblEstados[Estado],0)),""))</f>
        <v/>
      </c>
      <c r="O44" s="60" t="str">
        <f>IF($B44="","",INDEX(tblStock[UltimoMov],'91_KPIS'!$Q44))</f>
        <v/>
      </c>
    </row>
    <row r="45" spans="2:15" x14ac:dyDescent="0.25">
      <c r="B45" s="62" t="str">
        <f>IF('91_KPIS'!$Q45="","",'91_KPIS'!$O45)</f>
        <v/>
      </c>
      <c r="C45" s="58" t="str">
        <f>IF($B45="","",INDEX(tblStock[Estado],'91_KPIS'!$Q45))</f>
        <v/>
      </c>
      <c r="D45" s="53" t="str">
        <f>IF($B45="","",INDEX(tblStock[SKU],'91_KPIS'!$Q45))</f>
        <v/>
      </c>
      <c r="E45" s="54" t="str">
        <f>IF($B45="","",INDEX(tblStock[Producto],'91_KPIS'!$Q45))</f>
        <v/>
      </c>
      <c r="F45" s="54" t="str">
        <f>IF($B45="","",INDEX(tblStock[Categoría],'91_KPIS'!$Q45))</f>
        <v/>
      </c>
      <c r="G45" s="54" t="str">
        <f>IF($B45="","",INDEX(tblStock[Proveedor],'91_KPIS'!$Q45)&amp;"")</f>
        <v/>
      </c>
      <c r="H45" s="56" t="str">
        <f>IF($B45="","",INDEX(tblStock[StockActual],'91_KPIS'!$Q45))</f>
        <v/>
      </c>
      <c r="I45" s="55" t="str">
        <f>IF($B45="","",INDEX(tblStock[StockMin],'91_KPIS'!$Q45))</f>
        <v/>
      </c>
      <c r="J45" s="55" t="str">
        <f>IF($B45="","",INDEX(tblStock[StockMax],'91_KPIS'!$Q45))</f>
        <v/>
      </c>
      <c r="K45" s="53" t="str">
        <f>IF($B45="","",INDEX(tblStock[Unidad],'91_KPIS'!$Q45))</f>
        <v/>
      </c>
      <c r="L45" s="55" t="str">
        <f t="shared" si="0"/>
        <v/>
      </c>
      <c r="M45" s="55" t="str">
        <f t="shared" si="1"/>
        <v/>
      </c>
      <c r="N45" s="54" t="str">
        <f>IF($B45="","",IFERROR(INDEX(tblEstados[Acción],MATCH($C45,tblEstados[Estado],0)),""))</f>
        <v/>
      </c>
      <c r="O45" s="60" t="str">
        <f>IF($B45="","",INDEX(tblStock[UltimoMov],'91_KPIS'!$Q45))</f>
        <v/>
      </c>
    </row>
    <row r="46" spans="2:15" x14ac:dyDescent="0.25">
      <c r="B46" s="62" t="str">
        <f>IF('91_KPIS'!$Q46="","",'91_KPIS'!$O46)</f>
        <v/>
      </c>
      <c r="C46" s="58" t="str">
        <f>IF($B46="","",INDEX(tblStock[Estado],'91_KPIS'!$Q46))</f>
        <v/>
      </c>
      <c r="D46" s="53" t="str">
        <f>IF($B46="","",INDEX(tblStock[SKU],'91_KPIS'!$Q46))</f>
        <v/>
      </c>
      <c r="E46" s="54" t="str">
        <f>IF($B46="","",INDEX(tblStock[Producto],'91_KPIS'!$Q46))</f>
        <v/>
      </c>
      <c r="F46" s="54" t="str">
        <f>IF($B46="","",INDEX(tblStock[Categoría],'91_KPIS'!$Q46))</f>
        <v/>
      </c>
      <c r="G46" s="54" t="str">
        <f>IF($B46="","",INDEX(tblStock[Proveedor],'91_KPIS'!$Q46)&amp;"")</f>
        <v/>
      </c>
      <c r="H46" s="56" t="str">
        <f>IF($B46="","",INDEX(tblStock[StockActual],'91_KPIS'!$Q46))</f>
        <v/>
      </c>
      <c r="I46" s="55" t="str">
        <f>IF($B46="","",INDEX(tblStock[StockMin],'91_KPIS'!$Q46))</f>
        <v/>
      </c>
      <c r="J46" s="55" t="str">
        <f>IF($B46="","",INDEX(tblStock[StockMax],'91_KPIS'!$Q46))</f>
        <v/>
      </c>
      <c r="K46" s="53" t="str">
        <f>IF($B46="","",INDEX(tblStock[Unidad],'91_KPIS'!$Q46))</f>
        <v/>
      </c>
      <c r="L46" s="55" t="str">
        <f t="shared" si="0"/>
        <v/>
      </c>
      <c r="M46" s="55" t="str">
        <f t="shared" si="1"/>
        <v/>
      </c>
      <c r="N46" s="54" t="str">
        <f>IF($B46="","",IFERROR(INDEX(tblEstados[Acción],MATCH($C46,tblEstados[Estado],0)),""))</f>
        <v/>
      </c>
      <c r="O46" s="60" t="str">
        <f>IF($B46="","",INDEX(tblStock[UltimoMov],'91_KPIS'!$Q46))</f>
        <v/>
      </c>
    </row>
    <row r="47" spans="2:15" x14ac:dyDescent="0.25">
      <c r="B47" s="62" t="str">
        <f>IF('91_KPIS'!$Q47="","",'91_KPIS'!$O47)</f>
        <v/>
      </c>
      <c r="C47" s="58" t="str">
        <f>IF($B47="","",INDEX(tblStock[Estado],'91_KPIS'!$Q47))</f>
        <v/>
      </c>
      <c r="D47" s="53" t="str">
        <f>IF($B47="","",INDEX(tblStock[SKU],'91_KPIS'!$Q47))</f>
        <v/>
      </c>
      <c r="E47" s="54" t="str">
        <f>IF($B47="","",INDEX(tblStock[Producto],'91_KPIS'!$Q47))</f>
        <v/>
      </c>
      <c r="F47" s="54" t="str">
        <f>IF($B47="","",INDEX(tblStock[Categoría],'91_KPIS'!$Q47))</f>
        <v/>
      </c>
      <c r="G47" s="54" t="str">
        <f>IF($B47="","",INDEX(tblStock[Proveedor],'91_KPIS'!$Q47)&amp;"")</f>
        <v/>
      </c>
      <c r="H47" s="56" t="str">
        <f>IF($B47="","",INDEX(tblStock[StockActual],'91_KPIS'!$Q47))</f>
        <v/>
      </c>
      <c r="I47" s="55" t="str">
        <f>IF($B47="","",INDEX(tblStock[StockMin],'91_KPIS'!$Q47))</f>
        <v/>
      </c>
      <c r="J47" s="55" t="str">
        <f>IF($B47="","",INDEX(tblStock[StockMax],'91_KPIS'!$Q47))</f>
        <v/>
      </c>
      <c r="K47" s="53" t="str">
        <f>IF($B47="","",INDEX(tblStock[Unidad],'91_KPIS'!$Q47))</f>
        <v/>
      </c>
      <c r="L47" s="55" t="str">
        <f t="shared" si="0"/>
        <v/>
      </c>
      <c r="M47" s="55" t="str">
        <f t="shared" si="1"/>
        <v/>
      </c>
      <c r="N47" s="54" t="str">
        <f>IF($B47="","",IFERROR(INDEX(tblEstados[Acción],MATCH($C47,tblEstados[Estado],0)),""))</f>
        <v/>
      </c>
      <c r="O47" s="60" t="str">
        <f>IF($B47="","",INDEX(tblStock[UltimoMov],'91_KPIS'!$Q47))</f>
        <v/>
      </c>
    </row>
    <row r="48" spans="2:15" x14ac:dyDescent="0.25">
      <c r="B48" s="62" t="str">
        <f>IF('91_KPIS'!$Q48="","",'91_KPIS'!$O48)</f>
        <v/>
      </c>
      <c r="C48" s="58" t="str">
        <f>IF($B48="","",INDEX(tblStock[Estado],'91_KPIS'!$Q48))</f>
        <v/>
      </c>
      <c r="D48" s="53" t="str">
        <f>IF($B48="","",INDEX(tblStock[SKU],'91_KPIS'!$Q48))</f>
        <v/>
      </c>
      <c r="E48" s="54" t="str">
        <f>IF($B48="","",INDEX(tblStock[Producto],'91_KPIS'!$Q48))</f>
        <v/>
      </c>
      <c r="F48" s="54" t="str">
        <f>IF($B48="","",INDEX(tblStock[Categoría],'91_KPIS'!$Q48))</f>
        <v/>
      </c>
      <c r="G48" s="54" t="str">
        <f>IF($B48="","",INDEX(tblStock[Proveedor],'91_KPIS'!$Q48)&amp;"")</f>
        <v/>
      </c>
      <c r="H48" s="56" t="str">
        <f>IF($B48="","",INDEX(tblStock[StockActual],'91_KPIS'!$Q48))</f>
        <v/>
      </c>
      <c r="I48" s="55" t="str">
        <f>IF($B48="","",INDEX(tblStock[StockMin],'91_KPIS'!$Q48))</f>
        <v/>
      </c>
      <c r="J48" s="55" t="str">
        <f>IF($B48="","",INDEX(tblStock[StockMax],'91_KPIS'!$Q48))</f>
        <v/>
      </c>
      <c r="K48" s="53" t="str">
        <f>IF($B48="","",INDEX(tblStock[Unidad],'91_KPIS'!$Q48))</f>
        <v/>
      </c>
      <c r="L48" s="55" t="str">
        <f t="shared" si="0"/>
        <v/>
      </c>
      <c r="M48" s="55" t="str">
        <f t="shared" si="1"/>
        <v/>
      </c>
      <c r="N48" s="54" t="str">
        <f>IF($B48="","",IFERROR(INDEX(tblEstados[Acción],MATCH($C48,tblEstados[Estado],0)),""))</f>
        <v/>
      </c>
      <c r="O48" s="60" t="str">
        <f>IF($B48="","",INDEX(tblStock[UltimoMov],'91_KPIS'!$Q48))</f>
        <v/>
      </c>
    </row>
    <row r="49" spans="2:15" x14ac:dyDescent="0.25">
      <c r="B49" s="62" t="str">
        <f>IF('91_KPIS'!$Q49="","",'91_KPIS'!$O49)</f>
        <v/>
      </c>
      <c r="C49" s="58" t="str">
        <f>IF($B49="","",INDEX(tblStock[Estado],'91_KPIS'!$Q49))</f>
        <v/>
      </c>
      <c r="D49" s="53" t="str">
        <f>IF($B49="","",INDEX(tblStock[SKU],'91_KPIS'!$Q49))</f>
        <v/>
      </c>
      <c r="E49" s="54" t="str">
        <f>IF($B49="","",INDEX(tblStock[Producto],'91_KPIS'!$Q49))</f>
        <v/>
      </c>
      <c r="F49" s="54" t="str">
        <f>IF($B49="","",INDEX(tblStock[Categoría],'91_KPIS'!$Q49))</f>
        <v/>
      </c>
      <c r="G49" s="54" t="str">
        <f>IF($B49="","",INDEX(tblStock[Proveedor],'91_KPIS'!$Q49)&amp;"")</f>
        <v/>
      </c>
      <c r="H49" s="56" t="str">
        <f>IF($B49="","",INDEX(tblStock[StockActual],'91_KPIS'!$Q49))</f>
        <v/>
      </c>
      <c r="I49" s="55" t="str">
        <f>IF($B49="","",INDEX(tblStock[StockMin],'91_KPIS'!$Q49))</f>
        <v/>
      </c>
      <c r="J49" s="55" t="str">
        <f>IF($B49="","",INDEX(tblStock[StockMax],'91_KPIS'!$Q49))</f>
        <v/>
      </c>
      <c r="K49" s="53" t="str">
        <f>IF($B49="","",INDEX(tblStock[Unidad],'91_KPIS'!$Q49))</f>
        <v/>
      </c>
      <c r="L49" s="55" t="str">
        <f t="shared" si="0"/>
        <v/>
      </c>
      <c r="M49" s="55" t="str">
        <f t="shared" si="1"/>
        <v/>
      </c>
      <c r="N49" s="54" t="str">
        <f>IF($B49="","",IFERROR(INDEX(tblEstados[Acción],MATCH($C49,tblEstados[Estado],0)),""))</f>
        <v/>
      </c>
      <c r="O49" s="60" t="str">
        <f>IF($B49="","",INDEX(tblStock[UltimoMov],'91_KPIS'!$Q49))</f>
        <v/>
      </c>
    </row>
    <row r="50" spans="2:15" x14ac:dyDescent="0.25">
      <c r="B50" s="62" t="str">
        <f>IF('91_KPIS'!$Q50="","",'91_KPIS'!$O50)</f>
        <v/>
      </c>
      <c r="C50" s="58" t="str">
        <f>IF($B50="","",INDEX(tblStock[Estado],'91_KPIS'!$Q50))</f>
        <v/>
      </c>
      <c r="D50" s="53" t="str">
        <f>IF($B50="","",INDEX(tblStock[SKU],'91_KPIS'!$Q50))</f>
        <v/>
      </c>
      <c r="E50" s="54" t="str">
        <f>IF($B50="","",INDEX(tblStock[Producto],'91_KPIS'!$Q50))</f>
        <v/>
      </c>
      <c r="F50" s="54" t="str">
        <f>IF($B50="","",INDEX(tblStock[Categoría],'91_KPIS'!$Q50))</f>
        <v/>
      </c>
      <c r="G50" s="54" t="str">
        <f>IF($B50="","",INDEX(tblStock[Proveedor],'91_KPIS'!$Q50)&amp;"")</f>
        <v/>
      </c>
      <c r="H50" s="56" t="str">
        <f>IF($B50="","",INDEX(tblStock[StockActual],'91_KPIS'!$Q50))</f>
        <v/>
      </c>
      <c r="I50" s="55" t="str">
        <f>IF($B50="","",INDEX(tblStock[StockMin],'91_KPIS'!$Q50))</f>
        <v/>
      </c>
      <c r="J50" s="55" t="str">
        <f>IF($B50="","",INDEX(tblStock[StockMax],'91_KPIS'!$Q50))</f>
        <v/>
      </c>
      <c r="K50" s="53" t="str">
        <f>IF($B50="","",INDEX(tblStock[Unidad],'91_KPIS'!$Q50))</f>
        <v/>
      </c>
      <c r="L50" s="55" t="str">
        <f t="shared" si="0"/>
        <v/>
      </c>
      <c r="M50" s="55" t="str">
        <f t="shared" si="1"/>
        <v/>
      </c>
      <c r="N50" s="54" t="str">
        <f>IF($B50="","",IFERROR(INDEX(tblEstados[Acción],MATCH($C50,tblEstados[Estado],0)),""))</f>
        <v/>
      </c>
      <c r="O50" s="60" t="str">
        <f>IF($B50="","",INDEX(tblStock[UltimoMov],'91_KPIS'!$Q50))</f>
        <v/>
      </c>
    </row>
    <row r="51" spans="2:15" x14ac:dyDescent="0.25">
      <c r="B51" s="62" t="str">
        <f>IF('91_KPIS'!$Q51="","",'91_KPIS'!$O51)</f>
        <v/>
      </c>
      <c r="C51" s="58" t="str">
        <f>IF($B51="","",INDEX(tblStock[Estado],'91_KPIS'!$Q51))</f>
        <v/>
      </c>
      <c r="D51" s="53" t="str">
        <f>IF($B51="","",INDEX(tblStock[SKU],'91_KPIS'!$Q51))</f>
        <v/>
      </c>
      <c r="E51" s="54" t="str">
        <f>IF($B51="","",INDEX(tblStock[Producto],'91_KPIS'!$Q51))</f>
        <v/>
      </c>
      <c r="F51" s="54" t="str">
        <f>IF($B51="","",INDEX(tblStock[Categoría],'91_KPIS'!$Q51))</f>
        <v/>
      </c>
      <c r="G51" s="54" t="str">
        <f>IF($B51="","",INDEX(tblStock[Proveedor],'91_KPIS'!$Q51)&amp;"")</f>
        <v/>
      </c>
      <c r="H51" s="56" t="str">
        <f>IF($B51="","",INDEX(tblStock[StockActual],'91_KPIS'!$Q51))</f>
        <v/>
      </c>
      <c r="I51" s="55" t="str">
        <f>IF($B51="","",INDEX(tblStock[StockMin],'91_KPIS'!$Q51))</f>
        <v/>
      </c>
      <c r="J51" s="55" t="str">
        <f>IF($B51="","",INDEX(tblStock[StockMax],'91_KPIS'!$Q51))</f>
        <v/>
      </c>
      <c r="K51" s="53" t="str">
        <f>IF($B51="","",INDEX(tblStock[Unidad],'91_KPIS'!$Q51))</f>
        <v/>
      </c>
      <c r="L51" s="55" t="str">
        <f t="shared" si="0"/>
        <v/>
      </c>
      <c r="M51" s="55" t="str">
        <f t="shared" si="1"/>
        <v/>
      </c>
      <c r="N51" s="54" t="str">
        <f>IF($B51="","",IFERROR(INDEX(tblEstados[Acción],MATCH($C51,tblEstados[Estado],0)),""))</f>
        <v/>
      </c>
      <c r="O51" s="60" t="str">
        <f>IF($B51="","",INDEX(tblStock[UltimoMov],'91_KPIS'!$Q51))</f>
        <v/>
      </c>
    </row>
    <row r="52" spans="2:15" x14ac:dyDescent="0.25">
      <c r="B52" s="62" t="str">
        <f>IF('91_KPIS'!$Q52="","",'91_KPIS'!$O52)</f>
        <v/>
      </c>
      <c r="C52" s="58" t="str">
        <f>IF($B52="","",INDEX(tblStock[Estado],'91_KPIS'!$Q52))</f>
        <v/>
      </c>
      <c r="D52" s="53" t="str">
        <f>IF($B52="","",INDEX(tblStock[SKU],'91_KPIS'!$Q52))</f>
        <v/>
      </c>
      <c r="E52" s="54" t="str">
        <f>IF($B52="","",INDEX(tblStock[Producto],'91_KPIS'!$Q52))</f>
        <v/>
      </c>
      <c r="F52" s="54" t="str">
        <f>IF($B52="","",INDEX(tblStock[Categoría],'91_KPIS'!$Q52))</f>
        <v/>
      </c>
      <c r="G52" s="54" t="str">
        <f>IF($B52="","",INDEX(tblStock[Proveedor],'91_KPIS'!$Q52)&amp;"")</f>
        <v/>
      </c>
      <c r="H52" s="56" t="str">
        <f>IF($B52="","",INDEX(tblStock[StockActual],'91_KPIS'!$Q52))</f>
        <v/>
      </c>
      <c r="I52" s="55" t="str">
        <f>IF($B52="","",INDEX(tblStock[StockMin],'91_KPIS'!$Q52))</f>
        <v/>
      </c>
      <c r="J52" s="55" t="str">
        <f>IF($B52="","",INDEX(tblStock[StockMax],'91_KPIS'!$Q52))</f>
        <v/>
      </c>
      <c r="K52" s="53" t="str">
        <f>IF($B52="","",INDEX(tblStock[Unidad],'91_KPIS'!$Q52))</f>
        <v/>
      </c>
      <c r="L52" s="55" t="str">
        <f t="shared" si="0"/>
        <v/>
      </c>
      <c r="M52" s="55" t="str">
        <f t="shared" si="1"/>
        <v/>
      </c>
      <c r="N52" s="54" t="str">
        <f>IF($B52="","",IFERROR(INDEX(tblEstados[Acción],MATCH($C52,tblEstados[Estado],0)),""))</f>
        <v/>
      </c>
      <c r="O52" s="60" t="str">
        <f>IF($B52="","",INDEX(tblStock[UltimoMov],'91_KPIS'!$Q52))</f>
        <v/>
      </c>
    </row>
    <row r="53" spans="2:15" x14ac:dyDescent="0.25">
      <c r="B53" s="62" t="str">
        <f>IF('91_KPIS'!$Q53="","",'91_KPIS'!$O53)</f>
        <v/>
      </c>
      <c r="C53" s="58" t="str">
        <f>IF($B53="","",INDEX(tblStock[Estado],'91_KPIS'!$Q53))</f>
        <v/>
      </c>
      <c r="D53" s="53" t="str">
        <f>IF($B53="","",INDEX(tblStock[SKU],'91_KPIS'!$Q53))</f>
        <v/>
      </c>
      <c r="E53" s="54" t="str">
        <f>IF($B53="","",INDEX(tblStock[Producto],'91_KPIS'!$Q53))</f>
        <v/>
      </c>
      <c r="F53" s="54" t="str">
        <f>IF($B53="","",INDEX(tblStock[Categoría],'91_KPIS'!$Q53))</f>
        <v/>
      </c>
      <c r="G53" s="54" t="str">
        <f>IF($B53="","",INDEX(tblStock[Proveedor],'91_KPIS'!$Q53)&amp;"")</f>
        <v/>
      </c>
      <c r="H53" s="56" t="str">
        <f>IF($B53="","",INDEX(tblStock[StockActual],'91_KPIS'!$Q53))</f>
        <v/>
      </c>
      <c r="I53" s="55" t="str">
        <f>IF($B53="","",INDEX(tblStock[StockMin],'91_KPIS'!$Q53))</f>
        <v/>
      </c>
      <c r="J53" s="55" t="str">
        <f>IF($B53="","",INDEX(tblStock[StockMax],'91_KPIS'!$Q53))</f>
        <v/>
      </c>
      <c r="K53" s="53" t="str">
        <f>IF($B53="","",INDEX(tblStock[Unidad],'91_KPIS'!$Q53))</f>
        <v/>
      </c>
      <c r="L53" s="55" t="str">
        <f t="shared" si="0"/>
        <v/>
      </c>
      <c r="M53" s="55" t="str">
        <f t="shared" si="1"/>
        <v/>
      </c>
      <c r="N53" s="54" t="str">
        <f>IF($B53="","",IFERROR(INDEX(tblEstados[Acción],MATCH($C53,tblEstados[Estado],0)),""))</f>
        <v/>
      </c>
      <c r="O53" s="60" t="str">
        <f>IF($B53="","",INDEX(tblStock[UltimoMov],'91_KPIS'!$Q53))</f>
        <v/>
      </c>
    </row>
    <row r="54" spans="2:15" x14ac:dyDescent="0.25">
      <c r="B54" s="62" t="str">
        <f>IF('91_KPIS'!$Q54="","",'91_KPIS'!$O54)</f>
        <v/>
      </c>
      <c r="C54" s="58" t="str">
        <f>IF($B54="","",INDEX(tblStock[Estado],'91_KPIS'!$Q54))</f>
        <v/>
      </c>
      <c r="D54" s="53" t="str">
        <f>IF($B54="","",INDEX(tblStock[SKU],'91_KPIS'!$Q54))</f>
        <v/>
      </c>
      <c r="E54" s="54" t="str">
        <f>IF($B54="","",INDEX(tblStock[Producto],'91_KPIS'!$Q54))</f>
        <v/>
      </c>
      <c r="F54" s="54" t="str">
        <f>IF($B54="","",INDEX(tblStock[Categoría],'91_KPIS'!$Q54))</f>
        <v/>
      </c>
      <c r="G54" s="54" t="str">
        <f>IF($B54="","",INDEX(tblStock[Proveedor],'91_KPIS'!$Q54)&amp;"")</f>
        <v/>
      </c>
      <c r="H54" s="56" t="str">
        <f>IF($B54="","",INDEX(tblStock[StockActual],'91_KPIS'!$Q54))</f>
        <v/>
      </c>
      <c r="I54" s="55" t="str">
        <f>IF($B54="","",INDEX(tblStock[StockMin],'91_KPIS'!$Q54))</f>
        <v/>
      </c>
      <c r="J54" s="55" t="str">
        <f>IF($B54="","",INDEX(tblStock[StockMax],'91_KPIS'!$Q54))</f>
        <v/>
      </c>
      <c r="K54" s="53" t="str">
        <f>IF($B54="","",INDEX(tblStock[Unidad],'91_KPIS'!$Q54))</f>
        <v/>
      </c>
      <c r="L54" s="55" t="str">
        <f t="shared" si="0"/>
        <v/>
      </c>
      <c r="M54" s="55" t="str">
        <f t="shared" si="1"/>
        <v/>
      </c>
      <c r="N54" s="54" t="str">
        <f>IF($B54="","",IFERROR(INDEX(tblEstados[Acción],MATCH($C54,tblEstados[Estado],0)),""))</f>
        <v/>
      </c>
      <c r="O54" s="60" t="str">
        <f>IF($B54="","",INDEX(tblStock[UltimoMov],'91_KPIS'!$Q54))</f>
        <v/>
      </c>
    </row>
    <row r="55" spans="2:15" x14ac:dyDescent="0.25">
      <c r="B55" s="62" t="str">
        <f>IF('91_KPIS'!$Q55="","",'91_KPIS'!$O55)</f>
        <v/>
      </c>
      <c r="C55" s="58" t="str">
        <f>IF($B55="","",INDEX(tblStock[Estado],'91_KPIS'!$Q55))</f>
        <v/>
      </c>
      <c r="D55" s="53" t="str">
        <f>IF($B55="","",INDEX(tblStock[SKU],'91_KPIS'!$Q55))</f>
        <v/>
      </c>
      <c r="E55" s="54" t="str">
        <f>IF($B55="","",INDEX(tblStock[Producto],'91_KPIS'!$Q55))</f>
        <v/>
      </c>
      <c r="F55" s="54" t="str">
        <f>IF($B55="","",INDEX(tblStock[Categoría],'91_KPIS'!$Q55))</f>
        <v/>
      </c>
      <c r="G55" s="54" t="str">
        <f>IF($B55="","",INDEX(tblStock[Proveedor],'91_KPIS'!$Q55)&amp;"")</f>
        <v/>
      </c>
      <c r="H55" s="56" t="str">
        <f>IF($B55="","",INDEX(tblStock[StockActual],'91_KPIS'!$Q55))</f>
        <v/>
      </c>
      <c r="I55" s="55" t="str">
        <f>IF($B55="","",INDEX(tblStock[StockMin],'91_KPIS'!$Q55))</f>
        <v/>
      </c>
      <c r="J55" s="55" t="str">
        <f>IF($B55="","",INDEX(tblStock[StockMax],'91_KPIS'!$Q55))</f>
        <v/>
      </c>
      <c r="K55" s="53" t="str">
        <f>IF($B55="","",INDEX(tblStock[Unidad],'91_KPIS'!$Q55))</f>
        <v/>
      </c>
      <c r="L55" s="55" t="str">
        <f t="shared" si="0"/>
        <v/>
      </c>
      <c r="M55" s="55" t="str">
        <f t="shared" si="1"/>
        <v/>
      </c>
      <c r="N55" s="54" t="str">
        <f>IF($B55="","",IFERROR(INDEX(tblEstados[Acción],MATCH($C55,tblEstados[Estado],0)),""))</f>
        <v/>
      </c>
      <c r="O55" s="60" t="str">
        <f>IF($B55="","",INDEX(tblStock[UltimoMov],'91_KPIS'!$Q55))</f>
        <v/>
      </c>
    </row>
    <row r="56" spans="2:15" x14ac:dyDescent="0.25">
      <c r="B56" s="62" t="str">
        <f>IF('91_KPIS'!$Q56="","",'91_KPIS'!$O56)</f>
        <v/>
      </c>
      <c r="C56" s="58" t="str">
        <f>IF($B56="","",INDEX(tblStock[Estado],'91_KPIS'!$Q56))</f>
        <v/>
      </c>
      <c r="D56" s="53" t="str">
        <f>IF($B56="","",INDEX(tblStock[SKU],'91_KPIS'!$Q56))</f>
        <v/>
      </c>
      <c r="E56" s="54" t="str">
        <f>IF($B56="","",INDEX(tblStock[Producto],'91_KPIS'!$Q56))</f>
        <v/>
      </c>
      <c r="F56" s="54" t="str">
        <f>IF($B56="","",INDEX(tblStock[Categoría],'91_KPIS'!$Q56))</f>
        <v/>
      </c>
      <c r="G56" s="54" t="str">
        <f>IF($B56="","",INDEX(tblStock[Proveedor],'91_KPIS'!$Q56)&amp;"")</f>
        <v/>
      </c>
      <c r="H56" s="56" t="str">
        <f>IF($B56="","",INDEX(tblStock[StockActual],'91_KPIS'!$Q56))</f>
        <v/>
      </c>
      <c r="I56" s="55" t="str">
        <f>IF($B56="","",INDEX(tblStock[StockMin],'91_KPIS'!$Q56))</f>
        <v/>
      </c>
      <c r="J56" s="55" t="str">
        <f>IF($B56="","",INDEX(tblStock[StockMax],'91_KPIS'!$Q56))</f>
        <v/>
      </c>
      <c r="K56" s="53" t="str">
        <f>IF($B56="","",INDEX(tblStock[Unidad],'91_KPIS'!$Q56))</f>
        <v/>
      </c>
      <c r="L56" s="55" t="str">
        <f t="shared" si="0"/>
        <v/>
      </c>
      <c r="M56" s="55" t="str">
        <f t="shared" si="1"/>
        <v/>
      </c>
      <c r="N56" s="54" t="str">
        <f>IF($B56="","",IFERROR(INDEX(tblEstados[Acción],MATCH($C56,tblEstados[Estado],0)),""))</f>
        <v/>
      </c>
      <c r="O56" s="60" t="str">
        <f>IF($B56="","",INDEX(tblStock[UltimoMov],'91_KPIS'!$Q56))</f>
        <v/>
      </c>
    </row>
    <row r="57" spans="2:15" x14ac:dyDescent="0.25">
      <c r="B57" s="62" t="str">
        <f>IF('91_KPIS'!$Q57="","",'91_KPIS'!$O57)</f>
        <v/>
      </c>
      <c r="C57" s="58" t="str">
        <f>IF($B57="","",INDEX(tblStock[Estado],'91_KPIS'!$Q57))</f>
        <v/>
      </c>
      <c r="D57" s="53" t="str">
        <f>IF($B57="","",INDEX(tblStock[SKU],'91_KPIS'!$Q57))</f>
        <v/>
      </c>
      <c r="E57" s="54" t="str">
        <f>IF($B57="","",INDEX(tblStock[Producto],'91_KPIS'!$Q57))</f>
        <v/>
      </c>
      <c r="F57" s="54" t="str">
        <f>IF($B57="","",INDEX(tblStock[Categoría],'91_KPIS'!$Q57))</f>
        <v/>
      </c>
      <c r="G57" s="54" t="str">
        <f>IF($B57="","",INDEX(tblStock[Proveedor],'91_KPIS'!$Q57)&amp;"")</f>
        <v/>
      </c>
      <c r="H57" s="56" t="str">
        <f>IF($B57="","",INDEX(tblStock[StockActual],'91_KPIS'!$Q57))</f>
        <v/>
      </c>
      <c r="I57" s="55" t="str">
        <f>IF($B57="","",INDEX(tblStock[StockMin],'91_KPIS'!$Q57))</f>
        <v/>
      </c>
      <c r="J57" s="55" t="str">
        <f>IF($B57="","",INDEX(tblStock[StockMax],'91_KPIS'!$Q57))</f>
        <v/>
      </c>
      <c r="K57" s="53" t="str">
        <f>IF($B57="","",INDEX(tblStock[Unidad],'91_KPIS'!$Q57))</f>
        <v/>
      </c>
      <c r="L57" s="55" t="str">
        <f t="shared" si="0"/>
        <v/>
      </c>
      <c r="M57" s="55" t="str">
        <f t="shared" si="1"/>
        <v/>
      </c>
      <c r="N57" s="54" t="str">
        <f>IF($B57="","",IFERROR(INDEX(tblEstados[Acción],MATCH($C57,tblEstados[Estado],0)),""))</f>
        <v/>
      </c>
      <c r="O57" s="60" t="str">
        <f>IF($B57="","",INDEX(tblStock[UltimoMov],'91_KPIS'!$Q57))</f>
        <v/>
      </c>
    </row>
    <row r="58" spans="2:15" x14ac:dyDescent="0.25">
      <c r="B58" s="62" t="str">
        <f>IF('91_KPIS'!$Q58="","",'91_KPIS'!$O58)</f>
        <v/>
      </c>
      <c r="C58" s="58" t="str">
        <f>IF($B58="","",INDEX(tblStock[Estado],'91_KPIS'!$Q58))</f>
        <v/>
      </c>
      <c r="D58" s="53" t="str">
        <f>IF($B58="","",INDEX(tblStock[SKU],'91_KPIS'!$Q58))</f>
        <v/>
      </c>
      <c r="E58" s="54" t="str">
        <f>IF($B58="","",INDEX(tblStock[Producto],'91_KPIS'!$Q58))</f>
        <v/>
      </c>
      <c r="F58" s="54" t="str">
        <f>IF($B58="","",INDEX(tblStock[Categoría],'91_KPIS'!$Q58))</f>
        <v/>
      </c>
      <c r="G58" s="54" t="str">
        <f>IF($B58="","",INDEX(tblStock[Proveedor],'91_KPIS'!$Q58)&amp;"")</f>
        <v/>
      </c>
      <c r="H58" s="56" t="str">
        <f>IF($B58="","",INDEX(tblStock[StockActual],'91_KPIS'!$Q58))</f>
        <v/>
      </c>
      <c r="I58" s="55" t="str">
        <f>IF($B58="","",INDEX(tblStock[StockMin],'91_KPIS'!$Q58))</f>
        <v/>
      </c>
      <c r="J58" s="55" t="str">
        <f>IF($B58="","",INDEX(tblStock[StockMax],'91_KPIS'!$Q58))</f>
        <v/>
      </c>
      <c r="K58" s="53" t="str">
        <f>IF($B58="","",INDEX(tblStock[Unidad],'91_KPIS'!$Q58))</f>
        <v/>
      </c>
      <c r="L58" s="55" t="str">
        <f t="shared" si="0"/>
        <v/>
      </c>
      <c r="M58" s="55" t="str">
        <f t="shared" si="1"/>
        <v/>
      </c>
      <c r="N58" s="54" t="str">
        <f>IF($B58="","",IFERROR(INDEX(tblEstados[Acción],MATCH($C58,tblEstados[Estado],0)),""))</f>
        <v/>
      </c>
      <c r="O58" s="60" t="str">
        <f>IF($B58="","",INDEX(tblStock[UltimoMov],'91_KPIS'!$Q58))</f>
        <v/>
      </c>
    </row>
    <row r="59" spans="2:15" x14ac:dyDescent="0.25">
      <c r="B59" s="62" t="str">
        <f>IF('91_KPIS'!$Q59="","",'91_KPIS'!$O59)</f>
        <v/>
      </c>
      <c r="C59" s="58" t="str">
        <f>IF($B59="","",INDEX(tblStock[Estado],'91_KPIS'!$Q59))</f>
        <v/>
      </c>
      <c r="D59" s="53" t="str">
        <f>IF($B59="","",INDEX(tblStock[SKU],'91_KPIS'!$Q59))</f>
        <v/>
      </c>
      <c r="E59" s="54" t="str">
        <f>IF($B59="","",INDEX(tblStock[Producto],'91_KPIS'!$Q59))</f>
        <v/>
      </c>
      <c r="F59" s="54" t="str">
        <f>IF($B59="","",INDEX(tblStock[Categoría],'91_KPIS'!$Q59))</f>
        <v/>
      </c>
      <c r="G59" s="54" t="str">
        <f>IF($B59="","",INDEX(tblStock[Proveedor],'91_KPIS'!$Q59)&amp;"")</f>
        <v/>
      </c>
      <c r="H59" s="56" t="str">
        <f>IF($B59="","",INDEX(tblStock[StockActual],'91_KPIS'!$Q59))</f>
        <v/>
      </c>
      <c r="I59" s="55" t="str">
        <f>IF($B59="","",INDEX(tblStock[StockMin],'91_KPIS'!$Q59))</f>
        <v/>
      </c>
      <c r="J59" s="55" t="str">
        <f>IF($B59="","",INDEX(tblStock[StockMax],'91_KPIS'!$Q59))</f>
        <v/>
      </c>
      <c r="K59" s="53" t="str">
        <f>IF($B59="","",INDEX(tblStock[Unidad],'91_KPIS'!$Q59))</f>
        <v/>
      </c>
      <c r="L59" s="55" t="str">
        <f t="shared" si="0"/>
        <v/>
      </c>
      <c r="M59" s="55" t="str">
        <f t="shared" si="1"/>
        <v/>
      </c>
      <c r="N59" s="54" t="str">
        <f>IF($B59="","",IFERROR(INDEX(tblEstados[Acción],MATCH($C59,tblEstados[Estado],0)),""))</f>
        <v/>
      </c>
      <c r="O59" s="60" t="str">
        <f>IF($B59="","",INDEX(tblStock[UltimoMov],'91_KPIS'!$Q59))</f>
        <v/>
      </c>
    </row>
    <row r="60" spans="2:15" x14ac:dyDescent="0.25">
      <c r="B60" s="62" t="str">
        <f>IF('91_KPIS'!$Q60="","",'91_KPIS'!$O60)</f>
        <v/>
      </c>
      <c r="C60" s="58" t="str">
        <f>IF($B60="","",INDEX(tblStock[Estado],'91_KPIS'!$Q60))</f>
        <v/>
      </c>
      <c r="D60" s="53" t="str">
        <f>IF($B60="","",INDEX(tblStock[SKU],'91_KPIS'!$Q60))</f>
        <v/>
      </c>
      <c r="E60" s="54" t="str">
        <f>IF($B60="","",INDEX(tblStock[Producto],'91_KPIS'!$Q60))</f>
        <v/>
      </c>
      <c r="F60" s="54" t="str">
        <f>IF($B60="","",INDEX(tblStock[Categoría],'91_KPIS'!$Q60))</f>
        <v/>
      </c>
      <c r="G60" s="54" t="str">
        <f>IF($B60="","",INDEX(tblStock[Proveedor],'91_KPIS'!$Q60)&amp;"")</f>
        <v/>
      </c>
      <c r="H60" s="56" t="str">
        <f>IF($B60="","",INDEX(tblStock[StockActual],'91_KPIS'!$Q60))</f>
        <v/>
      </c>
      <c r="I60" s="55" t="str">
        <f>IF($B60="","",INDEX(tblStock[StockMin],'91_KPIS'!$Q60))</f>
        <v/>
      </c>
      <c r="J60" s="55" t="str">
        <f>IF($B60="","",INDEX(tblStock[StockMax],'91_KPIS'!$Q60))</f>
        <v/>
      </c>
      <c r="K60" s="53" t="str">
        <f>IF($B60="","",INDEX(tblStock[Unidad],'91_KPIS'!$Q60))</f>
        <v/>
      </c>
      <c r="L60" s="55" t="str">
        <f t="shared" si="0"/>
        <v/>
      </c>
      <c r="M60" s="55" t="str">
        <f t="shared" si="1"/>
        <v/>
      </c>
      <c r="N60" s="54" t="str">
        <f>IF($B60="","",IFERROR(INDEX(tblEstados[Acción],MATCH($C60,tblEstados[Estado],0)),""))</f>
        <v/>
      </c>
      <c r="O60" s="60" t="str">
        <f>IF($B60="","",INDEX(tblStock[UltimoMov],'91_KPIS'!$Q60))</f>
        <v/>
      </c>
    </row>
    <row r="61" spans="2:15" x14ac:dyDescent="0.25">
      <c r="B61" s="62" t="str">
        <f>IF('91_KPIS'!$Q61="","",'91_KPIS'!$O61)</f>
        <v/>
      </c>
      <c r="C61" s="58" t="str">
        <f>IF($B61="","",INDEX(tblStock[Estado],'91_KPIS'!$Q61))</f>
        <v/>
      </c>
      <c r="D61" s="53" t="str">
        <f>IF($B61="","",INDEX(tblStock[SKU],'91_KPIS'!$Q61))</f>
        <v/>
      </c>
      <c r="E61" s="54" t="str">
        <f>IF($B61="","",INDEX(tblStock[Producto],'91_KPIS'!$Q61))</f>
        <v/>
      </c>
      <c r="F61" s="54" t="str">
        <f>IF($B61="","",INDEX(tblStock[Categoría],'91_KPIS'!$Q61))</f>
        <v/>
      </c>
      <c r="G61" s="54" t="str">
        <f>IF($B61="","",INDEX(tblStock[Proveedor],'91_KPIS'!$Q61)&amp;"")</f>
        <v/>
      </c>
      <c r="H61" s="56" t="str">
        <f>IF($B61="","",INDEX(tblStock[StockActual],'91_KPIS'!$Q61))</f>
        <v/>
      </c>
      <c r="I61" s="55" t="str">
        <f>IF($B61="","",INDEX(tblStock[StockMin],'91_KPIS'!$Q61))</f>
        <v/>
      </c>
      <c r="J61" s="55" t="str">
        <f>IF($B61="","",INDEX(tblStock[StockMax],'91_KPIS'!$Q61))</f>
        <v/>
      </c>
      <c r="K61" s="53" t="str">
        <f>IF($B61="","",INDEX(tblStock[Unidad],'91_KPIS'!$Q61))</f>
        <v/>
      </c>
      <c r="L61" s="55" t="str">
        <f t="shared" si="0"/>
        <v/>
      </c>
      <c r="M61" s="55" t="str">
        <f t="shared" si="1"/>
        <v/>
      </c>
      <c r="N61" s="54" t="str">
        <f>IF($B61="","",IFERROR(INDEX(tblEstados[Acción],MATCH($C61,tblEstados[Estado],0)),""))</f>
        <v/>
      </c>
      <c r="O61" s="60" t="str">
        <f>IF($B61="","",INDEX(tblStock[UltimoMov],'91_KPIS'!$Q61))</f>
        <v/>
      </c>
    </row>
    <row r="62" spans="2:15" x14ac:dyDescent="0.25">
      <c r="B62" s="62" t="str">
        <f>IF('91_KPIS'!$Q62="","",'91_KPIS'!$O62)</f>
        <v/>
      </c>
      <c r="C62" s="58" t="str">
        <f>IF($B62="","",INDEX(tblStock[Estado],'91_KPIS'!$Q62))</f>
        <v/>
      </c>
      <c r="D62" s="53" t="str">
        <f>IF($B62="","",INDEX(tblStock[SKU],'91_KPIS'!$Q62))</f>
        <v/>
      </c>
      <c r="E62" s="54" t="str">
        <f>IF($B62="","",INDEX(tblStock[Producto],'91_KPIS'!$Q62))</f>
        <v/>
      </c>
      <c r="F62" s="54" t="str">
        <f>IF($B62="","",INDEX(tblStock[Categoría],'91_KPIS'!$Q62))</f>
        <v/>
      </c>
      <c r="G62" s="54" t="str">
        <f>IF($B62="","",INDEX(tblStock[Proveedor],'91_KPIS'!$Q62)&amp;"")</f>
        <v/>
      </c>
      <c r="H62" s="56" t="str">
        <f>IF($B62="","",INDEX(tblStock[StockActual],'91_KPIS'!$Q62))</f>
        <v/>
      </c>
      <c r="I62" s="55" t="str">
        <f>IF($B62="","",INDEX(tblStock[StockMin],'91_KPIS'!$Q62))</f>
        <v/>
      </c>
      <c r="J62" s="55" t="str">
        <f>IF($B62="","",INDEX(tblStock[StockMax],'91_KPIS'!$Q62))</f>
        <v/>
      </c>
      <c r="K62" s="53" t="str">
        <f>IF($B62="","",INDEX(tblStock[Unidad],'91_KPIS'!$Q62))</f>
        <v/>
      </c>
      <c r="L62" s="55" t="str">
        <f t="shared" si="0"/>
        <v/>
      </c>
      <c r="M62" s="55" t="str">
        <f t="shared" si="1"/>
        <v/>
      </c>
      <c r="N62" s="54" t="str">
        <f>IF($B62="","",IFERROR(INDEX(tblEstados[Acción],MATCH($C62,tblEstados[Estado],0)),""))</f>
        <v/>
      </c>
      <c r="O62" s="60" t="str">
        <f>IF($B62="","",INDEX(tblStock[UltimoMov],'91_KPIS'!$Q62))</f>
        <v/>
      </c>
    </row>
    <row r="63" spans="2:15" x14ac:dyDescent="0.25">
      <c r="B63" s="62" t="str">
        <f>IF('91_KPIS'!$Q63="","",'91_KPIS'!$O63)</f>
        <v/>
      </c>
      <c r="C63" s="58" t="str">
        <f>IF($B63="","",INDEX(tblStock[Estado],'91_KPIS'!$Q63))</f>
        <v/>
      </c>
      <c r="D63" s="53" t="str">
        <f>IF($B63="","",INDEX(tblStock[SKU],'91_KPIS'!$Q63))</f>
        <v/>
      </c>
      <c r="E63" s="54" t="str">
        <f>IF($B63="","",INDEX(tblStock[Producto],'91_KPIS'!$Q63))</f>
        <v/>
      </c>
      <c r="F63" s="54" t="str">
        <f>IF($B63="","",INDEX(tblStock[Categoría],'91_KPIS'!$Q63))</f>
        <v/>
      </c>
      <c r="G63" s="54" t="str">
        <f>IF($B63="","",INDEX(tblStock[Proveedor],'91_KPIS'!$Q63)&amp;"")</f>
        <v/>
      </c>
      <c r="H63" s="56" t="str">
        <f>IF($B63="","",INDEX(tblStock[StockActual],'91_KPIS'!$Q63))</f>
        <v/>
      </c>
      <c r="I63" s="55" t="str">
        <f>IF($B63="","",INDEX(tblStock[StockMin],'91_KPIS'!$Q63))</f>
        <v/>
      </c>
      <c r="J63" s="55" t="str">
        <f>IF($B63="","",INDEX(tblStock[StockMax],'91_KPIS'!$Q63))</f>
        <v/>
      </c>
      <c r="K63" s="53" t="str">
        <f>IF($B63="","",INDEX(tblStock[Unidad],'91_KPIS'!$Q63))</f>
        <v/>
      </c>
      <c r="L63" s="55" t="str">
        <f t="shared" si="0"/>
        <v/>
      </c>
      <c r="M63" s="55" t="str">
        <f t="shared" si="1"/>
        <v/>
      </c>
      <c r="N63" s="54" t="str">
        <f>IF($B63="","",IFERROR(INDEX(tblEstados[Acción],MATCH($C63,tblEstados[Estado],0)),""))</f>
        <v/>
      </c>
      <c r="O63" s="60" t="str">
        <f>IF($B63="","",INDEX(tblStock[UltimoMov],'91_KPIS'!$Q63))</f>
        <v/>
      </c>
    </row>
    <row r="64" spans="2:15" x14ac:dyDescent="0.25">
      <c r="B64" s="62" t="str">
        <f>IF('91_KPIS'!$Q64="","",'91_KPIS'!$O64)</f>
        <v/>
      </c>
      <c r="C64" s="58" t="str">
        <f>IF($B64="","",INDEX(tblStock[Estado],'91_KPIS'!$Q64))</f>
        <v/>
      </c>
      <c r="D64" s="53" t="str">
        <f>IF($B64="","",INDEX(tblStock[SKU],'91_KPIS'!$Q64))</f>
        <v/>
      </c>
      <c r="E64" s="54" t="str">
        <f>IF($B64="","",INDEX(tblStock[Producto],'91_KPIS'!$Q64))</f>
        <v/>
      </c>
      <c r="F64" s="54" t="str">
        <f>IF($B64="","",INDEX(tblStock[Categoría],'91_KPIS'!$Q64))</f>
        <v/>
      </c>
      <c r="G64" s="54" t="str">
        <f>IF($B64="","",INDEX(tblStock[Proveedor],'91_KPIS'!$Q64)&amp;"")</f>
        <v/>
      </c>
      <c r="H64" s="56" t="str">
        <f>IF($B64="","",INDEX(tblStock[StockActual],'91_KPIS'!$Q64))</f>
        <v/>
      </c>
      <c r="I64" s="55" t="str">
        <f>IF($B64="","",INDEX(tblStock[StockMin],'91_KPIS'!$Q64))</f>
        <v/>
      </c>
      <c r="J64" s="55" t="str">
        <f>IF($B64="","",INDEX(tblStock[StockMax],'91_KPIS'!$Q64))</f>
        <v/>
      </c>
      <c r="K64" s="53" t="str">
        <f>IF($B64="","",INDEX(tblStock[Unidad],'91_KPIS'!$Q64))</f>
        <v/>
      </c>
      <c r="L64" s="55" t="str">
        <f t="shared" si="0"/>
        <v/>
      </c>
      <c r="M64" s="55" t="str">
        <f t="shared" si="1"/>
        <v/>
      </c>
      <c r="N64" s="54" t="str">
        <f>IF($B64="","",IFERROR(INDEX(tblEstados[Acción],MATCH($C64,tblEstados[Estado],0)),""))</f>
        <v/>
      </c>
      <c r="O64" s="60" t="str">
        <f>IF($B64="","",INDEX(tblStock[UltimoMov],'91_KPIS'!$Q64))</f>
        <v/>
      </c>
    </row>
    <row r="65" spans="2:15" x14ac:dyDescent="0.25">
      <c r="B65" s="62" t="str">
        <f>IF('91_KPIS'!$Q65="","",'91_KPIS'!$O65)</f>
        <v/>
      </c>
      <c r="C65" s="58" t="str">
        <f>IF($B65="","",INDEX(tblStock[Estado],'91_KPIS'!$Q65))</f>
        <v/>
      </c>
      <c r="D65" s="53" t="str">
        <f>IF($B65="","",INDEX(tblStock[SKU],'91_KPIS'!$Q65))</f>
        <v/>
      </c>
      <c r="E65" s="54" t="str">
        <f>IF($B65="","",INDEX(tblStock[Producto],'91_KPIS'!$Q65))</f>
        <v/>
      </c>
      <c r="F65" s="54" t="str">
        <f>IF($B65="","",INDEX(tblStock[Categoría],'91_KPIS'!$Q65))</f>
        <v/>
      </c>
      <c r="G65" s="54" t="str">
        <f>IF($B65="","",INDEX(tblStock[Proveedor],'91_KPIS'!$Q65)&amp;"")</f>
        <v/>
      </c>
      <c r="H65" s="56" t="str">
        <f>IF($B65="","",INDEX(tblStock[StockActual],'91_KPIS'!$Q65))</f>
        <v/>
      </c>
      <c r="I65" s="55" t="str">
        <f>IF($B65="","",INDEX(tblStock[StockMin],'91_KPIS'!$Q65))</f>
        <v/>
      </c>
      <c r="J65" s="55" t="str">
        <f>IF($B65="","",INDEX(tblStock[StockMax],'91_KPIS'!$Q65))</f>
        <v/>
      </c>
      <c r="K65" s="53" t="str">
        <f>IF($B65="","",INDEX(tblStock[Unidad],'91_KPIS'!$Q65))</f>
        <v/>
      </c>
      <c r="L65" s="55" t="str">
        <f t="shared" si="0"/>
        <v/>
      </c>
      <c r="M65" s="55" t="str">
        <f t="shared" si="1"/>
        <v/>
      </c>
      <c r="N65" s="54" t="str">
        <f>IF($B65="","",IFERROR(INDEX(tblEstados[Acción],MATCH($C65,tblEstados[Estado],0)),""))</f>
        <v/>
      </c>
      <c r="O65" s="60" t="str">
        <f>IF($B65="","",INDEX(tblStock[UltimoMov],'91_KPIS'!$Q65))</f>
        <v/>
      </c>
    </row>
    <row r="66" spans="2:15" x14ac:dyDescent="0.25">
      <c r="B66" s="62" t="str">
        <f>IF('91_KPIS'!$Q66="","",'91_KPIS'!$O66)</f>
        <v/>
      </c>
      <c r="C66" s="58" t="str">
        <f>IF($B66="","",INDEX(tblStock[Estado],'91_KPIS'!$Q66))</f>
        <v/>
      </c>
      <c r="D66" s="53" t="str">
        <f>IF($B66="","",INDEX(tblStock[SKU],'91_KPIS'!$Q66))</f>
        <v/>
      </c>
      <c r="E66" s="54" t="str">
        <f>IF($B66="","",INDEX(tblStock[Producto],'91_KPIS'!$Q66))</f>
        <v/>
      </c>
      <c r="F66" s="54" t="str">
        <f>IF($B66="","",INDEX(tblStock[Categoría],'91_KPIS'!$Q66))</f>
        <v/>
      </c>
      <c r="G66" s="54" t="str">
        <f>IF($B66="","",INDEX(tblStock[Proveedor],'91_KPIS'!$Q66)&amp;"")</f>
        <v/>
      </c>
      <c r="H66" s="56" t="str">
        <f>IF($B66="","",INDEX(tblStock[StockActual],'91_KPIS'!$Q66))</f>
        <v/>
      </c>
      <c r="I66" s="55" t="str">
        <f>IF($B66="","",INDEX(tblStock[StockMin],'91_KPIS'!$Q66))</f>
        <v/>
      </c>
      <c r="J66" s="55" t="str">
        <f>IF($B66="","",INDEX(tblStock[StockMax],'91_KPIS'!$Q66))</f>
        <v/>
      </c>
      <c r="K66" s="53" t="str">
        <f>IF($B66="","",INDEX(tblStock[Unidad],'91_KPIS'!$Q66))</f>
        <v/>
      </c>
      <c r="L66" s="55" t="str">
        <f t="shared" si="0"/>
        <v/>
      </c>
      <c r="M66" s="55" t="str">
        <f t="shared" si="1"/>
        <v/>
      </c>
      <c r="N66" s="54" t="str">
        <f>IF($B66="","",IFERROR(INDEX(tblEstados[Acción],MATCH($C66,tblEstados[Estado],0)),""))</f>
        <v/>
      </c>
      <c r="O66" s="60" t="str">
        <f>IF($B66="","",INDEX(tblStock[UltimoMov],'91_KPIS'!$Q66))</f>
        <v/>
      </c>
    </row>
    <row r="67" spans="2:15" x14ac:dyDescent="0.25">
      <c r="B67" s="62" t="str">
        <f>IF('91_KPIS'!$Q67="","",'91_KPIS'!$O67)</f>
        <v/>
      </c>
      <c r="C67" s="58" t="str">
        <f>IF($B67="","",INDEX(tblStock[Estado],'91_KPIS'!$Q67))</f>
        <v/>
      </c>
      <c r="D67" s="53" t="str">
        <f>IF($B67="","",INDEX(tblStock[SKU],'91_KPIS'!$Q67))</f>
        <v/>
      </c>
      <c r="E67" s="54" t="str">
        <f>IF($B67="","",INDEX(tblStock[Producto],'91_KPIS'!$Q67))</f>
        <v/>
      </c>
      <c r="F67" s="54" t="str">
        <f>IF($B67="","",INDEX(tblStock[Categoría],'91_KPIS'!$Q67))</f>
        <v/>
      </c>
      <c r="G67" s="54" t="str">
        <f>IF($B67="","",INDEX(tblStock[Proveedor],'91_KPIS'!$Q67)&amp;"")</f>
        <v/>
      </c>
      <c r="H67" s="56" t="str">
        <f>IF($B67="","",INDEX(tblStock[StockActual],'91_KPIS'!$Q67))</f>
        <v/>
      </c>
      <c r="I67" s="55" t="str">
        <f>IF($B67="","",INDEX(tblStock[StockMin],'91_KPIS'!$Q67))</f>
        <v/>
      </c>
      <c r="J67" s="55" t="str">
        <f>IF($B67="","",INDEX(tblStock[StockMax],'91_KPIS'!$Q67))</f>
        <v/>
      </c>
      <c r="K67" s="53" t="str">
        <f>IF($B67="","",INDEX(tblStock[Unidad],'91_KPIS'!$Q67))</f>
        <v/>
      </c>
      <c r="L67" s="55" t="str">
        <f t="shared" si="0"/>
        <v/>
      </c>
      <c r="M67" s="55" t="str">
        <f t="shared" si="1"/>
        <v/>
      </c>
      <c r="N67" s="54" t="str">
        <f>IF($B67="","",IFERROR(INDEX(tblEstados[Acción],MATCH($C67,tblEstados[Estado],0)),""))</f>
        <v/>
      </c>
      <c r="O67" s="60" t="str">
        <f>IF($B67="","",INDEX(tblStock[UltimoMov],'91_KPIS'!$Q67))</f>
        <v/>
      </c>
    </row>
    <row r="68" spans="2:15" x14ac:dyDescent="0.25">
      <c r="B68" s="62" t="str">
        <f>IF('91_KPIS'!$Q68="","",'91_KPIS'!$O68)</f>
        <v/>
      </c>
      <c r="C68" s="58" t="str">
        <f>IF($B68="","",INDEX(tblStock[Estado],'91_KPIS'!$Q68))</f>
        <v/>
      </c>
      <c r="D68" s="53" t="str">
        <f>IF($B68="","",INDEX(tblStock[SKU],'91_KPIS'!$Q68))</f>
        <v/>
      </c>
      <c r="E68" s="54" t="str">
        <f>IF($B68="","",INDEX(tblStock[Producto],'91_KPIS'!$Q68))</f>
        <v/>
      </c>
      <c r="F68" s="54" t="str">
        <f>IF($B68="","",INDEX(tblStock[Categoría],'91_KPIS'!$Q68))</f>
        <v/>
      </c>
      <c r="G68" s="54" t="str">
        <f>IF($B68="","",INDEX(tblStock[Proveedor],'91_KPIS'!$Q68)&amp;"")</f>
        <v/>
      </c>
      <c r="H68" s="56" t="str">
        <f>IF($B68="","",INDEX(tblStock[StockActual],'91_KPIS'!$Q68))</f>
        <v/>
      </c>
      <c r="I68" s="55" t="str">
        <f>IF($B68="","",INDEX(tblStock[StockMin],'91_KPIS'!$Q68))</f>
        <v/>
      </c>
      <c r="J68" s="55" t="str">
        <f>IF($B68="","",INDEX(tblStock[StockMax],'91_KPIS'!$Q68))</f>
        <v/>
      </c>
      <c r="K68" s="53" t="str">
        <f>IF($B68="","",INDEX(tblStock[Unidad],'91_KPIS'!$Q68))</f>
        <v/>
      </c>
      <c r="L68" s="55" t="str">
        <f t="shared" si="0"/>
        <v/>
      </c>
      <c r="M68" s="55" t="str">
        <f t="shared" si="1"/>
        <v/>
      </c>
      <c r="N68" s="54" t="str">
        <f>IF($B68="","",IFERROR(INDEX(tblEstados[Acción],MATCH($C68,tblEstados[Estado],0)),""))</f>
        <v/>
      </c>
      <c r="O68" s="60" t="str">
        <f>IF($B68="","",INDEX(tblStock[UltimoMov],'91_KPIS'!$Q68))</f>
        <v/>
      </c>
    </row>
    <row r="69" spans="2:15" x14ac:dyDescent="0.25">
      <c r="B69" s="62" t="str">
        <f>IF('91_KPIS'!$Q69="","",'91_KPIS'!$O69)</f>
        <v/>
      </c>
      <c r="C69" s="58" t="str">
        <f>IF($B69="","",INDEX(tblStock[Estado],'91_KPIS'!$Q69))</f>
        <v/>
      </c>
      <c r="D69" s="53" t="str">
        <f>IF($B69="","",INDEX(tblStock[SKU],'91_KPIS'!$Q69))</f>
        <v/>
      </c>
      <c r="E69" s="54" t="str">
        <f>IF($B69="","",INDEX(tblStock[Producto],'91_KPIS'!$Q69))</f>
        <v/>
      </c>
      <c r="F69" s="54" t="str">
        <f>IF($B69="","",INDEX(tblStock[Categoría],'91_KPIS'!$Q69))</f>
        <v/>
      </c>
      <c r="G69" s="54" t="str">
        <f>IF($B69="","",INDEX(tblStock[Proveedor],'91_KPIS'!$Q69)&amp;"")</f>
        <v/>
      </c>
      <c r="H69" s="56" t="str">
        <f>IF($B69="","",INDEX(tblStock[StockActual],'91_KPIS'!$Q69))</f>
        <v/>
      </c>
      <c r="I69" s="55" t="str">
        <f>IF($B69="","",INDEX(tblStock[StockMin],'91_KPIS'!$Q69))</f>
        <v/>
      </c>
      <c r="J69" s="55" t="str">
        <f>IF($B69="","",INDEX(tblStock[StockMax],'91_KPIS'!$Q69))</f>
        <v/>
      </c>
      <c r="K69" s="53" t="str">
        <f>IF($B69="","",INDEX(tblStock[Unidad],'91_KPIS'!$Q69))</f>
        <v/>
      </c>
      <c r="L69" s="55" t="str">
        <f t="shared" si="0"/>
        <v/>
      </c>
      <c r="M69" s="55" t="str">
        <f t="shared" si="1"/>
        <v/>
      </c>
      <c r="N69" s="54" t="str">
        <f>IF($B69="","",IFERROR(INDEX(tblEstados[Acción],MATCH($C69,tblEstados[Estado],0)),""))</f>
        <v/>
      </c>
      <c r="O69" s="60" t="str">
        <f>IF($B69="","",INDEX(tblStock[UltimoMov],'91_KPIS'!$Q69))</f>
        <v/>
      </c>
    </row>
    <row r="70" spans="2:15" x14ac:dyDescent="0.25">
      <c r="B70" s="62" t="str">
        <f>IF('91_KPIS'!$Q70="","",'91_KPIS'!$O70)</f>
        <v/>
      </c>
      <c r="C70" s="58" t="str">
        <f>IF($B70="","",INDEX(tblStock[Estado],'91_KPIS'!$Q70))</f>
        <v/>
      </c>
      <c r="D70" s="53" t="str">
        <f>IF($B70="","",INDEX(tblStock[SKU],'91_KPIS'!$Q70))</f>
        <v/>
      </c>
      <c r="E70" s="54" t="str">
        <f>IF($B70="","",INDEX(tblStock[Producto],'91_KPIS'!$Q70))</f>
        <v/>
      </c>
      <c r="F70" s="54" t="str">
        <f>IF($B70="","",INDEX(tblStock[Categoría],'91_KPIS'!$Q70))</f>
        <v/>
      </c>
      <c r="G70" s="54" t="str">
        <f>IF($B70="","",INDEX(tblStock[Proveedor],'91_KPIS'!$Q70)&amp;"")</f>
        <v/>
      </c>
      <c r="H70" s="56" t="str">
        <f>IF($B70="","",INDEX(tblStock[StockActual],'91_KPIS'!$Q70))</f>
        <v/>
      </c>
      <c r="I70" s="55" t="str">
        <f>IF($B70="","",INDEX(tblStock[StockMin],'91_KPIS'!$Q70))</f>
        <v/>
      </c>
      <c r="J70" s="55" t="str">
        <f>IF($B70="","",INDEX(tblStock[StockMax],'91_KPIS'!$Q70))</f>
        <v/>
      </c>
      <c r="K70" s="53" t="str">
        <f>IF($B70="","",INDEX(tblStock[Unidad],'91_KPIS'!$Q70))</f>
        <v/>
      </c>
      <c r="L70" s="55" t="str">
        <f t="shared" si="0"/>
        <v/>
      </c>
      <c r="M70" s="55" t="str">
        <f t="shared" si="1"/>
        <v/>
      </c>
      <c r="N70" s="54" t="str">
        <f>IF($B70="","",IFERROR(INDEX(tblEstados[Acción],MATCH($C70,tblEstados[Estado],0)),""))</f>
        <v/>
      </c>
      <c r="O70" s="60" t="str">
        <f>IF($B70="","",INDEX(tblStock[UltimoMov],'91_KPIS'!$Q70))</f>
        <v/>
      </c>
    </row>
    <row r="71" spans="2:15" x14ac:dyDescent="0.25">
      <c r="B71" s="62" t="str">
        <f>IF('91_KPIS'!$Q71="","",'91_KPIS'!$O71)</f>
        <v/>
      </c>
      <c r="C71" s="58" t="str">
        <f>IF($B71="","",INDEX(tblStock[Estado],'91_KPIS'!$Q71))</f>
        <v/>
      </c>
      <c r="D71" s="53" t="str">
        <f>IF($B71="","",INDEX(tblStock[SKU],'91_KPIS'!$Q71))</f>
        <v/>
      </c>
      <c r="E71" s="54" t="str">
        <f>IF($B71="","",INDEX(tblStock[Producto],'91_KPIS'!$Q71))</f>
        <v/>
      </c>
      <c r="F71" s="54" t="str">
        <f>IF($B71="","",INDEX(tblStock[Categoría],'91_KPIS'!$Q71))</f>
        <v/>
      </c>
      <c r="G71" s="54" t="str">
        <f>IF($B71="","",INDEX(tblStock[Proveedor],'91_KPIS'!$Q71)&amp;"")</f>
        <v/>
      </c>
      <c r="H71" s="56" t="str">
        <f>IF($B71="","",INDEX(tblStock[StockActual],'91_KPIS'!$Q71))</f>
        <v/>
      </c>
      <c r="I71" s="55" t="str">
        <f>IF($B71="","",INDEX(tblStock[StockMin],'91_KPIS'!$Q71))</f>
        <v/>
      </c>
      <c r="J71" s="55" t="str">
        <f>IF($B71="","",INDEX(tblStock[StockMax],'91_KPIS'!$Q71))</f>
        <v/>
      </c>
      <c r="K71" s="53" t="str">
        <f>IF($B71="","",INDEX(tblStock[Unidad],'91_KPIS'!$Q71))</f>
        <v/>
      </c>
      <c r="L71" s="55" t="str">
        <f t="shared" si="0"/>
        <v/>
      </c>
      <c r="M71" s="55" t="str">
        <f t="shared" si="1"/>
        <v/>
      </c>
      <c r="N71" s="54" t="str">
        <f>IF($B71="","",IFERROR(INDEX(tblEstados[Acción],MATCH($C71,tblEstados[Estado],0)),""))</f>
        <v/>
      </c>
      <c r="O71" s="60" t="str">
        <f>IF($B71="","",INDEX(tblStock[UltimoMov],'91_KPIS'!$Q71))</f>
        <v/>
      </c>
    </row>
    <row r="72" spans="2:15" x14ac:dyDescent="0.25">
      <c r="B72" s="62" t="str">
        <f>IF('91_KPIS'!$Q72="","",'91_KPIS'!$O72)</f>
        <v/>
      </c>
      <c r="C72" s="58" t="str">
        <f>IF($B72="","",INDEX(tblStock[Estado],'91_KPIS'!$Q72))</f>
        <v/>
      </c>
      <c r="D72" s="53" t="str">
        <f>IF($B72="","",INDEX(tblStock[SKU],'91_KPIS'!$Q72))</f>
        <v/>
      </c>
      <c r="E72" s="54" t="str">
        <f>IF($B72="","",INDEX(tblStock[Producto],'91_KPIS'!$Q72))</f>
        <v/>
      </c>
      <c r="F72" s="54" t="str">
        <f>IF($B72="","",INDEX(tblStock[Categoría],'91_KPIS'!$Q72))</f>
        <v/>
      </c>
      <c r="G72" s="54" t="str">
        <f>IF($B72="","",INDEX(tblStock[Proveedor],'91_KPIS'!$Q72)&amp;"")</f>
        <v/>
      </c>
      <c r="H72" s="56" t="str">
        <f>IF($B72="","",INDEX(tblStock[StockActual],'91_KPIS'!$Q72))</f>
        <v/>
      </c>
      <c r="I72" s="55" t="str">
        <f>IF($B72="","",INDEX(tblStock[StockMin],'91_KPIS'!$Q72))</f>
        <v/>
      </c>
      <c r="J72" s="55" t="str">
        <f>IF($B72="","",INDEX(tblStock[StockMax],'91_KPIS'!$Q72))</f>
        <v/>
      </c>
      <c r="K72" s="53" t="str">
        <f>IF($B72="","",INDEX(tblStock[Unidad],'91_KPIS'!$Q72))</f>
        <v/>
      </c>
      <c r="L72" s="55" t="str">
        <f t="shared" ref="L72:L135" si="2">IF($B72="","",MAX(0,$I72-$H72))</f>
        <v/>
      </c>
      <c r="M72" s="55" t="str">
        <f t="shared" ref="M72:M135" si="3">IF($B72="","",IF(OR($C72="SOBRESTOCK",$C72="INCONSISTENTE"),0,MAX(0,IF($J72&gt;0,$J72,2*$I72)-MAX(0,$H72))))</f>
        <v/>
      </c>
      <c r="N72" s="54" t="str">
        <f>IF($B72="","",IFERROR(INDEX(tblEstados[Acción],MATCH($C72,tblEstados[Estado],0)),""))</f>
        <v/>
      </c>
      <c r="O72" s="60" t="str">
        <f>IF($B72="","",INDEX(tblStock[UltimoMov],'91_KPIS'!$Q72))</f>
        <v/>
      </c>
    </row>
    <row r="73" spans="2:15" x14ac:dyDescent="0.25">
      <c r="B73" s="62" t="str">
        <f>IF('91_KPIS'!$Q73="","",'91_KPIS'!$O73)</f>
        <v/>
      </c>
      <c r="C73" s="58" t="str">
        <f>IF($B73="","",INDEX(tblStock[Estado],'91_KPIS'!$Q73))</f>
        <v/>
      </c>
      <c r="D73" s="53" t="str">
        <f>IF($B73="","",INDEX(tblStock[SKU],'91_KPIS'!$Q73))</f>
        <v/>
      </c>
      <c r="E73" s="54" t="str">
        <f>IF($B73="","",INDEX(tblStock[Producto],'91_KPIS'!$Q73))</f>
        <v/>
      </c>
      <c r="F73" s="54" t="str">
        <f>IF($B73="","",INDEX(tblStock[Categoría],'91_KPIS'!$Q73))</f>
        <v/>
      </c>
      <c r="G73" s="54" t="str">
        <f>IF($B73="","",INDEX(tblStock[Proveedor],'91_KPIS'!$Q73)&amp;"")</f>
        <v/>
      </c>
      <c r="H73" s="56" t="str">
        <f>IF($B73="","",INDEX(tblStock[StockActual],'91_KPIS'!$Q73))</f>
        <v/>
      </c>
      <c r="I73" s="55" t="str">
        <f>IF($B73="","",INDEX(tblStock[StockMin],'91_KPIS'!$Q73))</f>
        <v/>
      </c>
      <c r="J73" s="55" t="str">
        <f>IF($B73="","",INDEX(tblStock[StockMax],'91_KPIS'!$Q73))</f>
        <v/>
      </c>
      <c r="K73" s="53" t="str">
        <f>IF($B73="","",INDEX(tblStock[Unidad],'91_KPIS'!$Q73))</f>
        <v/>
      </c>
      <c r="L73" s="55" t="str">
        <f t="shared" si="2"/>
        <v/>
      </c>
      <c r="M73" s="55" t="str">
        <f t="shared" si="3"/>
        <v/>
      </c>
      <c r="N73" s="54" t="str">
        <f>IF($B73="","",IFERROR(INDEX(tblEstados[Acción],MATCH($C73,tblEstados[Estado],0)),""))</f>
        <v/>
      </c>
      <c r="O73" s="60" t="str">
        <f>IF($B73="","",INDEX(tblStock[UltimoMov],'91_KPIS'!$Q73))</f>
        <v/>
      </c>
    </row>
    <row r="74" spans="2:15" x14ac:dyDescent="0.25">
      <c r="B74" s="62" t="str">
        <f>IF('91_KPIS'!$Q74="","",'91_KPIS'!$O74)</f>
        <v/>
      </c>
      <c r="C74" s="58" t="str">
        <f>IF($B74="","",INDEX(tblStock[Estado],'91_KPIS'!$Q74))</f>
        <v/>
      </c>
      <c r="D74" s="53" t="str">
        <f>IF($B74="","",INDEX(tblStock[SKU],'91_KPIS'!$Q74))</f>
        <v/>
      </c>
      <c r="E74" s="54" t="str">
        <f>IF($B74="","",INDEX(tblStock[Producto],'91_KPIS'!$Q74))</f>
        <v/>
      </c>
      <c r="F74" s="54" t="str">
        <f>IF($B74="","",INDEX(tblStock[Categoría],'91_KPIS'!$Q74))</f>
        <v/>
      </c>
      <c r="G74" s="54" t="str">
        <f>IF($B74="","",INDEX(tblStock[Proveedor],'91_KPIS'!$Q74)&amp;"")</f>
        <v/>
      </c>
      <c r="H74" s="56" t="str">
        <f>IF($B74="","",INDEX(tblStock[StockActual],'91_KPIS'!$Q74))</f>
        <v/>
      </c>
      <c r="I74" s="55" t="str">
        <f>IF($B74="","",INDEX(tblStock[StockMin],'91_KPIS'!$Q74))</f>
        <v/>
      </c>
      <c r="J74" s="55" t="str">
        <f>IF($B74="","",INDEX(tblStock[StockMax],'91_KPIS'!$Q74))</f>
        <v/>
      </c>
      <c r="K74" s="53" t="str">
        <f>IF($B74="","",INDEX(tblStock[Unidad],'91_KPIS'!$Q74))</f>
        <v/>
      </c>
      <c r="L74" s="55" t="str">
        <f t="shared" si="2"/>
        <v/>
      </c>
      <c r="M74" s="55" t="str">
        <f t="shared" si="3"/>
        <v/>
      </c>
      <c r="N74" s="54" t="str">
        <f>IF($B74="","",IFERROR(INDEX(tblEstados[Acción],MATCH($C74,tblEstados[Estado],0)),""))</f>
        <v/>
      </c>
      <c r="O74" s="60" t="str">
        <f>IF($B74="","",INDEX(tblStock[UltimoMov],'91_KPIS'!$Q74))</f>
        <v/>
      </c>
    </row>
    <row r="75" spans="2:15" x14ac:dyDescent="0.25">
      <c r="B75" s="62" t="str">
        <f>IF('91_KPIS'!$Q75="","",'91_KPIS'!$O75)</f>
        <v/>
      </c>
      <c r="C75" s="58" t="str">
        <f>IF($B75="","",INDEX(tblStock[Estado],'91_KPIS'!$Q75))</f>
        <v/>
      </c>
      <c r="D75" s="53" t="str">
        <f>IF($B75="","",INDEX(tblStock[SKU],'91_KPIS'!$Q75))</f>
        <v/>
      </c>
      <c r="E75" s="54" t="str">
        <f>IF($B75="","",INDEX(tblStock[Producto],'91_KPIS'!$Q75))</f>
        <v/>
      </c>
      <c r="F75" s="54" t="str">
        <f>IF($B75="","",INDEX(tblStock[Categoría],'91_KPIS'!$Q75))</f>
        <v/>
      </c>
      <c r="G75" s="54" t="str">
        <f>IF($B75="","",INDEX(tblStock[Proveedor],'91_KPIS'!$Q75)&amp;"")</f>
        <v/>
      </c>
      <c r="H75" s="56" t="str">
        <f>IF($B75="","",INDEX(tblStock[StockActual],'91_KPIS'!$Q75))</f>
        <v/>
      </c>
      <c r="I75" s="55" t="str">
        <f>IF($B75="","",INDEX(tblStock[StockMin],'91_KPIS'!$Q75))</f>
        <v/>
      </c>
      <c r="J75" s="55" t="str">
        <f>IF($B75="","",INDEX(tblStock[StockMax],'91_KPIS'!$Q75))</f>
        <v/>
      </c>
      <c r="K75" s="53" t="str">
        <f>IF($B75="","",INDEX(tblStock[Unidad],'91_KPIS'!$Q75))</f>
        <v/>
      </c>
      <c r="L75" s="55" t="str">
        <f t="shared" si="2"/>
        <v/>
      </c>
      <c r="M75" s="55" t="str">
        <f t="shared" si="3"/>
        <v/>
      </c>
      <c r="N75" s="54" t="str">
        <f>IF($B75="","",IFERROR(INDEX(tblEstados[Acción],MATCH($C75,tblEstados[Estado],0)),""))</f>
        <v/>
      </c>
      <c r="O75" s="60" t="str">
        <f>IF($B75="","",INDEX(tblStock[UltimoMov],'91_KPIS'!$Q75))</f>
        <v/>
      </c>
    </row>
    <row r="76" spans="2:15" x14ac:dyDescent="0.25">
      <c r="B76" s="62" t="str">
        <f>IF('91_KPIS'!$Q76="","",'91_KPIS'!$O76)</f>
        <v/>
      </c>
      <c r="C76" s="58" t="str">
        <f>IF($B76="","",INDEX(tblStock[Estado],'91_KPIS'!$Q76))</f>
        <v/>
      </c>
      <c r="D76" s="53" t="str">
        <f>IF($B76="","",INDEX(tblStock[SKU],'91_KPIS'!$Q76))</f>
        <v/>
      </c>
      <c r="E76" s="54" t="str">
        <f>IF($B76="","",INDEX(tblStock[Producto],'91_KPIS'!$Q76))</f>
        <v/>
      </c>
      <c r="F76" s="54" t="str">
        <f>IF($B76="","",INDEX(tblStock[Categoría],'91_KPIS'!$Q76))</f>
        <v/>
      </c>
      <c r="G76" s="54" t="str">
        <f>IF($B76="","",INDEX(tblStock[Proveedor],'91_KPIS'!$Q76)&amp;"")</f>
        <v/>
      </c>
      <c r="H76" s="56" t="str">
        <f>IF($B76="","",INDEX(tblStock[StockActual],'91_KPIS'!$Q76))</f>
        <v/>
      </c>
      <c r="I76" s="55" t="str">
        <f>IF($B76="","",INDEX(tblStock[StockMin],'91_KPIS'!$Q76))</f>
        <v/>
      </c>
      <c r="J76" s="55" t="str">
        <f>IF($B76="","",INDEX(tblStock[StockMax],'91_KPIS'!$Q76))</f>
        <v/>
      </c>
      <c r="K76" s="53" t="str">
        <f>IF($B76="","",INDEX(tblStock[Unidad],'91_KPIS'!$Q76))</f>
        <v/>
      </c>
      <c r="L76" s="55" t="str">
        <f t="shared" si="2"/>
        <v/>
      </c>
      <c r="M76" s="55" t="str">
        <f t="shared" si="3"/>
        <v/>
      </c>
      <c r="N76" s="54" t="str">
        <f>IF($B76="","",IFERROR(INDEX(tblEstados[Acción],MATCH($C76,tblEstados[Estado],0)),""))</f>
        <v/>
      </c>
      <c r="O76" s="60" t="str">
        <f>IF($B76="","",INDEX(tblStock[UltimoMov],'91_KPIS'!$Q76))</f>
        <v/>
      </c>
    </row>
    <row r="77" spans="2:15" x14ac:dyDescent="0.25">
      <c r="B77" s="62" t="str">
        <f>IF('91_KPIS'!$Q77="","",'91_KPIS'!$O77)</f>
        <v/>
      </c>
      <c r="C77" s="58" t="str">
        <f>IF($B77="","",INDEX(tblStock[Estado],'91_KPIS'!$Q77))</f>
        <v/>
      </c>
      <c r="D77" s="53" t="str">
        <f>IF($B77="","",INDEX(tblStock[SKU],'91_KPIS'!$Q77))</f>
        <v/>
      </c>
      <c r="E77" s="54" t="str">
        <f>IF($B77="","",INDEX(tblStock[Producto],'91_KPIS'!$Q77))</f>
        <v/>
      </c>
      <c r="F77" s="54" t="str">
        <f>IF($B77="","",INDEX(tblStock[Categoría],'91_KPIS'!$Q77))</f>
        <v/>
      </c>
      <c r="G77" s="54" t="str">
        <f>IF($B77="","",INDEX(tblStock[Proveedor],'91_KPIS'!$Q77)&amp;"")</f>
        <v/>
      </c>
      <c r="H77" s="56" t="str">
        <f>IF($B77="","",INDEX(tblStock[StockActual],'91_KPIS'!$Q77))</f>
        <v/>
      </c>
      <c r="I77" s="55" t="str">
        <f>IF($B77="","",INDEX(tblStock[StockMin],'91_KPIS'!$Q77))</f>
        <v/>
      </c>
      <c r="J77" s="55" t="str">
        <f>IF($B77="","",INDEX(tblStock[StockMax],'91_KPIS'!$Q77))</f>
        <v/>
      </c>
      <c r="K77" s="53" t="str">
        <f>IF($B77="","",INDEX(tblStock[Unidad],'91_KPIS'!$Q77))</f>
        <v/>
      </c>
      <c r="L77" s="55" t="str">
        <f t="shared" si="2"/>
        <v/>
      </c>
      <c r="M77" s="55" t="str">
        <f t="shared" si="3"/>
        <v/>
      </c>
      <c r="N77" s="54" t="str">
        <f>IF($B77="","",IFERROR(INDEX(tblEstados[Acción],MATCH($C77,tblEstados[Estado],0)),""))</f>
        <v/>
      </c>
      <c r="O77" s="60" t="str">
        <f>IF($B77="","",INDEX(tblStock[UltimoMov],'91_KPIS'!$Q77))</f>
        <v/>
      </c>
    </row>
    <row r="78" spans="2:15" x14ac:dyDescent="0.25">
      <c r="B78" s="62" t="str">
        <f>IF('91_KPIS'!$Q78="","",'91_KPIS'!$O78)</f>
        <v/>
      </c>
      <c r="C78" s="58" t="str">
        <f>IF($B78="","",INDEX(tblStock[Estado],'91_KPIS'!$Q78))</f>
        <v/>
      </c>
      <c r="D78" s="53" t="str">
        <f>IF($B78="","",INDEX(tblStock[SKU],'91_KPIS'!$Q78))</f>
        <v/>
      </c>
      <c r="E78" s="54" t="str">
        <f>IF($B78="","",INDEX(tblStock[Producto],'91_KPIS'!$Q78))</f>
        <v/>
      </c>
      <c r="F78" s="54" t="str">
        <f>IF($B78="","",INDEX(tblStock[Categoría],'91_KPIS'!$Q78))</f>
        <v/>
      </c>
      <c r="G78" s="54" t="str">
        <f>IF($B78="","",INDEX(tblStock[Proveedor],'91_KPIS'!$Q78)&amp;"")</f>
        <v/>
      </c>
      <c r="H78" s="56" t="str">
        <f>IF($B78="","",INDEX(tblStock[StockActual],'91_KPIS'!$Q78))</f>
        <v/>
      </c>
      <c r="I78" s="55" t="str">
        <f>IF($B78="","",INDEX(tblStock[StockMin],'91_KPIS'!$Q78))</f>
        <v/>
      </c>
      <c r="J78" s="55" t="str">
        <f>IF($B78="","",INDEX(tblStock[StockMax],'91_KPIS'!$Q78))</f>
        <v/>
      </c>
      <c r="K78" s="53" t="str">
        <f>IF($B78="","",INDEX(tblStock[Unidad],'91_KPIS'!$Q78))</f>
        <v/>
      </c>
      <c r="L78" s="55" t="str">
        <f t="shared" si="2"/>
        <v/>
      </c>
      <c r="M78" s="55" t="str">
        <f t="shared" si="3"/>
        <v/>
      </c>
      <c r="N78" s="54" t="str">
        <f>IF($B78="","",IFERROR(INDEX(tblEstados[Acción],MATCH($C78,tblEstados[Estado],0)),""))</f>
        <v/>
      </c>
      <c r="O78" s="60" t="str">
        <f>IF($B78="","",INDEX(tblStock[UltimoMov],'91_KPIS'!$Q78))</f>
        <v/>
      </c>
    </row>
    <row r="79" spans="2:15" x14ac:dyDescent="0.25">
      <c r="B79" s="62" t="str">
        <f>IF('91_KPIS'!$Q79="","",'91_KPIS'!$O79)</f>
        <v/>
      </c>
      <c r="C79" s="58" t="str">
        <f>IF($B79="","",INDEX(tblStock[Estado],'91_KPIS'!$Q79))</f>
        <v/>
      </c>
      <c r="D79" s="53" t="str">
        <f>IF($B79="","",INDEX(tblStock[SKU],'91_KPIS'!$Q79))</f>
        <v/>
      </c>
      <c r="E79" s="54" t="str">
        <f>IF($B79="","",INDEX(tblStock[Producto],'91_KPIS'!$Q79))</f>
        <v/>
      </c>
      <c r="F79" s="54" t="str">
        <f>IF($B79="","",INDEX(tblStock[Categoría],'91_KPIS'!$Q79))</f>
        <v/>
      </c>
      <c r="G79" s="54" t="str">
        <f>IF($B79="","",INDEX(tblStock[Proveedor],'91_KPIS'!$Q79)&amp;"")</f>
        <v/>
      </c>
      <c r="H79" s="56" t="str">
        <f>IF($B79="","",INDEX(tblStock[StockActual],'91_KPIS'!$Q79))</f>
        <v/>
      </c>
      <c r="I79" s="55" t="str">
        <f>IF($B79="","",INDEX(tblStock[StockMin],'91_KPIS'!$Q79))</f>
        <v/>
      </c>
      <c r="J79" s="55" t="str">
        <f>IF($B79="","",INDEX(tblStock[StockMax],'91_KPIS'!$Q79))</f>
        <v/>
      </c>
      <c r="K79" s="53" t="str">
        <f>IF($B79="","",INDEX(tblStock[Unidad],'91_KPIS'!$Q79))</f>
        <v/>
      </c>
      <c r="L79" s="55" t="str">
        <f t="shared" si="2"/>
        <v/>
      </c>
      <c r="M79" s="55" t="str">
        <f t="shared" si="3"/>
        <v/>
      </c>
      <c r="N79" s="54" t="str">
        <f>IF($B79="","",IFERROR(INDEX(tblEstados[Acción],MATCH($C79,tblEstados[Estado],0)),""))</f>
        <v/>
      </c>
      <c r="O79" s="60" t="str">
        <f>IF($B79="","",INDEX(tblStock[UltimoMov],'91_KPIS'!$Q79))</f>
        <v/>
      </c>
    </row>
    <row r="80" spans="2:15" x14ac:dyDescent="0.25">
      <c r="B80" s="62" t="str">
        <f>IF('91_KPIS'!$Q80="","",'91_KPIS'!$O80)</f>
        <v/>
      </c>
      <c r="C80" s="58" t="str">
        <f>IF($B80="","",INDEX(tblStock[Estado],'91_KPIS'!$Q80))</f>
        <v/>
      </c>
      <c r="D80" s="53" t="str">
        <f>IF($B80="","",INDEX(tblStock[SKU],'91_KPIS'!$Q80))</f>
        <v/>
      </c>
      <c r="E80" s="54" t="str">
        <f>IF($B80="","",INDEX(tblStock[Producto],'91_KPIS'!$Q80))</f>
        <v/>
      </c>
      <c r="F80" s="54" t="str">
        <f>IF($B80="","",INDEX(tblStock[Categoría],'91_KPIS'!$Q80))</f>
        <v/>
      </c>
      <c r="G80" s="54" t="str">
        <f>IF($B80="","",INDEX(tblStock[Proveedor],'91_KPIS'!$Q80)&amp;"")</f>
        <v/>
      </c>
      <c r="H80" s="56" t="str">
        <f>IF($B80="","",INDEX(tblStock[StockActual],'91_KPIS'!$Q80))</f>
        <v/>
      </c>
      <c r="I80" s="55" t="str">
        <f>IF($B80="","",INDEX(tblStock[StockMin],'91_KPIS'!$Q80))</f>
        <v/>
      </c>
      <c r="J80" s="55" t="str">
        <f>IF($B80="","",INDEX(tblStock[StockMax],'91_KPIS'!$Q80))</f>
        <v/>
      </c>
      <c r="K80" s="53" t="str">
        <f>IF($B80="","",INDEX(tblStock[Unidad],'91_KPIS'!$Q80))</f>
        <v/>
      </c>
      <c r="L80" s="55" t="str">
        <f t="shared" si="2"/>
        <v/>
      </c>
      <c r="M80" s="55" t="str">
        <f t="shared" si="3"/>
        <v/>
      </c>
      <c r="N80" s="54" t="str">
        <f>IF($B80="","",IFERROR(INDEX(tblEstados[Acción],MATCH($C80,tblEstados[Estado],0)),""))</f>
        <v/>
      </c>
      <c r="O80" s="60" t="str">
        <f>IF($B80="","",INDEX(tblStock[UltimoMov],'91_KPIS'!$Q80))</f>
        <v/>
      </c>
    </row>
    <row r="81" spans="2:15" x14ac:dyDescent="0.25">
      <c r="B81" s="62" t="str">
        <f>IF('91_KPIS'!$Q81="","",'91_KPIS'!$O81)</f>
        <v/>
      </c>
      <c r="C81" s="58" t="str">
        <f>IF($B81="","",INDEX(tblStock[Estado],'91_KPIS'!$Q81))</f>
        <v/>
      </c>
      <c r="D81" s="53" t="str">
        <f>IF($B81="","",INDEX(tblStock[SKU],'91_KPIS'!$Q81))</f>
        <v/>
      </c>
      <c r="E81" s="54" t="str">
        <f>IF($B81="","",INDEX(tblStock[Producto],'91_KPIS'!$Q81))</f>
        <v/>
      </c>
      <c r="F81" s="54" t="str">
        <f>IF($B81="","",INDEX(tblStock[Categoría],'91_KPIS'!$Q81))</f>
        <v/>
      </c>
      <c r="G81" s="54" t="str">
        <f>IF($B81="","",INDEX(tblStock[Proveedor],'91_KPIS'!$Q81)&amp;"")</f>
        <v/>
      </c>
      <c r="H81" s="56" t="str">
        <f>IF($B81="","",INDEX(tblStock[StockActual],'91_KPIS'!$Q81))</f>
        <v/>
      </c>
      <c r="I81" s="55" t="str">
        <f>IF($B81="","",INDEX(tblStock[StockMin],'91_KPIS'!$Q81))</f>
        <v/>
      </c>
      <c r="J81" s="55" t="str">
        <f>IF($B81="","",INDEX(tblStock[StockMax],'91_KPIS'!$Q81))</f>
        <v/>
      </c>
      <c r="K81" s="53" t="str">
        <f>IF($B81="","",INDEX(tblStock[Unidad],'91_KPIS'!$Q81))</f>
        <v/>
      </c>
      <c r="L81" s="55" t="str">
        <f t="shared" si="2"/>
        <v/>
      </c>
      <c r="M81" s="55" t="str">
        <f t="shared" si="3"/>
        <v/>
      </c>
      <c r="N81" s="54" t="str">
        <f>IF($B81="","",IFERROR(INDEX(tblEstados[Acción],MATCH($C81,tblEstados[Estado],0)),""))</f>
        <v/>
      </c>
      <c r="O81" s="60" t="str">
        <f>IF($B81="","",INDEX(tblStock[UltimoMov],'91_KPIS'!$Q81))</f>
        <v/>
      </c>
    </row>
    <row r="82" spans="2:15" x14ac:dyDescent="0.25">
      <c r="B82" s="62" t="str">
        <f>IF('91_KPIS'!$Q82="","",'91_KPIS'!$O82)</f>
        <v/>
      </c>
      <c r="C82" s="58" t="str">
        <f>IF($B82="","",INDEX(tblStock[Estado],'91_KPIS'!$Q82))</f>
        <v/>
      </c>
      <c r="D82" s="53" t="str">
        <f>IF($B82="","",INDEX(tblStock[SKU],'91_KPIS'!$Q82))</f>
        <v/>
      </c>
      <c r="E82" s="54" t="str">
        <f>IF($B82="","",INDEX(tblStock[Producto],'91_KPIS'!$Q82))</f>
        <v/>
      </c>
      <c r="F82" s="54" t="str">
        <f>IF($B82="","",INDEX(tblStock[Categoría],'91_KPIS'!$Q82))</f>
        <v/>
      </c>
      <c r="G82" s="54" t="str">
        <f>IF($B82="","",INDEX(tblStock[Proveedor],'91_KPIS'!$Q82)&amp;"")</f>
        <v/>
      </c>
      <c r="H82" s="56" t="str">
        <f>IF($B82="","",INDEX(tblStock[StockActual],'91_KPIS'!$Q82))</f>
        <v/>
      </c>
      <c r="I82" s="55" t="str">
        <f>IF($B82="","",INDEX(tblStock[StockMin],'91_KPIS'!$Q82))</f>
        <v/>
      </c>
      <c r="J82" s="55" t="str">
        <f>IF($B82="","",INDEX(tblStock[StockMax],'91_KPIS'!$Q82))</f>
        <v/>
      </c>
      <c r="K82" s="53" t="str">
        <f>IF($B82="","",INDEX(tblStock[Unidad],'91_KPIS'!$Q82))</f>
        <v/>
      </c>
      <c r="L82" s="55" t="str">
        <f t="shared" si="2"/>
        <v/>
      </c>
      <c r="M82" s="55" t="str">
        <f t="shared" si="3"/>
        <v/>
      </c>
      <c r="N82" s="54" t="str">
        <f>IF($B82="","",IFERROR(INDEX(tblEstados[Acción],MATCH($C82,tblEstados[Estado],0)),""))</f>
        <v/>
      </c>
      <c r="O82" s="60" t="str">
        <f>IF($B82="","",INDEX(tblStock[UltimoMov],'91_KPIS'!$Q82))</f>
        <v/>
      </c>
    </row>
    <row r="83" spans="2:15" x14ac:dyDescent="0.25">
      <c r="B83" s="62" t="str">
        <f>IF('91_KPIS'!$Q83="","",'91_KPIS'!$O83)</f>
        <v/>
      </c>
      <c r="C83" s="58" t="str">
        <f>IF($B83="","",INDEX(tblStock[Estado],'91_KPIS'!$Q83))</f>
        <v/>
      </c>
      <c r="D83" s="53" t="str">
        <f>IF($B83="","",INDEX(tblStock[SKU],'91_KPIS'!$Q83))</f>
        <v/>
      </c>
      <c r="E83" s="54" t="str">
        <f>IF($B83="","",INDEX(tblStock[Producto],'91_KPIS'!$Q83))</f>
        <v/>
      </c>
      <c r="F83" s="54" t="str">
        <f>IF($B83="","",INDEX(tblStock[Categoría],'91_KPIS'!$Q83))</f>
        <v/>
      </c>
      <c r="G83" s="54" t="str">
        <f>IF($B83="","",INDEX(tblStock[Proveedor],'91_KPIS'!$Q83)&amp;"")</f>
        <v/>
      </c>
      <c r="H83" s="56" t="str">
        <f>IF($B83="","",INDEX(tblStock[StockActual],'91_KPIS'!$Q83))</f>
        <v/>
      </c>
      <c r="I83" s="55" t="str">
        <f>IF($B83="","",INDEX(tblStock[StockMin],'91_KPIS'!$Q83))</f>
        <v/>
      </c>
      <c r="J83" s="55" t="str">
        <f>IF($B83="","",INDEX(tblStock[StockMax],'91_KPIS'!$Q83))</f>
        <v/>
      </c>
      <c r="K83" s="53" t="str">
        <f>IF($B83="","",INDEX(tblStock[Unidad],'91_KPIS'!$Q83))</f>
        <v/>
      </c>
      <c r="L83" s="55" t="str">
        <f t="shared" si="2"/>
        <v/>
      </c>
      <c r="M83" s="55" t="str">
        <f t="shared" si="3"/>
        <v/>
      </c>
      <c r="N83" s="54" t="str">
        <f>IF($B83="","",IFERROR(INDEX(tblEstados[Acción],MATCH($C83,tblEstados[Estado],0)),""))</f>
        <v/>
      </c>
      <c r="O83" s="60" t="str">
        <f>IF($B83="","",INDEX(tblStock[UltimoMov],'91_KPIS'!$Q83))</f>
        <v/>
      </c>
    </row>
    <row r="84" spans="2:15" x14ac:dyDescent="0.25">
      <c r="B84" s="62" t="str">
        <f>IF('91_KPIS'!$Q84="","",'91_KPIS'!$O84)</f>
        <v/>
      </c>
      <c r="C84" s="58" t="str">
        <f>IF($B84="","",INDEX(tblStock[Estado],'91_KPIS'!$Q84))</f>
        <v/>
      </c>
      <c r="D84" s="53" t="str">
        <f>IF($B84="","",INDEX(tblStock[SKU],'91_KPIS'!$Q84))</f>
        <v/>
      </c>
      <c r="E84" s="54" t="str">
        <f>IF($B84="","",INDEX(tblStock[Producto],'91_KPIS'!$Q84))</f>
        <v/>
      </c>
      <c r="F84" s="54" t="str">
        <f>IF($B84="","",INDEX(tblStock[Categoría],'91_KPIS'!$Q84))</f>
        <v/>
      </c>
      <c r="G84" s="54" t="str">
        <f>IF($B84="","",INDEX(tblStock[Proveedor],'91_KPIS'!$Q84)&amp;"")</f>
        <v/>
      </c>
      <c r="H84" s="56" t="str">
        <f>IF($B84="","",INDEX(tblStock[StockActual],'91_KPIS'!$Q84))</f>
        <v/>
      </c>
      <c r="I84" s="55" t="str">
        <f>IF($B84="","",INDEX(tblStock[StockMin],'91_KPIS'!$Q84))</f>
        <v/>
      </c>
      <c r="J84" s="55" t="str">
        <f>IF($B84="","",INDEX(tblStock[StockMax],'91_KPIS'!$Q84))</f>
        <v/>
      </c>
      <c r="K84" s="53" t="str">
        <f>IF($B84="","",INDEX(tblStock[Unidad],'91_KPIS'!$Q84))</f>
        <v/>
      </c>
      <c r="L84" s="55" t="str">
        <f t="shared" si="2"/>
        <v/>
      </c>
      <c r="M84" s="55" t="str">
        <f t="shared" si="3"/>
        <v/>
      </c>
      <c r="N84" s="54" t="str">
        <f>IF($B84="","",IFERROR(INDEX(tblEstados[Acción],MATCH($C84,tblEstados[Estado],0)),""))</f>
        <v/>
      </c>
      <c r="O84" s="60" t="str">
        <f>IF($B84="","",INDEX(tblStock[UltimoMov],'91_KPIS'!$Q84))</f>
        <v/>
      </c>
    </row>
    <row r="85" spans="2:15" x14ac:dyDescent="0.25">
      <c r="B85" s="62" t="str">
        <f>IF('91_KPIS'!$Q85="","",'91_KPIS'!$O85)</f>
        <v/>
      </c>
      <c r="C85" s="58" t="str">
        <f>IF($B85="","",INDEX(tblStock[Estado],'91_KPIS'!$Q85))</f>
        <v/>
      </c>
      <c r="D85" s="53" t="str">
        <f>IF($B85="","",INDEX(tblStock[SKU],'91_KPIS'!$Q85))</f>
        <v/>
      </c>
      <c r="E85" s="54" t="str">
        <f>IF($B85="","",INDEX(tblStock[Producto],'91_KPIS'!$Q85))</f>
        <v/>
      </c>
      <c r="F85" s="54" t="str">
        <f>IF($B85="","",INDEX(tblStock[Categoría],'91_KPIS'!$Q85))</f>
        <v/>
      </c>
      <c r="G85" s="54" t="str">
        <f>IF($B85="","",INDEX(tblStock[Proveedor],'91_KPIS'!$Q85)&amp;"")</f>
        <v/>
      </c>
      <c r="H85" s="56" t="str">
        <f>IF($B85="","",INDEX(tblStock[StockActual],'91_KPIS'!$Q85))</f>
        <v/>
      </c>
      <c r="I85" s="55" t="str">
        <f>IF($B85="","",INDEX(tblStock[StockMin],'91_KPIS'!$Q85))</f>
        <v/>
      </c>
      <c r="J85" s="55" t="str">
        <f>IF($B85="","",INDEX(tblStock[StockMax],'91_KPIS'!$Q85))</f>
        <v/>
      </c>
      <c r="K85" s="53" t="str">
        <f>IF($B85="","",INDEX(tblStock[Unidad],'91_KPIS'!$Q85))</f>
        <v/>
      </c>
      <c r="L85" s="55" t="str">
        <f t="shared" si="2"/>
        <v/>
      </c>
      <c r="M85" s="55" t="str">
        <f t="shared" si="3"/>
        <v/>
      </c>
      <c r="N85" s="54" t="str">
        <f>IF($B85="","",IFERROR(INDEX(tblEstados[Acción],MATCH($C85,tblEstados[Estado],0)),""))</f>
        <v/>
      </c>
      <c r="O85" s="60" t="str">
        <f>IF($B85="","",INDEX(tblStock[UltimoMov],'91_KPIS'!$Q85))</f>
        <v/>
      </c>
    </row>
    <row r="86" spans="2:15" x14ac:dyDescent="0.25">
      <c r="B86" s="62" t="str">
        <f>IF('91_KPIS'!$Q86="","",'91_KPIS'!$O86)</f>
        <v/>
      </c>
      <c r="C86" s="58" t="str">
        <f>IF($B86="","",INDEX(tblStock[Estado],'91_KPIS'!$Q86))</f>
        <v/>
      </c>
      <c r="D86" s="53" t="str">
        <f>IF($B86="","",INDEX(tblStock[SKU],'91_KPIS'!$Q86))</f>
        <v/>
      </c>
      <c r="E86" s="54" t="str">
        <f>IF($B86="","",INDEX(tblStock[Producto],'91_KPIS'!$Q86))</f>
        <v/>
      </c>
      <c r="F86" s="54" t="str">
        <f>IF($B86="","",INDEX(tblStock[Categoría],'91_KPIS'!$Q86))</f>
        <v/>
      </c>
      <c r="G86" s="54" t="str">
        <f>IF($B86="","",INDEX(tblStock[Proveedor],'91_KPIS'!$Q86)&amp;"")</f>
        <v/>
      </c>
      <c r="H86" s="56" t="str">
        <f>IF($B86="","",INDEX(tblStock[StockActual],'91_KPIS'!$Q86))</f>
        <v/>
      </c>
      <c r="I86" s="55" t="str">
        <f>IF($B86="","",INDEX(tblStock[StockMin],'91_KPIS'!$Q86))</f>
        <v/>
      </c>
      <c r="J86" s="55" t="str">
        <f>IF($B86="","",INDEX(tblStock[StockMax],'91_KPIS'!$Q86))</f>
        <v/>
      </c>
      <c r="K86" s="53" t="str">
        <f>IF($B86="","",INDEX(tblStock[Unidad],'91_KPIS'!$Q86))</f>
        <v/>
      </c>
      <c r="L86" s="55" t="str">
        <f t="shared" si="2"/>
        <v/>
      </c>
      <c r="M86" s="55" t="str">
        <f t="shared" si="3"/>
        <v/>
      </c>
      <c r="N86" s="54" t="str">
        <f>IF($B86="","",IFERROR(INDEX(tblEstados[Acción],MATCH($C86,tblEstados[Estado],0)),""))</f>
        <v/>
      </c>
      <c r="O86" s="60" t="str">
        <f>IF($B86="","",INDEX(tblStock[UltimoMov],'91_KPIS'!$Q86))</f>
        <v/>
      </c>
    </row>
    <row r="87" spans="2:15" x14ac:dyDescent="0.25">
      <c r="B87" s="62" t="str">
        <f>IF('91_KPIS'!$Q87="","",'91_KPIS'!$O87)</f>
        <v/>
      </c>
      <c r="C87" s="58" t="str">
        <f>IF($B87="","",INDEX(tblStock[Estado],'91_KPIS'!$Q87))</f>
        <v/>
      </c>
      <c r="D87" s="53" t="str">
        <f>IF($B87="","",INDEX(tblStock[SKU],'91_KPIS'!$Q87))</f>
        <v/>
      </c>
      <c r="E87" s="54" t="str">
        <f>IF($B87="","",INDEX(tblStock[Producto],'91_KPIS'!$Q87))</f>
        <v/>
      </c>
      <c r="F87" s="54" t="str">
        <f>IF($B87="","",INDEX(tblStock[Categoría],'91_KPIS'!$Q87))</f>
        <v/>
      </c>
      <c r="G87" s="54" t="str">
        <f>IF($B87="","",INDEX(tblStock[Proveedor],'91_KPIS'!$Q87)&amp;"")</f>
        <v/>
      </c>
      <c r="H87" s="56" t="str">
        <f>IF($B87="","",INDEX(tblStock[StockActual],'91_KPIS'!$Q87))</f>
        <v/>
      </c>
      <c r="I87" s="55" t="str">
        <f>IF($B87="","",INDEX(tblStock[StockMin],'91_KPIS'!$Q87))</f>
        <v/>
      </c>
      <c r="J87" s="55" t="str">
        <f>IF($B87="","",INDEX(tblStock[StockMax],'91_KPIS'!$Q87))</f>
        <v/>
      </c>
      <c r="K87" s="53" t="str">
        <f>IF($B87="","",INDEX(tblStock[Unidad],'91_KPIS'!$Q87))</f>
        <v/>
      </c>
      <c r="L87" s="55" t="str">
        <f t="shared" si="2"/>
        <v/>
      </c>
      <c r="M87" s="55" t="str">
        <f t="shared" si="3"/>
        <v/>
      </c>
      <c r="N87" s="54" t="str">
        <f>IF($B87="","",IFERROR(INDEX(tblEstados[Acción],MATCH($C87,tblEstados[Estado],0)),""))</f>
        <v/>
      </c>
      <c r="O87" s="60" t="str">
        <f>IF($B87="","",INDEX(tblStock[UltimoMov],'91_KPIS'!$Q87))</f>
        <v/>
      </c>
    </row>
    <row r="88" spans="2:15" x14ac:dyDescent="0.25">
      <c r="B88" s="62" t="str">
        <f>IF('91_KPIS'!$Q88="","",'91_KPIS'!$O88)</f>
        <v/>
      </c>
      <c r="C88" s="58" t="str">
        <f>IF($B88="","",INDEX(tblStock[Estado],'91_KPIS'!$Q88))</f>
        <v/>
      </c>
      <c r="D88" s="53" t="str">
        <f>IF($B88="","",INDEX(tblStock[SKU],'91_KPIS'!$Q88))</f>
        <v/>
      </c>
      <c r="E88" s="54" t="str">
        <f>IF($B88="","",INDEX(tblStock[Producto],'91_KPIS'!$Q88))</f>
        <v/>
      </c>
      <c r="F88" s="54" t="str">
        <f>IF($B88="","",INDEX(tblStock[Categoría],'91_KPIS'!$Q88))</f>
        <v/>
      </c>
      <c r="G88" s="54" t="str">
        <f>IF($B88="","",INDEX(tblStock[Proveedor],'91_KPIS'!$Q88)&amp;"")</f>
        <v/>
      </c>
      <c r="H88" s="56" t="str">
        <f>IF($B88="","",INDEX(tblStock[StockActual],'91_KPIS'!$Q88))</f>
        <v/>
      </c>
      <c r="I88" s="55" t="str">
        <f>IF($B88="","",INDEX(tblStock[StockMin],'91_KPIS'!$Q88))</f>
        <v/>
      </c>
      <c r="J88" s="55" t="str">
        <f>IF($B88="","",INDEX(tblStock[StockMax],'91_KPIS'!$Q88))</f>
        <v/>
      </c>
      <c r="K88" s="53" t="str">
        <f>IF($B88="","",INDEX(tblStock[Unidad],'91_KPIS'!$Q88))</f>
        <v/>
      </c>
      <c r="L88" s="55" t="str">
        <f t="shared" si="2"/>
        <v/>
      </c>
      <c r="M88" s="55" t="str">
        <f t="shared" si="3"/>
        <v/>
      </c>
      <c r="N88" s="54" t="str">
        <f>IF($B88="","",IFERROR(INDEX(tblEstados[Acción],MATCH($C88,tblEstados[Estado],0)),""))</f>
        <v/>
      </c>
      <c r="O88" s="60" t="str">
        <f>IF($B88="","",INDEX(tblStock[UltimoMov],'91_KPIS'!$Q88))</f>
        <v/>
      </c>
    </row>
    <row r="89" spans="2:15" x14ac:dyDescent="0.25">
      <c r="B89" s="62" t="str">
        <f>IF('91_KPIS'!$Q89="","",'91_KPIS'!$O89)</f>
        <v/>
      </c>
      <c r="C89" s="58" t="str">
        <f>IF($B89="","",INDEX(tblStock[Estado],'91_KPIS'!$Q89))</f>
        <v/>
      </c>
      <c r="D89" s="53" t="str">
        <f>IF($B89="","",INDEX(tblStock[SKU],'91_KPIS'!$Q89))</f>
        <v/>
      </c>
      <c r="E89" s="54" t="str">
        <f>IF($B89="","",INDEX(tblStock[Producto],'91_KPIS'!$Q89))</f>
        <v/>
      </c>
      <c r="F89" s="54" t="str">
        <f>IF($B89="","",INDEX(tblStock[Categoría],'91_KPIS'!$Q89))</f>
        <v/>
      </c>
      <c r="G89" s="54" t="str">
        <f>IF($B89="","",INDEX(tblStock[Proveedor],'91_KPIS'!$Q89)&amp;"")</f>
        <v/>
      </c>
      <c r="H89" s="56" t="str">
        <f>IF($B89="","",INDEX(tblStock[StockActual],'91_KPIS'!$Q89))</f>
        <v/>
      </c>
      <c r="I89" s="55" t="str">
        <f>IF($B89="","",INDEX(tblStock[StockMin],'91_KPIS'!$Q89))</f>
        <v/>
      </c>
      <c r="J89" s="55" t="str">
        <f>IF($B89="","",INDEX(tblStock[StockMax],'91_KPIS'!$Q89))</f>
        <v/>
      </c>
      <c r="K89" s="53" t="str">
        <f>IF($B89="","",INDEX(tblStock[Unidad],'91_KPIS'!$Q89))</f>
        <v/>
      </c>
      <c r="L89" s="55" t="str">
        <f t="shared" si="2"/>
        <v/>
      </c>
      <c r="M89" s="55" t="str">
        <f t="shared" si="3"/>
        <v/>
      </c>
      <c r="N89" s="54" t="str">
        <f>IF($B89="","",IFERROR(INDEX(tblEstados[Acción],MATCH($C89,tblEstados[Estado],0)),""))</f>
        <v/>
      </c>
      <c r="O89" s="60" t="str">
        <f>IF($B89="","",INDEX(tblStock[UltimoMov],'91_KPIS'!$Q89))</f>
        <v/>
      </c>
    </row>
    <row r="90" spans="2:15" x14ac:dyDescent="0.25">
      <c r="B90" s="62" t="str">
        <f>IF('91_KPIS'!$Q90="","",'91_KPIS'!$O90)</f>
        <v/>
      </c>
      <c r="C90" s="58" t="str">
        <f>IF($B90="","",INDEX(tblStock[Estado],'91_KPIS'!$Q90))</f>
        <v/>
      </c>
      <c r="D90" s="53" t="str">
        <f>IF($B90="","",INDEX(tblStock[SKU],'91_KPIS'!$Q90))</f>
        <v/>
      </c>
      <c r="E90" s="54" t="str">
        <f>IF($B90="","",INDEX(tblStock[Producto],'91_KPIS'!$Q90))</f>
        <v/>
      </c>
      <c r="F90" s="54" t="str">
        <f>IF($B90="","",INDEX(tblStock[Categoría],'91_KPIS'!$Q90))</f>
        <v/>
      </c>
      <c r="G90" s="54" t="str">
        <f>IF($B90="","",INDEX(tblStock[Proveedor],'91_KPIS'!$Q90)&amp;"")</f>
        <v/>
      </c>
      <c r="H90" s="56" t="str">
        <f>IF($B90="","",INDEX(tblStock[StockActual],'91_KPIS'!$Q90))</f>
        <v/>
      </c>
      <c r="I90" s="55" t="str">
        <f>IF($B90="","",INDEX(tblStock[StockMin],'91_KPIS'!$Q90))</f>
        <v/>
      </c>
      <c r="J90" s="55" t="str">
        <f>IF($B90="","",INDEX(tblStock[StockMax],'91_KPIS'!$Q90))</f>
        <v/>
      </c>
      <c r="K90" s="53" t="str">
        <f>IF($B90="","",INDEX(tblStock[Unidad],'91_KPIS'!$Q90))</f>
        <v/>
      </c>
      <c r="L90" s="55" t="str">
        <f t="shared" si="2"/>
        <v/>
      </c>
      <c r="M90" s="55" t="str">
        <f t="shared" si="3"/>
        <v/>
      </c>
      <c r="N90" s="54" t="str">
        <f>IF($B90="","",IFERROR(INDEX(tblEstados[Acción],MATCH($C90,tblEstados[Estado],0)),""))</f>
        <v/>
      </c>
      <c r="O90" s="60" t="str">
        <f>IF($B90="","",INDEX(tblStock[UltimoMov],'91_KPIS'!$Q90))</f>
        <v/>
      </c>
    </row>
    <row r="91" spans="2:15" x14ac:dyDescent="0.25">
      <c r="B91" s="62" t="str">
        <f>IF('91_KPIS'!$Q91="","",'91_KPIS'!$O91)</f>
        <v/>
      </c>
      <c r="C91" s="58" t="str">
        <f>IF($B91="","",INDEX(tblStock[Estado],'91_KPIS'!$Q91))</f>
        <v/>
      </c>
      <c r="D91" s="53" t="str">
        <f>IF($B91="","",INDEX(tblStock[SKU],'91_KPIS'!$Q91))</f>
        <v/>
      </c>
      <c r="E91" s="54" t="str">
        <f>IF($B91="","",INDEX(tblStock[Producto],'91_KPIS'!$Q91))</f>
        <v/>
      </c>
      <c r="F91" s="54" t="str">
        <f>IF($B91="","",INDEX(tblStock[Categoría],'91_KPIS'!$Q91))</f>
        <v/>
      </c>
      <c r="G91" s="54" t="str">
        <f>IF($B91="","",INDEX(tblStock[Proveedor],'91_KPIS'!$Q91)&amp;"")</f>
        <v/>
      </c>
      <c r="H91" s="56" t="str">
        <f>IF($B91="","",INDEX(tblStock[StockActual],'91_KPIS'!$Q91))</f>
        <v/>
      </c>
      <c r="I91" s="55" t="str">
        <f>IF($B91="","",INDEX(tblStock[StockMin],'91_KPIS'!$Q91))</f>
        <v/>
      </c>
      <c r="J91" s="55" t="str">
        <f>IF($B91="","",INDEX(tblStock[StockMax],'91_KPIS'!$Q91))</f>
        <v/>
      </c>
      <c r="K91" s="53" t="str">
        <f>IF($B91="","",INDEX(tblStock[Unidad],'91_KPIS'!$Q91))</f>
        <v/>
      </c>
      <c r="L91" s="55" t="str">
        <f t="shared" si="2"/>
        <v/>
      </c>
      <c r="M91" s="55" t="str">
        <f t="shared" si="3"/>
        <v/>
      </c>
      <c r="N91" s="54" t="str">
        <f>IF($B91="","",IFERROR(INDEX(tblEstados[Acción],MATCH($C91,tblEstados[Estado],0)),""))</f>
        <v/>
      </c>
      <c r="O91" s="60" t="str">
        <f>IF($B91="","",INDEX(tblStock[UltimoMov],'91_KPIS'!$Q91))</f>
        <v/>
      </c>
    </row>
    <row r="92" spans="2:15" x14ac:dyDescent="0.25">
      <c r="B92" s="62" t="str">
        <f>IF('91_KPIS'!$Q92="","",'91_KPIS'!$O92)</f>
        <v/>
      </c>
      <c r="C92" s="58" t="str">
        <f>IF($B92="","",INDEX(tblStock[Estado],'91_KPIS'!$Q92))</f>
        <v/>
      </c>
      <c r="D92" s="53" t="str">
        <f>IF($B92="","",INDEX(tblStock[SKU],'91_KPIS'!$Q92))</f>
        <v/>
      </c>
      <c r="E92" s="54" t="str">
        <f>IF($B92="","",INDEX(tblStock[Producto],'91_KPIS'!$Q92))</f>
        <v/>
      </c>
      <c r="F92" s="54" t="str">
        <f>IF($B92="","",INDEX(tblStock[Categoría],'91_KPIS'!$Q92))</f>
        <v/>
      </c>
      <c r="G92" s="54" t="str">
        <f>IF($B92="","",INDEX(tblStock[Proveedor],'91_KPIS'!$Q92)&amp;"")</f>
        <v/>
      </c>
      <c r="H92" s="56" t="str">
        <f>IF($B92="","",INDEX(tblStock[StockActual],'91_KPIS'!$Q92))</f>
        <v/>
      </c>
      <c r="I92" s="55" t="str">
        <f>IF($B92="","",INDEX(tblStock[StockMin],'91_KPIS'!$Q92))</f>
        <v/>
      </c>
      <c r="J92" s="55" t="str">
        <f>IF($B92="","",INDEX(tblStock[StockMax],'91_KPIS'!$Q92))</f>
        <v/>
      </c>
      <c r="K92" s="53" t="str">
        <f>IF($B92="","",INDEX(tblStock[Unidad],'91_KPIS'!$Q92))</f>
        <v/>
      </c>
      <c r="L92" s="55" t="str">
        <f t="shared" si="2"/>
        <v/>
      </c>
      <c r="M92" s="55" t="str">
        <f t="shared" si="3"/>
        <v/>
      </c>
      <c r="N92" s="54" t="str">
        <f>IF($B92="","",IFERROR(INDEX(tblEstados[Acción],MATCH($C92,tblEstados[Estado],0)),""))</f>
        <v/>
      </c>
      <c r="O92" s="60" t="str">
        <f>IF($B92="","",INDEX(tblStock[UltimoMov],'91_KPIS'!$Q92))</f>
        <v/>
      </c>
    </row>
    <row r="93" spans="2:15" x14ac:dyDescent="0.25">
      <c r="B93" s="62" t="str">
        <f>IF('91_KPIS'!$Q93="","",'91_KPIS'!$O93)</f>
        <v/>
      </c>
      <c r="C93" s="58" t="str">
        <f>IF($B93="","",INDEX(tblStock[Estado],'91_KPIS'!$Q93))</f>
        <v/>
      </c>
      <c r="D93" s="53" t="str">
        <f>IF($B93="","",INDEX(tblStock[SKU],'91_KPIS'!$Q93))</f>
        <v/>
      </c>
      <c r="E93" s="54" t="str">
        <f>IF($B93="","",INDEX(tblStock[Producto],'91_KPIS'!$Q93))</f>
        <v/>
      </c>
      <c r="F93" s="54" t="str">
        <f>IF($B93="","",INDEX(tblStock[Categoría],'91_KPIS'!$Q93))</f>
        <v/>
      </c>
      <c r="G93" s="54" t="str">
        <f>IF($B93="","",INDEX(tblStock[Proveedor],'91_KPIS'!$Q93)&amp;"")</f>
        <v/>
      </c>
      <c r="H93" s="56" t="str">
        <f>IF($B93="","",INDEX(tblStock[StockActual],'91_KPIS'!$Q93))</f>
        <v/>
      </c>
      <c r="I93" s="55" t="str">
        <f>IF($B93="","",INDEX(tblStock[StockMin],'91_KPIS'!$Q93))</f>
        <v/>
      </c>
      <c r="J93" s="55" t="str">
        <f>IF($B93="","",INDEX(tblStock[StockMax],'91_KPIS'!$Q93))</f>
        <v/>
      </c>
      <c r="K93" s="53" t="str">
        <f>IF($B93="","",INDEX(tblStock[Unidad],'91_KPIS'!$Q93))</f>
        <v/>
      </c>
      <c r="L93" s="55" t="str">
        <f t="shared" si="2"/>
        <v/>
      </c>
      <c r="M93" s="55" t="str">
        <f t="shared" si="3"/>
        <v/>
      </c>
      <c r="N93" s="54" t="str">
        <f>IF($B93="","",IFERROR(INDEX(tblEstados[Acción],MATCH($C93,tblEstados[Estado],0)),""))</f>
        <v/>
      </c>
      <c r="O93" s="60" t="str">
        <f>IF($B93="","",INDEX(tblStock[UltimoMov],'91_KPIS'!$Q93))</f>
        <v/>
      </c>
    </row>
    <row r="94" spans="2:15" x14ac:dyDescent="0.25">
      <c r="B94" s="62" t="str">
        <f>IF('91_KPIS'!$Q94="","",'91_KPIS'!$O94)</f>
        <v/>
      </c>
      <c r="C94" s="58" t="str">
        <f>IF($B94="","",INDEX(tblStock[Estado],'91_KPIS'!$Q94))</f>
        <v/>
      </c>
      <c r="D94" s="53" t="str">
        <f>IF($B94="","",INDEX(tblStock[SKU],'91_KPIS'!$Q94))</f>
        <v/>
      </c>
      <c r="E94" s="54" t="str">
        <f>IF($B94="","",INDEX(tblStock[Producto],'91_KPIS'!$Q94))</f>
        <v/>
      </c>
      <c r="F94" s="54" t="str">
        <f>IF($B94="","",INDEX(tblStock[Categoría],'91_KPIS'!$Q94))</f>
        <v/>
      </c>
      <c r="G94" s="54" t="str">
        <f>IF($B94="","",INDEX(tblStock[Proveedor],'91_KPIS'!$Q94)&amp;"")</f>
        <v/>
      </c>
      <c r="H94" s="56" t="str">
        <f>IF($B94="","",INDEX(tblStock[StockActual],'91_KPIS'!$Q94))</f>
        <v/>
      </c>
      <c r="I94" s="55" t="str">
        <f>IF($B94="","",INDEX(tblStock[StockMin],'91_KPIS'!$Q94))</f>
        <v/>
      </c>
      <c r="J94" s="55" t="str">
        <f>IF($B94="","",INDEX(tblStock[StockMax],'91_KPIS'!$Q94))</f>
        <v/>
      </c>
      <c r="K94" s="53" t="str">
        <f>IF($B94="","",INDEX(tblStock[Unidad],'91_KPIS'!$Q94))</f>
        <v/>
      </c>
      <c r="L94" s="55" t="str">
        <f t="shared" si="2"/>
        <v/>
      </c>
      <c r="M94" s="55" t="str">
        <f t="shared" si="3"/>
        <v/>
      </c>
      <c r="N94" s="54" t="str">
        <f>IF($B94="","",IFERROR(INDEX(tblEstados[Acción],MATCH($C94,tblEstados[Estado],0)),""))</f>
        <v/>
      </c>
      <c r="O94" s="60" t="str">
        <f>IF($B94="","",INDEX(tblStock[UltimoMov],'91_KPIS'!$Q94))</f>
        <v/>
      </c>
    </row>
    <row r="95" spans="2:15" x14ac:dyDescent="0.25">
      <c r="B95" s="62" t="str">
        <f>IF('91_KPIS'!$Q95="","",'91_KPIS'!$O95)</f>
        <v/>
      </c>
      <c r="C95" s="58" t="str">
        <f>IF($B95="","",INDEX(tblStock[Estado],'91_KPIS'!$Q95))</f>
        <v/>
      </c>
      <c r="D95" s="53" t="str">
        <f>IF($B95="","",INDEX(tblStock[SKU],'91_KPIS'!$Q95))</f>
        <v/>
      </c>
      <c r="E95" s="54" t="str">
        <f>IF($B95="","",INDEX(tblStock[Producto],'91_KPIS'!$Q95))</f>
        <v/>
      </c>
      <c r="F95" s="54" t="str">
        <f>IF($B95="","",INDEX(tblStock[Categoría],'91_KPIS'!$Q95))</f>
        <v/>
      </c>
      <c r="G95" s="54" t="str">
        <f>IF($B95="","",INDEX(tblStock[Proveedor],'91_KPIS'!$Q95)&amp;"")</f>
        <v/>
      </c>
      <c r="H95" s="56" t="str">
        <f>IF($B95="","",INDEX(tblStock[StockActual],'91_KPIS'!$Q95))</f>
        <v/>
      </c>
      <c r="I95" s="55" t="str">
        <f>IF($B95="","",INDEX(tblStock[StockMin],'91_KPIS'!$Q95))</f>
        <v/>
      </c>
      <c r="J95" s="55" t="str">
        <f>IF($B95="","",INDEX(tblStock[StockMax],'91_KPIS'!$Q95))</f>
        <v/>
      </c>
      <c r="K95" s="53" t="str">
        <f>IF($B95="","",INDEX(tblStock[Unidad],'91_KPIS'!$Q95))</f>
        <v/>
      </c>
      <c r="L95" s="55" t="str">
        <f t="shared" si="2"/>
        <v/>
      </c>
      <c r="M95" s="55" t="str">
        <f t="shared" si="3"/>
        <v/>
      </c>
      <c r="N95" s="54" t="str">
        <f>IF($B95="","",IFERROR(INDEX(tblEstados[Acción],MATCH($C95,tblEstados[Estado],0)),""))</f>
        <v/>
      </c>
      <c r="O95" s="60" t="str">
        <f>IF($B95="","",INDEX(tblStock[UltimoMov],'91_KPIS'!$Q95))</f>
        <v/>
      </c>
    </row>
    <row r="96" spans="2:15" x14ac:dyDescent="0.25">
      <c r="B96" s="62" t="str">
        <f>IF('91_KPIS'!$Q96="","",'91_KPIS'!$O96)</f>
        <v/>
      </c>
      <c r="C96" s="58" t="str">
        <f>IF($B96="","",INDEX(tblStock[Estado],'91_KPIS'!$Q96))</f>
        <v/>
      </c>
      <c r="D96" s="53" t="str">
        <f>IF($B96="","",INDEX(tblStock[SKU],'91_KPIS'!$Q96))</f>
        <v/>
      </c>
      <c r="E96" s="54" t="str">
        <f>IF($B96="","",INDEX(tblStock[Producto],'91_KPIS'!$Q96))</f>
        <v/>
      </c>
      <c r="F96" s="54" t="str">
        <f>IF($B96="","",INDEX(tblStock[Categoría],'91_KPIS'!$Q96))</f>
        <v/>
      </c>
      <c r="G96" s="54" t="str">
        <f>IF($B96="","",INDEX(tblStock[Proveedor],'91_KPIS'!$Q96)&amp;"")</f>
        <v/>
      </c>
      <c r="H96" s="56" t="str">
        <f>IF($B96="","",INDEX(tblStock[StockActual],'91_KPIS'!$Q96))</f>
        <v/>
      </c>
      <c r="I96" s="55" t="str">
        <f>IF($B96="","",INDEX(tblStock[StockMin],'91_KPIS'!$Q96))</f>
        <v/>
      </c>
      <c r="J96" s="55" t="str">
        <f>IF($B96="","",INDEX(tblStock[StockMax],'91_KPIS'!$Q96))</f>
        <v/>
      </c>
      <c r="K96" s="53" t="str">
        <f>IF($B96="","",INDEX(tblStock[Unidad],'91_KPIS'!$Q96))</f>
        <v/>
      </c>
      <c r="L96" s="55" t="str">
        <f t="shared" si="2"/>
        <v/>
      </c>
      <c r="M96" s="55" t="str">
        <f t="shared" si="3"/>
        <v/>
      </c>
      <c r="N96" s="54" t="str">
        <f>IF($B96="","",IFERROR(INDEX(tblEstados[Acción],MATCH($C96,tblEstados[Estado],0)),""))</f>
        <v/>
      </c>
      <c r="O96" s="60" t="str">
        <f>IF($B96="","",INDEX(tblStock[UltimoMov],'91_KPIS'!$Q96))</f>
        <v/>
      </c>
    </row>
    <row r="97" spans="2:15" x14ac:dyDescent="0.25">
      <c r="B97" s="62" t="str">
        <f>IF('91_KPIS'!$Q97="","",'91_KPIS'!$O97)</f>
        <v/>
      </c>
      <c r="C97" s="58" t="str">
        <f>IF($B97="","",INDEX(tblStock[Estado],'91_KPIS'!$Q97))</f>
        <v/>
      </c>
      <c r="D97" s="53" t="str">
        <f>IF($B97="","",INDEX(tblStock[SKU],'91_KPIS'!$Q97))</f>
        <v/>
      </c>
      <c r="E97" s="54" t="str">
        <f>IF($B97="","",INDEX(tblStock[Producto],'91_KPIS'!$Q97))</f>
        <v/>
      </c>
      <c r="F97" s="54" t="str">
        <f>IF($B97="","",INDEX(tblStock[Categoría],'91_KPIS'!$Q97))</f>
        <v/>
      </c>
      <c r="G97" s="54" t="str">
        <f>IF($B97="","",INDEX(tblStock[Proveedor],'91_KPIS'!$Q97)&amp;"")</f>
        <v/>
      </c>
      <c r="H97" s="56" t="str">
        <f>IF($B97="","",INDEX(tblStock[StockActual],'91_KPIS'!$Q97))</f>
        <v/>
      </c>
      <c r="I97" s="55" t="str">
        <f>IF($B97="","",INDEX(tblStock[StockMin],'91_KPIS'!$Q97))</f>
        <v/>
      </c>
      <c r="J97" s="55" t="str">
        <f>IF($B97="","",INDEX(tblStock[StockMax],'91_KPIS'!$Q97))</f>
        <v/>
      </c>
      <c r="K97" s="53" t="str">
        <f>IF($B97="","",INDEX(tblStock[Unidad],'91_KPIS'!$Q97))</f>
        <v/>
      </c>
      <c r="L97" s="55" t="str">
        <f t="shared" si="2"/>
        <v/>
      </c>
      <c r="M97" s="55" t="str">
        <f t="shared" si="3"/>
        <v/>
      </c>
      <c r="N97" s="54" t="str">
        <f>IF($B97="","",IFERROR(INDEX(tblEstados[Acción],MATCH($C97,tblEstados[Estado],0)),""))</f>
        <v/>
      </c>
      <c r="O97" s="60" t="str">
        <f>IF($B97="","",INDEX(tblStock[UltimoMov],'91_KPIS'!$Q97))</f>
        <v/>
      </c>
    </row>
    <row r="98" spans="2:15" x14ac:dyDescent="0.25">
      <c r="B98" s="62" t="str">
        <f>IF('91_KPIS'!$Q98="","",'91_KPIS'!$O98)</f>
        <v/>
      </c>
      <c r="C98" s="58" t="str">
        <f>IF($B98="","",INDEX(tblStock[Estado],'91_KPIS'!$Q98))</f>
        <v/>
      </c>
      <c r="D98" s="53" t="str">
        <f>IF($B98="","",INDEX(tblStock[SKU],'91_KPIS'!$Q98))</f>
        <v/>
      </c>
      <c r="E98" s="54" t="str">
        <f>IF($B98="","",INDEX(tblStock[Producto],'91_KPIS'!$Q98))</f>
        <v/>
      </c>
      <c r="F98" s="54" t="str">
        <f>IF($B98="","",INDEX(tblStock[Categoría],'91_KPIS'!$Q98))</f>
        <v/>
      </c>
      <c r="G98" s="54" t="str">
        <f>IF($B98="","",INDEX(tblStock[Proveedor],'91_KPIS'!$Q98)&amp;"")</f>
        <v/>
      </c>
      <c r="H98" s="56" t="str">
        <f>IF($B98="","",INDEX(tblStock[StockActual],'91_KPIS'!$Q98))</f>
        <v/>
      </c>
      <c r="I98" s="55" t="str">
        <f>IF($B98="","",INDEX(tblStock[StockMin],'91_KPIS'!$Q98))</f>
        <v/>
      </c>
      <c r="J98" s="55" t="str">
        <f>IF($B98="","",INDEX(tblStock[StockMax],'91_KPIS'!$Q98))</f>
        <v/>
      </c>
      <c r="K98" s="53" t="str">
        <f>IF($B98="","",INDEX(tblStock[Unidad],'91_KPIS'!$Q98))</f>
        <v/>
      </c>
      <c r="L98" s="55" t="str">
        <f t="shared" si="2"/>
        <v/>
      </c>
      <c r="M98" s="55" t="str">
        <f t="shared" si="3"/>
        <v/>
      </c>
      <c r="N98" s="54" t="str">
        <f>IF($B98="","",IFERROR(INDEX(tblEstados[Acción],MATCH($C98,tblEstados[Estado],0)),""))</f>
        <v/>
      </c>
      <c r="O98" s="60" t="str">
        <f>IF($B98="","",INDEX(tblStock[UltimoMov],'91_KPIS'!$Q98))</f>
        <v/>
      </c>
    </row>
    <row r="99" spans="2:15" x14ac:dyDescent="0.25">
      <c r="B99" s="62" t="str">
        <f>IF('91_KPIS'!$Q99="","",'91_KPIS'!$O99)</f>
        <v/>
      </c>
      <c r="C99" s="58" t="str">
        <f>IF($B99="","",INDEX(tblStock[Estado],'91_KPIS'!$Q99))</f>
        <v/>
      </c>
      <c r="D99" s="53" t="str">
        <f>IF($B99="","",INDEX(tblStock[SKU],'91_KPIS'!$Q99))</f>
        <v/>
      </c>
      <c r="E99" s="54" t="str">
        <f>IF($B99="","",INDEX(tblStock[Producto],'91_KPIS'!$Q99))</f>
        <v/>
      </c>
      <c r="F99" s="54" t="str">
        <f>IF($B99="","",INDEX(tblStock[Categoría],'91_KPIS'!$Q99))</f>
        <v/>
      </c>
      <c r="G99" s="54" t="str">
        <f>IF($B99="","",INDEX(tblStock[Proveedor],'91_KPIS'!$Q99)&amp;"")</f>
        <v/>
      </c>
      <c r="H99" s="56" t="str">
        <f>IF($B99="","",INDEX(tblStock[StockActual],'91_KPIS'!$Q99))</f>
        <v/>
      </c>
      <c r="I99" s="55" t="str">
        <f>IF($B99="","",INDEX(tblStock[StockMin],'91_KPIS'!$Q99))</f>
        <v/>
      </c>
      <c r="J99" s="55" t="str">
        <f>IF($B99="","",INDEX(tblStock[StockMax],'91_KPIS'!$Q99))</f>
        <v/>
      </c>
      <c r="K99" s="53" t="str">
        <f>IF($B99="","",INDEX(tblStock[Unidad],'91_KPIS'!$Q99))</f>
        <v/>
      </c>
      <c r="L99" s="55" t="str">
        <f t="shared" si="2"/>
        <v/>
      </c>
      <c r="M99" s="55" t="str">
        <f t="shared" si="3"/>
        <v/>
      </c>
      <c r="N99" s="54" t="str">
        <f>IF($B99="","",IFERROR(INDEX(tblEstados[Acción],MATCH($C99,tblEstados[Estado],0)),""))</f>
        <v/>
      </c>
      <c r="O99" s="60" t="str">
        <f>IF($B99="","",INDEX(tblStock[UltimoMov],'91_KPIS'!$Q99))</f>
        <v/>
      </c>
    </row>
    <row r="100" spans="2:15" x14ac:dyDescent="0.25">
      <c r="B100" s="62" t="str">
        <f>IF('91_KPIS'!$Q100="","",'91_KPIS'!$O100)</f>
        <v/>
      </c>
      <c r="C100" s="58" t="str">
        <f>IF($B100="","",INDEX(tblStock[Estado],'91_KPIS'!$Q100))</f>
        <v/>
      </c>
      <c r="D100" s="53" t="str">
        <f>IF($B100="","",INDEX(tblStock[SKU],'91_KPIS'!$Q100))</f>
        <v/>
      </c>
      <c r="E100" s="54" t="str">
        <f>IF($B100="","",INDEX(tblStock[Producto],'91_KPIS'!$Q100))</f>
        <v/>
      </c>
      <c r="F100" s="54" t="str">
        <f>IF($B100="","",INDEX(tblStock[Categoría],'91_KPIS'!$Q100))</f>
        <v/>
      </c>
      <c r="G100" s="54" t="str">
        <f>IF($B100="","",INDEX(tblStock[Proveedor],'91_KPIS'!$Q100)&amp;"")</f>
        <v/>
      </c>
      <c r="H100" s="56" t="str">
        <f>IF($B100="","",INDEX(tblStock[StockActual],'91_KPIS'!$Q100))</f>
        <v/>
      </c>
      <c r="I100" s="55" t="str">
        <f>IF($B100="","",INDEX(tblStock[StockMin],'91_KPIS'!$Q100))</f>
        <v/>
      </c>
      <c r="J100" s="55" t="str">
        <f>IF($B100="","",INDEX(tblStock[StockMax],'91_KPIS'!$Q100))</f>
        <v/>
      </c>
      <c r="K100" s="53" t="str">
        <f>IF($B100="","",INDEX(tblStock[Unidad],'91_KPIS'!$Q100))</f>
        <v/>
      </c>
      <c r="L100" s="55" t="str">
        <f t="shared" si="2"/>
        <v/>
      </c>
      <c r="M100" s="55" t="str">
        <f t="shared" si="3"/>
        <v/>
      </c>
      <c r="N100" s="54" t="str">
        <f>IF($B100="","",IFERROR(INDEX(tblEstados[Acción],MATCH($C100,tblEstados[Estado],0)),""))</f>
        <v/>
      </c>
      <c r="O100" s="60" t="str">
        <f>IF($B100="","",INDEX(tblStock[UltimoMov],'91_KPIS'!$Q100))</f>
        <v/>
      </c>
    </row>
    <row r="101" spans="2:15" x14ac:dyDescent="0.25">
      <c r="B101" s="62" t="str">
        <f>IF('91_KPIS'!$Q101="","",'91_KPIS'!$O101)</f>
        <v/>
      </c>
      <c r="C101" s="58" t="str">
        <f>IF($B101="","",INDEX(tblStock[Estado],'91_KPIS'!$Q101))</f>
        <v/>
      </c>
      <c r="D101" s="53" t="str">
        <f>IF($B101="","",INDEX(tblStock[SKU],'91_KPIS'!$Q101))</f>
        <v/>
      </c>
      <c r="E101" s="54" t="str">
        <f>IF($B101="","",INDEX(tblStock[Producto],'91_KPIS'!$Q101))</f>
        <v/>
      </c>
      <c r="F101" s="54" t="str">
        <f>IF($B101="","",INDEX(tblStock[Categoría],'91_KPIS'!$Q101))</f>
        <v/>
      </c>
      <c r="G101" s="54" t="str">
        <f>IF($B101="","",INDEX(tblStock[Proveedor],'91_KPIS'!$Q101)&amp;"")</f>
        <v/>
      </c>
      <c r="H101" s="56" t="str">
        <f>IF($B101="","",INDEX(tblStock[StockActual],'91_KPIS'!$Q101))</f>
        <v/>
      </c>
      <c r="I101" s="55" t="str">
        <f>IF($B101="","",INDEX(tblStock[StockMin],'91_KPIS'!$Q101))</f>
        <v/>
      </c>
      <c r="J101" s="55" t="str">
        <f>IF($B101="","",INDEX(tblStock[StockMax],'91_KPIS'!$Q101))</f>
        <v/>
      </c>
      <c r="K101" s="53" t="str">
        <f>IF($B101="","",INDEX(tblStock[Unidad],'91_KPIS'!$Q101))</f>
        <v/>
      </c>
      <c r="L101" s="55" t="str">
        <f t="shared" si="2"/>
        <v/>
      </c>
      <c r="M101" s="55" t="str">
        <f t="shared" si="3"/>
        <v/>
      </c>
      <c r="N101" s="54" t="str">
        <f>IF($B101="","",IFERROR(INDEX(tblEstados[Acción],MATCH($C101,tblEstados[Estado],0)),""))</f>
        <v/>
      </c>
      <c r="O101" s="60" t="str">
        <f>IF($B101="","",INDEX(tblStock[UltimoMov],'91_KPIS'!$Q101))</f>
        <v/>
      </c>
    </row>
    <row r="102" spans="2:15" x14ac:dyDescent="0.25">
      <c r="B102" s="62" t="str">
        <f>IF('91_KPIS'!$Q102="","",'91_KPIS'!$O102)</f>
        <v/>
      </c>
      <c r="C102" s="58" t="str">
        <f>IF($B102="","",INDEX(tblStock[Estado],'91_KPIS'!$Q102))</f>
        <v/>
      </c>
      <c r="D102" s="53" t="str">
        <f>IF($B102="","",INDEX(tblStock[SKU],'91_KPIS'!$Q102))</f>
        <v/>
      </c>
      <c r="E102" s="54" t="str">
        <f>IF($B102="","",INDEX(tblStock[Producto],'91_KPIS'!$Q102))</f>
        <v/>
      </c>
      <c r="F102" s="54" t="str">
        <f>IF($B102="","",INDEX(tblStock[Categoría],'91_KPIS'!$Q102))</f>
        <v/>
      </c>
      <c r="G102" s="54" t="str">
        <f>IF($B102="","",INDEX(tblStock[Proveedor],'91_KPIS'!$Q102)&amp;"")</f>
        <v/>
      </c>
      <c r="H102" s="56" t="str">
        <f>IF($B102="","",INDEX(tblStock[StockActual],'91_KPIS'!$Q102))</f>
        <v/>
      </c>
      <c r="I102" s="55" t="str">
        <f>IF($B102="","",INDEX(tblStock[StockMin],'91_KPIS'!$Q102))</f>
        <v/>
      </c>
      <c r="J102" s="55" t="str">
        <f>IF($B102="","",INDEX(tblStock[StockMax],'91_KPIS'!$Q102))</f>
        <v/>
      </c>
      <c r="K102" s="53" t="str">
        <f>IF($B102="","",INDEX(tblStock[Unidad],'91_KPIS'!$Q102))</f>
        <v/>
      </c>
      <c r="L102" s="55" t="str">
        <f t="shared" si="2"/>
        <v/>
      </c>
      <c r="M102" s="55" t="str">
        <f t="shared" si="3"/>
        <v/>
      </c>
      <c r="N102" s="54" t="str">
        <f>IF($B102="","",IFERROR(INDEX(tblEstados[Acción],MATCH($C102,tblEstados[Estado],0)),""))</f>
        <v/>
      </c>
      <c r="O102" s="60" t="str">
        <f>IF($B102="","",INDEX(tblStock[UltimoMov],'91_KPIS'!$Q102))</f>
        <v/>
      </c>
    </row>
    <row r="103" spans="2:15" x14ac:dyDescent="0.25">
      <c r="B103" s="62" t="str">
        <f>IF('91_KPIS'!$Q103="","",'91_KPIS'!$O103)</f>
        <v/>
      </c>
      <c r="C103" s="58" t="str">
        <f>IF($B103="","",INDEX(tblStock[Estado],'91_KPIS'!$Q103))</f>
        <v/>
      </c>
      <c r="D103" s="53" t="str">
        <f>IF($B103="","",INDEX(tblStock[SKU],'91_KPIS'!$Q103))</f>
        <v/>
      </c>
      <c r="E103" s="54" t="str">
        <f>IF($B103="","",INDEX(tblStock[Producto],'91_KPIS'!$Q103))</f>
        <v/>
      </c>
      <c r="F103" s="54" t="str">
        <f>IF($B103="","",INDEX(tblStock[Categoría],'91_KPIS'!$Q103))</f>
        <v/>
      </c>
      <c r="G103" s="54" t="str">
        <f>IF($B103="","",INDEX(tblStock[Proveedor],'91_KPIS'!$Q103)&amp;"")</f>
        <v/>
      </c>
      <c r="H103" s="56" t="str">
        <f>IF($B103="","",INDEX(tblStock[StockActual],'91_KPIS'!$Q103))</f>
        <v/>
      </c>
      <c r="I103" s="55" t="str">
        <f>IF($B103="","",INDEX(tblStock[StockMin],'91_KPIS'!$Q103))</f>
        <v/>
      </c>
      <c r="J103" s="55" t="str">
        <f>IF($B103="","",INDEX(tblStock[StockMax],'91_KPIS'!$Q103))</f>
        <v/>
      </c>
      <c r="K103" s="53" t="str">
        <f>IF($B103="","",INDEX(tblStock[Unidad],'91_KPIS'!$Q103))</f>
        <v/>
      </c>
      <c r="L103" s="55" t="str">
        <f t="shared" si="2"/>
        <v/>
      </c>
      <c r="M103" s="55" t="str">
        <f t="shared" si="3"/>
        <v/>
      </c>
      <c r="N103" s="54" t="str">
        <f>IF($B103="","",IFERROR(INDEX(tblEstados[Acción],MATCH($C103,tblEstados[Estado],0)),""))</f>
        <v/>
      </c>
      <c r="O103" s="60" t="str">
        <f>IF($B103="","",INDEX(tblStock[UltimoMov],'91_KPIS'!$Q103))</f>
        <v/>
      </c>
    </row>
    <row r="104" spans="2:15" x14ac:dyDescent="0.25">
      <c r="B104" s="62" t="str">
        <f>IF('91_KPIS'!$Q104="","",'91_KPIS'!$O104)</f>
        <v/>
      </c>
      <c r="C104" s="58" t="str">
        <f>IF($B104="","",INDEX(tblStock[Estado],'91_KPIS'!$Q104))</f>
        <v/>
      </c>
      <c r="D104" s="53" t="str">
        <f>IF($B104="","",INDEX(tblStock[SKU],'91_KPIS'!$Q104))</f>
        <v/>
      </c>
      <c r="E104" s="54" t="str">
        <f>IF($B104="","",INDEX(tblStock[Producto],'91_KPIS'!$Q104))</f>
        <v/>
      </c>
      <c r="F104" s="54" t="str">
        <f>IF($B104="","",INDEX(tblStock[Categoría],'91_KPIS'!$Q104))</f>
        <v/>
      </c>
      <c r="G104" s="54" t="str">
        <f>IF($B104="","",INDEX(tblStock[Proveedor],'91_KPIS'!$Q104)&amp;"")</f>
        <v/>
      </c>
      <c r="H104" s="56" t="str">
        <f>IF($B104="","",INDEX(tblStock[StockActual],'91_KPIS'!$Q104))</f>
        <v/>
      </c>
      <c r="I104" s="55" t="str">
        <f>IF($B104="","",INDEX(tblStock[StockMin],'91_KPIS'!$Q104))</f>
        <v/>
      </c>
      <c r="J104" s="55" t="str">
        <f>IF($B104="","",INDEX(tblStock[StockMax],'91_KPIS'!$Q104))</f>
        <v/>
      </c>
      <c r="K104" s="53" t="str">
        <f>IF($B104="","",INDEX(tblStock[Unidad],'91_KPIS'!$Q104))</f>
        <v/>
      </c>
      <c r="L104" s="55" t="str">
        <f t="shared" si="2"/>
        <v/>
      </c>
      <c r="M104" s="55" t="str">
        <f t="shared" si="3"/>
        <v/>
      </c>
      <c r="N104" s="54" t="str">
        <f>IF($B104="","",IFERROR(INDEX(tblEstados[Acción],MATCH($C104,tblEstados[Estado],0)),""))</f>
        <v/>
      </c>
      <c r="O104" s="60" t="str">
        <f>IF($B104="","",INDEX(tblStock[UltimoMov],'91_KPIS'!$Q104))</f>
        <v/>
      </c>
    </row>
    <row r="105" spans="2:15" x14ac:dyDescent="0.25">
      <c r="B105" s="62" t="str">
        <f>IF('91_KPIS'!$Q105="","",'91_KPIS'!$O105)</f>
        <v/>
      </c>
      <c r="C105" s="58" t="str">
        <f>IF($B105="","",INDEX(tblStock[Estado],'91_KPIS'!$Q105))</f>
        <v/>
      </c>
      <c r="D105" s="53" t="str">
        <f>IF($B105="","",INDEX(tblStock[SKU],'91_KPIS'!$Q105))</f>
        <v/>
      </c>
      <c r="E105" s="54" t="str">
        <f>IF($B105="","",INDEX(tblStock[Producto],'91_KPIS'!$Q105))</f>
        <v/>
      </c>
      <c r="F105" s="54" t="str">
        <f>IF($B105="","",INDEX(tblStock[Categoría],'91_KPIS'!$Q105))</f>
        <v/>
      </c>
      <c r="G105" s="54" t="str">
        <f>IF($B105="","",INDEX(tblStock[Proveedor],'91_KPIS'!$Q105)&amp;"")</f>
        <v/>
      </c>
      <c r="H105" s="56" t="str">
        <f>IF($B105="","",INDEX(tblStock[StockActual],'91_KPIS'!$Q105))</f>
        <v/>
      </c>
      <c r="I105" s="55" t="str">
        <f>IF($B105="","",INDEX(tblStock[StockMin],'91_KPIS'!$Q105))</f>
        <v/>
      </c>
      <c r="J105" s="55" t="str">
        <f>IF($B105="","",INDEX(tblStock[StockMax],'91_KPIS'!$Q105))</f>
        <v/>
      </c>
      <c r="K105" s="53" t="str">
        <f>IF($B105="","",INDEX(tblStock[Unidad],'91_KPIS'!$Q105))</f>
        <v/>
      </c>
      <c r="L105" s="55" t="str">
        <f t="shared" si="2"/>
        <v/>
      </c>
      <c r="M105" s="55" t="str">
        <f t="shared" si="3"/>
        <v/>
      </c>
      <c r="N105" s="54" t="str">
        <f>IF($B105="","",IFERROR(INDEX(tblEstados[Acción],MATCH($C105,tblEstados[Estado],0)),""))</f>
        <v/>
      </c>
      <c r="O105" s="60" t="str">
        <f>IF($B105="","",INDEX(tblStock[UltimoMov],'91_KPIS'!$Q105))</f>
        <v/>
      </c>
    </row>
    <row r="106" spans="2:15" x14ac:dyDescent="0.25">
      <c r="B106" s="62" t="str">
        <f>IF('91_KPIS'!$Q106="","",'91_KPIS'!$O106)</f>
        <v/>
      </c>
      <c r="C106" s="58" t="str">
        <f>IF($B106="","",INDEX(tblStock[Estado],'91_KPIS'!$Q106))</f>
        <v/>
      </c>
      <c r="D106" s="53" t="str">
        <f>IF($B106="","",INDEX(tblStock[SKU],'91_KPIS'!$Q106))</f>
        <v/>
      </c>
      <c r="E106" s="54" t="str">
        <f>IF($B106="","",INDEX(tblStock[Producto],'91_KPIS'!$Q106))</f>
        <v/>
      </c>
      <c r="F106" s="54" t="str">
        <f>IF($B106="","",INDEX(tblStock[Categoría],'91_KPIS'!$Q106))</f>
        <v/>
      </c>
      <c r="G106" s="54" t="str">
        <f>IF($B106="","",INDEX(tblStock[Proveedor],'91_KPIS'!$Q106)&amp;"")</f>
        <v/>
      </c>
      <c r="H106" s="56" t="str">
        <f>IF($B106="","",INDEX(tblStock[StockActual],'91_KPIS'!$Q106))</f>
        <v/>
      </c>
      <c r="I106" s="55" t="str">
        <f>IF($B106="","",INDEX(tblStock[StockMin],'91_KPIS'!$Q106))</f>
        <v/>
      </c>
      <c r="J106" s="55" t="str">
        <f>IF($B106="","",INDEX(tblStock[StockMax],'91_KPIS'!$Q106))</f>
        <v/>
      </c>
      <c r="K106" s="53" t="str">
        <f>IF($B106="","",INDEX(tblStock[Unidad],'91_KPIS'!$Q106))</f>
        <v/>
      </c>
      <c r="L106" s="55" t="str">
        <f t="shared" si="2"/>
        <v/>
      </c>
      <c r="M106" s="55" t="str">
        <f t="shared" si="3"/>
        <v/>
      </c>
      <c r="N106" s="54" t="str">
        <f>IF($B106="","",IFERROR(INDEX(tblEstados[Acción],MATCH($C106,tblEstados[Estado],0)),""))</f>
        <v/>
      </c>
      <c r="O106" s="60" t="str">
        <f>IF($B106="","",INDEX(tblStock[UltimoMov],'91_KPIS'!$Q106))</f>
        <v/>
      </c>
    </row>
    <row r="107" spans="2:15" x14ac:dyDescent="0.25">
      <c r="B107" s="62" t="str">
        <f>IF('91_KPIS'!$Q107="","",'91_KPIS'!$O107)</f>
        <v/>
      </c>
      <c r="C107" s="58" t="str">
        <f>IF($B107="","",INDEX(tblStock[Estado],'91_KPIS'!$Q107))</f>
        <v/>
      </c>
      <c r="D107" s="53" t="str">
        <f>IF($B107="","",INDEX(tblStock[SKU],'91_KPIS'!$Q107))</f>
        <v/>
      </c>
      <c r="E107" s="54" t="str">
        <f>IF($B107="","",INDEX(tblStock[Producto],'91_KPIS'!$Q107))</f>
        <v/>
      </c>
      <c r="F107" s="54" t="str">
        <f>IF($B107="","",INDEX(tblStock[Categoría],'91_KPIS'!$Q107))</f>
        <v/>
      </c>
      <c r="G107" s="54" t="str">
        <f>IF($B107="","",INDEX(tblStock[Proveedor],'91_KPIS'!$Q107)&amp;"")</f>
        <v/>
      </c>
      <c r="H107" s="56" t="str">
        <f>IF($B107="","",INDEX(tblStock[StockActual],'91_KPIS'!$Q107))</f>
        <v/>
      </c>
      <c r="I107" s="55" t="str">
        <f>IF($B107="","",INDEX(tblStock[StockMin],'91_KPIS'!$Q107))</f>
        <v/>
      </c>
      <c r="J107" s="55" t="str">
        <f>IF($B107="","",INDEX(tblStock[StockMax],'91_KPIS'!$Q107))</f>
        <v/>
      </c>
      <c r="K107" s="53" t="str">
        <f>IF($B107="","",INDEX(tblStock[Unidad],'91_KPIS'!$Q107))</f>
        <v/>
      </c>
      <c r="L107" s="55" t="str">
        <f t="shared" si="2"/>
        <v/>
      </c>
      <c r="M107" s="55" t="str">
        <f t="shared" si="3"/>
        <v/>
      </c>
      <c r="N107" s="54" t="str">
        <f>IF($B107="","",IFERROR(INDEX(tblEstados[Acción],MATCH($C107,tblEstados[Estado],0)),""))</f>
        <v/>
      </c>
      <c r="O107" s="60" t="str">
        <f>IF($B107="","",INDEX(tblStock[UltimoMov],'91_KPIS'!$Q107))</f>
        <v/>
      </c>
    </row>
    <row r="108" spans="2:15" x14ac:dyDescent="0.25">
      <c r="B108" s="62" t="str">
        <f>IF('91_KPIS'!$Q108="","",'91_KPIS'!$O108)</f>
        <v/>
      </c>
      <c r="C108" s="58" t="str">
        <f>IF($B108="","",INDEX(tblStock[Estado],'91_KPIS'!$Q108))</f>
        <v/>
      </c>
      <c r="D108" s="53" t="str">
        <f>IF($B108="","",INDEX(tblStock[SKU],'91_KPIS'!$Q108))</f>
        <v/>
      </c>
      <c r="E108" s="54" t="str">
        <f>IF($B108="","",INDEX(tblStock[Producto],'91_KPIS'!$Q108))</f>
        <v/>
      </c>
      <c r="F108" s="54" t="str">
        <f>IF($B108="","",INDEX(tblStock[Categoría],'91_KPIS'!$Q108))</f>
        <v/>
      </c>
      <c r="G108" s="54" t="str">
        <f>IF($B108="","",INDEX(tblStock[Proveedor],'91_KPIS'!$Q108)&amp;"")</f>
        <v/>
      </c>
      <c r="H108" s="56" t="str">
        <f>IF($B108="","",INDEX(tblStock[StockActual],'91_KPIS'!$Q108))</f>
        <v/>
      </c>
      <c r="I108" s="55" t="str">
        <f>IF($B108="","",INDEX(tblStock[StockMin],'91_KPIS'!$Q108))</f>
        <v/>
      </c>
      <c r="J108" s="55" t="str">
        <f>IF($B108="","",INDEX(tblStock[StockMax],'91_KPIS'!$Q108))</f>
        <v/>
      </c>
      <c r="K108" s="53" t="str">
        <f>IF($B108="","",INDEX(tblStock[Unidad],'91_KPIS'!$Q108))</f>
        <v/>
      </c>
      <c r="L108" s="55" t="str">
        <f t="shared" si="2"/>
        <v/>
      </c>
      <c r="M108" s="55" t="str">
        <f t="shared" si="3"/>
        <v/>
      </c>
      <c r="N108" s="54" t="str">
        <f>IF($B108="","",IFERROR(INDEX(tblEstados[Acción],MATCH($C108,tblEstados[Estado],0)),""))</f>
        <v/>
      </c>
      <c r="O108" s="60" t="str">
        <f>IF($B108="","",INDEX(tblStock[UltimoMov],'91_KPIS'!$Q108))</f>
        <v/>
      </c>
    </row>
    <row r="109" spans="2:15" x14ac:dyDescent="0.25">
      <c r="B109" s="62" t="str">
        <f>IF('91_KPIS'!$Q109="","",'91_KPIS'!$O109)</f>
        <v/>
      </c>
      <c r="C109" s="58" t="str">
        <f>IF($B109="","",INDEX(tblStock[Estado],'91_KPIS'!$Q109))</f>
        <v/>
      </c>
      <c r="D109" s="53" t="str">
        <f>IF($B109="","",INDEX(tblStock[SKU],'91_KPIS'!$Q109))</f>
        <v/>
      </c>
      <c r="E109" s="54" t="str">
        <f>IF($B109="","",INDEX(tblStock[Producto],'91_KPIS'!$Q109))</f>
        <v/>
      </c>
      <c r="F109" s="54" t="str">
        <f>IF($B109="","",INDEX(tblStock[Categoría],'91_KPIS'!$Q109))</f>
        <v/>
      </c>
      <c r="G109" s="54" t="str">
        <f>IF($B109="","",INDEX(tblStock[Proveedor],'91_KPIS'!$Q109)&amp;"")</f>
        <v/>
      </c>
      <c r="H109" s="56" t="str">
        <f>IF($B109="","",INDEX(tblStock[StockActual],'91_KPIS'!$Q109))</f>
        <v/>
      </c>
      <c r="I109" s="55" t="str">
        <f>IF($B109="","",INDEX(tblStock[StockMin],'91_KPIS'!$Q109))</f>
        <v/>
      </c>
      <c r="J109" s="55" t="str">
        <f>IF($B109="","",INDEX(tblStock[StockMax],'91_KPIS'!$Q109))</f>
        <v/>
      </c>
      <c r="K109" s="53" t="str">
        <f>IF($B109="","",INDEX(tblStock[Unidad],'91_KPIS'!$Q109))</f>
        <v/>
      </c>
      <c r="L109" s="55" t="str">
        <f t="shared" si="2"/>
        <v/>
      </c>
      <c r="M109" s="55" t="str">
        <f t="shared" si="3"/>
        <v/>
      </c>
      <c r="N109" s="54" t="str">
        <f>IF($B109="","",IFERROR(INDEX(tblEstados[Acción],MATCH($C109,tblEstados[Estado],0)),""))</f>
        <v/>
      </c>
      <c r="O109" s="60" t="str">
        <f>IF($B109="","",INDEX(tblStock[UltimoMov],'91_KPIS'!$Q109))</f>
        <v/>
      </c>
    </row>
    <row r="110" spans="2:15" x14ac:dyDescent="0.25">
      <c r="B110" s="62" t="str">
        <f>IF('91_KPIS'!$Q110="","",'91_KPIS'!$O110)</f>
        <v/>
      </c>
      <c r="C110" s="58" t="str">
        <f>IF($B110="","",INDEX(tblStock[Estado],'91_KPIS'!$Q110))</f>
        <v/>
      </c>
      <c r="D110" s="53" t="str">
        <f>IF($B110="","",INDEX(tblStock[SKU],'91_KPIS'!$Q110))</f>
        <v/>
      </c>
      <c r="E110" s="54" t="str">
        <f>IF($B110="","",INDEX(tblStock[Producto],'91_KPIS'!$Q110))</f>
        <v/>
      </c>
      <c r="F110" s="54" t="str">
        <f>IF($B110="","",INDEX(tblStock[Categoría],'91_KPIS'!$Q110))</f>
        <v/>
      </c>
      <c r="G110" s="54" t="str">
        <f>IF($B110="","",INDEX(tblStock[Proveedor],'91_KPIS'!$Q110)&amp;"")</f>
        <v/>
      </c>
      <c r="H110" s="56" t="str">
        <f>IF($B110="","",INDEX(tblStock[StockActual],'91_KPIS'!$Q110))</f>
        <v/>
      </c>
      <c r="I110" s="55" t="str">
        <f>IF($B110="","",INDEX(tblStock[StockMin],'91_KPIS'!$Q110))</f>
        <v/>
      </c>
      <c r="J110" s="55" t="str">
        <f>IF($B110="","",INDEX(tblStock[StockMax],'91_KPIS'!$Q110))</f>
        <v/>
      </c>
      <c r="K110" s="53" t="str">
        <f>IF($B110="","",INDEX(tblStock[Unidad],'91_KPIS'!$Q110))</f>
        <v/>
      </c>
      <c r="L110" s="55" t="str">
        <f t="shared" si="2"/>
        <v/>
      </c>
      <c r="M110" s="55" t="str">
        <f t="shared" si="3"/>
        <v/>
      </c>
      <c r="N110" s="54" t="str">
        <f>IF($B110="","",IFERROR(INDEX(tblEstados[Acción],MATCH($C110,tblEstados[Estado],0)),""))</f>
        <v/>
      </c>
      <c r="O110" s="60" t="str">
        <f>IF($B110="","",INDEX(tblStock[UltimoMov],'91_KPIS'!$Q110))</f>
        <v/>
      </c>
    </row>
    <row r="111" spans="2:15" x14ac:dyDescent="0.25">
      <c r="B111" s="62" t="str">
        <f>IF('91_KPIS'!$Q111="","",'91_KPIS'!$O111)</f>
        <v/>
      </c>
      <c r="C111" s="58" t="str">
        <f>IF($B111="","",INDEX(tblStock[Estado],'91_KPIS'!$Q111))</f>
        <v/>
      </c>
      <c r="D111" s="53" t="str">
        <f>IF($B111="","",INDEX(tblStock[SKU],'91_KPIS'!$Q111))</f>
        <v/>
      </c>
      <c r="E111" s="54" t="str">
        <f>IF($B111="","",INDEX(tblStock[Producto],'91_KPIS'!$Q111))</f>
        <v/>
      </c>
      <c r="F111" s="54" t="str">
        <f>IF($B111="","",INDEX(tblStock[Categoría],'91_KPIS'!$Q111))</f>
        <v/>
      </c>
      <c r="G111" s="54" t="str">
        <f>IF($B111="","",INDEX(tblStock[Proveedor],'91_KPIS'!$Q111)&amp;"")</f>
        <v/>
      </c>
      <c r="H111" s="56" t="str">
        <f>IF($B111="","",INDEX(tblStock[StockActual],'91_KPIS'!$Q111))</f>
        <v/>
      </c>
      <c r="I111" s="55" t="str">
        <f>IF($B111="","",INDEX(tblStock[StockMin],'91_KPIS'!$Q111))</f>
        <v/>
      </c>
      <c r="J111" s="55" t="str">
        <f>IF($B111="","",INDEX(tblStock[StockMax],'91_KPIS'!$Q111))</f>
        <v/>
      </c>
      <c r="K111" s="53" t="str">
        <f>IF($B111="","",INDEX(tblStock[Unidad],'91_KPIS'!$Q111))</f>
        <v/>
      </c>
      <c r="L111" s="55" t="str">
        <f t="shared" si="2"/>
        <v/>
      </c>
      <c r="M111" s="55" t="str">
        <f t="shared" si="3"/>
        <v/>
      </c>
      <c r="N111" s="54" t="str">
        <f>IF($B111="","",IFERROR(INDEX(tblEstados[Acción],MATCH($C111,tblEstados[Estado],0)),""))</f>
        <v/>
      </c>
      <c r="O111" s="60" t="str">
        <f>IF($B111="","",INDEX(tblStock[UltimoMov],'91_KPIS'!$Q111))</f>
        <v/>
      </c>
    </row>
    <row r="112" spans="2:15" x14ac:dyDescent="0.25">
      <c r="B112" s="62" t="str">
        <f>IF('91_KPIS'!$Q112="","",'91_KPIS'!$O112)</f>
        <v/>
      </c>
      <c r="C112" s="58" t="str">
        <f>IF($B112="","",INDEX(tblStock[Estado],'91_KPIS'!$Q112))</f>
        <v/>
      </c>
      <c r="D112" s="53" t="str">
        <f>IF($B112="","",INDEX(tblStock[SKU],'91_KPIS'!$Q112))</f>
        <v/>
      </c>
      <c r="E112" s="54" t="str">
        <f>IF($B112="","",INDEX(tblStock[Producto],'91_KPIS'!$Q112))</f>
        <v/>
      </c>
      <c r="F112" s="54" t="str">
        <f>IF($B112="","",INDEX(tblStock[Categoría],'91_KPIS'!$Q112))</f>
        <v/>
      </c>
      <c r="G112" s="54" t="str">
        <f>IF($B112="","",INDEX(tblStock[Proveedor],'91_KPIS'!$Q112)&amp;"")</f>
        <v/>
      </c>
      <c r="H112" s="56" t="str">
        <f>IF($B112="","",INDEX(tblStock[StockActual],'91_KPIS'!$Q112))</f>
        <v/>
      </c>
      <c r="I112" s="55" t="str">
        <f>IF($B112="","",INDEX(tblStock[StockMin],'91_KPIS'!$Q112))</f>
        <v/>
      </c>
      <c r="J112" s="55" t="str">
        <f>IF($B112="","",INDEX(tblStock[StockMax],'91_KPIS'!$Q112))</f>
        <v/>
      </c>
      <c r="K112" s="53" t="str">
        <f>IF($B112="","",INDEX(tblStock[Unidad],'91_KPIS'!$Q112))</f>
        <v/>
      </c>
      <c r="L112" s="55" t="str">
        <f t="shared" si="2"/>
        <v/>
      </c>
      <c r="M112" s="55" t="str">
        <f t="shared" si="3"/>
        <v/>
      </c>
      <c r="N112" s="54" t="str">
        <f>IF($B112="","",IFERROR(INDEX(tblEstados[Acción],MATCH($C112,tblEstados[Estado],0)),""))</f>
        <v/>
      </c>
      <c r="O112" s="60" t="str">
        <f>IF($B112="","",INDEX(tblStock[UltimoMov],'91_KPIS'!$Q112))</f>
        <v/>
      </c>
    </row>
    <row r="113" spans="2:15" x14ac:dyDescent="0.25">
      <c r="B113" s="62" t="str">
        <f>IF('91_KPIS'!$Q113="","",'91_KPIS'!$O113)</f>
        <v/>
      </c>
      <c r="C113" s="58" t="str">
        <f>IF($B113="","",INDEX(tblStock[Estado],'91_KPIS'!$Q113))</f>
        <v/>
      </c>
      <c r="D113" s="53" t="str">
        <f>IF($B113="","",INDEX(tblStock[SKU],'91_KPIS'!$Q113))</f>
        <v/>
      </c>
      <c r="E113" s="54" t="str">
        <f>IF($B113="","",INDEX(tblStock[Producto],'91_KPIS'!$Q113))</f>
        <v/>
      </c>
      <c r="F113" s="54" t="str">
        <f>IF($B113="","",INDEX(tblStock[Categoría],'91_KPIS'!$Q113))</f>
        <v/>
      </c>
      <c r="G113" s="54" t="str">
        <f>IF($B113="","",INDEX(tblStock[Proveedor],'91_KPIS'!$Q113)&amp;"")</f>
        <v/>
      </c>
      <c r="H113" s="56" t="str">
        <f>IF($B113="","",INDEX(tblStock[StockActual],'91_KPIS'!$Q113))</f>
        <v/>
      </c>
      <c r="I113" s="55" t="str">
        <f>IF($B113="","",INDEX(tblStock[StockMin],'91_KPIS'!$Q113))</f>
        <v/>
      </c>
      <c r="J113" s="55" t="str">
        <f>IF($B113="","",INDEX(tblStock[StockMax],'91_KPIS'!$Q113))</f>
        <v/>
      </c>
      <c r="K113" s="53" t="str">
        <f>IF($B113="","",INDEX(tblStock[Unidad],'91_KPIS'!$Q113))</f>
        <v/>
      </c>
      <c r="L113" s="55" t="str">
        <f t="shared" si="2"/>
        <v/>
      </c>
      <c r="M113" s="55" t="str">
        <f t="shared" si="3"/>
        <v/>
      </c>
      <c r="N113" s="54" t="str">
        <f>IF($B113="","",IFERROR(INDEX(tblEstados[Acción],MATCH($C113,tblEstados[Estado],0)),""))</f>
        <v/>
      </c>
      <c r="O113" s="60" t="str">
        <f>IF($B113="","",INDEX(tblStock[UltimoMov],'91_KPIS'!$Q113))</f>
        <v/>
      </c>
    </row>
    <row r="114" spans="2:15" x14ac:dyDescent="0.25">
      <c r="B114" s="62" t="str">
        <f>IF('91_KPIS'!$Q114="","",'91_KPIS'!$O114)</f>
        <v/>
      </c>
      <c r="C114" s="58" t="str">
        <f>IF($B114="","",INDEX(tblStock[Estado],'91_KPIS'!$Q114))</f>
        <v/>
      </c>
      <c r="D114" s="53" t="str">
        <f>IF($B114="","",INDEX(tblStock[SKU],'91_KPIS'!$Q114))</f>
        <v/>
      </c>
      <c r="E114" s="54" t="str">
        <f>IF($B114="","",INDEX(tblStock[Producto],'91_KPIS'!$Q114))</f>
        <v/>
      </c>
      <c r="F114" s="54" t="str">
        <f>IF($B114="","",INDEX(tblStock[Categoría],'91_KPIS'!$Q114))</f>
        <v/>
      </c>
      <c r="G114" s="54" t="str">
        <f>IF($B114="","",INDEX(tblStock[Proveedor],'91_KPIS'!$Q114)&amp;"")</f>
        <v/>
      </c>
      <c r="H114" s="56" t="str">
        <f>IF($B114="","",INDEX(tblStock[StockActual],'91_KPIS'!$Q114))</f>
        <v/>
      </c>
      <c r="I114" s="55" t="str">
        <f>IF($B114="","",INDEX(tblStock[StockMin],'91_KPIS'!$Q114))</f>
        <v/>
      </c>
      <c r="J114" s="55" t="str">
        <f>IF($B114="","",INDEX(tblStock[StockMax],'91_KPIS'!$Q114))</f>
        <v/>
      </c>
      <c r="K114" s="53" t="str">
        <f>IF($B114="","",INDEX(tblStock[Unidad],'91_KPIS'!$Q114))</f>
        <v/>
      </c>
      <c r="L114" s="55" t="str">
        <f t="shared" si="2"/>
        <v/>
      </c>
      <c r="M114" s="55" t="str">
        <f t="shared" si="3"/>
        <v/>
      </c>
      <c r="N114" s="54" t="str">
        <f>IF($B114="","",IFERROR(INDEX(tblEstados[Acción],MATCH($C114,tblEstados[Estado],0)),""))</f>
        <v/>
      </c>
      <c r="O114" s="60" t="str">
        <f>IF($B114="","",INDEX(tblStock[UltimoMov],'91_KPIS'!$Q114))</f>
        <v/>
      </c>
    </row>
    <row r="115" spans="2:15" x14ac:dyDescent="0.25">
      <c r="B115" s="62" t="str">
        <f>IF('91_KPIS'!$Q115="","",'91_KPIS'!$O115)</f>
        <v/>
      </c>
      <c r="C115" s="58" t="str">
        <f>IF($B115="","",INDEX(tblStock[Estado],'91_KPIS'!$Q115))</f>
        <v/>
      </c>
      <c r="D115" s="53" t="str">
        <f>IF($B115="","",INDEX(tblStock[SKU],'91_KPIS'!$Q115))</f>
        <v/>
      </c>
      <c r="E115" s="54" t="str">
        <f>IF($B115="","",INDEX(tblStock[Producto],'91_KPIS'!$Q115))</f>
        <v/>
      </c>
      <c r="F115" s="54" t="str">
        <f>IF($B115="","",INDEX(tblStock[Categoría],'91_KPIS'!$Q115))</f>
        <v/>
      </c>
      <c r="G115" s="54" t="str">
        <f>IF($B115="","",INDEX(tblStock[Proveedor],'91_KPIS'!$Q115)&amp;"")</f>
        <v/>
      </c>
      <c r="H115" s="56" t="str">
        <f>IF($B115="","",INDEX(tblStock[StockActual],'91_KPIS'!$Q115))</f>
        <v/>
      </c>
      <c r="I115" s="55" t="str">
        <f>IF($B115="","",INDEX(tblStock[StockMin],'91_KPIS'!$Q115))</f>
        <v/>
      </c>
      <c r="J115" s="55" t="str">
        <f>IF($B115="","",INDEX(tblStock[StockMax],'91_KPIS'!$Q115))</f>
        <v/>
      </c>
      <c r="K115" s="53" t="str">
        <f>IF($B115="","",INDEX(tblStock[Unidad],'91_KPIS'!$Q115))</f>
        <v/>
      </c>
      <c r="L115" s="55" t="str">
        <f t="shared" si="2"/>
        <v/>
      </c>
      <c r="M115" s="55" t="str">
        <f t="shared" si="3"/>
        <v/>
      </c>
      <c r="N115" s="54" t="str">
        <f>IF($B115="","",IFERROR(INDEX(tblEstados[Acción],MATCH($C115,tblEstados[Estado],0)),""))</f>
        <v/>
      </c>
      <c r="O115" s="60" t="str">
        <f>IF($B115="","",INDEX(tblStock[UltimoMov],'91_KPIS'!$Q115))</f>
        <v/>
      </c>
    </row>
    <row r="116" spans="2:15" x14ac:dyDescent="0.25">
      <c r="B116" s="62" t="str">
        <f>IF('91_KPIS'!$Q116="","",'91_KPIS'!$O116)</f>
        <v/>
      </c>
      <c r="C116" s="58" t="str">
        <f>IF($B116="","",INDEX(tblStock[Estado],'91_KPIS'!$Q116))</f>
        <v/>
      </c>
      <c r="D116" s="53" t="str">
        <f>IF($B116="","",INDEX(tblStock[SKU],'91_KPIS'!$Q116))</f>
        <v/>
      </c>
      <c r="E116" s="54" t="str">
        <f>IF($B116="","",INDEX(tblStock[Producto],'91_KPIS'!$Q116))</f>
        <v/>
      </c>
      <c r="F116" s="54" t="str">
        <f>IF($B116="","",INDEX(tblStock[Categoría],'91_KPIS'!$Q116))</f>
        <v/>
      </c>
      <c r="G116" s="54" t="str">
        <f>IF($B116="","",INDEX(tblStock[Proveedor],'91_KPIS'!$Q116)&amp;"")</f>
        <v/>
      </c>
      <c r="H116" s="56" t="str">
        <f>IF($B116="","",INDEX(tblStock[StockActual],'91_KPIS'!$Q116))</f>
        <v/>
      </c>
      <c r="I116" s="55" t="str">
        <f>IF($B116="","",INDEX(tblStock[StockMin],'91_KPIS'!$Q116))</f>
        <v/>
      </c>
      <c r="J116" s="55" t="str">
        <f>IF($B116="","",INDEX(tblStock[StockMax],'91_KPIS'!$Q116))</f>
        <v/>
      </c>
      <c r="K116" s="53" t="str">
        <f>IF($B116="","",INDEX(tblStock[Unidad],'91_KPIS'!$Q116))</f>
        <v/>
      </c>
      <c r="L116" s="55" t="str">
        <f t="shared" si="2"/>
        <v/>
      </c>
      <c r="M116" s="55" t="str">
        <f t="shared" si="3"/>
        <v/>
      </c>
      <c r="N116" s="54" t="str">
        <f>IF($B116="","",IFERROR(INDEX(tblEstados[Acción],MATCH($C116,tblEstados[Estado],0)),""))</f>
        <v/>
      </c>
      <c r="O116" s="60" t="str">
        <f>IF($B116="","",INDEX(tblStock[UltimoMov],'91_KPIS'!$Q116))</f>
        <v/>
      </c>
    </row>
    <row r="117" spans="2:15" x14ac:dyDescent="0.25">
      <c r="B117" s="62" t="str">
        <f>IF('91_KPIS'!$Q117="","",'91_KPIS'!$O117)</f>
        <v/>
      </c>
      <c r="C117" s="58" t="str">
        <f>IF($B117="","",INDEX(tblStock[Estado],'91_KPIS'!$Q117))</f>
        <v/>
      </c>
      <c r="D117" s="53" t="str">
        <f>IF($B117="","",INDEX(tblStock[SKU],'91_KPIS'!$Q117))</f>
        <v/>
      </c>
      <c r="E117" s="54" t="str">
        <f>IF($B117="","",INDEX(tblStock[Producto],'91_KPIS'!$Q117))</f>
        <v/>
      </c>
      <c r="F117" s="54" t="str">
        <f>IF($B117="","",INDEX(tblStock[Categoría],'91_KPIS'!$Q117))</f>
        <v/>
      </c>
      <c r="G117" s="54" t="str">
        <f>IF($B117="","",INDEX(tblStock[Proveedor],'91_KPIS'!$Q117)&amp;"")</f>
        <v/>
      </c>
      <c r="H117" s="56" t="str">
        <f>IF($B117="","",INDEX(tblStock[StockActual],'91_KPIS'!$Q117))</f>
        <v/>
      </c>
      <c r="I117" s="55" t="str">
        <f>IF($B117="","",INDEX(tblStock[StockMin],'91_KPIS'!$Q117))</f>
        <v/>
      </c>
      <c r="J117" s="55" t="str">
        <f>IF($B117="","",INDEX(tblStock[StockMax],'91_KPIS'!$Q117))</f>
        <v/>
      </c>
      <c r="K117" s="53" t="str">
        <f>IF($B117="","",INDEX(tblStock[Unidad],'91_KPIS'!$Q117))</f>
        <v/>
      </c>
      <c r="L117" s="55" t="str">
        <f t="shared" si="2"/>
        <v/>
      </c>
      <c r="M117" s="55" t="str">
        <f t="shared" si="3"/>
        <v/>
      </c>
      <c r="N117" s="54" t="str">
        <f>IF($B117="","",IFERROR(INDEX(tblEstados[Acción],MATCH($C117,tblEstados[Estado],0)),""))</f>
        <v/>
      </c>
      <c r="O117" s="60" t="str">
        <f>IF($B117="","",INDEX(tblStock[UltimoMov],'91_KPIS'!$Q117))</f>
        <v/>
      </c>
    </row>
    <row r="118" spans="2:15" x14ac:dyDescent="0.25">
      <c r="B118" s="62" t="str">
        <f>IF('91_KPIS'!$Q118="","",'91_KPIS'!$O118)</f>
        <v/>
      </c>
      <c r="C118" s="58" t="str">
        <f>IF($B118="","",INDEX(tblStock[Estado],'91_KPIS'!$Q118))</f>
        <v/>
      </c>
      <c r="D118" s="53" t="str">
        <f>IF($B118="","",INDEX(tblStock[SKU],'91_KPIS'!$Q118))</f>
        <v/>
      </c>
      <c r="E118" s="54" t="str">
        <f>IF($B118="","",INDEX(tblStock[Producto],'91_KPIS'!$Q118))</f>
        <v/>
      </c>
      <c r="F118" s="54" t="str">
        <f>IF($B118="","",INDEX(tblStock[Categoría],'91_KPIS'!$Q118))</f>
        <v/>
      </c>
      <c r="G118" s="54" t="str">
        <f>IF($B118="","",INDEX(tblStock[Proveedor],'91_KPIS'!$Q118)&amp;"")</f>
        <v/>
      </c>
      <c r="H118" s="56" t="str">
        <f>IF($B118="","",INDEX(tblStock[StockActual],'91_KPIS'!$Q118))</f>
        <v/>
      </c>
      <c r="I118" s="55" t="str">
        <f>IF($B118="","",INDEX(tblStock[StockMin],'91_KPIS'!$Q118))</f>
        <v/>
      </c>
      <c r="J118" s="55" t="str">
        <f>IF($B118="","",INDEX(tblStock[StockMax],'91_KPIS'!$Q118))</f>
        <v/>
      </c>
      <c r="K118" s="53" t="str">
        <f>IF($B118="","",INDEX(tblStock[Unidad],'91_KPIS'!$Q118))</f>
        <v/>
      </c>
      <c r="L118" s="55" t="str">
        <f t="shared" si="2"/>
        <v/>
      </c>
      <c r="M118" s="55" t="str">
        <f t="shared" si="3"/>
        <v/>
      </c>
      <c r="N118" s="54" t="str">
        <f>IF($B118="","",IFERROR(INDEX(tblEstados[Acción],MATCH($C118,tblEstados[Estado],0)),""))</f>
        <v/>
      </c>
      <c r="O118" s="60" t="str">
        <f>IF($B118="","",INDEX(tblStock[UltimoMov],'91_KPIS'!$Q118))</f>
        <v/>
      </c>
    </row>
    <row r="119" spans="2:15" x14ac:dyDescent="0.25">
      <c r="B119" s="62" t="str">
        <f>IF('91_KPIS'!$Q119="","",'91_KPIS'!$O119)</f>
        <v/>
      </c>
      <c r="C119" s="58" t="str">
        <f>IF($B119="","",INDEX(tblStock[Estado],'91_KPIS'!$Q119))</f>
        <v/>
      </c>
      <c r="D119" s="53" t="str">
        <f>IF($B119="","",INDEX(tblStock[SKU],'91_KPIS'!$Q119))</f>
        <v/>
      </c>
      <c r="E119" s="54" t="str">
        <f>IF($B119="","",INDEX(tblStock[Producto],'91_KPIS'!$Q119))</f>
        <v/>
      </c>
      <c r="F119" s="54" t="str">
        <f>IF($B119="","",INDEX(tblStock[Categoría],'91_KPIS'!$Q119))</f>
        <v/>
      </c>
      <c r="G119" s="54" t="str">
        <f>IF($B119="","",INDEX(tblStock[Proveedor],'91_KPIS'!$Q119)&amp;"")</f>
        <v/>
      </c>
      <c r="H119" s="56" t="str">
        <f>IF($B119="","",INDEX(tblStock[StockActual],'91_KPIS'!$Q119))</f>
        <v/>
      </c>
      <c r="I119" s="55" t="str">
        <f>IF($B119="","",INDEX(tblStock[StockMin],'91_KPIS'!$Q119))</f>
        <v/>
      </c>
      <c r="J119" s="55" t="str">
        <f>IF($B119="","",INDEX(tblStock[StockMax],'91_KPIS'!$Q119))</f>
        <v/>
      </c>
      <c r="K119" s="53" t="str">
        <f>IF($B119="","",INDEX(tblStock[Unidad],'91_KPIS'!$Q119))</f>
        <v/>
      </c>
      <c r="L119" s="55" t="str">
        <f t="shared" si="2"/>
        <v/>
      </c>
      <c r="M119" s="55" t="str">
        <f t="shared" si="3"/>
        <v/>
      </c>
      <c r="N119" s="54" t="str">
        <f>IF($B119="","",IFERROR(INDEX(tblEstados[Acción],MATCH($C119,tblEstados[Estado],0)),""))</f>
        <v/>
      </c>
      <c r="O119" s="60" t="str">
        <f>IF($B119="","",INDEX(tblStock[UltimoMov],'91_KPIS'!$Q119))</f>
        <v/>
      </c>
    </row>
    <row r="120" spans="2:15" x14ac:dyDescent="0.25">
      <c r="B120" s="62" t="str">
        <f>IF('91_KPIS'!$Q120="","",'91_KPIS'!$O120)</f>
        <v/>
      </c>
      <c r="C120" s="58" t="str">
        <f>IF($B120="","",INDEX(tblStock[Estado],'91_KPIS'!$Q120))</f>
        <v/>
      </c>
      <c r="D120" s="53" t="str">
        <f>IF($B120="","",INDEX(tblStock[SKU],'91_KPIS'!$Q120))</f>
        <v/>
      </c>
      <c r="E120" s="54" t="str">
        <f>IF($B120="","",INDEX(tblStock[Producto],'91_KPIS'!$Q120))</f>
        <v/>
      </c>
      <c r="F120" s="54" t="str">
        <f>IF($B120="","",INDEX(tblStock[Categoría],'91_KPIS'!$Q120))</f>
        <v/>
      </c>
      <c r="G120" s="54" t="str">
        <f>IF($B120="","",INDEX(tblStock[Proveedor],'91_KPIS'!$Q120)&amp;"")</f>
        <v/>
      </c>
      <c r="H120" s="56" t="str">
        <f>IF($B120="","",INDEX(tblStock[StockActual],'91_KPIS'!$Q120))</f>
        <v/>
      </c>
      <c r="I120" s="55" t="str">
        <f>IF($B120="","",INDEX(tblStock[StockMin],'91_KPIS'!$Q120))</f>
        <v/>
      </c>
      <c r="J120" s="55" t="str">
        <f>IF($B120="","",INDEX(tblStock[StockMax],'91_KPIS'!$Q120))</f>
        <v/>
      </c>
      <c r="K120" s="53" t="str">
        <f>IF($B120="","",INDEX(tblStock[Unidad],'91_KPIS'!$Q120))</f>
        <v/>
      </c>
      <c r="L120" s="55" t="str">
        <f t="shared" si="2"/>
        <v/>
      </c>
      <c r="M120" s="55" t="str">
        <f t="shared" si="3"/>
        <v/>
      </c>
      <c r="N120" s="54" t="str">
        <f>IF($B120="","",IFERROR(INDEX(tblEstados[Acción],MATCH($C120,tblEstados[Estado],0)),""))</f>
        <v/>
      </c>
      <c r="O120" s="60" t="str">
        <f>IF($B120="","",INDEX(tblStock[UltimoMov],'91_KPIS'!$Q120))</f>
        <v/>
      </c>
    </row>
    <row r="121" spans="2:15" x14ac:dyDescent="0.25">
      <c r="B121" s="62" t="str">
        <f>IF('91_KPIS'!$Q121="","",'91_KPIS'!$O121)</f>
        <v/>
      </c>
      <c r="C121" s="58" t="str">
        <f>IF($B121="","",INDEX(tblStock[Estado],'91_KPIS'!$Q121))</f>
        <v/>
      </c>
      <c r="D121" s="53" t="str">
        <f>IF($B121="","",INDEX(tblStock[SKU],'91_KPIS'!$Q121))</f>
        <v/>
      </c>
      <c r="E121" s="54" t="str">
        <f>IF($B121="","",INDEX(tblStock[Producto],'91_KPIS'!$Q121))</f>
        <v/>
      </c>
      <c r="F121" s="54" t="str">
        <f>IF($B121="","",INDEX(tblStock[Categoría],'91_KPIS'!$Q121))</f>
        <v/>
      </c>
      <c r="G121" s="54" t="str">
        <f>IF($B121="","",INDEX(tblStock[Proveedor],'91_KPIS'!$Q121)&amp;"")</f>
        <v/>
      </c>
      <c r="H121" s="56" t="str">
        <f>IF($B121="","",INDEX(tblStock[StockActual],'91_KPIS'!$Q121))</f>
        <v/>
      </c>
      <c r="I121" s="55" t="str">
        <f>IF($B121="","",INDEX(tblStock[StockMin],'91_KPIS'!$Q121))</f>
        <v/>
      </c>
      <c r="J121" s="55" t="str">
        <f>IF($B121="","",INDEX(tblStock[StockMax],'91_KPIS'!$Q121))</f>
        <v/>
      </c>
      <c r="K121" s="53" t="str">
        <f>IF($B121="","",INDEX(tblStock[Unidad],'91_KPIS'!$Q121))</f>
        <v/>
      </c>
      <c r="L121" s="55" t="str">
        <f t="shared" si="2"/>
        <v/>
      </c>
      <c r="M121" s="55" t="str">
        <f t="shared" si="3"/>
        <v/>
      </c>
      <c r="N121" s="54" t="str">
        <f>IF($B121="","",IFERROR(INDEX(tblEstados[Acción],MATCH($C121,tblEstados[Estado],0)),""))</f>
        <v/>
      </c>
      <c r="O121" s="60" t="str">
        <f>IF($B121="","",INDEX(tblStock[UltimoMov],'91_KPIS'!$Q121))</f>
        <v/>
      </c>
    </row>
    <row r="122" spans="2:15" x14ac:dyDescent="0.25">
      <c r="B122" s="62" t="str">
        <f>IF('91_KPIS'!$Q122="","",'91_KPIS'!$O122)</f>
        <v/>
      </c>
      <c r="C122" s="58" t="str">
        <f>IF($B122="","",INDEX(tblStock[Estado],'91_KPIS'!$Q122))</f>
        <v/>
      </c>
      <c r="D122" s="53" t="str">
        <f>IF($B122="","",INDEX(tblStock[SKU],'91_KPIS'!$Q122))</f>
        <v/>
      </c>
      <c r="E122" s="54" t="str">
        <f>IF($B122="","",INDEX(tblStock[Producto],'91_KPIS'!$Q122))</f>
        <v/>
      </c>
      <c r="F122" s="54" t="str">
        <f>IF($B122="","",INDEX(tblStock[Categoría],'91_KPIS'!$Q122))</f>
        <v/>
      </c>
      <c r="G122" s="54" t="str">
        <f>IF($B122="","",INDEX(tblStock[Proveedor],'91_KPIS'!$Q122)&amp;"")</f>
        <v/>
      </c>
      <c r="H122" s="56" t="str">
        <f>IF($B122="","",INDEX(tblStock[StockActual],'91_KPIS'!$Q122))</f>
        <v/>
      </c>
      <c r="I122" s="55" t="str">
        <f>IF($B122="","",INDEX(tblStock[StockMin],'91_KPIS'!$Q122))</f>
        <v/>
      </c>
      <c r="J122" s="55" t="str">
        <f>IF($B122="","",INDEX(tblStock[StockMax],'91_KPIS'!$Q122))</f>
        <v/>
      </c>
      <c r="K122" s="53" t="str">
        <f>IF($B122="","",INDEX(tblStock[Unidad],'91_KPIS'!$Q122))</f>
        <v/>
      </c>
      <c r="L122" s="55" t="str">
        <f t="shared" si="2"/>
        <v/>
      </c>
      <c r="M122" s="55" t="str">
        <f t="shared" si="3"/>
        <v/>
      </c>
      <c r="N122" s="54" t="str">
        <f>IF($B122="","",IFERROR(INDEX(tblEstados[Acción],MATCH($C122,tblEstados[Estado],0)),""))</f>
        <v/>
      </c>
      <c r="O122" s="60" t="str">
        <f>IF($B122="","",INDEX(tblStock[UltimoMov],'91_KPIS'!$Q122))</f>
        <v/>
      </c>
    </row>
    <row r="123" spans="2:15" x14ac:dyDescent="0.25">
      <c r="B123" s="62" t="str">
        <f>IF('91_KPIS'!$Q123="","",'91_KPIS'!$O123)</f>
        <v/>
      </c>
      <c r="C123" s="58" t="str">
        <f>IF($B123="","",INDEX(tblStock[Estado],'91_KPIS'!$Q123))</f>
        <v/>
      </c>
      <c r="D123" s="53" t="str">
        <f>IF($B123="","",INDEX(tblStock[SKU],'91_KPIS'!$Q123))</f>
        <v/>
      </c>
      <c r="E123" s="54" t="str">
        <f>IF($B123="","",INDEX(tblStock[Producto],'91_KPIS'!$Q123))</f>
        <v/>
      </c>
      <c r="F123" s="54" t="str">
        <f>IF($B123="","",INDEX(tblStock[Categoría],'91_KPIS'!$Q123))</f>
        <v/>
      </c>
      <c r="G123" s="54" t="str">
        <f>IF($B123="","",INDEX(tblStock[Proveedor],'91_KPIS'!$Q123)&amp;"")</f>
        <v/>
      </c>
      <c r="H123" s="56" t="str">
        <f>IF($B123="","",INDEX(tblStock[StockActual],'91_KPIS'!$Q123))</f>
        <v/>
      </c>
      <c r="I123" s="55" t="str">
        <f>IF($B123="","",INDEX(tblStock[StockMin],'91_KPIS'!$Q123))</f>
        <v/>
      </c>
      <c r="J123" s="55" t="str">
        <f>IF($B123="","",INDEX(tblStock[StockMax],'91_KPIS'!$Q123))</f>
        <v/>
      </c>
      <c r="K123" s="53" t="str">
        <f>IF($B123="","",INDEX(tblStock[Unidad],'91_KPIS'!$Q123))</f>
        <v/>
      </c>
      <c r="L123" s="55" t="str">
        <f t="shared" si="2"/>
        <v/>
      </c>
      <c r="M123" s="55" t="str">
        <f t="shared" si="3"/>
        <v/>
      </c>
      <c r="N123" s="54" t="str">
        <f>IF($B123="","",IFERROR(INDEX(tblEstados[Acción],MATCH($C123,tblEstados[Estado],0)),""))</f>
        <v/>
      </c>
      <c r="O123" s="60" t="str">
        <f>IF($B123="","",INDEX(tblStock[UltimoMov],'91_KPIS'!$Q123))</f>
        <v/>
      </c>
    </row>
    <row r="124" spans="2:15" x14ac:dyDescent="0.25">
      <c r="B124" s="62" t="str">
        <f>IF('91_KPIS'!$Q124="","",'91_KPIS'!$O124)</f>
        <v/>
      </c>
      <c r="C124" s="58" t="str">
        <f>IF($B124="","",INDEX(tblStock[Estado],'91_KPIS'!$Q124))</f>
        <v/>
      </c>
      <c r="D124" s="53" t="str">
        <f>IF($B124="","",INDEX(tblStock[SKU],'91_KPIS'!$Q124))</f>
        <v/>
      </c>
      <c r="E124" s="54" t="str">
        <f>IF($B124="","",INDEX(tblStock[Producto],'91_KPIS'!$Q124))</f>
        <v/>
      </c>
      <c r="F124" s="54" t="str">
        <f>IF($B124="","",INDEX(tblStock[Categoría],'91_KPIS'!$Q124))</f>
        <v/>
      </c>
      <c r="G124" s="54" t="str">
        <f>IF($B124="","",INDEX(tblStock[Proveedor],'91_KPIS'!$Q124)&amp;"")</f>
        <v/>
      </c>
      <c r="H124" s="56" t="str">
        <f>IF($B124="","",INDEX(tblStock[StockActual],'91_KPIS'!$Q124))</f>
        <v/>
      </c>
      <c r="I124" s="55" t="str">
        <f>IF($B124="","",INDEX(tblStock[StockMin],'91_KPIS'!$Q124))</f>
        <v/>
      </c>
      <c r="J124" s="55" t="str">
        <f>IF($B124="","",INDEX(tblStock[StockMax],'91_KPIS'!$Q124))</f>
        <v/>
      </c>
      <c r="K124" s="53" t="str">
        <f>IF($B124="","",INDEX(tblStock[Unidad],'91_KPIS'!$Q124))</f>
        <v/>
      </c>
      <c r="L124" s="55" t="str">
        <f t="shared" si="2"/>
        <v/>
      </c>
      <c r="M124" s="55" t="str">
        <f t="shared" si="3"/>
        <v/>
      </c>
      <c r="N124" s="54" t="str">
        <f>IF($B124="","",IFERROR(INDEX(tblEstados[Acción],MATCH($C124,tblEstados[Estado],0)),""))</f>
        <v/>
      </c>
      <c r="O124" s="60" t="str">
        <f>IF($B124="","",INDEX(tblStock[UltimoMov],'91_KPIS'!$Q124))</f>
        <v/>
      </c>
    </row>
    <row r="125" spans="2:15" x14ac:dyDescent="0.25">
      <c r="B125" s="62" t="str">
        <f>IF('91_KPIS'!$Q125="","",'91_KPIS'!$O125)</f>
        <v/>
      </c>
      <c r="C125" s="58" t="str">
        <f>IF($B125="","",INDEX(tblStock[Estado],'91_KPIS'!$Q125))</f>
        <v/>
      </c>
      <c r="D125" s="53" t="str">
        <f>IF($B125="","",INDEX(tblStock[SKU],'91_KPIS'!$Q125))</f>
        <v/>
      </c>
      <c r="E125" s="54" t="str">
        <f>IF($B125="","",INDEX(tblStock[Producto],'91_KPIS'!$Q125))</f>
        <v/>
      </c>
      <c r="F125" s="54" t="str">
        <f>IF($B125="","",INDEX(tblStock[Categoría],'91_KPIS'!$Q125))</f>
        <v/>
      </c>
      <c r="G125" s="54" t="str">
        <f>IF($B125="","",INDEX(tblStock[Proveedor],'91_KPIS'!$Q125)&amp;"")</f>
        <v/>
      </c>
      <c r="H125" s="56" t="str">
        <f>IF($B125="","",INDEX(tblStock[StockActual],'91_KPIS'!$Q125))</f>
        <v/>
      </c>
      <c r="I125" s="55" t="str">
        <f>IF($B125="","",INDEX(tblStock[StockMin],'91_KPIS'!$Q125))</f>
        <v/>
      </c>
      <c r="J125" s="55" t="str">
        <f>IF($B125="","",INDEX(tblStock[StockMax],'91_KPIS'!$Q125))</f>
        <v/>
      </c>
      <c r="K125" s="53" t="str">
        <f>IF($B125="","",INDEX(tblStock[Unidad],'91_KPIS'!$Q125))</f>
        <v/>
      </c>
      <c r="L125" s="55" t="str">
        <f t="shared" si="2"/>
        <v/>
      </c>
      <c r="M125" s="55" t="str">
        <f t="shared" si="3"/>
        <v/>
      </c>
      <c r="N125" s="54" t="str">
        <f>IF($B125="","",IFERROR(INDEX(tblEstados[Acción],MATCH($C125,tblEstados[Estado],0)),""))</f>
        <v/>
      </c>
      <c r="O125" s="60" t="str">
        <f>IF($B125="","",INDEX(tblStock[UltimoMov],'91_KPIS'!$Q125))</f>
        <v/>
      </c>
    </row>
    <row r="126" spans="2:15" x14ac:dyDescent="0.25">
      <c r="B126" s="62" t="str">
        <f>IF('91_KPIS'!$Q126="","",'91_KPIS'!$O126)</f>
        <v/>
      </c>
      <c r="C126" s="58" t="str">
        <f>IF($B126="","",INDEX(tblStock[Estado],'91_KPIS'!$Q126))</f>
        <v/>
      </c>
      <c r="D126" s="53" t="str">
        <f>IF($B126="","",INDEX(tblStock[SKU],'91_KPIS'!$Q126))</f>
        <v/>
      </c>
      <c r="E126" s="54" t="str">
        <f>IF($B126="","",INDEX(tblStock[Producto],'91_KPIS'!$Q126))</f>
        <v/>
      </c>
      <c r="F126" s="54" t="str">
        <f>IF($B126="","",INDEX(tblStock[Categoría],'91_KPIS'!$Q126))</f>
        <v/>
      </c>
      <c r="G126" s="54" t="str">
        <f>IF($B126="","",INDEX(tblStock[Proveedor],'91_KPIS'!$Q126)&amp;"")</f>
        <v/>
      </c>
      <c r="H126" s="56" t="str">
        <f>IF($B126="","",INDEX(tblStock[StockActual],'91_KPIS'!$Q126))</f>
        <v/>
      </c>
      <c r="I126" s="55" t="str">
        <f>IF($B126="","",INDEX(tblStock[StockMin],'91_KPIS'!$Q126))</f>
        <v/>
      </c>
      <c r="J126" s="55" t="str">
        <f>IF($B126="","",INDEX(tblStock[StockMax],'91_KPIS'!$Q126))</f>
        <v/>
      </c>
      <c r="K126" s="53" t="str">
        <f>IF($B126="","",INDEX(tblStock[Unidad],'91_KPIS'!$Q126))</f>
        <v/>
      </c>
      <c r="L126" s="55" t="str">
        <f t="shared" si="2"/>
        <v/>
      </c>
      <c r="M126" s="55" t="str">
        <f t="shared" si="3"/>
        <v/>
      </c>
      <c r="N126" s="54" t="str">
        <f>IF($B126="","",IFERROR(INDEX(tblEstados[Acción],MATCH($C126,tblEstados[Estado],0)),""))</f>
        <v/>
      </c>
      <c r="O126" s="60" t="str">
        <f>IF($B126="","",INDEX(tblStock[UltimoMov],'91_KPIS'!$Q126))</f>
        <v/>
      </c>
    </row>
    <row r="127" spans="2:15" x14ac:dyDescent="0.25">
      <c r="B127" s="62" t="str">
        <f>IF('91_KPIS'!$Q127="","",'91_KPIS'!$O127)</f>
        <v/>
      </c>
      <c r="C127" s="58" t="str">
        <f>IF($B127="","",INDEX(tblStock[Estado],'91_KPIS'!$Q127))</f>
        <v/>
      </c>
      <c r="D127" s="53" t="str">
        <f>IF($B127="","",INDEX(tblStock[SKU],'91_KPIS'!$Q127))</f>
        <v/>
      </c>
      <c r="E127" s="54" t="str">
        <f>IF($B127="","",INDEX(tblStock[Producto],'91_KPIS'!$Q127))</f>
        <v/>
      </c>
      <c r="F127" s="54" t="str">
        <f>IF($B127="","",INDEX(tblStock[Categoría],'91_KPIS'!$Q127))</f>
        <v/>
      </c>
      <c r="G127" s="54" t="str">
        <f>IF($B127="","",INDEX(tblStock[Proveedor],'91_KPIS'!$Q127)&amp;"")</f>
        <v/>
      </c>
      <c r="H127" s="56" t="str">
        <f>IF($B127="","",INDEX(tblStock[StockActual],'91_KPIS'!$Q127))</f>
        <v/>
      </c>
      <c r="I127" s="55" t="str">
        <f>IF($B127="","",INDEX(tblStock[StockMin],'91_KPIS'!$Q127))</f>
        <v/>
      </c>
      <c r="J127" s="55" t="str">
        <f>IF($B127="","",INDEX(tblStock[StockMax],'91_KPIS'!$Q127))</f>
        <v/>
      </c>
      <c r="K127" s="53" t="str">
        <f>IF($B127="","",INDEX(tblStock[Unidad],'91_KPIS'!$Q127))</f>
        <v/>
      </c>
      <c r="L127" s="55" t="str">
        <f t="shared" si="2"/>
        <v/>
      </c>
      <c r="M127" s="55" t="str">
        <f t="shared" si="3"/>
        <v/>
      </c>
      <c r="N127" s="54" t="str">
        <f>IF($B127="","",IFERROR(INDEX(tblEstados[Acción],MATCH($C127,tblEstados[Estado],0)),""))</f>
        <v/>
      </c>
      <c r="O127" s="60" t="str">
        <f>IF($B127="","",INDEX(tblStock[UltimoMov],'91_KPIS'!$Q127))</f>
        <v/>
      </c>
    </row>
    <row r="128" spans="2:15" x14ac:dyDescent="0.25">
      <c r="B128" s="62" t="str">
        <f>IF('91_KPIS'!$Q128="","",'91_KPIS'!$O128)</f>
        <v/>
      </c>
      <c r="C128" s="58" t="str">
        <f>IF($B128="","",INDEX(tblStock[Estado],'91_KPIS'!$Q128))</f>
        <v/>
      </c>
      <c r="D128" s="53" t="str">
        <f>IF($B128="","",INDEX(tblStock[SKU],'91_KPIS'!$Q128))</f>
        <v/>
      </c>
      <c r="E128" s="54" t="str">
        <f>IF($B128="","",INDEX(tblStock[Producto],'91_KPIS'!$Q128))</f>
        <v/>
      </c>
      <c r="F128" s="54" t="str">
        <f>IF($B128="","",INDEX(tblStock[Categoría],'91_KPIS'!$Q128))</f>
        <v/>
      </c>
      <c r="G128" s="54" t="str">
        <f>IF($B128="","",INDEX(tblStock[Proveedor],'91_KPIS'!$Q128)&amp;"")</f>
        <v/>
      </c>
      <c r="H128" s="56" t="str">
        <f>IF($B128="","",INDEX(tblStock[StockActual],'91_KPIS'!$Q128))</f>
        <v/>
      </c>
      <c r="I128" s="55" t="str">
        <f>IF($B128="","",INDEX(tblStock[StockMin],'91_KPIS'!$Q128))</f>
        <v/>
      </c>
      <c r="J128" s="55" t="str">
        <f>IF($B128="","",INDEX(tblStock[StockMax],'91_KPIS'!$Q128))</f>
        <v/>
      </c>
      <c r="K128" s="53" t="str">
        <f>IF($B128="","",INDEX(tblStock[Unidad],'91_KPIS'!$Q128))</f>
        <v/>
      </c>
      <c r="L128" s="55" t="str">
        <f t="shared" si="2"/>
        <v/>
      </c>
      <c r="M128" s="55" t="str">
        <f t="shared" si="3"/>
        <v/>
      </c>
      <c r="N128" s="54" t="str">
        <f>IF($B128="","",IFERROR(INDEX(tblEstados[Acción],MATCH($C128,tblEstados[Estado],0)),""))</f>
        <v/>
      </c>
      <c r="O128" s="60" t="str">
        <f>IF($B128="","",INDEX(tblStock[UltimoMov],'91_KPIS'!$Q128))</f>
        <v/>
      </c>
    </row>
    <row r="129" spans="2:15" x14ac:dyDescent="0.25">
      <c r="B129" s="62" t="str">
        <f>IF('91_KPIS'!$Q129="","",'91_KPIS'!$O129)</f>
        <v/>
      </c>
      <c r="C129" s="58" t="str">
        <f>IF($B129="","",INDEX(tblStock[Estado],'91_KPIS'!$Q129))</f>
        <v/>
      </c>
      <c r="D129" s="53" t="str">
        <f>IF($B129="","",INDEX(tblStock[SKU],'91_KPIS'!$Q129))</f>
        <v/>
      </c>
      <c r="E129" s="54" t="str">
        <f>IF($B129="","",INDEX(tblStock[Producto],'91_KPIS'!$Q129))</f>
        <v/>
      </c>
      <c r="F129" s="54" t="str">
        <f>IF($B129="","",INDEX(tblStock[Categoría],'91_KPIS'!$Q129))</f>
        <v/>
      </c>
      <c r="G129" s="54" t="str">
        <f>IF($B129="","",INDEX(tblStock[Proveedor],'91_KPIS'!$Q129)&amp;"")</f>
        <v/>
      </c>
      <c r="H129" s="56" t="str">
        <f>IF($B129="","",INDEX(tblStock[StockActual],'91_KPIS'!$Q129))</f>
        <v/>
      </c>
      <c r="I129" s="55" t="str">
        <f>IF($B129="","",INDEX(tblStock[StockMin],'91_KPIS'!$Q129))</f>
        <v/>
      </c>
      <c r="J129" s="55" t="str">
        <f>IF($B129="","",INDEX(tblStock[StockMax],'91_KPIS'!$Q129))</f>
        <v/>
      </c>
      <c r="K129" s="53" t="str">
        <f>IF($B129="","",INDEX(tblStock[Unidad],'91_KPIS'!$Q129))</f>
        <v/>
      </c>
      <c r="L129" s="55" t="str">
        <f t="shared" si="2"/>
        <v/>
      </c>
      <c r="M129" s="55" t="str">
        <f t="shared" si="3"/>
        <v/>
      </c>
      <c r="N129" s="54" t="str">
        <f>IF($B129="","",IFERROR(INDEX(tblEstados[Acción],MATCH($C129,tblEstados[Estado],0)),""))</f>
        <v/>
      </c>
      <c r="O129" s="60" t="str">
        <f>IF($B129="","",INDEX(tblStock[UltimoMov],'91_KPIS'!$Q129))</f>
        <v/>
      </c>
    </row>
    <row r="130" spans="2:15" x14ac:dyDescent="0.25">
      <c r="B130" s="62" t="str">
        <f>IF('91_KPIS'!$Q130="","",'91_KPIS'!$O130)</f>
        <v/>
      </c>
      <c r="C130" s="58" t="str">
        <f>IF($B130="","",INDEX(tblStock[Estado],'91_KPIS'!$Q130))</f>
        <v/>
      </c>
      <c r="D130" s="53" t="str">
        <f>IF($B130="","",INDEX(tblStock[SKU],'91_KPIS'!$Q130))</f>
        <v/>
      </c>
      <c r="E130" s="54" t="str">
        <f>IF($B130="","",INDEX(tblStock[Producto],'91_KPIS'!$Q130))</f>
        <v/>
      </c>
      <c r="F130" s="54" t="str">
        <f>IF($B130="","",INDEX(tblStock[Categoría],'91_KPIS'!$Q130))</f>
        <v/>
      </c>
      <c r="G130" s="54" t="str">
        <f>IF($B130="","",INDEX(tblStock[Proveedor],'91_KPIS'!$Q130)&amp;"")</f>
        <v/>
      </c>
      <c r="H130" s="56" t="str">
        <f>IF($B130="","",INDEX(tblStock[StockActual],'91_KPIS'!$Q130))</f>
        <v/>
      </c>
      <c r="I130" s="55" t="str">
        <f>IF($B130="","",INDEX(tblStock[StockMin],'91_KPIS'!$Q130))</f>
        <v/>
      </c>
      <c r="J130" s="55" t="str">
        <f>IF($B130="","",INDEX(tblStock[StockMax],'91_KPIS'!$Q130))</f>
        <v/>
      </c>
      <c r="K130" s="53" t="str">
        <f>IF($B130="","",INDEX(tblStock[Unidad],'91_KPIS'!$Q130))</f>
        <v/>
      </c>
      <c r="L130" s="55" t="str">
        <f t="shared" si="2"/>
        <v/>
      </c>
      <c r="M130" s="55" t="str">
        <f t="shared" si="3"/>
        <v/>
      </c>
      <c r="N130" s="54" t="str">
        <f>IF($B130="","",IFERROR(INDEX(tblEstados[Acción],MATCH($C130,tblEstados[Estado],0)),""))</f>
        <v/>
      </c>
      <c r="O130" s="60" t="str">
        <f>IF($B130="","",INDEX(tblStock[UltimoMov],'91_KPIS'!$Q130))</f>
        <v/>
      </c>
    </row>
    <row r="131" spans="2:15" x14ac:dyDescent="0.25">
      <c r="B131" s="62" t="str">
        <f>IF('91_KPIS'!$Q131="","",'91_KPIS'!$O131)</f>
        <v/>
      </c>
      <c r="C131" s="58" t="str">
        <f>IF($B131="","",INDEX(tblStock[Estado],'91_KPIS'!$Q131))</f>
        <v/>
      </c>
      <c r="D131" s="53" t="str">
        <f>IF($B131="","",INDEX(tblStock[SKU],'91_KPIS'!$Q131))</f>
        <v/>
      </c>
      <c r="E131" s="54" t="str">
        <f>IF($B131="","",INDEX(tblStock[Producto],'91_KPIS'!$Q131))</f>
        <v/>
      </c>
      <c r="F131" s="54" t="str">
        <f>IF($B131="","",INDEX(tblStock[Categoría],'91_KPIS'!$Q131))</f>
        <v/>
      </c>
      <c r="G131" s="54" t="str">
        <f>IF($B131="","",INDEX(tblStock[Proveedor],'91_KPIS'!$Q131)&amp;"")</f>
        <v/>
      </c>
      <c r="H131" s="56" t="str">
        <f>IF($B131="","",INDEX(tblStock[StockActual],'91_KPIS'!$Q131))</f>
        <v/>
      </c>
      <c r="I131" s="55" t="str">
        <f>IF($B131="","",INDEX(tblStock[StockMin],'91_KPIS'!$Q131))</f>
        <v/>
      </c>
      <c r="J131" s="55" t="str">
        <f>IF($B131="","",INDEX(tblStock[StockMax],'91_KPIS'!$Q131))</f>
        <v/>
      </c>
      <c r="K131" s="53" t="str">
        <f>IF($B131="","",INDEX(tblStock[Unidad],'91_KPIS'!$Q131))</f>
        <v/>
      </c>
      <c r="L131" s="55" t="str">
        <f t="shared" si="2"/>
        <v/>
      </c>
      <c r="M131" s="55" t="str">
        <f t="shared" si="3"/>
        <v/>
      </c>
      <c r="N131" s="54" t="str">
        <f>IF($B131="","",IFERROR(INDEX(tblEstados[Acción],MATCH($C131,tblEstados[Estado],0)),""))</f>
        <v/>
      </c>
      <c r="O131" s="60" t="str">
        <f>IF($B131="","",INDEX(tblStock[UltimoMov],'91_KPIS'!$Q131))</f>
        <v/>
      </c>
    </row>
    <row r="132" spans="2:15" x14ac:dyDescent="0.25">
      <c r="B132" s="62" t="str">
        <f>IF('91_KPIS'!$Q132="","",'91_KPIS'!$O132)</f>
        <v/>
      </c>
      <c r="C132" s="58" t="str">
        <f>IF($B132="","",INDEX(tblStock[Estado],'91_KPIS'!$Q132))</f>
        <v/>
      </c>
      <c r="D132" s="53" t="str">
        <f>IF($B132="","",INDEX(tblStock[SKU],'91_KPIS'!$Q132))</f>
        <v/>
      </c>
      <c r="E132" s="54" t="str">
        <f>IF($B132="","",INDEX(tblStock[Producto],'91_KPIS'!$Q132))</f>
        <v/>
      </c>
      <c r="F132" s="54" t="str">
        <f>IF($B132="","",INDEX(tblStock[Categoría],'91_KPIS'!$Q132))</f>
        <v/>
      </c>
      <c r="G132" s="54" t="str">
        <f>IF($B132="","",INDEX(tblStock[Proveedor],'91_KPIS'!$Q132)&amp;"")</f>
        <v/>
      </c>
      <c r="H132" s="56" t="str">
        <f>IF($B132="","",INDEX(tblStock[StockActual],'91_KPIS'!$Q132))</f>
        <v/>
      </c>
      <c r="I132" s="55" t="str">
        <f>IF($B132="","",INDEX(tblStock[StockMin],'91_KPIS'!$Q132))</f>
        <v/>
      </c>
      <c r="J132" s="55" t="str">
        <f>IF($B132="","",INDEX(tblStock[StockMax],'91_KPIS'!$Q132))</f>
        <v/>
      </c>
      <c r="K132" s="53" t="str">
        <f>IF($B132="","",INDEX(tblStock[Unidad],'91_KPIS'!$Q132))</f>
        <v/>
      </c>
      <c r="L132" s="55" t="str">
        <f t="shared" si="2"/>
        <v/>
      </c>
      <c r="M132" s="55" t="str">
        <f t="shared" si="3"/>
        <v/>
      </c>
      <c r="N132" s="54" t="str">
        <f>IF($B132="","",IFERROR(INDEX(tblEstados[Acción],MATCH($C132,tblEstados[Estado],0)),""))</f>
        <v/>
      </c>
      <c r="O132" s="60" t="str">
        <f>IF($B132="","",INDEX(tblStock[UltimoMov],'91_KPIS'!$Q132))</f>
        <v/>
      </c>
    </row>
    <row r="133" spans="2:15" x14ac:dyDescent="0.25">
      <c r="B133" s="62" t="str">
        <f>IF('91_KPIS'!$Q133="","",'91_KPIS'!$O133)</f>
        <v/>
      </c>
      <c r="C133" s="58" t="str">
        <f>IF($B133="","",INDEX(tblStock[Estado],'91_KPIS'!$Q133))</f>
        <v/>
      </c>
      <c r="D133" s="53" t="str">
        <f>IF($B133="","",INDEX(tblStock[SKU],'91_KPIS'!$Q133))</f>
        <v/>
      </c>
      <c r="E133" s="54" t="str">
        <f>IF($B133="","",INDEX(tblStock[Producto],'91_KPIS'!$Q133))</f>
        <v/>
      </c>
      <c r="F133" s="54" t="str">
        <f>IF($B133="","",INDEX(tblStock[Categoría],'91_KPIS'!$Q133))</f>
        <v/>
      </c>
      <c r="G133" s="54" t="str">
        <f>IF($B133="","",INDEX(tblStock[Proveedor],'91_KPIS'!$Q133)&amp;"")</f>
        <v/>
      </c>
      <c r="H133" s="56" t="str">
        <f>IF($B133="","",INDEX(tblStock[StockActual],'91_KPIS'!$Q133))</f>
        <v/>
      </c>
      <c r="I133" s="55" t="str">
        <f>IF($B133="","",INDEX(tblStock[StockMin],'91_KPIS'!$Q133))</f>
        <v/>
      </c>
      <c r="J133" s="55" t="str">
        <f>IF($B133="","",INDEX(tblStock[StockMax],'91_KPIS'!$Q133))</f>
        <v/>
      </c>
      <c r="K133" s="53" t="str">
        <f>IF($B133="","",INDEX(tblStock[Unidad],'91_KPIS'!$Q133))</f>
        <v/>
      </c>
      <c r="L133" s="55" t="str">
        <f t="shared" si="2"/>
        <v/>
      </c>
      <c r="M133" s="55" t="str">
        <f t="shared" si="3"/>
        <v/>
      </c>
      <c r="N133" s="54" t="str">
        <f>IF($B133="","",IFERROR(INDEX(tblEstados[Acción],MATCH($C133,tblEstados[Estado],0)),""))</f>
        <v/>
      </c>
      <c r="O133" s="60" t="str">
        <f>IF($B133="","",INDEX(tblStock[UltimoMov],'91_KPIS'!$Q133))</f>
        <v/>
      </c>
    </row>
    <row r="134" spans="2:15" x14ac:dyDescent="0.25">
      <c r="B134" s="62" t="str">
        <f>IF('91_KPIS'!$Q134="","",'91_KPIS'!$O134)</f>
        <v/>
      </c>
      <c r="C134" s="58" t="str">
        <f>IF($B134="","",INDEX(tblStock[Estado],'91_KPIS'!$Q134))</f>
        <v/>
      </c>
      <c r="D134" s="53" t="str">
        <f>IF($B134="","",INDEX(tblStock[SKU],'91_KPIS'!$Q134))</f>
        <v/>
      </c>
      <c r="E134" s="54" t="str">
        <f>IF($B134="","",INDEX(tblStock[Producto],'91_KPIS'!$Q134))</f>
        <v/>
      </c>
      <c r="F134" s="54" t="str">
        <f>IF($B134="","",INDEX(tblStock[Categoría],'91_KPIS'!$Q134))</f>
        <v/>
      </c>
      <c r="G134" s="54" t="str">
        <f>IF($B134="","",INDEX(tblStock[Proveedor],'91_KPIS'!$Q134)&amp;"")</f>
        <v/>
      </c>
      <c r="H134" s="56" t="str">
        <f>IF($B134="","",INDEX(tblStock[StockActual],'91_KPIS'!$Q134))</f>
        <v/>
      </c>
      <c r="I134" s="55" t="str">
        <f>IF($B134="","",INDEX(tblStock[StockMin],'91_KPIS'!$Q134))</f>
        <v/>
      </c>
      <c r="J134" s="55" t="str">
        <f>IF($B134="","",INDEX(tblStock[StockMax],'91_KPIS'!$Q134))</f>
        <v/>
      </c>
      <c r="K134" s="53" t="str">
        <f>IF($B134="","",INDEX(tblStock[Unidad],'91_KPIS'!$Q134))</f>
        <v/>
      </c>
      <c r="L134" s="55" t="str">
        <f t="shared" si="2"/>
        <v/>
      </c>
      <c r="M134" s="55" t="str">
        <f t="shared" si="3"/>
        <v/>
      </c>
      <c r="N134" s="54" t="str">
        <f>IF($B134="","",IFERROR(INDEX(tblEstados[Acción],MATCH($C134,tblEstados[Estado],0)),""))</f>
        <v/>
      </c>
      <c r="O134" s="60" t="str">
        <f>IF($B134="","",INDEX(tblStock[UltimoMov],'91_KPIS'!$Q134))</f>
        <v/>
      </c>
    </row>
    <row r="135" spans="2:15" x14ac:dyDescent="0.25">
      <c r="B135" s="62" t="str">
        <f>IF('91_KPIS'!$Q135="","",'91_KPIS'!$O135)</f>
        <v/>
      </c>
      <c r="C135" s="58" t="str">
        <f>IF($B135="","",INDEX(tblStock[Estado],'91_KPIS'!$Q135))</f>
        <v/>
      </c>
      <c r="D135" s="53" t="str">
        <f>IF($B135="","",INDEX(tblStock[SKU],'91_KPIS'!$Q135))</f>
        <v/>
      </c>
      <c r="E135" s="54" t="str">
        <f>IF($B135="","",INDEX(tblStock[Producto],'91_KPIS'!$Q135))</f>
        <v/>
      </c>
      <c r="F135" s="54" t="str">
        <f>IF($B135="","",INDEX(tblStock[Categoría],'91_KPIS'!$Q135))</f>
        <v/>
      </c>
      <c r="G135" s="54" t="str">
        <f>IF($B135="","",INDEX(tblStock[Proveedor],'91_KPIS'!$Q135)&amp;"")</f>
        <v/>
      </c>
      <c r="H135" s="56" t="str">
        <f>IF($B135="","",INDEX(tblStock[StockActual],'91_KPIS'!$Q135))</f>
        <v/>
      </c>
      <c r="I135" s="55" t="str">
        <f>IF($B135="","",INDEX(tblStock[StockMin],'91_KPIS'!$Q135))</f>
        <v/>
      </c>
      <c r="J135" s="55" t="str">
        <f>IF($B135="","",INDEX(tblStock[StockMax],'91_KPIS'!$Q135))</f>
        <v/>
      </c>
      <c r="K135" s="53" t="str">
        <f>IF($B135="","",INDEX(tblStock[Unidad],'91_KPIS'!$Q135))</f>
        <v/>
      </c>
      <c r="L135" s="55" t="str">
        <f t="shared" si="2"/>
        <v/>
      </c>
      <c r="M135" s="55" t="str">
        <f t="shared" si="3"/>
        <v/>
      </c>
      <c r="N135" s="54" t="str">
        <f>IF($B135="","",IFERROR(INDEX(tblEstados[Acción],MATCH($C135,tblEstados[Estado],0)),""))</f>
        <v/>
      </c>
      <c r="O135" s="60" t="str">
        <f>IF($B135="","",INDEX(tblStock[UltimoMov],'91_KPIS'!$Q135))</f>
        <v/>
      </c>
    </row>
    <row r="136" spans="2:15" x14ac:dyDescent="0.25">
      <c r="B136" s="62" t="str">
        <f>IF('91_KPIS'!$Q136="","",'91_KPIS'!$O136)</f>
        <v/>
      </c>
      <c r="C136" s="58" t="str">
        <f>IF($B136="","",INDEX(tblStock[Estado],'91_KPIS'!$Q136))</f>
        <v/>
      </c>
      <c r="D136" s="53" t="str">
        <f>IF($B136="","",INDEX(tblStock[SKU],'91_KPIS'!$Q136))</f>
        <v/>
      </c>
      <c r="E136" s="54" t="str">
        <f>IF($B136="","",INDEX(tblStock[Producto],'91_KPIS'!$Q136))</f>
        <v/>
      </c>
      <c r="F136" s="54" t="str">
        <f>IF($B136="","",INDEX(tblStock[Categoría],'91_KPIS'!$Q136))</f>
        <v/>
      </c>
      <c r="G136" s="54" t="str">
        <f>IF($B136="","",INDEX(tblStock[Proveedor],'91_KPIS'!$Q136)&amp;"")</f>
        <v/>
      </c>
      <c r="H136" s="56" t="str">
        <f>IF($B136="","",INDEX(tblStock[StockActual],'91_KPIS'!$Q136))</f>
        <v/>
      </c>
      <c r="I136" s="55" t="str">
        <f>IF($B136="","",INDEX(tblStock[StockMin],'91_KPIS'!$Q136))</f>
        <v/>
      </c>
      <c r="J136" s="55" t="str">
        <f>IF($B136="","",INDEX(tblStock[StockMax],'91_KPIS'!$Q136))</f>
        <v/>
      </c>
      <c r="K136" s="53" t="str">
        <f>IF($B136="","",INDEX(tblStock[Unidad],'91_KPIS'!$Q136))</f>
        <v/>
      </c>
      <c r="L136" s="55" t="str">
        <f t="shared" ref="L136:L199" si="4">IF($B136="","",MAX(0,$I136-$H136))</f>
        <v/>
      </c>
      <c r="M136" s="55" t="str">
        <f t="shared" ref="M136:M199" si="5">IF($B136="","",IF(OR($C136="SOBRESTOCK",$C136="INCONSISTENTE"),0,MAX(0,IF($J136&gt;0,$J136,2*$I136)-MAX(0,$H136))))</f>
        <v/>
      </c>
      <c r="N136" s="54" t="str">
        <f>IF($B136="","",IFERROR(INDEX(tblEstados[Acción],MATCH($C136,tblEstados[Estado],0)),""))</f>
        <v/>
      </c>
      <c r="O136" s="60" t="str">
        <f>IF($B136="","",INDEX(tblStock[UltimoMov],'91_KPIS'!$Q136))</f>
        <v/>
      </c>
    </row>
    <row r="137" spans="2:15" x14ac:dyDescent="0.25">
      <c r="B137" s="62" t="str">
        <f>IF('91_KPIS'!$Q137="","",'91_KPIS'!$O137)</f>
        <v/>
      </c>
      <c r="C137" s="58" t="str">
        <f>IF($B137="","",INDEX(tblStock[Estado],'91_KPIS'!$Q137))</f>
        <v/>
      </c>
      <c r="D137" s="53" t="str">
        <f>IF($B137="","",INDEX(tblStock[SKU],'91_KPIS'!$Q137))</f>
        <v/>
      </c>
      <c r="E137" s="54" t="str">
        <f>IF($B137="","",INDEX(tblStock[Producto],'91_KPIS'!$Q137))</f>
        <v/>
      </c>
      <c r="F137" s="54" t="str">
        <f>IF($B137="","",INDEX(tblStock[Categoría],'91_KPIS'!$Q137))</f>
        <v/>
      </c>
      <c r="G137" s="54" t="str">
        <f>IF($B137="","",INDEX(tblStock[Proveedor],'91_KPIS'!$Q137)&amp;"")</f>
        <v/>
      </c>
      <c r="H137" s="56" t="str">
        <f>IF($B137="","",INDEX(tblStock[StockActual],'91_KPIS'!$Q137))</f>
        <v/>
      </c>
      <c r="I137" s="55" t="str">
        <f>IF($B137="","",INDEX(tblStock[StockMin],'91_KPIS'!$Q137))</f>
        <v/>
      </c>
      <c r="J137" s="55" t="str">
        <f>IF($B137="","",INDEX(tblStock[StockMax],'91_KPIS'!$Q137))</f>
        <v/>
      </c>
      <c r="K137" s="53" t="str">
        <f>IF($B137="","",INDEX(tblStock[Unidad],'91_KPIS'!$Q137))</f>
        <v/>
      </c>
      <c r="L137" s="55" t="str">
        <f t="shared" si="4"/>
        <v/>
      </c>
      <c r="M137" s="55" t="str">
        <f t="shared" si="5"/>
        <v/>
      </c>
      <c r="N137" s="54" t="str">
        <f>IF($B137="","",IFERROR(INDEX(tblEstados[Acción],MATCH($C137,tblEstados[Estado],0)),""))</f>
        <v/>
      </c>
      <c r="O137" s="60" t="str">
        <f>IF($B137="","",INDEX(tblStock[UltimoMov],'91_KPIS'!$Q137))</f>
        <v/>
      </c>
    </row>
    <row r="138" spans="2:15" x14ac:dyDescent="0.25">
      <c r="B138" s="62" t="str">
        <f>IF('91_KPIS'!$Q138="","",'91_KPIS'!$O138)</f>
        <v/>
      </c>
      <c r="C138" s="58" t="str">
        <f>IF($B138="","",INDEX(tblStock[Estado],'91_KPIS'!$Q138))</f>
        <v/>
      </c>
      <c r="D138" s="53" t="str">
        <f>IF($B138="","",INDEX(tblStock[SKU],'91_KPIS'!$Q138))</f>
        <v/>
      </c>
      <c r="E138" s="54" t="str">
        <f>IF($B138="","",INDEX(tblStock[Producto],'91_KPIS'!$Q138))</f>
        <v/>
      </c>
      <c r="F138" s="54" t="str">
        <f>IF($B138="","",INDEX(tblStock[Categoría],'91_KPIS'!$Q138))</f>
        <v/>
      </c>
      <c r="G138" s="54" t="str">
        <f>IF($B138="","",INDEX(tblStock[Proveedor],'91_KPIS'!$Q138)&amp;"")</f>
        <v/>
      </c>
      <c r="H138" s="56" t="str">
        <f>IF($B138="","",INDEX(tblStock[StockActual],'91_KPIS'!$Q138))</f>
        <v/>
      </c>
      <c r="I138" s="55" t="str">
        <f>IF($B138="","",INDEX(tblStock[StockMin],'91_KPIS'!$Q138))</f>
        <v/>
      </c>
      <c r="J138" s="55" t="str">
        <f>IF($B138="","",INDEX(tblStock[StockMax],'91_KPIS'!$Q138))</f>
        <v/>
      </c>
      <c r="K138" s="53" t="str">
        <f>IF($B138="","",INDEX(tblStock[Unidad],'91_KPIS'!$Q138))</f>
        <v/>
      </c>
      <c r="L138" s="55" t="str">
        <f t="shared" si="4"/>
        <v/>
      </c>
      <c r="M138" s="55" t="str">
        <f t="shared" si="5"/>
        <v/>
      </c>
      <c r="N138" s="54" t="str">
        <f>IF($B138="","",IFERROR(INDEX(tblEstados[Acción],MATCH($C138,tblEstados[Estado],0)),""))</f>
        <v/>
      </c>
      <c r="O138" s="60" t="str">
        <f>IF($B138="","",INDEX(tblStock[UltimoMov],'91_KPIS'!$Q138))</f>
        <v/>
      </c>
    </row>
    <row r="139" spans="2:15" x14ac:dyDescent="0.25">
      <c r="B139" s="62" t="str">
        <f>IF('91_KPIS'!$Q139="","",'91_KPIS'!$O139)</f>
        <v/>
      </c>
      <c r="C139" s="58" t="str">
        <f>IF($B139="","",INDEX(tblStock[Estado],'91_KPIS'!$Q139))</f>
        <v/>
      </c>
      <c r="D139" s="53" t="str">
        <f>IF($B139="","",INDEX(tblStock[SKU],'91_KPIS'!$Q139))</f>
        <v/>
      </c>
      <c r="E139" s="54" t="str">
        <f>IF($B139="","",INDEX(tblStock[Producto],'91_KPIS'!$Q139))</f>
        <v/>
      </c>
      <c r="F139" s="54" t="str">
        <f>IF($B139="","",INDEX(tblStock[Categoría],'91_KPIS'!$Q139))</f>
        <v/>
      </c>
      <c r="G139" s="54" t="str">
        <f>IF($B139="","",INDEX(tblStock[Proveedor],'91_KPIS'!$Q139)&amp;"")</f>
        <v/>
      </c>
      <c r="H139" s="56" t="str">
        <f>IF($B139="","",INDEX(tblStock[StockActual],'91_KPIS'!$Q139))</f>
        <v/>
      </c>
      <c r="I139" s="55" t="str">
        <f>IF($B139="","",INDEX(tblStock[StockMin],'91_KPIS'!$Q139))</f>
        <v/>
      </c>
      <c r="J139" s="55" t="str">
        <f>IF($B139="","",INDEX(tblStock[StockMax],'91_KPIS'!$Q139))</f>
        <v/>
      </c>
      <c r="K139" s="53" t="str">
        <f>IF($B139="","",INDEX(tblStock[Unidad],'91_KPIS'!$Q139))</f>
        <v/>
      </c>
      <c r="L139" s="55" t="str">
        <f t="shared" si="4"/>
        <v/>
      </c>
      <c r="M139" s="55" t="str">
        <f t="shared" si="5"/>
        <v/>
      </c>
      <c r="N139" s="54" t="str">
        <f>IF($B139="","",IFERROR(INDEX(tblEstados[Acción],MATCH($C139,tblEstados[Estado],0)),""))</f>
        <v/>
      </c>
      <c r="O139" s="60" t="str">
        <f>IF($B139="","",INDEX(tblStock[UltimoMov],'91_KPIS'!$Q139))</f>
        <v/>
      </c>
    </row>
    <row r="140" spans="2:15" x14ac:dyDescent="0.25">
      <c r="B140" s="62" t="str">
        <f>IF('91_KPIS'!$Q140="","",'91_KPIS'!$O140)</f>
        <v/>
      </c>
      <c r="C140" s="58" t="str">
        <f>IF($B140="","",INDEX(tblStock[Estado],'91_KPIS'!$Q140))</f>
        <v/>
      </c>
      <c r="D140" s="53" t="str">
        <f>IF($B140="","",INDEX(tblStock[SKU],'91_KPIS'!$Q140))</f>
        <v/>
      </c>
      <c r="E140" s="54" t="str">
        <f>IF($B140="","",INDEX(tblStock[Producto],'91_KPIS'!$Q140))</f>
        <v/>
      </c>
      <c r="F140" s="54" t="str">
        <f>IF($B140="","",INDEX(tblStock[Categoría],'91_KPIS'!$Q140))</f>
        <v/>
      </c>
      <c r="G140" s="54" t="str">
        <f>IF($B140="","",INDEX(tblStock[Proveedor],'91_KPIS'!$Q140)&amp;"")</f>
        <v/>
      </c>
      <c r="H140" s="56" t="str">
        <f>IF($B140="","",INDEX(tblStock[StockActual],'91_KPIS'!$Q140))</f>
        <v/>
      </c>
      <c r="I140" s="55" t="str">
        <f>IF($B140="","",INDEX(tblStock[StockMin],'91_KPIS'!$Q140))</f>
        <v/>
      </c>
      <c r="J140" s="55" t="str">
        <f>IF($B140="","",INDEX(tblStock[StockMax],'91_KPIS'!$Q140))</f>
        <v/>
      </c>
      <c r="K140" s="53" t="str">
        <f>IF($B140="","",INDEX(tblStock[Unidad],'91_KPIS'!$Q140))</f>
        <v/>
      </c>
      <c r="L140" s="55" t="str">
        <f t="shared" si="4"/>
        <v/>
      </c>
      <c r="M140" s="55" t="str">
        <f t="shared" si="5"/>
        <v/>
      </c>
      <c r="N140" s="54" t="str">
        <f>IF($B140="","",IFERROR(INDEX(tblEstados[Acción],MATCH($C140,tblEstados[Estado],0)),""))</f>
        <v/>
      </c>
      <c r="O140" s="60" t="str">
        <f>IF($B140="","",INDEX(tblStock[UltimoMov],'91_KPIS'!$Q140))</f>
        <v/>
      </c>
    </row>
    <row r="141" spans="2:15" x14ac:dyDescent="0.25">
      <c r="B141" s="62" t="str">
        <f>IF('91_KPIS'!$Q141="","",'91_KPIS'!$O141)</f>
        <v/>
      </c>
      <c r="C141" s="58" t="str">
        <f>IF($B141="","",INDEX(tblStock[Estado],'91_KPIS'!$Q141))</f>
        <v/>
      </c>
      <c r="D141" s="53" t="str">
        <f>IF($B141="","",INDEX(tblStock[SKU],'91_KPIS'!$Q141))</f>
        <v/>
      </c>
      <c r="E141" s="54" t="str">
        <f>IF($B141="","",INDEX(tblStock[Producto],'91_KPIS'!$Q141))</f>
        <v/>
      </c>
      <c r="F141" s="54" t="str">
        <f>IF($B141="","",INDEX(tblStock[Categoría],'91_KPIS'!$Q141))</f>
        <v/>
      </c>
      <c r="G141" s="54" t="str">
        <f>IF($B141="","",INDEX(tblStock[Proveedor],'91_KPIS'!$Q141)&amp;"")</f>
        <v/>
      </c>
      <c r="H141" s="56" t="str">
        <f>IF($B141="","",INDEX(tblStock[StockActual],'91_KPIS'!$Q141))</f>
        <v/>
      </c>
      <c r="I141" s="55" t="str">
        <f>IF($B141="","",INDEX(tblStock[StockMin],'91_KPIS'!$Q141))</f>
        <v/>
      </c>
      <c r="J141" s="55" t="str">
        <f>IF($B141="","",INDEX(tblStock[StockMax],'91_KPIS'!$Q141))</f>
        <v/>
      </c>
      <c r="K141" s="53" t="str">
        <f>IF($B141="","",INDEX(tblStock[Unidad],'91_KPIS'!$Q141))</f>
        <v/>
      </c>
      <c r="L141" s="55" t="str">
        <f t="shared" si="4"/>
        <v/>
      </c>
      <c r="M141" s="55" t="str">
        <f t="shared" si="5"/>
        <v/>
      </c>
      <c r="N141" s="54" t="str">
        <f>IF($B141="","",IFERROR(INDEX(tblEstados[Acción],MATCH($C141,tblEstados[Estado],0)),""))</f>
        <v/>
      </c>
      <c r="O141" s="60" t="str">
        <f>IF($B141="","",INDEX(tblStock[UltimoMov],'91_KPIS'!$Q141))</f>
        <v/>
      </c>
    </row>
    <row r="142" spans="2:15" x14ac:dyDescent="0.25">
      <c r="B142" s="62" t="str">
        <f>IF('91_KPIS'!$Q142="","",'91_KPIS'!$O142)</f>
        <v/>
      </c>
      <c r="C142" s="58" t="str">
        <f>IF($B142="","",INDEX(tblStock[Estado],'91_KPIS'!$Q142))</f>
        <v/>
      </c>
      <c r="D142" s="53" t="str">
        <f>IF($B142="","",INDEX(tblStock[SKU],'91_KPIS'!$Q142))</f>
        <v/>
      </c>
      <c r="E142" s="54" t="str">
        <f>IF($B142="","",INDEX(tblStock[Producto],'91_KPIS'!$Q142))</f>
        <v/>
      </c>
      <c r="F142" s="54" t="str">
        <f>IF($B142="","",INDEX(tblStock[Categoría],'91_KPIS'!$Q142))</f>
        <v/>
      </c>
      <c r="G142" s="54" t="str">
        <f>IF($B142="","",INDEX(tblStock[Proveedor],'91_KPIS'!$Q142)&amp;"")</f>
        <v/>
      </c>
      <c r="H142" s="56" t="str">
        <f>IF($B142="","",INDEX(tblStock[StockActual],'91_KPIS'!$Q142))</f>
        <v/>
      </c>
      <c r="I142" s="55" t="str">
        <f>IF($B142="","",INDEX(tblStock[StockMin],'91_KPIS'!$Q142))</f>
        <v/>
      </c>
      <c r="J142" s="55" t="str">
        <f>IF($B142="","",INDEX(tblStock[StockMax],'91_KPIS'!$Q142))</f>
        <v/>
      </c>
      <c r="K142" s="53" t="str">
        <f>IF($B142="","",INDEX(tblStock[Unidad],'91_KPIS'!$Q142))</f>
        <v/>
      </c>
      <c r="L142" s="55" t="str">
        <f t="shared" si="4"/>
        <v/>
      </c>
      <c r="M142" s="55" t="str">
        <f t="shared" si="5"/>
        <v/>
      </c>
      <c r="N142" s="54" t="str">
        <f>IF($B142="","",IFERROR(INDEX(tblEstados[Acción],MATCH($C142,tblEstados[Estado],0)),""))</f>
        <v/>
      </c>
      <c r="O142" s="60" t="str">
        <f>IF($B142="","",INDEX(tblStock[UltimoMov],'91_KPIS'!$Q142))</f>
        <v/>
      </c>
    </row>
    <row r="143" spans="2:15" x14ac:dyDescent="0.25">
      <c r="B143" s="62" t="str">
        <f>IF('91_KPIS'!$Q143="","",'91_KPIS'!$O143)</f>
        <v/>
      </c>
      <c r="C143" s="58" t="str">
        <f>IF($B143="","",INDEX(tblStock[Estado],'91_KPIS'!$Q143))</f>
        <v/>
      </c>
      <c r="D143" s="53" t="str">
        <f>IF($B143="","",INDEX(tblStock[SKU],'91_KPIS'!$Q143))</f>
        <v/>
      </c>
      <c r="E143" s="54" t="str">
        <f>IF($B143="","",INDEX(tblStock[Producto],'91_KPIS'!$Q143))</f>
        <v/>
      </c>
      <c r="F143" s="54" t="str">
        <f>IF($B143="","",INDEX(tblStock[Categoría],'91_KPIS'!$Q143))</f>
        <v/>
      </c>
      <c r="G143" s="54" t="str">
        <f>IF($B143="","",INDEX(tblStock[Proveedor],'91_KPIS'!$Q143)&amp;"")</f>
        <v/>
      </c>
      <c r="H143" s="56" t="str">
        <f>IF($B143="","",INDEX(tblStock[StockActual],'91_KPIS'!$Q143))</f>
        <v/>
      </c>
      <c r="I143" s="55" t="str">
        <f>IF($B143="","",INDEX(tblStock[StockMin],'91_KPIS'!$Q143))</f>
        <v/>
      </c>
      <c r="J143" s="55" t="str">
        <f>IF($B143="","",INDEX(tblStock[StockMax],'91_KPIS'!$Q143))</f>
        <v/>
      </c>
      <c r="K143" s="53" t="str">
        <f>IF($B143="","",INDEX(tblStock[Unidad],'91_KPIS'!$Q143))</f>
        <v/>
      </c>
      <c r="L143" s="55" t="str">
        <f t="shared" si="4"/>
        <v/>
      </c>
      <c r="M143" s="55" t="str">
        <f t="shared" si="5"/>
        <v/>
      </c>
      <c r="N143" s="54" t="str">
        <f>IF($B143="","",IFERROR(INDEX(tblEstados[Acción],MATCH($C143,tblEstados[Estado],0)),""))</f>
        <v/>
      </c>
      <c r="O143" s="60" t="str">
        <f>IF($B143="","",INDEX(tblStock[UltimoMov],'91_KPIS'!$Q143))</f>
        <v/>
      </c>
    </row>
    <row r="144" spans="2:15" x14ac:dyDescent="0.25">
      <c r="B144" s="62" t="str">
        <f>IF('91_KPIS'!$Q144="","",'91_KPIS'!$O144)</f>
        <v/>
      </c>
      <c r="C144" s="58" t="str">
        <f>IF($B144="","",INDEX(tblStock[Estado],'91_KPIS'!$Q144))</f>
        <v/>
      </c>
      <c r="D144" s="53" t="str">
        <f>IF($B144="","",INDEX(tblStock[SKU],'91_KPIS'!$Q144))</f>
        <v/>
      </c>
      <c r="E144" s="54" t="str">
        <f>IF($B144="","",INDEX(tblStock[Producto],'91_KPIS'!$Q144))</f>
        <v/>
      </c>
      <c r="F144" s="54" t="str">
        <f>IF($B144="","",INDEX(tblStock[Categoría],'91_KPIS'!$Q144))</f>
        <v/>
      </c>
      <c r="G144" s="54" t="str">
        <f>IF($B144="","",INDEX(tblStock[Proveedor],'91_KPIS'!$Q144)&amp;"")</f>
        <v/>
      </c>
      <c r="H144" s="56" t="str">
        <f>IF($B144="","",INDEX(tblStock[StockActual],'91_KPIS'!$Q144))</f>
        <v/>
      </c>
      <c r="I144" s="55" t="str">
        <f>IF($B144="","",INDEX(tblStock[StockMin],'91_KPIS'!$Q144))</f>
        <v/>
      </c>
      <c r="J144" s="55" t="str">
        <f>IF($B144="","",INDEX(tblStock[StockMax],'91_KPIS'!$Q144))</f>
        <v/>
      </c>
      <c r="K144" s="53" t="str">
        <f>IF($B144="","",INDEX(tblStock[Unidad],'91_KPIS'!$Q144))</f>
        <v/>
      </c>
      <c r="L144" s="55" t="str">
        <f t="shared" si="4"/>
        <v/>
      </c>
      <c r="M144" s="55" t="str">
        <f t="shared" si="5"/>
        <v/>
      </c>
      <c r="N144" s="54" t="str">
        <f>IF($B144="","",IFERROR(INDEX(tblEstados[Acción],MATCH($C144,tblEstados[Estado],0)),""))</f>
        <v/>
      </c>
      <c r="O144" s="60" t="str">
        <f>IF($B144="","",INDEX(tblStock[UltimoMov],'91_KPIS'!$Q144))</f>
        <v/>
      </c>
    </row>
    <row r="145" spans="2:15" x14ac:dyDescent="0.25">
      <c r="B145" s="62" t="str">
        <f>IF('91_KPIS'!$Q145="","",'91_KPIS'!$O145)</f>
        <v/>
      </c>
      <c r="C145" s="58" t="str">
        <f>IF($B145="","",INDEX(tblStock[Estado],'91_KPIS'!$Q145))</f>
        <v/>
      </c>
      <c r="D145" s="53" t="str">
        <f>IF($B145="","",INDEX(tblStock[SKU],'91_KPIS'!$Q145))</f>
        <v/>
      </c>
      <c r="E145" s="54" t="str">
        <f>IF($B145="","",INDEX(tblStock[Producto],'91_KPIS'!$Q145))</f>
        <v/>
      </c>
      <c r="F145" s="54" t="str">
        <f>IF($B145="","",INDEX(tblStock[Categoría],'91_KPIS'!$Q145))</f>
        <v/>
      </c>
      <c r="G145" s="54" t="str">
        <f>IF($B145="","",INDEX(tblStock[Proveedor],'91_KPIS'!$Q145)&amp;"")</f>
        <v/>
      </c>
      <c r="H145" s="56" t="str">
        <f>IF($B145="","",INDEX(tblStock[StockActual],'91_KPIS'!$Q145))</f>
        <v/>
      </c>
      <c r="I145" s="55" t="str">
        <f>IF($B145="","",INDEX(tblStock[StockMin],'91_KPIS'!$Q145))</f>
        <v/>
      </c>
      <c r="J145" s="55" t="str">
        <f>IF($B145="","",INDEX(tblStock[StockMax],'91_KPIS'!$Q145))</f>
        <v/>
      </c>
      <c r="K145" s="53" t="str">
        <f>IF($B145="","",INDEX(tblStock[Unidad],'91_KPIS'!$Q145))</f>
        <v/>
      </c>
      <c r="L145" s="55" t="str">
        <f t="shared" si="4"/>
        <v/>
      </c>
      <c r="M145" s="55" t="str">
        <f t="shared" si="5"/>
        <v/>
      </c>
      <c r="N145" s="54" t="str">
        <f>IF($B145="","",IFERROR(INDEX(tblEstados[Acción],MATCH($C145,tblEstados[Estado],0)),""))</f>
        <v/>
      </c>
      <c r="O145" s="60" t="str">
        <f>IF($B145="","",INDEX(tblStock[UltimoMov],'91_KPIS'!$Q145))</f>
        <v/>
      </c>
    </row>
    <row r="146" spans="2:15" x14ac:dyDescent="0.25">
      <c r="B146" s="62" t="str">
        <f>IF('91_KPIS'!$Q146="","",'91_KPIS'!$O146)</f>
        <v/>
      </c>
      <c r="C146" s="58" t="str">
        <f>IF($B146="","",INDEX(tblStock[Estado],'91_KPIS'!$Q146))</f>
        <v/>
      </c>
      <c r="D146" s="53" t="str">
        <f>IF($B146="","",INDEX(tblStock[SKU],'91_KPIS'!$Q146))</f>
        <v/>
      </c>
      <c r="E146" s="54" t="str">
        <f>IF($B146="","",INDEX(tblStock[Producto],'91_KPIS'!$Q146))</f>
        <v/>
      </c>
      <c r="F146" s="54" t="str">
        <f>IF($B146="","",INDEX(tblStock[Categoría],'91_KPIS'!$Q146))</f>
        <v/>
      </c>
      <c r="G146" s="54" t="str">
        <f>IF($B146="","",INDEX(tblStock[Proveedor],'91_KPIS'!$Q146)&amp;"")</f>
        <v/>
      </c>
      <c r="H146" s="56" t="str">
        <f>IF($B146="","",INDEX(tblStock[StockActual],'91_KPIS'!$Q146))</f>
        <v/>
      </c>
      <c r="I146" s="55" t="str">
        <f>IF($B146="","",INDEX(tblStock[StockMin],'91_KPIS'!$Q146))</f>
        <v/>
      </c>
      <c r="J146" s="55" t="str">
        <f>IF($B146="","",INDEX(tblStock[StockMax],'91_KPIS'!$Q146))</f>
        <v/>
      </c>
      <c r="K146" s="53" t="str">
        <f>IF($B146="","",INDEX(tblStock[Unidad],'91_KPIS'!$Q146))</f>
        <v/>
      </c>
      <c r="L146" s="55" t="str">
        <f t="shared" si="4"/>
        <v/>
      </c>
      <c r="M146" s="55" t="str">
        <f t="shared" si="5"/>
        <v/>
      </c>
      <c r="N146" s="54" t="str">
        <f>IF($B146="","",IFERROR(INDEX(tblEstados[Acción],MATCH($C146,tblEstados[Estado],0)),""))</f>
        <v/>
      </c>
      <c r="O146" s="60" t="str">
        <f>IF($B146="","",INDEX(tblStock[UltimoMov],'91_KPIS'!$Q146))</f>
        <v/>
      </c>
    </row>
    <row r="147" spans="2:15" x14ac:dyDescent="0.25">
      <c r="B147" s="62" t="str">
        <f>IF('91_KPIS'!$Q147="","",'91_KPIS'!$O147)</f>
        <v/>
      </c>
      <c r="C147" s="58" t="str">
        <f>IF($B147="","",INDEX(tblStock[Estado],'91_KPIS'!$Q147))</f>
        <v/>
      </c>
      <c r="D147" s="53" t="str">
        <f>IF($B147="","",INDEX(tblStock[SKU],'91_KPIS'!$Q147))</f>
        <v/>
      </c>
      <c r="E147" s="54" t="str">
        <f>IF($B147="","",INDEX(tblStock[Producto],'91_KPIS'!$Q147))</f>
        <v/>
      </c>
      <c r="F147" s="54" t="str">
        <f>IF($B147="","",INDEX(tblStock[Categoría],'91_KPIS'!$Q147))</f>
        <v/>
      </c>
      <c r="G147" s="54" t="str">
        <f>IF($B147="","",INDEX(tblStock[Proveedor],'91_KPIS'!$Q147)&amp;"")</f>
        <v/>
      </c>
      <c r="H147" s="56" t="str">
        <f>IF($B147="","",INDEX(tblStock[StockActual],'91_KPIS'!$Q147))</f>
        <v/>
      </c>
      <c r="I147" s="55" t="str">
        <f>IF($B147="","",INDEX(tblStock[StockMin],'91_KPIS'!$Q147))</f>
        <v/>
      </c>
      <c r="J147" s="55" t="str">
        <f>IF($B147="","",INDEX(tblStock[StockMax],'91_KPIS'!$Q147))</f>
        <v/>
      </c>
      <c r="K147" s="53" t="str">
        <f>IF($B147="","",INDEX(tblStock[Unidad],'91_KPIS'!$Q147))</f>
        <v/>
      </c>
      <c r="L147" s="55" t="str">
        <f t="shared" si="4"/>
        <v/>
      </c>
      <c r="M147" s="55" t="str">
        <f t="shared" si="5"/>
        <v/>
      </c>
      <c r="N147" s="54" t="str">
        <f>IF($B147="","",IFERROR(INDEX(tblEstados[Acción],MATCH($C147,tblEstados[Estado],0)),""))</f>
        <v/>
      </c>
      <c r="O147" s="60" t="str">
        <f>IF($B147="","",INDEX(tblStock[UltimoMov],'91_KPIS'!$Q147))</f>
        <v/>
      </c>
    </row>
    <row r="148" spans="2:15" x14ac:dyDescent="0.25">
      <c r="B148" s="62" t="str">
        <f>IF('91_KPIS'!$Q148="","",'91_KPIS'!$O148)</f>
        <v/>
      </c>
      <c r="C148" s="58" t="str">
        <f>IF($B148="","",INDEX(tblStock[Estado],'91_KPIS'!$Q148))</f>
        <v/>
      </c>
      <c r="D148" s="53" t="str">
        <f>IF($B148="","",INDEX(tblStock[SKU],'91_KPIS'!$Q148))</f>
        <v/>
      </c>
      <c r="E148" s="54" t="str">
        <f>IF($B148="","",INDEX(tblStock[Producto],'91_KPIS'!$Q148))</f>
        <v/>
      </c>
      <c r="F148" s="54" t="str">
        <f>IF($B148="","",INDEX(tblStock[Categoría],'91_KPIS'!$Q148))</f>
        <v/>
      </c>
      <c r="G148" s="54" t="str">
        <f>IF($B148="","",INDEX(tblStock[Proveedor],'91_KPIS'!$Q148)&amp;"")</f>
        <v/>
      </c>
      <c r="H148" s="56" t="str">
        <f>IF($B148="","",INDEX(tblStock[StockActual],'91_KPIS'!$Q148))</f>
        <v/>
      </c>
      <c r="I148" s="55" t="str">
        <f>IF($B148="","",INDEX(tblStock[StockMin],'91_KPIS'!$Q148))</f>
        <v/>
      </c>
      <c r="J148" s="55" t="str">
        <f>IF($B148="","",INDEX(tblStock[StockMax],'91_KPIS'!$Q148))</f>
        <v/>
      </c>
      <c r="K148" s="53" t="str">
        <f>IF($B148="","",INDEX(tblStock[Unidad],'91_KPIS'!$Q148))</f>
        <v/>
      </c>
      <c r="L148" s="55" t="str">
        <f t="shared" si="4"/>
        <v/>
      </c>
      <c r="M148" s="55" t="str">
        <f t="shared" si="5"/>
        <v/>
      </c>
      <c r="N148" s="54" t="str">
        <f>IF($B148="","",IFERROR(INDEX(tblEstados[Acción],MATCH($C148,tblEstados[Estado],0)),""))</f>
        <v/>
      </c>
      <c r="O148" s="60" t="str">
        <f>IF($B148="","",INDEX(tblStock[UltimoMov],'91_KPIS'!$Q148))</f>
        <v/>
      </c>
    </row>
    <row r="149" spans="2:15" x14ac:dyDescent="0.25">
      <c r="B149" s="62" t="str">
        <f>IF('91_KPIS'!$Q149="","",'91_KPIS'!$O149)</f>
        <v/>
      </c>
      <c r="C149" s="58" t="str">
        <f>IF($B149="","",INDEX(tblStock[Estado],'91_KPIS'!$Q149))</f>
        <v/>
      </c>
      <c r="D149" s="53" t="str">
        <f>IF($B149="","",INDEX(tblStock[SKU],'91_KPIS'!$Q149))</f>
        <v/>
      </c>
      <c r="E149" s="54" t="str">
        <f>IF($B149="","",INDEX(tblStock[Producto],'91_KPIS'!$Q149))</f>
        <v/>
      </c>
      <c r="F149" s="54" t="str">
        <f>IF($B149="","",INDEX(tblStock[Categoría],'91_KPIS'!$Q149))</f>
        <v/>
      </c>
      <c r="G149" s="54" t="str">
        <f>IF($B149="","",INDEX(tblStock[Proveedor],'91_KPIS'!$Q149)&amp;"")</f>
        <v/>
      </c>
      <c r="H149" s="56" t="str">
        <f>IF($B149="","",INDEX(tblStock[StockActual],'91_KPIS'!$Q149))</f>
        <v/>
      </c>
      <c r="I149" s="55" t="str">
        <f>IF($B149="","",INDEX(tblStock[StockMin],'91_KPIS'!$Q149))</f>
        <v/>
      </c>
      <c r="J149" s="55" t="str">
        <f>IF($B149="","",INDEX(tblStock[StockMax],'91_KPIS'!$Q149))</f>
        <v/>
      </c>
      <c r="K149" s="53" t="str">
        <f>IF($B149="","",INDEX(tblStock[Unidad],'91_KPIS'!$Q149))</f>
        <v/>
      </c>
      <c r="L149" s="55" t="str">
        <f t="shared" si="4"/>
        <v/>
      </c>
      <c r="M149" s="55" t="str">
        <f t="shared" si="5"/>
        <v/>
      </c>
      <c r="N149" s="54" t="str">
        <f>IF($B149="","",IFERROR(INDEX(tblEstados[Acción],MATCH($C149,tblEstados[Estado],0)),""))</f>
        <v/>
      </c>
      <c r="O149" s="60" t="str">
        <f>IF($B149="","",INDEX(tblStock[UltimoMov],'91_KPIS'!$Q149))</f>
        <v/>
      </c>
    </row>
    <row r="150" spans="2:15" x14ac:dyDescent="0.25">
      <c r="B150" s="62" t="str">
        <f>IF('91_KPIS'!$Q150="","",'91_KPIS'!$O150)</f>
        <v/>
      </c>
      <c r="C150" s="58" t="str">
        <f>IF($B150="","",INDEX(tblStock[Estado],'91_KPIS'!$Q150))</f>
        <v/>
      </c>
      <c r="D150" s="53" t="str">
        <f>IF($B150="","",INDEX(tblStock[SKU],'91_KPIS'!$Q150))</f>
        <v/>
      </c>
      <c r="E150" s="54" t="str">
        <f>IF($B150="","",INDEX(tblStock[Producto],'91_KPIS'!$Q150))</f>
        <v/>
      </c>
      <c r="F150" s="54" t="str">
        <f>IF($B150="","",INDEX(tblStock[Categoría],'91_KPIS'!$Q150))</f>
        <v/>
      </c>
      <c r="G150" s="54" t="str">
        <f>IF($B150="","",INDEX(tblStock[Proveedor],'91_KPIS'!$Q150)&amp;"")</f>
        <v/>
      </c>
      <c r="H150" s="56" t="str">
        <f>IF($B150="","",INDEX(tblStock[StockActual],'91_KPIS'!$Q150))</f>
        <v/>
      </c>
      <c r="I150" s="55" t="str">
        <f>IF($B150="","",INDEX(tblStock[StockMin],'91_KPIS'!$Q150))</f>
        <v/>
      </c>
      <c r="J150" s="55" t="str">
        <f>IF($B150="","",INDEX(tblStock[StockMax],'91_KPIS'!$Q150))</f>
        <v/>
      </c>
      <c r="K150" s="53" t="str">
        <f>IF($B150="","",INDEX(tblStock[Unidad],'91_KPIS'!$Q150))</f>
        <v/>
      </c>
      <c r="L150" s="55" t="str">
        <f t="shared" si="4"/>
        <v/>
      </c>
      <c r="M150" s="55" t="str">
        <f t="shared" si="5"/>
        <v/>
      </c>
      <c r="N150" s="54" t="str">
        <f>IF($B150="","",IFERROR(INDEX(tblEstados[Acción],MATCH($C150,tblEstados[Estado],0)),""))</f>
        <v/>
      </c>
      <c r="O150" s="60" t="str">
        <f>IF($B150="","",INDEX(tblStock[UltimoMov],'91_KPIS'!$Q150))</f>
        <v/>
      </c>
    </row>
    <row r="151" spans="2:15" x14ac:dyDescent="0.25">
      <c r="B151" s="62" t="str">
        <f>IF('91_KPIS'!$Q151="","",'91_KPIS'!$O151)</f>
        <v/>
      </c>
      <c r="C151" s="58" t="str">
        <f>IF($B151="","",INDEX(tblStock[Estado],'91_KPIS'!$Q151))</f>
        <v/>
      </c>
      <c r="D151" s="53" t="str">
        <f>IF($B151="","",INDEX(tblStock[SKU],'91_KPIS'!$Q151))</f>
        <v/>
      </c>
      <c r="E151" s="54" t="str">
        <f>IF($B151="","",INDEX(tblStock[Producto],'91_KPIS'!$Q151))</f>
        <v/>
      </c>
      <c r="F151" s="54" t="str">
        <f>IF($B151="","",INDEX(tblStock[Categoría],'91_KPIS'!$Q151))</f>
        <v/>
      </c>
      <c r="G151" s="54" t="str">
        <f>IF($B151="","",INDEX(tblStock[Proveedor],'91_KPIS'!$Q151)&amp;"")</f>
        <v/>
      </c>
      <c r="H151" s="56" t="str">
        <f>IF($B151="","",INDEX(tblStock[StockActual],'91_KPIS'!$Q151))</f>
        <v/>
      </c>
      <c r="I151" s="55" t="str">
        <f>IF($B151="","",INDEX(tblStock[StockMin],'91_KPIS'!$Q151))</f>
        <v/>
      </c>
      <c r="J151" s="55" t="str">
        <f>IF($B151="","",INDEX(tblStock[StockMax],'91_KPIS'!$Q151))</f>
        <v/>
      </c>
      <c r="K151" s="53" t="str">
        <f>IF($B151="","",INDEX(tblStock[Unidad],'91_KPIS'!$Q151))</f>
        <v/>
      </c>
      <c r="L151" s="55" t="str">
        <f t="shared" si="4"/>
        <v/>
      </c>
      <c r="M151" s="55" t="str">
        <f t="shared" si="5"/>
        <v/>
      </c>
      <c r="N151" s="54" t="str">
        <f>IF($B151="","",IFERROR(INDEX(tblEstados[Acción],MATCH($C151,tblEstados[Estado],0)),""))</f>
        <v/>
      </c>
      <c r="O151" s="60" t="str">
        <f>IF($B151="","",INDEX(tblStock[UltimoMov],'91_KPIS'!$Q151))</f>
        <v/>
      </c>
    </row>
    <row r="152" spans="2:15" x14ac:dyDescent="0.25">
      <c r="B152" s="62" t="str">
        <f>IF('91_KPIS'!$Q152="","",'91_KPIS'!$O152)</f>
        <v/>
      </c>
      <c r="C152" s="58" t="str">
        <f>IF($B152="","",INDEX(tblStock[Estado],'91_KPIS'!$Q152))</f>
        <v/>
      </c>
      <c r="D152" s="53" t="str">
        <f>IF($B152="","",INDEX(tblStock[SKU],'91_KPIS'!$Q152))</f>
        <v/>
      </c>
      <c r="E152" s="54" t="str">
        <f>IF($B152="","",INDEX(tblStock[Producto],'91_KPIS'!$Q152))</f>
        <v/>
      </c>
      <c r="F152" s="54" t="str">
        <f>IF($B152="","",INDEX(tblStock[Categoría],'91_KPIS'!$Q152))</f>
        <v/>
      </c>
      <c r="G152" s="54" t="str">
        <f>IF($B152="","",INDEX(tblStock[Proveedor],'91_KPIS'!$Q152)&amp;"")</f>
        <v/>
      </c>
      <c r="H152" s="56" t="str">
        <f>IF($B152="","",INDEX(tblStock[StockActual],'91_KPIS'!$Q152))</f>
        <v/>
      </c>
      <c r="I152" s="55" t="str">
        <f>IF($B152="","",INDEX(tblStock[StockMin],'91_KPIS'!$Q152))</f>
        <v/>
      </c>
      <c r="J152" s="55" t="str">
        <f>IF($B152="","",INDEX(tblStock[StockMax],'91_KPIS'!$Q152))</f>
        <v/>
      </c>
      <c r="K152" s="53" t="str">
        <f>IF($B152="","",INDEX(tblStock[Unidad],'91_KPIS'!$Q152))</f>
        <v/>
      </c>
      <c r="L152" s="55" t="str">
        <f t="shared" si="4"/>
        <v/>
      </c>
      <c r="M152" s="55" t="str">
        <f t="shared" si="5"/>
        <v/>
      </c>
      <c r="N152" s="54" t="str">
        <f>IF($B152="","",IFERROR(INDEX(tblEstados[Acción],MATCH($C152,tblEstados[Estado],0)),""))</f>
        <v/>
      </c>
      <c r="O152" s="60" t="str">
        <f>IF($B152="","",INDEX(tblStock[UltimoMov],'91_KPIS'!$Q152))</f>
        <v/>
      </c>
    </row>
    <row r="153" spans="2:15" x14ac:dyDescent="0.25">
      <c r="B153" s="62" t="str">
        <f>IF('91_KPIS'!$Q153="","",'91_KPIS'!$O153)</f>
        <v/>
      </c>
      <c r="C153" s="58" t="str">
        <f>IF($B153="","",INDEX(tblStock[Estado],'91_KPIS'!$Q153))</f>
        <v/>
      </c>
      <c r="D153" s="53" t="str">
        <f>IF($B153="","",INDEX(tblStock[SKU],'91_KPIS'!$Q153))</f>
        <v/>
      </c>
      <c r="E153" s="54" t="str">
        <f>IF($B153="","",INDEX(tblStock[Producto],'91_KPIS'!$Q153))</f>
        <v/>
      </c>
      <c r="F153" s="54" t="str">
        <f>IF($B153="","",INDEX(tblStock[Categoría],'91_KPIS'!$Q153))</f>
        <v/>
      </c>
      <c r="G153" s="54" t="str">
        <f>IF($B153="","",INDEX(tblStock[Proveedor],'91_KPIS'!$Q153)&amp;"")</f>
        <v/>
      </c>
      <c r="H153" s="56" t="str">
        <f>IF($B153="","",INDEX(tblStock[StockActual],'91_KPIS'!$Q153))</f>
        <v/>
      </c>
      <c r="I153" s="55" t="str">
        <f>IF($B153="","",INDEX(tblStock[StockMin],'91_KPIS'!$Q153))</f>
        <v/>
      </c>
      <c r="J153" s="55" t="str">
        <f>IF($B153="","",INDEX(tblStock[StockMax],'91_KPIS'!$Q153))</f>
        <v/>
      </c>
      <c r="K153" s="53" t="str">
        <f>IF($B153="","",INDEX(tblStock[Unidad],'91_KPIS'!$Q153))</f>
        <v/>
      </c>
      <c r="L153" s="55" t="str">
        <f t="shared" si="4"/>
        <v/>
      </c>
      <c r="M153" s="55" t="str">
        <f t="shared" si="5"/>
        <v/>
      </c>
      <c r="N153" s="54" t="str">
        <f>IF($B153="","",IFERROR(INDEX(tblEstados[Acción],MATCH($C153,tblEstados[Estado],0)),""))</f>
        <v/>
      </c>
      <c r="O153" s="60" t="str">
        <f>IF($B153="","",INDEX(tblStock[UltimoMov],'91_KPIS'!$Q153))</f>
        <v/>
      </c>
    </row>
    <row r="154" spans="2:15" x14ac:dyDescent="0.25">
      <c r="B154" s="62" t="str">
        <f>IF('91_KPIS'!$Q154="","",'91_KPIS'!$O154)</f>
        <v/>
      </c>
      <c r="C154" s="58" t="str">
        <f>IF($B154="","",INDEX(tblStock[Estado],'91_KPIS'!$Q154))</f>
        <v/>
      </c>
      <c r="D154" s="53" t="str">
        <f>IF($B154="","",INDEX(tblStock[SKU],'91_KPIS'!$Q154))</f>
        <v/>
      </c>
      <c r="E154" s="54" t="str">
        <f>IF($B154="","",INDEX(tblStock[Producto],'91_KPIS'!$Q154))</f>
        <v/>
      </c>
      <c r="F154" s="54" t="str">
        <f>IF($B154="","",INDEX(tblStock[Categoría],'91_KPIS'!$Q154))</f>
        <v/>
      </c>
      <c r="G154" s="54" t="str">
        <f>IF($B154="","",INDEX(tblStock[Proveedor],'91_KPIS'!$Q154)&amp;"")</f>
        <v/>
      </c>
      <c r="H154" s="56" t="str">
        <f>IF($B154="","",INDEX(tblStock[StockActual],'91_KPIS'!$Q154))</f>
        <v/>
      </c>
      <c r="I154" s="55" t="str">
        <f>IF($B154="","",INDEX(tblStock[StockMin],'91_KPIS'!$Q154))</f>
        <v/>
      </c>
      <c r="J154" s="55" t="str">
        <f>IF($B154="","",INDEX(tblStock[StockMax],'91_KPIS'!$Q154))</f>
        <v/>
      </c>
      <c r="K154" s="53" t="str">
        <f>IF($B154="","",INDEX(tblStock[Unidad],'91_KPIS'!$Q154))</f>
        <v/>
      </c>
      <c r="L154" s="55" t="str">
        <f t="shared" si="4"/>
        <v/>
      </c>
      <c r="M154" s="55" t="str">
        <f t="shared" si="5"/>
        <v/>
      </c>
      <c r="N154" s="54" t="str">
        <f>IF($B154="","",IFERROR(INDEX(tblEstados[Acción],MATCH($C154,tblEstados[Estado],0)),""))</f>
        <v/>
      </c>
      <c r="O154" s="60" t="str">
        <f>IF($B154="","",INDEX(tblStock[UltimoMov],'91_KPIS'!$Q154))</f>
        <v/>
      </c>
    </row>
    <row r="155" spans="2:15" x14ac:dyDescent="0.25">
      <c r="B155" s="62" t="str">
        <f>IF('91_KPIS'!$Q155="","",'91_KPIS'!$O155)</f>
        <v/>
      </c>
      <c r="C155" s="58" t="str">
        <f>IF($B155="","",INDEX(tblStock[Estado],'91_KPIS'!$Q155))</f>
        <v/>
      </c>
      <c r="D155" s="53" t="str">
        <f>IF($B155="","",INDEX(tblStock[SKU],'91_KPIS'!$Q155))</f>
        <v/>
      </c>
      <c r="E155" s="54" t="str">
        <f>IF($B155="","",INDEX(tblStock[Producto],'91_KPIS'!$Q155))</f>
        <v/>
      </c>
      <c r="F155" s="54" t="str">
        <f>IF($B155="","",INDEX(tblStock[Categoría],'91_KPIS'!$Q155))</f>
        <v/>
      </c>
      <c r="G155" s="54" t="str">
        <f>IF($B155="","",INDEX(tblStock[Proveedor],'91_KPIS'!$Q155)&amp;"")</f>
        <v/>
      </c>
      <c r="H155" s="56" t="str">
        <f>IF($B155="","",INDEX(tblStock[StockActual],'91_KPIS'!$Q155))</f>
        <v/>
      </c>
      <c r="I155" s="55" t="str">
        <f>IF($B155="","",INDEX(tblStock[StockMin],'91_KPIS'!$Q155))</f>
        <v/>
      </c>
      <c r="J155" s="55" t="str">
        <f>IF($B155="","",INDEX(tblStock[StockMax],'91_KPIS'!$Q155))</f>
        <v/>
      </c>
      <c r="K155" s="53" t="str">
        <f>IF($B155="","",INDEX(tblStock[Unidad],'91_KPIS'!$Q155))</f>
        <v/>
      </c>
      <c r="L155" s="55" t="str">
        <f t="shared" si="4"/>
        <v/>
      </c>
      <c r="M155" s="55" t="str">
        <f t="shared" si="5"/>
        <v/>
      </c>
      <c r="N155" s="54" t="str">
        <f>IF($B155="","",IFERROR(INDEX(tblEstados[Acción],MATCH($C155,tblEstados[Estado],0)),""))</f>
        <v/>
      </c>
      <c r="O155" s="60" t="str">
        <f>IF($B155="","",INDEX(tblStock[UltimoMov],'91_KPIS'!$Q155))</f>
        <v/>
      </c>
    </row>
    <row r="156" spans="2:15" x14ac:dyDescent="0.25">
      <c r="B156" s="62" t="str">
        <f>IF('91_KPIS'!$Q156="","",'91_KPIS'!$O156)</f>
        <v/>
      </c>
      <c r="C156" s="58" t="str">
        <f>IF($B156="","",INDEX(tblStock[Estado],'91_KPIS'!$Q156))</f>
        <v/>
      </c>
      <c r="D156" s="53" t="str">
        <f>IF($B156="","",INDEX(tblStock[SKU],'91_KPIS'!$Q156))</f>
        <v/>
      </c>
      <c r="E156" s="54" t="str">
        <f>IF($B156="","",INDEX(tblStock[Producto],'91_KPIS'!$Q156))</f>
        <v/>
      </c>
      <c r="F156" s="54" t="str">
        <f>IF($B156="","",INDEX(tblStock[Categoría],'91_KPIS'!$Q156))</f>
        <v/>
      </c>
      <c r="G156" s="54" t="str">
        <f>IF($B156="","",INDEX(tblStock[Proveedor],'91_KPIS'!$Q156)&amp;"")</f>
        <v/>
      </c>
      <c r="H156" s="56" t="str">
        <f>IF($B156="","",INDEX(tblStock[StockActual],'91_KPIS'!$Q156))</f>
        <v/>
      </c>
      <c r="I156" s="55" t="str">
        <f>IF($B156="","",INDEX(tblStock[StockMin],'91_KPIS'!$Q156))</f>
        <v/>
      </c>
      <c r="J156" s="55" t="str">
        <f>IF($B156="","",INDEX(tblStock[StockMax],'91_KPIS'!$Q156))</f>
        <v/>
      </c>
      <c r="K156" s="53" t="str">
        <f>IF($B156="","",INDEX(tblStock[Unidad],'91_KPIS'!$Q156))</f>
        <v/>
      </c>
      <c r="L156" s="55" t="str">
        <f t="shared" si="4"/>
        <v/>
      </c>
      <c r="M156" s="55" t="str">
        <f t="shared" si="5"/>
        <v/>
      </c>
      <c r="N156" s="54" t="str">
        <f>IF($B156="","",IFERROR(INDEX(tblEstados[Acción],MATCH($C156,tblEstados[Estado],0)),""))</f>
        <v/>
      </c>
      <c r="O156" s="60" t="str">
        <f>IF($B156="","",INDEX(tblStock[UltimoMov],'91_KPIS'!$Q156))</f>
        <v/>
      </c>
    </row>
    <row r="157" spans="2:15" x14ac:dyDescent="0.25">
      <c r="B157" s="62" t="str">
        <f>IF('91_KPIS'!$Q157="","",'91_KPIS'!$O157)</f>
        <v/>
      </c>
      <c r="C157" s="58" t="str">
        <f>IF($B157="","",INDEX(tblStock[Estado],'91_KPIS'!$Q157))</f>
        <v/>
      </c>
      <c r="D157" s="53" t="str">
        <f>IF($B157="","",INDEX(tblStock[SKU],'91_KPIS'!$Q157))</f>
        <v/>
      </c>
      <c r="E157" s="54" t="str">
        <f>IF($B157="","",INDEX(tblStock[Producto],'91_KPIS'!$Q157))</f>
        <v/>
      </c>
      <c r="F157" s="54" t="str">
        <f>IF($B157="","",INDEX(tblStock[Categoría],'91_KPIS'!$Q157))</f>
        <v/>
      </c>
      <c r="G157" s="54" t="str">
        <f>IF($B157="","",INDEX(tblStock[Proveedor],'91_KPIS'!$Q157)&amp;"")</f>
        <v/>
      </c>
      <c r="H157" s="56" t="str">
        <f>IF($B157="","",INDEX(tblStock[StockActual],'91_KPIS'!$Q157))</f>
        <v/>
      </c>
      <c r="I157" s="55" t="str">
        <f>IF($B157="","",INDEX(tblStock[StockMin],'91_KPIS'!$Q157))</f>
        <v/>
      </c>
      <c r="J157" s="55" t="str">
        <f>IF($B157="","",INDEX(tblStock[StockMax],'91_KPIS'!$Q157))</f>
        <v/>
      </c>
      <c r="K157" s="53" t="str">
        <f>IF($B157="","",INDEX(tblStock[Unidad],'91_KPIS'!$Q157))</f>
        <v/>
      </c>
      <c r="L157" s="55" t="str">
        <f t="shared" si="4"/>
        <v/>
      </c>
      <c r="M157" s="55" t="str">
        <f t="shared" si="5"/>
        <v/>
      </c>
      <c r="N157" s="54" t="str">
        <f>IF($B157="","",IFERROR(INDEX(tblEstados[Acción],MATCH($C157,tblEstados[Estado],0)),""))</f>
        <v/>
      </c>
      <c r="O157" s="60" t="str">
        <f>IF($B157="","",INDEX(tblStock[UltimoMov],'91_KPIS'!$Q157))</f>
        <v/>
      </c>
    </row>
    <row r="158" spans="2:15" x14ac:dyDescent="0.25">
      <c r="B158" s="62" t="str">
        <f>IF('91_KPIS'!$Q158="","",'91_KPIS'!$O158)</f>
        <v/>
      </c>
      <c r="C158" s="58" t="str">
        <f>IF($B158="","",INDEX(tblStock[Estado],'91_KPIS'!$Q158))</f>
        <v/>
      </c>
      <c r="D158" s="53" t="str">
        <f>IF($B158="","",INDEX(tblStock[SKU],'91_KPIS'!$Q158))</f>
        <v/>
      </c>
      <c r="E158" s="54" t="str">
        <f>IF($B158="","",INDEX(tblStock[Producto],'91_KPIS'!$Q158))</f>
        <v/>
      </c>
      <c r="F158" s="54" t="str">
        <f>IF($B158="","",INDEX(tblStock[Categoría],'91_KPIS'!$Q158))</f>
        <v/>
      </c>
      <c r="G158" s="54" t="str">
        <f>IF($B158="","",INDEX(tblStock[Proveedor],'91_KPIS'!$Q158)&amp;"")</f>
        <v/>
      </c>
      <c r="H158" s="56" t="str">
        <f>IF($B158="","",INDEX(tblStock[StockActual],'91_KPIS'!$Q158))</f>
        <v/>
      </c>
      <c r="I158" s="55" t="str">
        <f>IF($B158="","",INDEX(tblStock[StockMin],'91_KPIS'!$Q158))</f>
        <v/>
      </c>
      <c r="J158" s="55" t="str">
        <f>IF($B158="","",INDEX(tblStock[StockMax],'91_KPIS'!$Q158))</f>
        <v/>
      </c>
      <c r="K158" s="53" t="str">
        <f>IF($B158="","",INDEX(tblStock[Unidad],'91_KPIS'!$Q158))</f>
        <v/>
      </c>
      <c r="L158" s="55" t="str">
        <f t="shared" si="4"/>
        <v/>
      </c>
      <c r="M158" s="55" t="str">
        <f t="shared" si="5"/>
        <v/>
      </c>
      <c r="N158" s="54" t="str">
        <f>IF($B158="","",IFERROR(INDEX(tblEstados[Acción],MATCH($C158,tblEstados[Estado],0)),""))</f>
        <v/>
      </c>
      <c r="O158" s="60" t="str">
        <f>IF($B158="","",INDEX(tblStock[UltimoMov],'91_KPIS'!$Q158))</f>
        <v/>
      </c>
    </row>
    <row r="159" spans="2:15" x14ac:dyDescent="0.25">
      <c r="B159" s="62" t="str">
        <f>IF('91_KPIS'!$Q159="","",'91_KPIS'!$O159)</f>
        <v/>
      </c>
      <c r="C159" s="58" t="str">
        <f>IF($B159="","",INDEX(tblStock[Estado],'91_KPIS'!$Q159))</f>
        <v/>
      </c>
      <c r="D159" s="53" t="str">
        <f>IF($B159="","",INDEX(tblStock[SKU],'91_KPIS'!$Q159))</f>
        <v/>
      </c>
      <c r="E159" s="54" t="str">
        <f>IF($B159="","",INDEX(tblStock[Producto],'91_KPIS'!$Q159))</f>
        <v/>
      </c>
      <c r="F159" s="54" t="str">
        <f>IF($B159="","",INDEX(tblStock[Categoría],'91_KPIS'!$Q159))</f>
        <v/>
      </c>
      <c r="G159" s="54" t="str">
        <f>IF($B159="","",INDEX(tblStock[Proveedor],'91_KPIS'!$Q159)&amp;"")</f>
        <v/>
      </c>
      <c r="H159" s="56" t="str">
        <f>IF($B159="","",INDEX(tblStock[StockActual],'91_KPIS'!$Q159))</f>
        <v/>
      </c>
      <c r="I159" s="55" t="str">
        <f>IF($B159="","",INDEX(tblStock[StockMin],'91_KPIS'!$Q159))</f>
        <v/>
      </c>
      <c r="J159" s="55" t="str">
        <f>IF($B159="","",INDEX(tblStock[StockMax],'91_KPIS'!$Q159))</f>
        <v/>
      </c>
      <c r="K159" s="53" t="str">
        <f>IF($B159="","",INDEX(tblStock[Unidad],'91_KPIS'!$Q159))</f>
        <v/>
      </c>
      <c r="L159" s="55" t="str">
        <f t="shared" si="4"/>
        <v/>
      </c>
      <c r="M159" s="55" t="str">
        <f t="shared" si="5"/>
        <v/>
      </c>
      <c r="N159" s="54" t="str">
        <f>IF($B159="","",IFERROR(INDEX(tblEstados[Acción],MATCH($C159,tblEstados[Estado],0)),""))</f>
        <v/>
      </c>
      <c r="O159" s="60" t="str">
        <f>IF($B159="","",INDEX(tblStock[UltimoMov],'91_KPIS'!$Q159))</f>
        <v/>
      </c>
    </row>
    <row r="160" spans="2:15" x14ac:dyDescent="0.25">
      <c r="B160" s="62" t="str">
        <f>IF('91_KPIS'!$Q160="","",'91_KPIS'!$O160)</f>
        <v/>
      </c>
      <c r="C160" s="58" t="str">
        <f>IF($B160="","",INDEX(tblStock[Estado],'91_KPIS'!$Q160))</f>
        <v/>
      </c>
      <c r="D160" s="53" t="str">
        <f>IF($B160="","",INDEX(tblStock[SKU],'91_KPIS'!$Q160))</f>
        <v/>
      </c>
      <c r="E160" s="54" t="str">
        <f>IF($B160="","",INDEX(tblStock[Producto],'91_KPIS'!$Q160))</f>
        <v/>
      </c>
      <c r="F160" s="54" t="str">
        <f>IF($B160="","",INDEX(tblStock[Categoría],'91_KPIS'!$Q160))</f>
        <v/>
      </c>
      <c r="G160" s="54" t="str">
        <f>IF($B160="","",INDEX(tblStock[Proveedor],'91_KPIS'!$Q160)&amp;"")</f>
        <v/>
      </c>
      <c r="H160" s="56" t="str">
        <f>IF($B160="","",INDEX(tblStock[StockActual],'91_KPIS'!$Q160))</f>
        <v/>
      </c>
      <c r="I160" s="55" t="str">
        <f>IF($B160="","",INDEX(tblStock[StockMin],'91_KPIS'!$Q160))</f>
        <v/>
      </c>
      <c r="J160" s="55" t="str">
        <f>IF($B160="","",INDEX(tblStock[StockMax],'91_KPIS'!$Q160))</f>
        <v/>
      </c>
      <c r="K160" s="53" t="str">
        <f>IF($B160="","",INDEX(tblStock[Unidad],'91_KPIS'!$Q160))</f>
        <v/>
      </c>
      <c r="L160" s="55" t="str">
        <f t="shared" si="4"/>
        <v/>
      </c>
      <c r="M160" s="55" t="str">
        <f t="shared" si="5"/>
        <v/>
      </c>
      <c r="N160" s="54" t="str">
        <f>IF($B160="","",IFERROR(INDEX(tblEstados[Acción],MATCH($C160,tblEstados[Estado],0)),""))</f>
        <v/>
      </c>
      <c r="O160" s="60" t="str">
        <f>IF($B160="","",INDEX(tblStock[UltimoMov],'91_KPIS'!$Q160))</f>
        <v/>
      </c>
    </row>
    <row r="161" spans="2:15" x14ac:dyDescent="0.25">
      <c r="B161" s="62" t="str">
        <f>IF('91_KPIS'!$Q161="","",'91_KPIS'!$O161)</f>
        <v/>
      </c>
      <c r="C161" s="58" t="str">
        <f>IF($B161="","",INDEX(tblStock[Estado],'91_KPIS'!$Q161))</f>
        <v/>
      </c>
      <c r="D161" s="53" t="str">
        <f>IF($B161="","",INDEX(tblStock[SKU],'91_KPIS'!$Q161))</f>
        <v/>
      </c>
      <c r="E161" s="54" t="str">
        <f>IF($B161="","",INDEX(tblStock[Producto],'91_KPIS'!$Q161))</f>
        <v/>
      </c>
      <c r="F161" s="54" t="str">
        <f>IF($B161="","",INDEX(tblStock[Categoría],'91_KPIS'!$Q161))</f>
        <v/>
      </c>
      <c r="G161" s="54" t="str">
        <f>IF($B161="","",INDEX(tblStock[Proveedor],'91_KPIS'!$Q161)&amp;"")</f>
        <v/>
      </c>
      <c r="H161" s="56" t="str">
        <f>IF($B161="","",INDEX(tblStock[StockActual],'91_KPIS'!$Q161))</f>
        <v/>
      </c>
      <c r="I161" s="55" t="str">
        <f>IF($B161="","",INDEX(tblStock[StockMin],'91_KPIS'!$Q161))</f>
        <v/>
      </c>
      <c r="J161" s="55" t="str">
        <f>IF($B161="","",INDEX(tblStock[StockMax],'91_KPIS'!$Q161))</f>
        <v/>
      </c>
      <c r="K161" s="53" t="str">
        <f>IF($B161="","",INDEX(tblStock[Unidad],'91_KPIS'!$Q161))</f>
        <v/>
      </c>
      <c r="L161" s="55" t="str">
        <f t="shared" si="4"/>
        <v/>
      </c>
      <c r="M161" s="55" t="str">
        <f t="shared" si="5"/>
        <v/>
      </c>
      <c r="N161" s="54" t="str">
        <f>IF($B161="","",IFERROR(INDEX(tblEstados[Acción],MATCH($C161,tblEstados[Estado],0)),""))</f>
        <v/>
      </c>
      <c r="O161" s="60" t="str">
        <f>IF($B161="","",INDEX(tblStock[UltimoMov],'91_KPIS'!$Q161))</f>
        <v/>
      </c>
    </row>
    <row r="162" spans="2:15" x14ac:dyDescent="0.25">
      <c r="B162" s="62" t="str">
        <f>IF('91_KPIS'!$Q162="","",'91_KPIS'!$O162)</f>
        <v/>
      </c>
      <c r="C162" s="58" t="str">
        <f>IF($B162="","",INDEX(tblStock[Estado],'91_KPIS'!$Q162))</f>
        <v/>
      </c>
      <c r="D162" s="53" t="str">
        <f>IF($B162="","",INDEX(tblStock[SKU],'91_KPIS'!$Q162))</f>
        <v/>
      </c>
      <c r="E162" s="54" t="str">
        <f>IF($B162="","",INDEX(tblStock[Producto],'91_KPIS'!$Q162))</f>
        <v/>
      </c>
      <c r="F162" s="54" t="str">
        <f>IF($B162="","",INDEX(tblStock[Categoría],'91_KPIS'!$Q162))</f>
        <v/>
      </c>
      <c r="G162" s="54" t="str">
        <f>IF($B162="","",INDEX(tblStock[Proveedor],'91_KPIS'!$Q162)&amp;"")</f>
        <v/>
      </c>
      <c r="H162" s="56" t="str">
        <f>IF($B162="","",INDEX(tblStock[StockActual],'91_KPIS'!$Q162))</f>
        <v/>
      </c>
      <c r="I162" s="55" t="str">
        <f>IF($B162="","",INDEX(tblStock[StockMin],'91_KPIS'!$Q162))</f>
        <v/>
      </c>
      <c r="J162" s="55" t="str">
        <f>IF($B162="","",INDEX(tblStock[StockMax],'91_KPIS'!$Q162))</f>
        <v/>
      </c>
      <c r="K162" s="53" t="str">
        <f>IF($B162="","",INDEX(tblStock[Unidad],'91_KPIS'!$Q162))</f>
        <v/>
      </c>
      <c r="L162" s="55" t="str">
        <f t="shared" si="4"/>
        <v/>
      </c>
      <c r="M162" s="55" t="str">
        <f t="shared" si="5"/>
        <v/>
      </c>
      <c r="N162" s="54" t="str">
        <f>IF($B162="","",IFERROR(INDEX(tblEstados[Acción],MATCH($C162,tblEstados[Estado],0)),""))</f>
        <v/>
      </c>
      <c r="O162" s="60" t="str">
        <f>IF($B162="","",INDEX(tblStock[UltimoMov],'91_KPIS'!$Q162))</f>
        <v/>
      </c>
    </row>
    <row r="163" spans="2:15" x14ac:dyDescent="0.25">
      <c r="B163" s="62" t="str">
        <f>IF('91_KPIS'!$Q163="","",'91_KPIS'!$O163)</f>
        <v/>
      </c>
      <c r="C163" s="58" t="str">
        <f>IF($B163="","",INDEX(tblStock[Estado],'91_KPIS'!$Q163))</f>
        <v/>
      </c>
      <c r="D163" s="53" t="str">
        <f>IF($B163="","",INDEX(tblStock[SKU],'91_KPIS'!$Q163))</f>
        <v/>
      </c>
      <c r="E163" s="54" t="str">
        <f>IF($B163="","",INDEX(tblStock[Producto],'91_KPIS'!$Q163))</f>
        <v/>
      </c>
      <c r="F163" s="54" t="str">
        <f>IF($B163="","",INDEX(tblStock[Categoría],'91_KPIS'!$Q163))</f>
        <v/>
      </c>
      <c r="G163" s="54" t="str">
        <f>IF($B163="","",INDEX(tblStock[Proveedor],'91_KPIS'!$Q163)&amp;"")</f>
        <v/>
      </c>
      <c r="H163" s="56" t="str">
        <f>IF($B163="","",INDEX(tblStock[StockActual],'91_KPIS'!$Q163))</f>
        <v/>
      </c>
      <c r="I163" s="55" t="str">
        <f>IF($B163="","",INDEX(tblStock[StockMin],'91_KPIS'!$Q163))</f>
        <v/>
      </c>
      <c r="J163" s="55" t="str">
        <f>IF($B163="","",INDEX(tblStock[StockMax],'91_KPIS'!$Q163))</f>
        <v/>
      </c>
      <c r="K163" s="53" t="str">
        <f>IF($B163="","",INDEX(tblStock[Unidad],'91_KPIS'!$Q163))</f>
        <v/>
      </c>
      <c r="L163" s="55" t="str">
        <f t="shared" si="4"/>
        <v/>
      </c>
      <c r="M163" s="55" t="str">
        <f t="shared" si="5"/>
        <v/>
      </c>
      <c r="N163" s="54" t="str">
        <f>IF($B163="","",IFERROR(INDEX(tblEstados[Acción],MATCH($C163,tblEstados[Estado],0)),""))</f>
        <v/>
      </c>
      <c r="O163" s="60" t="str">
        <f>IF($B163="","",INDEX(tblStock[UltimoMov],'91_KPIS'!$Q163))</f>
        <v/>
      </c>
    </row>
    <row r="164" spans="2:15" x14ac:dyDescent="0.25">
      <c r="B164" s="62" t="str">
        <f>IF('91_KPIS'!$Q164="","",'91_KPIS'!$O164)</f>
        <v/>
      </c>
      <c r="C164" s="58" t="str">
        <f>IF($B164="","",INDEX(tblStock[Estado],'91_KPIS'!$Q164))</f>
        <v/>
      </c>
      <c r="D164" s="53" t="str">
        <f>IF($B164="","",INDEX(tblStock[SKU],'91_KPIS'!$Q164))</f>
        <v/>
      </c>
      <c r="E164" s="54" t="str">
        <f>IF($B164="","",INDEX(tblStock[Producto],'91_KPIS'!$Q164))</f>
        <v/>
      </c>
      <c r="F164" s="54" t="str">
        <f>IF($B164="","",INDEX(tblStock[Categoría],'91_KPIS'!$Q164))</f>
        <v/>
      </c>
      <c r="G164" s="54" t="str">
        <f>IF($B164="","",INDEX(tblStock[Proveedor],'91_KPIS'!$Q164)&amp;"")</f>
        <v/>
      </c>
      <c r="H164" s="56" t="str">
        <f>IF($B164="","",INDEX(tblStock[StockActual],'91_KPIS'!$Q164))</f>
        <v/>
      </c>
      <c r="I164" s="55" t="str">
        <f>IF($B164="","",INDEX(tblStock[StockMin],'91_KPIS'!$Q164))</f>
        <v/>
      </c>
      <c r="J164" s="55" t="str">
        <f>IF($B164="","",INDEX(tblStock[StockMax],'91_KPIS'!$Q164))</f>
        <v/>
      </c>
      <c r="K164" s="53" t="str">
        <f>IF($B164="","",INDEX(tblStock[Unidad],'91_KPIS'!$Q164))</f>
        <v/>
      </c>
      <c r="L164" s="55" t="str">
        <f t="shared" si="4"/>
        <v/>
      </c>
      <c r="M164" s="55" t="str">
        <f t="shared" si="5"/>
        <v/>
      </c>
      <c r="N164" s="54" t="str">
        <f>IF($B164="","",IFERROR(INDEX(tblEstados[Acción],MATCH($C164,tblEstados[Estado],0)),""))</f>
        <v/>
      </c>
      <c r="O164" s="60" t="str">
        <f>IF($B164="","",INDEX(tblStock[UltimoMov],'91_KPIS'!$Q164))</f>
        <v/>
      </c>
    </row>
    <row r="165" spans="2:15" x14ac:dyDescent="0.25">
      <c r="B165" s="62" t="str">
        <f>IF('91_KPIS'!$Q165="","",'91_KPIS'!$O165)</f>
        <v/>
      </c>
      <c r="C165" s="58" t="str">
        <f>IF($B165="","",INDEX(tblStock[Estado],'91_KPIS'!$Q165))</f>
        <v/>
      </c>
      <c r="D165" s="53" t="str">
        <f>IF($B165="","",INDEX(tblStock[SKU],'91_KPIS'!$Q165))</f>
        <v/>
      </c>
      <c r="E165" s="54" t="str">
        <f>IF($B165="","",INDEX(tblStock[Producto],'91_KPIS'!$Q165))</f>
        <v/>
      </c>
      <c r="F165" s="54" t="str">
        <f>IF($B165="","",INDEX(tblStock[Categoría],'91_KPIS'!$Q165))</f>
        <v/>
      </c>
      <c r="G165" s="54" t="str">
        <f>IF($B165="","",INDEX(tblStock[Proveedor],'91_KPIS'!$Q165)&amp;"")</f>
        <v/>
      </c>
      <c r="H165" s="56" t="str">
        <f>IF($B165="","",INDEX(tblStock[StockActual],'91_KPIS'!$Q165))</f>
        <v/>
      </c>
      <c r="I165" s="55" t="str">
        <f>IF($B165="","",INDEX(tblStock[StockMin],'91_KPIS'!$Q165))</f>
        <v/>
      </c>
      <c r="J165" s="55" t="str">
        <f>IF($B165="","",INDEX(tblStock[StockMax],'91_KPIS'!$Q165))</f>
        <v/>
      </c>
      <c r="K165" s="53" t="str">
        <f>IF($B165="","",INDEX(tblStock[Unidad],'91_KPIS'!$Q165))</f>
        <v/>
      </c>
      <c r="L165" s="55" t="str">
        <f t="shared" si="4"/>
        <v/>
      </c>
      <c r="M165" s="55" t="str">
        <f t="shared" si="5"/>
        <v/>
      </c>
      <c r="N165" s="54" t="str">
        <f>IF($B165="","",IFERROR(INDEX(tblEstados[Acción],MATCH($C165,tblEstados[Estado],0)),""))</f>
        <v/>
      </c>
      <c r="O165" s="60" t="str">
        <f>IF($B165="","",INDEX(tblStock[UltimoMov],'91_KPIS'!$Q165))</f>
        <v/>
      </c>
    </row>
    <row r="166" spans="2:15" x14ac:dyDescent="0.25">
      <c r="B166" s="62" t="str">
        <f>IF('91_KPIS'!$Q166="","",'91_KPIS'!$O166)</f>
        <v/>
      </c>
      <c r="C166" s="58" t="str">
        <f>IF($B166="","",INDEX(tblStock[Estado],'91_KPIS'!$Q166))</f>
        <v/>
      </c>
      <c r="D166" s="53" t="str">
        <f>IF($B166="","",INDEX(tblStock[SKU],'91_KPIS'!$Q166))</f>
        <v/>
      </c>
      <c r="E166" s="54" t="str">
        <f>IF($B166="","",INDEX(tblStock[Producto],'91_KPIS'!$Q166))</f>
        <v/>
      </c>
      <c r="F166" s="54" t="str">
        <f>IF($B166="","",INDEX(tblStock[Categoría],'91_KPIS'!$Q166))</f>
        <v/>
      </c>
      <c r="G166" s="54" t="str">
        <f>IF($B166="","",INDEX(tblStock[Proveedor],'91_KPIS'!$Q166)&amp;"")</f>
        <v/>
      </c>
      <c r="H166" s="56" t="str">
        <f>IF($B166="","",INDEX(tblStock[StockActual],'91_KPIS'!$Q166))</f>
        <v/>
      </c>
      <c r="I166" s="55" t="str">
        <f>IF($B166="","",INDEX(tblStock[StockMin],'91_KPIS'!$Q166))</f>
        <v/>
      </c>
      <c r="J166" s="55" t="str">
        <f>IF($B166="","",INDEX(tblStock[StockMax],'91_KPIS'!$Q166))</f>
        <v/>
      </c>
      <c r="K166" s="53" t="str">
        <f>IF($B166="","",INDEX(tblStock[Unidad],'91_KPIS'!$Q166))</f>
        <v/>
      </c>
      <c r="L166" s="55" t="str">
        <f t="shared" si="4"/>
        <v/>
      </c>
      <c r="M166" s="55" t="str">
        <f t="shared" si="5"/>
        <v/>
      </c>
      <c r="N166" s="54" t="str">
        <f>IF($B166="","",IFERROR(INDEX(tblEstados[Acción],MATCH($C166,tblEstados[Estado],0)),""))</f>
        <v/>
      </c>
      <c r="O166" s="60" t="str">
        <f>IF($B166="","",INDEX(tblStock[UltimoMov],'91_KPIS'!$Q166))</f>
        <v/>
      </c>
    </row>
    <row r="167" spans="2:15" x14ac:dyDescent="0.25">
      <c r="B167" s="62" t="str">
        <f>IF('91_KPIS'!$Q167="","",'91_KPIS'!$O167)</f>
        <v/>
      </c>
      <c r="C167" s="58" t="str">
        <f>IF($B167="","",INDEX(tblStock[Estado],'91_KPIS'!$Q167))</f>
        <v/>
      </c>
      <c r="D167" s="53" t="str">
        <f>IF($B167="","",INDEX(tblStock[SKU],'91_KPIS'!$Q167))</f>
        <v/>
      </c>
      <c r="E167" s="54" t="str">
        <f>IF($B167="","",INDEX(tblStock[Producto],'91_KPIS'!$Q167))</f>
        <v/>
      </c>
      <c r="F167" s="54" t="str">
        <f>IF($B167="","",INDEX(tblStock[Categoría],'91_KPIS'!$Q167))</f>
        <v/>
      </c>
      <c r="G167" s="54" t="str">
        <f>IF($B167="","",INDEX(tblStock[Proveedor],'91_KPIS'!$Q167)&amp;"")</f>
        <v/>
      </c>
      <c r="H167" s="56" t="str">
        <f>IF($B167="","",INDEX(tblStock[StockActual],'91_KPIS'!$Q167))</f>
        <v/>
      </c>
      <c r="I167" s="55" t="str">
        <f>IF($B167="","",INDEX(tblStock[StockMin],'91_KPIS'!$Q167))</f>
        <v/>
      </c>
      <c r="J167" s="55" t="str">
        <f>IF($B167="","",INDEX(tblStock[StockMax],'91_KPIS'!$Q167))</f>
        <v/>
      </c>
      <c r="K167" s="53" t="str">
        <f>IF($B167="","",INDEX(tblStock[Unidad],'91_KPIS'!$Q167))</f>
        <v/>
      </c>
      <c r="L167" s="55" t="str">
        <f t="shared" si="4"/>
        <v/>
      </c>
      <c r="M167" s="55" t="str">
        <f t="shared" si="5"/>
        <v/>
      </c>
      <c r="N167" s="54" t="str">
        <f>IF($B167="","",IFERROR(INDEX(tblEstados[Acción],MATCH($C167,tblEstados[Estado],0)),""))</f>
        <v/>
      </c>
      <c r="O167" s="60" t="str">
        <f>IF($B167="","",INDEX(tblStock[UltimoMov],'91_KPIS'!$Q167))</f>
        <v/>
      </c>
    </row>
    <row r="168" spans="2:15" x14ac:dyDescent="0.25">
      <c r="B168" s="62" t="str">
        <f>IF('91_KPIS'!$Q168="","",'91_KPIS'!$O168)</f>
        <v/>
      </c>
      <c r="C168" s="58" t="str">
        <f>IF($B168="","",INDEX(tblStock[Estado],'91_KPIS'!$Q168))</f>
        <v/>
      </c>
      <c r="D168" s="53" t="str">
        <f>IF($B168="","",INDEX(tblStock[SKU],'91_KPIS'!$Q168))</f>
        <v/>
      </c>
      <c r="E168" s="54" t="str">
        <f>IF($B168="","",INDEX(tblStock[Producto],'91_KPIS'!$Q168))</f>
        <v/>
      </c>
      <c r="F168" s="54" t="str">
        <f>IF($B168="","",INDEX(tblStock[Categoría],'91_KPIS'!$Q168))</f>
        <v/>
      </c>
      <c r="G168" s="54" t="str">
        <f>IF($B168="","",INDEX(tblStock[Proveedor],'91_KPIS'!$Q168)&amp;"")</f>
        <v/>
      </c>
      <c r="H168" s="56" t="str">
        <f>IF($B168="","",INDEX(tblStock[StockActual],'91_KPIS'!$Q168))</f>
        <v/>
      </c>
      <c r="I168" s="55" t="str">
        <f>IF($B168="","",INDEX(tblStock[StockMin],'91_KPIS'!$Q168))</f>
        <v/>
      </c>
      <c r="J168" s="55" t="str">
        <f>IF($B168="","",INDEX(tblStock[StockMax],'91_KPIS'!$Q168))</f>
        <v/>
      </c>
      <c r="K168" s="53" t="str">
        <f>IF($B168="","",INDEX(tblStock[Unidad],'91_KPIS'!$Q168))</f>
        <v/>
      </c>
      <c r="L168" s="55" t="str">
        <f t="shared" si="4"/>
        <v/>
      </c>
      <c r="M168" s="55" t="str">
        <f t="shared" si="5"/>
        <v/>
      </c>
      <c r="N168" s="54" t="str">
        <f>IF($B168="","",IFERROR(INDEX(tblEstados[Acción],MATCH($C168,tblEstados[Estado],0)),""))</f>
        <v/>
      </c>
      <c r="O168" s="60" t="str">
        <f>IF($B168="","",INDEX(tblStock[UltimoMov],'91_KPIS'!$Q168))</f>
        <v/>
      </c>
    </row>
    <row r="169" spans="2:15" x14ac:dyDescent="0.25">
      <c r="B169" s="62" t="str">
        <f>IF('91_KPIS'!$Q169="","",'91_KPIS'!$O169)</f>
        <v/>
      </c>
      <c r="C169" s="58" t="str">
        <f>IF($B169="","",INDEX(tblStock[Estado],'91_KPIS'!$Q169))</f>
        <v/>
      </c>
      <c r="D169" s="53" t="str">
        <f>IF($B169="","",INDEX(tblStock[SKU],'91_KPIS'!$Q169))</f>
        <v/>
      </c>
      <c r="E169" s="54" t="str">
        <f>IF($B169="","",INDEX(tblStock[Producto],'91_KPIS'!$Q169))</f>
        <v/>
      </c>
      <c r="F169" s="54" t="str">
        <f>IF($B169="","",INDEX(tblStock[Categoría],'91_KPIS'!$Q169))</f>
        <v/>
      </c>
      <c r="G169" s="54" t="str">
        <f>IF($B169="","",INDEX(tblStock[Proveedor],'91_KPIS'!$Q169)&amp;"")</f>
        <v/>
      </c>
      <c r="H169" s="56" t="str">
        <f>IF($B169="","",INDEX(tblStock[StockActual],'91_KPIS'!$Q169))</f>
        <v/>
      </c>
      <c r="I169" s="55" t="str">
        <f>IF($B169="","",INDEX(tblStock[StockMin],'91_KPIS'!$Q169))</f>
        <v/>
      </c>
      <c r="J169" s="55" t="str">
        <f>IF($B169="","",INDEX(tblStock[StockMax],'91_KPIS'!$Q169))</f>
        <v/>
      </c>
      <c r="K169" s="53" t="str">
        <f>IF($B169="","",INDEX(tblStock[Unidad],'91_KPIS'!$Q169))</f>
        <v/>
      </c>
      <c r="L169" s="55" t="str">
        <f t="shared" si="4"/>
        <v/>
      </c>
      <c r="M169" s="55" t="str">
        <f t="shared" si="5"/>
        <v/>
      </c>
      <c r="N169" s="54" t="str">
        <f>IF($B169="","",IFERROR(INDEX(tblEstados[Acción],MATCH($C169,tblEstados[Estado],0)),""))</f>
        <v/>
      </c>
      <c r="O169" s="60" t="str">
        <f>IF($B169="","",INDEX(tblStock[UltimoMov],'91_KPIS'!$Q169))</f>
        <v/>
      </c>
    </row>
    <row r="170" spans="2:15" x14ac:dyDescent="0.25">
      <c r="B170" s="62" t="str">
        <f>IF('91_KPIS'!$Q170="","",'91_KPIS'!$O170)</f>
        <v/>
      </c>
      <c r="C170" s="58" t="str">
        <f>IF($B170="","",INDEX(tblStock[Estado],'91_KPIS'!$Q170))</f>
        <v/>
      </c>
      <c r="D170" s="53" t="str">
        <f>IF($B170="","",INDEX(tblStock[SKU],'91_KPIS'!$Q170))</f>
        <v/>
      </c>
      <c r="E170" s="54" t="str">
        <f>IF($B170="","",INDEX(tblStock[Producto],'91_KPIS'!$Q170))</f>
        <v/>
      </c>
      <c r="F170" s="54" t="str">
        <f>IF($B170="","",INDEX(tblStock[Categoría],'91_KPIS'!$Q170))</f>
        <v/>
      </c>
      <c r="G170" s="54" t="str">
        <f>IF($B170="","",INDEX(tblStock[Proveedor],'91_KPIS'!$Q170)&amp;"")</f>
        <v/>
      </c>
      <c r="H170" s="56" t="str">
        <f>IF($B170="","",INDEX(tblStock[StockActual],'91_KPIS'!$Q170))</f>
        <v/>
      </c>
      <c r="I170" s="55" t="str">
        <f>IF($B170="","",INDEX(tblStock[StockMin],'91_KPIS'!$Q170))</f>
        <v/>
      </c>
      <c r="J170" s="55" t="str">
        <f>IF($B170="","",INDEX(tblStock[StockMax],'91_KPIS'!$Q170))</f>
        <v/>
      </c>
      <c r="K170" s="53" t="str">
        <f>IF($B170="","",INDEX(tblStock[Unidad],'91_KPIS'!$Q170))</f>
        <v/>
      </c>
      <c r="L170" s="55" t="str">
        <f t="shared" si="4"/>
        <v/>
      </c>
      <c r="M170" s="55" t="str">
        <f t="shared" si="5"/>
        <v/>
      </c>
      <c r="N170" s="54" t="str">
        <f>IF($B170="","",IFERROR(INDEX(tblEstados[Acción],MATCH($C170,tblEstados[Estado],0)),""))</f>
        <v/>
      </c>
      <c r="O170" s="60" t="str">
        <f>IF($B170="","",INDEX(tblStock[UltimoMov],'91_KPIS'!$Q170))</f>
        <v/>
      </c>
    </row>
    <row r="171" spans="2:15" x14ac:dyDescent="0.25">
      <c r="B171" s="62" t="str">
        <f>IF('91_KPIS'!$Q171="","",'91_KPIS'!$O171)</f>
        <v/>
      </c>
      <c r="C171" s="58" t="str">
        <f>IF($B171="","",INDEX(tblStock[Estado],'91_KPIS'!$Q171))</f>
        <v/>
      </c>
      <c r="D171" s="53" t="str">
        <f>IF($B171="","",INDEX(tblStock[SKU],'91_KPIS'!$Q171))</f>
        <v/>
      </c>
      <c r="E171" s="54" t="str">
        <f>IF($B171="","",INDEX(tblStock[Producto],'91_KPIS'!$Q171))</f>
        <v/>
      </c>
      <c r="F171" s="54" t="str">
        <f>IF($B171="","",INDEX(tblStock[Categoría],'91_KPIS'!$Q171))</f>
        <v/>
      </c>
      <c r="G171" s="54" t="str">
        <f>IF($B171="","",INDEX(tblStock[Proveedor],'91_KPIS'!$Q171)&amp;"")</f>
        <v/>
      </c>
      <c r="H171" s="56" t="str">
        <f>IF($B171="","",INDEX(tblStock[StockActual],'91_KPIS'!$Q171))</f>
        <v/>
      </c>
      <c r="I171" s="55" t="str">
        <f>IF($B171="","",INDEX(tblStock[StockMin],'91_KPIS'!$Q171))</f>
        <v/>
      </c>
      <c r="J171" s="55" t="str">
        <f>IF($B171="","",INDEX(tblStock[StockMax],'91_KPIS'!$Q171))</f>
        <v/>
      </c>
      <c r="K171" s="53" t="str">
        <f>IF($B171="","",INDEX(tblStock[Unidad],'91_KPIS'!$Q171))</f>
        <v/>
      </c>
      <c r="L171" s="55" t="str">
        <f t="shared" si="4"/>
        <v/>
      </c>
      <c r="M171" s="55" t="str">
        <f t="shared" si="5"/>
        <v/>
      </c>
      <c r="N171" s="54" t="str">
        <f>IF($B171="","",IFERROR(INDEX(tblEstados[Acción],MATCH($C171,tblEstados[Estado],0)),""))</f>
        <v/>
      </c>
      <c r="O171" s="60" t="str">
        <f>IF($B171="","",INDEX(tblStock[UltimoMov],'91_KPIS'!$Q171))</f>
        <v/>
      </c>
    </row>
    <row r="172" spans="2:15" x14ac:dyDescent="0.25">
      <c r="B172" s="62" t="str">
        <f>IF('91_KPIS'!$Q172="","",'91_KPIS'!$O172)</f>
        <v/>
      </c>
      <c r="C172" s="58" t="str">
        <f>IF($B172="","",INDEX(tblStock[Estado],'91_KPIS'!$Q172))</f>
        <v/>
      </c>
      <c r="D172" s="53" t="str">
        <f>IF($B172="","",INDEX(tblStock[SKU],'91_KPIS'!$Q172))</f>
        <v/>
      </c>
      <c r="E172" s="54" t="str">
        <f>IF($B172="","",INDEX(tblStock[Producto],'91_KPIS'!$Q172))</f>
        <v/>
      </c>
      <c r="F172" s="54" t="str">
        <f>IF($B172="","",INDEX(tblStock[Categoría],'91_KPIS'!$Q172))</f>
        <v/>
      </c>
      <c r="G172" s="54" t="str">
        <f>IF($B172="","",INDEX(tblStock[Proveedor],'91_KPIS'!$Q172)&amp;"")</f>
        <v/>
      </c>
      <c r="H172" s="56" t="str">
        <f>IF($B172="","",INDEX(tblStock[StockActual],'91_KPIS'!$Q172))</f>
        <v/>
      </c>
      <c r="I172" s="55" t="str">
        <f>IF($B172="","",INDEX(tblStock[StockMin],'91_KPIS'!$Q172))</f>
        <v/>
      </c>
      <c r="J172" s="55" t="str">
        <f>IF($B172="","",INDEX(tblStock[StockMax],'91_KPIS'!$Q172))</f>
        <v/>
      </c>
      <c r="K172" s="53" t="str">
        <f>IF($B172="","",INDEX(tblStock[Unidad],'91_KPIS'!$Q172))</f>
        <v/>
      </c>
      <c r="L172" s="55" t="str">
        <f t="shared" si="4"/>
        <v/>
      </c>
      <c r="M172" s="55" t="str">
        <f t="shared" si="5"/>
        <v/>
      </c>
      <c r="N172" s="54" t="str">
        <f>IF($B172="","",IFERROR(INDEX(tblEstados[Acción],MATCH($C172,tblEstados[Estado],0)),""))</f>
        <v/>
      </c>
      <c r="O172" s="60" t="str">
        <f>IF($B172="","",INDEX(tblStock[UltimoMov],'91_KPIS'!$Q172))</f>
        <v/>
      </c>
    </row>
    <row r="173" spans="2:15" x14ac:dyDescent="0.25">
      <c r="B173" s="62" t="str">
        <f>IF('91_KPIS'!$Q173="","",'91_KPIS'!$O173)</f>
        <v/>
      </c>
      <c r="C173" s="58" t="str">
        <f>IF($B173="","",INDEX(tblStock[Estado],'91_KPIS'!$Q173))</f>
        <v/>
      </c>
      <c r="D173" s="53" t="str">
        <f>IF($B173="","",INDEX(tblStock[SKU],'91_KPIS'!$Q173))</f>
        <v/>
      </c>
      <c r="E173" s="54" t="str">
        <f>IF($B173="","",INDEX(tblStock[Producto],'91_KPIS'!$Q173))</f>
        <v/>
      </c>
      <c r="F173" s="54" t="str">
        <f>IF($B173="","",INDEX(tblStock[Categoría],'91_KPIS'!$Q173))</f>
        <v/>
      </c>
      <c r="G173" s="54" t="str">
        <f>IF($B173="","",INDEX(tblStock[Proveedor],'91_KPIS'!$Q173)&amp;"")</f>
        <v/>
      </c>
      <c r="H173" s="56" t="str">
        <f>IF($B173="","",INDEX(tblStock[StockActual],'91_KPIS'!$Q173))</f>
        <v/>
      </c>
      <c r="I173" s="55" t="str">
        <f>IF($B173="","",INDEX(tblStock[StockMin],'91_KPIS'!$Q173))</f>
        <v/>
      </c>
      <c r="J173" s="55" t="str">
        <f>IF($B173="","",INDEX(tblStock[StockMax],'91_KPIS'!$Q173))</f>
        <v/>
      </c>
      <c r="K173" s="53" t="str">
        <f>IF($B173="","",INDEX(tblStock[Unidad],'91_KPIS'!$Q173))</f>
        <v/>
      </c>
      <c r="L173" s="55" t="str">
        <f t="shared" si="4"/>
        <v/>
      </c>
      <c r="M173" s="55" t="str">
        <f t="shared" si="5"/>
        <v/>
      </c>
      <c r="N173" s="54" t="str">
        <f>IF($B173="","",IFERROR(INDEX(tblEstados[Acción],MATCH($C173,tblEstados[Estado],0)),""))</f>
        <v/>
      </c>
      <c r="O173" s="60" t="str">
        <f>IF($B173="","",INDEX(tblStock[UltimoMov],'91_KPIS'!$Q173))</f>
        <v/>
      </c>
    </row>
    <row r="174" spans="2:15" x14ac:dyDescent="0.25">
      <c r="B174" s="62" t="str">
        <f>IF('91_KPIS'!$Q174="","",'91_KPIS'!$O174)</f>
        <v/>
      </c>
      <c r="C174" s="58" t="str">
        <f>IF($B174="","",INDEX(tblStock[Estado],'91_KPIS'!$Q174))</f>
        <v/>
      </c>
      <c r="D174" s="53" t="str">
        <f>IF($B174="","",INDEX(tblStock[SKU],'91_KPIS'!$Q174))</f>
        <v/>
      </c>
      <c r="E174" s="54" t="str">
        <f>IF($B174="","",INDEX(tblStock[Producto],'91_KPIS'!$Q174))</f>
        <v/>
      </c>
      <c r="F174" s="54" t="str">
        <f>IF($B174="","",INDEX(tblStock[Categoría],'91_KPIS'!$Q174))</f>
        <v/>
      </c>
      <c r="G174" s="54" t="str">
        <f>IF($B174="","",INDEX(tblStock[Proveedor],'91_KPIS'!$Q174)&amp;"")</f>
        <v/>
      </c>
      <c r="H174" s="56" t="str">
        <f>IF($B174="","",INDEX(tblStock[StockActual],'91_KPIS'!$Q174))</f>
        <v/>
      </c>
      <c r="I174" s="55" t="str">
        <f>IF($B174="","",INDEX(tblStock[StockMin],'91_KPIS'!$Q174))</f>
        <v/>
      </c>
      <c r="J174" s="55" t="str">
        <f>IF($B174="","",INDEX(tblStock[StockMax],'91_KPIS'!$Q174))</f>
        <v/>
      </c>
      <c r="K174" s="53" t="str">
        <f>IF($B174="","",INDEX(tblStock[Unidad],'91_KPIS'!$Q174))</f>
        <v/>
      </c>
      <c r="L174" s="55" t="str">
        <f t="shared" si="4"/>
        <v/>
      </c>
      <c r="M174" s="55" t="str">
        <f t="shared" si="5"/>
        <v/>
      </c>
      <c r="N174" s="54" t="str">
        <f>IF($B174="","",IFERROR(INDEX(tblEstados[Acción],MATCH($C174,tblEstados[Estado],0)),""))</f>
        <v/>
      </c>
      <c r="O174" s="60" t="str">
        <f>IF($B174="","",INDEX(tblStock[UltimoMov],'91_KPIS'!$Q174))</f>
        <v/>
      </c>
    </row>
    <row r="175" spans="2:15" x14ac:dyDescent="0.25">
      <c r="B175" s="62" t="str">
        <f>IF('91_KPIS'!$Q175="","",'91_KPIS'!$O175)</f>
        <v/>
      </c>
      <c r="C175" s="58" t="str">
        <f>IF($B175="","",INDEX(tblStock[Estado],'91_KPIS'!$Q175))</f>
        <v/>
      </c>
      <c r="D175" s="53" t="str">
        <f>IF($B175="","",INDEX(tblStock[SKU],'91_KPIS'!$Q175))</f>
        <v/>
      </c>
      <c r="E175" s="54" t="str">
        <f>IF($B175="","",INDEX(tblStock[Producto],'91_KPIS'!$Q175))</f>
        <v/>
      </c>
      <c r="F175" s="54" t="str">
        <f>IF($B175="","",INDEX(tblStock[Categoría],'91_KPIS'!$Q175))</f>
        <v/>
      </c>
      <c r="G175" s="54" t="str">
        <f>IF($B175="","",INDEX(tblStock[Proveedor],'91_KPIS'!$Q175)&amp;"")</f>
        <v/>
      </c>
      <c r="H175" s="56" t="str">
        <f>IF($B175="","",INDEX(tblStock[StockActual],'91_KPIS'!$Q175))</f>
        <v/>
      </c>
      <c r="I175" s="55" t="str">
        <f>IF($B175="","",INDEX(tblStock[StockMin],'91_KPIS'!$Q175))</f>
        <v/>
      </c>
      <c r="J175" s="55" t="str">
        <f>IF($B175="","",INDEX(tblStock[StockMax],'91_KPIS'!$Q175))</f>
        <v/>
      </c>
      <c r="K175" s="53" t="str">
        <f>IF($B175="","",INDEX(tblStock[Unidad],'91_KPIS'!$Q175))</f>
        <v/>
      </c>
      <c r="L175" s="55" t="str">
        <f t="shared" si="4"/>
        <v/>
      </c>
      <c r="M175" s="55" t="str">
        <f t="shared" si="5"/>
        <v/>
      </c>
      <c r="N175" s="54" t="str">
        <f>IF($B175="","",IFERROR(INDEX(tblEstados[Acción],MATCH($C175,tblEstados[Estado],0)),""))</f>
        <v/>
      </c>
      <c r="O175" s="60" t="str">
        <f>IF($B175="","",INDEX(tblStock[UltimoMov],'91_KPIS'!$Q175))</f>
        <v/>
      </c>
    </row>
    <row r="176" spans="2:15" x14ac:dyDescent="0.25">
      <c r="B176" s="62" t="str">
        <f>IF('91_KPIS'!$Q176="","",'91_KPIS'!$O176)</f>
        <v/>
      </c>
      <c r="C176" s="58" t="str">
        <f>IF($B176="","",INDEX(tblStock[Estado],'91_KPIS'!$Q176))</f>
        <v/>
      </c>
      <c r="D176" s="53" t="str">
        <f>IF($B176="","",INDEX(tblStock[SKU],'91_KPIS'!$Q176))</f>
        <v/>
      </c>
      <c r="E176" s="54" t="str">
        <f>IF($B176="","",INDEX(tblStock[Producto],'91_KPIS'!$Q176))</f>
        <v/>
      </c>
      <c r="F176" s="54" t="str">
        <f>IF($B176="","",INDEX(tblStock[Categoría],'91_KPIS'!$Q176))</f>
        <v/>
      </c>
      <c r="G176" s="54" t="str">
        <f>IF($B176="","",INDEX(tblStock[Proveedor],'91_KPIS'!$Q176)&amp;"")</f>
        <v/>
      </c>
      <c r="H176" s="56" t="str">
        <f>IF($B176="","",INDEX(tblStock[StockActual],'91_KPIS'!$Q176))</f>
        <v/>
      </c>
      <c r="I176" s="55" t="str">
        <f>IF($B176="","",INDEX(tblStock[StockMin],'91_KPIS'!$Q176))</f>
        <v/>
      </c>
      <c r="J176" s="55" t="str">
        <f>IF($B176="","",INDEX(tblStock[StockMax],'91_KPIS'!$Q176))</f>
        <v/>
      </c>
      <c r="K176" s="53" t="str">
        <f>IF($B176="","",INDEX(tblStock[Unidad],'91_KPIS'!$Q176))</f>
        <v/>
      </c>
      <c r="L176" s="55" t="str">
        <f t="shared" si="4"/>
        <v/>
      </c>
      <c r="M176" s="55" t="str">
        <f t="shared" si="5"/>
        <v/>
      </c>
      <c r="N176" s="54" t="str">
        <f>IF($B176="","",IFERROR(INDEX(tblEstados[Acción],MATCH($C176,tblEstados[Estado],0)),""))</f>
        <v/>
      </c>
      <c r="O176" s="60" t="str">
        <f>IF($B176="","",INDEX(tblStock[UltimoMov],'91_KPIS'!$Q176))</f>
        <v/>
      </c>
    </row>
    <row r="177" spans="2:15" x14ac:dyDescent="0.25">
      <c r="B177" s="62" t="str">
        <f>IF('91_KPIS'!$Q177="","",'91_KPIS'!$O177)</f>
        <v/>
      </c>
      <c r="C177" s="58" t="str">
        <f>IF($B177="","",INDEX(tblStock[Estado],'91_KPIS'!$Q177))</f>
        <v/>
      </c>
      <c r="D177" s="53" t="str">
        <f>IF($B177="","",INDEX(tblStock[SKU],'91_KPIS'!$Q177))</f>
        <v/>
      </c>
      <c r="E177" s="54" t="str">
        <f>IF($B177="","",INDEX(tblStock[Producto],'91_KPIS'!$Q177))</f>
        <v/>
      </c>
      <c r="F177" s="54" t="str">
        <f>IF($B177="","",INDEX(tblStock[Categoría],'91_KPIS'!$Q177))</f>
        <v/>
      </c>
      <c r="G177" s="54" t="str">
        <f>IF($B177="","",INDEX(tblStock[Proveedor],'91_KPIS'!$Q177)&amp;"")</f>
        <v/>
      </c>
      <c r="H177" s="56" t="str">
        <f>IF($B177="","",INDEX(tblStock[StockActual],'91_KPIS'!$Q177))</f>
        <v/>
      </c>
      <c r="I177" s="55" t="str">
        <f>IF($B177="","",INDEX(tblStock[StockMin],'91_KPIS'!$Q177))</f>
        <v/>
      </c>
      <c r="J177" s="55" t="str">
        <f>IF($B177="","",INDEX(tblStock[StockMax],'91_KPIS'!$Q177))</f>
        <v/>
      </c>
      <c r="K177" s="53" t="str">
        <f>IF($B177="","",INDEX(tblStock[Unidad],'91_KPIS'!$Q177))</f>
        <v/>
      </c>
      <c r="L177" s="55" t="str">
        <f t="shared" si="4"/>
        <v/>
      </c>
      <c r="M177" s="55" t="str">
        <f t="shared" si="5"/>
        <v/>
      </c>
      <c r="N177" s="54" t="str">
        <f>IF($B177="","",IFERROR(INDEX(tblEstados[Acción],MATCH($C177,tblEstados[Estado],0)),""))</f>
        <v/>
      </c>
      <c r="O177" s="60" t="str">
        <f>IF($B177="","",INDEX(tblStock[UltimoMov],'91_KPIS'!$Q177))</f>
        <v/>
      </c>
    </row>
    <row r="178" spans="2:15" x14ac:dyDescent="0.25">
      <c r="B178" s="62" t="str">
        <f>IF('91_KPIS'!$Q178="","",'91_KPIS'!$O178)</f>
        <v/>
      </c>
      <c r="C178" s="58" t="str">
        <f>IF($B178="","",INDEX(tblStock[Estado],'91_KPIS'!$Q178))</f>
        <v/>
      </c>
      <c r="D178" s="53" t="str">
        <f>IF($B178="","",INDEX(tblStock[SKU],'91_KPIS'!$Q178))</f>
        <v/>
      </c>
      <c r="E178" s="54" t="str">
        <f>IF($B178="","",INDEX(tblStock[Producto],'91_KPIS'!$Q178))</f>
        <v/>
      </c>
      <c r="F178" s="54" t="str">
        <f>IF($B178="","",INDEX(tblStock[Categoría],'91_KPIS'!$Q178))</f>
        <v/>
      </c>
      <c r="G178" s="54" t="str">
        <f>IF($B178="","",INDEX(tblStock[Proveedor],'91_KPIS'!$Q178)&amp;"")</f>
        <v/>
      </c>
      <c r="H178" s="56" t="str">
        <f>IF($B178="","",INDEX(tblStock[StockActual],'91_KPIS'!$Q178))</f>
        <v/>
      </c>
      <c r="I178" s="55" t="str">
        <f>IF($B178="","",INDEX(tblStock[StockMin],'91_KPIS'!$Q178))</f>
        <v/>
      </c>
      <c r="J178" s="55" t="str">
        <f>IF($B178="","",INDEX(tblStock[StockMax],'91_KPIS'!$Q178))</f>
        <v/>
      </c>
      <c r="K178" s="53" t="str">
        <f>IF($B178="","",INDEX(tblStock[Unidad],'91_KPIS'!$Q178))</f>
        <v/>
      </c>
      <c r="L178" s="55" t="str">
        <f t="shared" si="4"/>
        <v/>
      </c>
      <c r="M178" s="55" t="str">
        <f t="shared" si="5"/>
        <v/>
      </c>
      <c r="N178" s="54" t="str">
        <f>IF($B178="","",IFERROR(INDEX(tblEstados[Acción],MATCH($C178,tblEstados[Estado],0)),""))</f>
        <v/>
      </c>
      <c r="O178" s="60" t="str">
        <f>IF($B178="","",INDEX(tblStock[UltimoMov],'91_KPIS'!$Q178))</f>
        <v/>
      </c>
    </row>
    <row r="179" spans="2:15" x14ac:dyDescent="0.25">
      <c r="B179" s="62" t="str">
        <f>IF('91_KPIS'!$Q179="","",'91_KPIS'!$O179)</f>
        <v/>
      </c>
      <c r="C179" s="58" t="str">
        <f>IF($B179="","",INDEX(tblStock[Estado],'91_KPIS'!$Q179))</f>
        <v/>
      </c>
      <c r="D179" s="53" t="str">
        <f>IF($B179="","",INDEX(tblStock[SKU],'91_KPIS'!$Q179))</f>
        <v/>
      </c>
      <c r="E179" s="54" t="str">
        <f>IF($B179="","",INDEX(tblStock[Producto],'91_KPIS'!$Q179))</f>
        <v/>
      </c>
      <c r="F179" s="54" t="str">
        <f>IF($B179="","",INDEX(tblStock[Categoría],'91_KPIS'!$Q179))</f>
        <v/>
      </c>
      <c r="G179" s="54" t="str">
        <f>IF($B179="","",INDEX(tblStock[Proveedor],'91_KPIS'!$Q179)&amp;"")</f>
        <v/>
      </c>
      <c r="H179" s="56" t="str">
        <f>IF($B179="","",INDEX(tblStock[StockActual],'91_KPIS'!$Q179))</f>
        <v/>
      </c>
      <c r="I179" s="55" t="str">
        <f>IF($B179="","",INDEX(tblStock[StockMin],'91_KPIS'!$Q179))</f>
        <v/>
      </c>
      <c r="J179" s="55" t="str">
        <f>IF($B179="","",INDEX(tblStock[StockMax],'91_KPIS'!$Q179))</f>
        <v/>
      </c>
      <c r="K179" s="53" t="str">
        <f>IF($B179="","",INDEX(tblStock[Unidad],'91_KPIS'!$Q179))</f>
        <v/>
      </c>
      <c r="L179" s="55" t="str">
        <f t="shared" si="4"/>
        <v/>
      </c>
      <c r="M179" s="55" t="str">
        <f t="shared" si="5"/>
        <v/>
      </c>
      <c r="N179" s="54" t="str">
        <f>IF($B179="","",IFERROR(INDEX(tblEstados[Acción],MATCH($C179,tblEstados[Estado],0)),""))</f>
        <v/>
      </c>
      <c r="O179" s="60" t="str">
        <f>IF($B179="","",INDEX(tblStock[UltimoMov],'91_KPIS'!$Q179))</f>
        <v/>
      </c>
    </row>
    <row r="180" spans="2:15" x14ac:dyDescent="0.25">
      <c r="B180" s="62" t="str">
        <f>IF('91_KPIS'!$Q180="","",'91_KPIS'!$O180)</f>
        <v/>
      </c>
      <c r="C180" s="58" t="str">
        <f>IF($B180="","",INDEX(tblStock[Estado],'91_KPIS'!$Q180))</f>
        <v/>
      </c>
      <c r="D180" s="53" t="str">
        <f>IF($B180="","",INDEX(tblStock[SKU],'91_KPIS'!$Q180))</f>
        <v/>
      </c>
      <c r="E180" s="54" t="str">
        <f>IF($B180="","",INDEX(tblStock[Producto],'91_KPIS'!$Q180))</f>
        <v/>
      </c>
      <c r="F180" s="54" t="str">
        <f>IF($B180="","",INDEX(tblStock[Categoría],'91_KPIS'!$Q180))</f>
        <v/>
      </c>
      <c r="G180" s="54" t="str">
        <f>IF($B180="","",INDEX(tblStock[Proveedor],'91_KPIS'!$Q180)&amp;"")</f>
        <v/>
      </c>
      <c r="H180" s="56" t="str">
        <f>IF($B180="","",INDEX(tblStock[StockActual],'91_KPIS'!$Q180))</f>
        <v/>
      </c>
      <c r="I180" s="55" t="str">
        <f>IF($B180="","",INDEX(tblStock[StockMin],'91_KPIS'!$Q180))</f>
        <v/>
      </c>
      <c r="J180" s="55" t="str">
        <f>IF($B180="","",INDEX(tblStock[StockMax],'91_KPIS'!$Q180))</f>
        <v/>
      </c>
      <c r="K180" s="53" t="str">
        <f>IF($B180="","",INDEX(tblStock[Unidad],'91_KPIS'!$Q180))</f>
        <v/>
      </c>
      <c r="L180" s="55" t="str">
        <f t="shared" si="4"/>
        <v/>
      </c>
      <c r="M180" s="55" t="str">
        <f t="shared" si="5"/>
        <v/>
      </c>
      <c r="N180" s="54" t="str">
        <f>IF($B180="","",IFERROR(INDEX(tblEstados[Acción],MATCH($C180,tblEstados[Estado],0)),""))</f>
        <v/>
      </c>
      <c r="O180" s="60" t="str">
        <f>IF($B180="","",INDEX(tblStock[UltimoMov],'91_KPIS'!$Q180))</f>
        <v/>
      </c>
    </row>
    <row r="181" spans="2:15" x14ac:dyDescent="0.25">
      <c r="B181" s="62" t="str">
        <f>IF('91_KPIS'!$Q181="","",'91_KPIS'!$O181)</f>
        <v/>
      </c>
      <c r="C181" s="58" t="str">
        <f>IF($B181="","",INDEX(tblStock[Estado],'91_KPIS'!$Q181))</f>
        <v/>
      </c>
      <c r="D181" s="53" t="str">
        <f>IF($B181="","",INDEX(tblStock[SKU],'91_KPIS'!$Q181))</f>
        <v/>
      </c>
      <c r="E181" s="54" t="str">
        <f>IF($B181="","",INDEX(tblStock[Producto],'91_KPIS'!$Q181))</f>
        <v/>
      </c>
      <c r="F181" s="54" t="str">
        <f>IF($B181="","",INDEX(tblStock[Categoría],'91_KPIS'!$Q181))</f>
        <v/>
      </c>
      <c r="G181" s="54" t="str">
        <f>IF($B181="","",INDEX(tblStock[Proveedor],'91_KPIS'!$Q181)&amp;"")</f>
        <v/>
      </c>
      <c r="H181" s="56" t="str">
        <f>IF($B181="","",INDEX(tblStock[StockActual],'91_KPIS'!$Q181))</f>
        <v/>
      </c>
      <c r="I181" s="55" t="str">
        <f>IF($B181="","",INDEX(tblStock[StockMin],'91_KPIS'!$Q181))</f>
        <v/>
      </c>
      <c r="J181" s="55" t="str">
        <f>IF($B181="","",INDEX(tblStock[StockMax],'91_KPIS'!$Q181))</f>
        <v/>
      </c>
      <c r="K181" s="53" t="str">
        <f>IF($B181="","",INDEX(tblStock[Unidad],'91_KPIS'!$Q181))</f>
        <v/>
      </c>
      <c r="L181" s="55" t="str">
        <f t="shared" si="4"/>
        <v/>
      </c>
      <c r="M181" s="55" t="str">
        <f t="shared" si="5"/>
        <v/>
      </c>
      <c r="N181" s="54" t="str">
        <f>IF($B181="","",IFERROR(INDEX(tblEstados[Acción],MATCH($C181,tblEstados[Estado],0)),""))</f>
        <v/>
      </c>
      <c r="O181" s="60" t="str">
        <f>IF($B181="","",INDEX(tblStock[UltimoMov],'91_KPIS'!$Q181))</f>
        <v/>
      </c>
    </row>
    <row r="182" spans="2:15" x14ac:dyDescent="0.25">
      <c r="B182" s="62" t="str">
        <f>IF('91_KPIS'!$Q182="","",'91_KPIS'!$O182)</f>
        <v/>
      </c>
      <c r="C182" s="58" t="str">
        <f>IF($B182="","",INDEX(tblStock[Estado],'91_KPIS'!$Q182))</f>
        <v/>
      </c>
      <c r="D182" s="53" t="str">
        <f>IF($B182="","",INDEX(tblStock[SKU],'91_KPIS'!$Q182))</f>
        <v/>
      </c>
      <c r="E182" s="54" t="str">
        <f>IF($B182="","",INDEX(tblStock[Producto],'91_KPIS'!$Q182))</f>
        <v/>
      </c>
      <c r="F182" s="54" t="str">
        <f>IF($B182="","",INDEX(tblStock[Categoría],'91_KPIS'!$Q182))</f>
        <v/>
      </c>
      <c r="G182" s="54" t="str">
        <f>IF($B182="","",INDEX(tblStock[Proveedor],'91_KPIS'!$Q182)&amp;"")</f>
        <v/>
      </c>
      <c r="H182" s="56" t="str">
        <f>IF($B182="","",INDEX(tblStock[StockActual],'91_KPIS'!$Q182))</f>
        <v/>
      </c>
      <c r="I182" s="55" t="str">
        <f>IF($B182="","",INDEX(tblStock[StockMin],'91_KPIS'!$Q182))</f>
        <v/>
      </c>
      <c r="J182" s="55" t="str">
        <f>IF($B182="","",INDEX(tblStock[StockMax],'91_KPIS'!$Q182))</f>
        <v/>
      </c>
      <c r="K182" s="53" t="str">
        <f>IF($B182="","",INDEX(tblStock[Unidad],'91_KPIS'!$Q182))</f>
        <v/>
      </c>
      <c r="L182" s="55" t="str">
        <f t="shared" si="4"/>
        <v/>
      </c>
      <c r="M182" s="55" t="str">
        <f t="shared" si="5"/>
        <v/>
      </c>
      <c r="N182" s="54" t="str">
        <f>IF($B182="","",IFERROR(INDEX(tblEstados[Acción],MATCH($C182,tblEstados[Estado],0)),""))</f>
        <v/>
      </c>
      <c r="O182" s="60" t="str">
        <f>IF($B182="","",INDEX(tblStock[UltimoMov],'91_KPIS'!$Q182))</f>
        <v/>
      </c>
    </row>
    <row r="183" spans="2:15" x14ac:dyDescent="0.25">
      <c r="B183" s="62" t="str">
        <f>IF('91_KPIS'!$Q183="","",'91_KPIS'!$O183)</f>
        <v/>
      </c>
      <c r="C183" s="58" t="str">
        <f>IF($B183="","",INDEX(tblStock[Estado],'91_KPIS'!$Q183))</f>
        <v/>
      </c>
      <c r="D183" s="53" t="str">
        <f>IF($B183="","",INDEX(tblStock[SKU],'91_KPIS'!$Q183))</f>
        <v/>
      </c>
      <c r="E183" s="54" t="str">
        <f>IF($B183="","",INDEX(tblStock[Producto],'91_KPIS'!$Q183))</f>
        <v/>
      </c>
      <c r="F183" s="54" t="str">
        <f>IF($B183="","",INDEX(tblStock[Categoría],'91_KPIS'!$Q183))</f>
        <v/>
      </c>
      <c r="G183" s="54" t="str">
        <f>IF($B183="","",INDEX(tblStock[Proveedor],'91_KPIS'!$Q183)&amp;"")</f>
        <v/>
      </c>
      <c r="H183" s="56" t="str">
        <f>IF($B183="","",INDEX(tblStock[StockActual],'91_KPIS'!$Q183))</f>
        <v/>
      </c>
      <c r="I183" s="55" t="str">
        <f>IF($B183="","",INDEX(tblStock[StockMin],'91_KPIS'!$Q183))</f>
        <v/>
      </c>
      <c r="J183" s="55" t="str">
        <f>IF($B183="","",INDEX(tblStock[StockMax],'91_KPIS'!$Q183))</f>
        <v/>
      </c>
      <c r="K183" s="53" t="str">
        <f>IF($B183="","",INDEX(tblStock[Unidad],'91_KPIS'!$Q183))</f>
        <v/>
      </c>
      <c r="L183" s="55" t="str">
        <f t="shared" si="4"/>
        <v/>
      </c>
      <c r="M183" s="55" t="str">
        <f t="shared" si="5"/>
        <v/>
      </c>
      <c r="N183" s="54" t="str">
        <f>IF($B183="","",IFERROR(INDEX(tblEstados[Acción],MATCH($C183,tblEstados[Estado],0)),""))</f>
        <v/>
      </c>
      <c r="O183" s="60" t="str">
        <f>IF($B183="","",INDEX(tblStock[UltimoMov],'91_KPIS'!$Q183))</f>
        <v/>
      </c>
    </row>
    <row r="184" spans="2:15" x14ac:dyDescent="0.25">
      <c r="B184" s="62" t="str">
        <f>IF('91_KPIS'!$Q184="","",'91_KPIS'!$O184)</f>
        <v/>
      </c>
      <c r="C184" s="58" t="str">
        <f>IF($B184="","",INDEX(tblStock[Estado],'91_KPIS'!$Q184))</f>
        <v/>
      </c>
      <c r="D184" s="53" t="str">
        <f>IF($B184="","",INDEX(tblStock[SKU],'91_KPIS'!$Q184))</f>
        <v/>
      </c>
      <c r="E184" s="54" t="str">
        <f>IF($B184="","",INDEX(tblStock[Producto],'91_KPIS'!$Q184))</f>
        <v/>
      </c>
      <c r="F184" s="54" t="str">
        <f>IF($B184="","",INDEX(tblStock[Categoría],'91_KPIS'!$Q184))</f>
        <v/>
      </c>
      <c r="G184" s="54" t="str">
        <f>IF($B184="","",INDEX(tblStock[Proveedor],'91_KPIS'!$Q184)&amp;"")</f>
        <v/>
      </c>
      <c r="H184" s="56" t="str">
        <f>IF($B184="","",INDEX(tblStock[StockActual],'91_KPIS'!$Q184))</f>
        <v/>
      </c>
      <c r="I184" s="55" t="str">
        <f>IF($B184="","",INDEX(tblStock[StockMin],'91_KPIS'!$Q184))</f>
        <v/>
      </c>
      <c r="J184" s="55" t="str">
        <f>IF($B184="","",INDEX(tblStock[StockMax],'91_KPIS'!$Q184))</f>
        <v/>
      </c>
      <c r="K184" s="53" t="str">
        <f>IF($B184="","",INDEX(tblStock[Unidad],'91_KPIS'!$Q184))</f>
        <v/>
      </c>
      <c r="L184" s="55" t="str">
        <f t="shared" si="4"/>
        <v/>
      </c>
      <c r="M184" s="55" t="str">
        <f t="shared" si="5"/>
        <v/>
      </c>
      <c r="N184" s="54" t="str">
        <f>IF($B184="","",IFERROR(INDEX(tblEstados[Acción],MATCH($C184,tblEstados[Estado],0)),""))</f>
        <v/>
      </c>
      <c r="O184" s="60" t="str">
        <f>IF($B184="","",INDEX(tblStock[UltimoMov],'91_KPIS'!$Q184))</f>
        <v/>
      </c>
    </row>
    <row r="185" spans="2:15" x14ac:dyDescent="0.25">
      <c r="B185" s="62" t="str">
        <f>IF('91_KPIS'!$Q185="","",'91_KPIS'!$O185)</f>
        <v/>
      </c>
      <c r="C185" s="58" t="str">
        <f>IF($B185="","",INDEX(tblStock[Estado],'91_KPIS'!$Q185))</f>
        <v/>
      </c>
      <c r="D185" s="53" t="str">
        <f>IF($B185="","",INDEX(tblStock[SKU],'91_KPIS'!$Q185))</f>
        <v/>
      </c>
      <c r="E185" s="54" t="str">
        <f>IF($B185="","",INDEX(tblStock[Producto],'91_KPIS'!$Q185))</f>
        <v/>
      </c>
      <c r="F185" s="54" t="str">
        <f>IF($B185="","",INDEX(tblStock[Categoría],'91_KPIS'!$Q185))</f>
        <v/>
      </c>
      <c r="G185" s="54" t="str">
        <f>IF($B185="","",INDEX(tblStock[Proveedor],'91_KPIS'!$Q185)&amp;"")</f>
        <v/>
      </c>
      <c r="H185" s="56" t="str">
        <f>IF($B185="","",INDEX(tblStock[StockActual],'91_KPIS'!$Q185))</f>
        <v/>
      </c>
      <c r="I185" s="55" t="str">
        <f>IF($B185="","",INDEX(tblStock[StockMin],'91_KPIS'!$Q185))</f>
        <v/>
      </c>
      <c r="J185" s="55" t="str">
        <f>IF($B185="","",INDEX(tblStock[StockMax],'91_KPIS'!$Q185))</f>
        <v/>
      </c>
      <c r="K185" s="53" t="str">
        <f>IF($B185="","",INDEX(tblStock[Unidad],'91_KPIS'!$Q185))</f>
        <v/>
      </c>
      <c r="L185" s="55" t="str">
        <f t="shared" si="4"/>
        <v/>
      </c>
      <c r="M185" s="55" t="str">
        <f t="shared" si="5"/>
        <v/>
      </c>
      <c r="N185" s="54" t="str">
        <f>IF($B185="","",IFERROR(INDEX(tblEstados[Acción],MATCH($C185,tblEstados[Estado],0)),""))</f>
        <v/>
      </c>
      <c r="O185" s="60" t="str">
        <f>IF($B185="","",INDEX(tblStock[UltimoMov],'91_KPIS'!$Q185))</f>
        <v/>
      </c>
    </row>
    <row r="186" spans="2:15" x14ac:dyDescent="0.25">
      <c r="B186" s="62" t="str">
        <f>IF('91_KPIS'!$Q186="","",'91_KPIS'!$O186)</f>
        <v/>
      </c>
      <c r="C186" s="58" t="str">
        <f>IF($B186="","",INDEX(tblStock[Estado],'91_KPIS'!$Q186))</f>
        <v/>
      </c>
      <c r="D186" s="53" t="str">
        <f>IF($B186="","",INDEX(tblStock[SKU],'91_KPIS'!$Q186))</f>
        <v/>
      </c>
      <c r="E186" s="54" t="str">
        <f>IF($B186="","",INDEX(tblStock[Producto],'91_KPIS'!$Q186))</f>
        <v/>
      </c>
      <c r="F186" s="54" t="str">
        <f>IF($B186="","",INDEX(tblStock[Categoría],'91_KPIS'!$Q186))</f>
        <v/>
      </c>
      <c r="G186" s="54" t="str">
        <f>IF($B186="","",INDEX(tblStock[Proveedor],'91_KPIS'!$Q186)&amp;"")</f>
        <v/>
      </c>
      <c r="H186" s="56" t="str">
        <f>IF($B186="","",INDEX(tblStock[StockActual],'91_KPIS'!$Q186))</f>
        <v/>
      </c>
      <c r="I186" s="55" t="str">
        <f>IF($B186="","",INDEX(tblStock[StockMin],'91_KPIS'!$Q186))</f>
        <v/>
      </c>
      <c r="J186" s="55" t="str">
        <f>IF($B186="","",INDEX(tblStock[StockMax],'91_KPIS'!$Q186))</f>
        <v/>
      </c>
      <c r="K186" s="53" t="str">
        <f>IF($B186="","",INDEX(tblStock[Unidad],'91_KPIS'!$Q186))</f>
        <v/>
      </c>
      <c r="L186" s="55" t="str">
        <f t="shared" si="4"/>
        <v/>
      </c>
      <c r="M186" s="55" t="str">
        <f t="shared" si="5"/>
        <v/>
      </c>
      <c r="N186" s="54" t="str">
        <f>IF($B186="","",IFERROR(INDEX(tblEstados[Acción],MATCH($C186,tblEstados[Estado],0)),""))</f>
        <v/>
      </c>
      <c r="O186" s="60" t="str">
        <f>IF($B186="","",INDEX(tblStock[UltimoMov],'91_KPIS'!$Q186))</f>
        <v/>
      </c>
    </row>
    <row r="187" spans="2:15" x14ac:dyDescent="0.25">
      <c r="B187" s="62" t="str">
        <f>IF('91_KPIS'!$Q187="","",'91_KPIS'!$O187)</f>
        <v/>
      </c>
      <c r="C187" s="58" t="str">
        <f>IF($B187="","",INDEX(tblStock[Estado],'91_KPIS'!$Q187))</f>
        <v/>
      </c>
      <c r="D187" s="53" t="str">
        <f>IF($B187="","",INDEX(tblStock[SKU],'91_KPIS'!$Q187))</f>
        <v/>
      </c>
      <c r="E187" s="54" t="str">
        <f>IF($B187="","",INDEX(tblStock[Producto],'91_KPIS'!$Q187))</f>
        <v/>
      </c>
      <c r="F187" s="54" t="str">
        <f>IF($B187="","",INDEX(tblStock[Categoría],'91_KPIS'!$Q187))</f>
        <v/>
      </c>
      <c r="G187" s="54" t="str">
        <f>IF($B187="","",INDEX(tblStock[Proveedor],'91_KPIS'!$Q187)&amp;"")</f>
        <v/>
      </c>
      <c r="H187" s="56" t="str">
        <f>IF($B187="","",INDEX(tblStock[StockActual],'91_KPIS'!$Q187))</f>
        <v/>
      </c>
      <c r="I187" s="55" t="str">
        <f>IF($B187="","",INDEX(tblStock[StockMin],'91_KPIS'!$Q187))</f>
        <v/>
      </c>
      <c r="J187" s="55" t="str">
        <f>IF($B187="","",INDEX(tblStock[StockMax],'91_KPIS'!$Q187))</f>
        <v/>
      </c>
      <c r="K187" s="53" t="str">
        <f>IF($B187="","",INDEX(tblStock[Unidad],'91_KPIS'!$Q187))</f>
        <v/>
      </c>
      <c r="L187" s="55" t="str">
        <f t="shared" si="4"/>
        <v/>
      </c>
      <c r="M187" s="55" t="str">
        <f t="shared" si="5"/>
        <v/>
      </c>
      <c r="N187" s="54" t="str">
        <f>IF($B187="","",IFERROR(INDEX(tblEstados[Acción],MATCH($C187,tblEstados[Estado],0)),""))</f>
        <v/>
      </c>
      <c r="O187" s="60" t="str">
        <f>IF($B187="","",INDEX(tblStock[UltimoMov],'91_KPIS'!$Q187))</f>
        <v/>
      </c>
    </row>
    <row r="188" spans="2:15" x14ac:dyDescent="0.25">
      <c r="B188" s="62" t="str">
        <f>IF('91_KPIS'!$Q188="","",'91_KPIS'!$O188)</f>
        <v/>
      </c>
      <c r="C188" s="58" t="str">
        <f>IF($B188="","",INDEX(tblStock[Estado],'91_KPIS'!$Q188))</f>
        <v/>
      </c>
      <c r="D188" s="53" t="str">
        <f>IF($B188="","",INDEX(tblStock[SKU],'91_KPIS'!$Q188))</f>
        <v/>
      </c>
      <c r="E188" s="54" t="str">
        <f>IF($B188="","",INDEX(tblStock[Producto],'91_KPIS'!$Q188))</f>
        <v/>
      </c>
      <c r="F188" s="54" t="str">
        <f>IF($B188="","",INDEX(tblStock[Categoría],'91_KPIS'!$Q188))</f>
        <v/>
      </c>
      <c r="G188" s="54" t="str">
        <f>IF($B188="","",INDEX(tblStock[Proveedor],'91_KPIS'!$Q188)&amp;"")</f>
        <v/>
      </c>
      <c r="H188" s="56" t="str">
        <f>IF($B188="","",INDEX(tblStock[StockActual],'91_KPIS'!$Q188))</f>
        <v/>
      </c>
      <c r="I188" s="55" t="str">
        <f>IF($B188="","",INDEX(tblStock[StockMin],'91_KPIS'!$Q188))</f>
        <v/>
      </c>
      <c r="J188" s="55" t="str">
        <f>IF($B188="","",INDEX(tblStock[StockMax],'91_KPIS'!$Q188))</f>
        <v/>
      </c>
      <c r="K188" s="53" t="str">
        <f>IF($B188="","",INDEX(tblStock[Unidad],'91_KPIS'!$Q188))</f>
        <v/>
      </c>
      <c r="L188" s="55" t="str">
        <f t="shared" si="4"/>
        <v/>
      </c>
      <c r="M188" s="55" t="str">
        <f t="shared" si="5"/>
        <v/>
      </c>
      <c r="N188" s="54" t="str">
        <f>IF($B188="","",IFERROR(INDEX(tblEstados[Acción],MATCH($C188,tblEstados[Estado],0)),""))</f>
        <v/>
      </c>
      <c r="O188" s="60" t="str">
        <f>IF($B188="","",INDEX(tblStock[UltimoMov],'91_KPIS'!$Q188))</f>
        <v/>
      </c>
    </row>
    <row r="189" spans="2:15" x14ac:dyDescent="0.25">
      <c r="B189" s="62" t="str">
        <f>IF('91_KPIS'!$Q189="","",'91_KPIS'!$O189)</f>
        <v/>
      </c>
      <c r="C189" s="58" t="str">
        <f>IF($B189="","",INDEX(tblStock[Estado],'91_KPIS'!$Q189))</f>
        <v/>
      </c>
      <c r="D189" s="53" t="str">
        <f>IF($B189="","",INDEX(tblStock[SKU],'91_KPIS'!$Q189))</f>
        <v/>
      </c>
      <c r="E189" s="54" t="str">
        <f>IF($B189="","",INDEX(tblStock[Producto],'91_KPIS'!$Q189))</f>
        <v/>
      </c>
      <c r="F189" s="54" t="str">
        <f>IF($B189="","",INDEX(tblStock[Categoría],'91_KPIS'!$Q189))</f>
        <v/>
      </c>
      <c r="G189" s="54" t="str">
        <f>IF($B189="","",INDEX(tblStock[Proveedor],'91_KPIS'!$Q189)&amp;"")</f>
        <v/>
      </c>
      <c r="H189" s="56" t="str">
        <f>IF($B189="","",INDEX(tblStock[StockActual],'91_KPIS'!$Q189))</f>
        <v/>
      </c>
      <c r="I189" s="55" t="str">
        <f>IF($B189="","",INDEX(tblStock[StockMin],'91_KPIS'!$Q189))</f>
        <v/>
      </c>
      <c r="J189" s="55" t="str">
        <f>IF($B189="","",INDEX(tblStock[StockMax],'91_KPIS'!$Q189))</f>
        <v/>
      </c>
      <c r="K189" s="53" t="str">
        <f>IF($B189="","",INDEX(tblStock[Unidad],'91_KPIS'!$Q189))</f>
        <v/>
      </c>
      <c r="L189" s="55" t="str">
        <f t="shared" si="4"/>
        <v/>
      </c>
      <c r="M189" s="55" t="str">
        <f t="shared" si="5"/>
        <v/>
      </c>
      <c r="N189" s="54" t="str">
        <f>IF($B189="","",IFERROR(INDEX(tblEstados[Acción],MATCH($C189,tblEstados[Estado],0)),""))</f>
        <v/>
      </c>
      <c r="O189" s="60" t="str">
        <f>IF($B189="","",INDEX(tblStock[UltimoMov],'91_KPIS'!$Q189))</f>
        <v/>
      </c>
    </row>
    <row r="190" spans="2:15" x14ac:dyDescent="0.25">
      <c r="B190" s="62" t="str">
        <f>IF('91_KPIS'!$Q190="","",'91_KPIS'!$O190)</f>
        <v/>
      </c>
      <c r="C190" s="58" t="str">
        <f>IF($B190="","",INDEX(tblStock[Estado],'91_KPIS'!$Q190))</f>
        <v/>
      </c>
      <c r="D190" s="53" t="str">
        <f>IF($B190="","",INDEX(tblStock[SKU],'91_KPIS'!$Q190))</f>
        <v/>
      </c>
      <c r="E190" s="54" t="str">
        <f>IF($B190="","",INDEX(tblStock[Producto],'91_KPIS'!$Q190))</f>
        <v/>
      </c>
      <c r="F190" s="54" t="str">
        <f>IF($B190="","",INDEX(tblStock[Categoría],'91_KPIS'!$Q190))</f>
        <v/>
      </c>
      <c r="G190" s="54" t="str">
        <f>IF($B190="","",INDEX(tblStock[Proveedor],'91_KPIS'!$Q190)&amp;"")</f>
        <v/>
      </c>
      <c r="H190" s="56" t="str">
        <f>IF($B190="","",INDEX(tblStock[StockActual],'91_KPIS'!$Q190))</f>
        <v/>
      </c>
      <c r="I190" s="55" t="str">
        <f>IF($B190="","",INDEX(tblStock[StockMin],'91_KPIS'!$Q190))</f>
        <v/>
      </c>
      <c r="J190" s="55" t="str">
        <f>IF($B190="","",INDEX(tblStock[StockMax],'91_KPIS'!$Q190))</f>
        <v/>
      </c>
      <c r="K190" s="53" t="str">
        <f>IF($B190="","",INDEX(tblStock[Unidad],'91_KPIS'!$Q190))</f>
        <v/>
      </c>
      <c r="L190" s="55" t="str">
        <f t="shared" si="4"/>
        <v/>
      </c>
      <c r="M190" s="55" t="str">
        <f t="shared" si="5"/>
        <v/>
      </c>
      <c r="N190" s="54" t="str">
        <f>IF($B190="","",IFERROR(INDEX(tblEstados[Acción],MATCH($C190,tblEstados[Estado],0)),""))</f>
        <v/>
      </c>
      <c r="O190" s="60" t="str">
        <f>IF($B190="","",INDEX(tblStock[UltimoMov],'91_KPIS'!$Q190))</f>
        <v/>
      </c>
    </row>
    <row r="191" spans="2:15" x14ac:dyDescent="0.25">
      <c r="B191" s="62" t="str">
        <f>IF('91_KPIS'!$Q191="","",'91_KPIS'!$O191)</f>
        <v/>
      </c>
      <c r="C191" s="58" t="str">
        <f>IF($B191="","",INDEX(tblStock[Estado],'91_KPIS'!$Q191))</f>
        <v/>
      </c>
      <c r="D191" s="53" t="str">
        <f>IF($B191="","",INDEX(tblStock[SKU],'91_KPIS'!$Q191))</f>
        <v/>
      </c>
      <c r="E191" s="54" t="str">
        <f>IF($B191="","",INDEX(tblStock[Producto],'91_KPIS'!$Q191))</f>
        <v/>
      </c>
      <c r="F191" s="54" t="str">
        <f>IF($B191="","",INDEX(tblStock[Categoría],'91_KPIS'!$Q191))</f>
        <v/>
      </c>
      <c r="G191" s="54" t="str">
        <f>IF($B191="","",INDEX(tblStock[Proveedor],'91_KPIS'!$Q191)&amp;"")</f>
        <v/>
      </c>
      <c r="H191" s="56" t="str">
        <f>IF($B191="","",INDEX(tblStock[StockActual],'91_KPIS'!$Q191))</f>
        <v/>
      </c>
      <c r="I191" s="55" t="str">
        <f>IF($B191="","",INDEX(tblStock[StockMin],'91_KPIS'!$Q191))</f>
        <v/>
      </c>
      <c r="J191" s="55" t="str">
        <f>IF($B191="","",INDEX(tblStock[StockMax],'91_KPIS'!$Q191))</f>
        <v/>
      </c>
      <c r="K191" s="53" t="str">
        <f>IF($B191="","",INDEX(tblStock[Unidad],'91_KPIS'!$Q191))</f>
        <v/>
      </c>
      <c r="L191" s="55" t="str">
        <f t="shared" si="4"/>
        <v/>
      </c>
      <c r="M191" s="55" t="str">
        <f t="shared" si="5"/>
        <v/>
      </c>
      <c r="N191" s="54" t="str">
        <f>IF($B191="","",IFERROR(INDEX(tblEstados[Acción],MATCH($C191,tblEstados[Estado],0)),""))</f>
        <v/>
      </c>
      <c r="O191" s="60" t="str">
        <f>IF($B191="","",INDEX(tblStock[UltimoMov],'91_KPIS'!$Q191))</f>
        <v/>
      </c>
    </row>
    <row r="192" spans="2:15" x14ac:dyDescent="0.25">
      <c r="B192" s="62" t="str">
        <f>IF('91_KPIS'!$Q192="","",'91_KPIS'!$O192)</f>
        <v/>
      </c>
      <c r="C192" s="58" t="str">
        <f>IF($B192="","",INDEX(tblStock[Estado],'91_KPIS'!$Q192))</f>
        <v/>
      </c>
      <c r="D192" s="53" t="str">
        <f>IF($B192="","",INDEX(tblStock[SKU],'91_KPIS'!$Q192))</f>
        <v/>
      </c>
      <c r="E192" s="54" t="str">
        <f>IF($B192="","",INDEX(tblStock[Producto],'91_KPIS'!$Q192))</f>
        <v/>
      </c>
      <c r="F192" s="54" t="str">
        <f>IF($B192="","",INDEX(tblStock[Categoría],'91_KPIS'!$Q192))</f>
        <v/>
      </c>
      <c r="G192" s="54" t="str">
        <f>IF($B192="","",INDEX(tblStock[Proveedor],'91_KPIS'!$Q192)&amp;"")</f>
        <v/>
      </c>
      <c r="H192" s="56" t="str">
        <f>IF($B192="","",INDEX(tblStock[StockActual],'91_KPIS'!$Q192))</f>
        <v/>
      </c>
      <c r="I192" s="55" t="str">
        <f>IF($B192="","",INDEX(tblStock[StockMin],'91_KPIS'!$Q192))</f>
        <v/>
      </c>
      <c r="J192" s="55" t="str">
        <f>IF($B192="","",INDEX(tblStock[StockMax],'91_KPIS'!$Q192))</f>
        <v/>
      </c>
      <c r="K192" s="53" t="str">
        <f>IF($B192="","",INDEX(tblStock[Unidad],'91_KPIS'!$Q192))</f>
        <v/>
      </c>
      <c r="L192" s="55" t="str">
        <f t="shared" si="4"/>
        <v/>
      </c>
      <c r="M192" s="55" t="str">
        <f t="shared" si="5"/>
        <v/>
      </c>
      <c r="N192" s="54" t="str">
        <f>IF($B192="","",IFERROR(INDEX(tblEstados[Acción],MATCH($C192,tblEstados[Estado],0)),""))</f>
        <v/>
      </c>
      <c r="O192" s="60" t="str">
        <f>IF($B192="","",INDEX(tblStock[UltimoMov],'91_KPIS'!$Q192))</f>
        <v/>
      </c>
    </row>
    <row r="193" spans="2:15" x14ac:dyDescent="0.25">
      <c r="B193" s="62" t="str">
        <f>IF('91_KPIS'!$Q193="","",'91_KPIS'!$O193)</f>
        <v/>
      </c>
      <c r="C193" s="58" t="str">
        <f>IF($B193="","",INDEX(tblStock[Estado],'91_KPIS'!$Q193))</f>
        <v/>
      </c>
      <c r="D193" s="53" t="str">
        <f>IF($B193="","",INDEX(tblStock[SKU],'91_KPIS'!$Q193))</f>
        <v/>
      </c>
      <c r="E193" s="54" t="str">
        <f>IF($B193="","",INDEX(tblStock[Producto],'91_KPIS'!$Q193))</f>
        <v/>
      </c>
      <c r="F193" s="54" t="str">
        <f>IF($B193="","",INDEX(tblStock[Categoría],'91_KPIS'!$Q193))</f>
        <v/>
      </c>
      <c r="G193" s="54" t="str">
        <f>IF($B193="","",INDEX(tblStock[Proveedor],'91_KPIS'!$Q193)&amp;"")</f>
        <v/>
      </c>
      <c r="H193" s="56" t="str">
        <f>IF($B193="","",INDEX(tblStock[StockActual],'91_KPIS'!$Q193))</f>
        <v/>
      </c>
      <c r="I193" s="55" t="str">
        <f>IF($B193="","",INDEX(tblStock[StockMin],'91_KPIS'!$Q193))</f>
        <v/>
      </c>
      <c r="J193" s="55" t="str">
        <f>IF($B193="","",INDEX(tblStock[StockMax],'91_KPIS'!$Q193))</f>
        <v/>
      </c>
      <c r="K193" s="53" t="str">
        <f>IF($B193="","",INDEX(tblStock[Unidad],'91_KPIS'!$Q193))</f>
        <v/>
      </c>
      <c r="L193" s="55" t="str">
        <f t="shared" si="4"/>
        <v/>
      </c>
      <c r="M193" s="55" t="str">
        <f t="shared" si="5"/>
        <v/>
      </c>
      <c r="N193" s="54" t="str">
        <f>IF($B193="","",IFERROR(INDEX(tblEstados[Acción],MATCH($C193,tblEstados[Estado],0)),""))</f>
        <v/>
      </c>
      <c r="O193" s="60" t="str">
        <f>IF($B193="","",INDEX(tblStock[UltimoMov],'91_KPIS'!$Q193))</f>
        <v/>
      </c>
    </row>
    <row r="194" spans="2:15" x14ac:dyDescent="0.25">
      <c r="B194" s="62" t="str">
        <f>IF('91_KPIS'!$Q194="","",'91_KPIS'!$O194)</f>
        <v/>
      </c>
      <c r="C194" s="58" t="str">
        <f>IF($B194="","",INDEX(tblStock[Estado],'91_KPIS'!$Q194))</f>
        <v/>
      </c>
      <c r="D194" s="53" t="str">
        <f>IF($B194="","",INDEX(tblStock[SKU],'91_KPIS'!$Q194))</f>
        <v/>
      </c>
      <c r="E194" s="54" t="str">
        <f>IF($B194="","",INDEX(tblStock[Producto],'91_KPIS'!$Q194))</f>
        <v/>
      </c>
      <c r="F194" s="54" t="str">
        <f>IF($B194="","",INDEX(tblStock[Categoría],'91_KPIS'!$Q194))</f>
        <v/>
      </c>
      <c r="G194" s="54" t="str">
        <f>IF($B194="","",INDEX(tblStock[Proveedor],'91_KPIS'!$Q194)&amp;"")</f>
        <v/>
      </c>
      <c r="H194" s="56" t="str">
        <f>IF($B194="","",INDEX(tblStock[StockActual],'91_KPIS'!$Q194))</f>
        <v/>
      </c>
      <c r="I194" s="55" t="str">
        <f>IF($B194="","",INDEX(tblStock[StockMin],'91_KPIS'!$Q194))</f>
        <v/>
      </c>
      <c r="J194" s="55" t="str">
        <f>IF($B194="","",INDEX(tblStock[StockMax],'91_KPIS'!$Q194))</f>
        <v/>
      </c>
      <c r="K194" s="53" t="str">
        <f>IF($B194="","",INDEX(tblStock[Unidad],'91_KPIS'!$Q194))</f>
        <v/>
      </c>
      <c r="L194" s="55" t="str">
        <f t="shared" si="4"/>
        <v/>
      </c>
      <c r="M194" s="55" t="str">
        <f t="shared" si="5"/>
        <v/>
      </c>
      <c r="N194" s="54" t="str">
        <f>IF($B194="","",IFERROR(INDEX(tblEstados[Acción],MATCH($C194,tblEstados[Estado],0)),""))</f>
        <v/>
      </c>
      <c r="O194" s="60" t="str">
        <f>IF($B194="","",INDEX(tblStock[UltimoMov],'91_KPIS'!$Q194))</f>
        <v/>
      </c>
    </row>
    <row r="195" spans="2:15" x14ac:dyDescent="0.25">
      <c r="B195" s="62" t="str">
        <f>IF('91_KPIS'!$Q195="","",'91_KPIS'!$O195)</f>
        <v/>
      </c>
      <c r="C195" s="58" t="str">
        <f>IF($B195="","",INDEX(tblStock[Estado],'91_KPIS'!$Q195))</f>
        <v/>
      </c>
      <c r="D195" s="53" t="str">
        <f>IF($B195="","",INDEX(tblStock[SKU],'91_KPIS'!$Q195))</f>
        <v/>
      </c>
      <c r="E195" s="54" t="str">
        <f>IF($B195="","",INDEX(tblStock[Producto],'91_KPIS'!$Q195))</f>
        <v/>
      </c>
      <c r="F195" s="54" t="str">
        <f>IF($B195="","",INDEX(tblStock[Categoría],'91_KPIS'!$Q195))</f>
        <v/>
      </c>
      <c r="G195" s="54" t="str">
        <f>IF($B195="","",INDEX(tblStock[Proveedor],'91_KPIS'!$Q195)&amp;"")</f>
        <v/>
      </c>
      <c r="H195" s="56" t="str">
        <f>IF($B195="","",INDEX(tblStock[StockActual],'91_KPIS'!$Q195))</f>
        <v/>
      </c>
      <c r="I195" s="55" t="str">
        <f>IF($B195="","",INDEX(tblStock[StockMin],'91_KPIS'!$Q195))</f>
        <v/>
      </c>
      <c r="J195" s="55" t="str">
        <f>IF($B195="","",INDEX(tblStock[StockMax],'91_KPIS'!$Q195))</f>
        <v/>
      </c>
      <c r="K195" s="53" t="str">
        <f>IF($B195="","",INDEX(tblStock[Unidad],'91_KPIS'!$Q195))</f>
        <v/>
      </c>
      <c r="L195" s="55" t="str">
        <f t="shared" si="4"/>
        <v/>
      </c>
      <c r="M195" s="55" t="str">
        <f t="shared" si="5"/>
        <v/>
      </c>
      <c r="N195" s="54" t="str">
        <f>IF($B195="","",IFERROR(INDEX(tblEstados[Acción],MATCH($C195,tblEstados[Estado],0)),""))</f>
        <v/>
      </c>
      <c r="O195" s="60" t="str">
        <f>IF($B195="","",INDEX(tblStock[UltimoMov],'91_KPIS'!$Q195))</f>
        <v/>
      </c>
    </row>
    <row r="196" spans="2:15" x14ac:dyDescent="0.25">
      <c r="B196" s="62" t="str">
        <f>IF('91_KPIS'!$Q196="","",'91_KPIS'!$O196)</f>
        <v/>
      </c>
      <c r="C196" s="58" t="str">
        <f>IF($B196="","",INDEX(tblStock[Estado],'91_KPIS'!$Q196))</f>
        <v/>
      </c>
      <c r="D196" s="53" t="str">
        <f>IF($B196="","",INDEX(tblStock[SKU],'91_KPIS'!$Q196))</f>
        <v/>
      </c>
      <c r="E196" s="54" t="str">
        <f>IF($B196="","",INDEX(tblStock[Producto],'91_KPIS'!$Q196))</f>
        <v/>
      </c>
      <c r="F196" s="54" t="str">
        <f>IF($B196="","",INDEX(tblStock[Categoría],'91_KPIS'!$Q196))</f>
        <v/>
      </c>
      <c r="G196" s="54" t="str">
        <f>IF($B196="","",INDEX(tblStock[Proveedor],'91_KPIS'!$Q196)&amp;"")</f>
        <v/>
      </c>
      <c r="H196" s="56" t="str">
        <f>IF($B196="","",INDEX(tblStock[StockActual],'91_KPIS'!$Q196))</f>
        <v/>
      </c>
      <c r="I196" s="55" t="str">
        <f>IF($B196="","",INDEX(tblStock[StockMin],'91_KPIS'!$Q196))</f>
        <v/>
      </c>
      <c r="J196" s="55" t="str">
        <f>IF($B196="","",INDEX(tblStock[StockMax],'91_KPIS'!$Q196))</f>
        <v/>
      </c>
      <c r="K196" s="53" t="str">
        <f>IF($B196="","",INDEX(tblStock[Unidad],'91_KPIS'!$Q196))</f>
        <v/>
      </c>
      <c r="L196" s="55" t="str">
        <f t="shared" si="4"/>
        <v/>
      </c>
      <c r="M196" s="55" t="str">
        <f t="shared" si="5"/>
        <v/>
      </c>
      <c r="N196" s="54" t="str">
        <f>IF($B196="","",IFERROR(INDEX(tblEstados[Acción],MATCH($C196,tblEstados[Estado],0)),""))</f>
        <v/>
      </c>
      <c r="O196" s="60" t="str">
        <f>IF($B196="","",INDEX(tblStock[UltimoMov],'91_KPIS'!$Q196))</f>
        <v/>
      </c>
    </row>
    <row r="197" spans="2:15" x14ac:dyDescent="0.25">
      <c r="B197" s="62" t="str">
        <f>IF('91_KPIS'!$Q197="","",'91_KPIS'!$O197)</f>
        <v/>
      </c>
      <c r="C197" s="58" t="str">
        <f>IF($B197="","",INDEX(tblStock[Estado],'91_KPIS'!$Q197))</f>
        <v/>
      </c>
      <c r="D197" s="53" t="str">
        <f>IF($B197="","",INDEX(tblStock[SKU],'91_KPIS'!$Q197))</f>
        <v/>
      </c>
      <c r="E197" s="54" t="str">
        <f>IF($B197="","",INDEX(tblStock[Producto],'91_KPIS'!$Q197))</f>
        <v/>
      </c>
      <c r="F197" s="54" t="str">
        <f>IF($B197="","",INDEX(tblStock[Categoría],'91_KPIS'!$Q197))</f>
        <v/>
      </c>
      <c r="G197" s="54" t="str">
        <f>IF($B197="","",INDEX(tblStock[Proveedor],'91_KPIS'!$Q197)&amp;"")</f>
        <v/>
      </c>
      <c r="H197" s="56" t="str">
        <f>IF($B197="","",INDEX(tblStock[StockActual],'91_KPIS'!$Q197))</f>
        <v/>
      </c>
      <c r="I197" s="55" t="str">
        <f>IF($B197="","",INDEX(tblStock[StockMin],'91_KPIS'!$Q197))</f>
        <v/>
      </c>
      <c r="J197" s="55" t="str">
        <f>IF($B197="","",INDEX(tblStock[StockMax],'91_KPIS'!$Q197))</f>
        <v/>
      </c>
      <c r="K197" s="53" t="str">
        <f>IF($B197="","",INDEX(tblStock[Unidad],'91_KPIS'!$Q197))</f>
        <v/>
      </c>
      <c r="L197" s="55" t="str">
        <f t="shared" si="4"/>
        <v/>
      </c>
      <c r="M197" s="55" t="str">
        <f t="shared" si="5"/>
        <v/>
      </c>
      <c r="N197" s="54" t="str">
        <f>IF($B197="","",IFERROR(INDEX(tblEstados[Acción],MATCH($C197,tblEstados[Estado],0)),""))</f>
        <v/>
      </c>
      <c r="O197" s="60" t="str">
        <f>IF($B197="","",INDEX(tblStock[UltimoMov],'91_KPIS'!$Q197))</f>
        <v/>
      </c>
    </row>
    <row r="198" spans="2:15" x14ac:dyDescent="0.25">
      <c r="B198" s="62" t="str">
        <f>IF('91_KPIS'!$Q198="","",'91_KPIS'!$O198)</f>
        <v/>
      </c>
      <c r="C198" s="58" t="str">
        <f>IF($B198="","",INDEX(tblStock[Estado],'91_KPIS'!$Q198))</f>
        <v/>
      </c>
      <c r="D198" s="53" t="str">
        <f>IF($B198="","",INDEX(tblStock[SKU],'91_KPIS'!$Q198))</f>
        <v/>
      </c>
      <c r="E198" s="54" t="str">
        <f>IF($B198="","",INDEX(tblStock[Producto],'91_KPIS'!$Q198))</f>
        <v/>
      </c>
      <c r="F198" s="54" t="str">
        <f>IF($B198="","",INDEX(tblStock[Categoría],'91_KPIS'!$Q198))</f>
        <v/>
      </c>
      <c r="G198" s="54" t="str">
        <f>IF($B198="","",INDEX(tblStock[Proveedor],'91_KPIS'!$Q198)&amp;"")</f>
        <v/>
      </c>
      <c r="H198" s="56" t="str">
        <f>IF($B198="","",INDEX(tblStock[StockActual],'91_KPIS'!$Q198))</f>
        <v/>
      </c>
      <c r="I198" s="55" t="str">
        <f>IF($B198="","",INDEX(tblStock[StockMin],'91_KPIS'!$Q198))</f>
        <v/>
      </c>
      <c r="J198" s="55" t="str">
        <f>IF($B198="","",INDEX(tblStock[StockMax],'91_KPIS'!$Q198))</f>
        <v/>
      </c>
      <c r="K198" s="53" t="str">
        <f>IF($B198="","",INDEX(tblStock[Unidad],'91_KPIS'!$Q198))</f>
        <v/>
      </c>
      <c r="L198" s="55" t="str">
        <f t="shared" si="4"/>
        <v/>
      </c>
      <c r="M198" s="55" t="str">
        <f t="shared" si="5"/>
        <v/>
      </c>
      <c r="N198" s="54" t="str">
        <f>IF($B198="","",IFERROR(INDEX(tblEstados[Acción],MATCH($C198,tblEstados[Estado],0)),""))</f>
        <v/>
      </c>
      <c r="O198" s="60" t="str">
        <f>IF($B198="","",INDEX(tblStock[UltimoMov],'91_KPIS'!$Q198))</f>
        <v/>
      </c>
    </row>
    <row r="199" spans="2:15" x14ac:dyDescent="0.25">
      <c r="B199" s="62" t="str">
        <f>IF('91_KPIS'!$Q199="","",'91_KPIS'!$O199)</f>
        <v/>
      </c>
      <c r="C199" s="58" t="str">
        <f>IF($B199="","",INDEX(tblStock[Estado],'91_KPIS'!$Q199))</f>
        <v/>
      </c>
      <c r="D199" s="53" t="str">
        <f>IF($B199="","",INDEX(tblStock[SKU],'91_KPIS'!$Q199))</f>
        <v/>
      </c>
      <c r="E199" s="54" t="str">
        <f>IF($B199="","",INDEX(tblStock[Producto],'91_KPIS'!$Q199))</f>
        <v/>
      </c>
      <c r="F199" s="54" t="str">
        <f>IF($B199="","",INDEX(tblStock[Categoría],'91_KPIS'!$Q199))</f>
        <v/>
      </c>
      <c r="G199" s="54" t="str">
        <f>IF($B199="","",INDEX(tblStock[Proveedor],'91_KPIS'!$Q199)&amp;"")</f>
        <v/>
      </c>
      <c r="H199" s="56" t="str">
        <f>IF($B199="","",INDEX(tblStock[StockActual],'91_KPIS'!$Q199))</f>
        <v/>
      </c>
      <c r="I199" s="55" t="str">
        <f>IF($B199="","",INDEX(tblStock[StockMin],'91_KPIS'!$Q199))</f>
        <v/>
      </c>
      <c r="J199" s="55" t="str">
        <f>IF($B199="","",INDEX(tblStock[StockMax],'91_KPIS'!$Q199))</f>
        <v/>
      </c>
      <c r="K199" s="53" t="str">
        <f>IF($B199="","",INDEX(tblStock[Unidad],'91_KPIS'!$Q199))</f>
        <v/>
      </c>
      <c r="L199" s="55" t="str">
        <f t="shared" si="4"/>
        <v/>
      </c>
      <c r="M199" s="55" t="str">
        <f t="shared" si="5"/>
        <v/>
      </c>
      <c r="N199" s="54" t="str">
        <f>IF($B199="","",IFERROR(INDEX(tblEstados[Acción],MATCH($C199,tblEstados[Estado],0)),""))</f>
        <v/>
      </c>
      <c r="O199" s="60" t="str">
        <f>IF($B199="","",INDEX(tblStock[UltimoMov],'91_KPIS'!$Q199))</f>
        <v/>
      </c>
    </row>
    <row r="200" spans="2:15" x14ac:dyDescent="0.25">
      <c r="B200" s="62" t="str">
        <f>IF('91_KPIS'!$Q200="","",'91_KPIS'!$O200)</f>
        <v/>
      </c>
      <c r="C200" s="58" t="str">
        <f>IF($B200="","",INDEX(tblStock[Estado],'91_KPIS'!$Q200))</f>
        <v/>
      </c>
      <c r="D200" s="53" t="str">
        <f>IF($B200="","",INDEX(tblStock[SKU],'91_KPIS'!$Q200))</f>
        <v/>
      </c>
      <c r="E200" s="54" t="str">
        <f>IF($B200="","",INDEX(tblStock[Producto],'91_KPIS'!$Q200))</f>
        <v/>
      </c>
      <c r="F200" s="54" t="str">
        <f>IF($B200="","",INDEX(tblStock[Categoría],'91_KPIS'!$Q200))</f>
        <v/>
      </c>
      <c r="G200" s="54" t="str">
        <f>IF($B200="","",INDEX(tblStock[Proveedor],'91_KPIS'!$Q200)&amp;"")</f>
        <v/>
      </c>
      <c r="H200" s="56" t="str">
        <f>IF($B200="","",INDEX(tblStock[StockActual],'91_KPIS'!$Q200))</f>
        <v/>
      </c>
      <c r="I200" s="55" t="str">
        <f>IF($B200="","",INDEX(tblStock[StockMin],'91_KPIS'!$Q200))</f>
        <v/>
      </c>
      <c r="J200" s="55" t="str">
        <f>IF($B200="","",INDEX(tblStock[StockMax],'91_KPIS'!$Q200))</f>
        <v/>
      </c>
      <c r="K200" s="53" t="str">
        <f>IF($B200="","",INDEX(tblStock[Unidad],'91_KPIS'!$Q200))</f>
        <v/>
      </c>
      <c r="L200" s="55" t="str">
        <f t="shared" ref="L200:L263" si="6">IF($B200="","",MAX(0,$I200-$H200))</f>
        <v/>
      </c>
      <c r="M200" s="55" t="str">
        <f t="shared" ref="M200:M263" si="7">IF($B200="","",IF(OR($C200="SOBRESTOCK",$C200="INCONSISTENTE"),0,MAX(0,IF($J200&gt;0,$J200,2*$I200)-MAX(0,$H200))))</f>
        <v/>
      </c>
      <c r="N200" s="54" t="str">
        <f>IF($B200="","",IFERROR(INDEX(tblEstados[Acción],MATCH($C200,tblEstados[Estado],0)),""))</f>
        <v/>
      </c>
      <c r="O200" s="60" t="str">
        <f>IF($B200="","",INDEX(tblStock[UltimoMov],'91_KPIS'!$Q200))</f>
        <v/>
      </c>
    </row>
    <row r="201" spans="2:15" x14ac:dyDescent="0.25">
      <c r="B201" s="62" t="str">
        <f>IF('91_KPIS'!$Q201="","",'91_KPIS'!$O201)</f>
        <v/>
      </c>
      <c r="C201" s="58" t="str">
        <f>IF($B201="","",INDEX(tblStock[Estado],'91_KPIS'!$Q201))</f>
        <v/>
      </c>
      <c r="D201" s="53" t="str">
        <f>IF($B201="","",INDEX(tblStock[SKU],'91_KPIS'!$Q201))</f>
        <v/>
      </c>
      <c r="E201" s="54" t="str">
        <f>IF($B201="","",INDEX(tblStock[Producto],'91_KPIS'!$Q201))</f>
        <v/>
      </c>
      <c r="F201" s="54" t="str">
        <f>IF($B201="","",INDEX(tblStock[Categoría],'91_KPIS'!$Q201))</f>
        <v/>
      </c>
      <c r="G201" s="54" t="str">
        <f>IF($B201="","",INDEX(tblStock[Proveedor],'91_KPIS'!$Q201)&amp;"")</f>
        <v/>
      </c>
      <c r="H201" s="56" t="str">
        <f>IF($B201="","",INDEX(tblStock[StockActual],'91_KPIS'!$Q201))</f>
        <v/>
      </c>
      <c r="I201" s="55" t="str">
        <f>IF($B201="","",INDEX(tblStock[StockMin],'91_KPIS'!$Q201))</f>
        <v/>
      </c>
      <c r="J201" s="55" t="str">
        <f>IF($B201="","",INDEX(tblStock[StockMax],'91_KPIS'!$Q201))</f>
        <v/>
      </c>
      <c r="K201" s="53" t="str">
        <f>IF($B201="","",INDEX(tblStock[Unidad],'91_KPIS'!$Q201))</f>
        <v/>
      </c>
      <c r="L201" s="55" t="str">
        <f t="shared" si="6"/>
        <v/>
      </c>
      <c r="M201" s="55" t="str">
        <f t="shared" si="7"/>
        <v/>
      </c>
      <c r="N201" s="54" t="str">
        <f>IF($B201="","",IFERROR(INDEX(tblEstados[Acción],MATCH($C201,tblEstados[Estado],0)),""))</f>
        <v/>
      </c>
      <c r="O201" s="60" t="str">
        <f>IF($B201="","",INDEX(tblStock[UltimoMov],'91_KPIS'!$Q201))</f>
        <v/>
      </c>
    </row>
    <row r="202" spans="2:15" x14ac:dyDescent="0.25">
      <c r="B202" s="62" t="str">
        <f>IF('91_KPIS'!$Q202="","",'91_KPIS'!$O202)</f>
        <v/>
      </c>
      <c r="C202" s="58" t="str">
        <f>IF($B202="","",INDEX(tblStock[Estado],'91_KPIS'!$Q202))</f>
        <v/>
      </c>
      <c r="D202" s="53" t="str">
        <f>IF($B202="","",INDEX(tblStock[SKU],'91_KPIS'!$Q202))</f>
        <v/>
      </c>
      <c r="E202" s="54" t="str">
        <f>IF($B202="","",INDEX(tblStock[Producto],'91_KPIS'!$Q202))</f>
        <v/>
      </c>
      <c r="F202" s="54" t="str">
        <f>IF($B202="","",INDEX(tblStock[Categoría],'91_KPIS'!$Q202))</f>
        <v/>
      </c>
      <c r="G202" s="54" t="str">
        <f>IF($B202="","",INDEX(tblStock[Proveedor],'91_KPIS'!$Q202)&amp;"")</f>
        <v/>
      </c>
      <c r="H202" s="56" t="str">
        <f>IF($B202="","",INDEX(tblStock[StockActual],'91_KPIS'!$Q202))</f>
        <v/>
      </c>
      <c r="I202" s="55" t="str">
        <f>IF($B202="","",INDEX(tblStock[StockMin],'91_KPIS'!$Q202))</f>
        <v/>
      </c>
      <c r="J202" s="55" t="str">
        <f>IF($B202="","",INDEX(tblStock[StockMax],'91_KPIS'!$Q202))</f>
        <v/>
      </c>
      <c r="K202" s="53" t="str">
        <f>IF($B202="","",INDEX(tblStock[Unidad],'91_KPIS'!$Q202))</f>
        <v/>
      </c>
      <c r="L202" s="55" t="str">
        <f t="shared" si="6"/>
        <v/>
      </c>
      <c r="M202" s="55" t="str">
        <f t="shared" si="7"/>
        <v/>
      </c>
      <c r="N202" s="54" t="str">
        <f>IF($B202="","",IFERROR(INDEX(tblEstados[Acción],MATCH($C202,tblEstados[Estado],0)),""))</f>
        <v/>
      </c>
      <c r="O202" s="60" t="str">
        <f>IF($B202="","",INDEX(tblStock[UltimoMov],'91_KPIS'!$Q202))</f>
        <v/>
      </c>
    </row>
    <row r="203" spans="2:15" x14ac:dyDescent="0.25">
      <c r="B203" s="62" t="str">
        <f>IF('91_KPIS'!$Q203="","",'91_KPIS'!$O203)</f>
        <v/>
      </c>
      <c r="C203" s="58" t="str">
        <f>IF($B203="","",INDEX(tblStock[Estado],'91_KPIS'!$Q203))</f>
        <v/>
      </c>
      <c r="D203" s="53" t="str">
        <f>IF($B203="","",INDEX(tblStock[SKU],'91_KPIS'!$Q203))</f>
        <v/>
      </c>
      <c r="E203" s="54" t="str">
        <f>IF($B203="","",INDEX(tblStock[Producto],'91_KPIS'!$Q203))</f>
        <v/>
      </c>
      <c r="F203" s="54" t="str">
        <f>IF($B203="","",INDEX(tblStock[Categoría],'91_KPIS'!$Q203))</f>
        <v/>
      </c>
      <c r="G203" s="54" t="str">
        <f>IF($B203="","",INDEX(tblStock[Proveedor],'91_KPIS'!$Q203)&amp;"")</f>
        <v/>
      </c>
      <c r="H203" s="56" t="str">
        <f>IF($B203="","",INDEX(tblStock[StockActual],'91_KPIS'!$Q203))</f>
        <v/>
      </c>
      <c r="I203" s="55" t="str">
        <f>IF($B203="","",INDEX(tblStock[StockMin],'91_KPIS'!$Q203))</f>
        <v/>
      </c>
      <c r="J203" s="55" t="str">
        <f>IF($B203="","",INDEX(tblStock[StockMax],'91_KPIS'!$Q203))</f>
        <v/>
      </c>
      <c r="K203" s="53" t="str">
        <f>IF($B203="","",INDEX(tblStock[Unidad],'91_KPIS'!$Q203))</f>
        <v/>
      </c>
      <c r="L203" s="55" t="str">
        <f t="shared" si="6"/>
        <v/>
      </c>
      <c r="M203" s="55" t="str">
        <f t="shared" si="7"/>
        <v/>
      </c>
      <c r="N203" s="54" t="str">
        <f>IF($B203="","",IFERROR(INDEX(tblEstados[Acción],MATCH($C203,tblEstados[Estado],0)),""))</f>
        <v/>
      </c>
      <c r="O203" s="60" t="str">
        <f>IF($B203="","",INDEX(tblStock[UltimoMov],'91_KPIS'!$Q203))</f>
        <v/>
      </c>
    </row>
    <row r="204" spans="2:15" x14ac:dyDescent="0.25">
      <c r="B204" s="62" t="str">
        <f>IF('91_KPIS'!$Q204="","",'91_KPIS'!$O204)</f>
        <v/>
      </c>
      <c r="C204" s="58" t="str">
        <f>IF($B204="","",INDEX(tblStock[Estado],'91_KPIS'!$Q204))</f>
        <v/>
      </c>
      <c r="D204" s="53" t="str">
        <f>IF($B204="","",INDEX(tblStock[SKU],'91_KPIS'!$Q204))</f>
        <v/>
      </c>
      <c r="E204" s="54" t="str">
        <f>IF($B204="","",INDEX(tblStock[Producto],'91_KPIS'!$Q204))</f>
        <v/>
      </c>
      <c r="F204" s="54" t="str">
        <f>IF($B204="","",INDEX(tblStock[Categoría],'91_KPIS'!$Q204))</f>
        <v/>
      </c>
      <c r="G204" s="54" t="str">
        <f>IF($B204="","",INDEX(tblStock[Proveedor],'91_KPIS'!$Q204)&amp;"")</f>
        <v/>
      </c>
      <c r="H204" s="56" t="str">
        <f>IF($B204="","",INDEX(tblStock[StockActual],'91_KPIS'!$Q204))</f>
        <v/>
      </c>
      <c r="I204" s="55" t="str">
        <f>IF($B204="","",INDEX(tblStock[StockMin],'91_KPIS'!$Q204))</f>
        <v/>
      </c>
      <c r="J204" s="55" t="str">
        <f>IF($B204="","",INDEX(tblStock[StockMax],'91_KPIS'!$Q204))</f>
        <v/>
      </c>
      <c r="K204" s="53" t="str">
        <f>IF($B204="","",INDEX(tblStock[Unidad],'91_KPIS'!$Q204))</f>
        <v/>
      </c>
      <c r="L204" s="55" t="str">
        <f t="shared" si="6"/>
        <v/>
      </c>
      <c r="M204" s="55" t="str">
        <f t="shared" si="7"/>
        <v/>
      </c>
      <c r="N204" s="54" t="str">
        <f>IF($B204="","",IFERROR(INDEX(tblEstados[Acción],MATCH($C204,tblEstados[Estado],0)),""))</f>
        <v/>
      </c>
      <c r="O204" s="60" t="str">
        <f>IF($B204="","",INDEX(tblStock[UltimoMov],'91_KPIS'!$Q204))</f>
        <v/>
      </c>
    </row>
    <row r="205" spans="2:15" x14ac:dyDescent="0.25">
      <c r="B205" s="62" t="str">
        <f>IF('91_KPIS'!$Q205="","",'91_KPIS'!$O205)</f>
        <v/>
      </c>
      <c r="C205" s="58" t="str">
        <f>IF($B205="","",INDEX(tblStock[Estado],'91_KPIS'!$Q205))</f>
        <v/>
      </c>
      <c r="D205" s="53" t="str">
        <f>IF($B205="","",INDEX(tblStock[SKU],'91_KPIS'!$Q205))</f>
        <v/>
      </c>
      <c r="E205" s="54" t="str">
        <f>IF($B205="","",INDEX(tblStock[Producto],'91_KPIS'!$Q205))</f>
        <v/>
      </c>
      <c r="F205" s="54" t="str">
        <f>IF($B205="","",INDEX(tblStock[Categoría],'91_KPIS'!$Q205))</f>
        <v/>
      </c>
      <c r="G205" s="54" t="str">
        <f>IF($B205="","",INDEX(tblStock[Proveedor],'91_KPIS'!$Q205)&amp;"")</f>
        <v/>
      </c>
      <c r="H205" s="56" t="str">
        <f>IF($B205="","",INDEX(tblStock[StockActual],'91_KPIS'!$Q205))</f>
        <v/>
      </c>
      <c r="I205" s="55" t="str">
        <f>IF($B205="","",INDEX(tblStock[StockMin],'91_KPIS'!$Q205))</f>
        <v/>
      </c>
      <c r="J205" s="55" t="str">
        <f>IF($B205="","",INDEX(tblStock[StockMax],'91_KPIS'!$Q205))</f>
        <v/>
      </c>
      <c r="K205" s="53" t="str">
        <f>IF($B205="","",INDEX(tblStock[Unidad],'91_KPIS'!$Q205))</f>
        <v/>
      </c>
      <c r="L205" s="55" t="str">
        <f t="shared" si="6"/>
        <v/>
      </c>
      <c r="M205" s="55" t="str">
        <f t="shared" si="7"/>
        <v/>
      </c>
      <c r="N205" s="54" t="str">
        <f>IF($B205="","",IFERROR(INDEX(tblEstados[Acción],MATCH($C205,tblEstados[Estado],0)),""))</f>
        <v/>
      </c>
      <c r="O205" s="60" t="str">
        <f>IF($B205="","",INDEX(tblStock[UltimoMov],'91_KPIS'!$Q205))</f>
        <v/>
      </c>
    </row>
    <row r="206" spans="2:15" x14ac:dyDescent="0.25">
      <c r="B206" s="62" t="str">
        <f>IF('91_KPIS'!$Q206="","",'91_KPIS'!$O206)</f>
        <v/>
      </c>
      <c r="C206" s="58" t="str">
        <f>IF($B206="","",INDEX(tblStock[Estado],'91_KPIS'!$Q206))</f>
        <v/>
      </c>
      <c r="D206" s="53" t="str">
        <f>IF($B206="","",INDEX(tblStock[SKU],'91_KPIS'!$Q206))</f>
        <v/>
      </c>
      <c r="E206" s="54" t="str">
        <f>IF($B206="","",INDEX(tblStock[Producto],'91_KPIS'!$Q206))</f>
        <v/>
      </c>
      <c r="F206" s="54" t="str">
        <f>IF($B206="","",INDEX(tblStock[Categoría],'91_KPIS'!$Q206))</f>
        <v/>
      </c>
      <c r="G206" s="54" t="str">
        <f>IF($B206="","",INDEX(tblStock[Proveedor],'91_KPIS'!$Q206)&amp;"")</f>
        <v/>
      </c>
      <c r="H206" s="56" t="str">
        <f>IF($B206="","",INDEX(tblStock[StockActual],'91_KPIS'!$Q206))</f>
        <v/>
      </c>
      <c r="I206" s="55" t="str">
        <f>IF($B206="","",INDEX(tblStock[StockMin],'91_KPIS'!$Q206))</f>
        <v/>
      </c>
      <c r="J206" s="55" t="str">
        <f>IF($B206="","",INDEX(tblStock[StockMax],'91_KPIS'!$Q206))</f>
        <v/>
      </c>
      <c r="K206" s="53" t="str">
        <f>IF($B206="","",INDEX(tblStock[Unidad],'91_KPIS'!$Q206))</f>
        <v/>
      </c>
      <c r="L206" s="55" t="str">
        <f t="shared" si="6"/>
        <v/>
      </c>
      <c r="M206" s="55" t="str">
        <f t="shared" si="7"/>
        <v/>
      </c>
      <c r="N206" s="54" t="str">
        <f>IF($B206="","",IFERROR(INDEX(tblEstados[Acción],MATCH($C206,tblEstados[Estado],0)),""))</f>
        <v/>
      </c>
      <c r="O206" s="60" t="str">
        <f>IF($B206="","",INDEX(tblStock[UltimoMov],'91_KPIS'!$Q206))</f>
        <v/>
      </c>
    </row>
    <row r="207" spans="2:15" x14ac:dyDescent="0.25">
      <c r="B207" s="62" t="str">
        <f>IF('91_KPIS'!$Q207="","",'91_KPIS'!$O207)</f>
        <v/>
      </c>
      <c r="C207" s="58" t="str">
        <f>IF($B207="","",INDEX(tblStock[Estado],'91_KPIS'!$Q207))</f>
        <v/>
      </c>
      <c r="D207" s="53" t="str">
        <f>IF($B207="","",INDEX(tblStock[SKU],'91_KPIS'!$Q207))</f>
        <v/>
      </c>
      <c r="E207" s="54" t="str">
        <f>IF($B207="","",INDEX(tblStock[Producto],'91_KPIS'!$Q207))</f>
        <v/>
      </c>
      <c r="F207" s="54" t="str">
        <f>IF($B207="","",INDEX(tblStock[Categoría],'91_KPIS'!$Q207))</f>
        <v/>
      </c>
      <c r="G207" s="54" t="str">
        <f>IF($B207="","",INDEX(tblStock[Proveedor],'91_KPIS'!$Q207)&amp;"")</f>
        <v/>
      </c>
      <c r="H207" s="56" t="str">
        <f>IF($B207="","",INDEX(tblStock[StockActual],'91_KPIS'!$Q207))</f>
        <v/>
      </c>
      <c r="I207" s="55" t="str">
        <f>IF($B207="","",INDEX(tblStock[StockMin],'91_KPIS'!$Q207))</f>
        <v/>
      </c>
      <c r="J207" s="55" t="str">
        <f>IF($B207="","",INDEX(tblStock[StockMax],'91_KPIS'!$Q207))</f>
        <v/>
      </c>
      <c r="K207" s="53" t="str">
        <f>IF($B207="","",INDEX(tblStock[Unidad],'91_KPIS'!$Q207))</f>
        <v/>
      </c>
      <c r="L207" s="55" t="str">
        <f t="shared" si="6"/>
        <v/>
      </c>
      <c r="M207" s="55" t="str">
        <f t="shared" si="7"/>
        <v/>
      </c>
      <c r="N207" s="54" t="str">
        <f>IF($B207="","",IFERROR(INDEX(tblEstados[Acción],MATCH($C207,tblEstados[Estado],0)),""))</f>
        <v/>
      </c>
      <c r="O207" s="60" t="str">
        <f>IF($B207="","",INDEX(tblStock[UltimoMov],'91_KPIS'!$Q207))</f>
        <v/>
      </c>
    </row>
    <row r="208" spans="2:15" x14ac:dyDescent="0.25">
      <c r="B208" s="62" t="str">
        <f>IF('91_KPIS'!$Q208="","",'91_KPIS'!$O208)</f>
        <v/>
      </c>
      <c r="C208" s="58" t="str">
        <f>IF($B208="","",INDEX(tblStock[Estado],'91_KPIS'!$Q208))</f>
        <v/>
      </c>
      <c r="D208" s="53" t="str">
        <f>IF($B208="","",INDEX(tblStock[SKU],'91_KPIS'!$Q208))</f>
        <v/>
      </c>
      <c r="E208" s="54" t="str">
        <f>IF($B208="","",INDEX(tblStock[Producto],'91_KPIS'!$Q208))</f>
        <v/>
      </c>
      <c r="F208" s="54" t="str">
        <f>IF($B208="","",INDEX(tblStock[Categoría],'91_KPIS'!$Q208))</f>
        <v/>
      </c>
      <c r="G208" s="54" t="str">
        <f>IF($B208="","",INDEX(tblStock[Proveedor],'91_KPIS'!$Q208)&amp;"")</f>
        <v/>
      </c>
      <c r="H208" s="56" t="str">
        <f>IF($B208="","",INDEX(tblStock[StockActual],'91_KPIS'!$Q208))</f>
        <v/>
      </c>
      <c r="I208" s="55" t="str">
        <f>IF($B208="","",INDEX(tblStock[StockMin],'91_KPIS'!$Q208))</f>
        <v/>
      </c>
      <c r="J208" s="55" t="str">
        <f>IF($B208="","",INDEX(tblStock[StockMax],'91_KPIS'!$Q208))</f>
        <v/>
      </c>
      <c r="K208" s="53" t="str">
        <f>IF($B208="","",INDEX(tblStock[Unidad],'91_KPIS'!$Q208))</f>
        <v/>
      </c>
      <c r="L208" s="55" t="str">
        <f t="shared" si="6"/>
        <v/>
      </c>
      <c r="M208" s="55" t="str">
        <f t="shared" si="7"/>
        <v/>
      </c>
      <c r="N208" s="54" t="str">
        <f>IF($B208="","",IFERROR(INDEX(tblEstados[Acción],MATCH($C208,tblEstados[Estado],0)),""))</f>
        <v/>
      </c>
      <c r="O208" s="60" t="str">
        <f>IF($B208="","",INDEX(tblStock[UltimoMov],'91_KPIS'!$Q208))</f>
        <v/>
      </c>
    </row>
    <row r="209" spans="2:15" x14ac:dyDescent="0.25">
      <c r="B209" s="62" t="str">
        <f>IF('91_KPIS'!$Q209="","",'91_KPIS'!$O209)</f>
        <v/>
      </c>
      <c r="C209" s="58" t="str">
        <f>IF($B209="","",INDEX(tblStock[Estado],'91_KPIS'!$Q209))</f>
        <v/>
      </c>
      <c r="D209" s="53" t="str">
        <f>IF($B209="","",INDEX(tblStock[SKU],'91_KPIS'!$Q209))</f>
        <v/>
      </c>
      <c r="E209" s="54" t="str">
        <f>IF($B209="","",INDEX(tblStock[Producto],'91_KPIS'!$Q209))</f>
        <v/>
      </c>
      <c r="F209" s="54" t="str">
        <f>IF($B209="","",INDEX(tblStock[Categoría],'91_KPIS'!$Q209))</f>
        <v/>
      </c>
      <c r="G209" s="54" t="str">
        <f>IF($B209="","",INDEX(tblStock[Proveedor],'91_KPIS'!$Q209)&amp;"")</f>
        <v/>
      </c>
      <c r="H209" s="56" t="str">
        <f>IF($B209="","",INDEX(tblStock[StockActual],'91_KPIS'!$Q209))</f>
        <v/>
      </c>
      <c r="I209" s="55" t="str">
        <f>IF($B209="","",INDEX(tblStock[StockMin],'91_KPIS'!$Q209))</f>
        <v/>
      </c>
      <c r="J209" s="55" t="str">
        <f>IF($B209="","",INDEX(tblStock[StockMax],'91_KPIS'!$Q209))</f>
        <v/>
      </c>
      <c r="K209" s="53" t="str">
        <f>IF($B209="","",INDEX(tblStock[Unidad],'91_KPIS'!$Q209))</f>
        <v/>
      </c>
      <c r="L209" s="55" t="str">
        <f t="shared" si="6"/>
        <v/>
      </c>
      <c r="M209" s="55" t="str">
        <f t="shared" si="7"/>
        <v/>
      </c>
      <c r="N209" s="54" t="str">
        <f>IF($B209="","",IFERROR(INDEX(tblEstados[Acción],MATCH($C209,tblEstados[Estado],0)),""))</f>
        <v/>
      </c>
      <c r="O209" s="60" t="str">
        <f>IF($B209="","",INDEX(tblStock[UltimoMov],'91_KPIS'!$Q209))</f>
        <v/>
      </c>
    </row>
    <row r="210" spans="2:15" x14ac:dyDescent="0.25">
      <c r="B210" s="62" t="str">
        <f>IF('91_KPIS'!$Q210="","",'91_KPIS'!$O210)</f>
        <v/>
      </c>
      <c r="C210" s="58" t="str">
        <f>IF($B210="","",INDEX(tblStock[Estado],'91_KPIS'!$Q210))</f>
        <v/>
      </c>
      <c r="D210" s="53" t="str">
        <f>IF($B210="","",INDEX(tblStock[SKU],'91_KPIS'!$Q210))</f>
        <v/>
      </c>
      <c r="E210" s="54" t="str">
        <f>IF($B210="","",INDEX(tblStock[Producto],'91_KPIS'!$Q210))</f>
        <v/>
      </c>
      <c r="F210" s="54" t="str">
        <f>IF($B210="","",INDEX(tblStock[Categoría],'91_KPIS'!$Q210))</f>
        <v/>
      </c>
      <c r="G210" s="54" t="str">
        <f>IF($B210="","",INDEX(tblStock[Proveedor],'91_KPIS'!$Q210)&amp;"")</f>
        <v/>
      </c>
      <c r="H210" s="56" t="str">
        <f>IF($B210="","",INDEX(tblStock[StockActual],'91_KPIS'!$Q210))</f>
        <v/>
      </c>
      <c r="I210" s="55" t="str">
        <f>IF($B210="","",INDEX(tblStock[StockMin],'91_KPIS'!$Q210))</f>
        <v/>
      </c>
      <c r="J210" s="55" t="str">
        <f>IF($B210="","",INDEX(tblStock[StockMax],'91_KPIS'!$Q210))</f>
        <v/>
      </c>
      <c r="K210" s="53" t="str">
        <f>IF($B210="","",INDEX(tblStock[Unidad],'91_KPIS'!$Q210))</f>
        <v/>
      </c>
      <c r="L210" s="55" t="str">
        <f t="shared" si="6"/>
        <v/>
      </c>
      <c r="M210" s="55" t="str">
        <f t="shared" si="7"/>
        <v/>
      </c>
      <c r="N210" s="54" t="str">
        <f>IF($B210="","",IFERROR(INDEX(tblEstados[Acción],MATCH($C210,tblEstados[Estado],0)),""))</f>
        <v/>
      </c>
      <c r="O210" s="60" t="str">
        <f>IF($B210="","",INDEX(tblStock[UltimoMov],'91_KPIS'!$Q210))</f>
        <v/>
      </c>
    </row>
    <row r="211" spans="2:15" x14ac:dyDescent="0.25">
      <c r="B211" s="62" t="str">
        <f>IF('91_KPIS'!$Q211="","",'91_KPIS'!$O211)</f>
        <v/>
      </c>
      <c r="C211" s="58" t="str">
        <f>IF($B211="","",INDEX(tblStock[Estado],'91_KPIS'!$Q211))</f>
        <v/>
      </c>
      <c r="D211" s="53" t="str">
        <f>IF($B211="","",INDEX(tblStock[SKU],'91_KPIS'!$Q211))</f>
        <v/>
      </c>
      <c r="E211" s="54" t="str">
        <f>IF($B211="","",INDEX(tblStock[Producto],'91_KPIS'!$Q211))</f>
        <v/>
      </c>
      <c r="F211" s="54" t="str">
        <f>IF($B211="","",INDEX(tblStock[Categoría],'91_KPIS'!$Q211))</f>
        <v/>
      </c>
      <c r="G211" s="54" t="str">
        <f>IF($B211="","",INDEX(tblStock[Proveedor],'91_KPIS'!$Q211)&amp;"")</f>
        <v/>
      </c>
      <c r="H211" s="56" t="str">
        <f>IF($B211="","",INDEX(tblStock[StockActual],'91_KPIS'!$Q211))</f>
        <v/>
      </c>
      <c r="I211" s="55" t="str">
        <f>IF($B211="","",INDEX(tblStock[StockMin],'91_KPIS'!$Q211))</f>
        <v/>
      </c>
      <c r="J211" s="55" t="str">
        <f>IF($B211="","",INDEX(tblStock[StockMax],'91_KPIS'!$Q211))</f>
        <v/>
      </c>
      <c r="K211" s="53" t="str">
        <f>IF($B211="","",INDEX(tblStock[Unidad],'91_KPIS'!$Q211))</f>
        <v/>
      </c>
      <c r="L211" s="55" t="str">
        <f t="shared" si="6"/>
        <v/>
      </c>
      <c r="M211" s="55" t="str">
        <f t="shared" si="7"/>
        <v/>
      </c>
      <c r="N211" s="54" t="str">
        <f>IF($B211="","",IFERROR(INDEX(tblEstados[Acción],MATCH($C211,tblEstados[Estado],0)),""))</f>
        <v/>
      </c>
      <c r="O211" s="60" t="str">
        <f>IF($B211="","",INDEX(tblStock[UltimoMov],'91_KPIS'!$Q211))</f>
        <v/>
      </c>
    </row>
    <row r="212" spans="2:15" x14ac:dyDescent="0.25">
      <c r="B212" s="62" t="str">
        <f>IF('91_KPIS'!$Q212="","",'91_KPIS'!$O212)</f>
        <v/>
      </c>
      <c r="C212" s="58" t="str">
        <f>IF($B212="","",INDEX(tblStock[Estado],'91_KPIS'!$Q212))</f>
        <v/>
      </c>
      <c r="D212" s="53" t="str">
        <f>IF($B212="","",INDEX(tblStock[SKU],'91_KPIS'!$Q212))</f>
        <v/>
      </c>
      <c r="E212" s="54" t="str">
        <f>IF($B212="","",INDEX(tblStock[Producto],'91_KPIS'!$Q212))</f>
        <v/>
      </c>
      <c r="F212" s="54" t="str">
        <f>IF($B212="","",INDEX(tblStock[Categoría],'91_KPIS'!$Q212))</f>
        <v/>
      </c>
      <c r="G212" s="54" t="str">
        <f>IF($B212="","",INDEX(tblStock[Proveedor],'91_KPIS'!$Q212)&amp;"")</f>
        <v/>
      </c>
      <c r="H212" s="56" t="str">
        <f>IF($B212="","",INDEX(tblStock[StockActual],'91_KPIS'!$Q212))</f>
        <v/>
      </c>
      <c r="I212" s="55" t="str">
        <f>IF($B212="","",INDEX(tblStock[StockMin],'91_KPIS'!$Q212))</f>
        <v/>
      </c>
      <c r="J212" s="55" t="str">
        <f>IF($B212="","",INDEX(tblStock[StockMax],'91_KPIS'!$Q212))</f>
        <v/>
      </c>
      <c r="K212" s="53" t="str">
        <f>IF($B212="","",INDEX(tblStock[Unidad],'91_KPIS'!$Q212))</f>
        <v/>
      </c>
      <c r="L212" s="55" t="str">
        <f t="shared" si="6"/>
        <v/>
      </c>
      <c r="M212" s="55" t="str">
        <f t="shared" si="7"/>
        <v/>
      </c>
      <c r="N212" s="54" t="str">
        <f>IF($B212="","",IFERROR(INDEX(tblEstados[Acción],MATCH($C212,tblEstados[Estado],0)),""))</f>
        <v/>
      </c>
      <c r="O212" s="60" t="str">
        <f>IF($B212="","",INDEX(tblStock[UltimoMov],'91_KPIS'!$Q212))</f>
        <v/>
      </c>
    </row>
    <row r="213" spans="2:15" x14ac:dyDescent="0.25">
      <c r="B213" s="62" t="str">
        <f>IF('91_KPIS'!$Q213="","",'91_KPIS'!$O213)</f>
        <v/>
      </c>
      <c r="C213" s="58" t="str">
        <f>IF($B213="","",INDEX(tblStock[Estado],'91_KPIS'!$Q213))</f>
        <v/>
      </c>
      <c r="D213" s="53" t="str">
        <f>IF($B213="","",INDEX(tblStock[SKU],'91_KPIS'!$Q213))</f>
        <v/>
      </c>
      <c r="E213" s="54" t="str">
        <f>IF($B213="","",INDEX(tblStock[Producto],'91_KPIS'!$Q213))</f>
        <v/>
      </c>
      <c r="F213" s="54" t="str">
        <f>IF($B213="","",INDEX(tblStock[Categoría],'91_KPIS'!$Q213))</f>
        <v/>
      </c>
      <c r="G213" s="54" t="str">
        <f>IF($B213="","",INDEX(tblStock[Proveedor],'91_KPIS'!$Q213)&amp;"")</f>
        <v/>
      </c>
      <c r="H213" s="56" t="str">
        <f>IF($B213="","",INDEX(tblStock[StockActual],'91_KPIS'!$Q213))</f>
        <v/>
      </c>
      <c r="I213" s="55" t="str">
        <f>IF($B213="","",INDEX(tblStock[StockMin],'91_KPIS'!$Q213))</f>
        <v/>
      </c>
      <c r="J213" s="55" t="str">
        <f>IF($B213="","",INDEX(tblStock[StockMax],'91_KPIS'!$Q213))</f>
        <v/>
      </c>
      <c r="K213" s="53" t="str">
        <f>IF($B213="","",INDEX(tblStock[Unidad],'91_KPIS'!$Q213))</f>
        <v/>
      </c>
      <c r="L213" s="55" t="str">
        <f t="shared" si="6"/>
        <v/>
      </c>
      <c r="M213" s="55" t="str">
        <f t="shared" si="7"/>
        <v/>
      </c>
      <c r="N213" s="54" t="str">
        <f>IF($B213="","",IFERROR(INDEX(tblEstados[Acción],MATCH($C213,tblEstados[Estado],0)),""))</f>
        <v/>
      </c>
      <c r="O213" s="60" t="str">
        <f>IF($B213="","",INDEX(tblStock[UltimoMov],'91_KPIS'!$Q213))</f>
        <v/>
      </c>
    </row>
    <row r="214" spans="2:15" x14ac:dyDescent="0.25">
      <c r="B214" s="62" t="str">
        <f>IF('91_KPIS'!$Q214="","",'91_KPIS'!$O214)</f>
        <v/>
      </c>
      <c r="C214" s="58" t="str">
        <f>IF($B214="","",INDEX(tblStock[Estado],'91_KPIS'!$Q214))</f>
        <v/>
      </c>
      <c r="D214" s="53" t="str">
        <f>IF($B214="","",INDEX(tblStock[SKU],'91_KPIS'!$Q214))</f>
        <v/>
      </c>
      <c r="E214" s="54" t="str">
        <f>IF($B214="","",INDEX(tblStock[Producto],'91_KPIS'!$Q214))</f>
        <v/>
      </c>
      <c r="F214" s="54" t="str">
        <f>IF($B214="","",INDEX(tblStock[Categoría],'91_KPIS'!$Q214))</f>
        <v/>
      </c>
      <c r="G214" s="54" t="str">
        <f>IF($B214="","",INDEX(tblStock[Proveedor],'91_KPIS'!$Q214)&amp;"")</f>
        <v/>
      </c>
      <c r="H214" s="56" t="str">
        <f>IF($B214="","",INDEX(tblStock[StockActual],'91_KPIS'!$Q214))</f>
        <v/>
      </c>
      <c r="I214" s="55" t="str">
        <f>IF($B214="","",INDEX(tblStock[StockMin],'91_KPIS'!$Q214))</f>
        <v/>
      </c>
      <c r="J214" s="55" t="str">
        <f>IF($B214="","",INDEX(tblStock[StockMax],'91_KPIS'!$Q214))</f>
        <v/>
      </c>
      <c r="K214" s="53" t="str">
        <f>IF($B214="","",INDEX(tblStock[Unidad],'91_KPIS'!$Q214))</f>
        <v/>
      </c>
      <c r="L214" s="55" t="str">
        <f t="shared" si="6"/>
        <v/>
      </c>
      <c r="M214" s="55" t="str">
        <f t="shared" si="7"/>
        <v/>
      </c>
      <c r="N214" s="54" t="str">
        <f>IF($B214="","",IFERROR(INDEX(tblEstados[Acción],MATCH($C214,tblEstados[Estado],0)),""))</f>
        <v/>
      </c>
      <c r="O214" s="60" t="str">
        <f>IF($B214="","",INDEX(tblStock[UltimoMov],'91_KPIS'!$Q214))</f>
        <v/>
      </c>
    </row>
    <row r="215" spans="2:15" x14ac:dyDescent="0.25">
      <c r="B215" s="62" t="str">
        <f>IF('91_KPIS'!$Q215="","",'91_KPIS'!$O215)</f>
        <v/>
      </c>
      <c r="C215" s="58" t="str">
        <f>IF($B215="","",INDEX(tblStock[Estado],'91_KPIS'!$Q215))</f>
        <v/>
      </c>
      <c r="D215" s="53" t="str">
        <f>IF($B215="","",INDEX(tblStock[SKU],'91_KPIS'!$Q215))</f>
        <v/>
      </c>
      <c r="E215" s="54" t="str">
        <f>IF($B215="","",INDEX(tblStock[Producto],'91_KPIS'!$Q215))</f>
        <v/>
      </c>
      <c r="F215" s="54" t="str">
        <f>IF($B215="","",INDEX(tblStock[Categoría],'91_KPIS'!$Q215))</f>
        <v/>
      </c>
      <c r="G215" s="54" t="str">
        <f>IF($B215="","",INDEX(tblStock[Proveedor],'91_KPIS'!$Q215)&amp;"")</f>
        <v/>
      </c>
      <c r="H215" s="56" t="str">
        <f>IF($B215="","",INDEX(tblStock[StockActual],'91_KPIS'!$Q215))</f>
        <v/>
      </c>
      <c r="I215" s="55" t="str">
        <f>IF($B215="","",INDEX(tblStock[StockMin],'91_KPIS'!$Q215))</f>
        <v/>
      </c>
      <c r="J215" s="55" t="str">
        <f>IF($B215="","",INDEX(tblStock[StockMax],'91_KPIS'!$Q215))</f>
        <v/>
      </c>
      <c r="K215" s="53" t="str">
        <f>IF($B215="","",INDEX(tblStock[Unidad],'91_KPIS'!$Q215))</f>
        <v/>
      </c>
      <c r="L215" s="55" t="str">
        <f t="shared" si="6"/>
        <v/>
      </c>
      <c r="M215" s="55" t="str">
        <f t="shared" si="7"/>
        <v/>
      </c>
      <c r="N215" s="54" t="str">
        <f>IF($B215="","",IFERROR(INDEX(tblEstados[Acción],MATCH($C215,tblEstados[Estado],0)),""))</f>
        <v/>
      </c>
      <c r="O215" s="60" t="str">
        <f>IF($B215="","",INDEX(tblStock[UltimoMov],'91_KPIS'!$Q215))</f>
        <v/>
      </c>
    </row>
    <row r="216" spans="2:15" x14ac:dyDescent="0.25">
      <c r="B216" s="62" t="str">
        <f>IF('91_KPIS'!$Q216="","",'91_KPIS'!$O216)</f>
        <v/>
      </c>
      <c r="C216" s="58" t="str">
        <f>IF($B216="","",INDEX(tblStock[Estado],'91_KPIS'!$Q216))</f>
        <v/>
      </c>
      <c r="D216" s="53" t="str">
        <f>IF($B216="","",INDEX(tblStock[SKU],'91_KPIS'!$Q216))</f>
        <v/>
      </c>
      <c r="E216" s="54" t="str">
        <f>IF($B216="","",INDEX(tblStock[Producto],'91_KPIS'!$Q216))</f>
        <v/>
      </c>
      <c r="F216" s="54" t="str">
        <f>IF($B216="","",INDEX(tblStock[Categoría],'91_KPIS'!$Q216))</f>
        <v/>
      </c>
      <c r="G216" s="54" t="str">
        <f>IF($B216="","",INDEX(tblStock[Proveedor],'91_KPIS'!$Q216)&amp;"")</f>
        <v/>
      </c>
      <c r="H216" s="56" t="str">
        <f>IF($B216="","",INDEX(tblStock[StockActual],'91_KPIS'!$Q216))</f>
        <v/>
      </c>
      <c r="I216" s="55" t="str">
        <f>IF($B216="","",INDEX(tblStock[StockMin],'91_KPIS'!$Q216))</f>
        <v/>
      </c>
      <c r="J216" s="55" t="str">
        <f>IF($B216="","",INDEX(tblStock[StockMax],'91_KPIS'!$Q216))</f>
        <v/>
      </c>
      <c r="K216" s="53" t="str">
        <f>IF($B216="","",INDEX(tblStock[Unidad],'91_KPIS'!$Q216))</f>
        <v/>
      </c>
      <c r="L216" s="55" t="str">
        <f t="shared" si="6"/>
        <v/>
      </c>
      <c r="M216" s="55" t="str">
        <f t="shared" si="7"/>
        <v/>
      </c>
      <c r="N216" s="54" t="str">
        <f>IF($B216="","",IFERROR(INDEX(tblEstados[Acción],MATCH($C216,tblEstados[Estado],0)),""))</f>
        <v/>
      </c>
      <c r="O216" s="60" t="str">
        <f>IF($B216="","",INDEX(tblStock[UltimoMov],'91_KPIS'!$Q216))</f>
        <v/>
      </c>
    </row>
    <row r="217" spans="2:15" x14ac:dyDescent="0.25">
      <c r="B217" s="62" t="str">
        <f>IF('91_KPIS'!$Q217="","",'91_KPIS'!$O217)</f>
        <v/>
      </c>
      <c r="C217" s="58" t="str">
        <f>IF($B217="","",INDEX(tblStock[Estado],'91_KPIS'!$Q217))</f>
        <v/>
      </c>
      <c r="D217" s="53" t="str">
        <f>IF($B217="","",INDEX(tblStock[SKU],'91_KPIS'!$Q217))</f>
        <v/>
      </c>
      <c r="E217" s="54" t="str">
        <f>IF($B217="","",INDEX(tblStock[Producto],'91_KPIS'!$Q217))</f>
        <v/>
      </c>
      <c r="F217" s="54" t="str">
        <f>IF($B217="","",INDEX(tblStock[Categoría],'91_KPIS'!$Q217))</f>
        <v/>
      </c>
      <c r="G217" s="54" t="str">
        <f>IF($B217="","",INDEX(tblStock[Proveedor],'91_KPIS'!$Q217)&amp;"")</f>
        <v/>
      </c>
      <c r="H217" s="56" t="str">
        <f>IF($B217="","",INDEX(tblStock[StockActual],'91_KPIS'!$Q217))</f>
        <v/>
      </c>
      <c r="I217" s="55" t="str">
        <f>IF($B217="","",INDEX(tblStock[StockMin],'91_KPIS'!$Q217))</f>
        <v/>
      </c>
      <c r="J217" s="55" t="str">
        <f>IF($B217="","",INDEX(tblStock[StockMax],'91_KPIS'!$Q217))</f>
        <v/>
      </c>
      <c r="K217" s="53" t="str">
        <f>IF($B217="","",INDEX(tblStock[Unidad],'91_KPIS'!$Q217))</f>
        <v/>
      </c>
      <c r="L217" s="55" t="str">
        <f t="shared" si="6"/>
        <v/>
      </c>
      <c r="M217" s="55" t="str">
        <f t="shared" si="7"/>
        <v/>
      </c>
      <c r="N217" s="54" t="str">
        <f>IF($B217="","",IFERROR(INDEX(tblEstados[Acción],MATCH($C217,tblEstados[Estado],0)),""))</f>
        <v/>
      </c>
      <c r="O217" s="60" t="str">
        <f>IF($B217="","",INDEX(tblStock[UltimoMov],'91_KPIS'!$Q217))</f>
        <v/>
      </c>
    </row>
    <row r="218" spans="2:15" x14ac:dyDescent="0.25">
      <c r="B218" s="62" t="str">
        <f>IF('91_KPIS'!$Q218="","",'91_KPIS'!$O218)</f>
        <v/>
      </c>
      <c r="C218" s="58" t="str">
        <f>IF($B218="","",INDEX(tblStock[Estado],'91_KPIS'!$Q218))</f>
        <v/>
      </c>
      <c r="D218" s="53" t="str">
        <f>IF($B218="","",INDEX(tblStock[SKU],'91_KPIS'!$Q218))</f>
        <v/>
      </c>
      <c r="E218" s="54" t="str">
        <f>IF($B218="","",INDEX(tblStock[Producto],'91_KPIS'!$Q218))</f>
        <v/>
      </c>
      <c r="F218" s="54" t="str">
        <f>IF($B218="","",INDEX(tblStock[Categoría],'91_KPIS'!$Q218))</f>
        <v/>
      </c>
      <c r="G218" s="54" t="str">
        <f>IF($B218="","",INDEX(tblStock[Proveedor],'91_KPIS'!$Q218)&amp;"")</f>
        <v/>
      </c>
      <c r="H218" s="56" t="str">
        <f>IF($B218="","",INDEX(tblStock[StockActual],'91_KPIS'!$Q218))</f>
        <v/>
      </c>
      <c r="I218" s="55" t="str">
        <f>IF($B218="","",INDEX(tblStock[StockMin],'91_KPIS'!$Q218))</f>
        <v/>
      </c>
      <c r="J218" s="55" t="str">
        <f>IF($B218="","",INDEX(tblStock[StockMax],'91_KPIS'!$Q218))</f>
        <v/>
      </c>
      <c r="K218" s="53" t="str">
        <f>IF($B218="","",INDEX(tblStock[Unidad],'91_KPIS'!$Q218))</f>
        <v/>
      </c>
      <c r="L218" s="55" t="str">
        <f t="shared" si="6"/>
        <v/>
      </c>
      <c r="M218" s="55" t="str">
        <f t="shared" si="7"/>
        <v/>
      </c>
      <c r="N218" s="54" t="str">
        <f>IF($B218="","",IFERROR(INDEX(tblEstados[Acción],MATCH($C218,tblEstados[Estado],0)),""))</f>
        <v/>
      </c>
      <c r="O218" s="60" t="str">
        <f>IF($B218="","",INDEX(tblStock[UltimoMov],'91_KPIS'!$Q218))</f>
        <v/>
      </c>
    </row>
    <row r="219" spans="2:15" x14ac:dyDescent="0.25">
      <c r="B219" s="62" t="str">
        <f>IF('91_KPIS'!$Q219="","",'91_KPIS'!$O219)</f>
        <v/>
      </c>
      <c r="C219" s="58" t="str">
        <f>IF($B219="","",INDEX(tblStock[Estado],'91_KPIS'!$Q219))</f>
        <v/>
      </c>
      <c r="D219" s="53" t="str">
        <f>IF($B219="","",INDEX(tblStock[SKU],'91_KPIS'!$Q219))</f>
        <v/>
      </c>
      <c r="E219" s="54" t="str">
        <f>IF($B219="","",INDEX(tblStock[Producto],'91_KPIS'!$Q219))</f>
        <v/>
      </c>
      <c r="F219" s="54" t="str">
        <f>IF($B219="","",INDEX(tblStock[Categoría],'91_KPIS'!$Q219))</f>
        <v/>
      </c>
      <c r="G219" s="54" t="str">
        <f>IF($B219="","",INDEX(tblStock[Proveedor],'91_KPIS'!$Q219)&amp;"")</f>
        <v/>
      </c>
      <c r="H219" s="56" t="str">
        <f>IF($B219="","",INDEX(tblStock[StockActual],'91_KPIS'!$Q219))</f>
        <v/>
      </c>
      <c r="I219" s="55" t="str">
        <f>IF($B219="","",INDEX(tblStock[StockMin],'91_KPIS'!$Q219))</f>
        <v/>
      </c>
      <c r="J219" s="55" t="str">
        <f>IF($B219="","",INDEX(tblStock[StockMax],'91_KPIS'!$Q219))</f>
        <v/>
      </c>
      <c r="K219" s="53" t="str">
        <f>IF($B219="","",INDEX(tblStock[Unidad],'91_KPIS'!$Q219))</f>
        <v/>
      </c>
      <c r="L219" s="55" t="str">
        <f t="shared" si="6"/>
        <v/>
      </c>
      <c r="M219" s="55" t="str">
        <f t="shared" si="7"/>
        <v/>
      </c>
      <c r="N219" s="54" t="str">
        <f>IF($B219="","",IFERROR(INDEX(tblEstados[Acción],MATCH($C219,tblEstados[Estado],0)),""))</f>
        <v/>
      </c>
      <c r="O219" s="60" t="str">
        <f>IF($B219="","",INDEX(tblStock[UltimoMov],'91_KPIS'!$Q219))</f>
        <v/>
      </c>
    </row>
    <row r="220" spans="2:15" x14ac:dyDescent="0.25">
      <c r="B220" s="62" t="str">
        <f>IF('91_KPIS'!$Q220="","",'91_KPIS'!$O220)</f>
        <v/>
      </c>
      <c r="C220" s="58" t="str">
        <f>IF($B220="","",INDEX(tblStock[Estado],'91_KPIS'!$Q220))</f>
        <v/>
      </c>
      <c r="D220" s="53" t="str">
        <f>IF($B220="","",INDEX(tblStock[SKU],'91_KPIS'!$Q220))</f>
        <v/>
      </c>
      <c r="E220" s="54" t="str">
        <f>IF($B220="","",INDEX(tblStock[Producto],'91_KPIS'!$Q220))</f>
        <v/>
      </c>
      <c r="F220" s="54" t="str">
        <f>IF($B220="","",INDEX(tblStock[Categoría],'91_KPIS'!$Q220))</f>
        <v/>
      </c>
      <c r="G220" s="54" t="str">
        <f>IF($B220="","",INDEX(tblStock[Proveedor],'91_KPIS'!$Q220)&amp;"")</f>
        <v/>
      </c>
      <c r="H220" s="56" t="str">
        <f>IF($B220="","",INDEX(tblStock[StockActual],'91_KPIS'!$Q220))</f>
        <v/>
      </c>
      <c r="I220" s="55" t="str">
        <f>IF($B220="","",INDEX(tblStock[StockMin],'91_KPIS'!$Q220))</f>
        <v/>
      </c>
      <c r="J220" s="55" t="str">
        <f>IF($B220="","",INDEX(tblStock[StockMax],'91_KPIS'!$Q220))</f>
        <v/>
      </c>
      <c r="K220" s="53" t="str">
        <f>IF($B220="","",INDEX(tblStock[Unidad],'91_KPIS'!$Q220))</f>
        <v/>
      </c>
      <c r="L220" s="55" t="str">
        <f t="shared" si="6"/>
        <v/>
      </c>
      <c r="M220" s="55" t="str">
        <f t="shared" si="7"/>
        <v/>
      </c>
      <c r="N220" s="54" t="str">
        <f>IF($B220="","",IFERROR(INDEX(tblEstados[Acción],MATCH($C220,tblEstados[Estado],0)),""))</f>
        <v/>
      </c>
      <c r="O220" s="60" t="str">
        <f>IF($B220="","",INDEX(tblStock[UltimoMov],'91_KPIS'!$Q220))</f>
        <v/>
      </c>
    </row>
    <row r="221" spans="2:15" x14ac:dyDescent="0.25">
      <c r="B221" s="62" t="str">
        <f>IF('91_KPIS'!$Q221="","",'91_KPIS'!$O221)</f>
        <v/>
      </c>
      <c r="C221" s="58" t="str">
        <f>IF($B221="","",INDEX(tblStock[Estado],'91_KPIS'!$Q221))</f>
        <v/>
      </c>
      <c r="D221" s="53" t="str">
        <f>IF($B221="","",INDEX(tblStock[SKU],'91_KPIS'!$Q221))</f>
        <v/>
      </c>
      <c r="E221" s="54" t="str">
        <f>IF($B221="","",INDEX(tblStock[Producto],'91_KPIS'!$Q221))</f>
        <v/>
      </c>
      <c r="F221" s="54" t="str">
        <f>IF($B221="","",INDEX(tblStock[Categoría],'91_KPIS'!$Q221))</f>
        <v/>
      </c>
      <c r="G221" s="54" t="str">
        <f>IF($B221="","",INDEX(tblStock[Proveedor],'91_KPIS'!$Q221)&amp;"")</f>
        <v/>
      </c>
      <c r="H221" s="56" t="str">
        <f>IF($B221="","",INDEX(tblStock[StockActual],'91_KPIS'!$Q221))</f>
        <v/>
      </c>
      <c r="I221" s="55" t="str">
        <f>IF($B221="","",INDEX(tblStock[StockMin],'91_KPIS'!$Q221))</f>
        <v/>
      </c>
      <c r="J221" s="55" t="str">
        <f>IF($B221="","",INDEX(tblStock[StockMax],'91_KPIS'!$Q221))</f>
        <v/>
      </c>
      <c r="K221" s="53" t="str">
        <f>IF($B221="","",INDEX(tblStock[Unidad],'91_KPIS'!$Q221))</f>
        <v/>
      </c>
      <c r="L221" s="55" t="str">
        <f t="shared" si="6"/>
        <v/>
      </c>
      <c r="M221" s="55" t="str">
        <f t="shared" si="7"/>
        <v/>
      </c>
      <c r="N221" s="54" t="str">
        <f>IF($B221="","",IFERROR(INDEX(tblEstados[Acción],MATCH($C221,tblEstados[Estado],0)),""))</f>
        <v/>
      </c>
      <c r="O221" s="60" t="str">
        <f>IF($B221="","",INDEX(tblStock[UltimoMov],'91_KPIS'!$Q221))</f>
        <v/>
      </c>
    </row>
    <row r="222" spans="2:15" x14ac:dyDescent="0.25">
      <c r="B222" s="62" t="str">
        <f>IF('91_KPIS'!$Q222="","",'91_KPIS'!$O222)</f>
        <v/>
      </c>
      <c r="C222" s="58" t="str">
        <f>IF($B222="","",INDEX(tblStock[Estado],'91_KPIS'!$Q222))</f>
        <v/>
      </c>
      <c r="D222" s="53" t="str">
        <f>IF($B222="","",INDEX(tblStock[SKU],'91_KPIS'!$Q222))</f>
        <v/>
      </c>
      <c r="E222" s="54" t="str">
        <f>IF($B222="","",INDEX(tblStock[Producto],'91_KPIS'!$Q222))</f>
        <v/>
      </c>
      <c r="F222" s="54" t="str">
        <f>IF($B222="","",INDEX(tblStock[Categoría],'91_KPIS'!$Q222))</f>
        <v/>
      </c>
      <c r="G222" s="54" t="str">
        <f>IF($B222="","",INDEX(tblStock[Proveedor],'91_KPIS'!$Q222)&amp;"")</f>
        <v/>
      </c>
      <c r="H222" s="56" t="str">
        <f>IF($B222="","",INDEX(tblStock[StockActual],'91_KPIS'!$Q222))</f>
        <v/>
      </c>
      <c r="I222" s="55" t="str">
        <f>IF($B222="","",INDEX(tblStock[StockMin],'91_KPIS'!$Q222))</f>
        <v/>
      </c>
      <c r="J222" s="55" t="str">
        <f>IF($B222="","",INDEX(tblStock[StockMax],'91_KPIS'!$Q222))</f>
        <v/>
      </c>
      <c r="K222" s="53" t="str">
        <f>IF($B222="","",INDEX(tblStock[Unidad],'91_KPIS'!$Q222))</f>
        <v/>
      </c>
      <c r="L222" s="55" t="str">
        <f t="shared" si="6"/>
        <v/>
      </c>
      <c r="M222" s="55" t="str">
        <f t="shared" si="7"/>
        <v/>
      </c>
      <c r="N222" s="54" t="str">
        <f>IF($B222="","",IFERROR(INDEX(tblEstados[Acción],MATCH($C222,tblEstados[Estado],0)),""))</f>
        <v/>
      </c>
      <c r="O222" s="60" t="str">
        <f>IF($B222="","",INDEX(tblStock[UltimoMov],'91_KPIS'!$Q222))</f>
        <v/>
      </c>
    </row>
    <row r="223" spans="2:15" x14ac:dyDescent="0.25">
      <c r="B223" s="62" t="str">
        <f>IF('91_KPIS'!$Q223="","",'91_KPIS'!$O223)</f>
        <v/>
      </c>
      <c r="C223" s="58" t="str">
        <f>IF($B223="","",INDEX(tblStock[Estado],'91_KPIS'!$Q223))</f>
        <v/>
      </c>
      <c r="D223" s="53" t="str">
        <f>IF($B223="","",INDEX(tblStock[SKU],'91_KPIS'!$Q223))</f>
        <v/>
      </c>
      <c r="E223" s="54" t="str">
        <f>IF($B223="","",INDEX(tblStock[Producto],'91_KPIS'!$Q223))</f>
        <v/>
      </c>
      <c r="F223" s="54" t="str">
        <f>IF($B223="","",INDEX(tblStock[Categoría],'91_KPIS'!$Q223))</f>
        <v/>
      </c>
      <c r="G223" s="54" t="str">
        <f>IF($B223="","",INDEX(tblStock[Proveedor],'91_KPIS'!$Q223)&amp;"")</f>
        <v/>
      </c>
      <c r="H223" s="56" t="str">
        <f>IF($B223="","",INDEX(tblStock[StockActual],'91_KPIS'!$Q223))</f>
        <v/>
      </c>
      <c r="I223" s="55" t="str">
        <f>IF($B223="","",INDEX(tblStock[StockMin],'91_KPIS'!$Q223))</f>
        <v/>
      </c>
      <c r="J223" s="55" t="str">
        <f>IF($B223="","",INDEX(tblStock[StockMax],'91_KPIS'!$Q223))</f>
        <v/>
      </c>
      <c r="K223" s="53" t="str">
        <f>IF($B223="","",INDEX(tblStock[Unidad],'91_KPIS'!$Q223))</f>
        <v/>
      </c>
      <c r="L223" s="55" t="str">
        <f t="shared" si="6"/>
        <v/>
      </c>
      <c r="M223" s="55" t="str">
        <f t="shared" si="7"/>
        <v/>
      </c>
      <c r="N223" s="54" t="str">
        <f>IF($B223="","",IFERROR(INDEX(tblEstados[Acción],MATCH($C223,tblEstados[Estado],0)),""))</f>
        <v/>
      </c>
      <c r="O223" s="60" t="str">
        <f>IF($B223="","",INDEX(tblStock[UltimoMov],'91_KPIS'!$Q223))</f>
        <v/>
      </c>
    </row>
    <row r="224" spans="2:15" x14ac:dyDescent="0.25">
      <c r="B224" s="62" t="str">
        <f>IF('91_KPIS'!$Q224="","",'91_KPIS'!$O224)</f>
        <v/>
      </c>
      <c r="C224" s="58" t="str">
        <f>IF($B224="","",INDEX(tblStock[Estado],'91_KPIS'!$Q224))</f>
        <v/>
      </c>
      <c r="D224" s="53" t="str">
        <f>IF($B224="","",INDEX(tblStock[SKU],'91_KPIS'!$Q224))</f>
        <v/>
      </c>
      <c r="E224" s="54" t="str">
        <f>IF($B224="","",INDEX(tblStock[Producto],'91_KPIS'!$Q224))</f>
        <v/>
      </c>
      <c r="F224" s="54" t="str">
        <f>IF($B224="","",INDEX(tblStock[Categoría],'91_KPIS'!$Q224))</f>
        <v/>
      </c>
      <c r="G224" s="54" t="str">
        <f>IF($B224="","",INDEX(tblStock[Proveedor],'91_KPIS'!$Q224)&amp;"")</f>
        <v/>
      </c>
      <c r="H224" s="56" t="str">
        <f>IF($B224="","",INDEX(tblStock[StockActual],'91_KPIS'!$Q224))</f>
        <v/>
      </c>
      <c r="I224" s="55" t="str">
        <f>IF($B224="","",INDEX(tblStock[StockMin],'91_KPIS'!$Q224))</f>
        <v/>
      </c>
      <c r="J224" s="55" t="str">
        <f>IF($B224="","",INDEX(tblStock[StockMax],'91_KPIS'!$Q224))</f>
        <v/>
      </c>
      <c r="K224" s="53" t="str">
        <f>IF($B224="","",INDEX(tblStock[Unidad],'91_KPIS'!$Q224))</f>
        <v/>
      </c>
      <c r="L224" s="55" t="str">
        <f t="shared" si="6"/>
        <v/>
      </c>
      <c r="M224" s="55" t="str">
        <f t="shared" si="7"/>
        <v/>
      </c>
      <c r="N224" s="54" t="str">
        <f>IF($B224="","",IFERROR(INDEX(tblEstados[Acción],MATCH($C224,tblEstados[Estado],0)),""))</f>
        <v/>
      </c>
      <c r="O224" s="60" t="str">
        <f>IF($B224="","",INDEX(tblStock[UltimoMov],'91_KPIS'!$Q224))</f>
        <v/>
      </c>
    </row>
    <row r="225" spans="2:15" x14ac:dyDescent="0.25">
      <c r="B225" s="62" t="str">
        <f>IF('91_KPIS'!$Q225="","",'91_KPIS'!$O225)</f>
        <v/>
      </c>
      <c r="C225" s="58" t="str">
        <f>IF($B225="","",INDEX(tblStock[Estado],'91_KPIS'!$Q225))</f>
        <v/>
      </c>
      <c r="D225" s="53" t="str">
        <f>IF($B225="","",INDEX(tblStock[SKU],'91_KPIS'!$Q225))</f>
        <v/>
      </c>
      <c r="E225" s="54" t="str">
        <f>IF($B225="","",INDEX(tblStock[Producto],'91_KPIS'!$Q225))</f>
        <v/>
      </c>
      <c r="F225" s="54" t="str">
        <f>IF($B225="","",INDEX(tblStock[Categoría],'91_KPIS'!$Q225))</f>
        <v/>
      </c>
      <c r="G225" s="54" t="str">
        <f>IF($B225="","",INDEX(tblStock[Proveedor],'91_KPIS'!$Q225)&amp;"")</f>
        <v/>
      </c>
      <c r="H225" s="56" t="str">
        <f>IF($B225="","",INDEX(tblStock[StockActual],'91_KPIS'!$Q225))</f>
        <v/>
      </c>
      <c r="I225" s="55" t="str">
        <f>IF($B225="","",INDEX(tblStock[StockMin],'91_KPIS'!$Q225))</f>
        <v/>
      </c>
      <c r="J225" s="55" t="str">
        <f>IF($B225="","",INDEX(tblStock[StockMax],'91_KPIS'!$Q225))</f>
        <v/>
      </c>
      <c r="K225" s="53" t="str">
        <f>IF($B225="","",INDEX(tblStock[Unidad],'91_KPIS'!$Q225))</f>
        <v/>
      </c>
      <c r="L225" s="55" t="str">
        <f t="shared" si="6"/>
        <v/>
      </c>
      <c r="M225" s="55" t="str">
        <f t="shared" si="7"/>
        <v/>
      </c>
      <c r="N225" s="54" t="str">
        <f>IF($B225="","",IFERROR(INDEX(tblEstados[Acción],MATCH($C225,tblEstados[Estado],0)),""))</f>
        <v/>
      </c>
      <c r="O225" s="60" t="str">
        <f>IF($B225="","",INDEX(tblStock[UltimoMov],'91_KPIS'!$Q225))</f>
        <v/>
      </c>
    </row>
    <row r="226" spans="2:15" x14ac:dyDescent="0.25">
      <c r="B226" s="62" t="str">
        <f>IF('91_KPIS'!$Q226="","",'91_KPIS'!$O226)</f>
        <v/>
      </c>
      <c r="C226" s="58" t="str">
        <f>IF($B226="","",INDEX(tblStock[Estado],'91_KPIS'!$Q226))</f>
        <v/>
      </c>
      <c r="D226" s="53" t="str">
        <f>IF($B226="","",INDEX(tblStock[SKU],'91_KPIS'!$Q226))</f>
        <v/>
      </c>
      <c r="E226" s="54" t="str">
        <f>IF($B226="","",INDEX(tblStock[Producto],'91_KPIS'!$Q226))</f>
        <v/>
      </c>
      <c r="F226" s="54" t="str">
        <f>IF($B226="","",INDEX(tblStock[Categoría],'91_KPIS'!$Q226))</f>
        <v/>
      </c>
      <c r="G226" s="54" t="str">
        <f>IF($B226="","",INDEX(tblStock[Proveedor],'91_KPIS'!$Q226)&amp;"")</f>
        <v/>
      </c>
      <c r="H226" s="56" t="str">
        <f>IF($B226="","",INDEX(tblStock[StockActual],'91_KPIS'!$Q226))</f>
        <v/>
      </c>
      <c r="I226" s="55" t="str">
        <f>IF($B226="","",INDEX(tblStock[StockMin],'91_KPIS'!$Q226))</f>
        <v/>
      </c>
      <c r="J226" s="55" t="str">
        <f>IF($B226="","",INDEX(tblStock[StockMax],'91_KPIS'!$Q226))</f>
        <v/>
      </c>
      <c r="K226" s="53" t="str">
        <f>IF($B226="","",INDEX(tblStock[Unidad],'91_KPIS'!$Q226))</f>
        <v/>
      </c>
      <c r="L226" s="55" t="str">
        <f t="shared" si="6"/>
        <v/>
      </c>
      <c r="M226" s="55" t="str">
        <f t="shared" si="7"/>
        <v/>
      </c>
      <c r="N226" s="54" t="str">
        <f>IF($B226="","",IFERROR(INDEX(tblEstados[Acción],MATCH($C226,tblEstados[Estado],0)),""))</f>
        <v/>
      </c>
      <c r="O226" s="60" t="str">
        <f>IF($B226="","",INDEX(tblStock[UltimoMov],'91_KPIS'!$Q226))</f>
        <v/>
      </c>
    </row>
    <row r="227" spans="2:15" x14ac:dyDescent="0.25">
      <c r="B227" s="62" t="str">
        <f>IF('91_KPIS'!$Q227="","",'91_KPIS'!$O227)</f>
        <v/>
      </c>
      <c r="C227" s="58" t="str">
        <f>IF($B227="","",INDEX(tblStock[Estado],'91_KPIS'!$Q227))</f>
        <v/>
      </c>
      <c r="D227" s="53" t="str">
        <f>IF($B227="","",INDEX(tblStock[SKU],'91_KPIS'!$Q227))</f>
        <v/>
      </c>
      <c r="E227" s="54" t="str">
        <f>IF($B227="","",INDEX(tblStock[Producto],'91_KPIS'!$Q227))</f>
        <v/>
      </c>
      <c r="F227" s="54" t="str">
        <f>IF($B227="","",INDEX(tblStock[Categoría],'91_KPIS'!$Q227))</f>
        <v/>
      </c>
      <c r="G227" s="54" t="str">
        <f>IF($B227="","",INDEX(tblStock[Proveedor],'91_KPIS'!$Q227)&amp;"")</f>
        <v/>
      </c>
      <c r="H227" s="56" t="str">
        <f>IF($B227="","",INDEX(tblStock[StockActual],'91_KPIS'!$Q227))</f>
        <v/>
      </c>
      <c r="I227" s="55" t="str">
        <f>IF($B227="","",INDEX(tblStock[StockMin],'91_KPIS'!$Q227))</f>
        <v/>
      </c>
      <c r="J227" s="55" t="str">
        <f>IF($B227="","",INDEX(tblStock[StockMax],'91_KPIS'!$Q227))</f>
        <v/>
      </c>
      <c r="K227" s="53" t="str">
        <f>IF($B227="","",INDEX(tblStock[Unidad],'91_KPIS'!$Q227))</f>
        <v/>
      </c>
      <c r="L227" s="55" t="str">
        <f t="shared" si="6"/>
        <v/>
      </c>
      <c r="M227" s="55" t="str">
        <f t="shared" si="7"/>
        <v/>
      </c>
      <c r="N227" s="54" t="str">
        <f>IF($B227="","",IFERROR(INDEX(tblEstados[Acción],MATCH($C227,tblEstados[Estado],0)),""))</f>
        <v/>
      </c>
      <c r="O227" s="60" t="str">
        <f>IF($B227="","",INDEX(tblStock[UltimoMov],'91_KPIS'!$Q227))</f>
        <v/>
      </c>
    </row>
    <row r="228" spans="2:15" x14ac:dyDescent="0.25">
      <c r="B228" s="62" t="str">
        <f>IF('91_KPIS'!$Q228="","",'91_KPIS'!$O228)</f>
        <v/>
      </c>
      <c r="C228" s="58" t="str">
        <f>IF($B228="","",INDEX(tblStock[Estado],'91_KPIS'!$Q228))</f>
        <v/>
      </c>
      <c r="D228" s="53" t="str">
        <f>IF($B228="","",INDEX(tblStock[SKU],'91_KPIS'!$Q228))</f>
        <v/>
      </c>
      <c r="E228" s="54" t="str">
        <f>IF($B228="","",INDEX(tblStock[Producto],'91_KPIS'!$Q228))</f>
        <v/>
      </c>
      <c r="F228" s="54" t="str">
        <f>IF($B228="","",INDEX(tblStock[Categoría],'91_KPIS'!$Q228))</f>
        <v/>
      </c>
      <c r="G228" s="54" t="str">
        <f>IF($B228="","",INDEX(tblStock[Proveedor],'91_KPIS'!$Q228)&amp;"")</f>
        <v/>
      </c>
      <c r="H228" s="56" t="str">
        <f>IF($B228="","",INDEX(tblStock[StockActual],'91_KPIS'!$Q228))</f>
        <v/>
      </c>
      <c r="I228" s="55" t="str">
        <f>IF($B228="","",INDEX(tblStock[StockMin],'91_KPIS'!$Q228))</f>
        <v/>
      </c>
      <c r="J228" s="55" t="str">
        <f>IF($B228="","",INDEX(tblStock[StockMax],'91_KPIS'!$Q228))</f>
        <v/>
      </c>
      <c r="K228" s="53" t="str">
        <f>IF($B228="","",INDEX(tblStock[Unidad],'91_KPIS'!$Q228))</f>
        <v/>
      </c>
      <c r="L228" s="55" t="str">
        <f t="shared" si="6"/>
        <v/>
      </c>
      <c r="M228" s="55" t="str">
        <f t="shared" si="7"/>
        <v/>
      </c>
      <c r="N228" s="54" t="str">
        <f>IF($B228="","",IFERROR(INDEX(tblEstados[Acción],MATCH($C228,tblEstados[Estado],0)),""))</f>
        <v/>
      </c>
      <c r="O228" s="60" t="str">
        <f>IF($B228="","",INDEX(tblStock[UltimoMov],'91_KPIS'!$Q228))</f>
        <v/>
      </c>
    </row>
    <row r="229" spans="2:15" x14ac:dyDescent="0.25">
      <c r="B229" s="62" t="str">
        <f>IF('91_KPIS'!$Q229="","",'91_KPIS'!$O229)</f>
        <v/>
      </c>
      <c r="C229" s="58" t="str">
        <f>IF($B229="","",INDEX(tblStock[Estado],'91_KPIS'!$Q229))</f>
        <v/>
      </c>
      <c r="D229" s="53" t="str">
        <f>IF($B229="","",INDEX(tblStock[SKU],'91_KPIS'!$Q229))</f>
        <v/>
      </c>
      <c r="E229" s="54" t="str">
        <f>IF($B229="","",INDEX(tblStock[Producto],'91_KPIS'!$Q229))</f>
        <v/>
      </c>
      <c r="F229" s="54" t="str">
        <f>IF($B229="","",INDEX(tblStock[Categoría],'91_KPIS'!$Q229))</f>
        <v/>
      </c>
      <c r="G229" s="54" t="str">
        <f>IF($B229="","",INDEX(tblStock[Proveedor],'91_KPIS'!$Q229)&amp;"")</f>
        <v/>
      </c>
      <c r="H229" s="56" t="str">
        <f>IF($B229="","",INDEX(tblStock[StockActual],'91_KPIS'!$Q229))</f>
        <v/>
      </c>
      <c r="I229" s="55" t="str">
        <f>IF($B229="","",INDEX(tblStock[StockMin],'91_KPIS'!$Q229))</f>
        <v/>
      </c>
      <c r="J229" s="55" t="str">
        <f>IF($B229="","",INDEX(tblStock[StockMax],'91_KPIS'!$Q229))</f>
        <v/>
      </c>
      <c r="K229" s="53" t="str">
        <f>IF($B229="","",INDEX(tblStock[Unidad],'91_KPIS'!$Q229))</f>
        <v/>
      </c>
      <c r="L229" s="55" t="str">
        <f t="shared" si="6"/>
        <v/>
      </c>
      <c r="M229" s="55" t="str">
        <f t="shared" si="7"/>
        <v/>
      </c>
      <c r="N229" s="54" t="str">
        <f>IF($B229="","",IFERROR(INDEX(tblEstados[Acción],MATCH($C229,tblEstados[Estado],0)),""))</f>
        <v/>
      </c>
      <c r="O229" s="60" t="str">
        <f>IF($B229="","",INDEX(tblStock[UltimoMov],'91_KPIS'!$Q229))</f>
        <v/>
      </c>
    </row>
    <row r="230" spans="2:15" x14ac:dyDescent="0.25">
      <c r="B230" s="62" t="str">
        <f>IF('91_KPIS'!$Q230="","",'91_KPIS'!$O230)</f>
        <v/>
      </c>
      <c r="C230" s="58" t="str">
        <f>IF($B230="","",INDEX(tblStock[Estado],'91_KPIS'!$Q230))</f>
        <v/>
      </c>
      <c r="D230" s="53" t="str">
        <f>IF($B230="","",INDEX(tblStock[SKU],'91_KPIS'!$Q230))</f>
        <v/>
      </c>
      <c r="E230" s="54" t="str">
        <f>IF($B230="","",INDEX(tblStock[Producto],'91_KPIS'!$Q230))</f>
        <v/>
      </c>
      <c r="F230" s="54" t="str">
        <f>IF($B230="","",INDEX(tblStock[Categoría],'91_KPIS'!$Q230))</f>
        <v/>
      </c>
      <c r="G230" s="54" t="str">
        <f>IF($B230="","",INDEX(tblStock[Proveedor],'91_KPIS'!$Q230)&amp;"")</f>
        <v/>
      </c>
      <c r="H230" s="56" t="str">
        <f>IF($B230="","",INDEX(tblStock[StockActual],'91_KPIS'!$Q230))</f>
        <v/>
      </c>
      <c r="I230" s="55" t="str">
        <f>IF($B230="","",INDEX(tblStock[StockMin],'91_KPIS'!$Q230))</f>
        <v/>
      </c>
      <c r="J230" s="55" t="str">
        <f>IF($B230="","",INDEX(tblStock[StockMax],'91_KPIS'!$Q230))</f>
        <v/>
      </c>
      <c r="K230" s="53" t="str">
        <f>IF($B230="","",INDEX(tblStock[Unidad],'91_KPIS'!$Q230))</f>
        <v/>
      </c>
      <c r="L230" s="55" t="str">
        <f t="shared" si="6"/>
        <v/>
      </c>
      <c r="M230" s="55" t="str">
        <f t="shared" si="7"/>
        <v/>
      </c>
      <c r="N230" s="54" t="str">
        <f>IF($B230="","",IFERROR(INDEX(tblEstados[Acción],MATCH($C230,tblEstados[Estado],0)),""))</f>
        <v/>
      </c>
      <c r="O230" s="60" t="str">
        <f>IF($B230="","",INDEX(tblStock[UltimoMov],'91_KPIS'!$Q230))</f>
        <v/>
      </c>
    </row>
    <row r="231" spans="2:15" x14ac:dyDescent="0.25">
      <c r="B231" s="62" t="str">
        <f>IF('91_KPIS'!$Q231="","",'91_KPIS'!$O231)</f>
        <v/>
      </c>
      <c r="C231" s="58" t="str">
        <f>IF($B231="","",INDEX(tblStock[Estado],'91_KPIS'!$Q231))</f>
        <v/>
      </c>
      <c r="D231" s="53" t="str">
        <f>IF($B231="","",INDEX(tblStock[SKU],'91_KPIS'!$Q231))</f>
        <v/>
      </c>
      <c r="E231" s="54" t="str">
        <f>IF($B231="","",INDEX(tblStock[Producto],'91_KPIS'!$Q231))</f>
        <v/>
      </c>
      <c r="F231" s="54" t="str">
        <f>IF($B231="","",INDEX(tblStock[Categoría],'91_KPIS'!$Q231))</f>
        <v/>
      </c>
      <c r="G231" s="54" t="str">
        <f>IF($B231="","",INDEX(tblStock[Proveedor],'91_KPIS'!$Q231)&amp;"")</f>
        <v/>
      </c>
      <c r="H231" s="56" t="str">
        <f>IF($B231="","",INDEX(tblStock[StockActual],'91_KPIS'!$Q231))</f>
        <v/>
      </c>
      <c r="I231" s="55" t="str">
        <f>IF($B231="","",INDEX(tblStock[StockMin],'91_KPIS'!$Q231))</f>
        <v/>
      </c>
      <c r="J231" s="55" t="str">
        <f>IF($B231="","",INDEX(tblStock[StockMax],'91_KPIS'!$Q231))</f>
        <v/>
      </c>
      <c r="K231" s="53" t="str">
        <f>IF($B231="","",INDEX(tblStock[Unidad],'91_KPIS'!$Q231))</f>
        <v/>
      </c>
      <c r="L231" s="55" t="str">
        <f t="shared" si="6"/>
        <v/>
      </c>
      <c r="M231" s="55" t="str">
        <f t="shared" si="7"/>
        <v/>
      </c>
      <c r="N231" s="54" t="str">
        <f>IF($B231="","",IFERROR(INDEX(tblEstados[Acción],MATCH($C231,tblEstados[Estado],0)),""))</f>
        <v/>
      </c>
      <c r="O231" s="60" t="str">
        <f>IF($B231="","",INDEX(tblStock[UltimoMov],'91_KPIS'!$Q231))</f>
        <v/>
      </c>
    </row>
    <row r="232" spans="2:15" x14ac:dyDescent="0.25">
      <c r="B232" s="62" t="str">
        <f>IF('91_KPIS'!$Q232="","",'91_KPIS'!$O232)</f>
        <v/>
      </c>
      <c r="C232" s="58" t="str">
        <f>IF($B232="","",INDEX(tblStock[Estado],'91_KPIS'!$Q232))</f>
        <v/>
      </c>
      <c r="D232" s="53" t="str">
        <f>IF($B232="","",INDEX(tblStock[SKU],'91_KPIS'!$Q232))</f>
        <v/>
      </c>
      <c r="E232" s="54" t="str">
        <f>IF($B232="","",INDEX(tblStock[Producto],'91_KPIS'!$Q232))</f>
        <v/>
      </c>
      <c r="F232" s="54" t="str">
        <f>IF($B232="","",INDEX(tblStock[Categoría],'91_KPIS'!$Q232))</f>
        <v/>
      </c>
      <c r="G232" s="54" t="str">
        <f>IF($B232="","",INDEX(tblStock[Proveedor],'91_KPIS'!$Q232)&amp;"")</f>
        <v/>
      </c>
      <c r="H232" s="56" t="str">
        <f>IF($B232="","",INDEX(tblStock[StockActual],'91_KPIS'!$Q232))</f>
        <v/>
      </c>
      <c r="I232" s="55" t="str">
        <f>IF($B232="","",INDEX(tblStock[StockMin],'91_KPIS'!$Q232))</f>
        <v/>
      </c>
      <c r="J232" s="55" t="str">
        <f>IF($B232="","",INDEX(tblStock[StockMax],'91_KPIS'!$Q232))</f>
        <v/>
      </c>
      <c r="K232" s="53" t="str">
        <f>IF($B232="","",INDEX(tblStock[Unidad],'91_KPIS'!$Q232))</f>
        <v/>
      </c>
      <c r="L232" s="55" t="str">
        <f t="shared" si="6"/>
        <v/>
      </c>
      <c r="M232" s="55" t="str">
        <f t="shared" si="7"/>
        <v/>
      </c>
      <c r="N232" s="54" t="str">
        <f>IF($B232="","",IFERROR(INDEX(tblEstados[Acción],MATCH($C232,tblEstados[Estado],0)),""))</f>
        <v/>
      </c>
      <c r="O232" s="60" t="str">
        <f>IF($B232="","",INDEX(tblStock[UltimoMov],'91_KPIS'!$Q232))</f>
        <v/>
      </c>
    </row>
    <row r="233" spans="2:15" x14ac:dyDescent="0.25">
      <c r="B233" s="62" t="str">
        <f>IF('91_KPIS'!$Q233="","",'91_KPIS'!$O233)</f>
        <v/>
      </c>
      <c r="C233" s="58" t="str">
        <f>IF($B233="","",INDEX(tblStock[Estado],'91_KPIS'!$Q233))</f>
        <v/>
      </c>
      <c r="D233" s="53" t="str">
        <f>IF($B233="","",INDEX(tblStock[SKU],'91_KPIS'!$Q233))</f>
        <v/>
      </c>
      <c r="E233" s="54" t="str">
        <f>IF($B233="","",INDEX(tblStock[Producto],'91_KPIS'!$Q233))</f>
        <v/>
      </c>
      <c r="F233" s="54" t="str">
        <f>IF($B233="","",INDEX(tblStock[Categoría],'91_KPIS'!$Q233))</f>
        <v/>
      </c>
      <c r="G233" s="54" t="str">
        <f>IF($B233="","",INDEX(tblStock[Proveedor],'91_KPIS'!$Q233)&amp;"")</f>
        <v/>
      </c>
      <c r="H233" s="56" t="str">
        <f>IF($B233="","",INDEX(tblStock[StockActual],'91_KPIS'!$Q233))</f>
        <v/>
      </c>
      <c r="I233" s="55" t="str">
        <f>IF($B233="","",INDEX(tblStock[StockMin],'91_KPIS'!$Q233))</f>
        <v/>
      </c>
      <c r="J233" s="55" t="str">
        <f>IF($B233="","",INDEX(tblStock[StockMax],'91_KPIS'!$Q233))</f>
        <v/>
      </c>
      <c r="K233" s="53" t="str">
        <f>IF($B233="","",INDEX(tblStock[Unidad],'91_KPIS'!$Q233))</f>
        <v/>
      </c>
      <c r="L233" s="55" t="str">
        <f t="shared" si="6"/>
        <v/>
      </c>
      <c r="M233" s="55" t="str">
        <f t="shared" si="7"/>
        <v/>
      </c>
      <c r="N233" s="54" t="str">
        <f>IF($B233="","",IFERROR(INDEX(tblEstados[Acción],MATCH($C233,tblEstados[Estado],0)),""))</f>
        <v/>
      </c>
      <c r="O233" s="60" t="str">
        <f>IF($B233="","",INDEX(tblStock[UltimoMov],'91_KPIS'!$Q233))</f>
        <v/>
      </c>
    </row>
    <row r="234" spans="2:15" x14ac:dyDescent="0.25">
      <c r="B234" s="62" t="str">
        <f>IF('91_KPIS'!$Q234="","",'91_KPIS'!$O234)</f>
        <v/>
      </c>
      <c r="C234" s="58" t="str">
        <f>IF($B234="","",INDEX(tblStock[Estado],'91_KPIS'!$Q234))</f>
        <v/>
      </c>
      <c r="D234" s="53" t="str">
        <f>IF($B234="","",INDEX(tblStock[SKU],'91_KPIS'!$Q234))</f>
        <v/>
      </c>
      <c r="E234" s="54" t="str">
        <f>IF($B234="","",INDEX(tblStock[Producto],'91_KPIS'!$Q234))</f>
        <v/>
      </c>
      <c r="F234" s="54" t="str">
        <f>IF($B234="","",INDEX(tblStock[Categoría],'91_KPIS'!$Q234))</f>
        <v/>
      </c>
      <c r="G234" s="54" t="str">
        <f>IF($B234="","",INDEX(tblStock[Proveedor],'91_KPIS'!$Q234)&amp;"")</f>
        <v/>
      </c>
      <c r="H234" s="56" t="str">
        <f>IF($B234="","",INDEX(tblStock[StockActual],'91_KPIS'!$Q234))</f>
        <v/>
      </c>
      <c r="I234" s="55" t="str">
        <f>IF($B234="","",INDEX(tblStock[StockMin],'91_KPIS'!$Q234))</f>
        <v/>
      </c>
      <c r="J234" s="55" t="str">
        <f>IF($B234="","",INDEX(tblStock[StockMax],'91_KPIS'!$Q234))</f>
        <v/>
      </c>
      <c r="K234" s="53" t="str">
        <f>IF($B234="","",INDEX(tblStock[Unidad],'91_KPIS'!$Q234))</f>
        <v/>
      </c>
      <c r="L234" s="55" t="str">
        <f t="shared" si="6"/>
        <v/>
      </c>
      <c r="M234" s="55" t="str">
        <f t="shared" si="7"/>
        <v/>
      </c>
      <c r="N234" s="54" t="str">
        <f>IF($B234="","",IFERROR(INDEX(tblEstados[Acción],MATCH($C234,tblEstados[Estado],0)),""))</f>
        <v/>
      </c>
      <c r="O234" s="60" t="str">
        <f>IF($B234="","",INDEX(tblStock[UltimoMov],'91_KPIS'!$Q234))</f>
        <v/>
      </c>
    </row>
    <row r="235" spans="2:15" x14ac:dyDescent="0.25">
      <c r="B235" s="62" t="str">
        <f>IF('91_KPIS'!$Q235="","",'91_KPIS'!$O235)</f>
        <v/>
      </c>
      <c r="C235" s="58" t="str">
        <f>IF($B235="","",INDEX(tblStock[Estado],'91_KPIS'!$Q235))</f>
        <v/>
      </c>
      <c r="D235" s="53" t="str">
        <f>IF($B235="","",INDEX(tblStock[SKU],'91_KPIS'!$Q235))</f>
        <v/>
      </c>
      <c r="E235" s="54" t="str">
        <f>IF($B235="","",INDEX(tblStock[Producto],'91_KPIS'!$Q235))</f>
        <v/>
      </c>
      <c r="F235" s="54" t="str">
        <f>IF($B235="","",INDEX(tblStock[Categoría],'91_KPIS'!$Q235))</f>
        <v/>
      </c>
      <c r="G235" s="54" t="str">
        <f>IF($B235="","",INDEX(tblStock[Proveedor],'91_KPIS'!$Q235)&amp;"")</f>
        <v/>
      </c>
      <c r="H235" s="56" t="str">
        <f>IF($B235="","",INDEX(tblStock[StockActual],'91_KPIS'!$Q235))</f>
        <v/>
      </c>
      <c r="I235" s="55" t="str">
        <f>IF($B235="","",INDEX(tblStock[StockMin],'91_KPIS'!$Q235))</f>
        <v/>
      </c>
      <c r="J235" s="55" t="str">
        <f>IF($B235="","",INDEX(tblStock[StockMax],'91_KPIS'!$Q235))</f>
        <v/>
      </c>
      <c r="K235" s="53" t="str">
        <f>IF($B235="","",INDEX(tblStock[Unidad],'91_KPIS'!$Q235))</f>
        <v/>
      </c>
      <c r="L235" s="55" t="str">
        <f t="shared" si="6"/>
        <v/>
      </c>
      <c r="M235" s="55" t="str">
        <f t="shared" si="7"/>
        <v/>
      </c>
      <c r="N235" s="54" t="str">
        <f>IF($B235="","",IFERROR(INDEX(tblEstados[Acción],MATCH($C235,tblEstados[Estado],0)),""))</f>
        <v/>
      </c>
      <c r="O235" s="60" t="str">
        <f>IF($B235="","",INDEX(tblStock[UltimoMov],'91_KPIS'!$Q235))</f>
        <v/>
      </c>
    </row>
    <row r="236" spans="2:15" x14ac:dyDescent="0.25">
      <c r="B236" s="62" t="str">
        <f>IF('91_KPIS'!$Q236="","",'91_KPIS'!$O236)</f>
        <v/>
      </c>
      <c r="C236" s="58" t="str">
        <f>IF($B236="","",INDEX(tblStock[Estado],'91_KPIS'!$Q236))</f>
        <v/>
      </c>
      <c r="D236" s="53" t="str">
        <f>IF($B236="","",INDEX(tblStock[SKU],'91_KPIS'!$Q236))</f>
        <v/>
      </c>
      <c r="E236" s="54" t="str">
        <f>IF($B236="","",INDEX(tblStock[Producto],'91_KPIS'!$Q236))</f>
        <v/>
      </c>
      <c r="F236" s="54" t="str">
        <f>IF($B236="","",INDEX(tblStock[Categoría],'91_KPIS'!$Q236))</f>
        <v/>
      </c>
      <c r="G236" s="54" t="str">
        <f>IF($B236="","",INDEX(tblStock[Proveedor],'91_KPIS'!$Q236)&amp;"")</f>
        <v/>
      </c>
      <c r="H236" s="56" t="str">
        <f>IF($B236="","",INDEX(tblStock[StockActual],'91_KPIS'!$Q236))</f>
        <v/>
      </c>
      <c r="I236" s="55" t="str">
        <f>IF($B236="","",INDEX(tblStock[StockMin],'91_KPIS'!$Q236))</f>
        <v/>
      </c>
      <c r="J236" s="55" t="str">
        <f>IF($B236="","",INDEX(tblStock[StockMax],'91_KPIS'!$Q236))</f>
        <v/>
      </c>
      <c r="K236" s="53" t="str">
        <f>IF($B236="","",INDEX(tblStock[Unidad],'91_KPIS'!$Q236))</f>
        <v/>
      </c>
      <c r="L236" s="55" t="str">
        <f t="shared" si="6"/>
        <v/>
      </c>
      <c r="M236" s="55" t="str">
        <f t="shared" si="7"/>
        <v/>
      </c>
      <c r="N236" s="54" t="str">
        <f>IF($B236="","",IFERROR(INDEX(tblEstados[Acción],MATCH($C236,tblEstados[Estado],0)),""))</f>
        <v/>
      </c>
      <c r="O236" s="60" t="str">
        <f>IF($B236="","",INDEX(tblStock[UltimoMov],'91_KPIS'!$Q236))</f>
        <v/>
      </c>
    </row>
    <row r="237" spans="2:15" x14ac:dyDescent="0.25">
      <c r="B237" s="62" t="str">
        <f>IF('91_KPIS'!$Q237="","",'91_KPIS'!$O237)</f>
        <v/>
      </c>
      <c r="C237" s="58" t="str">
        <f>IF($B237="","",INDEX(tblStock[Estado],'91_KPIS'!$Q237))</f>
        <v/>
      </c>
      <c r="D237" s="53" t="str">
        <f>IF($B237="","",INDEX(tblStock[SKU],'91_KPIS'!$Q237))</f>
        <v/>
      </c>
      <c r="E237" s="54" t="str">
        <f>IF($B237="","",INDEX(tblStock[Producto],'91_KPIS'!$Q237))</f>
        <v/>
      </c>
      <c r="F237" s="54" t="str">
        <f>IF($B237="","",INDEX(tblStock[Categoría],'91_KPIS'!$Q237))</f>
        <v/>
      </c>
      <c r="G237" s="54" t="str">
        <f>IF($B237="","",INDEX(tblStock[Proveedor],'91_KPIS'!$Q237)&amp;"")</f>
        <v/>
      </c>
      <c r="H237" s="56" t="str">
        <f>IF($B237="","",INDEX(tblStock[StockActual],'91_KPIS'!$Q237))</f>
        <v/>
      </c>
      <c r="I237" s="55" t="str">
        <f>IF($B237="","",INDEX(tblStock[StockMin],'91_KPIS'!$Q237))</f>
        <v/>
      </c>
      <c r="J237" s="55" t="str">
        <f>IF($B237="","",INDEX(tblStock[StockMax],'91_KPIS'!$Q237))</f>
        <v/>
      </c>
      <c r="K237" s="53" t="str">
        <f>IF($B237="","",INDEX(tblStock[Unidad],'91_KPIS'!$Q237))</f>
        <v/>
      </c>
      <c r="L237" s="55" t="str">
        <f t="shared" si="6"/>
        <v/>
      </c>
      <c r="M237" s="55" t="str">
        <f t="shared" si="7"/>
        <v/>
      </c>
      <c r="N237" s="54" t="str">
        <f>IF($B237="","",IFERROR(INDEX(tblEstados[Acción],MATCH($C237,tblEstados[Estado],0)),""))</f>
        <v/>
      </c>
      <c r="O237" s="60" t="str">
        <f>IF($B237="","",INDEX(tblStock[UltimoMov],'91_KPIS'!$Q237))</f>
        <v/>
      </c>
    </row>
    <row r="238" spans="2:15" x14ac:dyDescent="0.25">
      <c r="B238" s="62" t="str">
        <f>IF('91_KPIS'!$Q238="","",'91_KPIS'!$O238)</f>
        <v/>
      </c>
      <c r="C238" s="58" t="str">
        <f>IF($B238="","",INDEX(tblStock[Estado],'91_KPIS'!$Q238))</f>
        <v/>
      </c>
      <c r="D238" s="53" t="str">
        <f>IF($B238="","",INDEX(tblStock[SKU],'91_KPIS'!$Q238))</f>
        <v/>
      </c>
      <c r="E238" s="54" t="str">
        <f>IF($B238="","",INDEX(tblStock[Producto],'91_KPIS'!$Q238))</f>
        <v/>
      </c>
      <c r="F238" s="54" t="str">
        <f>IF($B238="","",INDEX(tblStock[Categoría],'91_KPIS'!$Q238))</f>
        <v/>
      </c>
      <c r="G238" s="54" t="str">
        <f>IF($B238="","",INDEX(tblStock[Proveedor],'91_KPIS'!$Q238)&amp;"")</f>
        <v/>
      </c>
      <c r="H238" s="56" t="str">
        <f>IF($B238="","",INDEX(tblStock[StockActual],'91_KPIS'!$Q238))</f>
        <v/>
      </c>
      <c r="I238" s="55" t="str">
        <f>IF($B238="","",INDEX(tblStock[StockMin],'91_KPIS'!$Q238))</f>
        <v/>
      </c>
      <c r="J238" s="55" t="str">
        <f>IF($B238="","",INDEX(tblStock[StockMax],'91_KPIS'!$Q238))</f>
        <v/>
      </c>
      <c r="K238" s="53" t="str">
        <f>IF($B238="","",INDEX(tblStock[Unidad],'91_KPIS'!$Q238))</f>
        <v/>
      </c>
      <c r="L238" s="55" t="str">
        <f t="shared" si="6"/>
        <v/>
      </c>
      <c r="M238" s="55" t="str">
        <f t="shared" si="7"/>
        <v/>
      </c>
      <c r="N238" s="54" t="str">
        <f>IF($B238="","",IFERROR(INDEX(tblEstados[Acción],MATCH($C238,tblEstados[Estado],0)),""))</f>
        <v/>
      </c>
      <c r="O238" s="60" t="str">
        <f>IF($B238="","",INDEX(tblStock[UltimoMov],'91_KPIS'!$Q238))</f>
        <v/>
      </c>
    </row>
    <row r="239" spans="2:15" x14ac:dyDescent="0.25">
      <c r="B239" s="62" t="str">
        <f>IF('91_KPIS'!$Q239="","",'91_KPIS'!$O239)</f>
        <v/>
      </c>
      <c r="C239" s="58" t="str">
        <f>IF($B239="","",INDEX(tblStock[Estado],'91_KPIS'!$Q239))</f>
        <v/>
      </c>
      <c r="D239" s="53" t="str">
        <f>IF($B239="","",INDEX(tblStock[SKU],'91_KPIS'!$Q239))</f>
        <v/>
      </c>
      <c r="E239" s="54" t="str">
        <f>IF($B239="","",INDEX(tblStock[Producto],'91_KPIS'!$Q239))</f>
        <v/>
      </c>
      <c r="F239" s="54" t="str">
        <f>IF($B239="","",INDEX(tblStock[Categoría],'91_KPIS'!$Q239))</f>
        <v/>
      </c>
      <c r="G239" s="54" t="str">
        <f>IF($B239="","",INDEX(tblStock[Proveedor],'91_KPIS'!$Q239)&amp;"")</f>
        <v/>
      </c>
      <c r="H239" s="56" t="str">
        <f>IF($B239="","",INDEX(tblStock[StockActual],'91_KPIS'!$Q239))</f>
        <v/>
      </c>
      <c r="I239" s="55" t="str">
        <f>IF($B239="","",INDEX(tblStock[StockMin],'91_KPIS'!$Q239))</f>
        <v/>
      </c>
      <c r="J239" s="55" t="str">
        <f>IF($B239="","",INDEX(tblStock[StockMax],'91_KPIS'!$Q239))</f>
        <v/>
      </c>
      <c r="K239" s="53" t="str">
        <f>IF($B239="","",INDEX(tblStock[Unidad],'91_KPIS'!$Q239))</f>
        <v/>
      </c>
      <c r="L239" s="55" t="str">
        <f t="shared" si="6"/>
        <v/>
      </c>
      <c r="M239" s="55" t="str">
        <f t="shared" si="7"/>
        <v/>
      </c>
      <c r="N239" s="54" t="str">
        <f>IF($B239="","",IFERROR(INDEX(tblEstados[Acción],MATCH($C239,tblEstados[Estado],0)),""))</f>
        <v/>
      </c>
      <c r="O239" s="60" t="str">
        <f>IF($B239="","",INDEX(tblStock[UltimoMov],'91_KPIS'!$Q239))</f>
        <v/>
      </c>
    </row>
    <row r="240" spans="2:15" x14ac:dyDescent="0.25">
      <c r="B240" s="62" t="str">
        <f>IF('91_KPIS'!$Q240="","",'91_KPIS'!$O240)</f>
        <v/>
      </c>
      <c r="C240" s="58" t="str">
        <f>IF($B240="","",INDEX(tblStock[Estado],'91_KPIS'!$Q240))</f>
        <v/>
      </c>
      <c r="D240" s="53" t="str">
        <f>IF($B240="","",INDEX(tblStock[SKU],'91_KPIS'!$Q240))</f>
        <v/>
      </c>
      <c r="E240" s="54" t="str">
        <f>IF($B240="","",INDEX(tblStock[Producto],'91_KPIS'!$Q240))</f>
        <v/>
      </c>
      <c r="F240" s="54" t="str">
        <f>IF($B240="","",INDEX(tblStock[Categoría],'91_KPIS'!$Q240))</f>
        <v/>
      </c>
      <c r="G240" s="54" t="str">
        <f>IF($B240="","",INDEX(tblStock[Proveedor],'91_KPIS'!$Q240)&amp;"")</f>
        <v/>
      </c>
      <c r="H240" s="56" t="str">
        <f>IF($B240="","",INDEX(tblStock[StockActual],'91_KPIS'!$Q240))</f>
        <v/>
      </c>
      <c r="I240" s="55" t="str">
        <f>IF($B240="","",INDEX(tblStock[StockMin],'91_KPIS'!$Q240))</f>
        <v/>
      </c>
      <c r="J240" s="55" t="str">
        <f>IF($B240="","",INDEX(tblStock[StockMax],'91_KPIS'!$Q240))</f>
        <v/>
      </c>
      <c r="K240" s="53" t="str">
        <f>IF($B240="","",INDEX(tblStock[Unidad],'91_KPIS'!$Q240))</f>
        <v/>
      </c>
      <c r="L240" s="55" t="str">
        <f t="shared" si="6"/>
        <v/>
      </c>
      <c r="M240" s="55" t="str">
        <f t="shared" si="7"/>
        <v/>
      </c>
      <c r="N240" s="54" t="str">
        <f>IF($B240="","",IFERROR(INDEX(tblEstados[Acción],MATCH($C240,tblEstados[Estado],0)),""))</f>
        <v/>
      </c>
      <c r="O240" s="60" t="str">
        <f>IF($B240="","",INDEX(tblStock[UltimoMov],'91_KPIS'!$Q240))</f>
        <v/>
      </c>
    </row>
    <row r="241" spans="2:15" x14ac:dyDescent="0.25">
      <c r="B241" s="62" t="str">
        <f>IF('91_KPIS'!$Q241="","",'91_KPIS'!$O241)</f>
        <v/>
      </c>
      <c r="C241" s="58" t="str">
        <f>IF($B241="","",INDEX(tblStock[Estado],'91_KPIS'!$Q241))</f>
        <v/>
      </c>
      <c r="D241" s="53" t="str">
        <f>IF($B241="","",INDEX(tblStock[SKU],'91_KPIS'!$Q241))</f>
        <v/>
      </c>
      <c r="E241" s="54" t="str">
        <f>IF($B241="","",INDEX(tblStock[Producto],'91_KPIS'!$Q241))</f>
        <v/>
      </c>
      <c r="F241" s="54" t="str">
        <f>IF($B241="","",INDEX(tblStock[Categoría],'91_KPIS'!$Q241))</f>
        <v/>
      </c>
      <c r="G241" s="54" t="str">
        <f>IF($B241="","",INDEX(tblStock[Proveedor],'91_KPIS'!$Q241)&amp;"")</f>
        <v/>
      </c>
      <c r="H241" s="56" t="str">
        <f>IF($B241="","",INDEX(tblStock[StockActual],'91_KPIS'!$Q241))</f>
        <v/>
      </c>
      <c r="I241" s="55" t="str">
        <f>IF($B241="","",INDEX(tblStock[StockMin],'91_KPIS'!$Q241))</f>
        <v/>
      </c>
      <c r="J241" s="55" t="str">
        <f>IF($B241="","",INDEX(tblStock[StockMax],'91_KPIS'!$Q241))</f>
        <v/>
      </c>
      <c r="K241" s="53" t="str">
        <f>IF($B241="","",INDEX(tblStock[Unidad],'91_KPIS'!$Q241))</f>
        <v/>
      </c>
      <c r="L241" s="55" t="str">
        <f t="shared" si="6"/>
        <v/>
      </c>
      <c r="M241" s="55" t="str">
        <f t="shared" si="7"/>
        <v/>
      </c>
      <c r="N241" s="54" t="str">
        <f>IF($B241="","",IFERROR(INDEX(tblEstados[Acción],MATCH($C241,tblEstados[Estado],0)),""))</f>
        <v/>
      </c>
      <c r="O241" s="60" t="str">
        <f>IF($B241="","",INDEX(tblStock[UltimoMov],'91_KPIS'!$Q241))</f>
        <v/>
      </c>
    </row>
    <row r="242" spans="2:15" x14ac:dyDescent="0.25">
      <c r="B242" s="62" t="str">
        <f>IF('91_KPIS'!$Q242="","",'91_KPIS'!$O242)</f>
        <v/>
      </c>
      <c r="C242" s="58" t="str">
        <f>IF($B242="","",INDEX(tblStock[Estado],'91_KPIS'!$Q242))</f>
        <v/>
      </c>
      <c r="D242" s="53" t="str">
        <f>IF($B242="","",INDEX(tblStock[SKU],'91_KPIS'!$Q242))</f>
        <v/>
      </c>
      <c r="E242" s="54" t="str">
        <f>IF($B242="","",INDEX(tblStock[Producto],'91_KPIS'!$Q242))</f>
        <v/>
      </c>
      <c r="F242" s="54" t="str">
        <f>IF($B242="","",INDEX(tblStock[Categoría],'91_KPIS'!$Q242))</f>
        <v/>
      </c>
      <c r="G242" s="54" t="str">
        <f>IF($B242="","",INDEX(tblStock[Proveedor],'91_KPIS'!$Q242)&amp;"")</f>
        <v/>
      </c>
      <c r="H242" s="56" t="str">
        <f>IF($B242="","",INDEX(tblStock[StockActual],'91_KPIS'!$Q242))</f>
        <v/>
      </c>
      <c r="I242" s="55" t="str">
        <f>IF($B242="","",INDEX(tblStock[StockMin],'91_KPIS'!$Q242))</f>
        <v/>
      </c>
      <c r="J242" s="55" t="str">
        <f>IF($B242="","",INDEX(tblStock[StockMax],'91_KPIS'!$Q242))</f>
        <v/>
      </c>
      <c r="K242" s="53" t="str">
        <f>IF($B242="","",INDEX(tblStock[Unidad],'91_KPIS'!$Q242))</f>
        <v/>
      </c>
      <c r="L242" s="55" t="str">
        <f t="shared" si="6"/>
        <v/>
      </c>
      <c r="M242" s="55" t="str">
        <f t="shared" si="7"/>
        <v/>
      </c>
      <c r="N242" s="54" t="str">
        <f>IF($B242="","",IFERROR(INDEX(tblEstados[Acción],MATCH($C242,tblEstados[Estado],0)),""))</f>
        <v/>
      </c>
      <c r="O242" s="60" t="str">
        <f>IF($B242="","",INDEX(tblStock[UltimoMov],'91_KPIS'!$Q242))</f>
        <v/>
      </c>
    </row>
    <row r="243" spans="2:15" x14ac:dyDescent="0.25">
      <c r="B243" s="62" t="str">
        <f>IF('91_KPIS'!$Q243="","",'91_KPIS'!$O243)</f>
        <v/>
      </c>
      <c r="C243" s="58" t="str">
        <f>IF($B243="","",INDEX(tblStock[Estado],'91_KPIS'!$Q243))</f>
        <v/>
      </c>
      <c r="D243" s="53" t="str">
        <f>IF($B243="","",INDEX(tblStock[SKU],'91_KPIS'!$Q243))</f>
        <v/>
      </c>
      <c r="E243" s="54" t="str">
        <f>IF($B243="","",INDEX(tblStock[Producto],'91_KPIS'!$Q243))</f>
        <v/>
      </c>
      <c r="F243" s="54" t="str">
        <f>IF($B243="","",INDEX(tblStock[Categoría],'91_KPIS'!$Q243))</f>
        <v/>
      </c>
      <c r="G243" s="54" t="str">
        <f>IF($B243="","",INDEX(tblStock[Proveedor],'91_KPIS'!$Q243)&amp;"")</f>
        <v/>
      </c>
      <c r="H243" s="56" t="str">
        <f>IF($B243="","",INDEX(tblStock[StockActual],'91_KPIS'!$Q243))</f>
        <v/>
      </c>
      <c r="I243" s="55" t="str">
        <f>IF($B243="","",INDEX(tblStock[StockMin],'91_KPIS'!$Q243))</f>
        <v/>
      </c>
      <c r="J243" s="55" t="str">
        <f>IF($B243="","",INDEX(tblStock[StockMax],'91_KPIS'!$Q243))</f>
        <v/>
      </c>
      <c r="K243" s="53" t="str">
        <f>IF($B243="","",INDEX(tblStock[Unidad],'91_KPIS'!$Q243))</f>
        <v/>
      </c>
      <c r="L243" s="55" t="str">
        <f t="shared" si="6"/>
        <v/>
      </c>
      <c r="M243" s="55" t="str">
        <f t="shared" si="7"/>
        <v/>
      </c>
      <c r="N243" s="54" t="str">
        <f>IF($B243="","",IFERROR(INDEX(tblEstados[Acción],MATCH($C243,tblEstados[Estado],0)),""))</f>
        <v/>
      </c>
      <c r="O243" s="60" t="str">
        <f>IF($B243="","",INDEX(tblStock[UltimoMov],'91_KPIS'!$Q243))</f>
        <v/>
      </c>
    </row>
    <row r="244" spans="2:15" x14ac:dyDescent="0.25">
      <c r="B244" s="62" t="str">
        <f>IF('91_KPIS'!$Q244="","",'91_KPIS'!$O244)</f>
        <v/>
      </c>
      <c r="C244" s="58" t="str">
        <f>IF($B244="","",INDEX(tblStock[Estado],'91_KPIS'!$Q244))</f>
        <v/>
      </c>
      <c r="D244" s="53" t="str">
        <f>IF($B244="","",INDEX(tblStock[SKU],'91_KPIS'!$Q244))</f>
        <v/>
      </c>
      <c r="E244" s="54" t="str">
        <f>IF($B244="","",INDEX(tblStock[Producto],'91_KPIS'!$Q244))</f>
        <v/>
      </c>
      <c r="F244" s="54" t="str">
        <f>IF($B244="","",INDEX(tblStock[Categoría],'91_KPIS'!$Q244))</f>
        <v/>
      </c>
      <c r="G244" s="54" t="str">
        <f>IF($B244="","",INDEX(tblStock[Proveedor],'91_KPIS'!$Q244)&amp;"")</f>
        <v/>
      </c>
      <c r="H244" s="56" t="str">
        <f>IF($B244="","",INDEX(tblStock[StockActual],'91_KPIS'!$Q244))</f>
        <v/>
      </c>
      <c r="I244" s="55" t="str">
        <f>IF($B244="","",INDEX(tblStock[StockMin],'91_KPIS'!$Q244))</f>
        <v/>
      </c>
      <c r="J244" s="55" t="str">
        <f>IF($B244="","",INDEX(tblStock[StockMax],'91_KPIS'!$Q244))</f>
        <v/>
      </c>
      <c r="K244" s="53" t="str">
        <f>IF($B244="","",INDEX(tblStock[Unidad],'91_KPIS'!$Q244))</f>
        <v/>
      </c>
      <c r="L244" s="55" t="str">
        <f t="shared" si="6"/>
        <v/>
      </c>
      <c r="M244" s="55" t="str">
        <f t="shared" si="7"/>
        <v/>
      </c>
      <c r="N244" s="54" t="str">
        <f>IF($B244="","",IFERROR(INDEX(tblEstados[Acción],MATCH($C244,tblEstados[Estado],0)),""))</f>
        <v/>
      </c>
      <c r="O244" s="60" t="str">
        <f>IF($B244="","",INDEX(tblStock[UltimoMov],'91_KPIS'!$Q244))</f>
        <v/>
      </c>
    </row>
    <row r="245" spans="2:15" x14ac:dyDescent="0.25">
      <c r="B245" s="62" t="str">
        <f>IF('91_KPIS'!$Q245="","",'91_KPIS'!$O245)</f>
        <v/>
      </c>
      <c r="C245" s="58" t="str">
        <f>IF($B245="","",INDEX(tblStock[Estado],'91_KPIS'!$Q245))</f>
        <v/>
      </c>
      <c r="D245" s="53" t="str">
        <f>IF($B245="","",INDEX(tblStock[SKU],'91_KPIS'!$Q245))</f>
        <v/>
      </c>
      <c r="E245" s="54" t="str">
        <f>IF($B245="","",INDEX(tblStock[Producto],'91_KPIS'!$Q245))</f>
        <v/>
      </c>
      <c r="F245" s="54" t="str">
        <f>IF($B245="","",INDEX(tblStock[Categoría],'91_KPIS'!$Q245))</f>
        <v/>
      </c>
      <c r="G245" s="54" t="str">
        <f>IF($B245="","",INDEX(tblStock[Proveedor],'91_KPIS'!$Q245)&amp;"")</f>
        <v/>
      </c>
      <c r="H245" s="56" t="str">
        <f>IF($B245="","",INDEX(tblStock[StockActual],'91_KPIS'!$Q245))</f>
        <v/>
      </c>
      <c r="I245" s="55" t="str">
        <f>IF($B245="","",INDEX(tblStock[StockMin],'91_KPIS'!$Q245))</f>
        <v/>
      </c>
      <c r="J245" s="55" t="str">
        <f>IF($B245="","",INDEX(tblStock[StockMax],'91_KPIS'!$Q245))</f>
        <v/>
      </c>
      <c r="K245" s="53" t="str">
        <f>IF($B245="","",INDEX(tblStock[Unidad],'91_KPIS'!$Q245))</f>
        <v/>
      </c>
      <c r="L245" s="55" t="str">
        <f t="shared" si="6"/>
        <v/>
      </c>
      <c r="M245" s="55" t="str">
        <f t="shared" si="7"/>
        <v/>
      </c>
      <c r="N245" s="54" t="str">
        <f>IF($B245="","",IFERROR(INDEX(tblEstados[Acción],MATCH($C245,tblEstados[Estado],0)),""))</f>
        <v/>
      </c>
      <c r="O245" s="60" t="str">
        <f>IF($B245="","",INDEX(tblStock[UltimoMov],'91_KPIS'!$Q245))</f>
        <v/>
      </c>
    </row>
    <row r="246" spans="2:15" x14ac:dyDescent="0.25">
      <c r="B246" s="62" t="str">
        <f>IF('91_KPIS'!$Q246="","",'91_KPIS'!$O246)</f>
        <v/>
      </c>
      <c r="C246" s="58" t="str">
        <f>IF($B246="","",INDEX(tblStock[Estado],'91_KPIS'!$Q246))</f>
        <v/>
      </c>
      <c r="D246" s="53" t="str">
        <f>IF($B246="","",INDEX(tblStock[SKU],'91_KPIS'!$Q246))</f>
        <v/>
      </c>
      <c r="E246" s="54" t="str">
        <f>IF($B246="","",INDEX(tblStock[Producto],'91_KPIS'!$Q246))</f>
        <v/>
      </c>
      <c r="F246" s="54" t="str">
        <f>IF($B246="","",INDEX(tblStock[Categoría],'91_KPIS'!$Q246))</f>
        <v/>
      </c>
      <c r="G246" s="54" t="str">
        <f>IF($B246="","",INDEX(tblStock[Proveedor],'91_KPIS'!$Q246)&amp;"")</f>
        <v/>
      </c>
      <c r="H246" s="56" t="str">
        <f>IF($B246="","",INDEX(tblStock[StockActual],'91_KPIS'!$Q246))</f>
        <v/>
      </c>
      <c r="I246" s="55" t="str">
        <f>IF($B246="","",INDEX(tblStock[StockMin],'91_KPIS'!$Q246))</f>
        <v/>
      </c>
      <c r="J246" s="55" t="str">
        <f>IF($B246="","",INDEX(tblStock[StockMax],'91_KPIS'!$Q246))</f>
        <v/>
      </c>
      <c r="K246" s="53" t="str">
        <f>IF($B246="","",INDEX(tblStock[Unidad],'91_KPIS'!$Q246))</f>
        <v/>
      </c>
      <c r="L246" s="55" t="str">
        <f t="shared" si="6"/>
        <v/>
      </c>
      <c r="M246" s="55" t="str">
        <f t="shared" si="7"/>
        <v/>
      </c>
      <c r="N246" s="54" t="str">
        <f>IF($B246="","",IFERROR(INDEX(tblEstados[Acción],MATCH($C246,tblEstados[Estado],0)),""))</f>
        <v/>
      </c>
      <c r="O246" s="60" t="str">
        <f>IF($B246="","",INDEX(tblStock[UltimoMov],'91_KPIS'!$Q246))</f>
        <v/>
      </c>
    </row>
    <row r="247" spans="2:15" x14ac:dyDescent="0.25">
      <c r="B247" s="62" t="str">
        <f>IF('91_KPIS'!$Q247="","",'91_KPIS'!$O247)</f>
        <v/>
      </c>
      <c r="C247" s="58" t="str">
        <f>IF($B247="","",INDEX(tblStock[Estado],'91_KPIS'!$Q247))</f>
        <v/>
      </c>
      <c r="D247" s="53" t="str">
        <f>IF($B247="","",INDEX(tblStock[SKU],'91_KPIS'!$Q247))</f>
        <v/>
      </c>
      <c r="E247" s="54" t="str">
        <f>IF($B247="","",INDEX(tblStock[Producto],'91_KPIS'!$Q247))</f>
        <v/>
      </c>
      <c r="F247" s="54" t="str">
        <f>IF($B247="","",INDEX(tblStock[Categoría],'91_KPIS'!$Q247))</f>
        <v/>
      </c>
      <c r="G247" s="54" t="str">
        <f>IF($B247="","",INDEX(tblStock[Proveedor],'91_KPIS'!$Q247)&amp;"")</f>
        <v/>
      </c>
      <c r="H247" s="56" t="str">
        <f>IF($B247="","",INDEX(tblStock[StockActual],'91_KPIS'!$Q247))</f>
        <v/>
      </c>
      <c r="I247" s="55" t="str">
        <f>IF($B247="","",INDEX(tblStock[StockMin],'91_KPIS'!$Q247))</f>
        <v/>
      </c>
      <c r="J247" s="55" t="str">
        <f>IF($B247="","",INDEX(tblStock[StockMax],'91_KPIS'!$Q247))</f>
        <v/>
      </c>
      <c r="K247" s="53" t="str">
        <f>IF($B247="","",INDEX(tblStock[Unidad],'91_KPIS'!$Q247))</f>
        <v/>
      </c>
      <c r="L247" s="55" t="str">
        <f t="shared" si="6"/>
        <v/>
      </c>
      <c r="M247" s="55" t="str">
        <f t="shared" si="7"/>
        <v/>
      </c>
      <c r="N247" s="54" t="str">
        <f>IF($B247="","",IFERROR(INDEX(tblEstados[Acción],MATCH($C247,tblEstados[Estado],0)),""))</f>
        <v/>
      </c>
      <c r="O247" s="60" t="str">
        <f>IF($B247="","",INDEX(tblStock[UltimoMov],'91_KPIS'!$Q247))</f>
        <v/>
      </c>
    </row>
    <row r="248" spans="2:15" x14ac:dyDescent="0.25">
      <c r="B248" s="62" t="str">
        <f>IF('91_KPIS'!$Q248="","",'91_KPIS'!$O248)</f>
        <v/>
      </c>
      <c r="C248" s="58" t="str">
        <f>IF($B248="","",INDEX(tblStock[Estado],'91_KPIS'!$Q248))</f>
        <v/>
      </c>
      <c r="D248" s="53" t="str">
        <f>IF($B248="","",INDEX(tblStock[SKU],'91_KPIS'!$Q248))</f>
        <v/>
      </c>
      <c r="E248" s="54" t="str">
        <f>IF($B248="","",INDEX(tblStock[Producto],'91_KPIS'!$Q248))</f>
        <v/>
      </c>
      <c r="F248" s="54" t="str">
        <f>IF($B248="","",INDEX(tblStock[Categoría],'91_KPIS'!$Q248))</f>
        <v/>
      </c>
      <c r="G248" s="54" t="str">
        <f>IF($B248="","",INDEX(tblStock[Proveedor],'91_KPIS'!$Q248)&amp;"")</f>
        <v/>
      </c>
      <c r="H248" s="56" t="str">
        <f>IF($B248="","",INDEX(tblStock[StockActual],'91_KPIS'!$Q248))</f>
        <v/>
      </c>
      <c r="I248" s="55" t="str">
        <f>IF($B248="","",INDEX(tblStock[StockMin],'91_KPIS'!$Q248))</f>
        <v/>
      </c>
      <c r="J248" s="55" t="str">
        <f>IF($B248="","",INDEX(tblStock[StockMax],'91_KPIS'!$Q248))</f>
        <v/>
      </c>
      <c r="K248" s="53" t="str">
        <f>IF($B248="","",INDEX(tblStock[Unidad],'91_KPIS'!$Q248))</f>
        <v/>
      </c>
      <c r="L248" s="55" t="str">
        <f t="shared" si="6"/>
        <v/>
      </c>
      <c r="M248" s="55" t="str">
        <f t="shared" si="7"/>
        <v/>
      </c>
      <c r="N248" s="54" t="str">
        <f>IF($B248="","",IFERROR(INDEX(tblEstados[Acción],MATCH($C248,tblEstados[Estado],0)),""))</f>
        <v/>
      </c>
      <c r="O248" s="60" t="str">
        <f>IF($B248="","",INDEX(tblStock[UltimoMov],'91_KPIS'!$Q248))</f>
        <v/>
      </c>
    </row>
    <row r="249" spans="2:15" x14ac:dyDescent="0.25">
      <c r="B249" s="62" t="str">
        <f>IF('91_KPIS'!$Q249="","",'91_KPIS'!$O249)</f>
        <v/>
      </c>
      <c r="C249" s="58" t="str">
        <f>IF($B249="","",INDEX(tblStock[Estado],'91_KPIS'!$Q249))</f>
        <v/>
      </c>
      <c r="D249" s="53" t="str">
        <f>IF($B249="","",INDEX(tblStock[SKU],'91_KPIS'!$Q249))</f>
        <v/>
      </c>
      <c r="E249" s="54" t="str">
        <f>IF($B249="","",INDEX(tblStock[Producto],'91_KPIS'!$Q249))</f>
        <v/>
      </c>
      <c r="F249" s="54" t="str">
        <f>IF($B249="","",INDEX(tblStock[Categoría],'91_KPIS'!$Q249))</f>
        <v/>
      </c>
      <c r="G249" s="54" t="str">
        <f>IF($B249="","",INDEX(tblStock[Proveedor],'91_KPIS'!$Q249)&amp;"")</f>
        <v/>
      </c>
      <c r="H249" s="56" t="str">
        <f>IF($B249="","",INDEX(tblStock[StockActual],'91_KPIS'!$Q249))</f>
        <v/>
      </c>
      <c r="I249" s="55" t="str">
        <f>IF($B249="","",INDEX(tblStock[StockMin],'91_KPIS'!$Q249))</f>
        <v/>
      </c>
      <c r="J249" s="55" t="str">
        <f>IF($B249="","",INDEX(tblStock[StockMax],'91_KPIS'!$Q249))</f>
        <v/>
      </c>
      <c r="K249" s="53" t="str">
        <f>IF($B249="","",INDEX(tblStock[Unidad],'91_KPIS'!$Q249))</f>
        <v/>
      </c>
      <c r="L249" s="55" t="str">
        <f t="shared" si="6"/>
        <v/>
      </c>
      <c r="M249" s="55" t="str">
        <f t="shared" si="7"/>
        <v/>
      </c>
      <c r="N249" s="54" t="str">
        <f>IF($B249="","",IFERROR(INDEX(tblEstados[Acción],MATCH($C249,tblEstados[Estado],0)),""))</f>
        <v/>
      </c>
      <c r="O249" s="60" t="str">
        <f>IF($B249="","",INDEX(tblStock[UltimoMov],'91_KPIS'!$Q249))</f>
        <v/>
      </c>
    </row>
    <row r="250" spans="2:15" x14ac:dyDescent="0.25">
      <c r="B250" s="62" t="str">
        <f>IF('91_KPIS'!$Q250="","",'91_KPIS'!$O250)</f>
        <v/>
      </c>
      <c r="C250" s="58" t="str">
        <f>IF($B250="","",INDEX(tblStock[Estado],'91_KPIS'!$Q250))</f>
        <v/>
      </c>
      <c r="D250" s="53" t="str">
        <f>IF($B250="","",INDEX(tblStock[SKU],'91_KPIS'!$Q250))</f>
        <v/>
      </c>
      <c r="E250" s="54" t="str">
        <f>IF($B250="","",INDEX(tblStock[Producto],'91_KPIS'!$Q250))</f>
        <v/>
      </c>
      <c r="F250" s="54" t="str">
        <f>IF($B250="","",INDEX(tblStock[Categoría],'91_KPIS'!$Q250))</f>
        <v/>
      </c>
      <c r="G250" s="54" t="str">
        <f>IF($B250="","",INDEX(tblStock[Proveedor],'91_KPIS'!$Q250)&amp;"")</f>
        <v/>
      </c>
      <c r="H250" s="56" t="str">
        <f>IF($B250="","",INDEX(tblStock[StockActual],'91_KPIS'!$Q250))</f>
        <v/>
      </c>
      <c r="I250" s="55" t="str">
        <f>IF($B250="","",INDEX(tblStock[StockMin],'91_KPIS'!$Q250))</f>
        <v/>
      </c>
      <c r="J250" s="55" t="str">
        <f>IF($B250="","",INDEX(tblStock[StockMax],'91_KPIS'!$Q250))</f>
        <v/>
      </c>
      <c r="K250" s="53" t="str">
        <f>IF($B250="","",INDEX(tblStock[Unidad],'91_KPIS'!$Q250))</f>
        <v/>
      </c>
      <c r="L250" s="55" t="str">
        <f t="shared" si="6"/>
        <v/>
      </c>
      <c r="M250" s="55" t="str">
        <f t="shared" si="7"/>
        <v/>
      </c>
      <c r="N250" s="54" t="str">
        <f>IF($B250="","",IFERROR(INDEX(tblEstados[Acción],MATCH($C250,tblEstados[Estado],0)),""))</f>
        <v/>
      </c>
      <c r="O250" s="60" t="str">
        <f>IF($B250="","",INDEX(tblStock[UltimoMov],'91_KPIS'!$Q250))</f>
        <v/>
      </c>
    </row>
    <row r="251" spans="2:15" x14ac:dyDescent="0.25">
      <c r="B251" s="62" t="str">
        <f>IF('91_KPIS'!$Q251="","",'91_KPIS'!$O251)</f>
        <v/>
      </c>
      <c r="C251" s="58" t="str">
        <f>IF($B251="","",INDEX(tblStock[Estado],'91_KPIS'!$Q251))</f>
        <v/>
      </c>
      <c r="D251" s="53" t="str">
        <f>IF($B251="","",INDEX(tblStock[SKU],'91_KPIS'!$Q251))</f>
        <v/>
      </c>
      <c r="E251" s="54" t="str">
        <f>IF($B251="","",INDEX(tblStock[Producto],'91_KPIS'!$Q251))</f>
        <v/>
      </c>
      <c r="F251" s="54" t="str">
        <f>IF($B251="","",INDEX(tblStock[Categoría],'91_KPIS'!$Q251))</f>
        <v/>
      </c>
      <c r="G251" s="54" t="str">
        <f>IF($B251="","",INDEX(tblStock[Proveedor],'91_KPIS'!$Q251)&amp;"")</f>
        <v/>
      </c>
      <c r="H251" s="56" t="str">
        <f>IF($B251="","",INDEX(tblStock[StockActual],'91_KPIS'!$Q251))</f>
        <v/>
      </c>
      <c r="I251" s="55" t="str">
        <f>IF($B251="","",INDEX(tblStock[StockMin],'91_KPIS'!$Q251))</f>
        <v/>
      </c>
      <c r="J251" s="55" t="str">
        <f>IF($B251="","",INDEX(tblStock[StockMax],'91_KPIS'!$Q251))</f>
        <v/>
      </c>
      <c r="K251" s="53" t="str">
        <f>IF($B251="","",INDEX(tblStock[Unidad],'91_KPIS'!$Q251))</f>
        <v/>
      </c>
      <c r="L251" s="55" t="str">
        <f t="shared" si="6"/>
        <v/>
      </c>
      <c r="M251" s="55" t="str">
        <f t="shared" si="7"/>
        <v/>
      </c>
      <c r="N251" s="54" t="str">
        <f>IF($B251="","",IFERROR(INDEX(tblEstados[Acción],MATCH($C251,tblEstados[Estado],0)),""))</f>
        <v/>
      </c>
      <c r="O251" s="60" t="str">
        <f>IF($B251="","",INDEX(tblStock[UltimoMov],'91_KPIS'!$Q251))</f>
        <v/>
      </c>
    </row>
    <row r="252" spans="2:15" x14ac:dyDescent="0.25">
      <c r="B252" s="62" t="str">
        <f>IF('91_KPIS'!$Q252="","",'91_KPIS'!$O252)</f>
        <v/>
      </c>
      <c r="C252" s="58" t="str">
        <f>IF($B252="","",INDEX(tblStock[Estado],'91_KPIS'!$Q252))</f>
        <v/>
      </c>
      <c r="D252" s="53" t="str">
        <f>IF($B252="","",INDEX(tblStock[SKU],'91_KPIS'!$Q252))</f>
        <v/>
      </c>
      <c r="E252" s="54" t="str">
        <f>IF($B252="","",INDEX(tblStock[Producto],'91_KPIS'!$Q252))</f>
        <v/>
      </c>
      <c r="F252" s="54" t="str">
        <f>IF($B252="","",INDEX(tblStock[Categoría],'91_KPIS'!$Q252))</f>
        <v/>
      </c>
      <c r="G252" s="54" t="str">
        <f>IF($B252="","",INDEX(tblStock[Proveedor],'91_KPIS'!$Q252)&amp;"")</f>
        <v/>
      </c>
      <c r="H252" s="56" t="str">
        <f>IF($B252="","",INDEX(tblStock[StockActual],'91_KPIS'!$Q252))</f>
        <v/>
      </c>
      <c r="I252" s="55" t="str">
        <f>IF($B252="","",INDEX(tblStock[StockMin],'91_KPIS'!$Q252))</f>
        <v/>
      </c>
      <c r="J252" s="55" t="str">
        <f>IF($B252="","",INDEX(tblStock[StockMax],'91_KPIS'!$Q252))</f>
        <v/>
      </c>
      <c r="K252" s="53" t="str">
        <f>IF($B252="","",INDEX(tblStock[Unidad],'91_KPIS'!$Q252))</f>
        <v/>
      </c>
      <c r="L252" s="55" t="str">
        <f t="shared" si="6"/>
        <v/>
      </c>
      <c r="M252" s="55" t="str">
        <f t="shared" si="7"/>
        <v/>
      </c>
      <c r="N252" s="54" t="str">
        <f>IF($B252="","",IFERROR(INDEX(tblEstados[Acción],MATCH($C252,tblEstados[Estado],0)),""))</f>
        <v/>
      </c>
      <c r="O252" s="60" t="str">
        <f>IF($B252="","",INDEX(tblStock[UltimoMov],'91_KPIS'!$Q252))</f>
        <v/>
      </c>
    </row>
    <row r="253" spans="2:15" x14ac:dyDescent="0.25">
      <c r="B253" s="62" t="str">
        <f>IF('91_KPIS'!$Q253="","",'91_KPIS'!$O253)</f>
        <v/>
      </c>
      <c r="C253" s="58" t="str">
        <f>IF($B253="","",INDEX(tblStock[Estado],'91_KPIS'!$Q253))</f>
        <v/>
      </c>
      <c r="D253" s="53" t="str">
        <f>IF($B253="","",INDEX(tblStock[SKU],'91_KPIS'!$Q253))</f>
        <v/>
      </c>
      <c r="E253" s="54" t="str">
        <f>IF($B253="","",INDEX(tblStock[Producto],'91_KPIS'!$Q253))</f>
        <v/>
      </c>
      <c r="F253" s="54" t="str">
        <f>IF($B253="","",INDEX(tblStock[Categoría],'91_KPIS'!$Q253))</f>
        <v/>
      </c>
      <c r="G253" s="54" t="str">
        <f>IF($B253="","",INDEX(tblStock[Proveedor],'91_KPIS'!$Q253)&amp;"")</f>
        <v/>
      </c>
      <c r="H253" s="56" t="str">
        <f>IF($B253="","",INDEX(tblStock[StockActual],'91_KPIS'!$Q253))</f>
        <v/>
      </c>
      <c r="I253" s="55" t="str">
        <f>IF($B253="","",INDEX(tblStock[StockMin],'91_KPIS'!$Q253))</f>
        <v/>
      </c>
      <c r="J253" s="55" t="str">
        <f>IF($B253="","",INDEX(tblStock[StockMax],'91_KPIS'!$Q253))</f>
        <v/>
      </c>
      <c r="K253" s="53" t="str">
        <f>IF($B253="","",INDEX(tblStock[Unidad],'91_KPIS'!$Q253))</f>
        <v/>
      </c>
      <c r="L253" s="55" t="str">
        <f t="shared" si="6"/>
        <v/>
      </c>
      <c r="M253" s="55" t="str">
        <f t="shared" si="7"/>
        <v/>
      </c>
      <c r="N253" s="54" t="str">
        <f>IF($B253="","",IFERROR(INDEX(tblEstados[Acción],MATCH($C253,tblEstados[Estado],0)),""))</f>
        <v/>
      </c>
      <c r="O253" s="60" t="str">
        <f>IF($B253="","",INDEX(tblStock[UltimoMov],'91_KPIS'!$Q253))</f>
        <v/>
      </c>
    </row>
    <row r="254" spans="2:15" x14ac:dyDescent="0.25">
      <c r="B254" s="62" t="str">
        <f>IF('91_KPIS'!$Q254="","",'91_KPIS'!$O254)</f>
        <v/>
      </c>
      <c r="C254" s="58" t="str">
        <f>IF($B254="","",INDEX(tblStock[Estado],'91_KPIS'!$Q254))</f>
        <v/>
      </c>
      <c r="D254" s="53" t="str">
        <f>IF($B254="","",INDEX(tblStock[SKU],'91_KPIS'!$Q254))</f>
        <v/>
      </c>
      <c r="E254" s="54" t="str">
        <f>IF($B254="","",INDEX(tblStock[Producto],'91_KPIS'!$Q254))</f>
        <v/>
      </c>
      <c r="F254" s="54" t="str">
        <f>IF($B254="","",INDEX(tblStock[Categoría],'91_KPIS'!$Q254))</f>
        <v/>
      </c>
      <c r="G254" s="54" t="str">
        <f>IF($B254="","",INDEX(tblStock[Proveedor],'91_KPIS'!$Q254)&amp;"")</f>
        <v/>
      </c>
      <c r="H254" s="56" t="str">
        <f>IF($B254="","",INDEX(tblStock[StockActual],'91_KPIS'!$Q254))</f>
        <v/>
      </c>
      <c r="I254" s="55" t="str">
        <f>IF($B254="","",INDEX(tblStock[StockMin],'91_KPIS'!$Q254))</f>
        <v/>
      </c>
      <c r="J254" s="55" t="str">
        <f>IF($B254="","",INDEX(tblStock[StockMax],'91_KPIS'!$Q254))</f>
        <v/>
      </c>
      <c r="K254" s="53" t="str">
        <f>IF($B254="","",INDEX(tblStock[Unidad],'91_KPIS'!$Q254))</f>
        <v/>
      </c>
      <c r="L254" s="55" t="str">
        <f t="shared" si="6"/>
        <v/>
      </c>
      <c r="M254" s="55" t="str">
        <f t="shared" si="7"/>
        <v/>
      </c>
      <c r="N254" s="54" t="str">
        <f>IF($B254="","",IFERROR(INDEX(tblEstados[Acción],MATCH($C254,tblEstados[Estado],0)),""))</f>
        <v/>
      </c>
      <c r="O254" s="60" t="str">
        <f>IF($B254="","",INDEX(tblStock[UltimoMov],'91_KPIS'!$Q254))</f>
        <v/>
      </c>
    </row>
    <row r="255" spans="2:15" x14ac:dyDescent="0.25">
      <c r="B255" s="62" t="str">
        <f>IF('91_KPIS'!$Q255="","",'91_KPIS'!$O255)</f>
        <v/>
      </c>
      <c r="C255" s="58" t="str">
        <f>IF($B255="","",INDEX(tblStock[Estado],'91_KPIS'!$Q255))</f>
        <v/>
      </c>
      <c r="D255" s="53" t="str">
        <f>IF($B255="","",INDEX(tblStock[SKU],'91_KPIS'!$Q255))</f>
        <v/>
      </c>
      <c r="E255" s="54" t="str">
        <f>IF($B255="","",INDEX(tblStock[Producto],'91_KPIS'!$Q255))</f>
        <v/>
      </c>
      <c r="F255" s="54" t="str">
        <f>IF($B255="","",INDEX(tblStock[Categoría],'91_KPIS'!$Q255))</f>
        <v/>
      </c>
      <c r="G255" s="54" t="str">
        <f>IF($B255="","",INDEX(tblStock[Proveedor],'91_KPIS'!$Q255)&amp;"")</f>
        <v/>
      </c>
      <c r="H255" s="56" t="str">
        <f>IF($B255="","",INDEX(tblStock[StockActual],'91_KPIS'!$Q255))</f>
        <v/>
      </c>
      <c r="I255" s="55" t="str">
        <f>IF($B255="","",INDEX(tblStock[StockMin],'91_KPIS'!$Q255))</f>
        <v/>
      </c>
      <c r="J255" s="55" t="str">
        <f>IF($B255="","",INDEX(tblStock[StockMax],'91_KPIS'!$Q255))</f>
        <v/>
      </c>
      <c r="K255" s="53" t="str">
        <f>IF($B255="","",INDEX(tblStock[Unidad],'91_KPIS'!$Q255))</f>
        <v/>
      </c>
      <c r="L255" s="55" t="str">
        <f t="shared" si="6"/>
        <v/>
      </c>
      <c r="M255" s="55" t="str">
        <f t="shared" si="7"/>
        <v/>
      </c>
      <c r="N255" s="54" t="str">
        <f>IF($B255="","",IFERROR(INDEX(tblEstados[Acción],MATCH($C255,tblEstados[Estado],0)),""))</f>
        <v/>
      </c>
      <c r="O255" s="60" t="str">
        <f>IF($B255="","",INDEX(tblStock[UltimoMov],'91_KPIS'!$Q255))</f>
        <v/>
      </c>
    </row>
    <row r="256" spans="2:15" x14ac:dyDescent="0.25">
      <c r="B256" s="62" t="str">
        <f>IF('91_KPIS'!$Q256="","",'91_KPIS'!$O256)</f>
        <v/>
      </c>
      <c r="C256" s="58" t="str">
        <f>IF($B256="","",INDEX(tblStock[Estado],'91_KPIS'!$Q256))</f>
        <v/>
      </c>
      <c r="D256" s="53" t="str">
        <f>IF($B256="","",INDEX(tblStock[SKU],'91_KPIS'!$Q256))</f>
        <v/>
      </c>
      <c r="E256" s="54" t="str">
        <f>IF($B256="","",INDEX(tblStock[Producto],'91_KPIS'!$Q256))</f>
        <v/>
      </c>
      <c r="F256" s="54" t="str">
        <f>IF($B256="","",INDEX(tblStock[Categoría],'91_KPIS'!$Q256))</f>
        <v/>
      </c>
      <c r="G256" s="54" t="str">
        <f>IF($B256="","",INDEX(tblStock[Proveedor],'91_KPIS'!$Q256)&amp;"")</f>
        <v/>
      </c>
      <c r="H256" s="56" t="str">
        <f>IF($B256="","",INDEX(tblStock[StockActual],'91_KPIS'!$Q256))</f>
        <v/>
      </c>
      <c r="I256" s="55" t="str">
        <f>IF($B256="","",INDEX(tblStock[StockMin],'91_KPIS'!$Q256))</f>
        <v/>
      </c>
      <c r="J256" s="55" t="str">
        <f>IF($B256="","",INDEX(tblStock[StockMax],'91_KPIS'!$Q256))</f>
        <v/>
      </c>
      <c r="K256" s="53" t="str">
        <f>IF($B256="","",INDEX(tblStock[Unidad],'91_KPIS'!$Q256))</f>
        <v/>
      </c>
      <c r="L256" s="55" t="str">
        <f t="shared" si="6"/>
        <v/>
      </c>
      <c r="M256" s="55" t="str">
        <f t="shared" si="7"/>
        <v/>
      </c>
      <c r="N256" s="54" t="str">
        <f>IF($B256="","",IFERROR(INDEX(tblEstados[Acción],MATCH($C256,tblEstados[Estado],0)),""))</f>
        <v/>
      </c>
      <c r="O256" s="60" t="str">
        <f>IF($B256="","",INDEX(tblStock[UltimoMov],'91_KPIS'!$Q256))</f>
        <v/>
      </c>
    </row>
    <row r="257" spans="2:15" x14ac:dyDescent="0.25">
      <c r="B257" s="62" t="str">
        <f>IF('91_KPIS'!$Q257="","",'91_KPIS'!$O257)</f>
        <v/>
      </c>
      <c r="C257" s="58" t="str">
        <f>IF($B257="","",INDEX(tblStock[Estado],'91_KPIS'!$Q257))</f>
        <v/>
      </c>
      <c r="D257" s="53" t="str">
        <f>IF($B257="","",INDEX(tblStock[SKU],'91_KPIS'!$Q257))</f>
        <v/>
      </c>
      <c r="E257" s="54" t="str">
        <f>IF($B257="","",INDEX(tblStock[Producto],'91_KPIS'!$Q257))</f>
        <v/>
      </c>
      <c r="F257" s="54" t="str">
        <f>IF($B257="","",INDEX(tblStock[Categoría],'91_KPIS'!$Q257))</f>
        <v/>
      </c>
      <c r="G257" s="54" t="str">
        <f>IF($B257="","",INDEX(tblStock[Proveedor],'91_KPIS'!$Q257)&amp;"")</f>
        <v/>
      </c>
      <c r="H257" s="56" t="str">
        <f>IF($B257="","",INDEX(tblStock[StockActual],'91_KPIS'!$Q257))</f>
        <v/>
      </c>
      <c r="I257" s="55" t="str">
        <f>IF($B257="","",INDEX(tblStock[StockMin],'91_KPIS'!$Q257))</f>
        <v/>
      </c>
      <c r="J257" s="55" t="str">
        <f>IF($B257="","",INDEX(tblStock[StockMax],'91_KPIS'!$Q257))</f>
        <v/>
      </c>
      <c r="K257" s="53" t="str">
        <f>IF($B257="","",INDEX(tblStock[Unidad],'91_KPIS'!$Q257))</f>
        <v/>
      </c>
      <c r="L257" s="55" t="str">
        <f t="shared" si="6"/>
        <v/>
      </c>
      <c r="M257" s="55" t="str">
        <f t="shared" si="7"/>
        <v/>
      </c>
      <c r="N257" s="54" t="str">
        <f>IF($B257="","",IFERROR(INDEX(tblEstados[Acción],MATCH($C257,tblEstados[Estado],0)),""))</f>
        <v/>
      </c>
      <c r="O257" s="60" t="str">
        <f>IF($B257="","",INDEX(tblStock[UltimoMov],'91_KPIS'!$Q257))</f>
        <v/>
      </c>
    </row>
    <row r="258" spans="2:15" x14ac:dyDescent="0.25">
      <c r="B258" s="62" t="str">
        <f>IF('91_KPIS'!$Q258="","",'91_KPIS'!$O258)</f>
        <v/>
      </c>
      <c r="C258" s="58" t="str">
        <f>IF($B258="","",INDEX(tblStock[Estado],'91_KPIS'!$Q258))</f>
        <v/>
      </c>
      <c r="D258" s="53" t="str">
        <f>IF($B258="","",INDEX(tblStock[SKU],'91_KPIS'!$Q258))</f>
        <v/>
      </c>
      <c r="E258" s="54" t="str">
        <f>IF($B258="","",INDEX(tblStock[Producto],'91_KPIS'!$Q258))</f>
        <v/>
      </c>
      <c r="F258" s="54" t="str">
        <f>IF($B258="","",INDEX(tblStock[Categoría],'91_KPIS'!$Q258))</f>
        <v/>
      </c>
      <c r="G258" s="54" t="str">
        <f>IF($B258="","",INDEX(tblStock[Proveedor],'91_KPIS'!$Q258)&amp;"")</f>
        <v/>
      </c>
      <c r="H258" s="56" t="str">
        <f>IF($B258="","",INDEX(tblStock[StockActual],'91_KPIS'!$Q258))</f>
        <v/>
      </c>
      <c r="I258" s="55" t="str">
        <f>IF($B258="","",INDEX(tblStock[StockMin],'91_KPIS'!$Q258))</f>
        <v/>
      </c>
      <c r="J258" s="55" t="str">
        <f>IF($B258="","",INDEX(tblStock[StockMax],'91_KPIS'!$Q258))</f>
        <v/>
      </c>
      <c r="K258" s="53" t="str">
        <f>IF($B258="","",INDEX(tblStock[Unidad],'91_KPIS'!$Q258))</f>
        <v/>
      </c>
      <c r="L258" s="55" t="str">
        <f t="shared" si="6"/>
        <v/>
      </c>
      <c r="M258" s="55" t="str">
        <f t="shared" si="7"/>
        <v/>
      </c>
      <c r="N258" s="54" t="str">
        <f>IF($B258="","",IFERROR(INDEX(tblEstados[Acción],MATCH($C258,tblEstados[Estado],0)),""))</f>
        <v/>
      </c>
      <c r="O258" s="60" t="str">
        <f>IF($B258="","",INDEX(tblStock[UltimoMov],'91_KPIS'!$Q258))</f>
        <v/>
      </c>
    </row>
    <row r="259" spans="2:15" x14ac:dyDescent="0.25">
      <c r="B259" s="62" t="str">
        <f>IF('91_KPIS'!$Q259="","",'91_KPIS'!$O259)</f>
        <v/>
      </c>
      <c r="C259" s="58" t="str">
        <f>IF($B259="","",INDEX(tblStock[Estado],'91_KPIS'!$Q259))</f>
        <v/>
      </c>
      <c r="D259" s="53" t="str">
        <f>IF($B259="","",INDEX(tblStock[SKU],'91_KPIS'!$Q259))</f>
        <v/>
      </c>
      <c r="E259" s="54" t="str">
        <f>IF($B259="","",INDEX(tblStock[Producto],'91_KPIS'!$Q259))</f>
        <v/>
      </c>
      <c r="F259" s="54" t="str">
        <f>IF($B259="","",INDEX(tblStock[Categoría],'91_KPIS'!$Q259))</f>
        <v/>
      </c>
      <c r="G259" s="54" t="str">
        <f>IF($B259="","",INDEX(tblStock[Proveedor],'91_KPIS'!$Q259)&amp;"")</f>
        <v/>
      </c>
      <c r="H259" s="56" t="str">
        <f>IF($B259="","",INDEX(tblStock[StockActual],'91_KPIS'!$Q259))</f>
        <v/>
      </c>
      <c r="I259" s="55" t="str">
        <f>IF($B259="","",INDEX(tblStock[StockMin],'91_KPIS'!$Q259))</f>
        <v/>
      </c>
      <c r="J259" s="55" t="str">
        <f>IF($B259="","",INDEX(tblStock[StockMax],'91_KPIS'!$Q259))</f>
        <v/>
      </c>
      <c r="K259" s="53" t="str">
        <f>IF($B259="","",INDEX(tblStock[Unidad],'91_KPIS'!$Q259))</f>
        <v/>
      </c>
      <c r="L259" s="55" t="str">
        <f t="shared" si="6"/>
        <v/>
      </c>
      <c r="M259" s="55" t="str">
        <f t="shared" si="7"/>
        <v/>
      </c>
      <c r="N259" s="54" t="str">
        <f>IF($B259="","",IFERROR(INDEX(tblEstados[Acción],MATCH($C259,tblEstados[Estado],0)),""))</f>
        <v/>
      </c>
      <c r="O259" s="60" t="str">
        <f>IF($B259="","",INDEX(tblStock[UltimoMov],'91_KPIS'!$Q259))</f>
        <v/>
      </c>
    </row>
    <row r="260" spans="2:15" x14ac:dyDescent="0.25">
      <c r="B260" s="62" t="str">
        <f>IF('91_KPIS'!$Q260="","",'91_KPIS'!$O260)</f>
        <v/>
      </c>
      <c r="C260" s="58" t="str">
        <f>IF($B260="","",INDEX(tblStock[Estado],'91_KPIS'!$Q260))</f>
        <v/>
      </c>
      <c r="D260" s="53" t="str">
        <f>IF($B260="","",INDEX(tblStock[SKU],'91_KPIS'!$Q260))</f>
        <v/>
      </c>
      <c r="E260" s="54" t="str">
        <f>IF($B260="","",INDEX(tblStock[Producto],'91_KPIS'!$Q260))</f>
        <v/>
      </c>
      <c r="F260" s="54" t="str">
        <f>IF($B260="","",INDEX(tblStock[Categoría],'91_KPIS'!$Q260))</f>
        <v/>
      </c>
      <c r="G260" s="54" t="str">
        <f>IF($B260="","",INDEX(tblStock[Proveedor],'91_KPIS'!$Q260)&amp;"")</f>
        <v/>
      </c>
      <c r="H260" s="56" t="str">
        <f>IF($B260="","",INDEX(tblStock[StockActual],'91_KPIS'!$Q260))</f>
        <v/>
      </c>
      <c r="I260" s="55" t="str">
        <f>IF($B260="","",INDEX(tblStock[StockMin],'91_KPIS'!$Q260))</f>
        <v/>
      </c>
      <c r="J260" s="55" t="str">
        <f>IF($B260="","",INDEX(tblStock[StockMax],'91_KPIS'!$Q260))</f>
        <v/>
      </c>
      <c r="K260" s="53" t="str">
        <f>IF($B260="","",INDEX(tblStock[Unidad],'91_KPIS'!$Q260))</f>
        <v/>
      </c>
      <c r="L260" s="55" t="str">
        <f t="shared" si="6"/>
        <v/>
      </c>
      <c r="M260" s="55" t="str">
        <f t="shared" si="7"/>
        <v/>
      </c>
      <c r="N260" s="54" t="str">
        <f>IF($B260="","",IFERROR(INDEX(tblEstados[Acción],MATCH($C260,tblEstados[Estado],0)),""))</f>
        <v/>
      </c>
      <c r="O260" s="60" t="str">
        <f>IF($B260="","",INDEX(tblStock[UltimoMov],'91_KPIS'!$Q260))</f>
        <v/>
      </c>
    </row>
    <row r="261" spans="2:15" x14ac:dyDescent="0.25">
      <c r="B261" s="62" t="str">
        <f>IF('91_KPIS'!$Q261="","",'91_KPIS'!$O261)</f>
        <v/>
      </c>
      <c r="C261" s="58" t="str">
        <f>IF($B261="","",INDEX(tblStock[Estado],'91_KPIS'!$Q261))</f>
        <v/>
      </c>
      <c r="D261" s="53" t="str">
        <f>IF($B261="","",INDEX(tblStock[SKU],'91_KPIS'!$Q261))</f>
        <v/>
      </c>
      <c r="E261" s="54" t="str">
        <f>IF($B261="","",INDEX(tblStock[Producto],'91_KPIS'!$Q261))</f>
        <v/>
      </c>
      <c r="F261" s="54" t="str">
        <f>IF($B261="","",INDEX(tblStock[Categoría],'91_KPIS'!$Q261))</f>
        <v/>
      </c>
      <c r="G261" s="54" t="str">
        <f>IF($B261="","",INDEX(tblStock[Proveedor],'91_KPIS'!$Q261)&amp;"")</f>
        <v/>
      </c>
      <c r="H261" s="56" t="str">
        <f>IF($B261="","",INDEX(tblStock[StockActual],'91_KPIS'!$Q261))</f>
        <v/>
      </c>
      <c r="I261" s="55" t="str">
        <f>IF($B261="","",INDEX(tblStock[StockMin],'91_KPIS'!$Q261))</f>
        <v/>
      </c>
      <c r="J261" s="55" t="str">
        <f>IF($B261="","",INDEX(tblStock[StockMax],'91_KPIS'!$Q261))</f>
        <v/>
      </c>
      <c r="K261" s="53" t="str">
        <f>IF($B261="","",INDEX(tblStock[Unidad],'91_KPIS'!$Q261))</f>
        <v/>
      </c>
      <c r="L261" s="55" t="str">
        <f t="shared" si="6"/>
        <v/>
      </c>
      <c r="M261" s="55" t="str">
        <f t="shared" si="7"/>
        <v/>
      </c>
      <c r="N261" s="54" t="str">
        <f>IF($B261="","",IFERROR(INDEX(tblEstados[Acción],MATCH($C261,tblEstados[Estado],0)),""))</f>
        <v/>
      </c>
      <c r="O261" s="60" t="str">
        <f>IF($B261="","",INDEX(tblStock[UltimoMov],'91_KPIS'!$Q261))</f>
        <v/>
      </c>
    </row>
    <row r="262" spans="2:15" x14ac:dyDescent="0.25">
      <c r="B262" s="62" t="str">
        <f>IF('91_KPIS'!$Q262="","",'91_KPIS'!$O262)</f>
        <v/>
      </c>
      <c r="C262" s="58" t="str">
        <f>IF($B262="","",INDEX(tblStock[Estado],'91_KPIS'!$Q262))</f>
        <v/>
      </c>
      <c r="D262" s="53" t="str">
        <f>IF($B262="","",INDEX(tblStock[SKU],'91_KPIS'!$Q262))</f>
        <v/>
      </c>
      <c r="E262" s="54" t="str">
        <f>IF($B262="","",INDEX(tblStock[Producto],'91_KPIS'!$Q262))</f>
        <v/>
      </c>
      <c r="F262" s="54" t="str">
        <f>IF($B262="","",INDEX(tblStock[Categoría],'91_KPIS'!$Q262))</f>
        <v/>
      </c>
      <c r="G262" s="54" t="str">
        <f>IF($B262="","",INDEX(tblStock[Proveedor],'91_KPIS'!$Q262)&amp;"")</f>
        <v/>
      </c>
      <c r="H262" s="56" t="str">
        <f>IF($B262="","",INDEX(tblStock[StockActual],'91_KPIS'!$Q262))</f>
        <v/>
      </c>
      <c r="I262" s="55" t="str">
        <f>IF($B262="","",INDEX(tblStock[StockMin],'91_KPIS'!$Q262))</f>
        <v/>
      </c>
      <c r="J262" s="55" t="str">
        <f>IF($B262="","",INDEX(tblStock[StockMax],'91_KPIS'!$Q262))</f>
        <v/>
      </c>
      <c r="K262" s="53" t="str">
        <f>IF($B262="","",INDEX(tblStock[Unidad],'91_KPIS'!$Q262))</f>
        <v/>
      </c>
      <c r="L262" s="55" t="str">
        <f t="shared" si="6"/>
        <v/>
      </c>
      <c r="M262" s="55" t="str">
        <f t="shared" si="7"/>
        <v/>
      </c>
      <c r="N262" s="54" t="str">
        <f>IF($B262="","",IFERROR(INDEX(tblEstados[Acción],MATCH($C262,tblEstados[Estado],0)),""))</f>
        <v/>
      </c>
      <c r="O262" s="60" t="str">
        <f>IF($B262="","",INDEX(tblStock[UltimoMov],'91_KPIS'!$Q262))</f>
        <v/>
      </c>
    </row>
    <row r="263" spans="2:15" x14ac:dyDescent="0.25">
      <c r="B263" s="62" t="str">
        <f>IF('91_KPIS'!$Q263="","",'91_KPIS'!$O263)</f>
        <v/>
      </c>
      <c r="C263" s="58" t="str">
        <f>IF($B263="","",INDEX(tblStock[Estado],'91_KPIS'!$Q263))</f>
        <v/>
      </c>
      <c r="D263" s="53" t="str">
        <f>IF($B263="","",INDEX(tblStock[SKU],'91_KPIS'!$Q263))</f>
        <v/>
      </c>
      <c r="E263" s="54" t="str">
        <f>IF($B263="","",INDEX(tblStock[Producto],'91_KPIS'!$Q263))</f>
        <v/>
      </c>
      <c r="F263" s="54" t="str">
        <f>IF($B263="","",INDEX(tblStock[Categoría],'91_KPIS'!$Q263))</f>
        <v/>
      </c>
      <c r="G263" s="54" t="str">
        <f>IF($B263="","",INDEX(tblStock[Proveedor],'91_KPIS'!$Q263)&amp;"")</f>
        <v/>
      </c>
      <c r="H263" s="56" t="str">
        <f>IF($B263="","",INDEX(tblStock[StockActual],'91_KPIS'!$Q263))</f>
        <v/>
      </c>
      <c r="I263" s="55" t="str">
        <f>IF($B263="","",INDEX(tblStock[StockMin],'91_KPIS'!$Q263))</f>
        <v/>
      </c>
      <c r="J263" s="55" t="str">
        <f>IF($B263="","",INDEX(tblStock[StockMax],'91_KPIS'!$Q263))</f>
        <v/>
      </c>
      <c r="K263" s="53" t="str">
        <f>IF($B263="","",INDEX(tblStock[Unidad],'91_KPIS'!$Q263))</f>
        <v/>
      </c>
      <c r="L263" s="55" t="str">
        <f t="shared" si="6"/>
        <v/>
      </c>
      <c r="M263" s="55" t="str">
        <f t="shared" si="7"/>
        <v/>
      </c>
      <c r="N263" s="54" t="str">
        <f>IF($B263="","",IFERROR(INDEX(tblEstados[Acción],MATCH($C263,tblEstados[Estado],0)),""))</f>
        <v/>
      </c>
      <c r="O263" s="60" t="str">
        <f>IF($B263="","",INDEX(tblStock[UltimoMov],'91_KPIS'!$Q263))</f>
        <v/>
      </c>
    </row>
    <row r="264" spans="2:15" x14ac:dyDescent="0.25">
      <c r="B264" s="62" t="str">
        <f>IF('91_KPIS'!$Q264="","",'91_KPIS'!$O264)</f>
        <v/>
      </c>
      <c r="C264" s="58" t="str">
        <f>IF($B264="","",INDEX(tblStock[Estado],'91_KPIS'!$Q264))</f>
        <v/>
      </c>
      <c r="D264" s="53" t="str">
        <f>IF($B264="","",INDEX(tblStock[SKU],'91_KPIS'!$Q264))</f>
        <v/>
      </c>
      <c r="E264" s="54" t="str">
        <f>IF($B264="","",INDEX(tblStock[Producto],'91_KPIS'!$Q264))</f>
        <v/>
      </c>
      <c r="F264" s="54" t="str">
        <f>IF($B264="","",INDEX(tblStock[Categoría],'91_KPIS'!$Q264))</f>
        <v/>
      </c>
      <c r="G264" s="54" t="str">
        <f>IF($B264="","",INDEX(tblStock[Proveedor],'91_KPIS'!$Q264)&amp;"")</f>
        <v/>
      </c>
      <c r="H264" s="56" t="str">
        <f>IF($B264="","",INDEX(tblStock[StockActual],'91_KPIS'!$Q264))</f>
        <v/>
      </c>
      <c r="I264" s="55" t="str">
        <f>IF($B264="","",INDEX(tblStock[StockMin],'91_KPIS'!$Q264))</f>
        <v/>
      </c>
      <c r="J264" s="55" t="str">
        <f>IF($B264="","",INDEX(tblStock[StockMax],'91_KPIS'!$Q264))</f>
        <v/>
      </c>
      <c r="K264" s="53" t="str">
        <f>IF($B264="","",INDEX(tblStock[Unidad],'91_KPIS'!$Q264))</f>
        <v/>
      </c>
      <c r="L264" s="55" t="str">
        <f t="shared" ref="L264:L327" si="8">IF($B264="","",MAX(0,$I264-$H264))</f>
        <v/>
      </c>
      <c r="M264" s="55" t="str">
        <f t="shared" ref="M264:M327" si="9">IF($B264="","",IF(OR($C264="SOBRESTOCK",$C264="INCONSISTENTE"),0,MAX(0,IF($J264&gt;0,$J264,2*$I264)-MAX(0,$H264))))</f>
        <v/>
      </c>
      <c r="N264" s="54" t="str">
        <f>IF($B264="","",IFERROR(INDEX(tblEstados[Acción],MATCH($C264,tblEstados[Estado],0)),""))</f>
        <v/>
      </c>
      <c r="O264" s="60" t="str">
        <f>IF($B264="","",INDEX(tblStock[UltimoMov],'91_KPIS'!$Q264))</f>
        <v/>
      </c>
    </row>
    <row r="265" spans="2:15" x14ac:dyDescent="0.25">
      <c r="B265" s="62" t="str">
        <f>IF('91_KPIS'!$Q265="","",'91_KPIS'!$O265)</f>
        <v/>
      </c>
      <c r="C265" s="58" t="str">
        <f>IF($B265="","",INDEX(tblStock[Estado],'91_KPIS'!$Q265))</f>
        <v/>
      </c>
      <c r="D265" s="53" t="str">
        <f>IF($B265="","",INDEX(tblStock[SKU],'91_KPIS'!$Q265))</f>
        <v/>
      </c>
      <c r="E265" s="54" t="str">
        <f>IF($B265="","",INDEX(tblStock[Producto],'91_KPIS'!$Q265))</f>
        <v/>
      </c>
      <c r="F265" s="54" t="str">
        <f>IF($B265="","",INDEX(tblStock[Categoría],'91_KPIS'!$Q265))</f>
        <v/>
      </c>
      <c r="G265" s="54" t="str">
        <f>IF($B265="","",INDEX(tblStock[Proveedor],'91_KPIS'!$Q265)&amp;"")</f>
        <v/>
      </c>
      <c r="H265" s="56" t="str">
        <f>IF($B265="","",INDEX(tblStock[StockActual],'91_KPIS'!$Q265))</f>
        <v/>
      </c>
      <c r="I265" s="55" t="str">
        <f>IF($B265="","",INDEX(tblStock[StockMin],'91_KPIS'!$Q265))</f>
        <v/>
      </c>
      <c r="J265" s="55" t="str">
        <f>IF($B265="","",INDEX(tblStock[StockMax],'91_KPIS'!$Q265))</f>
        <v/>
      </c>
      <c r="K265" s="53" t="str">
        <f>IF($B265="","",INDEX(tblStock[Unidad],'91_KPIS'!$Q265))</f>
        <v/>
      </c>
      <c r="L265" s="55" t="str">
        <f t="shared" si="8"/>
        <v/>
      </c>
      <c r="M265" s="55" t="str">
        <f t="shared" si="9"/>
        <v/>
      </c>
      <c r="N265" s="54" t="str">
        <f>IF($B265="","",IFERROR(INDEX(tblEstados[Acción],MATCH($C265,tblEstados[Estado],0)),""))</f>
        <v/>
      </c>
      <c r="O265" s="60" t="str">
        <f>IF($B265="","",INDEX(tblStock[UltimoMov],'91_KPIS'!$Q265))</f>
        <v/>
      </c>
    </row>
    <row r="266" spans="2:15" x14ac:dyDescent="0.25">
      <c r="B266" s="62" t="str">
        <f>IF('91_KPIS'!$Q266="","",'91_KPIS'!$O266)</f>
        <v/>
      </c>
      <c r="C266" s="58" t="str">
        <f>IF($B266="","",INDEX(tblStock[Estado],'91_KPIS'!$Q266))</f>
        <v/>
      </c>
      <c r="D266" s="53" t="str">
        <f>IF($B266="","",INDEX(tblStock[SKU],'91_KPIS'!$Q266))</f>
        <v/>
      </c>
      <c r="E266" s="54" t="str">
        <f>IF($B266="","",INDEX(tblStock[Producto],'91_KPIS'!$Q266))</f>
        <v/>
      </c>
      <c r="F266" s="54" t="str">
        <f>IF($B266="","",INDEX(tblStock[Categoría],'91_KPIS'!$Q266))</f>
        <v/>
      </c>
      <c r="G266" s="54" t="str">
        <f>IF($B266="","",INDEX(tblStock[Proveedor],'91_KPIS'!$Q266)&amp;"")</f>
        <v/>
      </c>
      <c r="H266" s="56" t="str">
        <f>IF($B266="","",INDEX(tblStock[StockActual],'91_KPIS'!$Q266))</f>
        <v/>
      </c>
      <c r="I266" s="55" t="str">
        <f>IF($B266="","",INDEX(tblStock[StockMin],'91_KPIS'!$Q266))</f>
        <v/>
      </c>
      <c r="J266" s="55" t="str">
        <f>IF($B266="","",INDEX(tblStock[StockMax],'91_KPIS'!$Q266))</f>
        <v/>
      </c>
      <c r="K266" s="53" t="str">
        <f>IF($B266="","",INDEX(tblStock[Unidad],'91_KPIS'!$Q266))</f>
        <v/>
      </c>
      <c r="L266" s="55" t="str">
        <f t="shared" si="8"/>
        <v/>
      </c>
      <c r="M266" s="55" t="str">
        <f t="shared" si="9"/>
        <v/>
      </c>
      <c r="N266" s="54" t="str">
        <f>IF($B266="","",IFERROR(INDEX(tblEstados[Acción],MATCH($C266,tblEstados[Estado],0)),""))</f>
        <v/>
      </c>
      <c r="O266" s="60" t="str">
        <f>IF($B266="","",INDEX(tblStock[UltimoMov],'91_KPIS'!$Q266))</f>
        <v/>
      </c>
    </row>
    <row r="267" spans="2:15" x14ac:dyDescent="0.25">
      <c r="B267" s="62" t="str">
        <f>IF('91_KPIS'!$Q267="","",'91_KPIS'!$O267)</f>
        <v/>
      </c>
      <c r="C267" s="58" t="str">
        <f>IF($B267="","",INDEX(tblStock[Estado],'91_KPIS'!$Q267))</f>
        <v/>
      </c>
      <c r="D267" s="53" t="str">
        <f>IF($B267="","",INDEX(tblStock[SKU],'91_KPIS'!$Q267))</f>
        <v/>
      </c>
      <c r="E267" s="54" t="str">
        <f>IF($B267="","",INDEX(tblStock[Producto],'91_KPIS'!$Q267))</f>
        <v/>
      </c>
      <c r="F267" s="54" t="str">
        <f>IF($B267="","",INDEX(tblStock[Categoría],'91_KPIS'!$Q267))</f>
        <v/>
      </c>
      <c r="G267" s="54" t="str">
        <f>IF($B267="","",INDEX(tblStock[Proveedor],'91_KPIS'!$Q267)&amp;"")</f>
        <v/>
      </c>
      <c r="H267" s="56" t="str">
        <f>IF($B267="","",INDEX(tblStock[StockActual],'91_KPIS'!$Q267))</f>
        <v/>
      </c>
      <c r="I267" s="55" t="str">
        <f>IF($B267="","",INDEX(tblStock[StockMin],'91_KPIS'!$Q267))</f>
        <v/>
      </c>
      <c r="J267" s="55" t="str">
        <f>IF($B267="","",INDEX(tblStock[StockMax],'91_KPIS'!$Q267))</f>
        <v/>
      </c>
      <c r="K267" s="53" t="str">
        <f>IF($B267="","",INDEX(tblStock[Unidad],'91_KPIS'!$Q267))</f>
        <v/>
      </c>
      <c r="L267" s="55" t="str">
        <f t="shared" si="8"/>
        <v/>
      </c>
      <c r="M267" s="55" t="str">
        <f t="shared" si="9"/>
        <v/>
      </c>
      <c r="N267" s="54" t="str">
        <f>IF($B267="","",IFERROR(INDEX(tblEstados[Acción],MATCH($C267,tblEstados[Estado],0)),""))</f>
        <v/>
      </c>
      <c r="O267" s="60" t="str">
        <f>IF($B267="","",INDEX(tblStock[UltimoMov],'91_KPIS'!$Q267))</f>
        <v/>
      </c>
    </row>
    <row r="268" spans="2:15" x14ac:dyDescent="0.25">
      <c r="B268" s="62" t="str">
        <f>IF('91_KPIS'!$Q268="","",'91_KPIS'!$O268)</f>
        <v/>
      </c>
      <c r="C268" s="58" t="str">
        <f>IF($B268="","",INDEX(tblStock[Estado],'91_KPIS'!$Q268))</f>
        <v/>
      </c>
      <c r="D268" s="53" t="str">
        <f>IF($B268="","",INDEX(tblStock[SKU],'91_KPIS'!$Q268))</f>
        <v/>
      </c>
      <c r="E268" s="54" t="str">
        <f>IF($B268="","",INDEX(tblStock[Producto],'91_KPIS'!$Q268))</f>
        <v/>
      </c>
      <c r="F268" s="54" t="str">
        <f>IF($B268="","",INDEX(tblStock[Categoría],'91_KPIS'!$Q268))</f>
        <v/>
      </c>
      <c r="G268" s="54" t="str">
        <f>IF($B268="","",INDEX(tblStock[Proveedor],'91_KPIS'!$Q268)&amp;"")</f>
        <v/>
      </c>
      <c r="H268" s="56" t="str">
        <f>IF($B268="","",INDEX(tblStock[StockActual],'91_KPIS'!$Q268))</f>
        <v/>
      </c>
      <c r="I268" s="55" t="str">
        <f>IF($B268="","",INDEX(tblStock[StockMin],'91_KPIS'!$Q268))</f>
        <v/>
      </c>
      <c r="J268" s="55" t="str">
        <f>IF($B268="","",INDEX(tblStock[StockMax],'91_KPIS'!$Q268))</f>
        <v/>
      </c>
      <c r="K268" s="53" t="str">
        <f>IF($B268="","",INDEX(tblStock[Unidad],'91_KPIS'!$Q268))</f>
        <v/>
      </c>
      <c r="L268" s="55" t="str">
        <f t="shared" si="8"/>
        <v/>
      </c>
      <c r="M268" s="55" t="str">
        <f t="shared" si="9"/>
        <v/>
      </c>
      <c r="N268" s="54" t="str">
        <f>IF($B268="","",IFERROR(INDEX(tblEstados[Acción],MATCH($C268,tblEstados[Estado],0)),""))</f>
        <v/>
      </c>
      <c r="O268" s="60" t="str">
        <f>IF($B268="","",INDEX(tblStock[UltimoMov],'91_KPIS'!$Q268))</f>
        <v/>
      </c>
    </row>
    <row r="269" spans="2:15" x14ac:dyDescent="0.25">
      <c r="B269" s="62" t="str">
        <f>IF('91_KPIS'!$Q269="","",'91_KPIS'!$O269)</f>
        <v/>
      </c>
      <c r="C269" s="58" t="str">
        <f>IF($B269="","",INDEX(tblStock[Estado],'91_KPIS'!$Q269))</f>
        <v/>
      </c>
      <c r="D269" s="53" t="str">
        <f>IF($B269="","",INDEX(tblStock[SKU],'91_KPIS'!$Q269))</f>
        <v/>
      </c>
      <c r="E269" s="54" t="str">
        <f>IF($B269="","",INDEX(tblStock[Producto],'91_KPIS'!$Q269))</f>
        <v/>
      </c>
      <c r="F269" s="54" t="str">
        <f>IF($B269="","",INDEX(tblStock[Categoría],'91_KPIS'!$Q269))</f>
        <v/>
      </c>
      <c r="G269" s="54" t="str">
        <f>IF($B269="","",INDEX(tblStock[Proveedor],'91_KPIS'!$Q269)&amp;"")</f>
        <v/>
      </c>
      <c r="H269" s="56" t="str">
        <f>IF($B269="","",INDEX(tblStock[StockActual],'91_KPIS'!$Q269))</f>
        <v/>
      </c>
      <c r="I269" s="55" t="str">
        <f>IF($B269="","",INDEX(tblStock[StockMin],'91_KPIS'!$Q269))</f>
        <v/>
      </c>
      <c r="J269" s="55" t="str">
        <f>IF($B269="","",INDEX(tblStock[StockMax],'91_KPIS'!$Q269))</f>
        <v/>
      </c>
      <c r="K269" s="53" t="str">
        <f>IF($B269="","",INDEX(tblStock[Unidad],'91_KPIS'!$Q269))</f>
        <v/>
      </c>
      <c r="L269" s="55" t="str">
        <f t="shared" si="8"/>
        <v/>
      </c>
      <c r="M269" s="55" t="str">
        <f t="shared" si="9"/>
        <v/>
      </c>
      <c r="N269" s="54" t="str">
        <f>IF($B269="","",IFERROR(INDEX(tblEstados[Acción],MATCH($C269,tblEstados[Estado],0)),""))</f>
        <v/>
      </c>
      <c r="O269" s="60" t="str">
        <f>IF($B269="","",INDEX(tblStock[UltimoMov],'91_KPIS'!$Q269))</f>
        <v/>
      </c>
    </row>
    <row r="270" spans="2:15" x14ac:dyDescent="0.25">
      <c r="B270" s="62" t="str">
        <f>IF('91_KPIS'!$Q270="","",'91_KPIS'!$O270)</f>
        <v/>
      </c>
      <c r="C270" s="58" t="str">
        <f>IF($B270="","",INDEX(tblStock[Estado],'91_KPIS'!$Q270))</f>
        <v/>
      </c>
      <c r="D270" s="53" t="str">
        <f>IF($B270="","",INDEX(tblStock[SKU],'91_KPIS'!$Q270))</f>
        <v/>
      </c>
      <c r="E270" s="54" t="str">
        <f>IF($B270="","",INDEX(tblStock[Producto],'91_KPIS'!$Q270))</f>
        <v/>
      </c>
      <c r="F270" s="54" t="str">
        <f>IF($B270="","",INDEX(tblStock[Categoría],'91_KPIS'!$Q270))</f>
        <v/>
      </c>
      <c r="G270" s="54" t="str">
        <f>IF($B270="","",INDEX(tblStock[Proveedor],'91_KPIS'!$Q270)&amp;"")</f>
        <v/>
      </c>
      <c r="H270" s="56" t="str">
        <f>IF($B270="","",INDEX(tblStock[StockActual],'91_KPIS'!$Q270))</f>
        <v/>
      </c>
      <c r="I270" s="55" t="str">
        <f>IF($B270="","",INDEX(tblStock[StockMin],'91_KPIS'!$Q270))</f>
        <v/>
      </c>
      <c r="J270" s="55" t="str">
        <f>IF($B270="","",INDEX(tblStock[StockMax],'91_KPIS'!$Q270))</f>
        <v/>
      </c>
      <c r="K270" s="53" t="str">
        <f>IF($B270="","",INDEX(tblStock[Unidad],'91_KPIS'!$Q270))</f>
        <v/>
      </c>
      <c r="L270" s="55" t="str">
        <f t="shared" si="8"/>
        <v/>
      </c>
      <c r="M270" s="55" t="str">
        <f t="shared" si="9"/>
        <v/>
      </c>
      <c r="N270" s="54" t="str">
        <f>IF($B270="","",IFERROR(INDEX(tblEstados[Acción],MATCH($C270,tblEstados[Estado],0)),""))</f>
        <v/>
      </c>
      <c r="O270" s="60" t="str">
        <f>IF($B270="","",INDEX(tblStock[UltimoMov],'91_KPIS'!$Q270))</f>
        <v/>
      </c>
    </row>
    <row r="271" spans="2:15" x14ac:dyDescent="0.25">
      <c r="B271" s="62" t="str">
        <f>IF('91_KPIS'!$Q271="","",'91_KPIS'!$O271)</f>
        <v/>
      </c>
      <c r="C271" s="58" t="str">
        <f>IF($B271="","",INDEX(tblStock[Estado],'91_KPIS'!$Q271))</f>
        <v/>
      </c>
      <c r="D271" s="53" t="str">
        <f>IF($B271="","",INDEX(tblStock[SKU],'91_KPIS'!$Q271))</f>
        <v/>
      </c>
      <c r="E271" s="54" t="str">
        <f>IF($B271="","",INDEX(tblStock[Producto],'91_KPIS'!$Q271))</f>
        <v/>
      </c>
      <c r="F271" s="54" t="str">
        <f>IF($B271="","",INDEX(tblStock[Categoría],'91_KPIS'!$Q271))</f>
        <v/>
      </c>
      <c r="G271" s="54" t="str">
        <f>IF($B271="","",INDEX(tblStock[Proveedor],'91_KPIS'!$Q271)&amp;"")</f>
        <v/>
      </c>
      <c r="H271" s="56" t="str">
        <f>IF($B271="","",INDEX(tblStock[StockActual],'91_KPIS'!$Q271))</f>
        <v/>
      </c>
      <c r="I271" s="55" t="str">
        <f>IF($B271="","",INDEX(tblStock[StockMin],'91_KPIS'!$Q271))</f>
        <v/>
      </c>
      <c r="J271" s="55" t="str">
        <f>IF($B271="","",INDEX(tblStock[StockMax],'91_KPIS'!$Q271))</f>
        <v/>
      </c>
      <c r="K271" s="53" t="str">
        <f>IF($B271="","",INDEX(tblStock[Unidad],'91_KPIS'!$Q271))</f>
        <v/>
      </c>
      <c r="L271" s="55" t="str">
        <f t="shared" si="8"/>
        <v/>
      </c>
      <c r="M271" s="55" t="str">
        <f t="shared" si="9"/>
        <v/>
      </c>
      <c r="N271" s="54" t="str">
        <f>IF($B271="","",IFERROR(INDEX(tblEstados[Acción],MATCH($C271,tblEstados[Estado],0)),""))</f>
        <v/>
      </c>
      <c r="O271" s="60" t="str">
        <f>IF($B271="","",INDEX(tblStock[UltimoMov],'91_KPIS'!$Q271))</f>
        <v/>
      </c>
    </row>
    <row r="272" spans="2:15" x14ac:dyDescent="0.25">
      <c r="B272" s="62" t="str">
        <f>IF('91_KPIS'!$Q272="","",'91_KPIS'!$O272)</f>
        <v/>
      </c>
      <c r="C272" s="58" t="str">
        <f>IF($B272="","",INDEX(tblStock[Estado],'91_KPIS'!$Q272))</f>
        <v/>
      </c>
      <c r="D272" s="53" t="str">
        <f>IF($B272="","",INDEX(tblStock[SKU],'91_KPIS'!$Q272))</f>
        <v/>
      </c>
      <c r="E272" s="54" t="str">
        <f>IF($B272="","",INDEX(tblStock[Producto],'91_KPIS'!$Q272))</f>
        <v/>
      </c>
      <c r="F272" s="54" t="str">
        <f>IF($B272="","",INDEX(tblStock[Categoría],'91_KPIS'!$Q272))</f>
        <v/>
      </c>
      <c r="G272" s="54" t="str">
        <f>IF($B272="","",INDEX(tblStock[Proveedor],'91_KPIS'!$Q272)&amp;"")</f>
        <v/>
      </c>
      <c r="H272" s="56" t="str">
        <f>IF($B272="","",INDEX(tblStock[StockActual],'91_KPIS'!$Q272))</f>
        <v/>
      </c>
      <c r="I272" s="55" t="str">
        <f>IF($B272="","",INDEX(tblStock[StockMin],'91_KPIS'!$Q272))</f>
        <v/>
      </c>
      <c r="J272" s="55" t="str">
        <f>IF($B272="","",INDEX(tblStock[StockMax],'91_KPIS'!$Q272))</f>
        <v/>
      </c>
      <c r="K272" s="53" t="str">
        <f>IF($B272="","",INDEX(tblStock[Unidad],'91_KPIS'!$Q272))</f>
        <v/>
      </c>
      <c r="L272" s="55" t="str">
        <f t="shared" si="8"/>
        <v/>
      </c>
      <c r="M272" s="55" t="str">
        <f t="shared" si="9"/>
        <v/>
      </c>
      <c r="N272" s="54" t="str">
        <f>IF($B272="","",IFERROR(INDEX(tblEstados[Acción],MATCH($C272,tblEstados[Estado],0)),""))</f>
        <v/>
      </c>
      <c r="O272" s="60" t="str">
        <f>IF($B272="","",INDEX(tblStock[UltimoMov],'91_KPIS'!$Q272))</f>
        <v/>
      </c>
    </row>
    <row r="273" spans="2:15" x14ac:dyDescent="0.25">
      <c r="B273" s="62" t="str">
        <f>IF('91_KPIS'!$Q273="","",'91_KPIS'!$O273)</f>
        <v/>
      </c>
      <c r="C273" s="58" t="str">
        <f>IF($B273="","",INDEX(tblStock[Estado],'91_KPIS'!$Q273))</f>
        <v/>
      </c>
      <c r="D273" s="53" t="str">
        <f>IF($B273="","",INDEX(tblStock[SKU],'91_KPIS'!$Q273))</f>
        <v/>
      </c>
      <c r="E273" s="54" t="str">
        <f>IF($B273="","",INDEX(tblStock[Producto],'91_KPIS'!$Q273))</f>
        <v/>
      </c>
      <c r="F273" s="54" t="str">
        <f>IF($B273="","",INDEX(tblStock[Categoría],'91_KPIS'!$Q273))</f>
        <v/>
      </c>
      <c r="G273" s="54" t="str">
        <f>IF($B273="","",INDEX(tblStock[Proveedor],'91_KPIS'!$Q273)&amp;"")</f>
        <v/>
      </c>
      <c r="H273" s="56" t="str">
        <f>IF($B273="","",INDEX(tblStock[StockActual],'91_KPIS'!$Q273))</f>
        <v/>
      </c>
      <c r="I273" s="55" t="str">
        <f>IF($B273="","",INDEX(tblStock[StockMin],'91_KPIS'!$Q273))</f>
        <v/>
      </c>
      <c r="J273" s="55" t="str">
        <f>IF($B273="","",INDEX(tblStock[StockMax],'91_KPIS'!$Q273))</f>
        <v/>
      </c>
      <c r="K273" s="53" t="str">
        <f>IF($B273="","",INDEX(tblStock[Unidad],'91_KPIS'!$Q273))</f>
        <v/>
      </c>
      <c r="L273" s="55" t="str">
        <f t="shared" si="8"/>
        <v/>
      </c>
      <c r="M273" s="55" t="str">
        <f t="shared" si="9"/>
        <v/>
      </c>
      <c r="N273" s="54" t="str">
        <f>IF($B273="","",IFERROR(INDEX(tblEstados[Acción],MATCH($C273,tblEstados[Estado],0)),""))</f>
        <v/>
      </c>
      <c r="O273" s="60" t="str">
        <f>IF($B273="","",INDEX(tblStock[UltimoMov],'91_KPIS'!$Q273))</f>
        <v/>
      </c>
    </row>
    <row r="274" spans="2:15" x14ac:dyDescent="0.25">
      <c r="B274" s="62" t="str">
        <f>IF('91_KPIS'!$Q274="","",'91_KPIS'!$O274)</f>
        <v/>
      </c>
      <c r="C274" s="58" t="str">
        <f>IF($B274="","",INDEX(tblStock[Estado],'91_KPIS'!$Q274))</f>
        <v/>
      </c>
      <c r="D274" s="53" t="str">
        <f>IF($B274="","",INDEX(tblStock[SKU],'91_KPIS'!$Q274))</f>
        <v/>
      </c>
      <c r="E274" s="54" t="str">
        <f>IF($B274="","",INDEX(tblStock[Producto],'91_KPIS'!$Q274))</f>
        <v/>
      </c>
      <c r="F274" s="54" t="str">
        <f>IF($B274="","",INDEX(tblStock[Categoría],'91_KPIS'!$Q274))</f>
        <v/>
      </c>
      <c r="G274" s="54" t="str">
        <f>IF($B274="","",INDEX(tblStock[Proveedor],'91_KPIS'!$Q274)&amp;"")</f>
        <v/>
      </c>
      <c r="H274" s="56" t="str">
        <f>IF($B274="","",INDEX(tblStock[StockActual],'91_KPIS'!$Q274))</f>
        <v/>
      </c>
      <c r="I274" s="55" t="str">
        <f>IF($B274="","",INDEX(tblStock[StockMin],'91_KPIS'!$Q274))</f>
        <v/>
      </c>
      <c r="J274" s="55" t="str">
        <f>IF($B274="","",INDEX(tblStock[StockMax],'91_KPIS'!$Q274))</f>
        <v/>
      </c>
      <c r="K274" s="53" t="str">
        <f>IF($B274="","",INDEX(tblStock[Unidad],'91_KPIS'!$Q274))</f>
        <v/>
      </c>
      <c r="L274" s="55" t="str">
        <f t="shared" si="8"/>
        <v/>
      </c>
      <c r="M274" s="55" t="str">
        <f t="shared" si="9"/>
        <v/>
      </c>
      <c r="N274" s="54" t="str">
        <f>IF($B274="","",IFERROR(INDEX(tblEstados[Acción],MATCH($C274,tblEstados[Estado],0)),""))</f>
        <v/>
      </c>
      <c r="O274" s="60" t="str">
        <f>IF($B274="","",INDEX(tblStock[UltimoMov],'91_KPIS'!$Q274))</f>
        <v/>
      </c>
    </row>
    <row r="275" spans="2:15" x14ac:dyDescent="0.25">
      <c r="B275" s="62" t="str">
        <f>IF('91_KPIS'!$Q275="","",'91_KPIS'!$O275)</f>
        <v/>
      </c>
      <c r="C275" s="58" t="str">
        <f>IF($B275="","",INDEX(tblStock[Estado],'91_KPIS'!$Q275))</f>
        <v/>
      </c>
      <c r="D275" s="53" t="str">
        <f>IF($B275="","",INDEX(tblStock[SKU],'91_KPIS'!$Q275))</f>
        <v/>
      </c>
      <c r="E275" s="54" t="str">
        <f>IF($B275="","",INDEX(tblStock[Producto],'91_KPIS'!$Q275))</f>
        <v/>
      </c>
      <c r="F275" s="54" t="str">
        <f>IF($B275="","",INDEX(tblStock[Categoría],'91_KPIS'!$Q275))</f>
        <v/>
      </c>
      <c r="G275" s="54" t="str">
        <f>IF($B275="","",INDEX(tblStock[Proveedor],'91_KPIS'!$Q275)&amp;"")</f>
        <v/>
      </c>
      <c r="H275" s="56" t="str">
        <f>IF($B275="","",INDEX(tblStock[StockActual],'91_KPIS'!$Q275))</f>
        <v/>
      </c>
      <c r="I275" s="55" t="str">
        <f>IF($B275="","",INDEX(tblStock[StockMin],'91_KPIS'!$Q275))</f>
        <v/>
      </c>
      <c r="J275" s="55" t="str">
        <f>IF($B275="","",INDEX(tblStock[StockMax],'91_KPIS'!$Q275))</f>
        <v/>
      </c>
      <c r="K275" s="53" t="str">
        <f>IF($B275="","",INDEX(tblStock[Unidad],'91_KPIS'!$Q275))</f>
        <v/>
      </c>
      <c r="L275" s="55" t="str">
        <f t="shared" si="8"/>
        <v/>
      </c>
      <c r="M275" s="55" t="str">
        <f t="shared" si="9"/>
        <v/>
      </c>
      <c r="N275" s="54" t="str">
        <f>IF($B275="","",IFERROR(INDEX(tblEstados[Acción],MATCH($C275,tblEstados[Estado],0)),""))</f>
        <v/>
      </c>
      <c r="O275" s="60" t="str">
        <f>IF($B275="","",INDEX(tblStock[UltimoMov],'91_KPIS'!$Q275))</f>
        <v/>
      </c>
    </row>
    <row r="276" spans="2:15" x14ac:dyDescent="0.25">
      <c r="B276" s="62" t="str">
        <f>IF('91_KPIS'!$Q276="","",'91_KPIS'!$O276)</f>
        <v/>
      </c>
      <c r="C276" s="58" t="str">
        <f>IF($B276="","",INDEX(tblStock[Estado],'91_KPIS'!$Q276))</f>
        <v/>
      </c>
      <c r="D276" s="53" t="str">
        <f>IF($B276="","",INDEX(tblStock[SKU],'91_KPIS'!$Q276))</f>
        <v/>
      </c>
      <c r="E276" s="54" t="str">
        <f>IF($B276="","",INDEX(tblStock[Producto],'91_KPIS'!$Q276))</f>
        <v/>
      </c>
      <c r="F276" s="54" t="str">
        <f>IF($B276="","",INDEX(tblStock[Categoría],'91_KPIS'!$Q276))</f>
        <v/>
      </c>
      <c r="G276" s="54" t="str">
        <f>IF($B276="","",INDEX(tblStock[Proveedor],'91_KPIS'!$Q276)&amp;"")</f>
        <v/>
      </c>
      <c r="H276" s="56" t="str">
        <f>IF($B276="","",INDEX(tblStock[StockActual],'91_KPIS'!$Q276))</f>
        <v/>
      </c>
      <c r="I276" s="55" t="str">
        <f>IF($B276="","",INDEX(tblStock[StockMin],'91_KPIS'!$Q276))</f>
        <v/>
      </c>
      <c r="J276" s="55" t="str">
        <f>IF($B276="","",INDEX(tblStock[StockMax],'91_KPIS'!$Q276))</f>
        <v/>
      </c>
      <c r="K276" s="53" t="str">
        <f>IF($B276="","",INDEX(tblStock[Unidad],'91_KPIS'!$Q276))</f>
        <v/>
      </c>
      <c r="L276" s="55" t="str">
        <f t="shared" si="8"/>
        <v/>
      </c>
      <c r="M276" s="55" t="str">
        <f t="shared" si="9"/>
        <v/>
      </c>
      <c r="N276" s="54" t="str">
        <f>IF($B276="","",IFERROR(INDEX(tblEstados[Acción],MATCH($C276,tblEstados[Estado],0)),""))</f>
        <v/>
      </c>
      <c r="O276" s="60" t="str">
        <f>IF($B276="","",INDEX(tblStock[UltimoMov],'91_KPIS'!$Q276))</f>
        <v/>
      </c>
    </row>
    <row r="277" spans="2:15" x14ac:dyDescent="0.25">
      <c r="B277" s="62" t="str">
        <f>IF('91_KPIS'!$Q277="","",'91_KPIS'!$O277)</f>
        <v/>
      </c>
      <c r="C277" s="58" t="str">
        <f>IF($B277="","",INDEX(tblStock[Estado],'91_KPIS'!$Q277))</f>
        <v/>
      </c>
      <c r="D277" s="53" t="str">
        <f>IF($B277="","",INDEX(tblStock[SKU],'91_KPIS'!$Q277))</f>
        <v/>
      </c>
      <c r="E277" s="54" t="str">
        <f>IF($B277="","",INDEX(tblStock[Producto],'91_KPIS'!$Q277))</f>
        <v/>
      </c>
      <c r="F277" s="54" t="str">
        <f>IF($B277="","",INDEX(tblStock[Categoría],'91_KPIS'!$Q277))</f>
        <v/>
      </c>
      <c r="G277" s="54" t="str">
        <f>IF($B277="","",INDEX(tblStock[Proveedor],'91_KPIS'!$Q277)&amp;"")</f>
        <v/>
      </c>
      <c r="H277" s="56" t="str">
        <f>IF($B277="","",INDEX(tblStock[StockActual],'91_KPIS'!$Q277))</f>
        <v/>
      </c>
      <c r="I277" s="55" t="str">
        <f>IF($B277="","",INDEX(tblStock[StockMin],'91_KPIS'!$Q277))</f>
        <v/>
      </c>
      <c r="J277" s="55" t="str">
        <f>IF($B277="","",INDEX(tblStock[StockMax],'91_KPIS'!$Q277))</f>
        <v/>
      </c>
      <c r="K277" s="53" t="str">
        <f>IF($B277="","",INDEX(tblStock[Unidad],'91_KPIS'!$Q277))</f>
        <v/>
      </c>
      <c r="L277" s="55" t="str">
        <f t="shared" si="8"/>
        <v/>
      </c>
      <c r="M277" s="55" t="str">
        <f t="shared" si="9"/>
        <v/>
      </c>
      <c r="N277" s="54" t="str">
        <f>IF($B277="","",IFERROR(INDEX(tblEstados[Acción],MATCH($C277,tblEstados[Estado],0)),""))</f>
        <v/>
      </c>
      <c r="O277" s="60" t="str">
        <f>IF($B277="","",INDEX(tblStock[UltimoMov],'91_KPIS'!$Q277))</f>
        <v/>
      </c>
    </row>
    <row r="278" spans="2:15" x14ac:dyDescent="0.25">
      <c r="B278" s="62" t="str">
        <f>IF('91_KPIS'!$Q278="","",'91_KPIS'!$O278)</f>
        <v/>
      </c>
      <c r="C278" s="58" t="str">
        <f>IF($B278="","",INDEX(tblStock[Estado],'91_KPIS'!$Q278))</f>
        <v/>
      </c>
      <c r="D278" s="53" t="str">
        <f>IF($B278="","",INDEX(tblStock[SKU],'91_KPIS'!$Q278))</f>
        <v/>
      </c>
      <c r="E278" s="54" t="str">
        <f>IF($B278="","",INDEX(tblStock[Producto],'91_KPIS'!$Q278))</f>
        <v/>
      </c>
      <c r="F278" s="54" t="str">
        <f>IF($B278="","",INDEX(tblStock[Categoría],'91_KPIS'!$Q278))</f>
        <v/>
      </c>
      <c r="G278" s="54" t="str">
        <f>IF($B278="","",INDEX(tblStock[Proveedor],'91_KPIS'!$Q278)&amp;"")</f>
        <v/>
      </c>
      <c r="H278" s="56" t="str">
        <f>IF($B278="","",INDEX(tblStock[StockActual],'91_KPIS'!$Q278))</f>
        <v/>
      </c>
      <c r="I278" s="55" t="str">
        <f>IF($B278="","",INDEX(tblStock[StockMin],'91_KPIS'!$Q278))</f>
        <v/>
      </c>
      <c r="J278" s="55" t="str">
        <f>IF($B278="","",INDEX(tblStock[StockMax],'91_KPIS'!$Q278))</f>
        <v/>
      </c>
      <c r="K278" s="53" t="str">
        <f>IF($B278="","",INDEX(tblStock[Unidad],'91_KPIS'!$Q278))</f>
        <v/>
      </c>
      <c r="L278" s="55" t="str">
        <f t="shared" si="8"/>
        <v/>
      </c>
      <c r="M278" s="55" t="str">
        <f t="shared" si="9"/>
        <v/>
      </c>
      <c r="N278" s="54" t="str">
        <f>IF($B278="","",IFERROR(INDEX(tblEstados[Acción],MATCH($C278,tblEstados[Estado],0)),""))</f>
        <v/>
      </c>
      <c r="O278" s="60" t="str">
        <f>IF($B278="","",INDEX(tblStock[UltimoMov],'91_KPIS'!$Q278))</f>
        <v/>
      </c>
    </row>
    <row r="279" spans="2:15" x14ac:dyDescent="0.25">
      <c r="B279" s="62" t="str">
        <f>IF('91_KPIS'!$Q279="","",'91_KPIS'!$O279)</f>
        <v/>
      </c>
      <c r="C279" s="58" t="str">
        <f>IF($B279="","",INDEX(tblStock[Estado],'91_KPIS'!$Q279))</f>
        <v/>
      </c>
      <c r="D279" s="53" t="str">
        <f>IF($B279="","",INDEX(tblStock[SKU],'91_KPIS'!$Q279))</f>
        <v/>
      </c>
      <c r="E279" s="54" t="str">
        <f>IF($B279="","",INDEX(tblStock[Producto],'91_KPIS'!$Q279))</f>
        <v/>
      </c>
      <c r="F279" s="54" t="str">
        <f>IF($B279="","",INDEX(tblStock[Categoría],'91_KPIS'!$Q279))</f>
        <v/>
      </c>
      <c r="G279" s="54" t="str">
        <f>IF($B279="","",INDEX(tblStock[Proveedor],'91_KPIS'!$Q279)&amp;"")</f>
        <v/>
      </c>
      <c r="H279" s="56" t="str">
        <f>IF($B279="","",INDEX(tblStock[StockActual],'91_KPIS'!$Q279))</f>
        <v/>
      </c>
      <c r="I279" s="55" t="str">
        <f>IF($B279="","",INDEX(tblStock[StockMin],'91_KPIS'!$Q279))</f>
        <v/>
      </c>
      <c r="J279" s="55" t="str">
        <f>IF($B279="","",INDEX(tblStock[StockMax],'91_KPIS'!$Q279))</f>
        <v/>
      </c>
      <c r="K279" s="53" t="str">
        <f>IF($B279="","",INDEX(tblStock[Unidad],'91_KPIS'!$Q279))</f>
        <v/>
      </c>
      <c r="L279" s="55" t="str">
        <f t="shared" si="8"/>
        <v/>
      </c>
      <c r="M279" s="55" t="str">
        <f t="shared" si="9"/>
        <v/>
      </c>
      <c r="N279" s="54" t="str">
        <f>IF($B279="","",IFERROR(INDEX(tblEstados[Acción],MATCH($C279,tblEstados[Estado],0)),""))</f>
        <v/>
      </c>
      <c r="O279" s="60" t="str">
        <f>IF($B279="","",INDEX(tblStock[UltimoMov],'91_KPIS'!$Q279))</f>
        <v/>
      </c>
    </row>
    <row r="280" spans="2:15" x14ac:dyDescent="0.25">
      <c r="B280" s="62" t="str">
        <f>IF('91_KPIS'!$Q280="","",'91_KPIS'!$O280)</f>
        <v/>
      </c>
      <c r="C280" s="58" t="str">
        <f>IF($B280="","",INDEX(tblStock[Estado],'91_KPIS'!$Q280))</f>
        <v/>
      </c>
      <c r="D280" s="53" t="str">
        <f>IF($B280="","",INDEX(tblStock[SKU],'91_KPIS'!$Q280))</f>
        <v/>
      </c>
      <c r="E280" s="54" t="str">
        <f>IF($B280="","",INDEX(tblStock[Producto],'91_KPIS'!$Q280))</f>
        <v/>
      </c>
      <c r="F280" s="54" t="str">
        <f>IF($B280="","",INDEX(tblStock[Categoría],'91_KPIS'!$Q280))</f>
        <v/>
      </c>
      <c r="G280" s="54" t="str">
        <f>IF($B280="","",INDEX(tblStock[Proveedor],'91_KPIS'!$Q280)&amp;"")</f>
        <v/>
      </c>
      <c r="H280" s="56" t="str">
        <f>IF($B280="","",INDEX(tblStock[StockActual],'91_KPIS'!$Q280))</f>
        <v/>
      </c>
      <c r="I280" s="55" t="str">
        <f>IF($B280="","",INDEX(tblStock[StockMin],'91_KPIS'!$Q280))</f>
        <v/>
      </c>
      <c r="J280" s="55" t="str">
        <f>IF($B280="","",INDEX(tblStock[StockMax],'91_KPIS'!$Q280))</f>
        <v/>
      </c>
      <c r="K280" s="53" t="str">
        <f>IF($B280="","",INDEX(tblStock[Unidad],'91_KPIS'!$Q280))</f>
        <v/>
      </c>
      <c r="L280" s="55" t="str">
        <f t="shared" si="8"/>
        <v/>
      </c>
      <c r="M280" s="55" t="str">
        <f t="shared" si="9"/>
        <v/>
      </c>
      <c r="N280" s="54" t="str">
        <f>IF($B280="","",IFERROR(INDEX(tblEstados[Acción],MATCH($C280,tblEstados[Estado],0)),""))</f>
        <v/>
      </c>
      <c r="O280" s="60" t="str">
        <f>IF($B280="","",INDEX(tblStock[UltimoMov],'91_KPIS'!$Q280))</f>
        <v/>
      </c>
    </row>
    <row r="281" spans="2:15" x14ac:dyDescent="0.25">
      <c r="B281" s="62" t="str">
        <f>IF('91_KPIS'!$Q281="","",'91_KPIS'!$O281)</f>
        <v/>
      </c>
      <c r="C281" s="58" t="str">
        <f>IF($B281="","",INDEX(tblStock[Estado],'91_KPIS'!$Q281))</f>
        <v/>
      </c>
      <c r="D281" s="53" t="str">
        <f>IF($B281="","",INDEX(tblStock[SKU],'91_KPIS'!$Q281))</f>
        <v/>
      </c>
      <c r="E281" s="54" t="str">
        <f>IF($B281="","",INDEX(tblStock[Producto],'91_KPIS'!$Q281))</f>
        <v/>
      </c>
      <c r="F281" s="54" t="str">
        <f>IF($B281="","",INDEX(tblStock[Categoría],'91_KPIS'!$Q281))</f>
        <v/>
      </c>
      <c r="G281" s="54" t="str">
        <f>IF($B281="","",INDEX(tblStock[Proveedor],'91_KPIS'!$Q281)&amp;"")</f>
        <v/>
      </c>
      <c r="H281" s="56" t="str">
        <f>IF($B281="","",INDEX(tblStock[StockActual],'91_KPIS'!$Q281))</f>
        <v/>
      </c>
      <c r="I281" s="55" t="str">
        <f>IF($B281="","",INDEX(tblStock[StockMin],'91_KPIS'!$Q281))</f>
        <v/>
      </c>
      <c r="J281" s="55" t="str">
        <f>IF($B281="","",INDEX(tblStock[StockMax],'91_KPIS'!$Q281))</f>
        <v/>
      </c>
      <c r="K281" s="53" t="str">
        <f>IF($B281="","",INDEX(tblStock[Unidad],'91_KPIS'!$Q281))</f>
        <v/>
      </c>
      <c r="L281" s="55" t="str">
        <f t="shared" si="8"/>
        <v/>
      </c>
      <c r="M281" s="55" t="str">
        <f t="shared" si="9"/>
        <v/>
      </c>
      <c r="N281" s="54" t="str">
        <f>IF($B281="","",IFERROR(INDEX(tblEstados[Acción],MATCH($C281,tblEstados[Estado],0)),""))</f>
        <v/>
      </c>
      <c r="O281" s="60" t="str">
        <f>IF($B281="","",INDEX(tblStock[UltimoMov],'91_KPIS'!$Q281))</f>
        <v/>
      </c>
    </row>
    <row r="282" spans="2:15" x14ac:dyDescent="0.25">
      <c r="B282" s="62" t="str">
        <f>IF('91_KPIS'!$Q282="","",'91_KPIS'!$O282)</f>
        <v/>
      </c>
      <c r="C282" s="58" t="str">
        <f>IF($B282="","",INDEX(tblStock[Estado],'91_KPIS'!$Q282))</f>
        <v/>
      </c>
      <c r="D282" s="53" t="str">
        <f>IF($B282="","",INDEX(tblStock[SKU],'91_KPIS'!$Q282))</f>
        <v/>
      </c>
      <c r="E282" s="54" t="str">
        <f>IF($B282="","",INDEX(tblStock[Producto],'91_KPIS'!$Q282))</f>
        <v/>
      </c>
      <c r="F282" s="54" t="str">
        <f>IF($B282="","",INDEX(tblStock[Categoría],'91_KPIS'!$Q282))</f>
        <v/>
      </c>
      <c r="G282" s="54" t="str">
        <f>IF($B282="","",INDEX(tblStock[Proveedor],'91_KPIS'!$Q282)&amp;"")</f>
        <v/>
      </c>
      <c r="H282" s="56" t="str">
        <f>IF($B282="","",INDEX(tblStock[StockActual],'91_KPIS'!$Q282))</f>
        <v/>
      </c>
      <c r="I282" s="55" t="str">
        <f>IF($B282="","",INDEX(tblStock[StockMin],'91_KPIS'!$Q282))</f>
        <v/>
      </c>
      <c r="J282" s="55" t="str">
        <f>IF($B282="","",INDEX(tblStock[StockMax],'91_KPIS'!$Q282))</f>
        <v/>
      </c>
      <c r="K282" s="53" t="str">
        <f>IF($B282="","",INDEX(tblStock[Unidad],'91_KPIS'!$Q282))</f>
        <v/>
      </c>
      <c r="L282" s="55" t="str">
        <f t="shared" si="8"/>
        <v/>
      </c>
      <c r="M282" s="55" t="str">
        <f t="shared" si="9"/>
        <v/>
      </c>
      <c r="N282" s="54" t="str">
        <f>IF($B282="","",IFERROR(INDEX(tblEstados[Acción],MATCH($C282,tblEstados[Estado],0)),""))</f>
        <v/>
      </c>
      <c r="O282" s="60" t="str">
        <f>IF($B282="","",INDEX(tblStock[UltimoMov],'91_KPIS'!$Q282))</f>
        <v/>
      </c>
    </row>
    <row r="283" spans="2:15" x14ac:dyDescent="0.25">
      <c r="B283" s="62" t="str">
        <f>IF('91_KPIS'!$Q283="","",'91_KPIS'!$O283)</f>
        <v/>
      </c>
      <c r="C283" s="58" t="str">
        <f>IF($B283="","",INDEX(tblStock[Estado],'91_KPIS'!$Q283))</f>
        <v/>
      </c>
      <c r="D283" s="53" t="str">
        <f>IF($B283="","",INDEX(tblStock[SKU],'91_KPIS'!$Q283))</f>
        <v/>
      </c>
      <c r="E283" s="54" t="str">
        <f>IF($B283="","",INDEX(tblStock[Producto],'91_KPIS'!$Q283))</f>
        <v/>
      </c>
      <c r="F283" s="54" t="str">
        <f>IF($B283="","",INDEX(tblStock[Categoría],'91_KPIS'!$Q283))</f>
        <v/>
      </c>
      <c r="G283" s="54" t="str">
        <f>IF($B283="","",INDEX(tblStock[Proveedor],'91_KPIS'!$Q283)&amp;"")</f>
        <v/>
      </c>
      <c r="H283" s="56" t="str">
        <f>IF($B283="","",INDEX(tblStock[StockActual],'91_KPIS'!$Q283))</f>
        <v/>
      </c>
      <c r="I283" s="55" t="str">
        <f>IF($B283="","",INDEX(tblStock[StockMin],'91_KPIS'!$Q283))</f>
        <v/>
      </c>
      <c r="J283" s="55" t="str">
        <f>IF($B283="","",INDEX(tblStock[StockMax],'91_KPIS'!$Q283))</f>
        <v/>
      </c>
      <c r="K283" s="53" t="str">
        <f>IF($B283="","",INDEX(tblStock[Unidad],'91_KPIS'!$Q283))</f>
        <v/>
      </c>
      <c r="L283" s="55" t="str">
        <f t="shared" si="8"/>
        <v/>
      </c>
      <c r="M283" s="55" t="str">
        <f t="shared" si="9"/>
        <v/>
      </c>
      <c r="N283" s="54" t="str">
        <f>IF($B283="","",IFERROR(INDEX(tblEstados[Acción],MATCH($C283,tblEstados[Estado],0)),""))</f>
        <v/>
      </c>
      <c r="O283" s="60" t="str">
        <f>IF($B283="","",INDEX(tblStock[UltimoMov],'91_KPIS'!$Q283))</f>
        <v/>
      </c>
    </row>
    <row r="284" spans="2:15" x14ac:dyDescent="0.25">
      <c r="B284" s="62" t="str">
        <f>IF('91_KPIS'!$Q284="","",'91_KPIS'!$O284)</f>
        <v/>
      </c>
      <c r="C284" s="58" t="str">
        <f>IF($B284="","",INDEX(tblStock[Estado],'91_KPIS'!$Q284))</f>
        <v/>
      </c>
      <c r="D284" s="53" t="str">
        <f>IF($B284="","",INDEX(tblStock[SKU],'91_KPIS'!$Q284))</f>
        <v/>
      </c>
      <c r="E284" s="54" t="str">
        <f>IF($B284="","",INDEX(tblStock[Producto],'91_KPIS'!$Q284))</f>
        <v/>
      </c>
      <c r="F284" s="54" t="str">
        <f>IF($B284="","",INDEX(tblStock[Categoría],'91_KPIS'!$Q284))</f>
        <v/>
      </c>
      <c r="G284" s="54" t="str">
        <f>IF($B284="","",INDEX(tblStock[Proveedor],'91_KPIS'!$Q284)&amp;"")</f>
        <v/>
      </c>
      <c r="H284" s="56" t="str">
        <f>IF($B284="","",INDEX(tblStock[StockActual],'91_KPIS'!$Q284))</f>
        <v/>
      </c>
      <c r="I284" s="55" t="str">
        <f>IF($B284="","",INDEX(tblStock[StockMin],'91_KPIS'!$Q284))</f>
        <v/>
      </c>
      <c r="J284" s="55" t="str">
        <f>IF($B284="","",INDEX(tblStock[StockMax],'91_KPIS'!$Q284))</f>
        <v/>
      </c>
      <c r="K284" s="53" t="str">
        <f>IF($B284="","",INDEX(tblStock[Unidad],'91_KPIS'!$Q284))</f>
        <v/>
      </c>
      <c r="L284" s="55" t="str">
        <f t="shared" si="8"/>
        <v/>
      </c>
      <c r="M284" s="55" t="str">
        <f t="shared" si="9"/>
        <v/>
      </c>
      <c r="N284" s="54" t="str">
        <f>IF($B284="","",IFERROR(INDEX(tblEstados[Acción],MATCH($C284,tblEstados[Estado],0)),""))</f>
        <v/>
      </c>
      <c r="O284" s="60" t="str">
        <f>IF($B284="","",INDEX(tblStock[UltimoMov],'91_KPIS'!$Q284))</f>
        <v/>
      </c>
    </row>
    <row r="285" spans="2:15" x14ac:dyDescent="0.25">
      <c r="B285" s="62" t="str">
        <f>IF('91_KPIS'!$Q285="","",'91_KPIS'!$O285)</f>
        <v/>
      </c>
      <c r="C285" s="58" t="str">
        <f>IF($B285="","",INDEX(tblStock[Estado],'91_KPIS'!$Q285))</f>
        <v/>
      </c>
      <c r="D285" s="53" t="str">
        <f>IF($B285="","",INDEX(tblStock[SKU],'91_KPIS'!$Q285))</f>
        <v/>
      </c>
      <c r="E285" s="54" t="str">
        <f>IF($B285="","",INDEX(tblStock[Producto],'91_KPIS'!$Q285))</f>
        <v/>
      </c>
      <c r="F285" s="54" t="str">
        <f>IF($B285="","",INDEX(tblStock[Categoría],'91_KPIS'!$Q285))</f>
        <v/>
      </c>
      <c r="G285" s="54" t="str">
        <f>IF($B285="","",INDEX(tblStock[Proveedor],'91_KPIS'!$Q285)&amp;"")</f>
        <v/>
      </c>
      <c r="H285" s="56" t="str">
        <f>IF($B285="","",INDEX(tblStock[StockActual],'91_KPIS'!$Q285))</f>
        <v/>
      </c>
      <c r="I285" s="55" t="str">
        <f>IF($B285="","",INDEX(tblStock[StockMin],'91_KPIS'!$Q285))</f>
        <v/>
      </c>
      <c r="J285" s="55" t="str">
        <f>IF($B285="","",INDEX(tblStock[StockMax],'91_KPIS'!$Q285))</f>
        <v/>
      </c>
      <c r="K285" s="53" t="str">
        <f>IF($B285="","",INDEX(tblStock[Unidad],'91_KPIS'!$Q285))</f>
        <v/>
      </c>
      <c r="L285" s="55" t="str">
        <f t="shared" si="8"/>
        <v/>
      </c>
      <c r="M285" s="55" t="str">
        <f t="shared" si="9"/>
        <v/>
      </c>
      <c r="N285" s="54" t="str">
        <f>IF($B285="","",IFERROR(INDEX(tblEstados[Acción],MATCH($C285,tblEstados[Estado],0)),""))</f>
        <v/>
      </c>
      <c r="O285" s="60" t="str">
        <f>IF($B285="","",INDEX(tblStock[UltimoMov],'91_KPIS'!$Q285))</f>
        <v/>
      </c>
    </row>
    <row r="286" spans="2:15" x14ac:dyDescent="0.25">
      <c r="B286" s="62" t="str">
        <f>IF('91_KPIS'!$Q286="","",'91_KPIS'!$O286)</f>
        <v/>
      </c>
      <c r="C286" s="58" t="str">
        <f>IF($B286="","",INDEX(tblStock[Estado],'91_KPIS'!$Q286))</f>
        <v/>
      </c>
      <c r="D286" s="53" t="str">
        <f>IF($B286="","",INDEX(tblStock[SKU],'91_KPIS'!$Q286))</f>
        <v/>
      </c>
      <c r="E286" s="54" t="str">
        <f>IF($B286="","",INDEX(tblStock[Producto],'91_KPIS'!$Q286))</f>
        <v/>
      </c>
      <c r="F286" s="54" t="str">
        <f>IF($B286="","",INDEX(tblStock[Categoría],'91_KPIS'!$Q286))</f>
        <v/>
      </c>
      <c r="G286" s="54" t="str">
        <f>IF($B286="","",INDEX(tblStock[Proveedor],'91_KPIS'!$Q286)&amp;"")</f>
        <v/>
      </c>
      <c r="H286" s="56" t="str">
        <f>IF($B286="","",INDEX(tblStock[StockActual],'91_KPIS'!$Q286))</f>
        <v/>
      </c>
      <c r="I286" s="55" t="str">
        <f>IF($B286="","",INDEX(tblStock[StockMin],'91_KPIS'!$Q286))</f>
        <v/>
      </c>
      <c r="J286" s="55" t="str">
        <f>IF($B286="","",INDEX(tblStock[StockMax],'91_KPIS'!$Q286))</f>
        <v/>
      </c>
      <c r="K286" s="53" t="str">
        <f>IF($B286="","",INDEX(tblStock[Unidad],'91_KPIS'!$Q286))</f>
        <v/>
      </c>
      <c r="L286" s="55" t="str">
        <f t="shared" si="8"/>
        <v/>
      </c>
      <c r="M286" s="55" t="str">
        <f t="shared" si="9"/>
        <v/>
      </c>
      <c r="N286" s="54" t="str">
        <f>IF($B286="","",IFERROR(INDEX(tblEstados[Acción],MATCH($C286,tblEstados[Estado],0)),""))</f>
        <v/>
      </c>
      <c r="O286" s="60" t="str">
        <f>IF($B286="","",INDEX(tblStock[UltimoMov],'91_KPIS'!$Q286))</f>
        <v/>
      </c>
    </row>
    <row r="287" spans="2:15" x14ac:dyDescent="0.25">
      <c r="B287" s="62" t="str">
        <f>IF('91_KPIS'!$Q287="","",'91_KPIS'!$O287)</f>
        <v/>
      </c>
      <c r="C287" s="58" t="str">
        <f>IF($B287="","",INDEX(tblStock[Estado],'91_KPIS'!$Q287))</f>
        <v/>
      </c>
      <c r="D287" s="53" t="str">
        <f>IF($B287="","",INDEX(tblStock[SKU],'91_KPIS'!$Q287))</f>
        <v/>
      </c>
      <c r="E287" s="54" t="str">
        <f>IF($B287="","",INDEX(tblStock[Producto],'91_KPIS'!$Q287))</f>
        <v/>
      </c>
      <c r="F287" s="54" t="str">
        <f>IF($B287="","",INDEX(tblStock[Categoría],'91_KPIS'!$Q287))</f>
        <v/>
      </c>
      <c r="G287" s="54" t="str">
        <f>IF($B287="","",INDEX(tblStock[Proveedor],'91_KPIS'!$Q287)&amp;"")</f>
        <v/>
      </c>
      <c r="H287" s="56" t="str">
        <f>IF($B287="","",INDEX(tblStock[StockActual],'91_KPIS'!$Q287))</f>
        <v/>
      </c>
      <c r="I287" s="55" t="str">
        <f>IF($B287="","",INDEX(tblStock[StockMin],'91_KPIS'!$Q287))</f>
        <v/>
      </c>
      <c r="J287" s="55" t="str">
        <f>IF($B287="","",INDEX(tblStock[StockMax],'91_KPIS'!$Q287))</f>
        <v/>
      </c>
      <c r="K287" s="53" t="str">
        <f>IF($B287="","",INDEX(tblStock[Unidad],'91_KPIS'!$Q287))</f>
        <v/>
      </c>
      <c r="L287" s="55" t="str">
        <f t="shared" si="8"/>
        <v/>
      </c>
      <c r="M287" s="55" t="str">
        <f t="shared" si="9"/>
        <v/>
      </c>
      <c r="N287" s="54" t="str">
        <f>IF($B287="","",IFERROR(INDEX(tblEstados[Acción],MATCH($C287,tblEstados[Estado],0)),""))</f>
        <v/>
      </c>
      <c r="O287" s="60" t="str">
        <f>IF($B287="","",INDEX(tblStock[UltimoMov],'91_KPIS'!$Q287))</f>
        <v/>
      </c>
    </row>
    <row r="288" spans="2:15" x14ac:dyDescent="0.25">
      <c r="B288" s="62" t="str">
        <f>IF('91_KPIS'!$Q288="","",'91_KPIS'!$O288)</f>
        <v/>
      </c>
      <c r="C288" s="58" t="str">
        <f>IF($B288="","",INDEX(tblStock[Estado],'91_KPIS'!$Q288))</f>
        <v/>
      </c>
      <c r="D288" s="53" t="str">
        <f>IF($B288="","",INDEX(tblStock[SKU],'91_KPIS'!$Q288))</f>
        <v/>
      </c>
      <c r="E288" s="54" t="str">
        <f>IF($B288="","",INDEX(tblStock[Producto],'91_KPIS'!$Q288))</f>
        <v/>
      </c>
      <c r="F288" s="54" t="str">
        <f>IF($B288="","",INDEX(tblStock[Categoría],'91_KPIS'!$Q288))</f>
        <v/>
      </c>
      <c r="G288" s="54" t="str">
        <f>IF($B288="","",INDEX(tblStock[Proveedor],'91_KPIS'!$Q288)&amp;"")</f>
        <v/>
      </c>
      <c r="H288" s="56" t="str">
        <f>IF($B288="","",INDEX(tblStock[StockActual],'91_KPIS'!$Q288))</f>
        <v/>
      </c>
      <c r="I288" s="55" t="str">
        <f>IF($B288="","",INDEX(tblStock[StockMin],'91_KPIS'!$Q288))</f>
        <v/>
      </c>
      <c r="J288" s="55" t="str">
        <f>IF($B288="","",INDEX(tblStock[StockMax],'91_KPIS'!$Q288))</f>
        <v/>
      </c>
      <c r="K288" s="53" t="str">
        <f>IF($B288="","",INDEX(tblStock[Unidad],'91_KPIS'!$Q288))</f>
        <v/>
      </c>
      <c r="L288" s="55" t="str">
        <f t="shared" si="8"/>
        <v/>
      </c>
      <c r="M288" s="55" t="str">
        <f t="shared" si="9"/>
        <v/>
      </c>
      <c r="N288" s="54" t="str">
        <f>IF($B288="","",IFERROR(INDEX(tblEstados[Acción],MATCH($C288,tblEstados[Estado],0)),""))</f>
        <v/>
      </c>
      <c r="O288" s="60" t="str">
        <f>IF($B288="","",INDEX(tblStock[UltimoMov],'91_KPIS'!$Q288))</f>
        <v/>
      </c>
    </row>
    <row r="289" spans="2:15" x14ac:dyDescent="0.25">
      <c r="B289" s="62" t="str">
        <f>IF('91_KPIS'!$Q289="","",'91_KPIS'!$O289)</f>
        <v/>
      </c>
      <c r="C289" s="58" t="str">
        <f>IF($B289="","",INDEX(tblStock[Estado],'91_KPIS'!$Q289))</f>
        <v/>
      </c>
      <c r="D289" s="53" t="str">
        <f>IF($B289="","",INDEX(tblStock[SKU],'91_KPIS'!$Q289))</f>
        <v/>
      </c>
      <c r="E289" s="54" t="str">
        <f>IF($B289="","",INDEX(tblStock[Producto],'91_KPIS'!$Q289))</f>
        <v/>
      </c>
      <c r="F289" s="54" t="str">
        <f>IF($B289="","",INDEX(tblStock[Categoría],'91_KPIS'!$Q289))</f>
        <v/>
      </c>
      <c r="G289" s="54" t="str">
        <f>IF($B289="","",INDEX(tblStock[Proveedor],'91_KPIS'!$Q289)&amp;"")</f>
        <v/>
      </c>
      <c r="H289" s="56" t="str">
        <f>IF($B289="","",INDEX(tblStock[StockActual],'91_KPIS'!$Q289))</f>
        <v/>
      </c>
      <c r="I289" s="55" t="str">
        <f>IF($B289="","",INDEX(tblStock[StockMin],'91_KPIS'!$Q289))</f>
        <v/>
      </c>
      <c r="J289" s="55" t="str">
        <f>IF($B289="","",INDEX(tblStock[StockMax],'91_KPIS'!$Q289))</f>
        <v/>
      </c>
      <c r="K289" s="53" t="str">
        <f>IF($B289="","",INDEX(tblStock[Unidad],'91_KPIS'!$Q289))</f>
        <v/>
      </c>
      <c r="L289" s="55" t="str">
        <f t="shared" si="8"/>
        <v/>
      </c>
      <c r="M289" s="55" t="str">
        <f t="shared" si="9"/>
        <v/>
      </c>
      <c r="N289" s="54" t="str">
        <f>IF($B289="","",IFERROR(INDEX(tblEstados[Acción],MATCH($C289,tblEstados[Estado],0)),""))</f>
        <v/>
      </c>
      <c r="O289" s="60" t="str">
        <f>IF($B289="","",INDEX(tblStock[UltimoMov],'91_KPIS'!$Q289))</f>
        <v/>
      </c>
    </row>
    <row r="290" spans="2:15" x14ac:dyDescent="0.25">
      <c r="B290" s="62" t="str">
        <f>IF('91_KPIS'!$Q290="","",'91_KPIS'!$O290)</f>
        <v/>
      </c>
      <c r="C290" s="58" t="str">
        <f>IF($B290="","",INDEX(tblStock[Estado],'91_KPIS'!$Q290))</f>
        <v/>
      </c>
      <c r="D290" s="53" t="str">
        <f>IF($B290="","",INDEX(tblStock[SKU],'91_KPIS'!$Q290))</f>
        <v/>
      </c>
      <c r="E290" s="54" t="str">
        <f>IF($B290="","",INDEX(tblStock[Producto],'91_KPIS'!$Q290))</f>
        <v/>
      </c>
      <c r="F290" s="54" t="str">
        <f>IF($B290="","",INDEX(tblStock[Categoría],'91_KPIS'!$Q290))</f>
        <v/>
      </c>
      <c r="G290" s="54" t="str">
        <f>IF($B290="","",INDEX(tblStock[Proveedor],'91_KPIS'!$Q290)&amp;"")</f>
        <v/>
      </c>
      <c r="H290" s="56" t="str">
        <f>IF($B290="","",INDEX(tblStock[StockActual],'91_KPIS'!$Q290))</f>
        <v/>
      </c>
      <c r="I290" s="55" t="str">
        <f>IF($B290="","",INDEX(tblStock[StockMin],'91_KPIS'!$Q290))</f>
        <v/>
      </c>
      <c r="J290" s="55" t="str">
        <f>IF($B290="","",INDEX(tblStock[StockMax],'91_KPIS'!$Q290))</f>
        <v/>
      </c>
      <c r="K290" s="53" t="str">
        <f>IF($B290="","",INDEX(tblStock[Unidad],'91_KPIS'!$Q290))</f>
        <v/>
      </c>
      <c r="L290" s="55" t="str">
        <f t="shared" si="8"/>
        <v/>
      </c>
      <c r="M290" s="55" t="str">
        <f t="shared" si="9"/>
        <v/>
      </c>
      <c r="N290" s="54" t="str">
        <f>IF($B290="","",IFERROR(INDEX(tblEstados[Acción],MATCH($C290,tblEstados[Estado],0)),""))</f>
        <v/>
      </c>
      <c r="O290" s="60" t="str">
        <f>IF($B290="","",INDEX(tblStock[UltimoMov],'91_KPIS'!$Q290))</f>
        <v/>
      </c>
    </row>
    <row r="291" spans="2:15" x14ac:dyDescent="0.25">
      <c r="B291" s="62" t="str">
        <f>IF('91_KPIS'!$Q291="","",'91_KPIS'!$O291)</f>
        <v/>
      </c>
      <c r="C291" s="58" t="str">
        <f>IF($B291="","",INDEX(tblStock[Estado],'91_KPIS'!$Q291))</f>
        <v/>
      </c>
      <c r="D291" s="53" t="str">
        <f>IF($B291="","",INDEX(tblStock[SKU],'91_KPIS'!$Q291))</f>
        <v/>
      </c>
      <c r="E291" s="54" t="str">
        <f>IF($B291="","",INDEX(tblStock[Producto],'91_KPIS'!$Q291))</f>
        <v/>
      </c>
      <c r="F291" s="54" t="str">
        <f>IF($B291="","",INDEX(tblStock[Categoría],'91_KPIS'!$Q291))</f>
        <v/>
      </c>
      <c r="G291" s="54" t="str">
        <f>IF($B291="","",INDEX(tblStock[Proveedor],'91_KPIS'!$Q291)&amp;"")</f>
        <v/>
      </c>
      <c r="H291" s="56" t="str">
        <f>IF($B291="","",INDEX(tblStock[StockActual],'91_KPIS'!$Q291))</f>
        <v/>
      </c>
      <c r="I291" s="55" t="str">
        <f>IF($B291="","",INDEX(tblStock[StockMin],'91_KPIS'!$Q291))</f>
        <v/>
      </c>
      <c r="J291" s="55" t="str">
        <f>IF($B291="","",INDEX(tblStock[StockMax],'91_KPIS'!$Q291))</f>
        <v/>
      </c>
      <c r="K291" s="53" t="str">
        <f>IF($B291="","",INDEX(tblStock[Unidad],'91_KPIS'!$Q291))</f>
        <v/>
      </c>
      <c r="L291" s="55" t="str">
        <f t="shared" si="8"/>
        <v/>
      </c>
      <c r="M291" s="55" t="str">
        <f t="shared" si="9"/>
        <v/>
      </c>
      <c r="N291" s="54" t="str">
        <f>IF($B291="","",IFERROR(INDEX(tblEstados[Acción],MATCH($C291,tblEstados[Estado],0)),""))</f>
        <v/>
      </c>
      <c r="O291" s="60" t="str">
        <f>IF($B291="","",INDEX(tblStock[UltimoMov],'91_KPIS'!$Q291))</f>
        <v/>
      </c>
    </row>
    <row r="292" spans="2:15" x14ac:dyDescent="0.25">
      <c r="B292" s="62" t="str">
        <f>IF('91_KPIS'!$Q292="","",'91_KPIS'!$O292)</f>
        <v/>
      </c>
      <c r="C292" s="58" t="str">
        <f>IF($B292="","",INDEX(tblStock[Estado],'91_KPIS'!$Q292))</f>
        <v/>
      </c>
      <c r="D292" s="53" t="str">
        <f>IF($B292="","",INDEX(tblStock[SKU],'91_KPIS'!$Q292))</f>
        <v/>
      </c>
      <c r="E292" s="54" t="str">
        <f>IF($B292="","",INDEX(tblStock[Producto],'91_KPIS'!$Q292))</f>
        <v/>
      </c>
      <c r="F292" s="54" t="str">
        <f>IF($B292="","",INDEX(tblStock[Categoría],'91_KPIS'!$Q292))</f>
        <v/>
      </c>
      <c r="G292" s="54" t="str">
        <f>IF($B292="","",INDEX(tblStock[Proveedor],'91_KPIS'!$Q292)&amp;"")</f>
        <v/>
      </c>
      <c r="H292" s="56" t="str">
        <f>IF($B292="","",INDEX(tblStock[StockActual],'91_KPIS'!$Q292))</f>
        <v/>
      </c>
      <c r="I292" s="55" t="str">
        <f>IF($B292="","",INDEX(tblStock[StockMin],'91_KPIS'!$Q292))</f>
        <v/>
      </c>
      <c r="J292" s="55" t="str">
        <f>IF($B292="","",INDEX(tblStock[StockMax],'91_KPIS'!$Q292))</f>
        <v/>
      </c>
      <c r="K292" s="53" t="str">
        <f>IF($B292="","",INDEX(tblStock[Unidad],'91_KPIS'!$Q292))</f>
        <v/>
      </c>
      <c r="L292" s="55" t="str">
        <f t="shared" si="8"/>
        <v/>
      </c>
      <c r="M292" s="55" t="str">
        <f t="shared" si="9"/>
        <v/>
      </c>
      <c r="N292" s="54" t="str">
        <f>IF($B292="","",IFERROR(INDEX(tblEstados[Acción],MATCH($C292,tblEstados[Estado],0)),""))</f>
        <v/>
      </c>
      <c r="O292" s="60" t="str">
        <f>IF($B292="","",INDEX(tblStock[UltimoMov],'91_KPIS'!$Q292))</f>
        <v/>
      </c>
    </row>
    <row r="293" spans="2:15" x14ac:dyDescent="0.25">
      <c r="B293" s="62" t="str">
        <f>IF('91_KPIS'!$Q293="","",'91_KPIS'!$O293)</f>
        <v/>
      </c>
      <c r="C293" s="58" t="str">
        <f>IF($B293="","",INDEX(tblStock[Estado],'91_KPIS'!$Q293))</f>
        <v/>
      </c>
      <c r="D293" s="53" t="str">
        <f>IF($B293="","",INDEX(tblStock[SKU],'91_KPIS'!$Q293))</f>
        <v/>
      </c>
      <c r="E293" s="54" t="str">
        <f>IF($B293="","",INDEX(tblStock[Producto],'91_KPIS'!$Q293))</f>
        <v/>
      </c>
      <c r="F293" s="54" t="str">
        <f>IF($B293="","",INDEX(tblStock[Categoría],'91_KPIS'!$Q293))</f>
        <v/>
      </c>
      <c r="G293" s="54" t="str">
        <f>IF($B293="","",INDEX(tblStock[Proveedor],'91_KPIS'!$Q293)&amp;"")</f>
        <v/>
      </c>
      <c r="H293" s="56" t="str">
        <f>IF($B293="","",INDEX(tblStock[StockActual],'91_KPIS'!$Q293))</f>
        <v/>
      </c>
      <c r="I293" s="55" t="str">
        <f>IF($B293="","",INDEX(tblStock[StockMin],'91_KPIS'!$Q293))</f>
        <v/>
      </c>
      <c r="J293" s="55" t="str">
        <f>IF($B293="","",INDEX(tblStock[StockMax],'91_KPIS'!$Q293))</f>
        <v/>
      </c>
      <c r="K293" s="53" t="str">
        <f>IF($B293="","",INDEX(tblStock[Unidad],'91_KPIS'!$Q293))</f>
        <v/>
      </c>
      <c r="L293" s="55" t="str">
        <f t="shared" si="8"/>
        <v/>
      </c>
      <c r="M293" s="55" t="str">
        <f t="shared" si="9"/>
        <v/>
      </c>
      <c r="N293" s="54" t="str">
        <f>IF($B293="","",IFERROR(INDEX(tblEstados[Acción],MATCH($C293,tblEstados[Estado],0)),""))</f>
        <v/>
      </c>
      <c r="O293" s="60" t="str">
        <f>IF($B293="","",INDEX(tblStock[UltimoMov],'91_KPIS'!$Q293))</f>
        <v/>
      </c>
    </row>
    <row r="294" spans="2:15" x14ac:dyDescent="0.25">
      <c r="B294" s="62" t="str">
        <f>IF('91_KPIS'!$Q294="","",'91_KPIS'!$O294)</f>
        <v/>
      </c>
      <c r="C294" s="58" t="str">
        <f>IF($B294="","",INDEX(tblStock[Estado],'91_KPIS'!$Q294))</f>
        <v/>
      </c>
      <c r="D294" s="53" t="str">
        <f>IF($B294="","",INDEX(tblStock[SKU],'91_KPIS'!$Q294))</f>
        <v/>
      </c>
      <c r="E294" s="54" t="str">
        <f>IF($B294="","",INDEX(tblStock[Producto],'91_KPIS'!$Q294))</f>
        <v/>
      </c>
      <c r="F294" s="54" t="str">
        <f>IF($B294="","",INDEX(tblStock[Categoría],'91_KPIS'!$Q294))</f>
        <v/>
      </c>
      <c r="G294" s="54" t="str">
        <f>IF($B294="","",INDEX(tblStock[Proveedor],'91_KPIS'!$Q294)&amp;"")</f>
        <v/>
      </c>
      <c r="H294" s="56" t="str">
        <f>IF($B294="","",INDEX(tblStock[StockActual],'91_KPIS'!$Q294))</f>
        <v/>
      </c>
      <c r="I294" s="55" t="str">
        <f>IF($B294="","",INDEX(tblStock[StockMin],'91_KPIS'!$Q294))</f>
        <v/>
      </c>
      <c r="J294" s="55" t="str">
        <f>IF($B294="","",INDEX(tblStock[StockMax],'91_KPIS'!$Q294))</f>
        <v/>
      </c>
      <c r="K294" s="53" t="str">
        <f>IF($B294="","",INDEX(tblStock[Unidad],'91_KPIS'!$Q294))</f>
        <v/>
      </c>
      <c r="L294" s="55" t="str">
        <f t="shared" si="8"/>
        <v/>
      </c>
      <c r="M294" s="55" t="str">
        <f t="shared" si="9"/>
        <v/>
      </c>
      <c r="N294" s="54" t="str">
        <f>IF($B294="","",IFERROR(INDEX(tblEstados[Acción],MATCH($C294,tblEstados[Estado],0)),""))</f>
        <v/>
      </c>
      <c r="O294" s="60" t="str">
        <f>IF($B294="","",INDEX(tblStock[UltimoMov],'91_KPIS'!$Q294))</f>
        <v/>
      </c>
    </row>
    <row r="295" spans="2:15" x14ac:dyDescent="0.25">
      <c r="B295" s="62" t="str">
        <f>IF('91_KPIS'!$Q295="","",'91_KPIS'!$O295)</f>
        <v/>
      </c>
      <c r="C295" s="58" t="str">
        <f>IF($B295="","",INDEX(tblStock[Estado],'91_KPIS'!$Q295))</f>
        <v/>
      </c>
      <c r="D295" s="53" t="str">
        <f>IF($B295="","",INDEX(tblStock[SKU],'91_KPIS'!$Q295))</f>
        <v/>
      </c>
      <c r="E295" s="54" t="str">
        <f>IF($B295="","",INDEX(tblStock[Producto],'91_KPIS'!$Q295))</f>
        <v/>
      </c>
      <c r="F295" s="54" t="str">
        <f>IF($B295="","",INDEX(tblStock[Categoría],'91_KPIS'!$Q295))</f>
        <v/>
      </c>
      <c r="G295" s="54" t="str">
        <f>IF($B295="","",INDEX(tblStock[Proveedor],'91_KPIS'!$Q295)&amp;"")</f>
        <v/>
      </c>
      <c r="H295" s="56" t="str">
        <f>IF($B295="","",INDEX(tblStock[StockActual],'91_KPIS'!$Q295))</f>
        <v/>
      </c>
      <c r="I295" s="55" t="str">
        <f>IF($B295="","",INDEX(tblStock[StockMin],'91_KPIS'!$Q295))</f>
        <v/>
      </c>
      <c r="J295" s="55" t="str">
        <f>IF($B295="","",INDEX(tblStock[StockMax],'91_KPIS'!$Q295))</f>
        <v/>
      </c>
      <c r="K295" s="53" t="str">
        <f>IF($B295="","",INDEX(tblStock[Unidad],'91_KPIS'!$Q295))</f>
        <v/>
      </c>
      <c r="L295" s="55" t="str">
        <f t="shared" si="8"/>
        <v/>
      </c>
      <c r="M295" s="55" t="str">
        <f t="shared" si="9"/>
        <v/>
      </c>
      <c r="N295" s="54" t="str">
        <f>IF($B295="","",IFERROR(INDEX(tblEstados[Acción],MATCH($C295,tblEstados[Estado],0)),""))</f>
        <v/>
      </c>
      <c r="O295" s="60" t="str">
        <f>IF($B295="","",INDEX(tblStock[UltimoMov],'91_KPIS'!$Q295))</f>
        <v/>
      </c>
    </row>
    <row r="296" spans="2:15" x14ac:dyDescent="0.25">
      <c r="B296" s="62" t="str">
        <f>IF('91_KPIS'!$Q296="","",'91_KPIS'!$O296)</f>
        <v/>
      </c>
      <c r="C296" s="58" t="str">
        <f>IF($B296="","",INDEX(tblStock[Estado],'91_KPIS'!$Q296))</f>
        <v/>
      </c>
      <c r="D296" s="53" t="str">
        <f>IF($B296="","",INDEX(tblStock[SKU],'91_KPIS'!$Q296))</f>
        <v/>
      </c>
      <c r="E296" s="54" t="str">
        <f>IF($B296="","",INDEX(tblStock[Producto],'91_KPIS'!$Q296))</f>
        <v/>
      </c>
      <c r="F296" s="54" t="str">
        <f>IF($B296="","",INDEX(tblStock[Categoría],'91_KPIS'!$Q296))</f>
        <v/>
      </c>
      <c r="G296" s="54" t="str">
        <f>IF($B296="","",INDEX(tblStock[Proveedor],'91_KPIS'!$Q296)&amp;"")</f>
        <v/>
      </c>
      <c r="H296" s="56" t="str">
        <f>IF($B296="","",INDEX(tblStock[StockActual],'91_KPIS'!$Q296))</f>
        <v/>
      </c>
      <c r="I296" s="55" t="str">
        <f>IF($B296="","",INDEX(tblStock[StockMin],'91_KPIS'!$Q296))</f>
        <v/>
      </c>
      <c r="J296" s="55" t="str">
        <f>IF($B296="","",INDEX(tblStock[StockMax],'91_KPIS'!$Q296))</f>
        <v/>
      </c>
      <c r="K296" s="53" t="str">
        <f>IF($B296="","",INDEX(tblStock[Unidad],'91_KPIS'!$Q296))</f>
        <v/>
      </c>
      <c r="L296" s="55" t="str">
        <f t="shared" si="8"/>
        <v/>
      </c>
      <c r="M296" s="55" t="str">
        <f t="shared" si="9"/>
        <v/>
      </c>
      <c r="N296" s="54" t="str">
        <f>IF($B296="","",IFERROR(INDEX(tblEstados[Acción],MATCH($C296,tblEstados[Estado],0)),""))</f>
        <v/>
      </c>
      <c r="O296" s="60" t="str">
        <f>IF($B296="","",INDEX(tblStock[UltimoMov],'91_KPIS'!$Q296))</f>
        <v/>
      </c>
    </row>
    <row r="297" spans="2:15" x14ac:dyDescent="0.25">
      <c r="B297" s="62" t="str">
        <f>IF('91_KPIS'!$Q297="","",'91_KPIS'!$O297)</f>
        <v/>
      </c>
      <c r="C297" s="58" t="str">
        <f>IF($B297="","",INDEX(tblStock[Estado],'91_KPIS'!$Q297))</f>
        <v/>
      </c>
      <c r="D297" s="53" t="str">
        <f>IF($B297="","",INDEX(tblStock[SKU],'91_KPIS'!$Q297))</f>
        <v/>
      </c>
      <c r="E297" s="54" t="str">
        <f>IF($B297="","",INDEX(tblStock[Producto],'91_KPIS'!$Q297))</f>
        <v/>
      </c>
      <c r="F297" s="54" t="str">
        <f>IF($B297="","",INDEX(tblStock[Categoría],'91_KPIS'!$Q297))</f>
        <v/>
      </c>
      <c r="G297" s="54" t="str">
        <f>IF($B297="","",INDEX(tblStock[Proveedor],'91_KPIS'!$Q297)&amp;"")</f>
        <v/>
      </c>
      <c r="H297" s="56" t="str">
        <f>IF($B297="","",INDEX(tblStock[StockActual],'91_KPIS'!$Q297))</f>
        <v/>
      </c>
      <c r="I297" s="55" t="str">
        <f>IF($B297="","",INDEX(tblStock[StockMin],'91_KPIS'!$Q297))</f>
        <v/>
      </c>
      <c r="J297" s="55" t="str">
        <f>IF($B297="","",INDEX(tblStock[StockMax],'91_KPIS'!$Q297))</f>
        <v/>
      </c>
      <c r="K297" s="53" t="str">
        <f>IF($B297="","",INDEX(tblStock[Unidad],'91_KPIS'!$Q297))</f>
        <v/>
      </c>
      <c r="L297" s="55" t="str">
        <f t="shared" si="8"/>
        <v/>
      </c>
      <c r="M297" s="55" t="str">
        <f t="shared" si="9"/>
        <v/>
      </c>
      <c r="N297" s="54" t="str">
        <f>IF($B297="","",IFERROR(INDEX(tblEstados[Acción],MATCH($C297,tblEstados[Estado],0)),""))</f>
        <v/>
      </c>
      <c r="O297" s="60" t="str">
        <f>IF($B297="","",INDEX(tblStock[UltimoMov],'91_KPIS'!$Q297))</f>
        <v/>
      </c>
    </row>
    <row r="298" spans="2:15" x14ac:dyDescent="0.25">
      <c r="B298" s="62" t="str">
        <f>IF('91_KPIS'!$Q298="","",'91_KPIS'!$O298)</f>
        <v/>
      </c>
      <c r="C298" s="58" t="str">
        <f>IF($B298="","",INDEX(tblStock[Estado],'91_KPIS'!$Q298))</f>
        <v/>
      </c>
      <c r="D298" s="53" t="str">
        <f>IF($B298="","",INDEX(tblStock[SKU],'91_KPIS'!$Q298))</f>
        <v/>
      </c>
      <c r="E298" s="54" t="str">
        <f>IF($B298="","",INDEX(tblStock[Producto],'91_KPIS'!$Q298))</f>
        <v/>
      </c>
      <c r="F298" s="54" t="str">
        <f>IF($B298="","",INDEX(tblStock[Categoría],'91_KPIS'!$Q298))</f>
        <v/>
      </c>
      <c r="G298" s="54" t="str">
        <f>IF($B298="","",INDEX(tblStock[Proveedor],'91_KPIS'!$Q298)&amp;"")</f>
        <v/>
      </c>
      <c r="H298" s="56" t="str">
        <f>IF($B298="","",INDEX(tblStock[StockActual],'91_KPIS'!$Q298))</f>
        <v/>
      </c>
      <c r="I298" s="55" t="str">
        <f>IF($B298="","",INDEX(tblStock[StockMin],'91_KPIS'!$Q298))</f>
        <v/>
      </c>
      <c r="J298" s="55" t="str">
        <f>IF($B298="","",INDEX(tblStock[StockMax],'91_KPIS'!$Q298))</f>
        <v/>
      </c>
      <c r="K298" s="53" t="str">
        <f>IF($B298="","",INDEX(tblStock[Unidad],'91_KPIS'!$Q298))</f>
        <v/>
      </c>
      <c r="L298" s="55" t="str">
        <f t="shared" si="8"/>
        <v/>
      </c>
      <c r="M298" s="55" t="str">
        <f t="shared" si="9"/>
        <v/>
      </c>
      <c r="N298" s="54" t="str">
        <f>IF($B298="","",IFERROR(INDEX(tblEstados[Acción],MATCH($C298,tblEstados[Estado],0)),""))</f>
        <v/>
      </c>
      <c r="O298" s="60" t="str">
        <f>IF($B298="","",INDEX(tblStock[UltimoMov],'91_KPIS'!$Q298))</f>
        <v/>
      </c>
    </row>
    <row r="299" spans="2:15" x14ac:dyDescent="0.25">
      <c r="B299" s="62" t="str">
        <f>IF('91_KPIS'!$Q299="","",'91_KPIS'!$O299)</f>
        <v/>
      </c>
      <c r="C299" s="58" t="str">
        <f>IF($B299="","",INDEX(tblStock[Estado],'91_KPIS'!$Q299))</f>
        <v/>
      </c>
      <c r="D299" s="53" t="str">
        <f>IF($B299="","",INDEX(tblStock[SKU],'91_KPIS'!$Q299))</f>
        <v/>
      </c>
      <c r="E299" s="54" t="str">
        <f>IF($B299="","",INDEX(tblStock[Producto],'91_KPIS'!$Q299))</f>
        <v/>
      </c>
      <c r="F299" s="54" t="str">
        <f>IF($B299="","",INDEX(tblStock[Categoría],'91_KPIS'!$Q299))</f>
        <v/>
      </c>
      <c r="G299" s="54" t="str">
        <f>IF($B299="","",INDEX(tblStock[Proveedor],'91_KPIS'!$Q299)&amp;"")</f>
        <v/>
      </c>
      <c r="H299" s="56" t="str">
        <f>IF($B299="","",INDEX(tblStock[StockActual],'91_KPIS'!$Q299))</f>
        <v/>
      </c>
      <c r="I299" s="55" t="str">
        <f>IF($B299="","",INDEX(tblStock[StockMin],'91_KPIS'!$Q299))</f>
        <v/>
      </c>
      <c r="J299" s="55" t="str">
        <f>IF($B299="","",INDEX(tblStock[StockMax],'91_KPIS'!$Q299))</f>
        <v/>
      </c>
      <c r="K299" s="53" t="str">
        <f>IF($B299="","",INDEX(tblStock[Unidad],'91_KPIS'!$Q299))</f>
        <v/>
      </c>
      <c r="L299" s="55" t="str">
        <f t="shared" si="8"/>
        <v/>
      </c>
      <c r="M299" s="55" t="str">
        <f t="shared" si="9"/>
        <v/>
      </c>
      <c r="N299" s="54" t="str">
        <f>IF($B299="","",IFERROR(INDEX(tblEstados[Acción],MATCH($C299,tblEstados[Estado],0)),""))</f>
        <v/>
      </c>
      <c r="O299" s="60" t="str">
        <f>IF($B299="","",INDEX(tblStock[UltimoMov],'91_KPIS'!$Q299))</f>
        <v/>
      </c>
    </row>
    <row r="300" spans="2:15" x14ac:dyDescent="0.25">
      <c r="B300" s="62" t="str">
        <f>IF('91_KPIS'!$Q300="","",'91_KPIS'!$O300)</f>
        <v/>
      </c>
      <c r="C300" s="58" t="str">
        <f>IF($B300="","",INDEX(tblStock[Estado],'91_KPIS'!$Q300))</f>
        <v/>
      </c>
      <c r="D300" s="53" t="str">
        <f>IF($B300="","",INDEX(tblStock[SKU],'91_KPIS'!$Q300))</f>
        <v/>
      </c>
      <c r="E300" s="54" t="str">
        <f>IF($B300="","",INDEX(tblStock[Producto],'91_KPIS'!$Q300))</f>
        <v/>
      </c>
      <c r="F300" s="54" t="str">
        <f>IF($B300="","",INDEX(tblStock[Categoría],'91_KPIS'!$Q300))</f>
        <v/>
      </c>
      <c r="G300" s="54" t="str">
        <f>IF($B300="","",INDEX(tblStock[Proveedor],'91_KPIS'!$Q300)&amp;"")</f>
        <v/>
      </c>
      <c r="H300" s="56" t="str">
        <f>IF($B300="","",INDEX(tblStock[StockActual],'91_KPIS'!$Q300))</f>
        <v/>
      </c>
      <c r="I300" s="55" t="str">
        <f>IF($B300="","",INDEX(tblStock[StockMin],'91_KPIS'!$Q300))</f>
        <v/>
      </c>
      <c r="J300" s="55" t="str">
        <f>IF($B300="","",INDEX(tblStock[StockMax],'91_KPIS'!$Q300))</f>
        <v/>
      </c>
      <c r="K300" s="53" t="str">
        <f>IF($B300="","",INDEX(tblStock[Unidad],'91_KPIS'!$Q300))</f>
        <v/>
      </c>
      <c r="L300" s="55" t="str">
        <f t="shared" si="8"/>
        <v/>
      </c>
      <c r="M300" s="55" t="str">
        <f t="shared" si="9"/>
        <v/>
      </c>
      <c r="N300" s="54" t="str">
        <f>IF($B300="","",IFERROR(INDEX(tblEstados[Acción],MATCH($C300,tblEstados[Estado],0)),""))</f>
        <v/>
      </c>
      <c r="O300" s="60" t="str">
        <f>IF($B300="","",INDEX(tblStock[UltimoMov],'91_KPIS'!$Q300))</f>
        <v/>
      </c>
    </row>
    <row r="301" spans="2:15" x14ac:dyDescent="0.25">
      <c r="B301" s="62" t="str">
        <f>IF('91_KPIS'!$Q301="","",'91_KPIS'!$O301)</f>
        <v/>
      </c>
      <c r="C301" s="58" t="str">
        <f>IF($B301="","",INDEX(tblStock[Estado],'91_KPIS'!$Q301))</f>
        <v/>
      </c>
      <c r="D301" s="53" t="str">
        <f>IF($B301="","",INDEX(tblStock[SKU],'91_KPIS'!$Q301))</f>
        <v/>
      </c>
      <c r="E301" s="54" t="str">
        <f>IF($B301="","",INDEX(tblStock[Producto],'91_KPIS'!$Q301))</f>
        <v/>
      </c>
      <c r="F301" s="54" t="str">
        <f>IF($B301="","",INDEX(tblStock[Categoría],'91_KPIS'!$Q301))</f>
        <v/>
      </c>
      <c r="G301" s="54" t="str">
        <f>IF($B301="","",INDEX(tblStock[Proveedor],'91_KPIS'!$Q301)&amp;"")</f>
        <v/>
      </c>
      <c r="H301" s="56" t="str">
        <f>IF($B301="","",INDEX(tblStock[StockActual],'91_KPIS'!$Q301))</f>
        <v/>
      </c>
      <c r="I301" s="55" t="str">
        <f>IF($B301="","",INDEX(tblStock[StockMin],'91_KPIS'!$Q301))</f>
        <v/>
      </c>
      <c r="J301" s="55" t="str">
        <f>IF($B301="","",INDEX(tblStock[StockMax],'91_KPIS'!$Q301))</f>
        <v/>
      </c>
      <c r="K301" s="53" t="str">
        <f>IF($B301="","",INDEX(tblStock[Unidad],'91_KPIS'!$Q301))</f>
        <v/>
      </c>
      <c r="L301" s="55" t="str">
        <f t="shared" si="8"/>
        <v/>
      </c>
      <c r="M301" s="55" t="str">
        <f t="shared" si="9"/>
        <v/>
      </c>
      <c r="N301" s="54" t="str">
        <f>IF($B301="","",IFERROR(INDEX(tblEstados[Acción],MATCH($C301,tblEstados[Estado],0)),""))</f>
        <v/>
      </c>
      <c r="O301" s="60" t="str">
        <f>IF($B301="","",INDEX(tblStock[UltimoMov],'91_KPIS'!$Q301))</f>
        <v/>
      </c>
    </row>
    <row r="302" spans="2:15" x14ac:dyDescent="0.25">
      <c r="B302" s="62" t="str">
        <f>IF('91_KPIS'!$Q302="","",'91_KPIS'!$O302)</f>
        <v/>
      </c>
      <c r="C302" s="58" t="str">
        <f>IF($B302="","",INDEX(tblStock[Estado],'91_KPIS'!$Q302))</f>
        <v/>
      </c>
      <c r="D302" s="53" t="str">
        <f>IF($B302="","",INDEX(tblStock[SKU],'91_KPIS'!$Q302))</f>
        <v/>
      </c>
      <c r="E302" s="54" t="str">
        <f>IF($B302="","",INDEX(tblStock[Producto],'91_KPIS'!$Q302))</f>
        <v/>
      </c>
      <c r="F302" s="54" t="str">
        <f>IF($B302="","",INDEX(tblStock[Categoría],'91_KPIS'!$Q302))</f>
        <v/>
      </c>
      <c r="G302" s="54" t="str">
        <f>IF($B302="","",INDEX(tblStock[Proveedor],'91_KPIS'!$Q302)&amp;"")</f>
        <v/>
      </c>
      <c r="H302" s="56" t="str">
        <f>IF($B302="","",INDEX(tblStock[StockActual],'91_KPIS'!$Q302))</f>
        <v/>
      </c>
      <c r="I302" s="55" t="str">
        <f>IF($B302="","",INDEX(tblStock[StockMin],'91_KPIS'!$Q302))</f>
        <v/>
      </c>
      <c r="J302" s="55" t="str">
        <f>IF($B302="","",INDEX(tblStock[StockMax],'91_KPIS'!$Q302))</f>
        <v/>
      </c>
      <c r="K302" s="53" t="str">
        <f>IF($B302="","",INDEX(tblStock[Unidad],'91_KPIS'!$Q302))</f>
        <v/>
      </c>
      <c r="L302" s="55" t="str">
        <f t="shared" si="8"/>
        <v/>
      </c>
      <c r="M302" s="55" t="str">
        <f t="shared" si="9"/>
        <v/>
      </c>
      <c r="N302" s="54" t="str">
        <f>IF($B302="","",IFERROR(INDEX(tblEstados[Acción],MATCH($C302,tblEstados[Estado],0)),""))</f>
        <v/>
      </c>
      <c r="O302" s="60" t="str">
        <f>IF($B302="","",INDEX(tblStock[UltimoMov],'91_KPIS'!$Q302))</f>
        <v/>
      </c>
    </row>
    <row r="303" spans="2:15" x14ac:dyDescent="0.25">
      <c r="B303" s="62" t="str">
        <f>IF('91_KPIS'!$Q303="","",'91_KPIS'!$O303)</f>
        <v/>
      </c>
      <c r="C303" s="58" t="str">
        <f>IF($B303="","",INDEX(tblStock[Estado],'91_KPIS'!$Q303))</f>
        <v/>
      </c>
      <c r="D303" s="53" t="str">
        <f>IF($B303="","",INDEX(tblStock[SKU],'91_KPIS'!$Q303))</f>
        <v/>
      </c>
      <c r="E303" s="54" t="str">
        <f>IF($B303="","",INDEX(tblStock[Producto],'91_KPIS'!$Q303))</f>
        <v/>
      </c>
      <c r="F303" s="54" t="str">
        <f>IF($B303="","",INDEX(tblStock[Categoría],'91_KPIS'!$Q303))</f>
        <v/>
      </c>
      <c r="G303" s="54" t="str">
        <f>IF($B303="","",INDEX(tblStock[Proveedor],'91_KPIS'!$Q303)&amp;"")</f>
        <v/>
      </c>
      <c r="H303" s="56" t="str">
        <f>IF($B303="","",INDEX(tblStock[StockActual],'91_KPIS'!$Q303))</f>
        <v/>
      </c>
      <c r="I303" s="55" t="str">
        <f>IF($B303="","",INDEX(tblStock[StockMin],'91_KPIS'!$Q303))</f>
        <v/>
      </c>
      <c r="J303" s="55" t="str">
        <f>IF($B303="","",INDEX(tblStock[StockMax],'91_KPIS'!$Q303))</f>
        <v/>
      </c>
      <c r="K303" s="53" t="str">
        <f>IF($B303="","",INDEX(tblStock[Unidad],'91_KPIS'!$Q303))</f>
        <v/>
      </c>
      <c r="L303" s="55" t="str">
        <f t="shared" si="8"/>
        <v/>
      </c>
      <c r="M303" s="55" t="str">
        <f t="shared" si="9"/>
        <v/>
      </c>
      <c r="N303" s="54" t="str">
        <f>IF($B303="","",IFERROR(INDEX(tblEstados[Acción],MATCH($C303,tblEstados[Estado],0)),""))</f>
        <v/>
      </c>
      <c r="O303" s="60" t="str">
        <f>IF($B303="","",INDEX(tblStock[UltimoMov],'91_KPIS'!$Q303))</f>
        <v/>
      </c>
    </row>
    <row r="304" spans="2:15" x14ac:dyDescent="0.25">
      <c r="B304" s="62" t="str">
        <f>IF('91_KPIS'!$Q304="","",'91_KPIS'!$O304)</f>
        <v/>
      </c>
      <c r="C304" s="58" t="str">
        <f>IF($B304="","",INDEX(tblStock[Estado],'91_KPIS'!$Q304))</f>
        <v/>
      </c>
      <c r="D304" s="53" t="str">
        <f>IF($B304="","",INDEX(tblStock[SKU],'91_KPIS'!$Q304))</f>
        <v/>
      </c>
      <c r="E304" s="54" t="str">
        <f>IF($B304="","",INDEX(tblStock[Producto],'91_KPIS'!$Q304))</f>
        <v/>
      </c>
      <c r="F304" s="54" t="str">
        <f>IF($B304="","",INDEX(tblStock[Categoría],'91_KPIS'!$Q304))</f>
        <v/>
      </c>
      <c r="G304" s="54" t="str">
        <f>IF($B304="","",INDEX(tblStock[Proveedor],'91_KPIS'!$Q304)&amp;"")</f>
        <v/>
      </c>
      <c r="H304" s="56" t="str">
        <f>IF($B304="","",INDEX(tblStock[StockActual],'91_KPIS'!$Q304))</f>
        <v/>
      </c>
      <c r="I304" s="55" t="str">
        <f>IF($B304="","",INDEX(tblStock[StockMin],'91_KPIS'!$Q304))</f>
        <v/>
      </c>
      <c r="J304" s="55" t="str">
        <f>IF($B304="","",INDEX(tblStock[StockMax],'91_KPIS'!$Q304))</f>
        <v/>
      </c>
      <c r="K304" s="53" t="str">
        <f>IF($B304="","",INDEX(tblStock[Unidad],'91_KPIS'!$Q304))</f>
        <v/>
      </c>
      <c r="L304" s="55" t="str">
        <f t="shared" si="8"/>
        <v/>
      </c>
      <c r="M304" s="55" t="str">
        <f t="shared" si="9"/>
        <v/>
      </c>
      <c r="N304" s="54" t="str">
        <f>IF($B304="","",IFERROR(INDEX(tblEstados[Acción],MATCH($C304,tblEstados[Estado],0)),""))</f>
        <v/>
      </c>
      <c r="O304" s="60" t="str">
        <f>IF($B304="","",INDEX(tblStock[UltimoMov],'91_KPIS'!$Q304))</f>
        <v/>
      </c>
    </row>
    <row r="305" spans="2:15" x14ac:dyDescent="0.25">
      <c r="B305" s="62" t="str">
        <f>IF('91_KPIS'!$Q305="","",'91_KPIS'!$O305)</f>
        <v/>
      </c>
      <c r="C305" s="58" t="str">
        <f>IF($B305="","",INDEX(tblStock[Estado],'91_KPIS'!$Q305))</f>
        <v/>
      </c>
      <c r="D305" s="53" t="str">
        <f>IF($B305="","",INDEX(tblStock[SKU],'91_KPIS'!$Q305))</f>
        <v/>
      </c>
      <c r="E305" s="54" t="str">
        <f>IF($B305="","",INDEX(tblStock[Producto],'91_KPIS'!$Q305))</f>
        <v/>
      </c>
      <c r="F305" s="54" t="str">
        <f>IF($B305="","",INDEX(tblStock[Categoría],'91_KPIS'!$Q305))</f>
        <v/>
      </c>
      <c r="G305" s="54" t="str">
        <f>IF($B305="","",INDEX(tblStock[Proveedor],'91_KPIS'!$Q305)&amp;"")</f>
        <v/>
      </c>
      <c r="H305" s="56" t="str">
        <f>IF($B305="","",INDEX(tblStock[StockActual],'91_KPIS'!$Q305))</f>
        <v/>
      </c>
      <c r="I305" s="55" t="str">
        <f>IF($B305="","",INDEX(tblStock[StockMin],'91_KPIS'!$Q305))</f>
        <v/>
      </c>
      <c r="J305" s="55" t="str">
        <f>IF($B305="","",INDEX(tblStock[StockMax],'91_KPIS'!$Q305))</f>
        <v/>
      </c>
      <c r="K305" s="53" t="str">
        <f>IF($B305="","",INDEX(tblStock[Unidad],'91_KPIS'!$Q305))</f>
        <v/>
      </c>
      <c r="L305" s="55" t="str">
        <f t="shared" si="8"/>
        <v/>
      </c>
      <c r="M305" s="55" t="str">
        <f t="shared" si="9"/>
        <v/>
      </c>
      <c r="N305" s="54" t="str">
        <f>IF($B305="","",IFERROR(INDEX(tblEstados[Acción],MATCH($C305,tblEstados[Estado],0)),""))</f>
        <v/>
      </c>
      <c r="O305" s="60" t="str">
        <f>IF($B305="","",INDEX(tblStock[UltimoMov],'91_KPIS'!$Q305))</f>
        <v/>
      </c>
    </row>
    <row r="306" spans="2:15" x14ac:dyDescent="0.25">
      <c r="B306" s="62" t="str">
        <f>IF('91_KPIS'!$Q306="","",'91_KPIS'!$O306)</f>
        <v/>
      </c>
      <c r="C306" s="58" t="str">
        <f>IF($B306="","",INDEX(tblStock[Estado],'91_KPIS'!$Q306))</f>
        <v/>
      </c>
      <c r="D306" s="53" t="str">
        <f>IF($B306="","",INDEX(tblStock[SKU],'91_KPIS'!$Q306))</f>
        <v/>
      </c>
      <c r="E306" s="54" t="str">
        <f>IF($B306="","",INDEX(tblStock[Producto],'91_KPIS'!$Q306))</f>
        <v/>
      </c>
      <c r="F306" s="54" t="str">
        <f>IF($B306="","",INDEX(tblStock[Categoría],'91_KPIS'!$Q306))</f>
        <v/>
      </c>
      <c r="G306" s="54" t="str">
        <f>IF($B306="","",INDEX(tblStock[Proveedor],'91_KPIS'!$Q306)&amp;"")</f>
        <v/>
      </c>
      <c r="H306" s="56" t="str">
        <f>IF($B306="","",INDEX(tblStock[StockActual],'91_KPIS'!$Q306))</f>
        <v/>
      </c>
      <c r="I306" s="55" t="str">
        <f>IF($B306="","",INDEX(tblStock[StockMin],'91_KPIS'!$Q306))</f>
        <v/>
      </c>
      <c r="J306" s="55" t="str">
        <f>IF($B306="","",INDEX(tblStock[StockMax],'91_KPIS'!$Q306))</f>
        <v/>
      </c>
      <c r="K306" s="53" t="str">
        <f>IF($B306="","",INDEX(tblStock[Unidad],'91_KPIS'!$Q306))</f>
        <v/>
      </c>
      <c r="L306" s="55" t="str">
        <f t="shared" si="8"/>
        <v/>
      </c>
      <c r="M306" s="55" t="str">
        <f t="shared" si="9"/>
        <v/>
      </c>
      <c r="N306" s="54" t="str">
        <f>IF($B306="","",IFERROR(INDEX(tblEstados[Acción],MATCH($C306,tblEstados[Estado],0)),""))</f>
        <v/>
      </c>
      <c r="O306" s="60" t="str">
        <f>IF($B306="","",INDEX(tblStock[UltimoMov],'91_KPIS'!$Q306))</f>
        <v/>
      </c>
    </row>
    <row r="307" spans="2:15" x14ac:dyDescent="0.25">
      <c r="B307" s="62" t="str">
        <f>IF('91_KPIS'!$Q307="","",'91_KPIS'!$O307)</f>
        <v/>
      </c>
      <c r="C307" s="58" t="str">
        <f>IF($B307="","",INDEX(tblStock[Estado],'91_KPIS'!$Q307))</f>
        <v/>
      </c>
      <c r="D307" s="53" t="str">
        <f>IF($B307="","",INDEX(tblStock[SKU],'91_KPIS'!$Q307))</f>
        <v/>
      </c>
      <c r="E307" s="54" t="str">
        <f>IF($B307="","",INDEX(tblStock[Producto],'91_KPIS'!$Q307))</f>
        <v/>
      </c>
      <c r="F307" s="54" t="str">
        <f>IF($B307="","",INDEX(tblStock[Categoría],'91_KPIS'!$Q307))</f>
        <v/>
      </c>
      <c r="G307" s="54" t="str">
        <f>IF($B307="","",INDEX(tblStock[Proveedor],'91_KPIS'!$Q307)&amp;"")</f>
        <v/>
      </c>
      <c r="H307" s="56" t="str">
        <f>IF($B307="","",INDEX(tblStock[StockActual],'91_KPIS'!$Q307))</f>
        <v/>
      </c>
      <c r="I307" s="55" t="str">
        <f>IF($B307="","",INDEX(tblStock[StockMin],'91_KPIS'!$Q307))</f>
        <v/>
      </c>
      <c r="J307" s="55" t="str">
        <f>IF($B307="","",INDEX(tblStock[StockMax],'91_KPIS'!$Q307))</f>
        <v/>
      </c>
      <c r="K307" s="53" t="str">
        <f>IF($B307="","",INDEX(tblStock[Unidad],'91_KPIS'!$Q307))</f>
        <v/>
      </c>
      <c r="L307" s="55" t="str">
        <f t="shared" si="8"/>
        <v/>
      </c>
      <c r="M307" s="55" t="str">
        <f t="shared" si="9"/>
        <v/>
      </c>
      <c r="N307" s="54" t="str">
        <f>IF($B307="","",IFERROR(INDEX(tblEstados[Acción],MATCH($C307,tblEstados[Estado],0)),""))</f>
        <v/>
      </c>
      <c r="O307" s="60" t="str">
        <f>IF($B307="","",INDEX(tblStock[UltimoMov],'91_KPIS'!$Q307))</f>
        <v/>
      </c>
    </row>
    <row r="308" spans="2:15" x14ac:dyDescent="0.25">
      <c r="B308" s="62" t="str">
        <f>IF('91_KPIS'!$Q308="","",'91_KPIS'!$O308)</f>
        <v/>
      </c>
      <c r="C308" s="58" t="str">
        <f>IF($B308="","",INDEX(tblStock[Estado],'91_KPIS'!$Q308))</f>
        <v/>
      </c>
      <c r="D308" s="53" t="str">
        <f>IF($B308="","",INDEX(tblStock[SKU],'91_KPIS'!$Q308))</f>
        <v/>
      </c>
      <c r="E308" s="54" t="str">
        <f>IF($B308="","",INDEX(tblStock[Producto],'91_KPIS'!$Q308))</f>
        <v/>
      </c>
      <c r="F308" s="54" t="str">
        <f>IF($B308="","",INDEX(tblStock[Categoría],'91_KPIS'!$Q308))</f>
        <v/>
      </c>
      <c r="G308" s="54" t="str">
        <f>IF($B308="","",INDEX(tblStock[Proveedor],'91_KPIS'!$Q308)&amp;"")</f>
        <v/>
      </c>
      <c r="H308" s="56" t="str">
        <f>IF($B308="","",INDEX(tblStock[StockActual],'91_KPIS'!$Q308))</f>
        <v/>
      </c>
      <c r="I308" s="55" t="str">
        <f>IF($B308="","",INDEX(tblStock[StockMin],'91_KPIS'!$Q308))</f>
        <v/>
      </c>
      <c r="J308" s="55" t="str">
        <f>IF($B308="","",INDEX(tblStock[StockMax],'91_KPIS'!$Q308))</f>
        <v/>
      </c>
      <c r="K308" s="53" t="str">
        <f>IF($B308="","",INDEX(tblStock[Unidad],'91_KPIS'!$Q308))</f>
        <v/>
      </c>
      <c r="L308" s="55" t="str">
        <f t="shared" si="8"/>
        <v/>
      </c>
      <c r="M308" s="55" t="str">
        <f t="shared" si="9"/>
        <v/>
      </c>
      <c r="N308" s="54" t="str">
        <f>IF($B308="","",IFERROR(INDEX(tblEstados[Acción],MATCH($C308,tblEstados[Estado],0)),""))</f>
        <v/>
      </c>
      <c r="O308" s="60" t="str">
        <f>IF($B308="","",INDEX(tblStock[UltimoMov],'91_KPIS'!$Q308))</f>
        <v/>
      </c>
    </row>
    <row r="309" spans="2:15" x14ac:dyDescent="0.25">
      <c r="B309" s="62" t="str">
        <f>IF('91_KPIS'!$Q309="","",'91_KPIS'!$O309)</f>
        <v/>
      </c>
      <c r="C309" s="58" t="str">
        <f>IF($B309="","",INDEX(tblStock[Estado],'91_KPIS'!$Q309))</f>
        <v/>
      </c>
      <c r="D309" s="53" t="str">
        <f>IF($B309="","",INDEX(tblStock[SKU],'91_KPIS'!$Q309))</f>
        <v/>
      </c>
      <c r="E309" s="54" t="str">
        <f>IF($B309="","",INDEX(tblStock[Producto],'91_KPIS'!$Q309))</f>
        <v/>
      </c>
      <c r="F309" s="54" t="str">
        <f>IF($B309="","",INDEX(tblStock[Categoría],'91_KPIS'!$Q309))</f>
        <v/>
      </c>
      <c r="G309" s="54" t="str">
        <f>IF($B309="","",INDEX(tblStock[Proveedor],'91_KPIS'!$Q309)&amp;"")</f>
        <v/>
      </c>
      <c r="H309" s="56" t="str">
        <f>IF($B309="","",INDEX(tblStock[StockActual],'91_KPIS'!$Q309))</f>
        <v/>
      </c>
      <c r="I309" s="55" t="str">
        <f>IF($B309="","",INDEX(tblStock[StockMin],'91_KPIS'!$Q309))</f>
        <v/>
      </c>
      <c r="J309" s="55" t="str">
        <f>IF($B309="","",INDEX(tblStock[StockMax],'91_KPIS'!$Q309))</f>
        <v/>
      </c>
      <c r="K309" s="53" t="str">
        <f>IF($B309="","",INDEX(tblStock[Unidad],'91_KPIS'!$Q309))</f>
        <v/>
      </c>
      <c r="L309" s="55" t="str">
        <f t="shared" si="8"/>
        <v/>
      </c>
      <c r="M309" s="55" t="str">
        <f t="shared" si="9"/>
        <v/>
      </c>
      <c r="N309" s="54" t="str">
        <f>IF($B309="","",IFERROR(INDEX(tblEstados[Acción],MATCH($C309,tblEstados[Estado],0)),""))</f>
        <v/>
      </c>
      <c r="O309" s="60" t="str">
        <f>IF($B309="","",INDEX(tblStock[UltimoMov],'91_KPIS'!$Q309))</f>
        <v/>
      </c>
    </row>
    <row r="310" spans="2:15" x14ac:dyDescent="0.25">
      <c r="B310" s="62" t="str">
        <f>IF('91_KPIS'!$Q310="","",'91_KPIS'!$O310)</f>
        <v/>
      </c>
      <c r="C310" s="58" t="str">
        <f>IF($B310="","",INDEX(tblStock[Estado],'91_KPIS'!$Q310))</f>
        <v/>
      </c>
      <c r="D310" s="53" t="str">
        <f>IF($B310="","",INDEX(tblStock[SKU],'91_KPIS'!$Q310))</f>
        <v/>
      </c>
      <c r="E310" s="54" t="str">
        <f>IF($B310="","",INDEX(tblStock[Producto],'91_KPIS'!$Q310))</f>
        <v/>
      </c>
      <c r="F310" s="54" t="str">
        <f>IF($B310="","",INDEX(tblStock[Categoría],'91_KPIS'!$Q310))</f>
        <v/>
      </c>
      <c r="G310" s="54" t="str">
        <f>IF($B310="","",INDEX(tblStock[Proveedor],'91_KPIS'!$Q310)&amp;"")</f>
        <v/>
      </c>
      <c r="H310" s="56" t="str">
        <f>IF($B310="","",INDEX(tblStock[StockActual],'91_KPIS'!$Q310))</f>
        <v/>
      </c>
      <c r="I310" s="55" t="str">
        <f>IF($B310="","",INDEX(tblStock[StockMin],'91_KPIS'!$Q310))</f>
        <v/>
      </c>
      <c r="J310" s="55" t="str">
        <f>IF($B310="","",INDEX(tblStock[StockMax],'91_KPIS'!$Q310))</f>
        <v/>
      </c>
      <c r="K310" s="53" t="str">
        <f>IF($B310="","",INDEX(tblStock[Unidad],'91_KPIS'!$Q310))</f>
        <v/>
      </c>
      <c r="L310" s="55" t="str">
        <f t="shared" si="8"/>
        <v/>
      </c>
      <c r="M310" s="55" t="str">
        <f t="shared" si="9"/>
        <v/>
      </c>
      <c r="N310" s="54" t="str">
        <f>IF($B310="","",IFERROR(INDEX(tblEstados[Acción],MATCH($C310,tblEstados[Estado],0)),""))</f>
        <v/>
      </c>
      <c r="O310" s="60" t="str">
        <f>IF($B310="","",INDEX(tblStock[UltimoMov],'91_KPIS'!$Q310))</f>
        <v/>
      </c>
    </row>
    <row r="311" spans="2:15" x14ac:dyDescent="0.25">
      <c r="B311" s="62" t="str">
        <f>IF('91_KPIS'!$Q311="","",'91_KPIS'!$O311)</f>
        <v/>
      </c>
      <c r="C311" s="58" t="str">
        <f>IF($B311="","",INDEX(tblStock[Estado],'91_KPIS'!$Q311))</f>
        <v/>
      </c>
      <c r="D311" s="53" t="str">
        <f>IF($B311="","",INDEX(tblStock[SKU],'91_KPIS'!$Q311))</f>
        <v/>
      </c>
      <c r="E311" s="54" t="str">
        <f>IF($B311="","",INDEX(tblStock[Producto],'91_KPIS'!$Q311))</f>
        <v/>
      </c>
      <c r="F311" s="54" t="str">
        <f>IF($B311="","",INDEX(tblStock[Categoría],'91_KPIS'!$Q311))</f>
        <v/>
      </c>
      <c r="G311" s="54" t="str">
        <f>IF($B311="","",INDEX(tblStock[Proveedor],'91_KPIS'!$Q311)&amp;"")</f>
        <v/>
      </c>
      <c r="H311" s="56" t="str">
        <f>IF($B311="","",INDEX(tblStock[StockActual],'91_KPIS'!$Q311))</f>
        <v/>
      </c>
      <c r="I311" s="55" t="str">
        <f>IF($B311="","",INDEX(tblStock[StockMin],'91_KPIS'!$Q311))</f>
        <v/>
      </c>
      <c r="J311" s="55" t="str">
        <f>IF($B311="","",INDEX(tblStock[StockMax],'91_KPIS'!$Q311))</f>
        <v/>
      </c>
      <c r="K311" s="53" t="str">
        <f>IF($B311="","",INDEX(tblStock[Unidad],'91_KPIS'!$Q311))</f>
        <v/>
      </c>
      <c r="L311" s="55" t="str">
        <f t="shared" si="8"/>
        <v/>
      </c>
      <c r="M311" s="55" t="str">
        <f t="shared" si="9"/>
        <v/>
      </c>
      <c r="N311" s="54" t="str">
        <f>IF($B311="","",IFERROR(INDEX(tblEstados[Acción],MATCH($C311,tblEstados[Estado],0)),""))</f>
        <v/>
      </c>
      <c r="O311" s="60" t="str">
        <f>IF($B311="","",INDEX(tblStock[UltimoMov],'91_KPIS'!$Q311))</f>
        <v/>
      </c>
    </row>
    <row r="312" spans="2:15" x14ac:dyDescent="0.25">
      <c r="B312" s="62" t="str">
        <f>IF('91_KPIS'!$Q312="","",'91_KPIS'!$O312)</f>
        <v/>
      </c>
      <c r="C312" s="58" t="str">
        <f>IF($B312="","",INDEX(tblStock[Estado],'91_KPIS'!$Q312))</f>
        <v/>
      </c>
      <c r="D312" s="53" t="str">
        <f>IF($B312="","",INDEX(tblStock[SKU],'91_KPIS'!$Q312))</f>
        <v/>
      </c>
      <c r="E312" s="54" t="str">
        <f>IF($B312="","",INDEX(tblStock[Producto],'91_KPIS'!$Q312))</f>
        <v/>
      </c>
      <c r="F312" s="54" t="str">
        <f>IF($B312="","",INDEX(tblStock[Categoría],'91_KPIS'!$Q312))</f>
        <v/>
      </c>
      <c r="G312" s="54" t="str">
        <f>IF($B312="","",INDEX(tblStock[Proveedor],'91_KPIS'!$Q312)&amp;"")</f>
        <v/>
      </c>
      <c r="H312" s="56" t="str">
        <f>IF($B312="","",INDEX(tblStock[StockActual],'91_KPIS'!$Q312))</f>
        <v/>
      </c>
      <c r="I312" s="55" t="str">
        <f>IF($B312="","",INDEX(tblStock[StockMin],'91_KPIS'!$Q312))</f>
        <v/>
      </c>
      <c r="J312" s="55" t="str">
        <f>IF($B312="","",INDEX(tblStock[StockMax],'91_KPIS'!$Q312))</f>
        <v/>
      </c>
      <c r="K312" s="53" t="str">
        <f>IF($B312="","",INDEX(tblStock[Unidad],'91_KPIS'!$Q312))</f>
        <v/>
      </c>
      <c r="L312" s="55" t="str">
        <f t="shared" si="8"/>
        <v/>
      </c>
      <c r="M312" s="55" t="str">
        <f t="shared" si="9"/>
        <v/>
      </c>
      <c r="N312" s="54" t="str">
        <f>IF($B312="","",IFERROR(INDEX(tblEstados[Acción],MATCH($C312,tblEstados[Estado],0)),""))</f>
        <v/>
      </c>
      <c r="O312" s="60" t="str">
        <f>IF($B312="","",INDEX(tblStock[UltimoMov],'91_KPIS'!$Q312))</f>
        <v/>
      </c>
    </row>
    <row r="313" spans="2:15" x14ac:dyDescent="0.25">
      <c r="B313" s="62" t="str">
        <f>IF('91_KPIS'!$Q313="","",'91_KPIS'!$O313)</f>
        <v/>
      </c>
      <c r="C313" s="58" t="str">
        <f>IF($B313="","",INDEX(tblStock[Estado],'91_KPIS'!$Q313))</f>
        <v/>
      </c>
      <c r="D313" s="53" t="str">
        <f>IF($B313="","",INDEX(tblStock[SKU],'91_KPIS'!$Q313))</f>
        <v/>
      </c>
      <c r="E313" s="54" t="str">
        <f>IF($B313="","",INDEX(tblStock[Producto],'91_KPIS'!$Q313))</f>
        <v/>
      </c>
      <c r="F313" s="54" t="str">
        <f>IF($B313="","",INDEX(tblStock[Categoría],'91_KPIS'!$Q313))</f>
        <v/>
      </c>
      <c r="G313" s="54" t="str">
        <f>IF($B313="","",INDEX(tblStock[Proveedor],'91_KPIS'!$Q313)&amp;"")</f>
        <v/>
      </c>
      <c r="H313" s="56" t="str">
        <f>IF($B313="","",INDEX(tblStock[StockActual],'91_KPIS'!$Q313))</f>
        <v/>
      </c>
      <c r="I313" s="55" t="str">
        <f>IF($B313="","",INDEX(tblStock[StockMin],'91_KPIS'!$Q313))</f>
        <v/>
      </c>
      <c r="J313" s="55" t="str">
        <f>IF($B313="","",INDEX(tblStock[StockMax],'91_KPIS'!$Q313))</f>
        <v/>
      </c>
      <c r="K313" s="53" t="str">
        <f>IF($B313="","",INDEX(tblStock[Unidad],'91_KPIS'!$Q313))</f>
        <v/>
      </c>
      <c r="L313" s="55" t="str">
        <f t="shared" si="8"/>
        <v/>
      </c>
      <c r="M313" s="55" t="str">
        <f t="shared" si="9"/>
        <v/>
      </c>
      <c r="N313" s="54" t="str">
        <f>IF($B313="","",IFERROR(INDEX(tblEstados[Acción],MATCH($C313,tblEstados[Estado],0)),""))</f>
        <v/>
      </c>
      <c r="O313" s="60" t="str">
        <f>IF($B313="","",INDEX(tblStock[UltimoMov],'91_KPIS'!$Q313))</f>
        <v/>
      </c>
    </row>
    <row r="314" spans="2:15" x14ac:dyDescent="0.25">
      <c r="B314" s="62" t="str">
        <f>IF('91_KPIS'!$Q314="","",'91_KPIS'!$O314)</f>
        <v/>
      </c>
      <c r="C314" s="58" t="str">
        <f>IF($B314="","",INDEX(tblStock[Estado],'91_KPIS'!$Q314))</f>
        <v/>
      </c>
      <c r="D314" s="53" t="str">
        <f>IF($B314="","",INDEX(tblStock[SKU],'91_KPIS'!$Q314))</f>
        <v/>
      </c>
      <c r="E314" s="54" t="str">
        <f>IF($B314="","",INDEX(tblStock[Producto],'91_KPIS'!$Q314))</f>
        <v/>
      </c>
      <c r="F314" s="54" t="str">
        <f>IF($B314="","",INDEX(tblStock[Categoría],'91_KPIS'!$Q314))</f>
        <v/>
      </c>
      <c r="G314" s="54" t="str">
        <f>IF($B314="","",INDEX(tblStock[Proveedor],'91_KPIS'!$Q314)&amp;"")</f>
        <v/>
      </c>
      <c r="H314" s="56" t="str">
        <f>IF($B314="","",INDEX(tblStock[StockActual],'91_KPIS'!$Q314))</f>
        <v/>
      </c>
      <c r="I314" s="55" t="str">
        <f>IF($B314="","",INDEX(tblStock[StockMin],'91_KPIS'!$Q314))</f>
        <v/>
      </c>
      <c r="J314" s="55" t="str">
        <f>IF($B314="","",INDEX(tblStock[StockMax],'91_KPIS'!$Q314))</f>
        <v/>
      </c>
      <c r="K314" s="53" t="str">
        <f>IF($B314="","",INDEX(tblStock[Unidad],'91_KPIS'!$Q314))</f>
        <v/>
      </c>
      <c r="L314" s="55" t="str">
        <f t="shared" si="8"/>
        <v/>
      </c>
      <c r="M314" s="55" t="str">
        <f t="shared" si="9"/>
        <v/>
      </c>
      <c r="N314" s="54" t="str">
        <f>IF($B314="","",IFERROR(INDEX(tblEstados[Acción],MATCH($C314,tblEstados[Estado],0)),""))</f>
        <v/>
      </c>
      <c r="O314" s="60" t="str">
        <f>IF($B314="","",INDEX(tblStock[UltimoMov],'91_KPIS'!$Q314))</f>
        <v/>
      </c>
    </row>
    <row r="315" spans="2:15" x14ac:dyDescent="0.25">
      <c r="B315" s="62" t="str">
        <f>IF('91_KPIS'!$Q315="","",'91_KPIS'!$O315)</f>
        <v/>
      </c>
      <c r="C315" s="58" t="str">
        <f>IF($B315="","",INDEX(tblStock[Estado],'91_KPIS'!$Q315))</f>
        <v/>
      </c>
      <c r="D315" s="53" t="str">
        <f>IF($B315="","",INDEX(tblStock[SKU],'91_KPIS'!$Q315))</f>
        <v/>
      </c>
      <c r="E315" s="54" t="str">
        <f>IF($B315="","",INDEX(tblStock[Producto],'91_KPIS'!$Q315))</f>
        <v/>
      </c>
      <c r="F315" s="54" t="str">
        <f>IF($B315="","",INDEX(tblStock[Categoría],'91_KPIS'!$Q315))</f>
        <v/>
      </c>
      <c r="G315" s="54" t="str">
        <f>IF($B315="","",INDEX(tblStock[Proveedor],'91_KPIS'!$Q315)&amp;"")</f>
        <v/>
      </c>
      <c r="H315" s="56" t="str">
        <f>IF($B315="","",INDEX(tblStock[StockActual],'91_KPIS'!$Q315))</f>
        <v/>
      </c>
      <c r="I315" s="55" t="str">
        <f>IF($B315="","",INDEX(tblStock[StockMin],'91_KPIS'!$Q315))</f>
        <v/>
      </c>
      <c r="J315" s="55" t="str">
        <f>IF($B315="","",INDEX(tblStock[StockMax],'91_KPIS'!$Q315))</f>
        <v/>
      </c>
      <c r="K315" s="53" t="str">
        <f>IF($B315="","",INDEX(tblStock[Unidad],'91_KPIS'!$Q315))</f>
        <v/>
      </c>
      <c r="L315" s="55" t="str">
        <f t="shared" si="8"/>
        <v/>
      </c>
      <c r="M315" s="55" t="str">
        <f t="shared" si="9"/>
        <v/>
      </c>
      <c r="N315" s="54" t="str">
        <f>IF($B315="","",IFERROR(INDEX(tblEstados[Acción],MATCH($C315,tblEstados[Estado],0)),""))</f>
        <v/>
      </c>
      <c r="O315" s="60" t="str">
        <f>IF($B315="","",INDEX(tblStock[UltimoMov],'91_KPIS'!$Q315))</f>
        <v/>
      </c>
    </row>
    <row r="316" spans="2:15" x14ac:dyDescent="0.25">
      <c r="B316" s="62" t="str">
        <f>IF('91_KPIS'!$Q316="","",'91_KPIS'!$O316)</f>
        <v/>
      </c>
      <c r="C316" s="58" t="str">
        <f>IF($B316="","",INDEX(tblStock[Estado],'91_KPIS'!$Q316))</f>
        <v/>
      </c>
      <c r="D316" s="53" t="str">
        <f>IF($B316="","",INDEX(tblStock[SKU],'91_KPIS'!$Q316))</f>
        <v/>
      </c>
      <c r="E316" s="54" t="str">
        <f>IF($B316="","",INDEX(tblStock[Producto],'91_KPIS'!$Q316))</f>
        <v/>
      </c>
      <c r="F316" s="54" t="str">
        <f>IF($B316="","",INDEX(tblStock[Categoría],'91_KPIS'!$Q316))</f>
        <v/>
      </c>
      <c r="G316" s="54" t="str">
        <f>IF($B316="","",INDEX(tblStock[Proveedor],'91_KPIS'!$Q316)&amp;"")</f>
        <v/>
      </c>
      <c r="H316" s="56" t="str">
        <f>IF($B316="","",INDEX(tblStock[StockActual],'91_KPIS'!$Q316))</f>
        <v/>
      </c>
      <c r="I316" s="55" t="str">
        <f>IF($B316="","",INDEX(tblStock[StockMin],'91_KPIS'!$Q316))</f>
        <v/>
      </c>
      <c r="J316" s="55" t="str">
        <f>IF($B316="","",INDEX(tblStock[StockMax],'91_KPIS'!$Q316))</f>
        <v/>
      </c>
      <c r="K316" s="53" t="str">
        <f>IF($B316="","",INDEX(tblStock[Unidad],'91_KPIS'!$Q316))</f>
        <v/>
      </c>
      <c r="L316" s="55" t="str">
        <f t="shared" si="8"/>
        <v/>
      </c>
      <c r="M316" s="55" t="str">
        <f t="shared" si="9"/>
        <v/>
      </c>
      <c r="N316" s="54" t="str">
        <f>IF($B316="","",IFERROR(INDEX(tblEstados[Acción],MATCH($C316,tblEstados[Estado],0)),""))</f>
        <v/>
      </c>
      <c r="O316" s="60" t="str">
        <f>IF($B316="","",INDEX(tblStock[UltimoMov],'91_KPIS'!$Q316))</f>
        <v/>
      </c>
    </row>
    <row r="317" spans="2:15" x14ac:dyDescent="0.25">
      <c r="B317" s="62" t="str">
        <f>IF('91_KPIS'!$Q317="","",'91_KPIS'!$O317)</f>
        <v/>
      </c>
      <c r="C317" s="58" t="str">
        <f>IF($B317="","",INDEX(tblStock[Estado],'91_KPIS'!$Q317))</f>
        <v/>
      </c>
      <c r="D317" s="53" t="str">
        <f>IF($B317="","",INDEX(tblStock[SKU],'91_KPIS'!$Q317))</f>
        <v/>
      </c>
      <c r="E317" s="54" t="str">
        <f>IF($B317="","",INDEX(tblStock[Producto],'91_KPIS'!$Q317))</f>
        <v/>
      </c>
      <c r="F317" s="54" t="str">
        <f>IF($B317="","",INDEX(tblStock[Categoría],'91_KPIS'!$Q317))</f>
        <v/>
      </c>
      <c r="G317" s="54" t="str">
        <f>IF($B317="","",INDEX(tblStock[Proveedor],'91_KPIS'!$Q317)&amp;"")</f>
        <v/>
      </c>
      <c r="H317" s="56" t="str">
        <f>IF($B317="","",INDEX(tblStock[StockActual],'91_KPIS'!$Q317))</f>
        <v/>
      </c>
      <c r="I317" s="55" t="str">
        <f>IF($B317="","",INDEX(tblStock[StockMin],'91_KPIS'!$Q317))</f>
        <v/>
      </c>
      <c r="J317" s="55" t="str">
        <f>IF($B317="","",INDEX(tblStock[StockMax],'91_KPIS'!$Q317))</f>
        <v/>
      </c>
      <c r="K317" s="53" t="str">
        <f>IF($B317="","",INDEX(tblStock[Unidad],'91_KPIS'!$Q317))</f>
        <v/>
      </c>
      <c r="L317" s="55" t="str">
        <f t="shared" si="8"/>
        <v/>
      </c>
      <c r="M317" s="55" t="str">
        <f t="shared" si="9"/>
        <v/>
      </c>
      <c r="N317" s="54" t="str">
        <f>IF($B317="","",IFERROR(INDEX(tblEstados[Acción],MATCH($C317,tblEstados[Estado],0)),""))</f>
        <v/>
      </c>
      <c r="O317" s="60" t="str">
        <f>IF($B317="","",INDEX(tblStock[UltimoMov],'91_KPIS'!$Q317))</f>
        <v/>
      </c>
    </row>
    <row r="318" spans="2:15" x14ac:dyDescent="0.25">
      <c r="B318" s="62" t="str">
        <f>IF('91_KPIS'!$Q318="","",'91_KPIS'!$O318)</f>
        <v/>
      </c>
      <c r="C318" s="58" t="str">
        <f>IF($B318="","",INDEX(tblStock[Estado],'91_KPIS'!$Q318))</f>
        <v/>
      </c>
      <c r="D318" s="53" t="str">
        <f>IF($B318="","",INDEX(tblStock[SKU],'91_KPIS'!$Q318))</f>
        <v/>
      </c>
      <c r="E318" s="54" t="str">
        <f>IF($B318="","",INDEX(tblStock[Producto],'91_KPIS'!$Q318))</f>
        <v/>
      </c>
      <c r="F318" s="54" t="str">
        <f>IF($B318="","",INDEX(tblStock[Categoría],'91_KPIS'!$Q318))</f>
        <v/>
      </c>
      <c r="G318" s="54" t="str">
        <f>IF($B318="","",INDEX(tblStock[Proveedor],'91_KPIS'!$Q318)&amp;"")</f>
        <v/>
      </c>
      <c r="H318" s="56" t="str">
        <f>IF($B318="","",INDEX(tblStock[StockActual],'91_KPIS'!$Q318))</f>
        <v/>
      </c>
      <c r="I318" s="55" t="str">
        <f>IF($B318="","",INDEX(tblStock[StockMin],'91_KPIS'!$Q318))</f>
        <v/>
      </c>
      <c r="J318" s="55" t="str">
        <f>IF($B318="","",INDEX(tblStock[StockMax],'91_KPIS'!$Q318))</f>
        <v/>
      </c>
      <c r="K318" s="53" t="str">
        <f>IF($B318="","",INDEX(tblStock[Unidad],'91_KPIS'!$Q318))</f>
        <v/>
      </c>
      <c r="L318" s="55" t="str">
        <f t="shared" si="8"/>
        <v/>
      </c>
      <c r="M318" s="55" t="str">
        <f t="shared" si="9"/>
        <v/>
      </c>
      <c r="N318" s="54" t="str">
        <f>IF($B318="","",IFERROR(INDEX(tblEstados[Acción],MATCH($C318,tblEstados[Estado],0)),""))</f>
        <v/>
      </c>
      <c r="O318" s="60" t="str">
        <f>IF($B318="","",INDEX(tblStock[UltimoMov],'91_KPIS'!$Q318))</f>
        <v/>
      </c>
    </row>
    <row r="319" spans="2:15" x14ac:dyDescent="0.25">
      <c r="B319" s="62" t="str">
        <f>IF('91_KPIS'!$Q319="","",'91_KPIS'!$O319)</f>
        <v/>
      </c>
      <c r="C319" s="58" t="str">
        <f>IF($B319="","",INDEX(tblStock[Estado],'91_KPIS'!$Q319))</f>
        <v/>
      </c>
      <c r="D319" s="53" t="str">
        <f>IF($B319="","",INDEX(tblStock[SKU],'91_KPIS'!$Q319))</f>
        <v/>
      </c>
      <c r="E319" s="54" t="str">
        <f>IF($B319="","",INDEX(tblStock[Producto],'91_KPIS'!$Q319))</f>
        <v/>
      </c>
      <c r="F319" s="54" t="str">
        <f>IF($B319="","",INDEX(tblStock[Categoría],'91_KPIS'!$Q319))</f>
        <v/>
      </c>
      <c r="G319" s="54" t="str">
        <f>IF($B319="","",INDEX(tblStock[Proveedor],'91_KPIS'!$Q319)&amp;"")</f>
        <v/>
      </c>
      <c r="H319" s="56" t="str">
        <f>IF($B319="","",INDEX(tblStock[StockActual],'91_KPIS'!$Q319))</f>
        <v/>
      </c>
      <c r="I319" s="55" t="str">
        <f>IF($B319="","",INDEX(tblStock[StockMin],'91_KPIS'!$Q319))</f>
        <v/>
      </c>
      <c r="J319" s="55" t="str">
        <f>IF($B319="","",INDEX(tblStock[StockMax],'91_KPIS'!$Q319))</f>
        <v/>
      </c>
      <c r="K319" s="53" t="str">
        <f>IF($B319="","",INDEX(tblStock[Unidad],'91_KPIS'!$Q319))</f>
        <v/>
      </c>
      <c r="L319" s="55" t="str">
        <f t="shared" si="8"/>
        <v/>
      </c>
      <c r="M319" s="55" t="str">
        <f t="shared" si="9"/>
        <v/>
      </c>
      <c r="N319" s="54" t="str">
        <f>IF($B319="","",IFERROR(INDEX(tblEstados[Acción],MATCH($C319,tblEstados[Estado],0)),""))</f>
        <v/>
      </c>
      <c r="O319" s="60" t="str">
        <f>IF($B319="","",INDEX(tblStock[UltimoMov],'91_KPIS'!$Q319))</f>
        <v/>
      </c>
    </row>
    <row r="320" spans="2:15" x14ac:dyDescent="0.25">
      <c r="B320" s="62" t="str">
        <f>IF('91_KPIS'!$Q320="","",'91_KPIS'!$O320)</f>
        <v/>
      </c>
      <c r="C320" s="58" t="str">
        <f>IF($B320="","",INDEX(tblStock[Estado],'91_KPIS'!$Q320))</f>
        <v/>
      </c>
      <c r="D320" s="53" t="str">
        <f>IF($B320="","",INDEX(tblStock[SKU],'91_KPIS'!$Q320))</f>
        <v/>
      </c>
      <c r="E320" s="54" t="str">
        <f>IF($B320="","",INDEX(tblStock[Producto],'91_KPIS'!$Q320))</f>
        <v/>
      </c>
      <c r="F320" s="54" t="str">
        <f>IF($B320="","",INDEX(tblStock[Categoría],'91_KPIS'!$Q320))</f>
        <v/>
      </c>
      <c r="G320" s="54" t="str">
        <f>IF($B320="","",INDEX(tblStock[Proveedor],'91_KPIS'!$Q320)&amp;"")</f>
        <v/>
      </c>
      <c r="H320" s="56" t="str">
        <f>IF($B320="","",INDEX(tblStock[StockActual],'91_KPIS'!$Q320))</f>
        <v/>
      </c>
      <c r="I320" s="55" t="str">
        <f>IF($B320="","",INDEX(tblStock[StockMin],'91_KPIS'!$Q320))</f>
        <v/>
      </c>
      <c r="J320" s="55" t="str">
        <f>IF($B320="","",INDEX(tblStock[StockMax],'91_KPIS'!$Q320))</f>
        <v/>
      </c>
      <c r="K320" s="53" t="str">
        <f>IF($B320="","",INDEX(tblStock[Unidad],'91_KPIS'!$Q320))</f>
        <v/>
      </c>
      <c r="L320" s="55" t="str">
        <f t="shared" si="8"/>
        <v/>
      </c>
      <c r="M320" s="55" t="str">
        <f t="shared" si="9"/>
        <v/>
      </c>
      <c r="N320" s="54" t="str">
        <f>IF($B320="","",IFERROR(INDEX(tblEstados[Acción],MATCH($C320,tblEstados[Estado],0)),""))</f>
        <v/>
      </c>
      <c r="O320" s="60" t="str">
        <f>IF($B320="","",INDEX(tblStock[UltimoMov],'91_KPIS'!$Q320))</f>
        <v/>
      </c>
    </row>
    <row r="321" spans="2:15" x14ac:dyDescent="0.25">
      <c r="B321" s="62" t="str">
        <f>IF('91_KPIS'!$Q321="","",'91_KPIS'!$O321)</f>
        <v/>
      </c>
      <c r="C321" s="58" t="str">
        <f>IF($B321="","",INDEX(tblStock[Estado],'91_KPIS'!$Q321))</f>
        <v/>
      </c>
      <c r="D321" s="53" t="str">
        <f>IF($B321="","",INDEX(tblStock[SKU],'91_KPIS'!$Q321))</f>
        <v/>
      </c>
      <c r="E321" s="54" t="str">
        <f>IF($B321="","",INDEX(tblStock[Producto],'91_KPIS'!$Q321))</f>
        <v/>
      </c>
      <c r="F321" s="54" t="str">
        <f>IF($B321="","",INDEX(tblStock[Categoría],'91_KPIS'!$Q321))</f>
        <v/>
      </c>
      <c r="G321" s="54" t="str">
        <f>IF($B321="","",INDEX(tblStock[Proveedor],'91_KPIS'!$Q321)&amp;"")</f>
        <v/>
      </c>
      <c r="H321" s="56" t="str">
        <f>IF($B321="","",INDEX(tblStock[StockActual],'91_KPIS'!$Q321))</f>
        <v/>
      </c>
      <c r="I321" s="55" t="str">
        <f>IF($B321="","",INDEX(tblStock[StockMin],'91_KPIS'!$Q321))</f>
        <v/>
      </c>
      <c r="J321" s="55" t="str">
        <f>IF($B321="","",INDEX(tblStock[StockMax],'91_KPIS'!$Q321))</f>
        <v/>
      </c>
      <c r="K321" s="53" t="str">
        <f>IF($B321="","",INDEX(tblStock[Unidad],'91_KPIS'!$Q321))</f>
        <v/>
      </c>
      <c r="L321" s="55" t="str">
        <f t="shared" si="8"/>
        <v/>
      </c>
      <c r="M321" s="55" t="str">
        <f t="shared" si="9"/>
        <v/>
      </c>
      <c r="N321" s="54" t="str">
        <f>IF($B321="","",IFERROR(INDEX(tblEstados[Acción],MATCH($C321,tblEstados[Estado],0)),""))</f>
        <v/>
      </c>
      <c r="O321" s="60" t="str">
        <f>IF($B321="","",INDEX(tblStock[UltimoMov],'91_KPIS'!$Q321))</f>
        <v/>
      </c>
    </row>
    <row r="322" spans="2:15" x14ac:dyDescent="0.25">
      <c r="B322" s="62" t="str">
        <f>IF('91_KPIS'!$Q322="","",'91_KPIS'!$O322)</f>
        <v/>
      </c>
      <c r="C322" s="58" t="str">
        <f>IF($B322="","",INDEX(tblStock[Estado],'91_KPIS'!$Q322))</f>
        <v/>
      </c>
      <c r="D322" s="53" t="str">
        <f>IF($B322="","",INDEX(tblStock[SKU],'91_KPIS'!$Q322))</f>
        <v/>
      </c>
      <c r="E322" s="54" t="str">
        <f>IF($B322="","",INDEX(tblStock[Producto],'91_KPIS'!$Q322))</f>
        <v/>
      </c>
      <c r="F322" s="54" t="str">
        <f>IF($B322="","",INDEX(tblStock[Categoría],'91_KPIS'!$Q322))</f>
        <v/>
      </c>
      <c r="G322" s="54" t="str">
        <f>IF($B322="","",INDEX(tblStock[Proveedor],'91_KPIS'!$Q322)&amp;"")</f>
        <v/>
      </c>
      <c r="H322" s="56" t="str">
        <f>IF($B322="","",INDEX(tblStock[StockActual],'91_KPIS'!$Q322))</f>
        <v/>
      </c>
      <c r="I322" s="55" t="str">
        <f>IF($B322="","",INDEX(tblStock[StockMin],'91_KPIS'!$Q322))</f>
        <v/>
      </c>
      <c r="J322" s="55" t="str">
        <f>IF($B322="","",INDEX(tblStock[StockMax],'91_KPIS'!$Q322))</f>
        <v/>
      </c>
      <c r="K322" s="53" t="str">
        <f>IF($B322="","",INDEX(tblStock[Unidad],'91_KPIS'!$Q322))</f>
        <v/>
      </c>
      <c r="L322" s="55" t="str">
        <f t="shared" si="8"/>
        <v/>
      </c>
      <c r="M322" s="55" t="str">
        <f t="shared" si="9"/>
        <v/>
      </c>
      <c r="N322" s="54" t="str">
        <f>IF($B322="","",IFERROR(INDEX(tblEstados[Acción],MATCH($C322,tblEstados[Estado],0)),""))</f>
        <v/>
      </c>
      <c r="O322" s="60" t="str">
        <f>IF($B322="","",INDEX(tblStock[UltimoMov],'91_KPIS'!$Q322))</f>
        <v/>
      </c>
    </row>
    <row r="323" spans="2:15" x14ac:dyDescent="0.25">
      <c r="B323" s="62" t="str">
        <f>IF('91_KPIS'!$Q323="","",'91_KPIS'!$O323)</f>
        <v/>
      </c>
      <c r="C323" s="58" t="str">
        <f>IF($B323="","",INDEX(tblStock[Estado],'91_KPIS'!$Q323))</f>
        <v/>
      </c>
      <c r="D323" s="53" t="str">
        <f>IF($B323="","",INDEX(tblStock[SKU],'91_KPIS'!$Q323))</f>
        <v/>
      </c>
      <c r="E323" s="54" t="str">
        <f>IF($B323="","",INDEX(tblStock[Producto],'91_KPIS'!$Q323))</f>
        <v/>
      </c>
      <c r="F323" s="54" t="str">
        <f>IF($B323="","",INDEX(tblStock[Categoría],'91_KPIS'!$Q323))</f>
        <v/>
      </c>
      <c r="G323" s="54" t="str">
        <f>IF($B323="","",INDEX(tblStock[Proveedor],'91_KPIS'!$Q323)&amp;"")</f>
        <v/>
      </c>
      <c r="H323" s="56" t="str">
        <f>IF($B323="","",INDEX(tblStock[StockActual],'91_KPIS'!$Q323))</f>
        <v/>
      </c>
      <c r="I323" s="55" t="str">
        <f>IF($B323="","",INDEX(tblStock[StockMin],'91_KPIS'!$Q323))</f>
        <v/>
      </c>
      <c r="J323" s="55" t="str">
        <f>IF($B323="","",INDEX(tblStock[StockMax],'91_KPIS'!$Q323))</f>
        <v/>
      </c>
      <c r="K323" s="53" t="str">
        <f>IF($B323="","",INDEX(tblStock[Unidad],'91_KPIS'!$Q323))</f>
        <v/>
      </c>
      <c r="L323" s="55" t="str">
        <f t="shared" si="8"/>
        <v/>
      </c>
      <c r="M323" s="55" t="str">
        <f t="shared" si="9"/>
        <v/>
      </c>
      <c r="N323" s="54" t="str">
        <f>IF($B323="","",IFERROR(INDEX(tblEstados[Acción],MATCH($C323,tblEstados[Estado],0)),""))</f>
        <v/>
      </c>
      <c r="O323" s="60" t="str">
        <f>IF($B323="","",INDEX(tblStock[UltimoMov],'91_KPIS'!$Q323))</f>
        <v/>
      </c>
    </row>
    <row r="324" spans="2:15" x14ac:dyDescent="0.25">
      <c r="B324" s="62" t="str">
        <f>IF('91_KPIS'!$Q324="","",'91_KPIS'!$O324)</f>
        <v/>
      </c>
      <c r="C324" s="58" t="str">
        <f>IF($B324="","",INDEX(tblStock[Estado],'91_KPIS'!$Q324))</f>
        <v/>
      </c>
      <c r="D324" s="53" t="str">
        <f>IF($B324="","",INDEX(tblStock[SKU],'91_KPIS'!$Q324))</f>
        <v/>
      </c>
      <c r="E324" s="54" t="str">
        <f>IF($B324="","",INDEX(tblStock[Producto],'91_KPIS'!$Q324))</f>
        <v/>
      </c>
      <c r="F324" s="54" t="str">
        <f>IF($B324="","",INDEX(tblStock[Categoría],'91_KPIS'!$Q324))</f>
        <v/>
      </c>
      <c r="G324" s="54" t="str">
        <f>IF($B324="","",INDEX(tblStock[Proveedor],'91_KPIS'!$Q324)&amp;"")</f>
        <v/>
      </c>
      <c r="H324" s="56" t="str">
        <f>IF($B324="","",INDEX(tblStock[StockActual],'91_KPIS'!$Q324))</f>
        <v/>
      </c>
      <c r="I324" s="55" t="str">
        <f>IF($B324="","",INDEX(tblStock[StockMin],'91_KPIS'!$Q324))</f>
        <v/>
      </c>
      <c r="J324" s="55" t="str">
        <f>IF($B324="","",INDEX(tblStock[StockMax],'91_KPIS'!$Q324))</f>
        <v/>
      </c>
      <c r="K324" s="53" t="str">
        <f>IF($B324="","",INDEX(tblStock[Unidad],'91_KPIS'!$Q324))</f>
        <v/>
      </c>
      <c r="L324" s="55" t="str">
        <f t="shared" si="8"/>
        <v/>
      </c>
      <c r="M324" s="55" t="str">
        <f t="shared" si="9"/>
        <v/>
      </c>
      <c r="N324" s="54" t="str">
        <f>IF($B324="","",IFERROR(INDEX(tblEstados[Acción],MATCH($C324,tblEstados[Estado],0)),""))</f>
        <v/>
      </c>
      <c r="O324" s="60" t="str">
        <f>IF($B324="","",INDEX(tblStock[UltimoMov],'91_KPIS'!$Q324))</f>
        <v/>
      </c>
    </row>
    <row r="325" spans="2:15" x14ac:dyDescent="0.25">
      <c r="B325" s="62" t="str">
        <f>IF('91_KPIS'!$Q325="","",'91_KPIS'!$O325)</f>
        <v/>
      </c>
      <c r="C325" s="58" t="str">
        <f>IF($B325="","",INDEX(tblStock[Estado],'91_KPIS'!$Q325))</f>
        <v/>
      </c>
      <c r="D325" s="53" t="str">
        <f>IF($B325="","",INDEX(tblStock[SKU],'91_KPIS'!$Q325))</f>
        <v/>
      </c>
      <c r="E325" s="54" t="str">
        <f>IF($B325="","",INDEX(tblStock[Producto],'91_KPIS'!$Q325))</f>
        <v/>
      </c>
      <c r="F325" s="54" t="str">
        <f>IF($B325="","",INDEX(tblStock[Categoría],'91_KPIS'!$Q325))</f>
        <v/>
      </c>
      <c r="G325" s="54" t="str">
        <f>IF($B325="","",INDEX(tblStock[Proveedor],'91_KPIS'!$Q325)&amp;"")</f>
        <v/>
      </c>
      <c r="H325" s="56" t="str">
        <f>IF($B325="","",INDEX(tblStock[StockActual],'91_KPIS'!$Q325))</f>
        <v/>
      </c>
      <c r="I325" s="55" t="str">
        <f>IF($B325="","",INDEX(tblStock[StockMin],'91_KPIS'!$Q325))</f>
        <v/>
      </c>
      <c r="J325" s="55" t="str">
        <f>IF($B325="","",INDEX(tblStock[StockMax],'91_KPIS'!$Q325))</f>
        <v/>
      </c>
      <c r="K325" s="53" t="str">
        <f>IF($B325="","",INDEX(tblStock[Unidad],'91_KPIS'!$Q325))</f>
        <v/>
      </c>
      <c r="L325" s="55" t="str">
        <f t="shared" si="8"/>
        <v/>
      </c>
      <c r="M325" s="55" t="str">
        <f t="shared" si="9"/>
        <v/>
      </c>
      <c r="N325" s="54" t="str">
        <f>IF($B325="","",IFERROR(INDEX(tblEstados[Acción],MATCH($C325,tblEstados[Estado],0)),""))</f>
        <v/>
      </c>
      <c r="O325" s="60" t="str">
        <f>IF($B325="","",INDEX(tblStock[UltimoMov],'91_KPIS'!$Q325))</f>
        <v/>
      </c>
    </row>
    <row r="326" spans="2:15" x14ac:dyDescent="0.25">
      <c r="B326" s="62" t="str">
        <f>IF('91_KPIS'!$Q326="","",'91_KPIS'!$O326)</f>
        <v/>
      </c>
      <c r="C326" s="58" t="str">
        <f>IF($B326="","",INDEX(tblStock[Estado],'91_KPIS'!$Q326))</f>
        <v/>
      </c>
      <c r="D326" s="53" t="str">
        <f>IF($B326="","",INDEX(tblStock[SKU],'91_KPIS'!$Q326))</f>
        <v/>
      </c>
      <c r="E326" s="54" t="str">
        <f>IF($B326="","",INDEX(tblStock[Producto],'91_KPIS'!$Q326))</f>
        <v/>
      </c>
      <c r="F326" s="54" t="str">
        <f>IF($B326="","",INDEX(tblStock[Categoría],'91_KPIS'!$Q326))</f>
        <v/>
      </c>
      <c r="G326" s="54" t="str">
        <f>IF($B326="","",INDEX(tblStock[Proveedor],'91_KPIS'!$Q326)&amp;"")</f>
        <v/>
      </c>
      <c r="H326" s="56" t="str">
        <f>IF($B326="","",INDEX(tblStock[StockActual],'91_KPIS'!$Q326))</f>
        <v/>
      </c>
      <c r="I326" s="55" t="str">
        <f>IF($B326="","",INDEX(tblStock[StockMin],'91_KPIS'!$Q326))</f>
        <v/>
      </c>
      <c r="J326" s="55" t="str">
        <f>IF($B326="","",INDEX(tblStock[StockMax],'91_KPIS'!$Q326))</f>
        <v/>
      </c>
      <c r="K326" s="53" t="str">
        <f>IF($B326="","",INDEX(tblStock[Unidad],'91_KPIS'!$Q326))</f>
        <v/>
      </c>
      <c r="L326" s="55" t="str">
        <f t="shared" si="8"/>
        <v/>
      </c>
      <c r="M326" s="55" t="str">
        <f t="shared" si="9"/>
        <v/>
      </c>
      <c r="N326" s="54" t="str">
        <f>IF($B326="","",IFERROR(INDEX(tblEstados[Acción],MATCH($C326,tblEstados[Estado],0)),""))</f>
        <v/>
      </c>
      <c r="O326" s="60" t="str">
        <f>IF($B326="","",INDEX(tblStock[UltimoMov],'91_KPIS'!$Q326))</f>
        <v/>
      </c>
    </row>
    <row r="327" spans="2:15" x14ac:dyDescent="0.25">
      <c r="B327" s="62" t="str">
        <f>IF('91_KPIS'!$Q327="","",'91_KPIS'!$O327)</f>
        <v/>
      </c>
      <c r="C327" s="58" t="str">
        <f>IF($B327="","",INDEX(tblStock[Estado],'91_KPIS'!$Q327))</f>
        <v/>
      </c>
      <c r="D327" s="53" t="str">
        <f>IF($B327="","",INDEX(tblStock[SKU],'91_KPIS'!$Q327))</f>
        <v/>
      </c>
      <c r="E327" s="54" t="str">
        <f>IF($B327="","",INDEX(tblStock[Producto],'91_KPIS'!$Q327))</f>
        <v/>
      </c>
      <c r="F327" s="54" t="str">
        <f>IF($B327="","",INDEX(tblStock[Categoría],'91_KPIS'!$Q327))</f>
        <v/>
      </c>
      <c r="G327" s="54" t="str">
        <f>IF($B327="","",INDEX(tblStock[Proveedor],'91_KPIS'!$Q327)&amp;"")</f>
        <v/>
      </c>
      <c r="H327" s="56" t="str">
        <f>IF($B327="","",INDEX(tblStock[StockActual],'91_KPIS'!$Q327))</f>
        <v/>
      </c>
      <c r="I327" s="55" t="str">
        <f>IF($B327="","",INDEX(tblStock[StockMin],'91_KPIS'!$Q327))</f>
        <v/>
      </c>
      <c r="J327" s="55" t="str">
        <f>IF($B327="","",INDEX(tblStock[StockMax],'91_KPIS'!$Q327))</f>
        <v/>
      </c>
      <c r="K327" s="53" t="str">
        <f>IF($B327="","",INDEX(tblStock[Unidad],'91_KPIS'!$Q327))</f>
        <v/>
      </c>
      <c r="L327" s="55" t="str">
        <f t="shared" si="8"/>
        <v/>
      </c>
      <c r="M327" s="55" t="str">
        <f t="shared" si="9"/>
        <v/>
      </c>
      <c r="N327" s="54" t="str">
        <f>IF($B327="","",IFERROR(INDEX(tblEstados[Acción],MATCH($C327,tblEstados[Estado],0)),""))</f>
        <v/>
      </c>
      <c r="O327" s="60" t="str">
        <f>IF($B327="","",INDEX(tblStock[UltimoMov],'91_KPIS'!$Q327))</f>
        <v/>
      </c>
    </row>
    <row r="328" spans="2:15" x14ac:dyDescent="0.25">
      <c r="B328" s="62" t="str">
        <f>IF('91_KPIS'!$Q328="","",'91_KPIS'!$O328)</f>
        <v/>
      </c>
      <c r="C328" s="58" t="str">
        <f>IF($B328="","",INDEX(tblStock[Estado],'91_KPIS'!$Q328))</f>
        <v/>
      </c>
      <c r="D328" s="53" t="str">
        <f>IF($B328="","",INDEX(tblStock[SKU],'91_KPIS'!$Q328))</f>
        <v/>
      </c>
      <c r="E328" s="54" t="str">
        <f>IF($B328="","",INDEX(tblStock[Producto],'91_KPIS'!$Q328))</f>
        <v/>
      </c>
      <c r="F328" s="54" t="str">
        <f>IF($B328="","",INDEX(tblStock[Categoría],'91_KPIS'!$Q328))</f>
        <v/>
      </c>
      <c r="G328" s="54" t="str">
        <f>IF($B328="","",INDEX(tblStock[Proveedor],'91_KPIS'!$Q328)&amp;"")</f>
        <v/>
      </c>
      <c r="H328" s="56" t="str">
        <f>IF($B328="","",INDEX(tblStock[StockActual],'91_KPIS'!$Q328))</f>
        <v/>
      </c>
      <c r="I328" s="55" t="str">
        <f>IF($B328="","",INDEX(tblStock[StockMin],'91_KPIS'!$Q328))</f>
        <v/>
      </c>
      <c r="J328" s="55" t="str">
        <f>IF($B328="","",INDEX(tblStock[StockMax],'91_KPIS'!$Q328))</f>
        <v/>
      </c>
      <c r="K328" s="53" t="str">
        <f>IF($B328="","",INDEX(tblStock[Unidad],'91_KPIS'!$Q328))</f>
        <v/>
      </c>
      <c r="L328" s="55" t="str">
        <f t="shared" ref="L328:L391" si="10">IF($B328="","",MAX(0,$I328-$H328))</f>
        <v/>
      </c>
      <c r="M328" s="55" t="str">
        <f t="shared" ref="M328:M391" si="11">IF($B328="","",IF(OR($C328="SOBRESTOCK",$C328="INCONSISTENTE"),0,MAX(0,IF($J328&gt;0,$J328,2*$I328)-MAX(0,$H328))))</f>
        <v/>
      </c>
      <c r="N328" s="54" t="str">
        <f>IF($B328="","",IFERROR(INDEX(tblEstados[Acción],MATCH($C328,tblEstados[Estado],0)),""))</f>
        <v/>
      </c>
      <c r="O328" s="60" t="str">
        <f>IF($B328="","",INDEX(tblStock[UltimoMov],'91_KPIS'!$Q328))</f>
        <v/>
      </c>
    </row>
    <row r="329" spans="2:15" x14ac:dyDescent="0.25">
      <c r="B329" s="62" t="str">
        <f>IF('91_KPIS'!$Q329="","",'91_KPIS'!$O329)</f>
        <v/>
      </c>
      <c r="C329" s="58" t="str">
        <f>IF($B329="","",INDEX(tblStock[Estado],'91_KPIS'!$Q329))</f>
        <v/>
      </c>
      <c r="D329" s="53" t="str">
        <f>IF($B329="","",INDEX(tblStock[SKU],'91_KPIS'!$Q329))</f>
        <v/>
      </c>
      <c r="E329" s="54" t="str">
        <f>IF($B329="","",INDEX(tblStock[Producto],'91_KPIS'!$Q329))</f>
        <v/>
      </c>
      <c r="F329" s="54" t="str">
        <f>IF($B329="","",INDEX(tblStock[Categoría],'91_KPIS'!$Q329))</f>
        <v/>
      </c>
      <c r="G329" s="54" t="str">
        <f>IF($B329="","",INDEX(tblStock[Proveedor],'91_KPIS'!$Q329)&amp;"")</f>
        <v/>
      </c>
      <c r="H329" s="56" t="str">
        <f>IF($B329="","",INDEX(tblStock[StockActual],'91_KPIS'!$Q329))</f>
        <v/>
      </c>
      <c r="I329" s="55" t="str">
        <f>IF($B329="","",INDEX(tblStock[StockMin],'91_KPIS'!$Q329))</f>
        <v/>
      </c>
      <c r="J329" s="55" t="str">
        <f>IF($B329="","",INDEX(tblStock[StockMax],'91_KPIS'!$Q329))</f>
        <v/>
      </c>
      <c r="K329" s="53" t="str">
        <f>IF($B329="","",INDEX(tblStock[Unidad],'91_KPIS'!$Q329))</f>
        <v/>
      </c>
      <c r="L329" s="55" t="str">
        <f t="shared" si="10"/>
        <v/>
      </c>
      <c r="M329" s="55" t="str">
        <f t="shared" si="11"/>
        <v/>
      </c>
      <c r="N329" s="54" t="str">
        <f>IF($B329="","",IFERROR(INDEX(tblEstados[Acción],MATCH($C329,tblEstados[Estado],0)),""))</f>
        <v/>
      </c>
      <c r="O329" s="60" t="str">
        <f>IF($B329="","",INDEX(tblStock[UltimoMov],'91_KPIS'!$Q329))</f>
        <v/>
      </c>
    </row>
    <row r="330" spans="2:15" x14ac:dyDescent="0.25">
      <c r="B330" s="62" t="str">
        <f>IF('91_KPIS'!$Q330="","",'91_KPIS'!$O330)</f>
        <v/>
      </c>
      <c r="C330" s="58" t="str">
        <f>IF($B330="","",INDEX(tblStock[Estado],'91_KPIS'!$Q330))</f>
        <v/>
      </c>
      <c r="D330" s="53" t="str">
        <f>IF($B330="","",INDEX(tblStock[SKU],'91_KPIS'!$Q330))</f>
        <v/>
      </c>
      <c r="E330" s="54" t="str">
        <f>IF($B330="","",INDEX(tblStock[Producto],'91_KPIS'!$Q330))</f>
        <v/>
      </c>
      <c r="F330" s="54" t="str">
        <f>IF($B330="","",INDEX(tblStock[Categoría],'91_KPIS'!$Q330))</f>
        <v/>
      </c>
      <c r="G330" s="54" t="str">
        <f>IF($B330="","",INDEX(tblStock[Proveedor],'91_KPIS'!$Q330)&amp;"")</f>
        <v/>
      </c>
      <c r="H330" s="56" t="str">
        <f>IF($B330="","",INDEX(tblStock[StockActual],'91_KPIS'!$Q330))</f>
        <v/>
      </c>
      <c r="I330" s="55" t="str">
        <f>IF($B330="","",INDEX(tblStock[StockMin],'91_KPIS'!$Q330))</f>
        <v/>
      </c>
      <c r="J330" s="55" t="str">
        <f>IF($B330="","",INDEX(tblStock[StockMax],'91_KPIS'!$Q330))</f>
        <v/>
      </c>
      <c r="K330" s="53" t="str">
        <f>IF($B330="","",INDEX(tblStock[Unidad],'91_KPIS'!$Q330))</f>
        <v/>
      </c>
      <c r="L330" s="55" t="str">
        <f t="shared" si="10"/>
        <v/>
      </c>
      <c r="M330" s="55" t="str">
        <f t="shared" si="11"/>
        <v/>
      </c>
      <c r="N330" s="54" t="str">
        <f>IF($B330="","",IFERROR(INDEX(tblEstados[Acción],MATCH($C330,tblEstados[Estado],0)),""))</f>
        <v/>
      </c>
      <c r="O330" s="60" t="str">
        <f>IF($B330="","",INDEX(tblStock[UltimoMov],'91_KPIS'!$Q330))</f>
        <v/>
      </c>
    </row>
    <row r="331" spans="2:15" x14ac:dyDescent="0.25">
      <c r="B331" s="62" t="str">
        <f>IF('91_KPIS'!$Q331="","",'91_KPIS'!$O331)</f>
        <v/>
      </c>
      <c r="C331" s="58" t="str">
        <f>IF($B331="","",INDEX(tblStock[Estado],'91_KPIS'!$Q331))</f>
        <v/>
      </c>
      <c r="D331" s="53" t="str">
        <f>IF($B331="","",INDEX(tblStock[SKU],'91_KPIS'!$Q331))</f>
        <v/>
      </c>
      <c r="E331" s="54" t="str">
        <f>IF($B331="","",INDEX(tblStock[Producto],'91_KPIS'!$Q331))</f>
        <v/>
      </c>
      <c r="F331" s="54" t="str">
        <f>IF($B331="","",INDEX(tblStock[Categoría],'91_KPIS'!$Q331))</f>
        <v/>
      </c>
      <c r="G331" s="54" t="str">
        <f>IF($B331="","",INDEX(tblStock[Proveedor],'91_KPIS'!$Q331)&amp;"")</f>
        <v/>
      </c>
      <c r="H331" s="56" t="str">
        <f>IF($B331="","",INDEX(tblStock[StockActual],'91_KPIS'!$Q331))</f>
        <v/>
      </c>
      <c r="I331" s="55" t="str">
        <f>IF($B331="","",INDEX(tblStock[StockMin],'91_KPIS'!$Q331))</f>
        <v/>
      </c>
      <c r="J331" s="55" t="str">
        <f>IF($B331="","",INDEX(tblStock[StockMax],'91_KPIS'!$Q331))</f>
        <v/>
      </c>
      <c r="K331" s="53" t="str">
        <f>IF($B331="","",INDEX(tblStock[Unidad],'91_KPIS'!$Q331))</f>
        <v/>
      </c>
      <c r="L331" s="55" t="str">
        <f t="shared" si="10"/>
        <v/>
      </c>
      <c r="M331" s="55" t="str">
        <f t="shared" si="11"/>
        <v/>
      </c>
      <c r="N331" s="54" t="str">
        <f>IF($B331="","",IFERROR(INDEX(tblEstados[Acción],MATCH($C331,tblEstados[Estado],0)),""))</f>
        <v/>
      </c>
      <c r="O331" s="60" t="str">
        <f>IF($B331="","",INDEX(tblStock[UltimoMov],'91_KPIS'!$Q331))</f>
        <v/>
      </c>
    </row>
    <row r="332" spans="2:15" x14ac:dyDescent="0.25">
      <c r="B332" s="62" t="str">
        <f>IF('91_KPIS'!$Q332="","",'91_KPIS'!$O332)</f>
        <v/>
      </c>
      <c r="C332" s="58" t="str">
        <f>IF($B332="","",INDEX(tblStock[Estado],'91_KPIS'!$Q332))</f>
        <v/>
      </c>
      <c r="D332" s="53" t="str">
        <f>IF($B332="","",INDEX(tblStock[SKU],'91_KPIS'!$Q332))</f>
        <v/>
      </c>
      <c r="E332" s="54" t="str">
        <f>IF($B332="","",INDEX(tblStock[Producto],'91_KPIS'!$Q332))</f>
        <v/>
      </c>
      <c r="F332" s="54" t="str">
        <f>IF($B332="","",INDEX(tblStock[Categoría],'91_KPIS'!$Q332))</f>
        <v/>
      </c>
      <c r="G332" s="54" t="str">
        <f>IF($B332="","",INDEX(tblStock[Proveedor],'91_KPIS'!$Q332)&amp;"")</f>
        <v/>
      </c>
      <c r="H332" s="56" t="str">
        <f>IF($B332="","",INDEX(tblStock[StockActual],'91_KPIS'!$Q332))</f>
        <v/>
      </c>
      <c r="I332" s="55" t="str">
        <f>IF($B332="","",INDEX(tblStock[StockMin],'91_KPIS'!$Q332))</f>
        <v/>
      </c>
      <c r="J332" s="55" t="str">
        <f>IF($B332="","",INDEX(tblStock[StockMax],'91_KPIS'!$Q332))</f>
        <v/>
      </c>
      <c r="K332" s="53" t="str">
        <f>IF($B332="","",INDEX(tblStock[Unidad],'91_KPIS'!$Q332))</f>
        <v/>
      </c>
      <c r="L332" s="55" t="str">
        <f t="shared" si="10"/>
        <v/>
      </c>
      <c r="M332" s="55" t="str">
        <f t="shared" si="11"/>
        <v/>
      </c>
      <c r="N332" s="54" t="str">
        <f>IF($B332="","",IFERROR(INDEX(tblEstados[Acción],MATCH($C332,tblEstados[Estado],0)),""))</f>
        <v/>
      </c>
      <c r="O332" s="60" t="str">
        <f>IF($B332="","",INDEX(tblStock[UltimoMov],'91_KPIS'!$Q332))</f>
        <v/>
      </c>
    </row>
    <row r="333" spans="2:15" x14ac:dyDescent="0.25">
      <c r="B333" s="62" t="str">
        <f>IF('91_KPIS'!$Q333="","",'91_KPIS'!$O333)</f>
        <v/>
      </c>
      <c r="C333" s="58" t="str">
        <f>IF($B333="","",INDEX(tblStock[Estado],'91_KPIS'!$Q333))</f>
        <v/>
      </c>
      <c r="D333" s="53" t="str">
        <f>IF($B333="","",INDEX(tblStock[SKU],'91_KPIS'!$Q333))</f>
        <v/>
      </c>
      <c r="E333" s="54" t="str">
        <f>IF($B333="","",INDEX(tblStock[Producto],'91_KPIS'!$Q333))</f>
        <v/>
      </c>
      <c r="F333" s="54" t="str">
        <f>IF($B333="","",INDEX(tblStock[Categoría],'91_KPIS'!$Q333))</f>
        <v/>
      </c>
      <c r="G333" s="54" t="str">
        <f>IF($B333="","",INDEX(tblStock[Proveedor],'91_KPIS'!$Q333)&amp;"")</f>
        <v/>
      </c>
      <c r="H333" s="56" t="str">
        <f>IF($B333="","",INDEX(tblStock[StockActual],'91_KPIS'!$Q333))</f>
        <v/>
      </c>
      <c r="I333" s="55" t="str">
        <f>IF($B333="","",INDEX(tblStock[StockMin],'91_KPIS'!$Q333))</f>
        <v/>
      </c>
      <c r="J333" s="55" t="str">
        <f>IF($B333="","",INDEX(tblStock[StockMax],'91_KPIS'!$Q333))</f>
        <v/>
      </c>
      <c r="K333" s="53" t="str">
        <f>IF($B333="","",INDEX(tblStock[Unidad],'91_KPIS'!$Q333))</f>
        <v/>
      </c>
      <c r="L333" s="55" t="str">
        <f t="shared" si="10"/>
        <v/>
      </c>
      <c r="M333" s="55" t="str">
        <f t="shared" si="11"/>
        <v/>
      </c>
      <c r="N333" s="54" t="str">
        <f>IF($B333="","",IFERROR(INDEX(tblEstados[Acción],MATCH($C333,tblEstados[Estado],0)),""))</f>
        <v/>
      </c>
      <c r="O333" s="60" t="str">
        <f>IF($B333="","",INDEX(tblStock[UltimoMov],'91_KPIS'!$Q333))</f>
        <v/>
      </c>
    </row>
    <row r="334" spans="2:15" x14ac:dyDescent="0.25">
      <c r="B334" s="62" t="str">
        <f>IF('91_KPIS'!$Q334="","",'91_KPIS'!$O334)</f>
        <v/>
      </c>
      <c r="C334" s="58" t="str">
        <f>IF($B334="","",INDEX(tblStock[Estado],'91_KPIS'!$Q334))</f>
        <v/>
      </c>
      <c r="D334" s="53" t="str">
        <f>IF($B334="","",INDEX(tblStock[SKU],'91_KPIS'!$Q334))</f>
        <v/>
      </c>
      <c r="E334" s="54" t="str">
        <f>IF($B334="","",INDEX(tblStock[Producto],'91_KPIS'!$Q334))</f>
        <v/>
      </c>
      <c r="F334" s="54" t="str">
        <f>IF($B334="","",INDEX(tblStock[Categoría],'91_KPIS'!$Q334))</f>
        <v/>
      </c>
      <c r="G334" s="54" t="str">
        <f>IF($B334="","",INDEX(tblStock[Proveedor],'91_KPIS'!$Q334)&amp;"")</f>
        <v/>
      </c>
      <c r="H334" s="56" t="str">
        <f>IF($B334="","",INDEX(tblStock[StockActual],'91_KPIS'!$Q334))</f>
        <v/>
      </c>
      <c r="I334" s="55" t="str">
        <f>IF($B334="","",INDEX(tblStock[StockMin],'91_KPIS'!$Q334))</f>
        <v/>
      </c>
      <c r="J334" s="55" t="str">
        <f>IF($B334="","",INDEX(tblStock[StockMax],'91_KPIS'!$Q334))</f>
        <v/>
      </c>
      <c r="K334" s="53" t="str">
        <f>IF($B334="","",INDEX(tblStock[Unidad],'91_KPIS'!$Q334))</f>
        <v/>
      </c>
      <c r="L334" s="55" t="str">
        <f t="shared" si="10"/>
        <v/>
      </c>
      <c r="M334" s="55" t="str">
        <f t="shared" si="11"/>
        <v/>
      </c>
      <c r="N334" s="54" t="str">
        <f>IF($B334="","",IFERROR(INDEX(tblEstados[Acción],MATCH($C334,tblEstados[Estado],0)),""))</f>
        <v/>
      </c>
      <c r="O334" s="60" t="str">
        <f>IF($B334="","",INDEX(tblStock[UltimoMov],'91_KPIS'!$Q334))</f>
        <v/>
      </c>
    </row>
    <row r="335" spans="2:15" x14ac:dyDescent="0.25">
      <c r="B335" s="62" t="str">
        <f>IF('91_KPIS'!$Q335="","",'91_KPIS'!$O335)</f>
        <v/>
      </c>
      <c r="C335" s="58" t="str">
        <f>IF($B335="","",INDEX(tblStock[Estado],'91_KPIS'!$Q335))</f>
        <v/>
      </c>
      <c r="D335" s="53" t="str">
        <f>IF($B335="","",INDEX(tblStock[SKU],'91_KPIS'!$Q335))</f>
        <v/>
      </c>
      <c r="E335" s="54" t="str">
        <f>IF($B335="","",INDEX(tblStock[Producto],'91_KPIS'!$Q335))</f>
        <v/>
      </c>
      <c r="F335" s="54" t="str">
        <f>IF($B335="","",INDEX(tblStock[Categoría],'91_KPIS'!$Q335))</f>
        <v/>
      </c>
      <c r="G335" s="54" t="str">
        <f>IF($B335="","",INDEX(tblStock[Proveedor],'91_KPIS'!$Q335)&amp;"")</f>
        <v/>
      </c>
      <c r="H335" s="56" t="str">
        <f>IF($B335="","",INDEX(tblStock[StockActual],'91_KPIS'!$Q335))</f>
        <v/>
      </c>
      <c r="I335" s="55" t="str">
        <f>IF($B335="","",INDEX(tblStock[StockMin],'91_KPIS'!$Q335))</f>
        <v/>
      </c>
      <c r="J335" s="55" t="str">
        <f>IF($B335="","",INDEX(tblStock[StockMax],'91_KPIS'!$Q335))</f>
        <v/>
      </c>
      <c r="K335" s="53" t="str">
        <f>IF($B335="","",INDEX(tblStock[Unidad],'91_KPIS'!$Q335))</f>
        <v/>
      </c>
      <c r="L335" s="55" t="str">
        <f t="shared" si="10"/>
        <v/>
      </c>
      <c r="M335" s="55" t="str">
        <f t="shared" si="11"/>
        <v/>
      </c>
      <c r="N335" s="54" t="str">
        <f>IF($B335="","",IFERROR(INDEX(tblEstados[Acción],MATCH($C335,tblEstados[Estado],0)),""))</f>
        <v/>
      </c>
      <c r="O335" s="60" t="str">
        <f>IF($B335="","",INDEX(tblStock[UltimoMov],'91_KPIS'!$Q335))</f>
        <v/>
      </c>
    </row>
    <row r="336" spans="2:15" x14ac:dyDescent="0.25">
      <c r="B336" s="62" t="str">
        <f>IF('91_KPIS'!$Q336="","",'91_KPIS'!$O336)</f>
        <v/>
      </c>
      <c r="C336" s="58" t="str">
        <f>IF($B336="","",INDEX(tblStock[Estado],'91_KPIS'!$Q336))</f>
        <v/>
      </c>
      <c r="D336" s="53" t="str">
        <f>IF($B336="","",INDEX(tblStock[SKU],'91_KPIS'!$Q336))</f>
        <v/>
      </c>
      <c r="E336" s="54" t="str">
        <f>IF($B336="","",INDEX(tblStock[Producto],'91_KPIS'!$Q336))</f>
        <v/>
      </c>
      <c r="F336" s="54" t="str">
        <f>IF($B336="","",INDEX(tblStock[Categoría],'91_KPIS'!$Q336))</f>
        <v/>
      </c>
      <c r="G336" s="54" t="str">
        <f>IF($B336="","",INDEX(tblStock[Proveedor],'91_KPIS'!$Q336)&amp;"")</f>
        <v/>
      </c>
      <c r="H336" s="56" t="str">
        <f>IF($B336="","",INDEX(tblStock[StockActual],'91_KPIS'!$Q336))</f>
        <v/>
      </c>
      <c r="I336" s="55" t="str">
        <f>IF($B336="","",INDEX(tblStock[StockMin],'91_KPIS'!$Q336))</f>
        <v/>
      </c>
      <c r="J336" s="55" t="str">
        <f>IF($B336="","",INDEX(tblStock[StockMax],'91_KPIS'!$Q336))</f>
        <v/>
      </c>
      <c r="K336" s="53" t="str">
        <f>IF($B336="","",INDEX(tblStock[Unidad],'91_KPIS'!$Q336))</f>
        <v/>
      </c>
      <c r="L336" s="55" t="str">
        <f t="shared" si="10"/>
        <v/>
      </c>
      <c r="M336" s="55" t="str">
        <f t="shared" si="11"/>
        <v/>
      </c>
      <c r="N336" s="54" t="str">
        <f>IF($B336="","",IFERROR(INDEX(tblEstados[Acción],MATCH($C336,tblEstados[Estado],0)),""))</f>
        <v/>
      </c>
      <c r="O336" s="60" t="str">
        <f>IF($B336="","",INDEX(tblStock[UltimoMov],'91_KPIS'!$Q336))</f>
        <v/>
      </c>
    </row>
    <row r="337" spans="2:15" x14ac:dyDescent="0.25">
      <c r="B337" s="62" t="str">
        <f>IF('91_KPIS'!$Q337="","",'91_KPIS'!$O337)</f>
        <v/>
      </c>
      <c r="C337" s="58" t="str">
        <f>IF($B337="","",INDEX(tblStock[Estado],'91_KPIS'!$Q337))</f>
        <v/>
      </c>
      <c r="D337" s="53" t="str">
        <f>IF($B337="","",INDEX(tblStock[SKU],'91_KPIS'!$Q337))</f>
        <v/>
      </c>
      <c r="E337" s="54" t="str">
        <f>IF($B337="","",INDEX(tblStock[Producto],'91_KPIS'!$Q337))</f>
        <v/>
      </c>
      <c r="F337" s="54" t="str">
        <f>IF($B337="","",INDEX(tblStock[Categoría],'91_KPIS'!$Q337))</f>
        <v/>
      </c>
      <c r="G337" s="54" t="str">
        <f>IF($B337="","",INDEX(tblStock[Proveedor],'91_KPIS'!$Q337)&amp;"")</f>
        <v/>
      </c>
      <c r="H337" s="56" t="str">
        <f>IF($B337="","",INDEX(tblStock[StockActual],'91_KPIS'!$Q337))</f>
        <v/>
      </c>
      <c r="I337" s="55" t="str">
        <f>IF($B337="","",INDEX(tblStock[StockMin],'91_KPIS'!$Q337))</f>
        <v/>
      </c>
      <c r="J337" s="55" t="str">
        <f>IF($B337="","",INDEX(tblStock[StockMax],'91_KPIS'!$Q337))</f>
        <v/>
      </c>
      <c r="K337" s="53" t="str">
        <f>IF($B337="","",INDEX(tblStock[Unidad],'91_KPIS'!$Q337))</f>
        <v/>
      </c>
      <c r="L337" s="55" t="str">
        <f t="shared" si="10"/>
        <v/>
      </c>
      <c r="M337" s="55" t="str">
        <f t="shared" si="11"/>
        <v/>
      </c>
      <c r="N337" s="54" t="str">
        <f>IF($B337="","",IFERROR(INDEX(tblEstados[Acción],MATCH($C337,tblEstados[Estado],0)),""))</f>
        <v/>
      </c>
      <c r="O337" s="60" t="str">
        <f>IF($B337="","",INDEX(tblStock[UltimoMov],'91_KPIS'!$Q337))</f>
        <v/>
      </c>
    </row>
    <row r="338" spans="2:15" x14ac:dyDescent="0.25">
      <c r="B338" s="62" t="str">
        <f>IF('91_KPIS'!$Q338="","",'91_KPIS'!$O338)</f>
        <v/>
      </c>
      <c r="C338" s="58" t="str">
        <f>IF($B338="","",INDEX(tblStock[Estado],'91_KPIS'!$Q338))</f>
        <v/>
      </c>
      <c r="D338" s="53" t="str">
        <f>IF($B338="","",INDEX(tblStock[SKU],'91_KPIS'!$Q338))</f>
        <v/>
      </c>
      <c r="E338" s="54" t="str">
        <f>IF($B338="","",INDEX(tblStock[Producto],'91_KPIS'!$Q338))</f>
        <v/>
      </c>
      <c r="F338" s="54" t="str">
        <f>IF($B338="","",INDEX(tblStock[Categoría],'91_KPIS'!$Q338))</f>
        <v/>
      </c>
      <c r="G338" s="54" t="str">
        <f>IF($B338="","",INDEX(tblStock[Proveedor],'91_KPIS'!$Q338)&amp;"")</f>
        <v/>
      </c>
      <c r="H338" s="56" t="str">
        <f>IF($B338="","",INDEX(tblStock[StockActual],'91_KPIS'!$Q338))</f>
        <v/>
      </c>
      <c r="I338" s="55" t="str">
        <f>IF($B338="","",INDEX(tblStock[StockMin],'91_KPIS'!$Q338))</f>
        <v/>
      </c>
      <c r="J338" s="55" t="str">
        <f>IF($B338="","",INDEX(tblStock[StockMax],'91_KPIS'!$Q338))</f>
        <v/>
      </c>
      <c r="K338" s="53" t="str">
        <f>IF($B338="","",INDEX(tblStock[Unidad],'91_KPIS'!$Q338))</f>
        <v/>
      </c>
      <c r="L338" s="55" t="str">
        <f t="shared" si="10"/>
        <v/>
      </c>
      <c r="M338" s="55" t="str">
        <f t="shared" si="11"/>
        <v/>
      </c>
      <c r="N338" s="54" t="str">
        <f>IF($B338="","",IFERROR(INDEX(tblEstados[Acción],MATCH($C338,tblEstados[Estado],0)),""))</f>
        <v/>
      </c>
      <c r="O338" s="60" t="str">
        <f>IF($B338="","",INDEX(tblStock[UltimoMov],'91_KPIS'!$Q338))</f>
        <v/>
      </c>
    </row>
    <row r="339" spans="2:15" x14ac:dyDescent="0.25">
      <c r="B339" s="62" t="str">
        <f>IF('91_KPIS'!$Q339="","",'91_KPIS'!$O339)</f>
        <v/>
      </c>
      <c r="C339" s="58" t="str">
        <f>IF($B339="","",INDEX(tblStock[Estado],'91_KPIS'!$Q339))</f>
        <v/>
      </c>
      <c r="D339" s="53" t="str">
        <f>IF($B339="","",INDEX(tblStock[SKU],'91_KPIS'!$Q339))</f>
        <v/>
      </c>
      <c r="E339" s="54" t="str">
        <f>IF($B339="","",INDEX(tblStock[Producto],'91_KPIS'!$Q339))</f>
        <v/>
      </c>
      <c r="F339" s="54" t="str">
        <f>IF($B339="","",INDEX(tblStock[Categoría],'91_KPIS'!$Q339))</f>
        <v/>
      </c>
      <c r="G339" s="54" t="str">
        <f>IF($B339="","",INDEX(tblStock[Proveedor],'91_KPIS'!$Q339)&amp;"")</f>
        <v/>
      </c>
      <c r="H339" s="56" t="str">
        <f>IF($B339="","",INDEX(tblStock[StockActual],'91_KPIS'!$Q339))</f>
        <v/>
      </c>
      <c r="I339" s="55" t="str">
        <f>IF($B339="","",INDEX(tblStock[StockMin],'91_KPIS'!$Q339))</f>
        <v/>
      </c>
      <c r="J339" s="55" t="str">
        <f>IF($B339="","",INDEX(tblStock[StockMax],'91_KPIS'!$Q339))</f>
        <v/>
      </c>
      <c r="K339" s="53" t="str">
        <f>IF($B339="","",INDEX(tblStock[Unidad],'91_KPIS'!$Q339))</f>
        <v/>
      </c>
      <c r="L339" s="55" t="str">
        <f t="shared" si="10"/>
        <v/>
      </c>
      <c r="M339" s="55" t="str">
        <f t="shared" si="11"/>
        <v/>
      </c>
      <c r="N339" s="54" t="str">
        <f>IF($B339="","",IFERROR(INDEX(tblEstados[Acción],MATCH($C339,tblEstados[Estado],0)),""))</f>
        <v/>
      </c>
      <c r="O339" s="60" t="str">
        <f>IF($B339="","",INDEX(tblStock[UltimoMov],'91_KPIS'!$Q339))</f>
        <v/>
      </c>
    </row>
    <row r="340" spans="2:15" x14ac:dyDescent="0.25">
      <c r="B340" s="62" t="str">
        <f>IF('91_KPIS'!$Q340="","",'91_KPIS'!$O340)</f>
        <v/>
      </c>
      <c r="C340" s="58" t="str">
        <f>IF($B340="","",INDEX(tblStock[Estado],'91_KPIS'!$Q340))</f>
        <v/>
      </c>
      <c r="D340" s="53" t="str">
        <f>IF($B340="","",INDEX(tblStock[SKU],'91_KPIS'!$Q340))</f>
        <v/>
      </c>
      <c r="E340" s="54" t="str">
        <f>IF($B340="","",INDEX(tblStock[Producto],'91_KPIS'!$Q340))</f>
        <v/>
      </c>
      <c r="F340" s="54" t="str">
        <f>IF($B340="","",INDEX(tblStock[Categoría],'91_KPIS'!$Q340))</f>
        <v/>
      </c>
      <c r="G340" s="54" t="str">
        <f>IF($B340="","",INDEX(tblStock[Proveedor],'91_KPIS'!$Q340)&amp;"")</f>
        <v/>
      </c>
      <c r="H340" s="56" t="str">
        <f>IF($B340="","",INDEX(tblStock[StockActual],'91_KPIS'!$Q340))</f>
        <v/>
      </c>
      <c r="I340" s="55" t="str">
        <f>IF($B340="","",INDEX(tblStock[StockMin],'91_KPIS'!$Q340))</f>
        <v/>
      </c>
      <c r="J340" s="55" t="str">
        <f>IF($B340="","",INDEX(tblStock[StockMax],'91_KPIS'!$Q340))</f>
        <v/>
      </c>
      <c r="K340" s="53" t="str">
        <f>IF($B340="","",INDEX(tblStock[Unidad],'91_KPIS'!$Q340))</f>
        <v/>
      </c>
      <c r="L340" s="55" t="str">
        <f t="shared" si="10"/>
        <v/>
      </c>
      <c r="M340" s="55" t="str">
        <f t="shared" si="11"/>
        <v/>
      </c>
      <c r="N340" s="54" t="str">
        <f>IF($B340="","",IFERROR(INDEX(tblEstados[Acción],MATCH($C340,tblEstados[Estado],0)),""))</f>
        <v/>
      </c>
      <c r="O340" s="60" t="str">
        <f>IF($B340="","",INDEX(tblStock[UltimoMov],'91_KPIS'!$Q340))</f>
        <v/>
      </c>
    </row>
    <row r="341" spans="2:15" x14ac:dyDescent="0.25">
      <c r="B341" s="62" t="str">
        <f>IF('91_KPIS'!$Q341="","",'91_KPIS'!$O341)</f>
        <v/>
      </c>
      <c r="C341" s="58" t="str">
        <f>IF($B341="","",INDEX(tblStock[Estado],'91_KPIS'!$Q341))</f>
        <v/>
      </c>
      <c r="D341" s="53" t="str">
        <f>IF($B341="","",INDEX(tblStock[SKU],'91_KPIS'!$Q341))</f>
        <v/>
      </c>
      <c r="E341" s="54" t="str">
        <f>IF($B341="","",INDEX(tblStock[Producto],'91_KPIS'!$Q341))</f>
        <v/>
      </c>
      <c r="F341" s="54" t="str">
        <f>IF($B341="","",INDEX(tblStock[Categoría],'91_KPIS'!$Q341))</f>
        <v/>
      </c>
      <c r="G341" s="54" t="str">
        <f>IF($B341="","",INDEX(tblStock[Proveedor],'91_KPIS'!$Q341)&amp;"")</f>
        <v/>
      </c>
      <c r="H341" s="56" t="str">
        <f>IF($B341="","",INDEX(tblStock[StockActual],'91_KPIS'!$Q341))</f>
        <v/>
      </c>
      <c r="I341" s="55" t="str">
        <f>IF($B341="","",INDEX(tblStock[StockMin],'91_KPIS'!$Q341))</f>
        <v/>
      </c>
      <c r="J341" s="55" t="str">
        <f>IF($B341="","",INDEX(tblStock[StockMax],'91_KPIS'!$Q341))</f>
        <v/>
      </c>
      <c r="K341" s="53" t="str">
        <f>IF($B341="","",INDEX(tblStock[Unidad],'91_KPIS'!$Q341))</f>
        <v/>
      </c>
      <c r="L341" s="55" t="str">
        <f t="shared" si="10"/>
        <v/>
      </c>
      <c r="M341" s="55" t="str">
        <f t="shared" si="11"/>
        <v/>
      </c>
      <c r="N341" s="54" t="str">
        <f>IF($B341="","",IFERROR(INDEX(tblEstados[Acción],MATCH($C341,tblEstados[Estado],0)),""))</f>
        <v/>
      </c>
      <c r="O341" s="60" t="str">
        <f>IF($B341="","",INDEX(tblStock[UltimoMov],'91_KPIS'!$Q341))</f>
        <v/>
      </c>
    </row>
    <row r="342" spans="2:15" x14ac:dyDescent="0.25">
      <c r="B342" s="62" t="str">
        <f>IF('91_KPIS'!$Q342="","",'91_KPIS'!$O342)</f>
        <v/>
      </c>
      <c r="C342" s="58" t="str">
        <f>IF($B342="","",INDEX(tblStock[Estado],'91_KPIS'!$Q342))</f>
        <v/>
      </c>
      <c r="D342" s="53" t="str">
        <f>IF($B342="","",INDEX(tblStock[SKU],'91_KPIS'!$Q342))</f>
        <v/>
      </c>
      <c r="E342" s="54" t="str">
        <f>IF($B342="","",INDEX(tblStock[Producto],'91_KPIS'!$Q342))</f>
        <v/>
      </c>
      <c r="F342" s="54" t="str">
        <f>IF($B342="","",INDEX(tblStock[Categoría],'91_KPIS'!$Q342))</f>
        <v/>
      </c>
      <c r="G342" s="54" t="str">
        <f>IF($B342="","",INDEX(tblStock[Proveedor],'91_KPIS'!$Q342)&amp;"")</f>
        <v/>
      </c>
      <c r="H342" s="56" t="str">
        <f>IF($B342="","",INDEX(tblStock[StockActual],'91_KPIS'!$Q342))</f>
        <v/>
      </c>
      <c r="I342" s="55" t="str">
        <f>IF($B342="","",INDEX(tblStock[StockMin],'91_KPIS'!$Q342))</f>
        <v/>
      </c>
      <c r="J342" s="55" t="str">
        <f>IF($B342="","",INDEX(tblStock[StockMax],'91_KPIS'!$Q342))</f>
        <v/>
      </c>
      <c r="K342" s="53" t="str">
        <f>IF($B342="","",INDEX(tblStock[Unidad],'91_KPIS'!$Q342))</f>
        <v/>
      </c>
      <c r="L342" s="55" t="str">
        <f t="shared" si="10"/>
        <v/>
      </c>
      <c r="M342" s="55" t="str">
        <f t="shared" si="11"/>
        <v/>
      </c>
      <c r="N342" s="54" t="str">
        <f>IF($B342="","",IFERROR(INDEX(tblEstados[Acción],MATCH($C342,tblEstados[Estado],0)),""))</f>
        <v/>
      </c>
      <c r="O342" s="60" t="str">
        <f>IF($B342="","",INDEX(tblStock[UltimoMov],'91_KPIS'!$Q342))</f>
        <v/>
      </c>
    </row>
    <row r="343" spans="2:15" x14ac:dyDescent="0.25">
      <c r="B343" s="62" t="str">
        <f>IF('91_KPIS'!$Q343="","",'91_KPIS'!$O343)</f>
        <v/>
      </c>
      <c r="C343" s="58" t="str">
        <f>IF($B343="","",INDEX(tblStock[Estado],'91_KPIS'!$Q343))</f>
        <v/>
      </c>
      <c r="D343" s="53" t="str">
        <f>IF($B343="","",INDEX(tblStock[SKU],'91_KPIS'!$Q343))</f>
        <v/>
      </c>
      <c r="E343" s="54" t="str">
        <f>IF($B343="","",INDEX(tblStock[Producto],'91_KPIS'!$Q343))</f>
        <v/>
      </c>
      <c r="F343" s="54" t="str">
        <f>IF($B343="","",INDEX(tblStock[Categoría],'91_KPIS'!$Q343))</f>
        <v/>
      </c>
      <c r="G343" s="54" t="str">
        <f>IF($B343="","",INDEX(tblStock[Proveedor],'91_KPIS'!$Q343)&amp;"")</f>
        <v/>
      </c>
      <c r="H343" s="56" t="str">
        <f>IF($B343="","",INDEX(tblStock[StockActual],'91_KPIS'!$Q343))</f>
        <v/>
      </c>
      <c r="I343" s="55" t="str">
        <f>IF($B343="","",INDEX(tblStock[StockMin],'91_KPIS'!$Q343))</f>
        <v/>
      </c>
      <c r="J343" s="55" t="str">
        <f>IF($B343="","",INDEX(tblStock[StockMax],'91_KPIS'!$Q343))</f>
        <v/>
      </c>
      <c r="K343" s="53" t="str">
        <f>IF($B343="","",INDEX(tblStock[Unidad],'91_KPIS'!$Q343))</f>
        <v/>
      </c>
      <c r="L343" s="55" t="str">
        <f t="shared" si="10"/>
        <v/>
      </c>
      <c r="M343" s="55" t="str">
        <f t="shared" si="11"/>
        <v/>
      </c>
      <c r="N343" s="54" t="str">
        <f>IF($B343="","",IFERROR(INDEX(tblEstados[Acción],MATCH($C343,tblEstados[Estado],0)),""))</f>
        <v/>
      </c>
      <c r="O343" s="60" t="str">
        <f>IF($B343="","",INDEX(tblStock[UltimoMov],'91_KPIS'!$Q343))</f>
        <v/>
      </c>
    </row>
    <row r="344" spans="2:15" x14ac:dyDescent="0.25">
      <c r="B344" s="62" t="str">
        <f>IF('91_KPIS'!$Q344="","",'91_KPIS'!$O344)</f>
        <v/>
      </c>
      <c r="C344" s="58" t="str">
        <f>IF($B344="","",INDEX(tblStock[Estado],'91_KPIS'!$Q344))</f>
        <v/>
      </c>
      <c r="D344" s="53" t="str">
        <f>IF($B344="","",INDEX(tblStock[SKU],'91_KPIS'!$Q344))</f>
        <v/>
      </c>
      <c r="E344" s="54" t="str">
        <f>IF($B344="","",INDEX(tblStock[Producto],'91_KPIS'!$Q344))</f>
        <v/>
      </c>
      <c r="F344" s="54" t="str">
        <f>IF($B344="","",INDEX(tblStock[Categoría],'91_KPIS'!$Q344))</f>
        <v/>
      </c>
      <c r="G344" s="54" t="str">
        <f>IF($B344="","",INDEX(tblStock[Proveedor],'91_KPIS'!$Q344)&amp;"")</f>
        <v/>
      </c>
      <c r="H344" s="56" t="str">
        <f>IF($B344="","",INDEX(tblStock[StockActual],'91_KPIS'!$Q344))</f>
        <v/>
      </c>
      <c r="I344" s="55" t="str">
        <f>IF($B344="","",INDEX(tblStock[StockMin],'91_KPIS'!$Q344))</f>
        <v/>
      </c>
      <c r="J344" s="55" t="str">
        <f>IF($B344="","",INDEX(tblStock[StockMax],'91_KPIS'!$Q344))</f>
        <v/>
      </c>
      <c r="K344" s="53" t="str">
        <f>IF($B344="","",INDEX(tblStock[Unidad],'91_KPIS'!$Q344))</f>
        <v/>
      </c>
      <c r="L344" s="55" t="str">
        <f t="shared" si="10"/>
        <v/>
      </c>
      <c r="M344" s="55" t="str">
        <f t="shared" si="11"/>
        <v/>
      </c>
      <c r="N344" s="54" t="str">
        <f>IF($B344="","",IFERROR(INDEX(tblEstados[Acción],MATCH($C344,tblEstados[Estado],0)),""))</f>
        <v/>
      </c>
      <c r="O344" s="60" t="str">
        <f>IF($B344="","",INDEX(tblStock[UltimoMov],'91_KPIS'!$Q344))</f>
        <v/>
      </c>
    </row>
    <row r="345" spans="2:15" x14ac:dyDescent="0.25">
      <c r="B345" s="62" t="str">
        <f>IF('91_KPIS'!$Q345="","",'91_KPIS'!$O345)</f>
        <v/>
      </c>
      <c r="C345" s="58" t="str">
        <f>IF($B345="","",INDEX(tblStock[Estado],'91_KPIS'!$Q345))</f>
        <v/>
      </c>
      <c r="D345" s="53" t="str">
        <f>IF($B345="","",INDEX(tblStock[SKU],'91_KPIS'!$Q345))</f>
        <v/>
      </c>
      <c r="E345" s="54" t="str">
        <f>IF($B345="","",INDEX(tblStock[Producto],'91_KPIS'!$Q345))</f>
        <v/>
      </c>
      <c r="F345" s="54" t="str">
        <f>IF($B345="","",INDEX(tblStock[Categoría],'91_KPIS'!$Q345))</f>
        <v/>
      </c>
      <c r="G345" s="54" t="str">
        <f>IF($B345="","",INDEX(tblStock[Proveedor],'91_KPIS'!$Q345)&amp;"")</f>
        <v/>
      </c>
      <c r="H345" s="56" t="str">
        <f>IF($B345="","",INDEX(tblStock[StockActual],'91_KPIS'!$Q345))</f>
        <v/>
      </c>
      <c r="I345" s="55" t="str">
        <f>IF($B345="","",INDEX(tblStock[StockMin],'91_KPIS'!$Q345))</f>
        <v/>
      </c>
      <c r="J345" s="55" t="str">
        <f>IF($B345="","",INDEX(tblStock[StockMax],'91_KPIS'!$Q345))</f>
        <v/>
      </c>
      <c r="K345" s="53" t="str">
        <f>IF($B345="","",INDEX(tblStock[Unidad],'91_KPIS'!$Q345))</f>
        <v/>
      </c>
      <c r="L345" s="55" t="str">
        <f t="shared" si="10"/>
        <v/>
      </c>
      <c r="M345" s="55" t="str">
        <f t="shared" si="11"/>
        <v/>
      </c>
      <c r="N345" s="54" t="str">
        <f>IF($B345="","",IFERROR(INDEX(tblEstados[Acción],MATCH($C345,tblEstados[Estado],0)),""))</f>
        <v/>
      </c>
      <c r="O345" s="60" t="str">
        <f>IF($B345="","",INDEX(tblStock[UltimoMov],'91_KPIS'!$Q345))</f>
        <v/>
      </c>
    </row>
    <row r="346" spans="2:15" x14ac:dyDescent="0.25">
      <c r="B346" s="62" t="str">
        <f>IF('91_KPIS'!$Q346="","",'91_KPIS'!$O346)</f>
        <v/>
      </c>
      <c r="C346" s="58" t="str">
        <f>IF($B346="","",INDEX(tblStock[Estado],'91_KPIS'!$Q346))</f>
        <v/>
      </c>
      <c r="D346" s="53" t="str">
        <f>IF($B346="","",INDEX(tblStock[SKU],'91_KPIS'!$Q346))</f>
        <v/>
      </c>
      <c r="E346" s="54" t="str">
        <f>IF($B346="","",INDEX(tblStock[Producto],'91_KPIS'!$Q346))</f>
        <v/>
      </c>
      <c r="F346" s="54" t="str">
        <f>IF($B346="","",INDEX(tblStock[Categoría],'91_KPIS'!$Q346))</f>
        <v/>
      </c>
      <c r="G346" s="54" t="str">
        <f>IF($B346="","",INDEX(tblStock[Proveedor],'91_KPIS'!$Q346)&amp;"")</f>
        <v/>
      </c>
      <c r="H346" s="56" t="str">
        <f>IF($B346="","",INDEX(tblStock[StockActual],'91_KPIS'!$Q346))</f>
        <v/>
      </c>
      <c r="I346" s="55" t="str">
        <f>IF($B346="","",INDEX(tblStock[StockMin],'91_KPIS'!$Q346))</f>
        <v/>
      </c>
      <c r="J346" s="55" t="str">
        <f>IF($B346="","",INDEX(tblStock[StockMax],'91_KPIS'!$Q346))</f>
        <v/>
      </c>
      <c r="K346" s="53" t="str">
        <f>IF($B346="","",INDEX(tblStock[Unidad],'91_KPIS'!$Q346))</f>
        <v/>
      </c>
      <c r="L346" s="55" t="str">
        <f t="shared" si="10"/>
        <v/>
      </c>
      <c r="M346" s="55" t="str">
        <f t="shared" si="11"/>
        <v/>
      </c>
      <c r="N346" s="54" t="str">
        <f>IF($B346="","",IFERROR(INDEX(tblEstados[Acción],MATCH($C346,tblEstados[Estado],0)),""))</f>
        <v/>
      </c>
      <c r="O346" s="60" t="str">
        <f>IF($B346="","",INDEX(tblStock[UltimoMov],'91_KPIS'!$Q346))</f>
        <v/>
      </c>
    </row>
    <row r="347" spans="2:15" x14ac:dyDescent="0.25">
      <c r="B347" s="62" t="str">
        <f>IF('91_KPIS'!$Q347="","",'91_KPIS'!$O347)</f>
        <v/>
      </c>
      <c r="C347" s="58" t="str">
        <f>IF($B347="","",INDEX(tblStock[Estado],'91_KPIS'!$Q347))</f>
        <v/>
      </c>
      <c r="D347" s="53" t="str">
        <f>IF($B347="","",INDEX(tblStock[SKU],'91_KPIS'!$Q347))</f>
        <v/>
      </c>
      <c r="E347" s="54" t="str">
        <f>IF($B347="","",INDEX(tblStock[Producto],'91_KPIS'!$Q347))</f>
        <v/>
      </c>
      <c r="F347" s="54" t="str">
        <f>IF($B347="","",INDEX(tblStock[Categoría],'91_KPIS'!$Q347))</f>
        <v/>
      </c>
      <c r="G347" s="54" t="str">
        <f>IF($B347="","",INDEX(tblStock[Proveedor],'91_KPIS'!$Q347)&amp;"")</f>
        <v/>
      </c>
      <c r="H347" s="56" t="str">
        <f>IF($B347="","",INDEX(tblStock[StockActual],'91_KPIS'!$Q347))</f>
        <v/>
      </c>
      <c r="I347" s="55" t="str">
        <f>IF($B347="","",INDEX(tblStock[StockMin],'91_KPIS'!$Q347))</f>
        <v/>
      </c>
      <c r="J347" s="55" t="str">
        <f>IF($B347="","",INDEX(tblStock[StockMax],'91_KPIS'!$Q347))</f>
        <v/>
      </c>
      <c r="K347" s="53" t="str">
        <f>IF($B347="","",INDEX(tblStock[Unidad],'91_KPIS'!$Q347))</f>
        <v/>
      </c>
      <c r="L347" s="55" t="str">
        <f t="shared" si="10"/>
        <v/>
      </c>
      <c r="M347" s="55" t="str">
        <f t="shared" si="11"/>
        <v/>
      </c>
      <c r="N347" s="54" t="str">
        <f>IF($B347="","",IFERROR(INDEX(tblEstados[Acción],MATCH($C347,tblEstados[Estado],0)),""))</f>
        <v/>
      </c>
      <c r="O347" s="60" t="str">
        <f>IF($B347="","",INDEX(tblStock[UltimoMov],'91_KPIS'!$Q347))</f>
        <v/>
      </c>
    </row>
    <row r="348" spans="2:15" x14ac:dyDescent="0.25">
      <c r="B348" s="62" t="str">
        <f>IF('91_KPIS'!$Q348="","",'91_KPIS'!$O348)</f>
        <v/>
      </c>
      <c r="C348" s="58" t="str">
        <f>IF($B348="","",INDEX(tblStock[Estado],'91_KPIS'!$Q348))</f>
        <v/>
      </c>
      <c r="D348" s="53" t="str">
        <f>IF($B348="","",INDEX(tblStock[SKU],'91_KPIS'!$Q348))</f>
        <v/>
      </c>
      <c r="E348" s="54" t="str">
        <f>IF($B348="","",INDEX(tblStock[Producto],'91_KPIS'!$Q348))</f>
        <v/>
      </c>
      <c r="F348" s="54" t="str">
        <f>IF($B348="","",INDEX(tblStock[Categoría],'91_KPIS'!$Q348))</f>
        <v/>
      </c>
      <c r="G348" s="54" t="str">
        <f>IF($B348="","",INDEX(tblStock[Proveedor],'91_KPIS'!$Q348)&amp;"")</f>
        <v/>
      </c>
      <c r="H348" s="56" t="str">
        <f>IF($B348="","",INDEX(tblStock[StockActual],'91_KPIS'!$Q348))</f>
        <v/>
      </c>
      <c r="I348" s="55" t="str">
        <f>IF($B348="","",INDEX(tblStock[StockMin],'91_KPIS'!$Q348))</f>
        <v/>
      </c>
      <c r="J348" s="55" t="str">
        <f>IF($B348="","",INDEX(tblStock[StockMax],'91_KPIS'!$Q348))</f>
        <v/>
      </c>
      <c r="K348" s="53" t="str">
        <f>IF($B348="","",INDEX(tblStock[Unidad],'91_KPIS'!$Q348))</f>
        <v/>
      </c>
      <c r="L348" s="55" t="str">
        <f t="shared" si="10"/>
        <v/>
      </c>
      <c r="M348" s="55" t="str">
        <f t="shared" si="11"/>
        <v/>
      </c>
      <c r="N348" s="54" t="str">
        <f>IF($B348="","",IFERROR(INDEX(tblEstados[Acción],MATCH($C348,tblEstados[Estado],0)),""))</f>
        <v/>
      </c>
      <c r="O348" s="60" t="str">
        <f>IF($B348="","",INDEX(tblStock[UltimoMov],'91_KPIS'!$Q348))</f>
        <v/>
      </c>
    </row>
    <row r="349" spans="2:15" x14ac:dyDescent="0.25">
      <c r="B349" s="62" t="str">
        <f>IF('91_KPIS'!$Q349="","",'91_KPIS'!$O349)</f>
        <v/>
      </c>
      <c r="C349" s="58" t="str">
        <f>IF($B349="","",INDEX(tblStock[Estado],'91_KPIS'!$Q349))</f>
        <v/>
      </c>
      <c r="D349" s="53" t="str">
        <f>IF($B349="","",INDEX(tblStock[SKU],'91_KPIS'!$Q349))</f>
        <v/>
      </c>
      <c r="E349" s="54" t="str">
        <f>IF($B349="","",INDEX(tblStock[Producto],'91_KPIS'!$Q349))</f>
        <v/>
      </c>
      <c r="F349" s="54" t="str">
        <f>IF($B349="","",INDEX(tblStock[Categoría],'91_KPIS'!$Q349))</f>
        <v/>
      </c>
      <c r="G349" s="54" t="str">
        <f>IF($B349="","",INDEX(tblStock[Proveedor],'91_KPIS'!$Q349)&amp;"")</f>
        <v/>
      </c>
      <c r="H349" s="56" t="str">
        <f>IF($B349="","",INDEX(tblStock[StockActual],'91_KPIS'!$Q349))</f>
        <v/>
      </c>
      <c r="I349" s="55" t="str">
        <f>IF($B349="","",INDEX(tblStock[StockMin],'91_KPIS'!$Q349))</f>
        <v/>
      </c>
      <c r="J349" s="55" t="str">
        <f>IF($B349="","",INDEX(tblStock[StockMax],'91_KPIS'!$Q349))</f>
        <v/>
      </c>
      <c r="K349" s="53" t="str">
        <f>IF($B349="","",INDEX(tblStock[Unidad],'91_KPIS'!$Q349))</f>
        <v/>
      </c>
      <c r="L349" s="55" t="str">
        <f t="shared" si="10"/>
        <v/>
      </c>
      <c r="M349" s="55" t="str">
        <f t="shared" si="11"/>
        <v/>
      </c>
      <c r="N349" s="54" t="str">
        <f>IF($B349="","",IFERROR(INDEX(tblEstados[Acción],MATCH($C349,tblEstados[Estado],0)),""))</f>
        <v/>
      </c>
      <c r="O349" s="60" t="str">
        <f>IF($B349="","",INDEX(tblStock[UltimoMov],'91_KPIS'!$Q349))</f>
        <v/>
      </c>
    </row>
    <row r="350" spans="2:15" x14ac:dyDescent="0.25">
      <c r="B350" s="62" t="str">
        <f>IF('91_KPIS'!$Q350="","",'91_KPIS'!$O350)</f>
        <v/>
      </c>
      <c r="C350" s="58" t="str">
        <f>IF($B350="","",INDEX(tblStock[Estado],'91_KPIS'!$Q350))</f>
        <v/>
      </c>
      <c r="D350" s="53" t="str">
        <f>IF($B350="","",INDEX(tblStock[SKU],'91_KPIS'!$Q350))</f>
        <v/>
      </c>
      <c r="E350" s="54" t="str">
        <f>IF($B350="","",INDEX(tblStock[Producto],'91_KPIS'!$Q350))</f>
        <v/>
      </c>
      <c r="F350" s="54" t="str">
        <f>IF($B350="","",INDEX(tblStock[Categoría],'91_KPIS'!$Q350))</f>
        <v/>
      </c>
      <c r="G350" s="54" t="str">
        <f>IF($B350="","",INDEX(tblStock[Proveedor],'91_KPIS'!$Q350)&amp;"")</f>
        <v/>
      </c>
      <c r="H350" s="56" t="str">
        <f>IF($B350="","",INDEX(tblStock[StockActual],'91_KPIS'!$Q350))</f>
        <v/>
      </c>
      <c r="I350" s="55" t="str">
        <f>IF($B350="","",INDEX(tblStock[StockMin],'91_KPIS'!$Q350))</f>
        <v/>
      </c>
      <c r="J350" s="55" t="str">
        <f>IF($B350="","",INDEX(tblStock[StockMax],'91_KPIS'!$Q350))</f>
        <v/>
      </c>
      <c r="K350" s="53" t="str">
        <f>IF($B350="","",INDEX(tblStock[Unidad],'91_KPIS'!$Q350))</f>
        <v/>
      </c>
      <c r="L350" s="55" t="str">
        <f t="shared" si="10"/>
        <v/>
      </c>
      <c r="M350" s="55" t="str">
        <f t="shared" si="11"/>
        <v/>
      </c>
      <c r="N350" s="54" t="str">
        <f>IF($B350="","",IFERROR(INDEX(tblEstados[Acción],MATCH($C350,tblEstados[Estado],0)),""))</f>
        <v/>
      </c>
      <c r="O350" s="60" t="str">
        <f>IF($B350="","",INDEX(tblStock[UltimoMov],'91_KPIS'!$Q350))</f>
        <v/>
      </c>
    </row>
    <row r="351" spans="2:15" x14ac:dyDescent="0.25">
      <c r="B351" s="62" t="str">
        <f>IF('91_KPIS'!$Q351="","",'91_KPIS'!$O351)</f>
        <v/>
      </c>
      <c r="C351" s="58" t="str">
        <f>IF($B351="","",INDEX(tblStock[Estado],'91_KPIS'!$Q351))</f>
        <v/>
      </c>
      <c r="D351" s="53" t="str">
        <f>IF($B351="","",INDEX(tblStock[SKU],'91_KPIS'!$Q351))</f>
        <v/>
      </c>
      <c r="E351" s="54" t="str">
        <f>IF($B351="","",INDEX(tblStock[Producto],'91_KPIS'!$Q351))</f>
        <v/>
      </c>
      <c r="F351" s="54" t="str">
        <f>IF($B351="","",INDEX(tblStock[Categoría],'91_KPIS'!$Q351))</f>
        <v/>
      </c>
      <c r="G351" s="54" t="str">
        <f>IF($B351="","",INDEX(tblStock[Proveedor],'91_KPIS'!$Q351)&amp;"")</f>
        <v/>
      </c>
      <c r="H351" s="56" t="str">
        <f>IF($B351="","",INDEX(tblStock[StockActual],'91_KPIS'!$Q351))</f>
        <v/>
      </c>
      <c r="I351" s="55" t="str">
        <f>IF($B351="","",INDEX(tblStock[StockMin],'91_KPIS'!$Q351))</f>
        <v/>
      </c>
      <c r="J351" s="55" t="str">
        <f>IF($B351="","",INDEX(tblStock[StockMax],'91_KPIS'!$Q351))</f>
        <v/>
      </c>
      <c r="K351" s="53" t="str">
        <f>IF($B351="","",INDEX(tblStock[Unidad],'91_KPIS'!$Q351))</f>
        <v/>
      </c>
      <c r="L351" s="55" t="str">
        <f t="shared" si="10"/>
        <v/>
      </c>
      <c r="M351" s="55" t="str">
        <f t="shared" si="11"/>
        <v/>
      </c>
      <c r="N351" s="54" t="str">
        <f>IF($B351="","",IFERROR(INDEX(tblEstados[Acción],MATCH($C351,tblEstados[Estado],0)),""))</f>
        <v/>
      </c>
      <c r="O351" s="60" t="str">
        <f>IF($B351="","",INDEX(tblStock[UltimoMov],'91_KPIS'!$Q351))</f>
        <v/>
      </c>
    </row>
    <row r="352" spans="2:15" x14ac:dyDescent="0.25">
      <c r="B352" s="62" t="str">
        <f>IF('91_KPIS'!$Q352="","",'91_KPIS'!$O352)</f>
        <v/>
      </c>
      <c r="C352" s="58" t="str">
        <f>IF($B352="","",INDEX(tblStock[Estado],'91_KPIS'!$Q352))</f>
        <v/>
      </c>
      <c r="D352" s="53" t="str">
        <f>IF($B352="","",INDEX(tblStock[SKU],'91_KPIS'!$Q352))</f>
        <v/>
      </c>
      <c r="E352" s="54" t="str">
        <f>IF($B352="","",INDEX(tblStock[Producto],'91_KPIS'!$Q352))</f>
        <v/>
      </c>
      <c r="F352" s="54" t="str">
        <f>IF($B352="","",INDEX(tblStock[Categoría],'91_KPIS'!$Q352))</f>
        <v/>
      </c>
      <c r="G352" s="54" t="str">
        <f>IF($B352="","",INDEX(tblStock[Proveedor],'91_KPIS'!$Q352)&amp;"")</f>
        <v/>
      </c>
      <c r="H352" s="56" t="str">
        <f>IF($B352="","",INDEX(tblStock[StockActual],'91_KPIS'!$Q352))</f>
        <v/>
      </c>
      <c r="I352" s="55" t="str">
        <f>IF($B352="","",INDEX(tblStock[StockMin],'91_KPIS'!$Q352))</f>
        <v/>
      </c>
      <c r="J352" s="55" t="str">
        <f>IF($B352="","",INDEX(tblStock[StockMax],'91_KPIS'!$Q352))</f>
        <v/>
      </c>
      <c r="K352" s="53" t="str">
        <f>IF($B352="","",INDEX(tblStock[Unidad],'91_KPIS'!$Q352))</f>
        <v/>
      </c>
      <c r="L352" s="55" t="str">
        <f t="shared" si="10"/>
        <v/>
      </c>
      <c r="M352" s="55" t="str">
        <f t="shared" si="11"/>
        <v/>
      </c>
      <c r="N352" s="54" t="str">
        <f>IF($B352="","",IFERROR(INDEX(tblEstados[Acción],MATCH($C352,tblEstados[Estado],0)),""))</f>
        <v/>
      </c>
      <c r="O352" s="60" t="str">
        <f>IF($B352="","",INDEX(tblStock[UltimoMov],'91_KPIS'!$Q352))</f>
        <v/>
      </c>
    </row>
    <row r="353" spans="2:15" x14ac:dyDescent="0.25">
      <c r="B353" s="62" t="str">
        <f>IF('91_KPIS'!$Q353="","",'91_KPIS'!$O353)</f>
        <v/>
      </c>
      <c r="C353" s="58" t="str">
        <f>IF($B353="","",INDEX(tblStock[Estado],'91_KPIS'!$Q353))</f>
        <v/>
      </c>
      <c r="D353" s="53" t="str">
        <f>IF($B353="","",INDEX(tblStock[SKU],'91_KPIS'!$Q353))</f>
        <v/>
      </c>
      <c r="E353" s="54" t="str">
        <f>IF($B353="","",INDEX(tblStock[Producto],'91_KPIS'!$Q353))</f>
        <v/>
      </c>
      <c r="F353" s="54" t="str">
        <f>IF($B353="","",INDEX(tblStock[Categoría],'91_KPIS'!$Q353))</f>
        <v/>
      </c>
      <c r="G353" s="54" t="str">
        <f>IF($B353="","",INDEX(tblStock[Proveedor],'91_KPIS'!$Q353)&amp;"")</f>
        <v/>
      </c>
      <c r="H353" s="56" t="str">
        <f>IF($B353="","",INDEX(tblStock[StockActual],'91_KPIS'!$Q353))</f>
        <v/>
      </c>
      <c r="I353" s="55" t="str">
        <f>IF($B353="","",INDEX(tblStock[StockMin],'91_KPIS'!$Q353))</f>
        <v/>
      </c>
      <c r="J353" s="55" t="str">
        <f>IF($B353="","",INDEX(tblStock[StockMax],'91_KPIS'!$Q353))</f>
        <v/>
      </c>
      <c r="K353" s="53" t="str">
        <f>IF($B353="","",INDEX(tblStock[Unidad],'91_KPIS'!$Q353))</f>
        <v/>
      </c>
      <c r="L353" s="55" t="str">
        <f t="shared" si="10"/>
        <v/>
      </c>
      <c r="M353" s="55" t="str">
        <f t="shared" si="11"/>
        <v/>
      </c>
      <c r="N353" s="54" t="str">
        <f>IF($B353="","",IFERROR(INDEX(tblEstados[Acción],MATCH($C353,tblEstados[Estado],0)),""))</f>
        <v/>
      </c>
      <c r="O353" s="60" t="str">
        <f>IF($B353="","",INDEX(tblStock[UltimoMov],'91_KPIS'!$Q353))</f>
        <v/>
      </c>
    </row>
    <row r="354" spans="2:15" x14ac:dyDescent="0.25">
      <c r="B354" s="62" t="str">
        <f>IF('91_KPIS'!$Q354="","",'91_KPIS'!$O354)</f>
        <v/>
      </c>
      <c r="C354" s="58" t="str">
        <f>IF($B354="","",INDEX(tblStock[Estado],'91_KPIS'!$Q354))</f>
        <v/>
      </c>
      <c r="D354" s="53" t="str">
        <f>IF($B354="","",INDEX(tblStock[SKU],'91_KPIS'!$Q354))</f>
        <v/>
      </c>
      <c r="E354" s="54" t="str">
        <f>IF($B354="","",INDEX(tblStock[Producto],'91_KPIS'!$Q354))</f>
        <v/>
      </c>
      <c r="F354" s="54" t="str">
        <f>IF($B354="","",INDEX(tblStock[Categoría],'91_KPIS'!$Q354))</f>
        <v/>
      </c>
      <c r="G354" s="54" t="str">
        <f>IF($B354="","",INDEX(tblStock[Proveedor],'91_KPIS'!$Q354)&amp;"")</f>
        <v/>
      </c>
      <c r="H354" s="56" t="str">
        <f>IF($B354="","",INDEX(tblStock[StockActual],'91_KPIS'!$Q354))</f>
        <v/>
      </c>
      <c r="I354" s="55" t="str">
        <f>IF($B354="","",INDEX(tblStock[StockMin],'91_KPIS'!$Q354))</f>
        <v/>
      </c>
      <c r="J354" s="55" t="str">
        <f>IF($B354="","",INDEX(tblStock[StockMax],'91_KPIS'!$Q354))</f>
        <v/>
      </c>
      <c r="K354" s="53" t="str">
        <f>IF($B354="","",INDEX(tblStock[Unidad],'91_KPIS'!$Q354))</f>
        <v/>
      </c>
      <c r="L354" s="55" t="str">
        <f t="shared" si="10"/>
        <v/>
      </c>
      <c r="M354" s="55" t="str">
        <f t="shared" si="11"/>
        <v/>
      </c>
      <c r="N354" s="54" t="str">
        <f>IF($B354="","",IFERROR(INDEX(tblEstados[Acción],MATCH($C354,tblEstados[Estado],0)),""))</f>
        <v/>
      </c>
      <c r="O354" s="60" t="str">
        <f>IF($B354="","",INDEX(tblStock[UltimoMov],'91_KPIS'!$Q354))</f>
        <v/>
      </c>
    </row>
    <row r="355" spans="2:15" x14ac:dyDescent="0.25">
      <c r="B355" s="62" t="str">
        <f>IF('91_KPIS'!$Q355="","",'91_KPIS'!$O355)</f>
        <v/>
      </c>
      <c r="C355" s="58" t="str">
        <f>IF($B355="","",INDEX(tblStock[Estado],'91_KPIS'!$Q355))</f>
        <v/>
      </c>
      <c r="D355" s="53" t="str">
        <f>IF($B355="","",INDEX(tblStock[SKU],'91_KPIS'!$Q355))</f>
        <v/>
      </c>
      <c r="E355" s="54" t="str">
        <f>IF($B355="","",INDEX(tblStock[Producto],'91_KPIS'!$Q355))</f>
        <v/>
      </c>
      <c r="F355" s="54" t="str">
        <f>IF($B355="","",INDEX(tblStock[Categoría],'91_KPIS'!$Q355))</f>
        <v/>
      </c>
      <c r="G355" s="54" t="str">
        <f>IF($B355="","",INDEX(tblStock[Proveedor],'91_KPIS'!$Q355)&amp;"")</f>
        <v/>
      </c>
      <c r="H355" s="56" t="str">
        <f>IF($B355="","",INDEX(tblStock[StockActual],'91_KPIS'!$Q355))</f>
        <v/>
      </c>
      <c r="I355" s="55" t="str">
        <f>IF($B355="","",INDEX(tblStock[StockMin],'91_KPIS'!$Q355))</f>
        <v/>
      </c>
      <c r="J355" s="55" t="str">
        <f>IF($B355="","",INDEX(tblStock[StockMax],'91_KPIS'!$Q355))</f>
        <v/>
      </c>
      <c r="K355" s="53" t="str">
        <f>IF($B355="","",INDEX(tblStock[Unidad],'91_KPIS'!$Q355))</f>
        <v/>
      </c>
      <c r="L355" s="55" t="str">
        <f t="shared" si="10"/>
        <v/>
      </c>
      <c r="M355" s="55" t="str">
        <f t="shared" si="11"/>
        <v/>
      </c>
      <c r="N355" s="54" t="str">
        <f>IF($B355="","",IFERROR(INDEX(tblEstados[Acción],MATCH($C355,tblEstados[Estado],0)),""))</f>
        <v/>
      </c>
      <c r="O355" s="60" t="str">
        <f>IF($B355="","",INDEX(tblStock[UltimoMov],'91_KPIS'!$Q355))</f>
        <v/>
      </c>
    </row>
    <row r="356" spans="2:15" x14ac:dyDescent="0.25">
      <c r="B356" s="62" t="str">
        <f>IF('91_KPIS'!$Q356="","",'91_KPIS'!$O356)</f>
        <v/>
      </c>
      <c r="C356" s="58" t="str">
        <f>IF($B356="","",INDEX(tblStock[Estado],'91_KPIS'!$Q356))</f>
        <v/>
      </c>
      <c r="D356" s="53" t="str">
        <f>IF($B356="","",INDEX(tblStock[SKU],'91_KPIS'!$Q356))</f>
        <v/>
      </c>
      <c r="E356" s="54" t="str">
        <f>IF($B356="","",INDEX(tblStock[Producto],'91_KPIS'!$Q356))</f>
        <v/>
      </c>
      <c r="F356" s="54" t="str">
        <f>IF($B356="","",INDEX(tblStock[Categoría],'91_KPIS'!$Q356))</f>
        <v/>
      </c>
      <c r="G356" s="54" t="str">
        <f>IF($B356="","",INDEX(tblStock[Proveedor],'91_KPIS'!$Q356)&amp;"")</f>
        <v/>
      </c>
      <c r="H356" s="56" t="str">
        <f>IF($B356="","",INDEX(tblStock[StockActual],'91_KPIS'!$Q356))</f>
        <v/>
      </c>
      <c r="I356" s="55" t="str">
        <f>IF($B356="","",INDEX(tblStock[StockMin],'91_KPIS'!$Q356))</f>
        <v/>
      </c>
      <c r="J356" s="55" t="str">
        <f>IF($B356="","",INDEX(tblStock[StockMax],'91_KPIS'!$Q356))</f>
        <v/>
      </c>
      <c r="K356" s="53" t="str">
        <f>IF($B356="","",INDEX(tblStock[Unidad],'91_KPIS'!$Q356))</f>
        <v/>
      </c>
      <c r="L356" s="55" t="str">
        <f t="shared" si="10"/>
        <v/>
      </c>
      <c r="M356" s="55" t="str">
        <f t="shared" si="11"/>
        <v/>
      </c>
      <c r="N356" s="54" t="str">
        <f>IF($B356="","",IFERROR(INDEX(tblEstados[Acción],MATCH($C356,tblEstados[Estado],0)),""))</f>
        <v/>
      </c>
      <c r="O356" s="60" t="str">
        <f>IF($B356="","",INDEX(tblStock[UltimoMov],'91_KPIS'!$Q356))</f>
        <v/>
      </c>
    </row>
    <row r="357" spans="2:15" x14ac:dyDescent="0.25">
      <c r="B357" s="62" t="str">
        <f>IF('91_KPIS'!$Q357="","",'91_KPIS'!$O357)</f>
        <v/>
      </c>
      <c r="C357" s="58" t="str">
        <f>IF($B357="","",INDEX(tblStock[Estado],'91_KPIS'!$Q357))</f>
        <v/>
      </c>
      <c r="D357" s="53" t="str">
        <f>IF($B357="","",INDEX(tblStock[SKU],'91_KPIS'!$Q357))</f>
        <v/>
      </c>
      <c r="E357" s="54" t="str">
        <f>IF($B357="","",INDEX(tblStock[Producto],'91_KPIS'!$Q357))</f>
        <v/>
      </c>
      <c r="F357" s="54" t="str">
        <f>IF($B357="","",INDEX(tblStock[Categoría],'91_KPIS'!$Q357))</f>
        <v/>
      </c>
      <c r="G357" s="54" t="str">
        <f>IF($B357="","",INDEX(tblStock[Proveedor],'91_KPIS'!$Q357)&amp;"")</f>
        <v/>
      </c>
      <c r="H357" s="56" t="str">
        <f>IF($B357="","",INDEX(tblStock[StockActual],'91_KPIS'!$Q357))</f>
        <v/>
      </c>
      <c r="I357" s="55" t="str">
        <f>IF($B357="","",INDEX(tblStock[StockMin],'91_KPIS'!$Q357))</f>
        <v/>
      </c>
      <c r="J357" s="55" t="str">
        <f>IF($B357="","",INDEX(tblStock[StockMax],'91_KPIS'!$Q357))</f>
        <v/>
      </c>
      <c r="K357" s="53" t="str">
        <f>IF($B357="","",INDEX(tblStock[Unidad],'91_KPIS'!$Q357))</f>
        <v/>
      </c>
      <c r="L357" s="55" t="str">
        <f t="shared" si="10"/>
        <v/>
      </c>
      <c r="M357" s="55" t="str">
        <f t="shared" si="11"/>
        <v/>
      </c>
      <c r="N357" s="54" t="str">
        <f>IF($B357="","",IFERROR(INDEX(tblEstados[Acción],MATCH($C357,tblEstados[Estado],0)),""))</f>
        <v/>
      </c>
      <c r="O357" s="60" t="str">
        <f>IF($B357="","",INDEX(tblStock[UltimoMov],'91_KPIS'!$Q357))</f>
        <v/>
      </c>
    </row>
    <row r="358" spans="2:15" x14ac:dyDescent="0.25">
      <c r="B358" s="62" t="str">
        <f>IF('91_KPIS'!$Q358="","",'91_KPIS'!$O358)</f>
        <v/>
      </c>
      <c r="C358" s="58" t="str">
        <f>IF($B358="","",INDEX(tblStock[Estado],'91_KPIS'!$Q358))</f>
        <v/>
      </c>
      <c r="D358" s="53" t="str">
        <f>IF($B358="","",INDEX(tblStock[SKU],'91_KPIS'!$Q358))</f>
        <v/>
      </c>
      <c r="E358" s="54" t="str">
        <f>IF($B358="","",INDEX(tblStock[Producto],'91_KPIS'!$Q358))</f>
        <v/>
      </c>
      <c r="F358" s="54" t="str">
        <f>IF($B358="","",INDEX(tblStock[Categoría],'91_KPIS'!$Q358))</f>
        <v/>
      </c>
      <c r="G358" s="54" t="str">
        <f>IF($B358="","",INDEX(tblStock[Proveedor],'91_KPIS'!$Q358)&amp;"")</f>
        <v/>
      </c>
      <c r="H358" s="56" t="str">
        <f>IF($B358="","",INDEX(tblStock[StockActual],'91_KPIS'!$Q358))</f>
        <v/>
      </c>
      <c r="I358" s="55" t="str">
        <f>IF($B358="","",INDEX(tblStock[StockMin],'91_KPIS'!$Q358))</f>
        <v/>
      </c>
      <c r="J358" s="55" t="str">
        <f>IF($B358="","",INDEX(tblStock[StockMax],'91_KPIS'!$Q358))</f>
        <v/>
      </c>
      <c r="K358" s="53" t="str">
        <f>IF($B358="","",INDEX(tblStock[Unidad],'91_KPIS'!$Q358))</f>
        <v/>
      </c>
      <c r="L358" s="55" t="str">
        <f t="shared" si="10"/>
        <v/>
      </c>
      <c r="M358" s="55" t="str">
        <f t="shared" si="11"/>
        <v/>
      </c>
      <c r="N358" s="54" t="str">
        <f>IF($B358="","",IFERROR(INDEX(tblEstados[Acción],MATCH($C358,tblEstados[Estado],0)),""))</f>
        <v/>
      </c>
      <c r="O358" s="60" t="str">
        <f>IF($B358="","",INDEX(tblStock[UltimoMov],'91_KPIS'!$Q358))</f>
        <v/>
      </c>
    </row>
    <row r="359" spans="2:15" x14ac:dyDescent="0.25">
      <c r="B359" s="62" t="str">
        <f>IF('91_KPIS'!$Q359="","",'91_KPIS'!$O359)</f>
        <v/>
      </c>
      <c r="C359" s="58" t="str">
        <f>IF($B359="","",INDEX(tblStock[Estado],'91_KPIS'!$Q359))</f>
        <v/>
      </c>
      <c r="D359" s="53" t="str">
        <f>IF($B359="","",INDEX(tblStock[SKU],'91_KPIS'!$Q359))</f>
        <v/>
      </c>
      <c r="E359" s="54" t="str">
        <f>IF($B359="","",INDEX(tblStock[Producto],'91_KPIS'!$Q359))</f>
        <v/>
      </c>
      <c r="F359" s="54" t="str">
        <f>IF($B359="","",INDEX(tblStock[Categoría],'91_KPIS'!$Q359))</f>
        <v/>
      </c>
      <c r="G359" s="54" t="str">
        <f>IF($B359="","",INDEX(tblStock[Proveedor],'91_KPIS'!$Q359)&amp;"")</f>
        <v/>
      </c>
      <c r="H359" s="56" t="str">
        <f>IF($B359="","",INDEX(tblStock[StockActual],'91_KPIS'!$Q359))</f>
        <v/>
      </c>
      <c r="I359" s="55" t="str">
        <f>IF($B359="","",INDEX(tblStock[StockMin],'91_KPIS'!$Q359))</f>
        <v/>
      </c>
      <c r="J359" s="55" t="str">
        <f>IF($B359="","",INDEX(tblStock[StockMax],'91_KPIS'!$Q359))</f>
        <v/>
      </c>
      <c r="K359" s="53" t="str">
        <f>IF($B359="","",INDEX(tblStock[Unidad],'91_KPIS'!$Q359))</f>
        <v/>
      </c>
      <c r="L359" s="55" t="str">
        <f t="shared" si="10"/>
        <v/>
      </c>
      <c r="M359" s="55" t="str">
        <f t="shared" si="11"/>
        <v/>
      </c>
      <c r="N359" s="54" t="str">
        <f>IF($B359="","",IFERROR(INDEX(tblEstados[Acción],MATCH($C359,tblEstados[Estado],0)),""))</f>
        <v/>
      </c>
      <c r="O359" s="60" t="str">
        <f>IF($B359="","",INDEX(tblStock[UltimoMov],'91_KPIS'!$Q359))</f>
        <v/>
      </c>
    </row>
    <row r="360" spans="2:15" x14ac:dyDescent="0.25">
      <c r="B360" s="62" t="str">
        <f>IF('91_KPIS'!$Q360="","",'91_KPIS'!$O360)</f>
        <v/>
      </c>
      <c r="C360" s="58" t="str">
        <f>IF($B360="","",INDEX(tblStock[Estado],'91_KPIS'!$Q360))</f>
        <v/>
      </c>
      <c r="D360" s="53" t="str">
        <f>IF($B360="","",INDEX(tblStock[SKU],'91_KPIS'!$Q360))</f>
        <v/>
      </c>
      <c r="E360" s="54" t="str">
        <f>IF($B360="","",INDEX(tblStock[Producto],'91_KPIS'!$Q360))</f>
        <v/>
      </c>
      <c r="F360" s="54" t="str">
        <f>IF($B360="","",INDEX(tblStock[Categoría],'91_KPIS'!$Q360))</f>
        <v/>
      </c>
      <c r="G360" s="54" t="str">
        <f>IF($B360="","",INDEX(tblStock[Proveedor],'91_KPIS'!$Q360)&amp;"")</f>
        <v/>
      </c>
      <c r="H360" s="56" t="str">
        <f>IF($B360="","",INDEX(tblStock[StockActual],'91_KPIS'!$Q360))</f>
        <v/>
      </c>
      <c r="I360" s="55" t="str">
        <f>IF($B360="","",INDEX(tblStock[StockMin],'91_KPIS'!$Q360))</f>
        <v/>
      </c>
      <c r="J360" s="55" t="str">
        <f>IF($B360="","",INDEX(tblStock[StockMax],'91_KPIS'!$Q360))</f>
        <v/>
      </c>
      <c r="K360" s="53" t="str">
        <f>IF($B360="","",INDEX(tblStock[Unidad],'91_KPIS'!$Q360))</f>
        <v/>
      </c>
      <c r="L360" s="55" t="str">
        <f t="shared" si="10"/>
        <v/>
      </c>
      <c r="M360" s="55" t="str">
        <f t="shared" si="11"/>
        <v/>
      </c>
      <c r="N360" s="54" t="str">
        <f>IF($B360="","",IFERROR(INDEX(tblEstados[Acción],MATCH($C360,tblEstados[Estado],0)),""))</f>
        <v/>
      </c>
      <c r="O360" s="60" t="str">
        <f>IF($B360="","",INDEX(tblStock[UltimoMov],'91_KPIS'!$Q360))</f>
        <v/>
      </c>
    </row>
    <row r="361" spans="2:15" x14ac:dyDescent="0.25">
      <c r="B361" s="62" t="str">
        <f>IF('91_KPIS'!$Q361="","",'91_KPIS'!$O361)</f>
        <v/>
      </c>
      <c r="C361" s="58" t="str">
        <f>IF($B361="","",INDEX(tblStock[Estado],'91_KPIS'!$Q361))</f>
        <v/>
      </c>
      <c r="D361" s="53" t="str">
        <f>IF($B361="","",INDEX(tblStock[SKU],'91_KPIS'!$Q361))</f>
        <v/>
      </c>
      <c r="E361" s="54" t="str">
        <f>IF($B361="","",INDEX(tblStock[Producto],'91_KPIS'!$Q361))</f>
        <v/>
      </c>
      <c r="F361" s="54" t="str">
        <f>IF($B361="","",INDEX(tblStock[Categoría],'91_KPIS'!$Q361))</f>
        <v/>
      </c>
      <c r="G361" s="54" t="str">
        <f>IF($B361="","",INDEX(tblStock[Proveedor],'91_KPIS'!$Q361)&amp;"")</f>
        <v/>
      </c>
      <c r="H361" s="56" t="str">
        <f>IF($B361="","",INDEX(tblStock[StockActual],'91_KPIS'!$Q361))</f>
        <v/>
      </c>
      <c r="I361" s="55" t="str">
        <f>IF($B361="","",INDEX(tblStock[StockMin],'91_KPIS'!$Q361))</f>
        <v/>
      </c>
      <c r="J361" s="55" t="str">
        <f>IF($B361="","",INDEX(tblStock[StockMax],'91_KPIS'!$Q361))</f>
        <v/>
      </c>
      <c r="K361" s="53" t="str">
        <f>IF($B361="","",INDEX(tblStock[Unidad],'91_KPIS'!$Q361))</f>
        <v/>
      </c>
      <c r="L361" s="55" t="str">
        <f t="shared" si="10"/>
        <v/>
      </c>
      <c r="M361" s="55" t="str">
        <f t="shared" si="11"/>
        <v/>
      </c>
      <c r="N361" s="54" t="str">
        <f>IF($B361="","",IFERROR(INDEX(tblEstados[Acción],MATCH($C361,tblEstados[Estado],0)),""))</f>
        <v/>
      </c>
      <c r="O361" s="60" t="str">
        <f>IF($B361="","",INDEX(tblStock[UltimoMov],'91_KPIS'!$Q361))</f>
        <v/>
      </c>
    </row>
    <row r="362" spans="2:15" x14ac:dyDescent="0.25">
      <c r="B362" s="62" t="str">
        <f>IF('91_KPIS'!$Q362="","",'91_KPIS'!$O362)</f>
        <v/>
      </c>
      <c r="C362" s="58" t="str">
        <f>IF($B362="","",INDEX(tblStock[Estado],'91_KPIS'!$Q362))</f>
        <v/>
      </c>
      <c r="D362" s="53" t="str">
        <f>IF($B362="","",INDEX(tblStock[SKU],'91_KPIS'!$Q362))</f>
        <v/>
      </c>
      <c r="E362" s="54" t="str">
        <f>IF($B362="","",INDEX(tblStock[Producto],'91_KPIS'!$Q362))</f>
        <v/>
      </c>
      <c r="F362" s="54" t="str">
        <f>IF($B362="","",INDEX(tblStock[Categoría],'91_KPIS'!$Q362))</f>
        <v/>
      </c>
      <c r="G362" s="54" t="str">
        <f>IF($B362="","",INDEX(tblStock[Proveedor],'91_KPIS'!$Q362)&amp;"")</f>
        <v/>
      </c>
      <c r="H362" s="56" t="str">
        <f>IF($B362="","",INDEX(tblStock[StockActual],'91_KPIS'!$Q362))</f>
        <v/>
      </c>
      <c r="I362" s="55" t="str">
        <f>IF($B362="","",INDEX(tblStock[StockMin],'91_KPIS'!$Q362))</f>
        <v/>
      </c>
      <c r="J362" s="55" t="str">
        <f>IF($B362="","",INDEX(tblStock[StockMax],'91_KPIS'!$Q362))</f>
        <v/>
      </c>
      <c r="K362" s="53" t="str">
        <f>IF($B362="","",INDEX(tblStock[Unidad],'91_KPIS'!$Q362))</f>
        <v/>
      </c>
      <c r="L362" s="55" t="str">
        <f t="shared" si="10"/>
        <v/>
      </c>
      <c r="M362" s="55" t="str">
        <f t="shared" si="11"/>
        <v/>
      </c>
      <c r="N362" s="54" t="str">
        <f>IF($B362="","",IFERROR(INDEX(tblEstados[Acción],MATCH($C362,tblEstados[Estado],0)),""))</f>
        <v/>
      </c>
      <c r="O362" s="60" t="str">
        <f>IF($B362="","",INDEX(tblStock[UltimoMov],'91_KPIS'!$Q362))</f>
        <v/>
      </c>
    </row>
    <row r="363" spans="2:15" x14ac:dyDescent="0.25">
      <c r="B363" s="62" t="str">
        <f>IF('91_KPIS'!$Q363="","",'91_KPIS'!$O363)</f>
        <v/>
      </c>
      <c r="C363" s="58" t="str">
        <f>IF($B363="","",INDEX(tblStock[Estado],'91_KPIS'!$Q363))</f>
        <v/>
      </c>
      <c r="D363" s="53" t="str">
        <f>IF($B363="","",INDEX(tblStock[SKU],'91_KPIS'!$Q363))</f>
        <v/>
      </c>
      <c r="E363" s="54" t="str">
        <f>IF($B363="","",INDEX(tblStock[Producto],'91_KPIS'!$Q363))</f>
        <v/>
      </c>
      <c r="F363" s="54" t="str">
        <f>IF($B363="","",INDEX(tblStock[Categoría],'91_KPIS'!$Q363))</f>
        <v/>
      </c>
      <c r="G363" s="54" t="str">
        <f>IF($B363="","",INDEX(tblStock[Proveedor],'91_KPIS'!$Q363)&amp;"")</f>
        <v/>
      </c>
      <c r="H363" s="56" t="str">
        <f>IF($B363="","",INDEX(tblStock[StockActual],'91_KPIS'!$Q363))</f>
        <v/>
      </c>
      <c r="I363" s="55" t="str">
        <f>IF($B363="","",INDEX(tblStock[StockMin],'91_KPIS'!$Q363))</f>
        <v/>
      </c>
      <c r="J363" s="55" t="str">
        <f>IF($B363="","",INDEX(tblStock[StockMax],'91_KPIS'!$Q363))</f>
        <v/>
      </c>
      <c r="K363" s="53" t="str">
        <f>IF($B363="","",INDEX(tblStock[Unidad],'91_KPIS'!$Q363))</f>
        <v/>
      </c>
      <c r="L363" s="55" t="str">
        <f t="shared" si="10"/>
        <v/>
      </c>
      <c r="M363" s="55" t="str">
        <f t="shared" si="11"/>
        <v/>
      </c>
      <c r="N363" s="54" t="str">
        <f>IF($B363="","",IFERROR(INDEX(tblEstados[Acción],MATCH($C363,tblEstados[Estado],0)),""))</f>
        <v/>
      </c>
      <c r="O363" s="60" t="str">
        <f>IF($B363="","",INDEX(tblStock[UltimoMov],'91_KPIS'!$Q363))</f>
        <v/>
      </c>
    </row>
    <row r="364" spans="2:15" x14ac:dyDescent="0.25">
      <c r="B364" s="62" t="str">
        <f>IF('91_KPIS'!$Q364="","",'91_KPIS'!$O364)</f>
        <v/>
      </c>
      <c r="C364" s="58" t="str">
        <f>IF($B364="","",INDEX(tblStock[Estado],'91_KPIS'!$Q364))</f>
        <v/>
      </c>
      <c r="D364" s="53" t="str">
        <f>IF($B364="","",INDEX(tblStock[SKU],'91_KPIS'!$Q364))</f>
        <v/>
      </c>
      <c r="E364" s="54" t="str">
        <f>IF($B364="","",INDEX(tblStock[Producto],'91_KPIS'!$Q364))</f>
        <v/>
      </c>
      <c r="F364" s="54" t="str">
        <f>IF($B364="","",INDEX(tblStock[Categoría],'91_KPIS'!$Q364))</f>
        <v/>
      </c>
      <c r="G364" s="54" t="str">
        <f>IF($B364="","",INDEX(tblStock[Proveedor],'91_KPIS'!$Q364)&amp;"")</f>
        <v/>
      </c>
      <c r="H364" s="56" t="str">
        <f>IF($B364="","",INDEX(tblStock[StockActual],'91_KPIS'!$Q364))</f>
        <v/>
      </c>
      <c r="I364" s="55" t="str">
        <f>IF($B364="","",INDEX(tblStock[StockMin],'91_KPIS'!$Q364))</f>
        <v/>
      </c>
      <c r="J364" s="55" t="str">
        <f>IF($B364="","",INDEX(tblStock[StockMax],'91_KPIS'!$Q364))</f>
        <v/>
      </c>
      <c r="K364" s="53" t="str">
        <f>IF($B364="","",INDEX(tblStock[Unidad],'91_KPIS'!$Q364))</f>
        <v/>
      </c>
      <c r="L364" s="55" t="str">
        <f t="shared" si="10"/>
        <v/>
      </c>
      <c r="M364" s="55" t="str">
        <f t="shared" si="11"/>
        <v/>
      </c>
      <c r="N364" s="54" t="str">
        <f>IF($B364="","",IFERROR(INDEX(tblEstados[Acción],MATCH($C364,tblEstados[Estado],0)),""))</f>
        <v/>
      </c>
      <c r="O364" s="60" t="str">
        <f>IF($B364="","",INDEX(tblStock[UltimoMov],'91_KPIS'!$Q364))</f>
        <v/>
      </c>
    </row>
    <row r="365" spans="2:15" x14ac:dyDescent="0.25">
      <c r="B365" s="62" t="str">
        <f>IF('91_KPIS'!$Q365="","",'91_KPIS'!$O365)</f>
        <v/>
      </c>
      <c r="C365" s="58" t="str">
        <f>IF($B365="","",INDEX(tblStock[Estado],'91_KPIS'!$Q365))</f>
        <v/>
      </c>
      <c r="D365" s="53" t="str">
        <f>IF($B365="","",INDEX(tblStock[SKU],'91_KPIS'!$Q365))</f>
        <v/>
      </c>
      <c r="E365" s="54" t="str">
        <f>IF($B365="","",INDEX(tblStock[Producto],'91_KPIS'!$Q365))</f>
        <v/>
      </c>
      <c r="F365" s="54" t="str">
        <f>IF($B365="","",INDEX(tblStock[Categoría],'91_KPIS'!$Q365))</f>
        <v/>
      </c>
      <c r="G365" s="54" t="str">
        <f>IF($B365="","",INDEX(tblStock[Proveedor],'91_KPIS'!$Q365)&amp;"")</f>
        <v/>
      </c>
      <c r="H365" s="56" t="str">
        <f>IF($B365="","",INDEX(tblStock[StockActual],'91_KPIS'!$Q365))</f>
        <v/>
      </c>
      <c r="I365" s="55" t="str">
        <f>IF($B365="","",INDEX(tblStock[StockMin],'91_KPIS'!$Q365))</f>
        <v/>
      </c>
      <c r="J365" s="55" t="str">
        <f>IF($B365="","",INDEX(tblStock[StockMax],'91_KPIS'!$Q365))</f>
        <v/>
      </c>
      <c r="K365" s="53" t="str">
        <f>IF($B365="","",INDEX(tblStock[Unidad],'91_KPIS'!$Q365))</f>
        <v/>
      </c>
      <c r="L365" s="55" t="str">
        <f t="shared" si="10"/>
        <v/>
      </c>
      <c r="M365" s="55" t="str">
        <f t="shared" si="11"/>
        <v/>
      </c>
      <c r="N365" s="54" t="str">
        <f>IF($B365="","",IFERROR(INDEX(tblEstados[Acción],MATCH($C365,tblEstados[Estado],0)),""))</f>
        <v/>
      </c>
      <c r="O365" s="60" t="str">
        <f>IF($B365="","",INDEX(tblStock[UltimoMov],'91_KPIS'!$Q365))</f>
        <v/>
      </c>
    </row>
    <row r="366" spans="2:15" x14ac:dyDescent="0.25">
      <c r="B366" s="62" t="str">
        <f>IF('91_KPIS'!$Q366="","",'91_KPIS'!$O366)</f>
        <v/>
      </c>
      <c r="C366" s="58" t="str">
        <f>IF($B366="","",INDEX(tblStock[Estado],'91_KPIS'!$Q366))</f>
        <v/>
      </c>
      <c r="D366" s="53" t="str">
        <f>IF($B366="","",INDEX(tblStock[SKU],'91_KPIS'!$Q366))</f>
        <v/>
      </c>
      <c r="E366" s="54" t="str">
        <f>IF($B366="","",INDEX(tblStock[Producto],'91_KPIS'!$Q366))</f>
        <v/>
      </c>
      <c r="F366" s="54" t="str">
        <f>IF($B366="","",INDEX(tblStock[Categoría],'91_KPIS'!$Q366))</f>
        <v/>
      </c>
      <c r="G366" s="54" t="str">
        <f>IF($B366="","",INDEX(tblStock[Proveedor],'91_KPIS'!$Q366)&amp;"")</f>
        <v/>
      </c>
      <c r="H366" s="56" t="str">
        <f>IF($B366="","",INDEX(tblStock[StockActual],'91_KPIS'!$Q366))</f>
        <v/>
      </c>
      <c r="I366" s="55" t="str">
        <f>IF($B366="","",INDEX(tblStock[StockMin],'91_KPIS'!$Q366))</f>
        <v/>
      </c>
      <c r="J366" s="55" t="str">
        <f>IF($B366="","",INDEX(tblStock[StockMax],'91_KPIS'!$Q366))</f>
        <v/>
      </c>
      <c r="K366" s="53" t="str">
        <f>IF($B366="","",INDEX(tblStock[Unidad],'91_KPIS'!$Q366))</f>
        <v/>
      </c>
      <c r="L366" s="55" t="str">
        <f t="shared" si="10"/>
        <v/>
      </c>
      <c r="M366" s="55" t="str">
        <f t="shared" si="11"/>
        <v/>
      </c>
      <c r="N366" s="54" t="str">
        <f>IF($B366="","",IFERROR(INDEX(tblEstados[Acción],MATCH($C366,tblEstados[Estado],0)),""))</f>
        <v/>
      </c>
      <c r="O366" s="60" t="str">
        <f>IF($B366="","",INDEX(tblStock[UltimoMov],'91_KPIS'!$Q366))</f>
        <v/>
      </c>
    </row>
    <row r="367" spans="2:15" x14ac:dyDescent="0.25">
      <c r="B367" s="62" t="str">
        <f>IF('91_KPIS'!$Q367="","",'91_KPIS'!$O367)</f>
        <v/>
      </c>
      <c r="C367" s="58" t="str">
        <f>IF($B367="","",INDEX(tblStock[Estado],'91_KPIS'!$Q367))</f>
        <v/>
      </c>
      <c r="D367" s="53" t="str">
        <f>IF($B367="","",INDEX(tblStock[SKU],'91_KPIS'!$Q367))</f>
        <v/>
      </c>
      <c r="E367" s="54" t="str">
        <f>IF($B367="","",INDEX(tblStock[Producto],'91_KPIS'!$Q367))</f>
        <v/>
      </c>
      <c r="F367" s="54" t="str">
        <f>IF($B367="","",INDEX(tblStock[Categoría],'91_KPIS'!$Q367))</f>
        <v/>
      </c>
      <c r="G367" s="54" t="str">
        <f>IF($B367="","",INDEX(tblStock[Proveedor],'91_KPIS'!$Q367)&amp;"")</f>
        <v/>
      </c>
      <c r="H367" s="56" t="str">
        <f>IF($B367="","",INDEX(tblStock[StockActual],'91_KPIS'!$Q367))</f>
        <v/>
      </c>
      <c r="I367" s="55" t="str">
        <f>IF($B367="","",INDEX(tblStock[StockMin],'91_KPIS'!$Q367))</f>
        <v/>
      </c>
      <c r="J367" s="55" t="str">
        <f>IF($B367="","",INDEX(tblStock[StockMax],'91_KPIS'!$Q367))</f>
        <v/>
      </c>
      <c r="K367" s="53" t="str">
        <f>IF($B367="","",INDEX(tblStock[Unidad],'91_KPIS'!$Q367))</f>
        <v/>
      </c>
      <c r="L367" s="55" t="str">
        <f t="shared" si="10"/>
        <v/>
      </c>
      <c r="M367" s="55" t="str">
        <f t="shared" si="11"/>
        <v/>
      </c>
      <c r="N367" s="54" t="str">
        <f>IF($B367="","",IFERROR(INDEX(tblEstados[Acción],MATCH($C367,tblEstados[Estado],0)),""))</f>
        <v/>
      </c>
      <c r="O367" s="60" t="str">
        <f>IF($B367="","",INDEX(tblStock[UltimoMov],'91_KPIS'!$Q367))</f>
        <v/>
      </c>
    </row>
    <row r="368" spans="2:15" x14ac:dyDescent="0.25">
      <c r="B368" s="62" t="str">
        <f>IF('91_KPIS'!$Q368="","",'91_KPIS'!$O368)</f>
        <v/>
      </c>
      <c r="C368" s="58" t="str">
        <f>IF($B368="","",INDEX(tblStock[Estado],'91_KPIS'!$Q368))</f>
        <v/>
      </c>
      <c r="D368" s="53" t="str">
        <f>IF($B368="","",INDEX(tblStock[SKU],'91_KPIS'!$Q368))</f>
        <v/>
      </c>
      <c r="E368" s="54" t="str">
        <f>IF($B368="","",INDEX(tblStock[Producto],'91_KPIS'!$Q368))</f>
        <v/>
      </c>
      <c r="F368" s="54" t="str">
        <f>IF($B368="","",INDEX(tblStock[Categoría],'91_KPIS'!$Q368))</f>
        <v/>
      </c>
      <c r="G368" s="54" t="str">
        <f>IF($B368="","",INDEX(tblStock[Proveedor],'91_KPIS'!$Q368)&amp;"")</f>
        <v/>
      </c>
      <c r="H368" s="56" t="str">
        <f>IF($B368="","",INDEX(tblStock[StockActual],'91_KPIS'!$Q368))</f>
        <v/>
      </c>
      <c r="I368" s="55" t="str">
        <f>IF($B368="","",INDEX(tblStock[StockMin],'91_KPIS'!$Q368))</f>
        <v/>
      </c>
      <c r="J368" s="55" t="str">
        <f>IF($B368="","",INDEX(tblStock[StockMax],'91_KPIS'!$Q368))</f>
        <v/>
      </c>
      <c r="K368" s="53" t="str">
        <f>IF($B368="","",INDEX(tblStock[Unidad],'91_KPIS'!$Q368))</f>
        <v/>
      </c>
      <c r="L368" s="55" t="str">
        <f t="shared" si="10"/>
        <v/>
      </c>
      <c r="M368" s="55" t="str">
        <f t="shared" si="11"/>
        <v/>
      </c>
      <c r="N368" s="54" t="str">
        <f>IF($B368="","",IFERROR(INDEX(tblEstados[Acción],MATCH($C368,tblEstados[Estado],0)),""))</f>
        <v/>
      </c>
      <c r="O368" s="60" t="str">
        <f>IF($B368="","",INDEX(tblStock[UltimoMov],'91_KPIS'!$Q368))</f>
        <v/>
      </c>
    </row>
    <row r="369" spans="2:15" x14ac:dyDescent="0.25">
      <c r="B369" s="62" t="str">
        <f>IF('91_KPIS'!$Q369="","",'91_KPIS'!$O369)</f>
        <v/>
      </c>
      <c r="C369" s="58" t="str">
        <f>IF($B369="","",INDEX(tblStock[Estado],'91_KPIS'!$Q369))</f>
        <v/>
      </c>
      <c r="D369" s="53" t="str">
        <f>IF($B369="","",INDEX(tblStock[SKU],'91_KPIS'!$Q369))</f>
        <v/>
      </c>
      <c r="E369" s="54" t="str">
        <f>IF($B369="","",INDEX(tblStock[Producto],'91_KPIS'!$Q369))</f>
        <v/>
      </c>
      <c r="F369" s="54" t="str">
        <f>IF($B369="","",INDEX(tblStock[Categoría],'91_KPIS'!$Q369))</f>
        <v/>
      </c>
      <c r="G369" s="54" t="str">
        <f>IF($B369="","",INDEX(tblStock[Proveedor],'91_KPIS'!$Q369)&amp;"")</f>
        <v/>
      </c>
      <c r="H369" s="56" t="str">
        <f>IF($B369="","",INDEX(tblStock[StockActual],'91_KPIS'!$Q369))</f>
        <v/>
      </c>
      <c r="I369" s="55" t="str">
        <f>IF($B369="","",INDEX(tblStock[StockMin],'91_KPIS'!$Q369))</f>
        <v/>
      </c>
      <c r="J369" s="55" t="str">
        <f>IF($B369="","",INDEX(tblStock[StockMax],'91_KPIS'!$Q369))</f>
        <v/>
      </c>
      <c r="K369" s="53" t="str">
        <f>IF($B369="","",INDEX(tblStock[Unidad],'91_KPIS'!$Q369))</f>
        <v/>
      </c>
      <c r="L369" s="55" t="str">
        <f t="shared" si="10"/>
        <v/>
      </c>
      <c r="M369" s="55" t="str">
        <f t="shared" si="11"/>
        <v/>
      </c>
      <c r="N369" s="54" t="str">
        <f>IF($B369="","",IFERROR(INDEX(tblEstados[Acción],MATCH($C369,tblEstados[Estado],0)),""))</f>
        <v/>
      </c>
      <c r="O369" s="60" t="str">
        <f>IF($B369="","",INDEX(tblStock[UltimoMov],'91_KPIS'!$Q369))</f>
        <v/>
      </c>
    </row>
    <row r="370" spans="2:15" x14ac:dyDescent="0.25">
      <c r="B370" s="62" t="str">
        <f>IF('91_KPIS'!$Q370="","",'91_KPIS'!$O370)</f>
        <v/>
      </c>
      <c r="C370" s="58" t="str">
        <f>IF($B370="","",INDEX(tblStock[Estado],'91_KPIS'!$Q370))</f>
        <v/>
      </c>
      <c r="D370" s="53" t="str">
        <f>IF($B370="","",INDEX(tblStock[SKU],'91_KPIS'!$Q370))</f>
        <v/>
      </c>
      <c r="E370" s="54" t="str">
        <f>IF($B370="","",INDEX(tblStock[Producto],'91_KPIS'!$Q370))</f>
        <v/>
      </c>
      <c r="F370" s="54" t="str">
        <f>IF($B370="","",INDEX(tblStock[Categoría],'91_KPIS'!$Q370))</f>
        <v/>
      </c>
      <c r="G370" s="54" t="str">
        <f>IF($B370="","",INDEX(tblStock[Proveedor],'91_KPIS'!$Q370)&amp;"")</f>
        <v/>
      </c>
      <c r="H370" s="56" t="str">
        <f>IF($B370="","",INDEX(tblStock[StockActual],'91_KPIS'!$Q370))</f>
        <v/>
      </c>
      <c r="I370" s="55" t="str">
        <f>IF($B370="","",INDEX(tblStock[StockMin],'91_KPIS'!$Q370))</f>
        <v/>
      </c>
      <c r="J370" s="55" t="str">
        <f>IF($B370="","",INDEX(tblStock[StockMax],'91_KPIS'!$Q370))</f>
        <v/>
      </c>
      <c r="K370" s="53" t="str">
        <f>IF($B370="","",INDEX(tblStock[Unidad],'91_KPIS'!$Q370))</f>
        <v/>
      </c>
      <c r="L370" s="55" t="str">
        <f t="shared" si="10"/>
        <v/>
      </c>
      <c r="M370" s="55" t="str">
        <f t="shared" si="11"/>
        <v/>
      </c>
      <c r="N370" s="54" t="str">
        <f>IF($B370="","",IFERROR(INDEX(tblEstados[Acción],MATCH($C370,tblEstados[Estado],0)),""))</f>
        <v/>
      </c>
      <c r="O370" s="60" t="str">
        <f>IF($B370="","",INDEX(tblStock[UltimoMov],'91_KPIS'!$Q370))</f>
        <v/>
      </c>
    </row>
    <row r="371" spans="2:15" x14ac:dyDescent="0.25">
      <c r="B371" s="62" t="str">
        <f>IF('91_KPIS'!$Q371="","",'91_KPIS'!$O371)</f>
        <v/>
      </c>
      <c r="C371" s="58" t="str">
        <f>IF($B371="","",INDEX(tblStock[Estado],'91_KPIS'!$Q371))</f>
        <v/>
      </c>
      <c r="D371" s="53" t="str">
        <f>IF($B371="","",INDEX(tblStock[SKU],'91_KPIS'!$Q371))</f>
        <v/>
      </c>
      <c r="E371" s="54" t="str">
        <f>IF($B371="","",INDEX(tblStock[Producto],'91_KPIS'!$Q371))</f>
        <v/>
      </c>
      <c r="F371" s="54" t="str">
        <f>IF($B371="","",INDEX(tblStock[Categoría],'91_KPIS'!$Q371))</f>
        <v/>
      </c>
      <c r="G371" s="54" t="str">
        <f>IF($B371="","",INDEX(tblStock[Proveedor],'91_KPIS'!$Q371)&amp;"")</f>
        <v/>
      </c>
      <c r="H371" s="56" t="str">
        <f>IF($B371="","",INDEX(tblStock[StockActual],'91_KPIS'!$Q371))</f>
        <v/>
      </c>
      <c r="I371" s="55" t="str">
        <f>IF($B371="","",INDEX(tblStock[StockMin],'91_KPIS'!$Q371))</f>
        <v/>
      </c>
      <c r="J371" s="55" t="str">
        <f>IF($B371="","",INDEX(tblStock[StockMax],'91_KPIS'!$Q371))</f>
        <v/>
      </c>
      <c r="K371" s="53" t="str">
        <f>IF($B371="","",INDEX(tblStock[Unidad],'91_KPIS'!$Q371))</f>
        <v/>
      </c>
      <c r="L371" s="55" t="str">
        <f t="shared" si="10"/>
        <v/>
      </c>
      <c r="M371" s="55" t="str">
        <f t="shared" si="11"/>
        <v/>
      </c>
      <c r="N371" s="54" t="str">
        <f>IF($B371="","",IFERROR(INDEX(tblEstados[Acción],MATCH($C371,tblEstados[Estado],0)),""))</f>
        <v/>
      </c>
      <c r="O371" s="60" t="str">
        <f>IF($B371="","",INDEX(tblStock[UltimoMov],'91_KPIS'!$Q371))</f>
        <v/>
      </c>
    </row>
    <row r="372" spans="2:15" x14ac:dyDescent="0.25">
      <c r="B372" s="62" t="str">
        <f>IF('91_KPIS'!$Q372="","",'91_KPIS'!$O372)</f>
        <v/>
      </c>
      <c r="C372" s="58" t="str">
        <f>IF($B372="","",INDEX(tblStock[Estado],'91_KPIS'!$Q372))</f>
        <v/>
      </c>
      <c r="D372" s="53" t="str">
        <f>IF($B372="","",INDEX(tblStock[SKU],'91_KPIS'!$Q372))</f>
        <v/>
      </c>
      <c r="E372" s="54" t="str">
        <f>IF($B372="","",INDEX(tblStock[Producto],'91_KPIS'!$Q372))</f>
        <v/>
      </c>
      <c r="F372" s="54" t="str">
        <f>IF($B372="","",INDEX(tblStock[Categoría],'91_KPIS'!$Q372))</f>
        <v/>
      </c>
      <c r="G372" s="54" t="str">
        <f>IF($B372="","",INDEX(tblStock[Proveedor],'91_KPIS'!$Q372)&amp;"")</f>
        <v/>
      </c>
      <c r="H372" s="56" t="str">
        <f>IF($B372="","",INDEX(tblStock[StockActual],'91_KPIS'!$Q372))</f>
        <v/>
      </c>
      <c r="I372" s="55" t="str">
        <f>IF($B372="","",INDEX(tblStock[StockMin],'91_KPIS'!$Q372))</f>
        <v/>
      </c>
      <c r="J372" s="55" t="str">
        <f>IF($B372="","",INDEX(tblStock[StockMax],'91_KPIS'!$Q372))</f>
        <v/>
      </c>
      <c r="K372" s="53" t="str">
        <f>IF($B372="","",INDEX(tblStock[Unidad],'91_KPIS'!$Q372))</f>
        <v/>
      </c>
      <c r="L372" s="55" t="str">
        <f t="shared" si="10"/>
        <v/>
      </c>
      <c r="M372" s="55" t="str">
        <f t="shared" si="11"/>
        <v/>
      </c>
      <c r="N372" s="54" t="str">
        <f>IF($B372="","",IFERROR(INDEX(tblEstados[Acción],MATCH($C372,tblEstados[Estado],0)),""))</f>
        <v/>
      </c>
      <c r="O372" s="60" t="str">
        <f>IF($B372="","",INDEX(tblStock[UltimoMov],'91_KPIS'!$Q372))</f>
        <v/>
      </c>
    </row>
    <row r="373" spans="2:15" x14ac:dyDescent="0.25">
      <c r="B373" s="62" t="str">
        <f>IF('91_KPIS'!$Q373="","",'91_KPIS'!$O373)</f>
        <v/>
      </c>
      <c r="C373" s="58" t="str">
        <f>IF($B373="","",INDEX(tblStock[Estado],'91_KPIS'!$Q373))</f>
        <v/>
      </c>
      <c r="D373" s="53" t="str">
        <f>IF($B373="","",INDEX(tblStock[SKU],'91_KPIS'!$Q373))</f>
        <v/>
      </c>
      <c r="E373" s="54" t="str">
        <f>IF($B373="","",INDEX(tblStock[Producto],'91_KPIS'!$Q373))</f>
        <v/>
      </c>
      <c r="F373" s="54" t="str">
        <f>IF($B373="","",INDEX(tblStock[Categoría],'91_KPIS'!$Q373))</f>
        <v/>
      </c>
      <c r="G373" s="54" t="str">
        <f>IF($B373="","",INDEX(tblStock[Proveedor],'91_KPIS'!$Q373)&amp;"")</f>
        <v/>
      </c>
      <c r="H373" s="56" t="str">
        <f>IF($B373="","",INDEX(tblStock[StockActual],'91_KPIS'!$Q373))</f>
        <v/>
      </c>
      <c r="I373" s="55" t="str">
        <f>IF($B373="","",INDEX(tblStock[StockMin],'91_KPIS'!$Q373))</f>
        <v/>
      </c>
      <c r="J373" s="55" t="str">
        <f>IF($B373="","",INDEX(tblStock[StockMax],'91_KPIS'!$Q373))</f>
        <v/>
      </c>
      <c r="K373" s="53" t="str">
        <f>IF($B373="","",INDEX(tblStock[Unidad],'91_KPIS'!$Q373))</f>
        <v/>
      </c>
      <c r="L373" s="55" t="str">
        <f t="shared" si="10"/>
        <v/>
      </c>
      <c r="M373" s="55" t="str">
        <f t="shared" si="11"/>
        <v/>
      </c>
      <c r="N373" s="54" t="str">
        <f>IF($B373="","",IFERROR(INDEX(tblEstados[Acción],MATCH($C373,tblEstados[Estado],0)),""))</f>
        <v/>
      </c>
      <c r="O373" s="60" t="str">
        <f>IF($B373="","",INDEX(tblStock[UltimoMov],'91_KPIS'!$Q373))</f>
        <v/>
      </c>
    </row>
    <row r="374" spans="2:15" x14ac:dyDescent="0.25">
      <c r="B374" s="62" t="str">
        <f>IF('91_KPIS'!$Q374="","",'91_KPIS'!$O374)</f>
        <v/>
      </c>
      <c r="C374" s="58" t="str">
        <f>IF($B374="","",INDEX(tblStock[Estado],'91_KPIS'!$Q374))</f>
        <v/>
      </c>
      <c r="D374" s="53" t="str">
        <f>IF($B374="","",INDEX(tblStock[SKU],'91_KPIS'!$Q374))</f>
        <v/>
      </c>
      <c r="E374" s="54" t="str">
        <f>IF($B374="","",INDEX(tblStock[Producto],'91_KPIS'!$Q374))</f>
        <v/>
      </c>
      <c r="F374" s="54" t="str">
        <f>IF($B374="","",INDEX(tblStock[Categoría],'91_KPIS'!$Q374))</f>
        <v/>
      </c>
      <c r="G374" s="54" t="str">
        <f>IF($B374="","",INDEX(tblStock[Proveedor],'91_KPIS'!$Q374)&amp;"")</f>
        <v/>
      </c>
      <c r="H374" s="56" t="str">
        <f>IF($B374="","",INDEX(tblStock[StockActual],'91_KPIS'!$Q374))</f>
        <v/>
      </c>
      <c r="I374" s="55" t="str">
        <f>IF($B374="","",INDEX(tblStock[StockMin],'91_KPIS'!$Q374))</f>
        <v/>
      </c>
      <c r="J374" s="55" t="str">
        <f>IF($B374="","",INDEX(tblStock[StockMax],'91_KPIS'!$Q374))</f>
        <v/>
      </c>
      <c r="K374" s="53" t="str">
        <f>IF($B374="","",INDEX(tblStock[Unidad],'91_KPIS'!$Q374))</f>
        <v/>
      </c>
      <c r="L374" s="55" t="str">
        <f t="shared" si="10"/>
        <v/>
      </c>
      <c r="M374" s="55" t="str">
        <f t="shared" si="11"/>
        <v/>
      </c>
      <c r="N374" s="54" t="str">
        <f>IF($B374="","",IFERROR(INDEX(tblEstados[Acción],MATCH($C374,tblEstados[Estado],0)),""))</f>
        <v/>
      </c>
      <c r="O374" s="60" t="str">
        <f>IF($B374="","",INDEX(tblStock[UltimoMov],'91_KPIS'!$Q374))</f>
        <v/>
      </c>
    </row>
    <row r="375" spans="2:15" x14ac:dyDescent="0.25">
      <c r="B375" s="62" t="str">
        <f>IF('91_KPIS'!$Q375="","",'91_KPIS'!$O375)</f>
        <v/>
      </c>
      <c r="C375" s="58" t="str">
        <f>IF($B375="","",INDEX(tblStock[Estado],'91_KPIS'!$Q375))</f>
        <v/>
      </c>
      <c r="D375" s="53" t="str">
        <f>IF($B375="","",INDEX(tblStock[SKU],'91_KPIS'!$Q375))</f>
        <v/>
      </c>
      <c r="E375" s="54" t="str">
        <f>IF($B375="","",INDEX(tblStock[Producto],'91_KPIS'!$Q375))</f>
        <v/>
      </c>
      <c r="F375" s="54" t="str">
        <f>IF($B375="","",INDEX(tblStock[Categoría],'91_KPIS'!$Q375))</f>
        <v/>
      </c>
      <c r="G375" s="54" t="str">
        <f>IF($B375="","",INDEX(tblStock[Proveedor],'91_KPIS'!$Q375)&amp;"")</f>
        <v/>
      </c>
      <c r="H375" s="56" t="str">
        <f>IF($B375="","",INDEX(tblStock[StockActual],'91_KPIS'!$Q375))</f>
        <v/>
      </c>
      <c r="I375" s="55" t="str">
        <f>IF($B375="","",INDEX(tblStock[StockMin],'91_KPIS'!$Q375))</f>
        <v/>
      </c>
      <c r="J375" s="55" t="str">
        <f>IF($B375="","",INDEX(tblStock[StockMax],'91_KPIS'!$Q375))</f>
        <v/>
      </c>
      <c r="K375" s="53" t="str">
        <f>IF($B375="","",INDEX(tblStock[Unidad],'91_KPIS'!$Q375))</f>
        <v/>
      </c>
      <c r="L375" s="55" t="str">
        <f t="shared" si="10"/>
        <v/>
      </c>
      <c r="M375" s="55" t="str">
        <f t="shared" si="11"/>
        <v/>
      </c>
      <c r="N375" s="54" t="str">
        <f>IF($B375="","",IFERROR(INDEX(tblEstados[Acción],MATCH($C375,tblEstados[Estado],0)),""))</f>
        <v/>
      </c>
      <c r="O375" s="60" t="str">
        <f>IF($B375="","",INDEX(tblStock[UltimoMov],'91_KPIS'!$Q375))</f>
        <v/>
      </c>
    </row>
    <row r="376" spans="2:15" x14ac:dyDescent="0.25">
      <c r="B376" s="62" t="str">
        <f>IF('91_KPIS'!$Q376="","",'91_KPIS'!$O376)</f>
        <v/>
      </c>
      <c r="C376" s="58" t="str">
        <f>IF($B376="","",INDEX(tblStock[Estado],'91_KPIS'!$Q376))</f>
        <v/>
      </c>
      <c r="D376" s="53" t="str">
        <f>IF($B376="","",INDEX(tblStock[SKU],'91_KPIS'!$Q376))</f>
        <v/>
      </c>
      <c r="E376" s="54" t="str">
        <f>IF($B376="","",INDEX(tblStock[Producto],'91_KPIS'!$Q376))</f>
        <v/>
      </c>
      <c r="F376" s="54" t="str">
        <f>IF($B376="","",INDEX(tblStock[Categoría],'91_KPIS'!$Q376))</f>
        <v/>
      </c>
      <c r="G376" s="54" t="str">
        <f>IF($B376="","",INDEX(tblStock[Proveedor],'91_KPIS'!$Q376)&amp;"")</f>
        <v/>
      </c>
      <c r="H376" s="56" t="str">
        <f>IF($B376="","",INDEX(tblStock[StockActual],'91_KPIS'!$Q376))</f>
        <v/>
      </c>
      <c r="I376" s="55" t="str">
        <f>IF($B376="","",INDEX(tblStock[StockMin],'91_KPIS'!$Q376))</f>
        <v/>
      </c>
      <c r="J376" s="55" t="str">
        <f>IF($B376="","",INDEX(tblStock[StockMax],'91_KPIS'!$Q376))</f>
        <v/>
      </c>
      <c r="K376" s="53" t="str">
        <f>IF($B376="","",INDEX(tblStock[Unidad],'91_KPIS'!$Q376))</f>
        <v/>
      </c>
      <c r="L376" s="55" t="str">
        <f t="shared" si="10"/>
        <v/>
      </c>
      <c r="M376" s="55" t="str">
        <f t="shared" si="11"/>
        <v/>
      </c>
      <c r="N376" s="54" t="str">
        <f>IF($B376="","",IFERROR(INDEX(tblEstados[Acción],MATCH($C376,tblEstados[Estado],0)),""))</f>
        <v/>
      </c>
      <c r="O376" s="60" t="str">
        <f>IF($B376="","",INDEX(tblStock[UltimoMov],'91_KPIS'!$Q376))</f>
        <v/>
      </c>
    </row>
    <row r="377" spans="2:15" x14ac:dyDescent="0.25">
      <c r="B377" s="62" t="str">
        <f>IF('91_KPIS'!$Q377="","",'91_KPIS'!$O377)</f>
        <v/>
      </c>
      <c r="C377" s="58" t="str">
        <f>IF($B377="","",INDEX(tblStock[Estado],'91_KPIS'!$Q377))</f>
        <v/>
      </c>
      <c r="D377" s="53" t="str">
        <f>IF($B377="","",INDEX(tblStock[SKU],'91_KPIS'!$Q377))</f>
        <v/>
      </c>
      <c r="E377" s="54" t="str">
        <f>IF($B377="","",INDEX(tblStock[Producto],'91_KPIS'!$Q377))</f>
        <v/>
      </c>
      <c r="F377" s="54" t="str">
        <f>IF($B377="","",INDEX(tblStock[Categoría],'91_KPIS'!$Q377))</f>
        <v/>
      </c>
      <c r="G377" s="54" t="str">
        <f>IF($B377="","",INDEX(tblStock[Proveedor],'91_KPIS'!$Q377)&amp;"")</f>
        <v/>
      </c>
      <c r="H377" s="56" t="str">
        <f>IF($B377="","",INDEX(tblStock[StockActual],'91_KPIS'!$Q377))</f>
        <v/>
      </c>
      <c r="I377" s="55" t="str">
        <f>IF($B377="","",INDEX(tblStock[StockMin],'91_KPIS'!$Q377))</f>
        <v/>
      </c>
      <c r="J377" s="55" t="str">
        <f>IF($B377="","",INDEX(tblStock[StockMax],'91_KPIS'!$Q377))</f>
        <v/>
      </c>
      <c r="K377" s="53" t="str">
        <f>IF($B377="","",INDEX(tblStock[Unidad],'91_KPIS'!$Q377))</f>
        <v/>
      </c>
      <c r="L377" s="55" t="str">
        <f t="shared" si="10"/>
        <v/>
      </c>
      <c r="M377" s="55" t="str">
        <f t="shared" si="11"/>
        <v/>
      </c>
      <c r="N377" s="54" t="str">
        <f>IF($B377="","",IFERROR(INDEX(tblEstados[Acción],MATCH($C377,tblEstados[Estado],0)),""))</f>
        <v/>
      </c>
      <c r="O377" s="60" t="str">
        <f>IF($B377="","",INDEX(tblStock[UltimoMov],'91_KPIS'!$Q377))</f>
        <v/>
      </c>
    </row>
    <row r="378" spans="2:15" x14ac:dyDescent="0.25">
      <c r="B378" s="62" t="str">
        <f>IF('91_KPIS'!$Q378="","",'91_KPIS'!$O378)</f>
        <v/>
      </c>
      <c r="C378" s="58" t="str">
        <f>IF($B378="","",INDEX(tblStock[Estado],'91_KPIS'!$Q378))</f>
        <v/>
      </c>
      <c r="D378" s="53" t="str">
        <f>IF($B378="","",INDEX(tblStock[SKU],'91_KPIS'!$Q378))</f>
        <v/>
      </c>
      <c r="E378" s="54" t="str">
        <f>IF($B378="","",INDEX(tblStock[Producto],'91_KPIS'!$Q378))</f>
        <v/>
      </c>
      <c r="F378" s="54" t="str">
        <f>IF($B378="","",INDEX(tblStock[Categoría],'91_KPIS'!$Q378))</f>
        <v/>
      </c>
      <c r="G378" s="54" t="str">
        <f>IF($B378="","",INDEX(tblStock[Proveedor],'91_KPIS'!$Q378)&amp;"")</f>
        <v/>
      </c>
      <c r="H378" s="56" t="str">
        <f>IF($B378="","",INDEX(tblStock[StockActual],'91_KPIS'!$Q378))</f>
        <v/>
      </c>
      <c r="I378" s="55" t="str">
        <f>IF($B378="","",INDEX(tblStock[StockMin],'91_KPIS'!$Q378))</f>
        <v/>
      </c>
      <c r="J378" s="55" t="str">
        <f>IF($B378="","",INDEX(tblStock[StockMax],'91_KPIS'!$Q378))</f>
        <v/>
      </c>
      <c r="K378" s="53" t="str">
        <f>IF($B378="","",INDEX(tblStock[Unidad],'91_KPIS'!$Q378))</f>
        <v/>
      </c>
      <c r="L378" s="55" t="str">
        <f t="shared" si="10"/>
        <v/>
      </c>
      <c r="M378" s="55" t="str">
        <f t="shared" si="11"/>
        <v/>
      </c>
      <c r="N378" s="54" t="str">
        <f>IF($B378="","",IFERROR(INDEX(tblEstados[Acción],MATCH($C378,tblEstados[Estado],0)),""))</f>
        <v/>
      </c>
      <c r="O378" s="60" t="str">
        <f>IF($B378="","",INDEX(tblStock[UltimoMov],'91_KPIS'!$Q378))</f>
        <v/>
      </c>
    </row>
    <row r="379" spans="2:15" x14ac:dyDescent="0.25">
      <c r="B379" s="62" t="str">
        <f>IF('91_KPIS'!$Q379="","",'91_KPIS'!$O379)</f>
        <v/>
      </c>
      <c r="C379" s="58" t="str">
        <f>IF($B379="","",INDEX(tblStock[Estado],'91_KPIS'!$Q379))</f>
        <v/>
      </c>
      <c r="D379" s="53" t="str">
        <f>IF($B379="","",INDEX(tblStock[SKU],'91_KPIS'!$Q379))</f>
        <v/>
      </c>
      <c r="E379" s="54" t="str">
        <f>IF($B379="","",INDEX(tblStock[Producto],'91_KPIS'!$Q379))</f>
        <v/>
      </c>
      <c r="F379" s="54" t="str">
        <f>IF($B379="","",INDEX(tblStock[Categoría],'91_KPIS'!$Q379))</f>
        <v/>
      </c>
      <c r="G379" s="54" t="str">
        <f>IF($B379="","",INDEX(tblStock[Proveedor],'91_KPIS'!$Q379)&amp;"")</f>
        <v/>
      </c>
      <c r="H379" s="56" t="str">
        <f>IF($B379="","",INDEX(tblStock[StockActual],'91_KPIS'!$Q379))</f>
        <v/>
      </c>
      <c r="I379" s="55" t="str">
        <f>IF($B379="","",INDEX(tblStock[StockMin],'91_KPIS'!$Q379))</f>
        <v/>
      </c>
      <c r="J379" s="55" t="str">
        <f>IF($B379="","",INDEX(tblStock[StockMax],'91_KPIS'!$Q379))</f>
        <v/>
      </c>
      <c r="K379" s="53" t="str">
        <f>IF($B379="","",INDEX(tblStock[Unidad],'91_KPIS'!$Q379))</f>
        <v/>
      </c>
      <c r="L379" s="55" t="str">
        <f t="shared" si="10"/>
        <v/>
      </c>
      <c r="M379" s="55" t="str">
        <f t="shared" si="11"/>
        <v/>
      </c>
      <c r="N379" s="54" t="str">
        <f>IF($B379="","",IFERROR(INDEX(tblEstados[Acción],MATCH($C379,tblEstados[Estado],0)),""))</f>
        <v/>
      </c>
      <c r="O379" s="60" t="str">
        <f>IF($B379="","",INDEX(tblStock[UltimoMov],'91_KPIS'!$Q379))</f>
        <v/>
      </c>
    </row>
    <row r="380" spans="2:15" x14ac:dyDescent="0.25">
      <c r="B380" s="62" t="str">
        <f>IF('91_KPIS'!$Q380="","",'91_KPIS'!$O380)</f>
        <v/>
      </c>
      <c r="C380" s="58" t="str">
        <f>IF($B380="","",INDEX(tblStock[Estado],'91_KPIS'!$Q380))</f>
        <v/>
      </c>
      <c r="D380" s="53" t="str">
        <f>IF($B380="","",INDEX(tblStock[SKU],'91_KPIS'!$Q380))</f>
        <v/>
      </c>
      <c r="E380" s="54" t="str">
        <f>IF($B380="","",INDEX(tblStock[Producto],'91_KPIS'!$Q380))</f>
        <v/>
      </c>
      <c r="F380" s="54" t="str">
        <f>IF($B380="","",INDEX(tblStock[Categoría],'91_KPIS'!$Q380))</f>
        <v/>
      </c>
      <c r="G380" s="54" t="str">
        <f>IF($B380="","",INDEX(tblStock[Proveedor],'91_KPIS'!$Q380)&amp;"")</f>
        <v/>
      </c>
      <c r="H380" s="56" t="str">
        <f>IF($B380="","",INDEX(tblStock[StockActual],'91_KPIS'!$Q380))</f>
        <v/>
      </c>
      <c r="I380" s="55" t="str">
        <f>IF($B380="","",INDEX(tblStock[StockMin],'91_KPIS'!$Q380))</f>
        <v/>
      </c>
      <c r="J380" s="55" t="str">
        <f>IF($B380="","",INDEX(tblStock[StockMax],'91_KPIS'!$Q380))</f>
        <v/>
      </c>
      <c r="K380" s="53" t="str">
        <f>IF($B380="","",INDEX(tblStock[Unidad],'91_KPIS'!$Q380))</f>
        <v/>
      </c>
      <c r="L380" s="55" t="str">
        <f t="shared" si="10"/>
        <v/>
      </c>
      <c r="M380" s="55" t="str">
        <f t="shared" si="11"/>
        <v/>
      </c>
      <c r="N380" s="54" t="str">
        <f>IF($B380="","",IFERROR(INDEX(tblEstados[Acción],MATCH($C380,tblEstados[Estado],0)),""))</f>
        <v/>
      </c>
      <c r="O380" s="60" t="str">
        <f>IF($B380="","",INDEX(tblStock[UltimoMov],'91_KPIS'!$Q380))</f>
        <v/>
      </c>
    </row>
    <row r="381" spans="2:15" x14ac:dyDescent="0.25">
      <c r="B381" s="62" t="str">
        <f>IF('91_KPIS'!$Q381="","",'91_KPIS'!$O381)</f>
        <v/>
      </c>
      <c r="C381" s="58" t="str">
        <f>IF($B381="","",INDEX(tblStock[Estado],'91_KPIS'!$Q381))</f>
        <v/>
      </c>
      <c r="D381" s="53" t="str">
        <f>IF($B381="","",INDEX(tblStock[SKU],'91_KPIS'!$Q381))</f>
        <v/>
      </c>
      <c r="E381" s="54" t="str">
        <f>IF($B381="","",INDEX(tblStock[Producto],'91_KPIS'!$Q381))</f>
        <v/>
      </c>
      <c r="F381" s="54" t="str">
        <f>IF($B381="","",INDEX(tblStock[Categoría],'91_KPIS'!$Q381))</f>
        <v/>
      </c>
      <c r="G381" s="54" t="str">
        <f>IF($B381="","",INDEX(tblStock[Proveedor],'91_KPIS'!$Q381)&amp;"")</f>
        <v/>
      </c>
      <c r="H381" s="56" t="str">
        <f>IF($B381="","",INDEX(tblStock[StockActual],'91_KPIS'!$Q381))</f>
        <v/>
      </c>
      <c r="I381" s="55" t="str">
        <f>IF($B381="","",INDEX(tblStock[StockMin],'91_KPIS'!$Q381))</f>
        <v/>
      </c>
      <c r="J381" s="55" t="str">
        <f>IF($B381="","",INDEX(tblStock[StockMax],'91_KPIS'!$Q381))</f>
        <v/>
      </c>
      <c r="K381" s="53" t="str">
        <f>IF($B381="","",INDEX(tblStock[Unidad],'91_KPIS'!$Q381))</f>
        <v/>
      </c>
      <c r="L381" s="55" t="str">
        <f t="shared" si="10"/>
        <v/>
      </c>
      <c r="M381" s="55" t="str">
        <f t="shared" si="11"/>
        <v/>
      </c>
      <c r="N381" s="54" t="str">
        <f>IF($B381="","",IFERROR(INDEX(tblEstados[Acción],MATCH($C381,tblEstados[Estado],0)),""))</f>
        <v/>
      </c>
      <c r="O381" s="60" t="str">
        <f>IF($B381="","",INDEX(tblStock[UltimoMov],'91_KPIS'!$Q381))</f>
        <v/>
      </c>
    </row>
    <row r="382" spans="2:15" x14ac:dyDescent="0.25">
      <c r="B382" s="62" t="str">
        <f>IF('91_KPIS'!$Q382="","",'91_KPIS'!$O382)</f>
        <v/>
      </c>
      <c r="C382" s="58" t="str">
        <f>IF($B382="","",INDEX(tblStock[Estado],'91_KPIS'!$Q382))</f>
        <v/>
      </c>
      <c r="D382" s="53" t="str">
        <f>IF($B382="","",INDEX(tblStock[SKU],'91_KPIS'!$Q382))</f>
        <v/>
      </c>
      <c r="E382" s="54" t="str">
        <f>IF($B382="","",INDEX(tblStock[Producto],'91_KPIS'!$Q382))</f>
        <v/>
      </c>
      <c r="F382" s="54" t="str">
        <f>IF($B382="","",INDEX(tblStock[Categoría],'91_KPIS'!$Q382))</f>
        <v/>
      </c>
      <c r="G382" s="54" t="str">
        <f>IF($B382="","",INDEX(tblStock[Proveedor],'91_KPIS'!$Q382)&amp;"")</f>
        <v/>
      </c>
      <c r="H382" s="56" t="str">
        <f>IF($B382="","",INDEX(tblStock[StockActual],'91_KPIS'!$Q382))</f>
        <v/>
      </c>
      <c r="I382" s="55" t="str">
        <f>IF($B382="","",INDEX(tblStock[StockMin],'91_KPIS'!$Q382))</f>
        <v/>
      </c>
      <c r="J382" s="55" t="str">
        <f>IF($B382="","",INDEX(tblStock[StockMax],'91_KPIS'!$Q382))</f>
        <v/>
      </c>
      <c r="K382" s="53" t="str">
        <f>IF($B382="","",INDEX(tblStock[Unidad],'91_KPIS'!$Q382))</f>
        <v/>
      </c>
      <c r="L382" s="55" t="str">
        <f t="shared" si="10"/>
        <v/>
      </c>
      <c r="M382" s="55" t="str">
        <f t="shared" si="11"/>
        <v/>
      </c>
      <c r="N382" s="54" t="str">
        <f>IF($B382="","",IFERROR(INDEX(tblEstados[Acción],MATCH($C382,tblEstados[Estado],0)),""))</f>
        <v/>
      </c>
      <c r="O382" s="60" t="str">
        <f>IF($B382="","",INDEX(tblStock[UltimoMov],'91_KPIS'!$Q382))</f>
        <v/>
      </c>
    </row>
    <row r="383" spans="2:15" x14ac:dyDescent="0.25">
      <c r="B383" s="62" t="str">
        <f>IF('91_KPIS'!$Q383="","",'91_KPIS'!$O383)</f>
        <v/>
      </c>
      <c r="C383" s="58" t="str">
        <f>IF($B383="","",INDEX(tblStock[Estado],'91_KPIS'!$Q383))</f>
        <v/>
      </c>
      <c r="D383" s="53" t="str">
        <f>IF($B383="","",INDEX(tblStock[SKU],'91_KPIS'!$Q383))</f>
        <v/>
      </c>
      <c r="E383" s="54" t="str">
        <f>IF($B383="","",INDEX(tblStock[Producto],'91_KPIS'!$Q383))</f>
        <v/>
      </c>
      <c r="F383" s="54" t="str">
        <f>IF($B383="","",INDEX(tblStock[Categoría],'91_KPIS'!$Q383))</f>
        <v/>
      </c>
      <c r="G383" s="54" t="str">
        <f>IF($B383="","",INDEX(tblStock[Proveedor],'91_KPIS'!$Q383)&amp;"")</f>
        <v/>
      </c>
      <c r="H383" s="56" t="str">
        <f>IF($B383="","",INDEX(tblStock[StockActual],'91_KPIS'!$Q383))</f>
        <v/>
      </c>
      <c r="I383" s="55" t="str">
        <f>IF($B383="","",INDEX(tblStock[StockMin],'91_KPIS'!$Q383))</f>
        <v/>
      </c>
      <c r="J383" s="55" t="str">
        <f>IF($B383="","",INDEX(tblStock[StockMax],'91_KPIS'!$Q383))</f>
        <v/>
      </c>
      <c r="K383" s="53" t="str">
        <f>IF($B383="","",INDEX(tblStock[Unidad],'91_KPIS'!$Q383))</f>
        <v/>
      </c>
      <c r="L383" s="55" t="str">
        <f t="shared" si="10"/>
        <v/>
      </c>
      <c r="M383" s="55" t="str">
        <f t="shared" si="11"/>
        <v/>
      </c>
      <c r="N383" s="54" t="str">
        <f>IF($B383="","",IFERROR(INDEX(tblEstados[Acción],MATCH($C383,tblEstados[Estado],0)),""))</f>
        <v/>
      </c>
      <c r="O383" s="60" t="str">
        <f>IF($B383="","",INDEX(tblStock[UltimoMov],'91_KPIS'!$Q383))</f>
        <v/>
      </c>
    </row>
    <row r="384" spans="2:15" x14ac:dyDescent="0.25">
      <c r="B384" s="62" t="str">
        <f>IF('91_KPIS'!$Q384="","",'91_KPIS'!$O384)</f>
        <v/>
      </c>
      <c r="C384" s="58" t="str">
        <f>IF($B384="","",INDEX(tblStock[Estado],'91_KPIS'!$Q384))</f>
        <v/>
      </c>
      <c r="D384" s="53" t="str">
        <f>IF($B384="","",INDEX(tblStock[SKU],'91_KPIS'!$Q384))</f>
        <v/>
      </c>
      <c r="E384" s="54" t="str">
        <f>IF($B384="","",INDEX(tblStock[Producto],'91_KPIS'!$Q384))</f>
        <v/>
      </c>
      <c r="F384" s="54" t="str">
        <f>IF($B384="","",INDEX(tblStock[Categoría],'91_KPIS'!$Q384))</f>
        <v/>
      </c>
      <c r="G384" s="54" t="str">
        <f>IF($B384="","",INDEX(tblStock[Proveedor],'91_KPIS'!$Q384)&amp;"")</f>
        <v/>
      </c>
      <c r="H384" s="56" t="str">
        <f>IF($B384="","",INDEX(tblStock[StockActual],'91_KPIS'!$Q384))</f>
        <v/>
      </c>
      <c r="I384" s="55" t="str">
        <f>IF($B384="","",INDEX(tblStock[StockMin],'91_KPIS'!$Q384))</f>
        <v/>
      </c>
      <c r="J384" s="55" t="str">
        <f>IF($B384="","",INDEX(tblStock[StockMax],'91_KPIS'!$Q384))</f>
        <v/>
      </c>
      <c r="K384" s="53" t="str">
        <f>IF($B384="","",INDEX(tblStock[Unidad],'91_KPIS'!$Q384))</f>
        <v/>
      </c>
      <c r="L384" s="55" t="str">
        <f t="shared" si="10"/>
        <v/>
      </c>
      <c r="M384" s="55" t="str">
        <f t="shared" si="11"/>
        <v/>
      </c>
      <c r="N384" s="54" t="str">
        <f>IF($B384="","",IFERROR(INDEX(tblEstados[Acción],MATCH($C384,tblEstados[Estado],0)),""))</f>
        <v/>
      </c>
      <c r="O384" s="60" t="str">
        <f>IF($B384="","",INDEX(tblStock[UltimoMov],'91_KPIS'!$Q384))</f>
        <v/>
      </c>
    </row>
    <row r="385" spans="2:15" x14ac:dyDescent="0.25">
      <c r="B385" s="62" t="str">
        <f>IF('91_KPIS'!$Q385="","",'91_KPIS'!$O385)</f>
        <v/>
      </c>
      <c r="C385" s="58" t="str">
        <f>IF($B385="","",INDEX(tblStock[Estado],'91_KPIS'!$Q385))</f>
        <v/>
      </c>
      <c r="D385" s="53" t="str">
        <f>IF($B385="","",INDEX(tblStock[SKU],'91_KPIS'!$Q385))</f>
        <v/>
      </c>
      <c r="E385" s="54" t="str">
        <f>IF($B385="","",INDEX(tblStock[Producto],'91_KPIS'!$Q385))</f>
        <v/>
      </c>
      <c r="F385" s="54" t="str">
        <f>IF($B385="","",INDEX(tblStock[Categoría],'91_KPIS'!$Q385))</f>
        <v/>
      </c>
      <c r="G385" s="54" t="str">
        <f>IF($B385="","",INDEX(tblStock[Proveedor],'91_KPIS'!$Q385)&amp;"")</f>
        <v/>
      </c>
      <c r="H385" s="56" t="str">
        <f>IF($B385="","",INDEX(tblStock[StockActual],'91_KPIS'!$Q385))</f>
        <v/>
      </c>
      <c r="I385" s="55" t="str">
        <f>IF($B385="","",INDEX(tblStock[StockMin],'91_KPIS'!$Q385))</f>
        <v/>
      </c>
      <c r="J385" s="55" t="str">
        <f>IF($B385="","",INDEX(tblStock[StockMax],'91_KPIS'!$Q385))</f>
        <v/>
      </c>
      <c r="K385" s="53" t="str">
        <f>IF($B385="","",INDEX(tblStock[Unidad],'91_KPIS'!$Q385))</f>
        <v/>
      </c>
      <c r="L385" s="55" t="str">
        <f t="shared" si="10"/>
        <v/>
      </c>
      <c r="M385" s="55" t="str">
        <f t="shared" si="11"/>
        <v/>
      </c>
      <c r="N385" s="54" t="str">
        <f>IF($B385="","",IFERROR(INDEX(tblEstados[Acción],MATCH($C385,tblEstados[Estado],0)),""))</f>
        <v/>
      </c>
      <c r="O385" s="60" t="str">
        <f>IF($B385="","",INDEX(tblStock[UltimoMov],'91_KPIS'!$Q385))</f>
        <v/>
      </c>
    </row>
    <row r="386" spans="2:15" x14ac:dyDescent="0.25">
      <c r="B386" s="62" t="str">
        <f>IF('91_KPIS'!$Q386="","",'91_KPIS'!$O386)</f>
        <v/>
      </c>
      <c r="C386" s="58" t="str">
        <f>IF($B386="","",INDEX(tblStock[Estado],'91_KPIS'!$Q386))</f>
        <v/>
      </c>
      <c r="D386" s="53" t="str">
        <f>IF($B386="","",INDEX(tblStock[SKU],'91_KPIS'!$Q386))</f>
        <v/>
      </c>
      <c r="E386" s="54" t="str">
        <f>IF($B386="","",INDEX(tblStock[Producto],'91_KPIS'!$Q386))</f>
        <v/>
      </c>
      <c r="F386" s="54" t="str">
        <f>IF($B386="","",INDEX(tblStock[Categoría],'91_KPIS'!$Q386))</f>
        <v/>
      </c>
      <c r="G386" s="54" t="str">
        <f>IF($B386="","",INDEX(tblStock[Proveedor],'91_KPIS'!$Q386)&amp;"")</f>
        <v/>
      </c>
      <c r="H386" s="56" t="str">
        <f>IF($B386="","",INDEX(tblStock[StockActual],'91_KPIS'!$Q386))</f>
        <v/>
      </c>
      <c r="I386" s="55" t="str">
        <f>IF($B386="","",INDEX(tblStock[StockMin],'91_KPIS'!$Q386))</f>
        <v/>
      </c>
      <c r="J386" s="55" t="str">
        <f>IF($B386="","",INDEX(tblStock[StockMax],'91_KPIS'!$Q386))</f>
        <v/>
      </c>
      <c r="K386" s="53" t="str">
        <f>IF($B386="","",INDEX(tblStock[Unidad],'91_KPIS'!$Q386))</f>
        <v/>
      </c>
      <c r="L386" s="55" t="str">
        <f t="shared" si="10"/>
        <v/>
      </c>
      <c r="M386" s="55" t="str">
        <f t="shared" si="11"/>
        <v/>
      </c>
      <c r="N386" s="54" t="str">
        <f>IF($B386="","",IFERROR(INDEX(tblEstados[Acción],MATCH($C386,tblEstados[Estado],0)),""))</f>
        <v/>
      </c>
      <c r="O386" s="60" t="str">
        <f>IF($B386="","",INDEX(tblStock[UltimoMov],'91_KPIS'!$Q386))</f>
        <v/>
      </c>
    </row>
    <row r="387" spans="2:15" x14ac:dyDescent="0.25">
      <c r="B387" s="62" t="str">
        <f>IF('91_KPIS'!$Q387="","",'91_KPIS'!$O387)</f>
        <v/>
      </c>
      <c r="C387" s="58" t="str">
        <f>IF($B387="","",INDEX(tblStock[Estado],'91_KPIS'!$Q387))</f>
        <v/>
      </c>
      <c r="D387" s="53" t="str">
        <f>IF($B387="","",INDEX(tblStock[SKU],'91_KPIS'!$Q387))</f>
        <v/>
      </c>
      <c r="E387" s="54" t="str">
        <f>IF($B387="","",INDEX(tblStock[Producto],'91_KPIS'!$Q387))</f>
        <v/>
      </c>
      <c r="F387" s="54" t="str">
        <f>IF($B387="","",INDEX(tblStock[Categoría],'91_KPIS'!$Q387))</f>
        <v/>
      </c>
      <c r="G387" s="54" t="str">
        <f>IF($B387="","",INDEX(tblStock[Proveedor],'91_KPIS'!$Q387)&amp;"")</f>
        <v/>
      </c>
      <c r="H387" s="56" t="str">
        <f>IF($B387="","",INDEX(tblStock[StockActual],'91_KPIS'!$Q387))</f>
        <v/>
      </c>
      <c r="I387" s="55" t="str">
        <f>IF($B387="","",INDEX(tblStock[StockMin],'91_KPIS'!$Q387))</f>
        <v/>
      </c>
      <c r="J387" s="55" t="str">
        <f>IF($B387="","",INDEX(tblStock[StockMax],'91_KPIS'!$Q387))</f>
        <v/>
      </c>
      <c r="K387" s="53" t="str">
        <f>IF($B387="","",INDEX(tblStock[Unidad],'91_KPIS'!$Q387))</f>
        <v/>
      </c>
      <c r="L387" s="55" t="str">
        <f t="shared" si="10"/>
        <v/>
      </c>
      <c r="M387" s="55" t="str">
        <f t="shared" si="11"/>
        <v/>
      </c>
      <c r="N387" s="54" t="str">
        <f>IF($B387="","",IFERROR(INDEX(tblEstados[Acción],MATCH($C387,tblEstados[Estado],0)),""))</f>
        <v/>
      </c>
      <c r="O387" s="60" t="str">
        <f>IF($B387="","",INDEX(tblStock[UltimoMov],'91_KPIS'!$Q387))</f>
        <v/>
      </c>
    </row>
    <row r="388" spans="2:15" x14ac:dyDescent="0.25">
      <c r="B388" s="62" t="str">
        <f>IF('91_KPIS'!$Q388="","",'91_KPIS'!$O388)</f>
        <v/>
      </c>
      <c r="C388" s="58" t="str">
        <f>IF($B388="","",INDEX(tblStock[Estado],'91_KPIS'!$Q388))</f>
        <v/>
      </c>
      <c r="D388" s="53" t="str">
        <f>IF($B388="","",INDEX(tblStock[SKU],'91_KPIS'!$Q388))</f>
        <v/>
      </c>
      <c r="E388" s="54" t="str">
        <f>IF($B388="","",INDEX(tblStock[Producto],'91_KPIS'!$Q388))</f>
        <v/>
      </c>
      <c r="F388" s="54" t="str">
        <f>IF($B388="","",INDEX(tblStock[Categoría],'91_KPIS'!$Q388))</f>
        <v/>
      </c>
      <c r="G388" s="54" t="str">
        <f>IF($B388="","",INDEX(tblStock[Proveedor],'91_KPIS'!$Q388)&amp;"")</f>
        <v/>
      </c>
      <c r="H388" s="56" t="str">
        <f>IF($B388="","",INDEX(tblStock[StockActual],'91_KPIS'!$Q388))</f>
        <v/>
      </c>
      <c r="I388" s="55" t="str">
        <f>IF($B388="","",INDEX(tblStock[StockMin],'91_KPIS'!$Q388))</f>
        <v/>
      </c>
      <c r="J388" s="55" t="str">
        <f>IF($B388="","",INDEX(tblStock[StockMax],'91_KPIS'!$Q388))</f>
        <v/>
      </c>
      <c r="K388" s="53" t="str">
        <f>IF($B388="","",INDEX(tblStock[Unidad],'91_KPIS'!$Q388))</f>
        <v/>
      </c>
      <c r="L388" s="55" t="str">
        <f t="shared" si="10"/>
        <v/>
      </c>
      <c r="M388" s="55" t="str">
        <f t="shared" si="11"/>
        <v/>
      </c>
      <c r="N388" s="54" t="str">
        <f>IF($B388="","",IFERROR(INDEX(tblEstados[Acción],MATCH($C388,tblEstados[Estado],0)),""))</f>
        <v/>
      </c>
      <c r="O388" s="60" t="str">
        <f>IF($B388="","",INDEX(tblStock[UltimoMov],'91_KPIS'!$Q388))</f>
        <v/>
      </c>
    </row>
    <row r="389" spans="2:15" x14ac:dyDescent="0.25">
      <c r="B389" s="62" t="str">
        <f>IF('91_KPIS'!$Q389="","",'91_KPIS'!$O389)</f>
        <v/>
      </c>
      <c r="C389" s="58" t="str">
        <f>IF($B389="","",INDEX(tblStock[Estado],'91_KPIS'!$Q389))</f>
        <v/>
      </c>
      <c r="D389" s="53" t="str">
        <f>IF($B389="","",INDEX(tblStock[SKU],'91_KPIS'!$Q389))</f>
        <v/>
      </c>
      <c r="E389" s="54" t="str">
        <f>IF($B389="","",INDEX(tblStock[Producto],'91_KPIS'!$Q389))</f>
        <v/>
      </c>
      <c r="F389" s="54" t="str">
        <f>IF($B389="","",INDEX(tblStock[Categoría],'91_KPIS'!$Q389))</f>
        <v/>
      </c>
      <c r="G389" s="54" t="str">
        <f>IF($B389="","",INDEX(tblStock[Proveedor],'91_KPIS'!$Q389)&amp;"")</f>
        <v/>
      </c>
      <c r="H389" s="56" t="str">
        <f>IF($B389="","",INDEX(tblStock[StockActual],'91_KPIS'!$Q389))</f>
        <v/>
      </c>
      <c r="I389" s="55" t="str">
        <f>IF($B389="","",INDEX(tblStock[StockMin],'91_KPIS'!$Q389))</f>
        <v/>
      </c>
      <c r="J389" s="55" t="str">
        <f>IF($B389="","",INDEX(tblStock[StockMax],'91_KPIS'!$Q389))</f>
        <v/>
      </c>
      <c r="K389" s="53" t="str">
        <f>IF($B389="","",INDEX(tblStock[Unidad],'91_KPIS'!$Q389))</f>
        <v/>
      </c>
      <c r="L389" s="55" t="str">
        <f t="shared" si="10"/>
        <v/>
      </c>
      <c r="M389" s="55" t="str">
        <f t="shared" si="11"/>
        <v/>
      </c>
      <c r="N389" s="54" t="str">
        <f>IF($B389="","",IFERROR(INDEX(tblEstados[Acción],MATCH($C389,tblEstados[Estado],0)),""))</f>
        <v/>
      </c>
      <c r="O389" s="60" t="str">
        <f>IF($B389="","",INDEX(tblStock[UltimoMov],'91_KPIS'!$Q389))</f>
        <v/>
      </c>
    </row>
    <row r="390" spans="2:15" x14ac:dyDescent="0.25">
      <c r="B390" s="62" t="str">
        <f>IF('91_KPIS'!$Q390="","",'91_KPIS'!$O390)</f>
        <v/>
      </c>
      <c r="C390" s="58" t="str">
        <f>IF($B390="","",INDEX(tblStock[Estado],'91_KPIS'!$Q390))</f>
        <v/>
      </c>
      <c r="D390" s="53" t="str">
        <f>IF($B390="","",INDEX(tblStock[SKU],'91_KPIS'!$Q390))</f>
        <v/>
      </c>
      <c r="E390" s="54" t="str">
        <f>IF($B390="","",INDEX(tblStock[Producto],'91_KPIS'!$Q390))</f>
        <v/>
      </c>
      <c r="F390" s="54" t="str">
        <f>IF($B390="","",INDEX(tblStock[Categoría],'91_KPIS'!$Q390))</f>
        <v/>
      </c>
      <c r="G390" s="54" t="str">
        <f>IF($B390="","",INDEX(tblStock[Proveedor],'91_KPIS'!$Q390)&amp;"")</f>
        <v/>
      </c>
      <c r="H390" s="56" t="str">
        <f>IF($B390="","",INDEX(tblStock[StockActual],'91_KPIS'!$Q390))</f>
        <v/>
      </c>
      <c r="I390" s="55" t="str">
        <f>IF($B390="","",INDEX(tblStock[StockMin],'91_KPIS'!$Q390))</f>
        <v/>
      </c>
      <c r="J390" s="55" t="str">
        <f>IF($B390="","",INDEX(tblStock[StockMax],'91_KPIS'!$Q390))</f>
        <v/>
      </c>
      <c r="K390" s="53" t="str">
        <f>IF($B390="","",INDEX(tblStock[Unidad],'91_KPIS'!$Q390))</f>
        <v/>
      </c>
      <c r="L390" s="55" t="str">
        <f t="shared" si="10"/>
        <v/>
      </c>
      <c r="M390" s="55" t="str">
        <f t="shared" si="11"/>
        <v/>
      </c>
      <c r="N390" s="54" t="str">
        <f>IF($B390="","",IFERROR(INDEX(tblEstados[Acción],MATCH($C390,tblEstados[Estado],0)),""))</f>
        <v/>
      </c>
      <c r="O390" s="60" t="str">
        <f>IF($B390="","",INDEX(tblStock[UltimoMov],'91_KPIS'!$Q390))</f>
        <v/>
      </c>
    </row>
    <row r="391" spans="2:15" x14ac:dyDescent="0.25">
      <c r="B391" s="62" t="str">
        <f>IF('91_KPIS'!$Q391="","",'91_KPIS'!$O391)</f>
        <v/>
      </c>
      <c r="C391" s="58" t="str">
        <f>IF($B391="","",INDEX(tblStock[Estado],'91_KPIS'!$Q391))</f>
        <v/>
      </c>
      <c r="D391" s="53" t="str">
        <f>IF($B391="","",INDEX(tblStock[SKU],'91_KPIS'!$Q391))</f>
        <v/>
      </c>
      <c r="E391" s="54" t="str">
        <f>IF($B391="","",INDEX(tblStock[Producto],'91_KPIS'!$Q391))</f>
        <v/>
      </c>
      <c r="F391" s="54" t="str">
        <f>IF($B391="","",INDEX(tblStock[Categoría],'91_KPIS'!$Q391))</f>
        <v/>
      </c>
      <c r="G391" s="54" t="str">
        <f>IF($B391="","",INDEX(tblStock[Proveedor],'91_KPIS'!$Q391)&amp;"")</f>
        <v/>
      </c>
      <c r="H391" s="56" t="str">
        <f>IF($B391="","",INDEX(tblStock[StockActual],'91_KPIS'!$Q391))</f>
        <v/>
      </c>
      <c r="I391" s="55" t="str">
        <f>IF($B391="","",INDEX(tblStock[StockMin],'91_KPIS'!$Q391))</f>
        <v/>
      </c>
      <c r="J391" s="55" t="str">
        <f>IF($B391="","",INDEX(tblStock[StockMax],'91_KPIS'!$Q391))</f>
        <v/>
      </c>
      <c r="K391" s="53" t="str">
        <f>IF($B391="","",INDEX(tblStock[Unidad],'91_KPIS'!$Q391))</f>
        <v/>
      </c>
      <c r="L391" s="55" t="str">
        <f t="shared" si="10"/>
        <v/>
      </c>
      <c r="M391" s="55" t="str">
        <f t="shared" si="11"/>
        <v/>
      </c>
      <c r="N391" s="54" t="str">
        <f>IF($B391="","",IFERROR(INDEX(tblEstados[Acción],MATCH($C391,tblEstados[Estado],0)),""))</f>
        <v/>
      </c>
      <c r="O391" s="60" t="str">
        <f>IF($B391="","",INDEX(tblStock[UltimoMov],'91_KPIS'!$Q391))</f>
        <v/>
      </c>
    </row>
    <row r="392" spans="2:15" x14ac:dyDescent="0.25">
      <c r="B392" s="62" t="str">
        <f>IF('91_KPIS'!$Q392="","",'91_KPIS'!$O392)</f>
        <v/>
      </c>
      <c r="C392" s="58" t="str">
        <f>IF($B392="","",INDEX(tblStock[Estado],'91_KPIS'!$Q392))</f>
        <v/>
      </c>
      <c r="D392" s="53" t="str">
        <f>IF($B392="","",INDEX(tblStock[SKU],'91_KPIS'!$Q392))</f>
        <v/>
      </c>
      <c r="E392" s="54" t="str">
        <f>IF($B392="","",INDEX(tblStock[Producto],'91_KPIS'!$Q392))</f>
        <v/>
      </c>
      <c r="F392" s="54" t="str">
        <f>IF($B392="","",INDEX(tblStock[Categoría],'91_KPIS'!$Q392))</f>
        <v/>
      </c>
      <c r="G392" s="54" t="str">
        <f>IF($B392="","",INDEX(tblStock[Proveedor],'91_KPIS'!$Q392)&amp;"")</f>
        <v/>
      </c>
      <c r="H392" s="56" t="str">
        <f>IF($B392="","",INDEX(tblStock[StockActual],'91_KPIS'!$Q392))</f>
        <v/>
      </c>
      <c r="I392" s="55" t="str">
        <f>IF($B392="","",INDEX(tblStock[StockMin],'91_KPIS'!$Q392))</f>
        <v/>
      </c>
      <c r="J392" s="55" t="str">
        <f>IF($B392="","",INDEX(tblStock[StockMax],'91_KPIS'!$Q392))</f>
        <v/>
      </c>
      <c r="K392" s="53" t="str">
        <f>IF($B392="","",INDEX(tblStock[Unidad],'91_KPIS'!$Q392))</f>
        <v/>
      </c>
      <c r="L392" s="55" t="str">
        <f t="shared" ref="L392:L455" si="12">IF($B392="","",MAX(0,$I392-$H392))</f>
        <v/>
      </c>
      <c r="M392" s="55" t="str">
        <f t="shared" ref="M392:M455" si="13">IF($B392="","",IF(OR($C392="SOBRESTOCK",$C392="INCONSISTENTE"),0,MAX(0,IF($J392&gt;0,$J392,2*$I392)-MAX(0,$H392))))</f>
        <v/>
      </c>
      <c r="N392" s="54" t="str">
        <f>IF($B392="","",IFERROR(INDEX(tblEstados[Acción],MATCH($C392,tblEstados[Estado],0)),""))</f>
        <v/>
      </c>
      <c r="O392" s="60" t="str">
        <f>IF($B392="","",INDEX(tblStock[UltimoMov],'91_KPIS'!$Q392))</f>
        <v/>
      </c>
    </row>
    <row r="393" spans="2:15" x14ac:dyDescent="0.25">
      <c r="B393" s="62" t="str">
        <f>IF('91_KPIS'!$Q393="","",'91_KPIS'!$O393)</f>
        <v/>
      </c>
      <c r="C393" s="58" t="str">
        <f>IF($B393="","",INDEX(tblStock[Estado],'91_KPIS'!$Q393))</f>
        <v/>
      </c>
      <c r="D393" s="53" t="str">
        <f>IF($B393="","",INDEX(tblStock[SKU],'91_KPIS'!$Q393))</f>
        <v/>
      </c>
      <c r="E393" s="54" t="str">
        <f>IF($B393="","",INDEX(tblStock[Producto],'91_KPIS'!$Q393))</f>
        <v/>
      </c>
      <c r="F393" s="54" t="str">
        <f>IF($B393="","",INDEX(tblStock[Categoría],'91_KPIS'!$Q393))</f>
        <v/>
      </c>
      <c r="G393" s="54" t="str">
        <f>IF($B393="","",INDEX(tblStock[Proveedor],'91_KPIS'!$Q393)&amp;"")</f>
        <v/>
      </c>
      <c r="H393" s="56" t="str">
        <f>IF($B393="","",INDEX(tblStock[StockActual],'91_KPIS'!$Q393))</f>
        <v/>
      </c>
      <c r="I393" s="55" t="str">
        <f>IF($B393="","",INDEX(tblStock[StockMin],'91_KPIS'!$Q393))</f>
        <v/>
      </c>
      <c r="J393" s="55" t="str">
        <f>IF($B393="","",INDEX(tblStock[StockMax],'91_KPIS'!$Q393))</f>
        <v/>
      </c>
      <c r="K393" s="53" t="str">
        <f>IF($B393="","",INDEX(tblStock[Unidad],'91_KPIS'!$Q393))</f>
        <v/>
      </c>
      <c r="L393" s="55" t="str">
        <f t="shared" si="12"/>
        <v/>
      </c>
      <c r="M393" s="55" t="str">
        <f t="shared" si="13"/>
        <v/>
      </c>
      <c r="N393" s="54" t="str">
        <f>IF($B393="","",IFERROR(INDEX(tblEstados[Acción],MATCH($C393,tblEstados[Estado],0)),""))</f>
        <v/>
      </c>
      <c r="O393" s="60" t="str">
        <f>IF($B393="","",INDEX(tblStock[UltimoMov],'91_KPIS'!$Q393))</f>
        <v/>
      </c>
    </row>
    <row r="394" spans="2:15" x14ac:dyDescent="0.25">
      <c r="B394" s="62" t="str">
        <f>IF('91_KPIS'!$Q394="","",'91_KPIS'!$O394)</f>
        <v/>
      </c>
      <c r="C394" s="58" t="str">
        <f>IF($B394="","",INDEX(tblStock[Estado],'91_KPIS'!$Q394))</f>
        <v/>
      </c>
      <c r="D394" s="53" t="str">
        <f>IF($B394="","",INDEX(tblStock[SKU],'91_KPIS'!$Q394))</f>
        <v/>
      </c>
      <c r="E394" s="54" t="str">
        <f>IF($B394="","",INDEX(tblStock[Producto],'91_KPIS'!$Q394))</f>
        <v/>
      </c>
      <c r="F394" s="54" t="str">
        <f>IF($B394="","",INDEX(tblStock[Categoría],'91_KPIS'!$Q394))</f>
        <v/>
      </c>
      <c r="G394" s="54" t="str">
        <f>IF($B394="","",INDEX(tblStock[Proveedor],'91_KPIS'!$Q394)&amp;"")</f>
        <v/>
      </c>
      <c r="H394" s="56" t="str">
        <f>IF($B394="","",INDEX(tblStock[StockActual],'91_KPIS'!$Q394))</f>
        <v/>
      </c>
      <c r="I394" s="55" t="str">
        <f>IF($B394="","",INDEX(tblStock[StockMin],'91_KPIS'!$Q394))</f>
        <v/>
      </c>
      <c r="J394" s="55" t="str">
        <f>IF($B394="","",INDEX(tblStock[StockMax],'91_KPIS'!$Q394))</f>
        <v/>
      </c>
      <c r="K394" s="53" t="str">
        <f>IF($B394="","",INDEX(tblStock[Unidad],'91_KPIS'!$Q394))</f>
        <v/>
      </c>
      <c r="L394" s="55" t="str">
        <f t="shared" si="12"/>
        <v/>
      </c>
      <c r="M394" s="55" t="str">
        <f t="shared" si="13"/>
        <v/>
      </c>
      <c r="N394" s="54" t="str">
        <f>IF($B394="","",IFERROR(INDEX(tblEstados[Acción],MATCH($C394,tblEstados[Estado],0)),""))</f>
        <v/>
      </c>
      <c r="O394" s="60" t="str">
        <f>IF($B394="","",INDEX(tblStock[UltimoMov],'91_KPIS'!$Q394))</f>
        <v/>
      </c>
    </row>
    <row r="395" spans="2:15" x14ac:dyDescent="0.25">
      <c r="B395" s="62" t="str">
        <f>IF('91_KPIS'!$Q395="","",'91_KPIS'!$O395)</f>
        <v/>
      </c>
      <c r="C395" s="58" t="str">
        <f>IF($B395="","",INDEX(tblStock[Estado],'91_KPIS'!$Q395))</f>
        <v/>
      </c>
      <c r="D395" s="53" t="str">
        <f>IF($B395="","",INDEX(tblStock[SKU],'91_KPIS'!$Q395))</f>
        <v/>
      </c>
      <c r="E395" s="54" t="str">
        <f>IF($B395="","",INDEX(tblStock[Producto],'91_KPIS'!$Q395))</f>
        <v/>
      </c>
      <c r="F395" s="54" t="str">
        <f>IF($B395="","",INDEX(tblStock[Categoría],'91_KPIS'!$Q395))</f>
        <v/>
      </c>
      <c r="G395" s="54" t="str">
        <f>IF($B395="","",INDEX(tblStock[Proveedor],'91_KPIS'!$Q395)&amp;"")</f>
        <v/>
      </c>
      <c r="H395" s="56" t="str">
        <f>IF($B395="","",INDEX(tblStock[StockActual],'91_KPIS'!$Q395))</f>
        <v/>
      </c>
      <c r="I395" s="55" t="str">
        <f>IF($B395="","",INDEX(tblStock[StockMin],'91_KPIS'!$Q395))</f>
        <v/>
      </c>
      <c r="J395" s="55" t="str">
        <f>IF($B395="","",INDEX(tblStock[StockMax],'91_KPIS'!$Q395))</f>
        <v/>
      </c>
      <c r="K395" s="53" t="str">
        <f>IF($B395="","",INDEX(tblStock[Unidad],'91_KPIS'!$Q395))</f>
        <v/>
      </c>
      <c r="L395" s="55" t="str">
        <f t="shared" si="12"/>
        <v/>
      </c>
      <c r="M395" s="55" t="str">
        <f t="shared" si="13"/>
        <v/>
      </c>
      <c r="N395" s="54" t="str">
        <f>IF($B395="","",IFERROR(INDEX(tblEstados[Acción],MATCH($C395,tblEstados[Estado],0)),""))</f>
        <v/>
      </c>
      <c r="O395" s="60" t="str">
        <f>IF($B395="","",INDEX(tblStock[UltimoMov],'91_KPIS'!$Q395))</f>
        <v/>
      </c>
    </row>
    <row r="396" spans="2:15" x14ac:dyDescent="0.25">
      <c r="B396" s="62" t="str">
        <f>IF('91_KPIS'!$Q396="","",'91_KPIS'!$O396)</f>
        <v/>
      </c>
      <c r="C396" s="58" t="str">
        <f>IF($B396="","",INDEX(tblStock[Estado],'91_KPIS'!$Q396))</f>
        <v/>
      </c>
      <c r="D396" s="53" t="str">
        <f>IF($B396="","",INDEX(tblStock[SKU],'91_KPIS'!$Q396))</f>
        <v/>
      </c>
      <c r="E396" s="54" t="str">
        <f>IF($B396="","",INDEX(tblStock[Producto],'91_KPIS'!$Q396))</f>
        <v/>
      </c>
      <c r="F396" s="54" t="str">
        <f>IF($B396="","",INDEX(tblStock[Categoría],'91_KPIS'!$Q396))</f>
        <v/>
      </c>
      <c r="G396" s="54" t="str">
        <f>IF($B396="","",INDEX(tblStock[Proveedor],'91_KPIS'!$Q396)&amp;"")</f>
        <v/>
      </c>
      <c r="H396" s="56" t="str">
        <f>IF($B396="","",INDEX(tblStock[StockActual],'91_KPIS'!$Q396))</f>
        <v/>
      </c>
      <c r="I396" s="55" t="str">
        <f>IF($B396="","",INDEX(tblStock[StockMin],'91_KPIS'!$Q396))</f>
        <v/>
      </c>
      <c r="J396" s="55" t="str">
        <f>IF($B396="","",INDEX(tblStock[StockMax],'91_KPIS'!$Q396))</f>
        <v/>
      </c>
      <c r="K396" s="53" t="str">
        <f>IF($B396="","",INDEX(tblStock[Unidad],'91_KPIS'!$Q396))</f>
        <v/>
      </c>
      <c r="L396" s="55" t="str">
        <f t="shared" si="12"/>
        <v/>
      </c>
      <c r="M396" s="55" t="str">
        <f t="shared" si="13"/>
        <v/>
      </c>
      <c r="N396" s="54" t="str">
        <f>IF($B396="","",IFERROR(INDEX(tblEstados[Acción],MATCH($C396,tblEstados[Estado],0)),""))</f>
        <v/>
      </c>
      <c r="O396" s="60" t="str">
        <f>IF($B396="","",INDEX(tblStock[UltimoMov],'91_KPIS'!$Q396))</f>
        <v/>
      </c>
    </row>
    <row r="397" spans="2:15" x14ac:dyDescent="0.25">
      <c r="B397" s="62" t="str">
        <f>IF('91_KPIS'!$Q397="","",'91_KPIS'!$O397)</f>
        <v/>
      </c>
      <c r="C397" s="58" t="str">
        <f>IF($B397="","",INDEX(tblStock[Estado],'91_KPIS'!$Q397))</f>
        <v/>
      </c>
      <c r="D397" s="53" t="str">
        <f>IF($B397="","",INDEX(tblStock[SKU],'91_KPIS'!$Q397))</f>
        <v/>
      </c>
      <c r="E397" s="54" t="str">
        <f>IF($B397="","",INDEX(tblStock[Producto],'91_KPIS'!$Q397))</f>
        <v/>
      </c>
      <c r="F397" s="54" t="str">
        <f>IF($B397="","",INDEX(tblStock[Categoría],'91_KPIS'!$Q397))</f>
        <v/>
      </c>
      <c r="G397" s="54" t="str">
        <f>IF($B397="","",INDEX(tblStock[Proveedor],'91_KPIS'!$Q397)&amp;"")</f>
        <v/>
      </c>
      <c r="H397" s="56" t="str">
        <f>IF($B397="","",INDEX(tblStock[StockActual],'91_KPIS'!$Q397))</f>
        <v/>
      </c>
      <c r="I397" s="55" t="str">
        <f>IF($B397="","",INDEX(tblStock[StockMin],'91_KPIS'!$Q397))</f>
        <v/>
      </c>
      <c r="J397" s="55" t="str">
        <f>IF($B397="","",INDEX(tblStock[StockMax],'91_KPIS'!$Q397))</f>
        <v/>
      </c>
      <c r="K397" s="53" t="str">
        <f>IF($B397="","",INDEX(tblStock[Unidad],'91_KPIS'!$Q397))</f>
        <v/>
      </c>
      <c r="L397" s="55" t="str">
        <f t="shared" si="12"/>
        <v/>
      </c>
      <c r="M397" s="55" t="str">
        <f t="shared" si="13"/>
        <v/>
      </c>
      <c r="N397" s="54" t="str">
        <f>IF($B397="","",IFERROR(INDEX(tblEstados[Acción],MATCH($C397,tblEstados[Estado],0)),""))</f>
        <v/>
      </c>
      <c r="O397" s="60" t="str">
        <f>IF($B397="","",INDEX(tblStock[UltimoMov],'91_KPIS'!$Q397))</f>
        <v/>
      </c>
    </row>
    <row r="398" spans="2:15" x14ac:dyDescent="0.25">
      <c r="B398" s="62" t="str">
        <f>IF('91_KPIS'!$Q398="","",'91_KPIS'!$O398)</f>
        <v/>
      </c>
      <c r="C398" s="58" t="str">
        <f>IF($B398="","",INDEX(tblStock[Estado],'91_KPIS'!$Q398))</f>
        <v/>
      </c>
      <c r="D398" s="53" t="str">
        <f>IF($B398="","",INDEX(tblStock[SKU],'91_KPIS'!$Q398))</f>
        <v/>
      </c>
      <c r="E398" s="54" t="str">
        <f>IF($B398="","",INDEX(tblStock[Producto],'91_KPIS'!$Q398))</f>
        <v/>
      </c>
      <c r="F398" s="54" t="str">
        <f>IF($B398="","",INDEX(tblStock[Categoría],'91_KPIS'!$Q398))</f>
        <v/>
      </c>
      <c r="G398" s="54" t="str">
        <f>IF($B398="","",INDEX(tblStock[Proveedor],'91_KPIS'!$Q398)&amp;"")</f>
        <v/>
      </c>
      <c r="H398" s="56" t="str">
        <f>IF($B398="","",INDEX(tblStock[StockActual],'91_KPIS'!$Q398))</f>
        <v/>
      </c>
      <c r="I398" s="55" t="str">
        <f>IF($B398="","",INDEX(tblStock[StockMin],'91_KPIS'!$Q398))</f>
        <v/>
      </c>
      <c r="J398" s="55" t="str">
        <f>IF($B398="","",INDEX(tblStock[StockMax],'91_KPIS'!$Q398))</f>
        <v/>
      </c>
      <c r="K398" s="53" t="str">
        <f>IF($B398="","",INDEX(tblStock[Unidad],'91_KPIS'!$Q398))</f>
        <v/>
      </c>
      <c r="L398" s="55" t="str">
        <f t="shared" si="12"/>
        <v/>
      </c>
      <c r="M398" s="55" t="str">
        <f t="shared" si="13"/>
        <v/>
      </c>
      <c r="N398" s="54" t="str">
        <f>IF($B398="","",IFERROR(INDEX(tblEstados[Acción],MATCH($C398,tblEstados[Estado],0)),""))</f>
        <v/>
      </c>
      <c r="O398" s="60" t="str">
        <f>IF($B398="","",INDEX(tblStock[UltimoMov],'91_KPIS'!$Q398))</f>
        <v/>
      </c>
    </row>
    <row r="399" spans="2:15" x14ac:dyDescent="0.25">
      <c r="B399" s="62" t="str">
        <f>IF('91_KPIS'!$Q399="","",'91_KPIS'!$O399)</f>
        <v/>
      </c>
      <c r="C399" s="58" t="str">
        <f>IF($B399="","",INDEX(tblStock[Estado],'91_KPIS'!$Q399))</f>
        <v/>
      </c>
      <c r="D399" s="53" t="str">
        <f>IF($B399="","",INDEX(tblStock[SKU],'91_KPIS'!$Q399))</f>
        <v/>
      </c>
      <c r="E399" s="54" t="str">
        <f>IF($B399="","",INDEX(tblStock[Producto],'91_KPIS'!$Q399))</f>
        <v/>
      </c>
      <c r="F399" s="54" t="str">
        <f>IF($B399="","",INDEX(tblStock[Categoría],'91_KPIS'!$Q399))</f>
        <v/>
      </c>
      <c r="G399" s="54" t="str">
        <f>IF($B399="","",INDEX(tblStock[Proveedor],'91_KPIS'!$Q399)&amp;"")</f>
        <v/>
      </c>
      <c r="H399" s="56" t="str">
        <f>IF($B399="","",INDEX(tblStock[StockActual],'91_KPIS'!$Q399))</f>
        <v/>
      </c>
      <c r="I399" s="55" t="str">
        <f>IF($B399="","",INDEX(tblStock[StockMin],'91_KPIS'!$Q399))</f>
        <v/>
      </c>
      <c r="J399" s="55" t="str">
        <f>IF($B399="","",INDEX(tblStock[StockMax],'91_KPIS'!$Q399))</f>
        <v/>
      </c>
      <c r="K399" s="53" t="str">
        <f>IF($B399="","",INDEX(tblStock[Unidad],'91_KPIS'!$Q399))</f>
        <v/>
      </c>
      <c r="L399" s="55" t="str">
        <f t="shared" si="12"/>
        <v/>
      </c>
      <c r="M399" s="55" t="str">
        <f t="shared" si="13"/>
        <v/>
      </c>
      <c r="N399" s="54" t="str">
        <f>IF($B399="","",IFERROR(INDEX(tblEstados[Acción],MATCH($C399,tblEstados[Estado],0)),""))</f>
        <v/>
      </c>
      <c r="O399" s="60" t="str">
        <f>IF($B399="","",INDEX(tblStock[UltimoMov],'91_KPIS'!$Q399))</f>
        <v/>
      </c>
    </row>
    <row r="400" spans="2:15" x14ac:dyDescent="0.25">
      <c r="B400" s="62" t="str">
        <f>IF('91_KPIS'!$Q400="","",'91_KPIS'!$O400)</f>
        <v/>
      </c>
      <c r="C400" s="58" t="str">
        <f>IF($B400="","",INDEX(tblStock[Estado],'91_KPIS'!$Q400))</f>
        <v/>
      </c>
      <c r="D400" s="53" t="str">
        <f>IF($B400="","",INDEX(tblStock[SKU],'91_KPIS'!$Q400))</f>
        <v/>
      </c>
      <c r="E400" s="54" t="str">
        <f>IF($B400="","",INDEX(tblStock[Producto],'91_KPIS'!$Q400))</f>
        <v/>
      </c>
      <c r="F400" s="54" t="str">
        <f>IF($B400="","",INDEX(tblStock[Categoría],'91_KPIS'!$Q400))</f>
        <v/>
      </c>
      <c r="G400" s="54" t="str">
        <f>IF($B400="","",INDEX(tblStock[Proveedor],'91_KPIS'!$Q400)&amp;"")</f>
        <v/>
      </c>
      <c r="H400" s="56" t="str">
        <f>IF($B400="","",INDEX(tblStock[StockActual],'91_KPIS'!$Q400))</f>
        <v/>
      </c>
      <c r="I400" s="55" t="str">
        <f>IF($B400="","",INDEX(tblStock[StockMin],'91_KPIS'!$Q400))</f>
        <v/>
      </c>
      <c r="J400" s="55" t="str">
        <f>IF($B400="","",INDEX(tblStock[StockMax],'91_KPIS'!$Q400))</f>
        <v/>
      </c>
      <c r="K400" s="53" t="str">
        <f>IF($B400="","",INDEX(tblStock[Unidad],'91_KPIS'!$Q400))</f>
        <v/>
      </c>
      <c r="L400" s="55" t="str">
        <f t="shared" si="12"/>
        <v/>
      </c>
      <c r="M400" s="55" t="str">
        <f t="shared" si="13"/>
        <v/>
      </c>
      <c r="N400" s="54" t="str">
        <f>IF($B400="","",IFERROR(INDEX(tblEstados[Acción],MATCH($C400,tblEstados[Estado],0)),""))</f>
        <v/>
      </c>
      <c r="O400" s="60" t="str">
        <f>IF($B400="","",INDEX(tblStock[UltimoMov],'91_KPIS'!$Q400))</f>
        <v/>
      </c>
    </row>
    <row r="401" spans="2:15" x14ac:dyDescent="0.25">
      <c r="B401" s="62" t="str">
        <f>IF('91_KPIS'!$Q401="","",'91_KPIS'!$O401)</f>
        <v/>
      </c>
      <c r="C401" s="58" t="str">
        <f>IF($B401="","",INDEX(tblStock[Estado],'91_KPIS'!$Q401))</f>
        <v/>
      </c>
      <c r="D401" s="53" t="str">
        <f>IF($B401="","",INDEX(tblStock[SKU],'91_KPIS'!$Q401))</f>
        <v/>
      </c>
      <c r="E401" s="54" t="str">
        <f>IF($B401="","",INDEX(tblStock[Producto],'91_KPIS'!$Q401))</f>
        <v/>
      </c>
      <c r="F401" s="54" t="str">
        <f>IF($B401="","",INDEX(tblStock[Categoría],'91_KPIS'!$Q401))</f>
        <v/>
      </c>
      <c r="G401" s="54" t="str">
        <f>IF($B401="","",INDEX(tblStock[Proveedor],'91_KPIS'!$Q401)&amp;"")</f>
        <v/>
      </c>
      <c r="H401" s="56" t="str">
        <f>IF($B401="","",INDEX(tblStock[StockActual],'91_KPIS'!$Q401))</f>
        <v/>
      </c>
      <c r="I401" s="55" t="str">
        <f>IF($B401="","",INDEX(tblStock[StockMin],'91_KPIS'!$Q401))</f>
        <v/>
      </c>
      <c r="J401" s="55" t="str">
        <f>IF($B401="","",INDEX(tblStock[StockMax],'91_KPIS'!$Q401))</f>
        <v/>
      </c>
      <c r="K401" s="53" t="str">
        <f>IF($B401="","",INDEX(tblStock[Unidad],'91_KPIS'!$Q401))</f>
        <v/>
      </c>
      <c r="L401" s="55" t="str">
        <f t="shared" si="12"/>
        <v/>
      </c>
      <c r="M401" s="55" t="str">
        <f t="shared" si="13"/>
        <v/>
      </c>
      <c r="N401" s="54" t="str">
        <f>IF($B401="","",IFERROR(INDEX(tblEstados[Acción],MATCH($C401,tblEstados[Estado],0)),""))</f>
        <v/>
      </c>
      <c r="O401" s="60" t="str">
        <f>IF($B401="","",INDEX(tblStock[UltimoMov],'91_KPIS'!$Q401))</f>
        <v/>
      </c>
    </row>
    <row r="402" spans="2:15" x14ac:dyDescent="0.25">
      <c r="B402" s="62" t="str">
        <f>IF('91_KPIS'!$Q402="","",'91_KPIS'!$O402)</f>
        <v/>
      </c>
      <c r="C402" s="58" t="str">
        <f>IF($B402="","",INDEX(tblStock[Estado],'91_KPIS'!$Q402))</f>
        <v/>
      </c>
      <c r="D402" s="53" t="str">
        <f>IF($B402="","",INDEX(tblStock[SKU],'91_KPIS'!$Q402))</f>
        <v/>
      </c>
      <c r="E402" s="54" t="str">
        <f>IF($B402="","",INDEX(tblStock[Producto],'91_KPIS'!$Q402))</f>
        <v/>
      </c>
      <c r="F402" s="54" t="str">
        <f>IF($B402="","",INDEX(tblStock[Categoría],'91_KPIS'!$Q402))</f>
        <v/>
      </c>
      <c r="G402" s="54" t="str">
        <f>IF($B402="","",INDEX(tblStock[Proveedor],'91_KPIS'!$Q402)&amp;"")</f>
        <v/>
      </c>
      <c r="H402" s="56" t="str">
        <f>IF($B402="","",INDEX(tblStock[StockActual],'91_KPIS'!$Q402))</f>
        <v/>
      </c>
      <c r="I402" s="55" t="str">
        <f>IF($B402="","",INDEX(tblStock[StockMin],'91_KPIS'!$Q402))</f>
        <v/>
      </c>
      <c r="J402" s="55" t="str">
        <f>IF($B402="","",INDEX(tblStock[StockMax],'91_KPIS'!$Q402))</f>
        <v/>
      </c>
      <c r="K402" s="53" t="str">
        <f>IF($B402="","",INDEX(tblStock[Unidad],'91_KPIS'!$Q402))</f>
        <v/>
      </c>
      <c r="L402" s="55" t="str">
        <f t="shared" si="12"/>
        <v/>
      </c>
      <c r="M402" s="55" t="str">
        <f t="shared" si="13"/>
        <v/>
      </c>
      <c r="N402" s="54" t="str">
        <f>IF($B402="","",IFERROR(INDEX(tblEstados[Acción],MATCH($C402,tblEstados[Estado],0)),""))</f>
        <v/>
      </c>
      <c r="O402" s="60" t="str">
        <f>IF($B402="","",INDEX(tblStock[UltimoMov],'91_KPIS'!$Q402))</f>
        <v/>
      </c>
    </row>
    <row r="403" spans="2:15" x14ac:dyDescent="0.25">
      <c r="B403" s="62" t="str">
        <f>IF('91_KPIS'!$Q403="","",'91_KPIS'!$O403)</f>
        <v/>
      </c>
      <c r="C403" s="58" t="str">
        <f>IF($B403="","",INDEX(tblStock[Estado],'91_KPIS'!$Q403))</f>
        <v/>
      </c>
      <c r="D403" s="53" t="str">
        <f>IF($B403="","",INDEX(tblStock[SKU],'91_KPIS'!$Q403))</f>
        <v/>
      </c>
      <c r="E403" s="54" t="str">
        <f>IF($B403="","",INDEX(tblStock[Producto],'91_KPIS'!$Q403))</f>
        <v/>
      </c>
      <c r="F403" s="54" t="str">
        <f>IF($B403="","",INDEX(tblStock[Categoría],'91_KPIS'!$Q403))</f>
        <v/>
      </c>
      <c r="G403" s="54" t="str">
        <f>IF($B403="","",INDEX(tblStock[Proveedor],'91_KPIS'!$Q403)&amp;"")</f>
        <v/>
      </c>
      <c r="H403" s="56" t="str">
        <f>IF($B403="","",INDEX(tblStock[StockActual],'91_KPIS'!$Q403))</f>
        <v/>
      </c>
      <c r="I403" s="55" t="str">
        <f>IF($B403="","",INDEX(tblStock[StockMin],'91_KPIS'!$Q403))</f>
        <v/>
      </c>
      <c r="J403" s="55" t="str">
        <f>IF($B403="","",INDEX(tblStock[StockMax],'91_KPIS'!$Q403))</f>
        <v/>
      </c>
      <c r="K403" s="53" t="str">
        <f>IF($B403="","",INDEX(tblStock[Unidad],'91_KPIS'!$Q403))</f>
        <v/>
      </c>
      <c r="L403" s="55" t="str">
        <f t="shared" si="12"/>
        <v/>
      </c>
      <c r="M403" s="55" t="str">
        <f t="shared" si="13"/>
        <v/>
      </c>
      <c r="N403" s="54" t="str">
        <f>IF($B403="","",IFERROR(INDEX(tblEstados[Acción],MATCH($C403,tblEstados[Estado],0)),""))</f>
        <v/>
      </c>
      <c r="O403" s="60" t="str">
        <f>IF($B403="","",INDEX(tblStock[UltimoMov],'91_KPIS'!$Q403))</f>
        <v/>
      </c>
    </row>
    <row r="404" spans="2:15" x14ac:dyDescent="0.25">
      <c r="B404" s="62" t="str">
        <f>IF('91_KPIS'!$Q404="","",'91_KPIS'!$O404)</f>
        <v/>
      </c>
      <c r="C404" s="58" t="str">
        <f>IF($B404="","",INDEX(tblStock[Estado],'91_KPIS'!$Q404))</f>
        <v/>
      </c>
      <c r="D404" s="53" t="str">
        <f>IF($B404="","",INDEX(tblStock[SKU],'91_KPIS'!$Q404))</f>
        <v/>
      </c>
      <c r="E404" s="54" t="str">
        <f>IF($B404="","",INDEX(tblStock[Producto],'91_KPIS'!$Q404))</f>
        <v/>
      </c>
      <c r="F404" s="54" t="str">
        <f>IF($B404="","",INDEX(tblStock[Categoría],'91_KPIS'!$Q404))</f>
        <v/>
      </c>
      <c r="G404" s="54" t="str">
        <f>IF($B404="","",INDEX(tblStock[Proveedor],'91_KPIS'!$Q404)&amp;"")</f>
        <v/>
      </c>
      <c r="H404" s="56" t="str">
        <f>IF($B404="","",INDEX(tblStock[StockActual],'91_KPIS'!$Q404))</f>
        <v/>
      </c>
      <c r="I404" s="55" t="str">
        <f>IF($B404="","",INDEX(tblStock[StockMin],'91_KPIS'!$Q404))</f>
        <v/>
      </c>
      <c r="J404" s="55" t="str">
        <f>IF($B404="","",INDEX(tblStock[StockMax],'91_KPIS'!$Q404))</f>
        <v/>
      </c>
      <c r="K404" s="53" t="str">
        <f>IF($B404="","",INDEX(tblStock[Unidad],'91_KPIS'!$Q404))</f>
        <v/>
      </c>
      <c r="L404" s="55" t="str">
        <f t="shared" si="12"/>
        <v/>
      </c>
      <c r="M404" s="55" t="str">
        <f t="shared" si="13"/>
        <v/>
      </c>
      <c r="N404" s="54" t="str">
        <f>IF($B404="","",IFERROR(INDEX(tblEstados[Acción],MATCH($C404,tblEstados[Estado],0)),""))</f>
        <v/>
      </c>
      <c r="O404" s="60" t="str">
        <f>IF($B404="","",INDEX(tblStock[UltimoMov],'91_KPIS'!$Q404))</f>
        <v/>
      </c>
    </row>
    <row r="405" spans="2:15" x14ac:dyDescent="0.25">
      <c r="B405" s="62" t="str">
        <f>IF('91_KPIS'!$Q405="","",'91_KPIS'!$O405)</f>
        <v/>
      </c>
      <c r="C405" s="58" t="str">
        <f>IF($B405="","",INDEX(tblStock[Estado],'91_KPIS'!$Q405))</f>
        <v/>
      </c>
      <c r="D405" s="53" t="str">
        <f>IF($B405="","",INDEX(tblStock[SKU],'91_KPIS'!$Q405))</f>
        <v/>
      </c>
      <c r="E405" s="54" t="str">
        <f>IF($B405="","",INDEX(tblStock[Producto],'91_KPIS'!$Q405))</f>
        <v/>
      </c>
      <c r="F405" s="54" t="str">
        <f>IF($B405="","",INDEX(tblStock[Categoría],'91_KPIS'!$Q405))</f>
        <v/>
      </c>
      <c r="G405" s="54" t="str">
        <f>IF($B405="","",INDEX(tblStock[Proveedor],'91_KPIS'!$Q405)&amp;"")</f>
        <v/>
      </c>
      <c r="H405" s="56" t="str">
        <f>IF($B405="","",INDEX(tblStock[StockActual],'91_KPIS'!$Q405))</f>
        <v/>
      </c>
      <c r="I405" s="55" t="str">
        <f>IF($B405="","",INDEX(tblStock[StockMin],'91_KPIS'!$Q405))</f>
        <v/>
      </c>
      <c r="J405" s="55" t="str">
        <f>IF($B405="","",INDEX(tblStock[StockMax],'91_KPIS'!$Q405))</f>
        <v/>
      </c>
      <c r="K405" s="53" t="str">
        <f>IF($B405="","",INDEX(tblStock[Unidad],'91_KPIS'!$Q405))</f>
        <v/>
      </c>
      <c r="L405" s="55" t="str">
        <f t="shared" si="12"/>
        <v/>
      </c>
      <c r="M405" s="55" t="str">
        <f t="shared" si="13"/>
        <v/>
      </c>
      <c r="N405" s="54" t="str">
        <f>IF($B405="","",IFERROR(INDEX(tblEstados[Acción],MATCH($C405,tblEstados[Estado],0)),""))</f>
        <v/>
      </c>
      <c r="O405" s="60" t="str">
        <f>IF($B405="","",INDEX(tblStock[UltimoMov],'91_KPIS'!$Q405))</f>
        <v/>
      </c>
    </row>
    <row r="406" spans="2:15" x14ac:dyDescent="0.25">
      <c r="B406" s="62" t="str">
        <f>IF('91_KPIS'!$Q406="","",'91_KPIS'!$O406)</f>
        <v/>
      </c>
      <c r="C406" s="58" t="str">
        <f>IF($B406="","",INDEX(tblStock[Estado],'91_KPIS'!$Q406))</f>
        <v/>
      </c>
      <c r="D406" s="53" t="str">
        <f>IF($B406="","",INDEX(tblStock[SKU],'91_KPIS'!$Q406))</f>
        <v/>
      </c>
      <c r="E406" s="54" t="str">
        <f>IF($B406="","",INDEX(tblStock[Producto],'91_KPIS'!$Q406))</f>
        <v/>
      </c>
      <c r="F406" s="54" t="str">
        <f>IF($B406="","",INDEX(tblStock[Categoría],'91_KPIS'!$Q406))</f>
        <v/>
      </c>
      <c r="G406" s="54" t="str">
        <f>IF($B406="","",INDEX(tblStock[Proveedor],'91_KPIS'!$Q406)&amp;"")</f>
        <v/>
      </c>
      <c r="H406" s="56" t="str">
        <f>IF($B406="","",INDEX(tblStock[StockActual],'91_KPIS'!$Q406))</f>
        <v/>
      </c>
      <c r="I406" s="55" t="str">
        <f>IF($B406="","",INDEX(tblStock[StockMin],'91_KPIS'!$Q406))</f>
        <v/>
      </c>
      <c r="J406" s="55" t="str">
        <f>IF($B406="","",INDEX(tblStock[StockMax],'91_KPIS'!$Q406))</f>
        <v/>
      </c>
      <c r="K406" s="53" t="str">
        <f>IF($B406="","",INDEX(tblStock[Unidad],'91_KPIS'!$Q406))</f>
        <v/>
      </c>
      <c r="L406" s="55" t="str">
        <f t="shared" si="12"/>
        <v/>
      </c>
      <c r="M406" s="55" t="str">
        <f t="shared" si="13"/>
        <v/>
      </c>
      <c r="N406" s="54" t="str">
        <f>IF($B406="","",IFERROR(INDEX(tblEstados[Acción],MATCH($C406,tblEstados[Estado],0)),""))</f>
        <v/>
      </c>
      <c r="O406" s="60" t="str">
        <f>IF($B406="","",INDEX(tblStock[UltimoMov],'91_KPIS'!$Q406))</f>
        <v/>
      </c>
    </row>
    <row r="407" spans="2:15" x14ac:dyDescent="0.25">
      <c r="B407" s="62" t="str">
        <f>IF('91_KPIS'!$Q407="","",'91_KPIS'!$O407)</f>
        <v/>
      </c>
      <c r="C407" s="58" t="str">
        <f>IF($B407="","",INDEX(tblStock[Estado],'91_KPIS'!$Q407))</f>
        <v/>
      </c>
      <c r="D407" s="53" t="str">
        <f>IF($B407="","",INDEX(tblStock[SKU],'91_KPIS'!$Q407))</f>
        <v/>
      </c>
      <c r="E407" s="54" t="str">
        <f>IF($B407="","",INDEX(tblStock[Producto],'91_KPIS'!$Q407))</f>
        <v/>
      </c>
      <c r="F407" s="54" t="str">
        <f>IF($B407="","",INDEX(tblStock[Categoría],'91_KPIS'!$Q407))</f>
        <v/>
      </c>
      <c r="G407" s="54" t="str">
        <f>IF($B407="","",INDEX(tblStock[Proveedor],'91_KPIS'!$Q407)&amp;"")</f>
        <v/>
      </c>
      <c r="H407" s="56" t="str">
        <f>IF($B407="","",INDEX(tblStock[StockActual],'91_KPIS'!$Q407))</f>
        <v/>
      </c>
      <c r="I407" s="55" t="str">
        <f>IF($B407="","",INDEX(tblStock[StockMin],'91_KPIS'!$Q407))</f>
        <v/>
      </c>
      <c r="J407" s="55" t="str">
        <f>IF($B407="","",INDEX(tblStock[StockMax],'91_KPIS'!$Q407))</f>
        <v/>
      </c>
      <c r="K407" s="53" t="str">
        <f>IF($B407="","",INDEX(tblStock[Unidad],'91_KPIS'!$Q407))</f>
        <v/>
      </c>
      <c r="L407" s="55" t="str">
        <f t="shared" si="12"/>
        <v/>
      </c>
      <c r="M407" s="55" t="str">
        <f t="shared" si="13"/>
        <v/>
      </c>
      <c r="N407" s="54" t="str">
        <f>IF($B407="","",IFERROR(INDEX(tblEstados[Acción],MATCH($C407,tblEstados[Estado],0)),""))</f>
        <v/>
      </c>
      <c r="O407" s="60" t="str">
        <f>IF($B407="","",INDEX(tblStock[UltimoMov],'91_KPIS'!$Q407))</f>
        <v/>
      </c>
    </row>
    <row r="408" spans="2:15" x14ac:dyDescent="0.25">
      <c r="B408" s="62" t="str">
        <f>IF('91_KPIS'!$Q408="","",'91_KPIS'!$O408)</f>
        <v/>
      </c>
      <c r="C408" s="58" t="str">
        <f>IF($B408="","",INDEX(tblStock[Estado],'91_KPIS'!$Q408))</f>
        <v/>
      </c>
      <c r="D408" s="53" t="str">
        <f>IF($B408="","",INDEX(tblStock[SKU],'91_KPIS'!$Q408))</f>
        <v/>
      </c>
      <c r="E408" s="54" t="str">
        <f>IF($B408="","",INDEX(tblStock[Producto],'91_KPIS'!$Q408))</f>
        <v/>
      </c>
      <c r="F408" s="54" t="str">
        <f>IF($B408="","",INDEX(tblStock[Categoría],'91_KPIS'!$Q408))</f>
        <v/>
      </c>
      <c r="G408" s="54" t="str">
        <f>IF($B408="","",INDEX(tblStock[Proveedor],'91_KPIS'!$Q408)&amp;"")</f>
        <v/>
      </c>
      <c r="H408" s="56" t="str">
        <f>IF($B408="","",INDEX(tblStock[StockActual],'91_KPIS'!$Q408))</f>
        <v/>
      </c>
      <c r="I408" s="55" t="str">
        <f>IF($B408="","",INDEX(tblStock[StockMin],'91_KPIS'!$Q408))</f>
        <v/>
      </c>
      <c r="J408" s="55" t="str">
        <f>IF($B408="","",INDEX(tblStock[StockMax],'91_KPIS'!$Q408))</f>
        <v/>
      </c>
      <c r="K408" s="53" t="str">
        <f>IF($B408="","",INDEX(tblStock[Unidad],'91_KPIS'!$Q408))</f>
        <v/>
      </c>
      <c r="L408" s="55" t="str">
        <f t="shared" si="12"/>
        <v/>
      </c>
      <c r="M408" s="55" t="str">
        <f t="shared" si="13"/>
        <v/>
      </c>
      <c r="N408" s="54" t="str">
        <f>IF($B408="","",IFERROR(INDEX(tblEstados[Acción],MATCH($C408,tblEstados[Estado],0)),""))</f>
        <v/>
      </c>
      <c r="O408" s="60" t="str">
        <f>IF($B408="","",INDEX(tblStock[UltimoMov],'91_KPIS'!$Q408))</f>
        <v/>
      </c>
    </row>
    <row r="409" spans="2:15" x14ac:dyDescent="0.25">
      <c r="B409" s="62" t="str">
        <f>IF('91_KPIS'!$Q409="","",'91_KPIS'!$O409)</f>
        <v/>
      </c>
      <c r="C409" s="58" t="str">
        <f>IF($B409="","",INDEX(tblStock[Estado],'91_KPIS'!$Q409))</f>
        <v/>
      </c>
      <c r="D409" s="53" t="str">
        <f>IF($B409="","",INDEX(tblStock[SKU],'91_KPIS'!$Q409))</f>
        <v/>
      </c>
      <c r="E409" s="54" t="str">
        <f>IF($B409="","",INDEX(tblStock[Producto],'91_KPIS'!$Q409))</f>
        <v/>
      </c>
      <c r="F409" s="54" t="str">
        <f>IF($B409="","",INDEX(tblStock[Categoría],'91_KPIS'!$Q409))</f>
        <v/>
      </c>
      <c r="G409" s="54" t="str">
        <f>IF($B409="","",INDEX(tblStock[Proveedor],'91_KPIS'!$Q409)&amp;"")</f>
        <v/>
      </c>
      <c r="H409" s="56" t="str">
        <f>IF($B409="","",INDEX(tblStock[StockActual],'91_KPIS'!$Q409))</f>
        <v/>
      </c>
      <c r="I409" s="55" t="str">
        <f>IF($B409="","",INDEX(tblStock[StockMin],'91_KPIS'!$Q409))</f>
        <v/>
      </c>
      <c r="J409" s="55" t="str">
        <f>IF($B409="","",INDEX(tblStock[StockMax],'91_KPIS'!$Q409))</f>
        <v/>
      </c>
      <c r="K409" s="53" t="str">
        <f>IF($B409="","",INDEX(tblStock[Unidad],'91_KPIS'!$Q409))</f>
        <v/>
      </c>
      <c r="L409" s="55" t="str">
        <f t="shared" si="12"/>
        <v/>
      </c>
      <c r="M409" s="55" t="str">
        <f t="shared" si="13"/>
        <v/>
      </c>
      <c r="N409" s="54" t="str">
        <f>IF($B409="","",IFERROR(INDEX(tblEstados[Acción],MATCH($C409,tblEstados[Estado],0)),""))</f>
        <v/>
      </c>
      <c r="O409" s="60" t="str">
        <f>IF($B409="","",INDEX(tblStock[UltimoMov],'91_KPIS'!$Q409))</f>
        <v/>
      </c>
    </row>
    <row r="410" spans="2:15" x14ac:dyDescent="0.25">
      <c r="B410" s="62" t="str">
        <f>IF('91_KPIS'!$Q410="","",'91_KPIS'!$O410)</f>
        <v/>
      </c>
      <c r="C410" s="58" t="str">
        <f>IF($B410="","",INDEX(tblStock[Estado],'91_KPIS'!$Q410))</f>
        <v/>
      </c>
      <c r="D410" s="53" t="str">
        <f>IF($B410="","",INDEX(tblStock[SKU],'91_KPIS'!$Q410))</f>
        <v/>
      </c>
      <c r="E410" s="54" t="str">
        <f>IF($B410="","",INDEX(tblStock[Producto],'91_KPIS'!$Q410))</f>
        <v/>
      </c>
      <c r="F410" s="54" t="str">
        <f>IF($B410="","",INDEX(tblStock[Categoría],'91_KPIS'!$Q410))</f>
        <v/>
      </c>
      <c r="G410" s="54" t="str">
        <f>IF($B410="","",INDEX(tblStock[Proveedor],'91_KPIS'!$Q410)&amp;"")</f>
        <v/>
      </c>
      <c r="H410" s="56" t="str">
        <f>IF($B410="","",INDEX(tblStock[StockActual],'91_KPIS'!$Q410))</f>
        <v/>
      </c>
      <c r="I410" s="55" t="str">
        <f>IF($B410="","",INDEX(tblStock[StockMin],'91_KPIS'!$Q410))</f>
        <v/>
      </c>
      <c r="J410" s="55" t="str">
        <f>IF($B410="","",INDEX(tblStock[StockMax],'91_KPIS'!$Q410))</f>
        <v/>
      </c>
      <c r="K410" s="53" t="str">
        <f>IF($B410="","",INDEX(tblStock[Unidad],'91_KPIS'!$Q410))</f>
        <v/>
      </c>
      <c r="L410" s="55" t="str">
        <f t="shared" si="12"/>
        <v/>
      </c>
      <c r="M410" s="55" t="str">
        <f t="shared" si="13"/>
        <v/>
      </c>
      <c r="N410" s="54" t="str">
        <f>IF($B410="","",IFERROR(INDEX(tblEstados[Acción],MATCH($C410,tblEstados[Estado],0)),""))</f>
        <v/>
      </c>
      <c r="O410" s="60" t="str">
        <f>IF($B410="","",INDEX(tblStock[UltimoMov],'91_KPIS'!$Q410))</f>
        <v/>
      </c>
    </row>
    <row r="411" spans="2:15" x14ac:dyDescent="0.25">
      <c r="B411" s="62" t="str">
        <f>IF('91_KPIS'!$Q411="","",'91_KPIS'!$O411)</f>
        <v/>
      </c>
      <c r="C411" s="58" t="str">
        <f>IF($B411="","",INDEX(tblStock[Estado],'91_KPIS'!$Q411))</f>
        <v/>
      </c>
      <c r="D411" s="53" t="str">
        <f>IF($B411="","",INDEX(tblStock[SKU],'91_KPIS'!$Q411))</f>
        <v/>
      </c>
      <c r="E411" s="54" t="str">
        <f>IF($B411="","",INDEX(tblStock[Producto],'91_KPIS'!$Q411))</f>
        <v/>
      </c>
      <c r="F411" s="54" t="str">
        <f>IF($B411="","",INDEX(tblStock[Categoría],'91_KPIS'!$Q411))</f>
        <v/>
      </c>
      <c r="G411" s="54" t="str">
        <f>IF($B411="","",INDEX(tblStock[Proveedor],'91_KPIS'!$Q411)&amp;"")</f>
        <v/>
      </c>
      <c r="H411" s="56" t="str">
        <f>IF($B411="","",INDEX(tblStock[StockActual],'91_KPIS'!$Q411))</f>
        <v/>
      </c>
      <c r="I411" s="55" t="str">
        <f>IF($B411="","",INDEX(tblStock[StockMin],'91_KPIS'!$Q411))</f>
        <v/>
      </c>
      <c r="J411" s="55" t="str">
        <f>IF($B411="","",INDEX(tblStock[StockMax],'91_KPIS'!$Q411))</f>
        <v/>
      </c>
      <c r="K411" s="53" t="str">
        <f>IF($B411="","",INDEX(tblStock[Unidad],'91_KPIS'!$Q411))</f>
        <v/>
      </c>
      <c r="L411" s="55" t="str">
        <f t="shared" si="12"/>
        <v/>
      </c>
      <c r="M411" s="55" t="str">
        <f t="shared" si="13"/>
        <v/>
      </c>
      <c r="N411" s="54" t="str">
        <f>IF($B411="","",IFERROR(INDEX(tblEstados[Acción],MATCH($C411,tblEstados[Estado],0)),""))</f>
        <v/>
      </c>
      <c r="O411" s="60" t="str">
        <f>IF($B411="","",INDEX(tblStock[UltimoMov],'91_KPIS'!$Q411))</f>
        <v/>
      </c>
    </row>
    <row r="412" spans="2:15" x14ac:dyDescent="0.25">
      <c r="B412" s="62" t="str">
        <f>IF('91_KPIS'!$Q412="","",'91_KPIS'!$O412)</f>
        <v/>
      </c>
      <c r="C412" s="58" t="str">
        <f>IF($B412="","",INDEX(tblStock[Estado],'91_KPIS'!$Q412))</f>
        <v/>
      </c>
      <c r="D412" s="53" t="str">
        <f>IF($B412="","",INDEX(tblStock[SKU],'91_KPIS'!$Q412))</f>
        <v/>
      </c>
      <c r="E412" s="54" t="str">
        <f>IF($B412="","",INDEX(tblStock[Producto],'91_KPIS'!$Q412))</f>
        <v/>
      </c>
      <c r="F412" s="54" t="str">
        <f>IF($B412="","",INDEX(tblStock[Categoría],'91_KPIS'!$Q412))</f>
        <v/>
      </c>
      <c r="G412" s="54" t="str">
        <f>IF($B412="","",INDEX(tblStock[Proveedor],'91_KPIS'!$Q412)&amp;"")</f>
        <v/>
      </c>
      <c r="H412" s="56" t="str">
        <f>IF($B412="","",INDEX(tblStock[StockActual],'91_KPIS'!$Q412))</f>
        <v/>
      </c>
      <c r="I412" s="55" t="str">
        <f>IF($B412="","",INDEX(tblStock[StockMin],'91_KPIS'!$Q412))</f>
        <v/>
      </c>
      <c r="J412" s="55" t="str">
        <f>IF($B412="","",INDEX(tblStock[StockMax],'91_KPIS'!$Q412))</f>
        <v/>
      </c>
      <c r="K412" s="53" t="str">
        <f>IF($B412="","",INDEX(tblStock[Unidad],'91_KPIS'!$Q412))</f>
        <v/>
      </c>
      <c r="L412" s="55" t="str">
        <f t="shared" si="12"/>
        <v/>
      </c>
      <c r="M412" s="55" t="str">
        <f t="shared" si="13"/>
        <v/>
      </c>
      <c r="N412" s="54" t="str">
        <f>IF($B412="","",IFERROR(INDEX(tblEstados[Acción],MATCH($C412,tblEstados[Estado],0)),""))</f>
        <v/>
      </c>
      <c r="O412" s="60" t="str">
        <f>IF($B412="","",INDEX(tblStock[UltimoMov],'91_KPIS'!$Q412))</f>
        <v/>
      </c>
    </row>
    <row r="413" spans="2:15" x14ac:dyDescent="0.25">
      <c r="B413" s="62" t="str">
        <f>IF('91_KPIS'!$Q413="","",'91_KPIS'!$O413)</f>
        <v/>
      </c>
      <c r="C413" s="58" t="str">
        <f>IF($B413="","",INDEX(tblStock[Estado],'91_KPIS'!$Q413))</f>
        <v/>
      </c>
      <c r="D413" s="53" t="str">
        <f>IF($B413="","",INDEX(tblStock[SKU],'91_KPIS'!$Q413))</f>
        <v/>
      </c>
      <c r="E413" s="54" t="str">
        <f>IF($B413="","",INDEX(tblStock[Producto],'91_KPIS'!$Q413))</f>
        <v/>
      </c>
      <c r="F413" s="54" t="str">
        <f>IF($B413="","",INDEX(tblStock[Categoría],'91_KPIS'!$Q413))</f>
        <v/>
      </c>
      <c r="G413" s="54" t="str">
        <f>IF($B413="","",INDEX(tblStock[Proveedor],'91_KPIS'!$Q413)&amp;"")</f>
        <v/>
      </c>
      <c r="H413" s="56" t="str">
        <f>IF($B413="","",INDEX(tblStock[StockActual],'91_KPIS'!$Q413))</f>
        <v/>
      </c>
      <c r="I413" s="55" t="str">
        <f>IF($B413="","",INDEX(tblStock[StockMin],'91_KPIS'!$Q413))</f>
        <v/>
      </c>
      <c r="J413" s="55" t="str">
        <f>IF($B413="","",INDEX(tblStock[StockMax],'91_KPIS'!$Q413))</f>
        <v/>
      </c>
      <c r="K413" s="53" t="str">
        <f>IF($B413="","",INDEX(tblStock[Unidad],'91_KPIS'!$Q413))</f>
        <v/>
      </c>
      <c r="L413" s="55" t="str">
        <f t="shared" si="12"/>
        <v/>
      </c>
      <c r="M413" s="55" t="str">
        <f t="shared" si="13"/>
        <v/>
      </c>
      <c r="N413" s="54" t="str">
        <f>IF($B413="","",IFERROR(INDEX(tblEstados[Acción],MATCH($C413,tblEstados[Estado],0)),""))</f>
        <v/>
      </c>
      <c r="O413" s="60" t="str">
        <f>IF($B413="","",INDEX(tblStock[UltimoMov],'91_KPIS'!$Q413))</f>
        <v/>
      </c>
    </row>
    <row r="414" spans="2:15" x14ac:dyDescent="0.25">
      <c r="B414" s="62" t="str">
        <f>IF('91_KPIS'!$Q414="","",'91_KPIS'!$O414)</f>
        <v/>
      </c>
      <c r="C414" s="58" t="str">
        <f>IF($B414="","",INDEX(tblStock[Estado],'91_KPIS'!$Q414))</f>
        <v/>
      </c>
      <c r="D414" s="53" t="str">
        <f>IF($B414="","",INDEX(tblStock[SKU],'91_KPIS'!$Q414))</f>
        <v/>
      </c>
      <c r="E414" s="54" t="str">
        <f>IF($B414="","",INDEX(tblStock[Producto],'91_KPIS'!$Q414))</f>
        <v/>
      </c>
      <c r="F414" s="54" t="str">
        <f>IF($B414="","",INDEX(tblStock[Categoría],'91_KPIS'!$Q414))</f>
        <v/>
      </c>
      <c r="G414" s="54" t="str">
        <f>IF($B414="","",INDEX(tblStock[Proveedor],'91_KPIS'!$Q414)&amp;"")</f>
        <v/>
      </c>
      <c r="H414" s="56" t="str">
        <f>IF($B414="","",INDEX(tblStock[StockActual],'91_KPIS'!$Q414))</f>
        <v/>
      </c>
      <c r="I414" s="55" t="str">
        <f>IF($B414="","",INDEX(tblStock[StockMin],'91_KPIS'!$Q414))</f>
        <v/>
      </c>
      <c r="J414" s="55" t="str">
        <f>IF($B414="","",INDEX(tblStock[StockMax],'91_KPIS'!$Q414))</f>
        <v/>
      </c>
      <c r="K414" s="53" t="str">
        <f>IF($B414="","",INDEX(tblStock[Unidad],'91_KPIS'!$Q414))</f>
        <v/>
      </c>
      <c r="L414" s="55" t="str">
        <f t="shared" si="12"/>
        <v/>
      </c>
      <c r="M414" s="55" t="str">
        <f t="shared" si="13"/>
        <v/>
      </c>
      <c r="N414" s="54" t="str">
        <f>IF($B414="","",IFERROR(INDEX(tblEstados[Acción],MATCH($C414,tblEstados[Estado],0)),""))</f>
        <v/>
      </c>
      <c r="O414" s="60" t="str">
        <f>IF($B414="","",INDEX(tblStock[UltimoMov],'91_KPIS'!$Q414))</f>
        <v/>
      </c>
    </row>
    <row r="415" spans="2:15" x14ac:dyDescent="0.25">
      <c r="B415" s="62" t="str">
        <f>IF('91_KPIS'!$Q415="","",'91_KPIS'!$O415)</f>
        <v/>
      </c>
      <c r="C415" s="58" t="str">
        <f>IF($B415="","",INDEX(tblStock[Estado],'91_KPIS'!$Q415))</f>
        <v/>
      </c>
      <c r="D415" s="53" t="str">
        <f>IF($B415="","",INDEX(tblStock[SKU],'91_KPIS'!$Q415))</f>
        <v/>
      </c>
      <c r="E415" s="54" t="str">
        <f>IF($B415="","",INDEX(tblStock[Producto],'91_KPIS'!$Q415))</f>
        <v/>
      </c>
      <c r="F415" s="54" t="str">
        <f>IF($B415="","",INDEX(tblStock[Categoría],'91_KPIS'!$Q415))</f>
        <v/>
      </c>
      <c r="G415" s="54" t="str">
        <f>IF($B415="","",INDEX(tblStock[Proveedor],'91_KPIS'!$Q415)&amp;"")</f>
        <v/>
      </c>
      <c r="H415" s="56" t="str">
        <f>IF($B415="","",INDEX(tblStock[StockActual],'91_KPIS'!$Q415))</f>
        <v/>
      </c>
      <c r="I415" s="55" t="str">
        <f>IF($B415="","",INDEX(tblStock[StockMin],'91_KPIS'!$Q415))</f>
        <v/>
      </c>
      <c r="J415" s="55" t="str">
        <f>IF($B415="","",INDEX(tblStock[StockMax],'91_KPIS'!$Q415))</f>
        <v/>
      </c>
      <c r="K415" s="53" t="str">
        <f>IF($B415="","",INDEX(tblStock[Unidad],'91_KPIS'!$Q415))</f>
        <v/>
      </c>
      <c r="L415" s="55" t="str">
        <f t="shared" si="12"/>
        <v/>
      </c>
      <c r="M415" s="55" t="str">
        <f t="shared" si="13"/>
        <v/>
      </c>
      <c r="N415" s="54" t="str">
        <f>IF($B415="","",IFERROR(INDEX(tblEstados[Acción],MATCH($C415,tblEstados[Estado],0)),""))</f>
        <v/>
      </c>
      <c r="O415" s="60" t="str">
        <f>IF($B415="","",INDEX(tblStock[UltimoMov],'91_KPIS'!$Q415))</f>
        <v/>
      </c>
    </row>
    <row r="416" spans="2:15" x14ac:dyDescent="0.25">
      <c r="B416" s="62" t="str">
        <f>IF('91_KPIS'!$Q416="","",'91_KPIS'!$O416)</f>
        <v/>
      </c>
      <c r="C416" s="58" t="str">
        <f>IF($B416="","",INDEX(tblStock[Estado],'91_KPIS'!$Q416))</f>
        <v/>
      </c>
      <c r="D416" s="53" t="str">
        <f>IF($B416="","",INDEX(tblStock[SKU],'91_KPIS'!$Q416))</f>
        <v/>
      </c>
      <c r="E416" s="54" t="str">
        <f>IF($B416="","",INDEX(tblStock[Producto],'91_KPIS'!$Q416))</f>
        <v/>
      </c>
      <c r="F416" s="54" t="str">
        <f>IF($B416="","",INDEX(tblStock[Categoría],'91_KPIS'!$Q416))</f>
        <v/>
      </c>
      <c r="G416" s="54" t="str">
        <f>IF($B416="","",INDEX(tblStock[Proveedor],'91_KPIS'!$Q416)&amp;"")</f>
        <v/>
      </c>
      <c r="H416" s="56" t="str">
        <f>IF($B416="","",INDEX(tblStock[StockActual],'91_KPIS'!$Q416))</f>
        <v/>
      </c>
      <c r="I416" s="55" t="str">
        <f>IF($B416="","",INDEX(tblStock[StockMin],'91_KPIS'!$Q416))</f>
        <v/>
      </c>
      <c r="J416" s="55" t="str">
        <f>IF($B416="","",INDEX(tblStock[StockMax],'91_KPIS'!$Q416))</f>
        <v/>
      </c>
      <c r="K416" s="53" t="str">
        <f>IF($B416="","",INDEX(tblStock[Unidad],'91_KPIS'!$Q416))</f>
        <v/>
      </c>
      <c r="L416" s="55" t="str">
        <f t="shared" si="12"/>
        <v/>
      </c>
      <c r="M416" s="55" t="str">
        <f t="shared" si="13"/>
        <v/>
      </c>
      <c r="N416" s="54" t="str">
        <f>IF($B416="","",IFERROR(INDEX(tblEstados[Acción],MATCH($C416,tblEstados[Estado],0)),""))</f>
        <v/>
      </c>
      <c r="O416" s="60" t="str">
        <f>IF($B416="","",INDEX(tblStock[UltimoMov],'91_KPIS'!$Q416))</f>
        <v/>
      </c>
    </row>
    <row r="417" spans="2:15" x14ac:dyDescent="0.25">
      <c r="B417" s="62" t="str">
        <f>IF('91_KPIS'!$Q417="","",'91_KPIS'!$O417)</f>
        <v/>
      </c>
      <c r="C417" s="58" t="str">
        <f>IF($B417="","",INDEX(tblStock[Estado],'91_KPIS'!$Q417))</f>
        <v/>
      </c>
      <c r="D417" s="53" t="str">
        <f>IF($B417="","",INDEX(tblStock[SKU],'91_KPIS'!$Q417))</f>
        <v/>
      </c>
      <c r="E417" s="54" t="str">
        <f>IF($B417="","",INDEX(tblStock[Producto],'91_KPIS'!$Q417))</f>
        <v/>
      </c>
      <c r="F417" s="54" t="str">
        <f>IF($B417="","",INDEX(tblStock[Categoría],'91_KPIS'!$Q417))</f>
        <v/>
      </c>
      <c r="G417" s="54" t="str">
        <f>IF($B417="","",INDEX(tblStock[Proveedor],'91_KPIS'!$Q417)&amp;"")</f>
        <v/>
      </c>
      <c r="H417" s="56" t="str">
        <f>IF($B417="","",INDEX(tblStock[StockActual],'91_KPIS'!$Q417))</f>
        <v/>
      </c>
      <c r="I417" s="55" t="str">
        <f>IF($B417="","",INDEX(tblStock[StockMin],'91_KPIS'!$Q417))</f>
        <v/>
      </c>
      <c r="J417" s="55" t="str">
        <f>IF($B417="","",INDEX(tblStock[StockMax],'91_KPIS'!$Q417))</f>
        <v/>
      </c>
      <c r="K417" s="53" t="str">
        <f>IF($B417="","",INDEX(tblStock[Unidad],'91_KPIS'!$Q417))</f>
        <v/>
      </c>
      <c r="L417" s="55" t="str">
        <f t="shared" si="12"/>
        <v/>
      </c>
      <c r="M417" s="55" t="str">
        <f t="shared" si="13"/>
        <v/>
      </c>
      <c r="N417" s="54" t="str">
        <f>IF($B417="","",IFERROR(INDEX(tblEstados[Acción],MATCH($C417,tblEstados[Estado],0)),""))</f>
        <v/>
      </c>
      <c r="O417" s="60" t="str">
        <f>IF($B417="","",INDEX(tblStock[UltimoMov],'91_KPIS'!$Q417))</f>
        <v/>
      </c>
    </row>
    <row r="418" spans="2:15" x14ac:dyDescent="0.25">
      <c r="B418" s="62" t="str">
        <f>IF('91_KPIS'!$Q418="","",'91_KPIS'!$O418)</f>
        <v/>
      </c>
      <c r="C418" s="58" t="str">
        <f>IF($B418="","",INDEX(tblStock[Estado],'91_KPIS'!$Q418))</f>
        <v/>
      </c>
      <c r="D418" s="53" t="str">
        <f>IF($B418="","",INDEX(tblStock[SKU],'91_KPIS'!$Q418))</f>
        <v/>
      </c>
      <c r="E418" s="54" t="str">
        <f>IF($B418="","",INDEX(tblStock[Producto],'91_KPIS'!$Q418))</f>
        <v/>
      </c>
      <c r="F418" s="54" t="str">
        <f>IF($B418="","",INDEX(tblStock[Categoría],'91_KPIS'!$Q418))</f>
        <v/>
      </c>
      <c r="G418" s="54" t="str">
        <f>IF($B418="","",INDEX(tblStock[Proveedor],'91_KPIS'!$Q418)&amp;"")</f>
        <v/>
      </c>
      <c r="H418" s="56" t="str">
        <f>IF($B418="","",INDEX(tblStock[StockActual],'91_KPIS'!$Q418))</f>
        <v/>
      </c>
      <c r="I418" s="55" t="str">
        <f>IF($B418="","",INDEX(tblStock[StockMin],'91_KPIS'!$Q418))</f>
        <v/>
      </c>
      <c r="J418" s="55" t="str">
        <f>IF($B418="","",INDEX(tblStock[StockMax],'91_KPIS'!$Q418))</f>
        <v/>
      </c>
      <c r="K418" s="53" t="str">
        <f>IF($B418="","",INDEX(tblStock[Unidad],'91_KPIS'!$Q418))</f>
        <v/>
      </c>
      <c r="L418" s="55" t="str">
        <f t="shared" si="12"/>
        <v/>
      </c>
      <c r="M418" s="55" t="str">
        <f t="shared" si="13"/>
        <v/>
      </c>
      <c r="N418" s="54" t="str">
        <f>IF($B418="","",IFERROR(INDEX(tblEstados[Acción],MATCH($C418,tblEstados[Estado],0)),""))</f>
        <v/>
      </c>
      <c r="O418" s="60" t="str">
        <f>IF($B418="","",INDEX(tblStock[UltimoMov],'91_KPIS'!$Q418))</f>
        <v/>
      </c>
    </row>
    <row r="419" spans="2:15" x14ac:dyDescent="0.25">
      <c r="B419" s="62" t="str">
        <f>IF('91_KPIS'!$Q419="","",'91_KPIS'!$O419)</f>
        <v/>
      </c>
      <c r="C419" s="58" t="str">
        <f>IF($B419="","",INDEX(tblStock[Estado],'91_KPIS'!$Q419))</f>
        <v/>
      </c>
      <c r="D419" s="53" t="str">
        <f>IF($B419="","",INDEX(tblStock[SKU],'91_KPIS'!$Q419))</f>
        <v/>
      </c>
      <c r="E419" s="54" t="str">
        <f>IF($B419="","",INDEX(tblStock[Producto],'91_KPIS'!$Q419))</f>
        <v/>
      </c>
      <c r="F419" s="54" t="str">
        <f>IF($B419="","",INDEX(tblStock[Categoría],'91_KPIS'!$Q419))</f>
        <v/>
      </c>
      <c r="G419" s="54" t="str">
        <f>IF($B419="","",INDEX(tblStock[Proveedor],'91_KPIS'!$Q419)&amp;"")</f>
        <v/>
      </c>
      <c r="H419" s="56" t="str">
        <f>IF($B419="","",INDEX(tblStock[StockActual],'91_KPIS'!$Q419))</f>
        <v/>
      </c>
      <c r="I419" s="55" t="str">
        <f>IF($B419="","",INDEX(tblStock[StockMin],'91_KPIS'!$Q419))</f>
        <v/>
      </c>
      <c r="J419" s="55" t="str">
        <f>IF($B419="","",INDEX(tblStock[StockMax],'91_KPIS'!$Q419))</f>
        <v/>
      </c>
      <c r="K419" s="53" t="str">
        <f>IF($B419="","",INDEX(tblStock[Unidad],'91_KPIS'!$Q419))</f>
        <v/>
      </c>
      <c r="L419" s="55" t="str">
        <f t="shared" si="12"/>
        <v/>
      </c>
      <c r="M419" s="55" t="str">
        <f t="shared" si="13"/>
        <v/>
      </c>
      <c r="N419" s="54" t="str">
        <f>IF($B419="","",IFERROR(INDEX(tblEstados[Acción],MATCH($C419,tblEstados[Estado],0)),""))</f>
        <v/>
      </c>
      <c r="O419" s="60" t="str">
        <f>IF($B419="","",INDEX(tblStock[UltimoMov],'91_KPIS'!$Q419))</f>
        <v/>
      </c>
    </row>
    <row r="420" spans="2:15" x14ac:dyDescent="0.25">
      <c r="B420" s="62" t="str">
        <f>IF('91_KPIS'!$Q420="","",'91_KPIS'!$O420)</f>
        <v/>
      </c>
      <c r="C420" s="58" t="str">
        <f>IF($B420="","",INDEX(tblStock[Estado],'91_KPIS'!$Q420))</f>
        <v/>
      </c>
      <c r="D420" s="53" t="str">
        <f>IF($B420="","",INDEX(tblStock[SKU],'91_KPIS'!$Q420))</f>
        <v/>
      </c>
      <c r="E420" s="54" t="str">
        <f>IF($B420="","",INDEX(tblStock[Producto],'91_KPIS'!$Q420))</f>
        <v/>
      </c>
      <c r="F420" s="54" t="str">
        <f>IF($B420="","",INDEX(tblStock[Categoría],'91_KPIS'!$Q420))</f>
        <v/>
      </c>
      <c r="G420" s="54" t="str">
        <f>IF($B420="","",INDEX(tblStock[Proveedor],'91_KPIS'!$Q420)&amp;"")</f>
        <v/>
      </c>
      <c r="H420" s="56" t="str">
        <f>IF($B420="","",INDEX(tblStock[StockActual],'91_KPIS'!$Q420))</f>
        <v/>
      </c>
      <c r="I420" s="55" t="str">
        <f>IF($B420="","",INDEX(tblStock[StockMin],'91_KPIS'!$Q420))</f>
        <v/>
      </c>
      <c r="J420" s="55" t="str">
        <f>IF($B420="","",INDEX(tblStock[StockMax],'91_KPIS'!$Q420))</f>
        <v/>
      </c>
      <c r="K420" s="53" t="str">
        <f>IF($B420="","",INDEX(tblStock[Unidad],'91_KPIS'!$Q420))</f>
        <v/>
      </c>
      <c r="L420" s="55" t="str">
        <f t="shared" si="12"/>
        <v/>
      </c>
      <c r="M420" s="55" t="str">
        <f t="shared" si="13"/>
        <v/>
      </c>
      <c r="N420" s="54" t="str">
        <f>IF($B420="","",IFERROR(INDEX(tblEstados[Acción],MATCH($C420,tblEstados[Estado],0)),""))</f>
        <v/>
      </c>
      <c r="O420" s="60" t="str">
        <f>IF($B420="","",INDEX(tblStock[UltimoMov],'91_KPIS'!$Q420))</f>
        <v/>
      </c>
    </row>
    <row r="421" spans="2:15" x14ac:dyDescent="0.25">
      <c r="B421" s="62" t="str">
        <f>IF('91_KPIS'!$Q421="","",'91_KPIS'!$O421)</f>
        <v/>
      </c>
      <c r="C421" s="58" t="str">
        <f>IF($B421="","",INDEX(tblStock[Estado],'91_KPIS'!$Q421))</f>
        <v/>
      </c>
      <c r="D421" s="53" t="str">
        <f>IF($B421="","",INDEX(tblStock[SKU],'91_KPIS'!$Q421))</f>
        <v/>
      </c>
      <c r="E421" s="54" t="str">
        <f>IF($B421="","",INDEX(tblStock[Producto],'91_KPIS'!$Q421))</f>
        <v/>
      </c>
      <c r="F421" s="54" t="str">
        <f>IF($B421="","",INDEX(tblStock[Categoría],'91_KPIS'!$Q421))</f>
        <v/>
      </c>
      <c r="G421" s="54" t="str">
        <f>IF($B421="","",INDEX(tblStock[Proveedor],'91_KPIS'!$Q421)&amp;"")</f>
        <v/>
      </c>
      <c r="H421" s="56" t="str">
        <f>IF($B421="","",INDEX(tblStock[StockActual],'91_KPIS'!$Q421))</f>
        <v/>
      </c>
      <c r="I421" s="55" t="str">
        <f>IF($B421="","",INDEX(tblStock[StockMin],'91_KPIS'!$Q421))</f>
        <v/>
      </c>
      <c r="J421" s="55" t="str">
        <f>IF($B421="","",INDEX(tblStock[StockMax],'91_KPIS'!$Q421))</f>
        <v/>
      </c>
      <c r="K421" s="53" t="str">
        <f>IF($B421="","",INDEX(tblStock[Unidad],'91_KPIS'!$Q421))</f>
        <v/>
      </c>
      <c r="L421" s="55" t="str">
        <f t="shared" si="12"/>
        <v/>
      </c>
      <c r="M421" s="55" t="str">
        <f t="shared" si="13"/>
        <v/>
      </c>
      <c r="N421" s="54" t="str">
        <f>IF($B421="","",IFERROR(INDEX(tblEstados[Acción],MATCH($C421,tblEstados[Estado],0)),""))</f>
        <v/>
      </c>
      <c r="O421" s="60" t="str">
        <f>IF($B421="","",INDEX(tblStock[UltimoMov],'91_KPIS'!$Q421))</f>
        <v/>
      </c>
    </row>
    <row r="422" spans="2:15" x14ac:dyDescent="0.25">
      <c r="B422" s="62" t="str">
        <f>IF('91_KPIS'!$Q422="","",'91_KPIS'!$O422)</f>
        <v/>
      </c>
      <c r="C422" s="58" t="str">
        <f>IF($B422="","",INDEX(tblStock[Estado],'91_KPIS'!$Q422))</f>
        <v/>
      </c>
      <c r="D422" s="53" t="str">
        <f>IF($B422="","",INDEX(tblStock[SKU],'91_KPIS'!$Q422))</f>
        <v/>
      </c>
      <c r="E422" s="54" t="str">
        <f>IF($B422="","",INDEX(tblStock[Producto],'91_KPIS'!$Q422))</f>
        <v/>
      </c>
      <c r="F422" s="54" t="str">
        <f>IF($B422="","",INDEX(tblStock[Categoría],'91_KPIS'!$Q422))</f>
        <v/>
      </c>
      <c r="G422" s="54" t="str">
        <f>IF($B422="","",INDEX(tblStock[Proveedor],'91_KPIS'!$Q422)&amp;"")</f>
        <v/>
      </c>
      <c r="H422" s="56" t="str">
        <f>IF($B422="","",INDEX(tblStock[StockActual],'91_KPIS'!$Q422))</f>
        <v/>
      </c>
      <c r="I422" s="55" t="str">
        <f>IF($B422="","",INDEX(tblStock[StockMin],'91_KPIS'!$Q422))</f>
        <v/>
      </c>
      <c r="J422" s="55" t="str">
        <f>IF($B422="","",INDEX(tblStock[StockMax],'91_KPIS'!$Q422))</f>
        <v/>
      </c>
      <c r="K422" s="53" t="str">
        <f>IF($B422="","",INDEX(tblStock[Unidad],'91_KPIS'!$Q422))</f>
        <v/>
      </c>
      <c r="L422" s="55" t="str">
        <f t="shared" si="12"/>
        <v/>
      </c>
      <c r="M422" s="55" t="str">
        <f t="shared" si="13"/>
        <v/>
      </c>
      <c r="N422" s="54" t="str">
        <f>IF($B422="","",IFERROR(INDEX(tblEstados[Acción],MATCH($C422,tblEstados[Estado],0)),""))</f>
        <v/>
      </c>
      <c r="O422" s="60" t="str">
        <f>IF($B422="","",INDEX(tblStock[UltimoMov],'91_KPIS'!$Q422))</f>
        <v/>
      </c>
    </row>
    <row r="423" spans="2:15" x14ac:dyDescent="0.25">
      <c r="B423" s="62" t="str">
        <f>IF('91_KPIS'!$Q423="","",'91_KPIS'!$O423)</f>
        <v/>
      </c>
      <c r="C423" s="58" t="str">
        <f>IF($B423="","",INDEX(tblStock[Estado],'91_KPIS'!$Q423))</f>
        <v/>
      </c>
      <c r="D423" s="53" t="str">
        <f>IF($B423="","",INDEX(tblStock[SKU],'91_KPIS'!$Q423))</f>
        <v/>
      </c>
      <c r="E423" s="54" t="str">
        <f>IF($B423="","",INDEX(tblStock[Producto],'91_KPIS'!$Q423))</f>
        <v/>
      </c>
      <c r="F423" s="54" t="str">
        <f>IF($B423="","",INDEX(tblStock[Categoría],'91_KPIS'!$Q423))</f>
        <v/>
      </c>
      <c r="G423" s="54" t="str">
        <f>IF($B423="","",INDEX(tblStock[Proveedor],'91_KPIS'!$Q423)&amp;"")</f>
        <v/>
      </c>
      <c r="H423" s="56" t="str">
        <f>IF($B423="","",INDEX(tblStock[StockActual],'91_KPIS'!$Q423))</f>
        <v/>
      </c>
      <c r="I423" s="55" t="str">
        <f>IF($B423="","",INDEX(tblStock[StockMin],'91_KPIS'!$Q423))</f>
        <v/>
      </c>
      <c r="J423" s="55" t="str">
        <f>IF($B423="","",INDEX(tblStock[StockMax],'91_KPIS'!$Q423))</f>
        <v/>
      </c>
      <c r="K423" s="53" t="str">
        <f>IF($B423="","",INDEX(tblStock[Unidad],'91_KPIS'!$Q423))</f>
        <v/>
      </c>
      <c r="L423" s="55" t="str">
        <f t="shared" si="12"/>
        <v/>
      </c>
      <c r="M423" s="55" t="str">
        <f t="shared" si="13"/>
        <v/>
      </c>
      <c r="N423" s="54" t="str">
        <f>IF($B423="","",IFERROR(INDEX(tblEstados[Acción],MATCH($C423,tblEstados[Estado],0)),""))</f>
        <v/>
      </c>
      <c r="O423" s="60" t="str">
        <f>IF($B423="","",INDEX(tblStock[UltimoMov],'91_KPIS'!$Q423))</f>
        <v/>
      </c>
    </row>
    <row r="424" spans="2:15" x14ac:dyDescent="0.25">
      <c r="B424" s="62" t="str">
        <f>IF('91_KPIS'!$Q424="","",'91_KPIS'!$O424)</f>
        <v/>
      </c>
      <c r="C424" s="58" t="str">
        <f>IF($B424="","",INDEX(tblStock[Estado],'91_KPIS'!$Q424))</f>
        <v/>
      </c>
      <c r="D424" s="53" t="str">
        <f>IF($B424="","",INDEX(tblStock[SKU],'91_KPIS'!$Q424))</f>
        <v/>
      </c>
      <c r="E424" s="54" t="str">
        <f>IF($B424="","",INDEX(tblStock[Producto],'91_KPIS'!$Q424))</f>
        <v/>
      </c>
      <c r="F424" s="54" t="str">
        <f>IF($B424="","",INDEX(tblStock[Categoría],'91_KPIS'!$Q424))</f>
        <v/>
      </c>
      <c r="G424" s="54" t="str">
        <f>IF($B424="","",INDEX(tblStock[Proveedor],'91_KPIS'!$Q424)&amp;"")</f>
        <v/>
      </c>
      <c r="H424" s="56" t="str">
        <f>IF($B424="","",INDEX(tblStock[StockActual],'91_KPIS'!$Q424))</f>
        <v/>
      </c>
      <c r="I424" s="55" t="str">
        <f>IF($B424="","",INDEX(tblStock[StockMin],'91_KPIS'!$Q424))</f>
        <v/>
      </c>
      <c r="J424" s="55" t="str">
        <f>IF($B424="","",INDEX(tblStock[StockMax],'91_KPIS'!$Q424))</f>
        <v/>
      </c>
      <c r="K424" s="53" t="str">
        <f>IF($B424="","",INDEX(tblStock[Unidad],'91_KPIS'!$Q424))</f>
        <v/>
      </c>
      <c r="L424" s="55" t="str">
        <f t="shared" si="12"/>
        <v/>
      </c>
      <c r="M424" s="55" t="str">
        <f t="shared" si="13"/>
        <v/>
      </c>
      <c r="N424" s="54" t="str">
        <f>IF($B424="","",IFERROR(INDEX(tblEstados[Acción],MATCH($C424,tblEstados[Estado],0)),""))</f>
        <v/>
      </c>
      <c r="O424" s="60" t="str">
        <f>IF($B424="","",INDEX(tblStock[UltimoMov],'91_KPIS'!$Q424))</f>
        <v/>
      </c>
    </row>
    <row r="425" spans="2:15" x14ac:dyDescent="0.25">
      <c r="B425" s="62" t="str">
        <f>IF('91_KPIS'!$Q425="","",'91_KPIS'!$O425)</f>
        <v/>
      </c>
      <c r="C425" s="58" t="str">
        <f>IF($B425="","",INDEX(tblStock[Estado],'91_KPIS'!$Q425))</f>
        <v/>
      </c>
      <c r="D425" s="53" t="str">
        <f>IF($B425="","",INDEX(tblStock[SKU],'91_KPIS'!$Q425))</f>
        <v/>
      </c>
      <c r="E425" s="54" t="str">
        <f>IF($B425="","",INDEX(tblStock[Producto],'91_KPIS'!$Q425))</f>
        <v/>
      </c>
      <c r="F425" s="54" t="str">
        <f>IF($B425="","",INDEX(tblStock[Categoría],'91_KPIS'!$Q425))</f>
        <v/>
      </c>
      <c r="G425" s="54" t="str">
        <f>IF($B425="","",INDEX(tblStock[Proveedor],'91_KPIS'!$Q425)&amp;"")</f>
        <v/>
      </c>
      <c r="H425" s="56" t="str">
        <f>IF($B425="","",INDEX(tblStock[StockActual],'91_KPIS'!$Q425))</f>
        <v/>
      </c>
      <c r="I425" s="55" t="str">
        <f>IF($B425="","",INDEX(tblStock[StockMin],'91_KPIS'!$Q425))</f>
        <v/>
      </c>
      <c r="J425" s="55" t="str">
        <f>IF($B425="","",INDEX(tblStock[StockMax],'91_KPIS'!$Q425))</f>
        <v/>
      </c>
      <c r="K425" s="53" t="str">
        <f>IF($B425="","",INDEX(tblStock[Unidad],'91_KPIS'!$Q425))</f>
        <v/>
      </c>
      <c r="L425" s="55" t="str">
        <f t="shared" si="12"/>
        <v/>
      </c>
      <c r="M425" s="55" t="str">
        <f t="shared" si="13"/>
        <v/>
      </c>
      <c r="N425" s="54" t="str">
        <f>IF($B425="","",IFERROR(INDEX(tblEstados[Acción],MATCH($C425,tblEstados[Estado],0)),""))</f>
        <v/>
      </c>
      <c r="O425" s="60" t="str">
        <f>IF($B425="","",INDEX(tblStock[UltimoMov],'91_KPIS'!$Q425))</f>
        <v/>
      </c>
    </row>
    <row r="426" spans="2:15" x14ac:dyDescent="0.25">
      <c r="B426" s="62" t="str">
        <f>IF('91_KPIS'!$Q426="","",'91_KPIS'!$O426)</f>
        <v/>
      </c>
      <c r="C426" s="58" t="str">
        <f>IF($B426="","",INDEX(tblStock[Estado],'91_KPIS'!$Q426))</f>
        <v/>
      </c>
      <c r="D426" s="53" t="str">
        <f>IF($B426="","",INDEX(tblStock[SKU],'91_KPIS'!$Q426))</f>
        <v/>
      </c>
      <c r="E426" s="54" t="str">
        <f>IF($B426="","",INDEX(tblStock[Producto],'91_KPIS'!$Q426))</f>
        <v/>
      </c>
      <c r="F426" s="54" t="str">
        <f>IF($B426="","",INDEX(tblStock[Categoría],'91_KPIS'!$Q426))</f>
        <v/>
      </c>
      <c r="G426" s="54" t="str">
        <f>IF($B426="","",INDEX(tblStock[Proveedor],'91_KPIS'!$Q426)&amp;"")</f>
        <v/>
      </c>
      <c r="H426" s="56" t="str">
        <f>IF($B426="","",INDEX(tblStock[StockActual],'91_KPIS'!$Q426))</f>
        <v/>
      </c>
      <c r="I426" s="55" t="str">
        <f>IF($B426="","",INDEX(tblStock[StockMin],'91_KPIS'!$Q426))</f>
        <v/>
      </c>
      <c r="J426" s="55" t="str">
        <f>IF($B426="","",INDEX(tblStock[StockMax],'91_KPIS'!$Q426))</f>
        <v/>
      </c>
      <c r="K426" s="53" t="str">
        <f>IF($B426="","",INDEX(tblStock[Unidad],'91_KPIS'!$Q426))</f>
        <v/>
      </c>
      <c r="L426" s="55" t="str">
        <f t="shared" si="12"/>
        <v/>
      </c>
      <c r="M426" s="55" t="str">
        <f t="shared" si="13"/>
        <v/>
      </c>
      <c r="N426" s="54" t="str">
        <f>IF($B426="","",IFERROR(INDEX(tblEstados[Acción],MATCH($C426,tblEstados[Estado],0)),""))</f>
        <v/>
      </c>
      <c r="O426" s="60" t="str">
        <f>IF($B426="","",INDEX(tblStock[UltimoMov],'91_KPIS'!$Q426))</f>
        <v/>
      </c>
    </row>
    <row r="427" spans="2:15" x14ac:dyDescent="0.25">
      <c r="B427" s="62" t="str">
        <f>IF('91_KPIS'!$Q427="","",'91_KPIS'!$O427)</f>
        <v/>
      </c>
      <c r="C427" s="58" t="str">
        <f>IF($B427="","",INDEX(tblStock[Estado],'91_KPIS'!$Q427))</f>
        <v/>
      </c>
      <c r="D427" s="53" t="str">
        <f>IF($B427="","",INDEX(tblStock[SKU],'91_KPIS'!$Q427))</f>
        <v/>
      </c>
      <c r="E427" s="54" t="str">
        <f>IF($B427="","",INDEX(tblStock[Producto],'91_KPIS'!$Q427))</f>
        <v/>
      </c>
      <c r="F427" s="54" t="str">
        <f>IF($B427="","",INDEX(tblStock[Categoría],'91_KPIS'!$Q427))</f>
        <v/>
      </c>
      <c r="G427" s="54" t="str">
        <f>IF($B427="","",INDEX(tblStock[Proveedor],'91_KPIS'!$Q427)&amp;"")</f>
        <v/>
      </c>
      <c r="H427" s="56" t="str">
        <f>IF($B427="","",INDEX(tblStock[StockActual],'91_KPIS'!$Q427))</f>
        <v/>
      </c>
      <c r="I427" s="55" t="str">
        <f>IF($B427="","",INDEX(tblStock[StockMin],'91_KPIS'!$Q427))</f>
        <v/>
      </c>
      <c r="J427" s="55" t="str">
        <f>IF($B427="","",INDEX(tblStock[StockMax],'91_KPIS'!$Q427))</f>
        <v/>
      </c>
      <c r="K427" s="53" t="str">
        <f>IF($B427="","",INDEX(tblStock[Unidad],'91_KPIS'!$Q427))</f>
        <v/>
      </c>
      <c r="L427" s="55" t="str">
        <f t="shared" si="12"/>
        <v/>
      </c>
      <c r="M427" s="55" t="str">
        <f t="shared" si="13"/>
        <v/>
      </c>
      <c r="N427" s="54" t="str">
        <f>IF($B427="","",IFERROR(INDEX(tblEstados[Acción],MATCH($C427,tblEstados[Estado],0)),""))</f>
        <v/>
      </c>
      <c r="O427" s="60" t="str">
        <f>IF($B427="","",INDEX(tblStock[UltimoMov],'91_KPIS'!$Q427))</f>
        <v/>
      </c>
    </row>
    <row r="428" spans="2:15" x14ac:dyDescent="0.25">
      <c r="B428" s="62" t="str">
        <f>IF('91_KPIS'!$Q428="","",'91_KPIS'!$O428)</f>
        <v/>
      </c>
      <c r="C428" s="58" t="str">
        <f>IF($B428="","",INDEX(tblStock[Estado],'91_KPIS'!$Q428))</f>
        <v/>
      </c>
      <c r="D428" s="53" t="str">
        <f>IF($B428="","",INDEX(tblStock[SKU],'91_KPIS'!$Q428))</f>
        <v/>
      </c>
      <c r="E428" s="54" t="str">
        <f>IF($B428="","",INDEX(tblStock[Producto],'91_KPIS'!$Q428))</f>
        <v/>
      </c>
      <c r="F428" s="54" t="str">
        <f>IF($B428="","",INDEX(tblStock[Categoría],'91_KPIS'!$Q428))</f>
        <v/>
      </c>
      <c r="G428" s="54" t="str">
        <f>IF($B428="","",INDEX(tblStock[Proveedor],'91_KPIS'!$Q428)&amp;"")</f>
        <v/>
      </c>
      <c r="H428" s="56" t="str">
        <f>IF($B428="","",INDEX(tblStock[StockActual],'91_KPIS'!$Q428))</f>
        <v/>
      </c>
      <c r="I428" s="55" t="str">
        <f>IF($B428="","",INDEX(tblStock[StockMin],'91_KPIS'!$Q428))</f>
        <v/>
      </c>
      <c r="J428" s="55" t="str">
        <f>IF($B428="","",INDEX(tblStock[StockMax],'91_KPIS'!$Q428))</f>
        <v/>
      </c>
      <c r="K428" s="53" t="str">
        <f>IF($B428="","",INDEX(tblStock[Unidad],'91_KPIS'!$Q428))</f>
        <v/>
      </c>
      <c r="L428" s="55" t="str">
        <f t="shared" si="12"/>
        <v/>
      </c>
      <c r="M428" s="55" t="str">
        <f t="shared" si="13"/>
        <v/>
      </c>
      <c r="N428" s="54" t="str">
        <f>IF($B428="","",IFERROR(INDEX(tblEstados[Acción],MATCH($C428,tblEstados[Estado],0)),""))</f>
        <v/>
      </c>
      <c r="O428" s="60" t="str">
        <f>IF($B428="","",INDEX(tblStock[UltimoMov],'91_KPIS'!$Q428))</f>
        <v/>
      </c>
    </row>
    <row r="429" spans="2:15" x14ac:dyDescent="0.25">
      <c r="B429" s="62" t="str">
        <f>IF('91_KPIS'!$Q429="","",'91_KPIS'!$O429)</f>
        <v/>
      </c>
      <c r="C429" s="58" t="str">
        <f>IF($B429="","",INDEX(tblStock[Estado],'91_KPIS'!$Q429))</f>
        <v/>
      </c>
      <c r="D429" s="53" t="str">
        <f>IF($B429="","",INDEX(tblStock[SKU],'91_KPIS'!$Q429))</f>
        <v/>
      </c>
      <c r="E429" s="54" t="str">
        <f>IF($B429="","",INDEX(tblStock[Producto],'91_KPIS'!$Q429))</f>
        <v/>
      </c>
      <c r="F429" s="54" t="str">
        <f>IF($B429="","",INDEX(tblStock[Categoría],'91_KPIS'!$Q429))</f>
        <v/>
      </c>
      <c r="G429" s="54" t="str">
        <f>IF($B429="","",INDEX(tblStock[Proveedor],'91_KPIS'!$Q429)&amp;"")</f>
        <v/>
      </c>
      <c r="H429" s="56" t="str">
        <f>IF($B429="","",INDEX(tblStock[StockActual],'91_KPIS'!$Q429))</f>
        <v/>
      </c>
      <c r="I429" s="55" t="str">
        <f>IF($B429="","",INDEX(tblStock[StockMin],'91_KPIS'!$Q429))</f>
        <v/>
      </c>
      <c r="J429" s="55" t="str">
        <f>IF($B429="","",INDEX(tblStock[StockMax],'91_KPIS'!$Q429))</f>
        <v/>
      </c>
      <c r="K429" s="53" t="str">
        <f>IF($B429="","",INDEX(tblStock[Unidad],'91_KPIS'!$Q429))</f>
        <v/>
      </c>
      <c r="L429" s="55" t="str">
        <f t="shared" si="12"/>
        <v/>
      </c>
      <c r="M429" s="55" t="str">
        <f t="shared" si="13"/>
        <v/>
      </c>
      <c r="N429" s="54" t="str">
        <f>IF($B429="","",IFERROR(INDEX(tblEstados[Acción],MATCH($C429,tblEstados[Estado],0)),""))</f>
        <v/>
      </c>
      <c r="O429" s="60" t="str">
        <f>IF($B429="","",INDEX(tblStock[UltimoMov],'91_KPIS'!$Q429))</f>
        <v/>
      </c>
    </row>
    <row r="430" spans="2:15" x14ac:dyDescent="0.25">
      <c r="B430" s="62" t="str">
        <f>IF('91_KPIS'!$Q430="","",'91_KPIS'!$O430)</f>
        <v/>
      </c>
      <c r="C430" s="58" t="str">
        <f>IF($B430="","",INDEX(tblStock[Estado],'91_KPIS'!$Q430))</f>
        <v/>
      </c>
      <c r="D430" s="53" t="str">
        <f>IF($B430="","",INDEX(tblStock[SKU],'91_KPIS'!$Q430))</f>
        <v/>
      </c>
      <c r="E430" s="54" t="str">
        <f>IF($B430="","",INDEX(tblStock[Producto],'91_KPIS'!$Q430))</f>
        <v/>
      </c>
      <c r="F430" s="54" t="str">
        <f>IF($B430="","",INDEX(tblStock[Categoría],'91_KPIS'!$Q430))</f>
        <v/>
      </c>
      <c r="G430" s="54" t="str">
        <f>IF($B430="","",INDEX(tblStock[Proveedor],'91_KPIS'!$Q430)&amp;"")</f>
        <v/>
      </c>
      <c r="H430" s="56" t="str">
        <f>IF($B430="","",INDEX(tblStock[StockActual],'91_KPIS'!$Q430))</f>
        <v/>
      </c>
      <c r="I430" s="55" t="str">
        <f>IF($B430="","",INDEX(tblStock[StockMin],'91_KPIS'!$Q430))</f>
        <v/>
      </c>
      <c r="J430" s="55" t="str">
        <f>IF($B430="","",INDEX(tblStock[StockMax],'91_KPIS'!$Q430))</f>
        <v/>
      </c>
      <c r="K430" s="53" t="str">
        <f>IF($B430="","",INDEX(tblStock[Unidad],'91_KPIS'!$Q430))</f>
        <v/>
      </c>
      <c r="L430" s="55" t="str">
        <f t="shared" si="12"/>
        <v/>
      </c>
      <c r="M430" s="55" t="str">
        <f t="shared" si="13"/>
        <v/>
      </c>
      <c r="N430" s="54" t="str">
        <f>IF($B430="","",IFERROR(INDEX(tblEstados[Acción],MATCH($C430,tblEstados[Estado],0)),""))</f>
        <v/>
      </c>
      <c r="O430" s="60" t="str">
        <f>IF($B430="","",INDEX(tblStock[UltimoMov],'91_KPIS'!$Q430))</f>
        <v/>
      </c>
    </row>
    <row r="431" spans="2:15" x14ac:dyDescent="0.25">
      <c r="B431" s="62" t="str">
        <f>IF('91_KPIS'!$Q431="","",'91_KPIS'!$O431)</f>
        <v/>
      </c>
      <c r="C431" s="58" t="str">
        <f>IF($B431="","",INDEX(tblStock[Estado],'91_KPIS'!$Q431))</f>
        <v/>
      </c>
      <c r="D431" s="53" t="str">
        <f>IF($B431="","",INDEX(tblStock[SKU],'91_KPIS'!$Q431))</f>
        <v/>
      </c>
      <c r="E431" s="54" t="str">
        <f>IF($B431="","",INDEX(tblStock[Producto],'91_KPIS'!$Q431))</f>
        <v/>
      </c>
      <c r="F431" s="54" t="str">
        <f>IF($B431="","",INDEX(tblStock[Categoría],'91_KPIS'!$Q431))</f>
        <v/>
      </c>
      <c r="G431" s="54" t="str">
        <f>IF($B431="","",INDEX(tblStock[Proveedor],'91_KPIS'!$Q431)&amp;"")</f>
        <v/>
      </c>
      <c r="H431" s="56" t="str">
        <f>IF($B431="","",INDEX(tblStock[StockActual],'91_KPIS'!$Q431))</f>
        <v/>
      </c>
      <c r="I431" s="55" t="str">
        <f>IF($B431="","",INDEX(tblStock[StockMin],'91_KPIS'!$Q431))</f>
        <v/>
      </c>
      <c r="J431" s="55" t="str">
        <f>IF($B431="","",INDEX(tblStock[StockMax],'91_KPIS'!$Q431))</f>
        <v/>
      </c>
      <c r="K431" s="53" t="str">
        <f>IF($B431="","",INDEX(tblStock[Unidad],'91_KPIS'!$Q431))</f>
        <v/>
      </c>
      <c r="L431" s="55" t="str">
        <f t="shared" si="12"/>
        <v/>
      </c>
      <c r="M431" s="55" t="str">
        <f t="shared" si="13"/>
        <v/>
      </c>
      <c r="N431" s="54" t="str">
        <f>IF($B431="","",IFERROR(INDEX(tblEstados[Acción],MATCH($C431,tblEstados[Estado],0)),""))</f>
        <v/>
      </c>
      <c r="O431" s="60" t="str">
        <f>IF($B431="","",INDEX(tblStock[UltimoMov],'91_KPIS'!$Q431))</f>
        <v/>
      </c>
    </row>
    <row r="432" spans="2:15" x14ac:dyDescent="0.25">
      <c r="B432" s="62" t="str">
        <f>IF('91_KPIS'!$Q432="","",'91_KPIS'!$O432)</f>
        <v/>
      </c>
      <c r="C432" s="58" t="str">
        <f>IF($B432="","",INDEX(tblStock[Estado],'91_KPIS'!$Q432))</f>
        <v/>
      </c>
      <c r="D432" s="53" t="str">
        <f>IF($B432="","",INDEX(tblStock[SKU],'91_KPIS'!$Q432))</f>
        <v/>
      </c>
      <c r="E432" s="54" t="str">
        <f>IF($B432="","",INDEX(tblStock[Producto],'91_KPIS'!$Q432))</f>
        <v/>
      </c>
      <c r="F432" s="54" t="str">
        <f>IF($B432="","",INDEX(tblStock[Categoría],'91_KPIS'!$Q432))</f>
        <v/>
      </c>
      <c r="G432" s="54" t="str">
        <f>IF($B432="","",INDEX(tblStock[Proveedor],'91_KPIS'!$Q432)&amp;"")</f>
        <v/>
      </c>
      <c r="H432" s="56" t="str">
        <f>IF($B432="","",INDEX(tblStock[StockActual],'91_KPIS'!$Q432))</f>
        <v/>
      </c>
      <c r="I432" s="55" t="str">
        <f>IF($B432="","",INDEX(tblStock[StockMin],'91_KPIS'!$Q432))</f>
        <v/>
      </c>
      <c r="J432" s="55" t="str">
        <f>IF($B432="","",INDEX(tblStock[StockMax],'91_KPIS'!$Q432))</f>
        <v/>
      </c>
      <c r="K432" s="53" t="str">
        <f>IF($B432="","",INDEX(tblStock[Unidad],'91_KPIS'!$Q432))</f>
        <v/>
      </c>
      <c r="L432" s="55" t="str">
        <f t="shared" si="12"/>
        <v/>
      </c>
      <c r="M432" s="55" t="str">
        <f t="shared" si="13"/>
        <v/>
      </c>
      <c r="N432" s="54" t="str">
        <f>IF($B432="","",IFERROR(INDEX(tblEstados[Acción],MATCH($C432,tblEstados[Estado],0)),""))</f>
        <v/>
      </c>
      <c r="O432" s="60" t="str">
        <f>IF($B432="","",INDEX(tblStock[UltimoMov],'91_KPIS'!$Q432))</f>
        <v/>
      </c>
    </row>
    <row r="433" spans="2:15" x14ac:dyDescent="0.25">
      <c r="B433" s="62" t="str">
        <f>IF('91_KPIS'!$Q433="","",'91_KPIS'!$O433)</f>
        <v/>
      </c>
      <c r="C433" s="58" t="str">
        <f>IF($B433="","",INDEX(tblStock[Estado],'91_KPIS'!$Q433))</f>
        <v/>
      </c>
      <c r="D433" s="53" t="str">
        <f>IF($B433="","",INDEX(tblStock[SKU],'91_KPIS'!$Q433))</f>
        <v/>
      </c>
      <c r="E433" s="54" t="str">
        <f>IF($B433="","",INDEX(tblStock[Producto],'91_KPIS'!$Q433))</f>
        <v/>
      </c>
      <c r="F433" s="54" t="str">
        <f>IF($B433="","",INDEX(tblStock[Categoría],'91_KPIS'!$Q433))</f>
        <v/>
      </c>
      <c r="G433" s="54" t="str">
        <f>IF($B433="","",INDEX(tblStock[Proveedor],'91_KPIS'!$Q433)&amp;"")</f>
        <v/>
      </c>
      <c r="H433" s="56" t="str">
        <f>IF($B433="","",INDEX(tblStock[StockActual],'91_KPIS'!$Q433))</f>
        <v/>
      </c>
      <c r="I433" s="55" t="str">
        <f>IF($B433="","",INDEX(tblStock[StockMin],'91_KPIS'!$Q433))</f>
        <v/>
      </c>
      <c r="J433" s="55" t="str">
        <f>IF($B433="","",INDEX(tblStock[StockMax],'91_KPIS'!$Q433))</f>
        <v/>
      </c>
      <c r="K433" s="53" t="str">
        <f>IF($B433="","",INDEX(tblStock[Unidad],'91_KPIS'!$Q433))</f>
        <v/>
      </c>
      <c r="L433" s="55" t="str">
        <f t="shared" si="12"/>
        <v/>
      </c>
      <c r="M433" s="55" t="str">
        <f t="shared" si="13"/>
        <v/>
      </c>
      <c r="N433" s="54" t="str">
        <f>IF($B433="","",IFERROR(INDEX(tblEstados[Acción],MATCH($C433,tblEstados[Estado],0)),""))</f>
        <v/>
      </c>
      <c r="O433" s="60" t="str">
        <f>IF($B433="","",INDEX(tblStock[UltimoMov],'91_KPIS'!$Q433))</f>
        <v/>
      </c>
    </row>
    <row r="434" spans="2:15" x14ac:dyDescent="0.25">
      <c r="B434" s="62" t="str">
        <f>IF('91_KPIS'!$Q434="","",'91_KPIS'!$O434)</f>
        <v/>
      </c>
      <c r="C434" s="58" t="str">
        <f>IF($B434="","",INDEX(tblStock[Estado],'91_KPIS'!$Q434))</f>
        <v/>
      </c>
      <c r="D434" s="53" t="str">
        <f>IF($B434="","",INDEX(tblStock[SKU],'91_KPIS'!$Q434))</f>
        <v/>
      </c>
      <c r="E434" s="54" t="str">
        <f>IF($B434="","",INDEX(tblStock[Producto],'91_KPIS'!$Q434))</f>
        <v/>
      </c>
      <c r="F434" s="54" t="str">
        <f>IF($B434="","",INDEX(tblStock[Categoría],'91_KPIS'!$Q434))</f>
        <v/>
      </c>
      <c r="G434" s="54" t="str">
        <f>IF($B434="","",INDEX(tblStock[Proveedor],'91_KPIS'!$Q434)&amp;"")</f>
        <v/>
      </c>
      <c r="H434" s="56" t="str">
        <f>IF($B434="","",INDEX(tblStock[StockActual],'91_KPIS'!$Q434))</f>
        <v/>
      </c>
      <c r="I434" s="55" t="str">
        <f>IF($B434="","",INDEX(tblStock[StockMin],'91_KPIS'!$Q434))</f>
        <v/>
      </c>
      <c r="J434" s="55" t="str">
        <f>IF($B434="","",INDEX(tblStock[StockMax],'91_KPIS'!$Q434))</f>
        <v/>
      </c>
      <c r="K434" s="53" t="str">
        <f>IF($B434="","",INDEX(tblStock[Unidad],'91_KPIS'!$Q434))</f>
        <v/>
      </c>
      <c r="L434" s="55" t="str">
        <f t="shared" si="12"/>
        <v/>
      </c>
      <c r="M434" s="55" t="str">
        <f t="shared" si="13"/>
        <v/>
      </c>
      <c r="N434" s="54" t="str">
        <f>IF($B434="","",IFERROR(INDEX(tblEstados[Acción],MATCH($C434,tblEstados[Estado],0)),""))</f>
        <v/>
      </c>
      <c r="O434" s="60" t="str">
        <f>IF($B434="","",INDEX(tblStock[UltimoMov],'91_KPIS'!$Q434))</f>
        <v/>
      </c>
    </row>
    <row r="435" spans="2:15" x14ac:dyDescent="0.25">
      <c r="B435" s="62" t="str">
        <f>IF('91_KPIS'!$Q435="","",'91_KPIS'!$O435)</f>
        <v/>
      </c>
      <c r="C435" s="58" t="str">
        <f>IF($B435="","",INDEX(tblStock[Estado],'91_KPIS'!$Q435))</f>
        <v/>
      </c>
      <c r="D435" s="53" t="str">
        <f>IF($B435="","",INDEX(tblStock[SKU],'91_KPIS'!$Q435))</f>
        <v/>
      </c>
      <c r="E435" s="54" t="str">
        <f>IF($B435="","",INDEX(tblStock[Producto],'91_KPIS'!$Q435))</f>
        <v/>
      </c>
      <c r="F435" s="54" t="str">
        <f>IF($B435="","",INDEX(tblStock[Categoría],'91_KPIS'!$Q435))</f>
        <v/>
      </c>
      <c r="G435" s="54" t="str">
        <f>IF($B435="","",INDEX(tblStock[Proveedor],'91_KPIS'!$Q435)&amp;"")</f>
        <v/>
      </c>
      <c r="H435" s="56" t="str">
        <f>IF($B435="","",INDEX(tblStock[StockActual],'91_KPIS'!$Q435))</f>
        <v/>
      </c>
      <c r="I435" s="55" t="str">
        <f>IF($B435="","",INDEX(tblStock[StockMin],'91_KPIS'!$Q435))</f>
        <v/>
      </c>
      <c r="J435" s="55" t="str">
        <f>IF($B435="","",INDEX(tblStock[StockMax],'91_KPIS'!$Q435))</f>
        <v/>
      </c>
      <c r="K435" s="53" t="str">
        <f>IF($B435="","",INDEX(tblStock[Unidad],'91_KPIS'!$Q435))</f>
        <v/>
      </c>
      <c r="L435" s="55" t="str">
        <f t="shared" si="12"/>
        <v/>
      </c>
      <c r="M435" s="55" t="str">
        <f t="shared" si="13"/>
        <v/>
      </c>
      <c r="N435" s="54" t="str">
        <f>IF($B435="","",IFERROR(INDEX(tblEstados[Acción],MATCH($C435,tblEstados[Estado],0)),""))</f>
        <v/>
      </c>
      <c r="O435" s="60" t="str">
        <f>IF($B435="","",INDEX(tblStock[UltimoMov],'91_KPIS'!$Q435))</f>
        <v/>
      </c>
    </row>
    <row r="436" spans="2:15" x14ac:dyDescent="0.25">
      <c r="B436" s="62" t="str">
        <f>IF('91_KPIS'!$Q436="","",'91_KPIS'!$O436)</f>
        <v/>
      </c>
      <c r="C436" s="58" t="str">
        <f>IF($B436="","",INDEX(tblStock[Estado],'91_KPIS'!$Q436))</f>
        <v/>
      </c>
      <c r="D436" s="53" t="str">
        <f>IF($B436="","",INDEX(tblStock[SKU],'91_KPIS'!$Q436))</f>
        <v/>
      </c>
      <c r="E436" s="54" t="str">
        <f>IF($B436="","",INDEX(tblStock[Producto],'91_KPIS'!$Q436))</f>
        <v/>
      </c>
      <c r="F436" s="54" t="str">
        <f>IF($B436="","",INDEX(tblStock[Categoría],'91_KPIS'!$Q436))</f>
        <v/>
      </c>
      <c r="G436" s="54" t="str">
        <f>IF($B436="","",INDEX(tblStock[Proveedor],'91_KPIS'!$Q436)&amp;"")</f>
        <v/>
      </c>
      <c r="H436" s="56" t="str">
        <f>IF($B436="","",INDEX(tblStock[StockActual],'91_KPIS'!$Q436))</f>
        <v/>
      </c>
      <c r="I436" s="55" t="str">
        <f>IF($B436="","",INDEX(tblStock[StockMin],'91_KPIS'!$Q436))</f>
        <v/>
      </c>
      <c r="J436" s="55" t="str">
        <f>IF($B436="","",INDEX(tblStock[StockMax],'91_KPIS'!$Q436))</f>
        <v/>
      </c>
      <c r="K436" s="53" t="str">
        <f>IF($B436="","",INDEX(tblStock[Unidad],'91_KPIS'!$Q436))</f>
        <v/>
      </c>
      <c r="L436" s="55" t="str">
        <f t="shared" si="12"/>
        <v/>
      </c>
      <c r="M436" s="55" t="str">
        <f t="shared" si="13"/>
        <v/>
      </c>
      <c r="N436" s="54" t="str">
        <f>IF($B436="","",IFERROR(INDEX(tblEstados[Acción],MATCH($C436,tblEstados[Estado],0)),""))</f>
        <v/>
      </c>
      <c r="O436" s="60" t="str">
        <f>IF($B436="","",INDEX(tblStock[UltimoMov],'91_KPIS'!$Q436))</f>
        <v/>
      </c>
    </row>
    <row r="437" spans="2:15" x14ac:dyDescent="0.25">
      <c r="B437" s="62" t="str">
        <f>IF('91_KPIS'!$Q437="","",'91_KPIS'!$O437)</f>
        <v/>
      </c>
      <c r="C437" s="58" t="str">
        <f>IF($B437="","",INDEX(tblStock[Estado],'91_KPIS'!$Q437))</f>
        <v/>
      </c>
      <c r="D437" s="53" t="str">
        <f>IF($B437="","",INDEX(tblStock[SKU],'91_KPIS'!$Q437))</f>
        <v/>
      </c>
      <c r="E437" s="54" t="str">
        <f>IF($B437="","",INDEX(tblStock[Producto],'91_KPIS'!$Q437))</f>
        <v/>
      </c>
      <c r="F437" s="54" t="str">
        <f>IF($B437="","",INDEX(tblStock[Categoría],'91_KPIS'!$Q437))</f>
        <v/>
      </c>
      <c r="G437" s="54" t="str">
        <f>IF($B437="","",INDEX(tblStock[Proveedor],'91_KPIS'!$Q437)&amp;"")</f>
        <v/>
      </c>
      <c r="H437" s="56" t="str">
        <f>IF($B437="","",INDEX(tblStock[StockActual],'91_KPIS'!$Q437))</f>
        <v/>
      </c>
      <c r="I437" s="55" t="str">
        <f>IF($B437="","",INDEX(tblStock[StockMin],'91_KPIS'!$Q437))</f>
        <v/>
      </c>
      <c r="J437" s="55" t="str">
        <f>IF($B437="","",INDEX(tblStock[StockMax],'91_KPIS'!$Q437))</f>
        <v/>
      </c>
      <c r="K437" s="53" t="str">
        <f>IF($B437="","",INDEX(tblStock[Unidad],'91_KPIS'!$Q437))</f>
        <v/>
      </c>
      <c r="L437" s="55" t="str">
        <f t="shared" si="12"/>
        <v/>
      </c>
      <c r="M437" s="55" t="str">
        <f t="shared" si="13"/>
        <v/>
      </c>
      <c r="N437" s="54" t="str">
        <f>IF($B437="","",IFERROR(INDEX(tblEstados[Acción],MATCH($C437,tblEstados[Estado],0)),""))</f>
        <v/>
      </c>
      <c r="O437" s="60" t="str">
        <f>IF($B437="","",INDEX(tblStock[UltimoMov],'91_KPIS'!$Q437))</f>
        <v/>
      </c>
    </row>
    <row r="438" spans="2:15" x14ac:dyDescent="0.25">
      <c r="B438" s="62" t="str">
        <f>IF('91_KPIS'!$Q438="","",'91_KPIS'!$O438)</f>
        <v/>
      </c>
      <c r="C438" s="58" t="str">
        <f>IF($B438="","",INDEX(tblStock[Estado],'91_KPIS'!$Q438))</f>
        <v/>
      </c>
      <c r="D438" s="53" t="str">
        <f>IF($B438="","",INDEX(tblStock[SKU],'91_KPIS'!$Q438))</f>
        <v/>
      </c>
      <c r="E438" s="54" t="str">
        <f>IF($B438="","",INDEX(tblStock[Producto],'91_KPIS'!$Q438))</f>
        <v/>
      </c>
      <c r="F438" s="54" t="str">
        <f>IF($B438="","",INDEX(tblStock[Categoría],'91_KPIS'!$Q438))</f>
        <v/>
      </c>
      <c r="G438" s="54" t="str">
        <f>IF($B438="","",INDEX(tblStock[Proveedor],'91_KPIS'!$Q438)&amp;"")</f>
        <v/>
      </c>
      <c r="H438" s="56" t="str">
        <f>IF($B438="","",INDEX(tblStock[StockActual],'91_KPIS'!$Q438))</f>
        <v/>
      </c>
      <c r="I438" s="55" t="str">
        <f>IF($B438="","",INDEX(tblStock[StockMin],'91_KPIS'!$Q438))</f>
        <v/>
      </c>
      <c r="J438" s="55" t="str">
        <f>IF($B438="","",INDEX(tblStock[StockMax],'91_KPIS'!$Q438))</f>
        <v/>
      </c>
      <c r="K438" s="53" t="str">
        <f>IF($B438="","",INDEX(tblStock[Unidad],'91_KPIS'!$Q438))</f>
        <v/>
      </c>
      <c r="L438" s="55" t="str">
        <f t="shared" si="12"/>
        <v/>
      </c>
      <c r="M438" s="55" t="str">
        <f t="shared" si="13"/>
        <v/>
      </c>
      <c r="N438" s="54" t="str">
        <f>IF($B438="","",IFERROR(INDEX(tblEstados[Acción],MATCH($C438,tblEstados[Estado],0)),""))</f>
        <v/>
      </c>
      <c r="O438" s="60" t="str">
        <f>IF($B438="","",INDEX(tblStock[UltimoMov],'91_KPIS'!$Q438))</f>
        <v/>
      </c>
    </row>
    <row r="439" spans="2:15" x14ac:dyDescent="0.25">
      <c r="B439" s="62" t="str">
        <f>IF('91_KPIS'!$Q439="","",'91_KPIS'!$O439)</f>
        <v/>
      </c>
      <c r="C439" s="58" t="str">
        <f>IF($B439="","",INDEX(tblStock[Estado],'91_KPIS'!$Q439))</f>
        <v/>
      </c>
      <c r="D439" s="53" t="str">
        <f>IF($B439="","",INDEX(tblStock[SKU],'91_KPIS'!$Q439))</f>
        <v/>
      </c>
      <c r="E439" s="54" t="str">
        <f>IF($B439="","",INDEX(tblStock[Producto],'91_KPIS'!$Q439))</f>
        <v/>
      </c>
      <c r="F439" s="54" t="str">
        <f>IF($B439="","",INDEX(tblStock[Categoría],'91_KPIS'!$Q439))</f>
        <v/>
      </c>
      <c r="G439" s="54" t="str">
        <f>IF($B439="","",INDEX(tblStock[Proveedor],'91_KPIS'!$Q439)&amp;"")</f>
        <v/>
      </c>
      <c r="H439" s="56" t="str">
        <f>IF($B439="","",INDEX(tblStock[StockActual],'91_KPIS'!$Q439))</f>
        <v/>
      </c>
      <c r="I439" s="55" t="str">
        <f>IF($B439="","",INDEX(tblStock[StockMin],'91_KPIS'!$Q439))</f>
        <v/>
      </c>
      <c r="J439" s="55" t="str">
        <f>IF($B439="","",INDEX(tblStock[StockMax],'91_KPIS'!$Q439))</f>
        <v/>
      </c>
      <c r="K439" s="53" t="str">
        <f>IF($B439="","",INDEX(tblStock[Unidad],'91_KPIS'!$Q439))</f>
        <v/>
      </c>
      <c r="L439" s="55" t="str">
        <f t="shared" si="12"/>
        <v/>
      </c>
      <c r="M439" s="55" t="str">
        <f t="shared" si="13"/>
        <v/>
      </c>
      <c r="N439" s="54" t="str">
        <f>IF($B439="","",IFERROR(INDEX(tblEstados[Acción],MATCH($C439,tblEstados[Estado],0)),""))</f>
        <v/>
      </c>
      <c r="O439" s="60" t="str">
        <f>IF($B439="","",INDEX(tblStock[UltimoMov],'91_KPIS'!$Q439))</f>
        <v/>
      </c>
    </row>
    <row r="440" spans="2:15" x14ac:dyDescent="0.25">
      <c r="B440" s="62" t="str">
        <f>IF('91_KPIS'!$Q440="","",'91_KPIS'!$O440)</f>
        <v/>
      </c>
      <c r="C440" s="58" t="str">
        <f>IF($B440="","",INDEX(tblStock[Estado],'91_KPIS'!$Q440))</f>
        <v/>
      </c>
      <c r="D440" s="53" t="str">
        <f>IF($B440="","",INDEX(tblStock[SKU],'91_KPIS'!$Q440))</f>
        <v/>
      </c>
      <c r="E440" s="54" t="str">
        <f>IF($B440="","",INDEX(tblStock[Producto],'91_KPIS'!$Q440))</f>
        <v/>
      </c>
      <c r="F440" s="54" t="str">
        <f>IF($B440="","",INDEX(tblStock[Categoría],'91_KPIS'!$Q440))</f>
        <v/>
      </c>
      <c r="G440" s="54" t="str">
        <f>IF($B440="","",INDEX(tblStock[Proveedor],'91_KPIS'!$Q440)&amp;"")</f>
        <v/>
      </c>
      <c r="H440" s="56" t="str">
        <f>IF($B440="","",INDEX(tblStock[StockActual],'91_KPIS'!$Q440))</f>
        <v/>
      </c>
      <c r="I440" s="55" t="str">
        <f>IF($B440="","",INDEX(tblStock[StockMin],'91_KPIS'!$Q440))</f>
        <v/>
      </c>
      <c r="J440" s="55" t="str">
        <f>IF($B440="","",INDEX(tblStock[StockMax],'91_KPIS'!$Q440))</f>
        <v/>
      </c>
      <c r="K440" s="53" t="str">
        <f>IF($B440="","",INDEX(tblStock[Unidad],'91_KPIS'!$Q440))</f>
        <v/>
      </c>
      <c r="L440" s="55" t="str">
        <f t="shared" si="12"/>
        <v/>
      </c>
      <c r="M440" s="55" t="str">
        <f t="shared" si="13"/>
        <v/>
      </c>
      <c r="N440" s="54" t="str">
        <f>IF($B440="","",IFERROR(INDEX(tblEstados[Acción],MATCH($C440,tblEstados[Estado],0)),""))</f>
        <v/>
      </c>
      <c r="O440" s="60" t="str">
        <f>IF($B440="","",INDEX(tblStock[UltimoMov],'91_KPIS'!$Q440))</f>
        <v/>
      </c>
    </row>
    <row r="441" spans="2:15" x14ac:dyDescent="0.25">
      <c r="B441" s="62" t="str">
        <f>IF('91_KPIS'!$Q441="","",'91_KPIS'!$O441)</f>
        <v/>
      </c>
      <c r="C441" s="58" t="str">
        <f>IF($B441="","",INDEX(tblStock[Estado],'91_KPIS'!$Q441))</f>
        <v/>
      </c>
      <c r="D441" s="53" t="str">
        <f>IF($B441="","",INDEX(tblStock[SKU],'91_KPIS'!$Q441))</f>
        <v/>
      </c>
      <c r="E441" s="54" t="str">
        <f>IF($B441="","",INDEX(tblStock[Producto],'91_KPIS'!$Q441))</f>
        <v/>
      </c>
      <c r="F441" s="54" t="str">
        <f>IF($B441="","",INDEX(tblStock[Categoría],'91_KPIS'!$Q441))</f>
        <v/>
      </c>
      <c r="G441" s="54" t="str">
        <f>IF($B441="","",INDEX(tblStock[Proveedor],'91_KPIS'!$Q441)&amp;"")</f>
        <v/>
      </c>
      <c r="H441" s="56" t="str">
        <f>IF($B441="","",INDEX(tblStock[StockActual],'91_KPIS'!$Q441))</f>
        <v/>
      </c>
      <c r="I441" s="55" t="str">
        <f>IF($B441="","",INDEX(tblStock[StockMin],'91_KPIS'!$Q441))</f>
        <v/>
      </c>
      <c r="J441" s="55" t="str">
        <f>IF($B441="","",INDEX(tblStock[StockMax],'91_KPIS'!$Q441))</f>
        <v/>
      </c>
      <c r="K441" s="53" t="str">
        <f>IF($B441="","",INDEX(tblStock[Unidad],'91_KPIS'!$Q441))</f>
        <v/>
      </c>
      <c r="L441" s="55" t="str">
        <f t="shared" si="12"/>
        <v/>
      </c>
      <c r="M441" s="55" t="str">
        <f t="shared" si="13"/>
        <v/>
      </c>
      <c r="N441" s="54" t="str">
        <f>IF($B441="","",IFERROR(INDEX(tblEstados[Acción],MATCH($C441,tblEstados[Estado],0)),""))</f>
        <v/>
      </c>
      <c r="O441" s="60" t="str">
        <f>IF($B441="","",INDEX(tblStock[UltimoMov],'91_KPIS'!$Q441))</f>
        <v/>
      </c>
    </row>
    <row r="442" spans="2:15" x14ac:dyDescent="0.25">
      <c r="B442" s="62" t="str">
        <f>IF('91_KPIS'!$Q442="","",'91_KPIS'!$O442)</f>
        <v/>
      </c>
      <c r="C442" s="58" t="str">
        <f>IF($B442="","",INDEX(tblStock[Estado],'91_KPIS'!$Q442))</f>
        <v/>
      </c>
      <c r="D442" s="53" t="str">
        <f>IF($B442="","",INDEX(tblStock[SKU],'91_KPIS'!$Q442))</f>
        <v/>
      </c>
      <c r="E442" s="54" t="str">
        <f>IF($B442="","",INDEX(tblStock[Producto],'91_KPIS'!$Q442))</f>
        <v/>
      </c>
      <c r="F442" s="54" t="str">
        <f>IF($B442="","",INDEX(tblStock[Categoría],'91_KPIS'!$Q442))</f>
        <v/>
      </c>
      <c r="G442" s="54" t="str">
        <f>IF($B442="","",INDEX(tblStock[Proveedor],'91_KPIS'!$Q442)&amp;"")</f>
        <v/>
      </c>
      <c r="H442" s="56" t="str">
        <f>IF($B442="","",INDEX(tblStock[StockActual],'91_KPIS'!$Q442))</f>
        <v/>
      </c>
      <c r="I442" s="55" t="str">
        <f>IF($B442="","",INDEX(tblStock[StockMin],'91_KPIS'!$Q442))</f>
        <v/>
      </c>
      <c r="J442" s="55" t="str">
        <f>IF($B442="","",INDEX(tblStock[StockMax],'91_KPIS'!$Q442))</f>
        <v/>
      </c>
      <c r="K442" s="53" t="str">
        <f>IF($B442="","",INDEX(tblStock[Unidad],'91_KPIS'!$Q442))</f>
        <v/>
      </c>
      <c r="L442" s="55" t="str">
        <f t="shared" si="12"/>
        <v/>
      </c>
      <c r="M442" s="55" t="str">
        <f t="shared" si="13"/>
        <v/>
      </c>
      <c r="N442" s="54" t="str">
        <f>IF($B442="","",IFERROR(INDEX(tblEstados[Acción],MATCH($C442,tblEstados[Estado],0)),""))</f>
        <v/>
      </c>
      <c r="O442" s="60" t="str">
        <f>IF($B442="","",INDEX(tblStock[UltimoMov],'91_KPIS'!$Q442))</f>
        <v/>
      </c>
    </row>
    <row r="443" spans="2:15" x14ac:dyDescent="0.25">
      <c r="B443" s="62" t="str">
        <f>IF('91_KPIS'!$Q443="","",'91_KPIS'!$O443)</f>
        <v/>
      </c>
      <c r="C443" s="58" t="str">
        <f>IF($B443="","",INDEX(tblStock[Estado],'91_KPIS'!$Q443))</f>
        <v/>
      </c>
      <c r="D443" s="53" t="str">
        <f>IF($B443="","",INDEX(tblStock[SKU],'91_KPIS'!$Q443))</f>
        <v/>
      </c>
      <c r="E443" s="54" t="str">
        <f>IF($B443="","",INDEX(tblStock[Producto],'91_KPIS'!$Q443))</f>
        <v/>
      </c>
      <c r="F443" s="54" t="str">
        <f>IF($B443="","",INDEX(tblStock[Categoría],'91_KPIS'!$Q443))</f>
        <v/>
      </c>
      <c r="G443" s="54" t="str">
        <f>IF($B443="","",INDEX(tblStock[Proveedor],'91_KPIS'!$Q443)&amp;"")</f>
        <v/>
      </c>
      <c r="H443" s="56" t="str">
        <f>IF($B443="","",INDEX(tblStock[StockActual],'91_KPIS'!$Q443))</f>
        <v/>
      </c>
      <c r="I443" s="55" t="str">
        <f>IF($B443="","",INDEX(tblStock[StockMin],'91_KPIS'!$Q443))</f>
        <v/>
      </c>
      <c r="J443" s="55" t="str">
        <f>IF($B443="","",INDEX(tblStock[StockMax],'91_KPIS'!$Q443))</f>
        <v/>
      </c>
      <c r="K443" s="53" t="str">
        <f>IF($B443="","",INDEX(tblStock[Unidad],'91_KPIS'!$Q443))</f>
        <v/>
      </c>
      <c r="L443" s="55" t="str">
        <f t="shared" si="12"/>
        <v/>
      </c>
      <c r="M443" s="55" t="str">
        <f t="shared" si="13"/>
        <v/>
      </c>
      <c r="N443" s="54" t="str">
        <f>IF($B443="","",IFERROR(INDEX(tblEstados[Acción],MATCH($C443,tblEstados[Estado],0)),""))</f>
        <v/>
      </c>
      <c r="O443" s="60" t="str">
        <f>IF($B443="","",INDEX(tblStock[UltimoMov],'91_KPIS'!$Q443))</f>
        <v/>
      </c>
    </row>
    <row r="444" spans="2:15" x14ac:dyDescent="0.25">
      <c r="B444" s="62" t="str">
        <f>IF('91_KPIS'!$Q444="","",'91_KPIS'!$O444)</f>
        <v/>
      </c>
      <c r="C444" s="58" t="str">
        <f>IF($B444="","",INDEX(tblStock[Estado],'91_KPIS'!$Q444))</f>
        <v/>
      </c>
      <c r="D444" s="53" t="str">
        <f>IF($B444="","",INDEX(tblStock[SKU],'91_KPIS'!$Q444))</f>
        <v/>
      </c>
      <c r="E444" s="54" t="str">
        <f>IF($B444="","",INDEX(tblStock[Producto],'91_KPIS'!$Q444))</f>
        <v/>
      </c>
      <c r="F444" s="54" t="str">
        <f>IF($B444="","",INDEX(tblStock[Categoría],'91_KPIS'!$Q444))</f>
        <v/>
      </c>
      <c r="G444" s="54" t="str">
        <f>IF($B444="","",INDEX(tblStock[Proveedor],'91_KPIS'!$Q444)&amp;"")</f>
        <v/>
      </c>
      <c r="H444" s="56" t="str">
        <f>IF($B444="","",INDEX(tblStock[StockActual],'91_KPIS'!$Q444))</f>
        <v/>
      </c>
      <c r="I444" s="55" t="str">
        <f>IF($B444="","",INDEX(tblStock[StockMin],'91_KPIS'!$Q444))</f>
        <v/>
      </c>
      <c r="J444" s="55" t="str">
        <f>IF($B444="","",INDEX(tblStock[StockMax],'91_KPIS'!$Q444))</f>
        <v/>
      </c>
      <c r="K444" s="53" t="str">
        <f>IF($B444="","",INDEX(tblStock[Unidad],'91_KPIS'!$Q444))</f>
        <v/>
      </c>
      <c r="L444" s="55" t="str">
        <f t="shared" si="12"/>
        <v/>
      </c>
      <c r="M444" s="55" t="str">
        <f t="shared" si="13"/>
        <v/>
      </c>
      <c r="N444" s="54" t="str">
        <f>IF($B444="","",IFERROR(INDEX(tblEstados[Acción],MATCH($C444,tblEstados[Estado],0)),""))</f>
        <v/>
      </c>
      <c r="O444" s="60" t="str">
        <f>IF($B444="","",INDEX(tblStock[UltimoMov],'91_KPIS'!$Q444))</f>
        <v/>
      </c>
    </row>
    <row r="445" spans="2:15" x14ac:dyDescent="0.25">
      <c r="B445" s="62" t="str">
        <f>IF('91_KPIS'!$Q445="","",'91_KPIS'!$O445)</f>
        <v/>
      </c>
      <c r="C445" s="58" t="str">
        <f>IF($B445="","",INDEX(tblStock[Estado],'91_KPIS'!$Q445))</f>
        <v/>
      </c>
      <c r="D445" s="53" t="str">
        <f>IF($B445="","",INDEX(tblStock[SKU],'91_KPIS'!$Q445))</f>
        <v/>
      </c>
      <c r="E445" s="54" t="str">
        <f>IF($B445="","",INDEX(tblStock[Producto],'91_KPIS'!$Q445))</f>
        <v/>
      </c>
      <c r="F445" s="54" t="str">
        <f>IF($B445="","",INDEX(tblStock[Categoría],'91_KPIS'!$Q445))</f>
        <v/>
      </c>
      <c r="G445" s="54" t="str">
        <f>IF($B445="","",INDEX(tblStock[Proveedor],'91_KPIS'!$Q445)&amp;"")</f>
        <v/>
      </c>
      <c r="H445" s="56" t="str">
        <f>IF($B445="","",INDEX(tblStock[StockActual],'91_KPIS'!$Q445))</f>
        <v/>
      </c>
      <c r="I445" s="55" t="str">
        <f>IF($B445="","",INDEX(tblStock[StockMin],'91_KPIS'!$Q445))</f>
        <v/>
      </c>
      <c r="J445" s="55" t="str">
        <f>IF($B445="","",INDEX(tblStock[StockMax],'91_KPIS'!$Q445))</f>
        <v/>
      </c>
      <c r="K445" s="53" t="str">
        <f>IF($B445="","",INDEX(tblStock[Unidad],'91_KPIS'!$Q445))</f>
        <v/>
      </c>
      <c r="L445" s="55" t="str">
        <f t="shared" si="12"/>
        <v/>
      </c>
      <c r="M445" s="55" t="str">
        <f t="shared" si="13"/>
        <v/>
      </c>
      <c r="N445" s="54" t="str">
        <f>IF($B445="","",IFERROR(INDEX(tblEstados[Acción],MATCH($C445,tblEstados[Estado],0)),""))</f>
        <v/>
      </c>
      <c r="O445" s="60" t="str">
        <f>IF($B445="","",INDEX(tblStock[UltimoMov],'91_KPIS'!$Q445))</f>
        <v/>
      </c>
    </row>
    <row r="446" spans="2:15" x14ac:dyDescent="0.25">
      <c r="B446" s="62" t="str">
        <f>IF('91_KPIS'!$Q446="","",'91_KPIS'!$O446)</f>
        <v/>
      </c>
      <c r="C446" s="58" t="str">
        <f>IF($B446="","",INDEX(tblStock[Estado],'91_KPIS'!$Q446))</f>
        <v/>
      </c>
      <c r="D446" s="53" t="str">
        <f>IF($B446="","",INDEX(tblStock[SKU],'91_KPIS'!$Q446))</f>
        <v/>
      </c>
      <c r="E446" s="54" t="str">
        <f>IF($B446="","",INDEX(tblStock[Producto],'91_KPIS'!$Q446))</f>
        <v/>
      </c>
      <c r="F446" s="54" t="str">
        <f>IF($B446="","",INDEX(tblStock[Categoría],'91_KPIS'!$Q446))</f>
        <v/>
      </c>
      <c r="G446" s="54" t="str">
        <f>IF($B446="","",INDEX(tblStock[Proveedor],'91_KPIS'!$Q446)&amp;"")</f>
        <v/>
      </c>
      <c r="H446" s="56" t="str">
        <f>IF($B446="","",INDEX(tblStock[StockActual],'91_KPIS'!$Q446))</f>
        <v/>
      </c>
      <c r="I446" s="55" t="str">
        <f>IF($B446="","",INDEX(tblStock[StockMin],'91_KPIS'!$Q446))</f>
        <v/>
      </c>
      <c r="J446" s="55" t="str">
        <f>IF($B446="","",INDEX(tblStock[StockMax],'91_KPIS'!$Q446))</f>
        <v/>
      </c>
      <c r="K446" s="53" t="str">
        <f>IF($B446="","",INDEX(tblStock[Unidad],'91_KPIS'!$Q446))</f>
        <v/>
      </c>
      <c r="L446" s="55" t="str">
        <f t="shared" si="12"/>
        <v/>
      </c>
      <c r="M446" s="55" t="str">
        <f t="shared" si="13"/>
        <v/>
      </c>
      <c r="N446" s="54" t="str">
        <f>IF($B446="","",IFERROR(INDEX(tblEstados[Acción],MATCH($C446,tblEstados[Estado],0)),""))</f>
        <v/>
      </c>
      <c r="O446" s="60" t="str">
        <f>IF($B446="","",INDEX(tblStock[UltimoMov],'91_KPIS'!$Q446))</f>
        <v/>
      </c>
    </row>
    <row r="447" spans="2:15" x14ac:dyDescent="0.25">
      <c r="B447" s="62" t="str">
        <f>IF('91_KPIS'!$Q447="","",'91_KPIS'!$O447)</f>
        <v/>
      </c>
      <c r="C447" s="58" t="str">
        <f>IF($B447="","",INDEX(tblStock[Estado],'91_KPIS'!$Q447))</f>
        <v/>
      </c>
      <c r="D447" s="53" t="str">
        <f>IF($B447="","",INDEX(tblStock[SKU],'91_KPIS'!$Q447))</f>
        <v/>
      </c>
      <c r="E447" s="54" t="str">
        <f>IF($B447="","",INDEX(tblStock[Producto],'91_KPIS'!$Q447))</f>
        <v/>
      </c>
      <c r="F447" s="54" t="str">
        <f>IF($B447="","",INDEX(tblStock[Categoría],'91_KPIS'!$Q447))</f>
        <v/>
      </c>
      <c r="G447" s="54" t="str">
        <f>IF($B447="","",INDEX(tblStock[Proveedor],'91_KPIS'!$Q447)&amp;"")</f>
        <v/>
      </c>
      <c r="H447" s="56" t="str">
        <f>IF($B447="","",INDEX(tblStock[StockActual],'91_KPIS'!$Q447))</f>
        <v/>
      </c>
      <c r="I447" s="55" t="str">
        <f>IF($B447="","",INDEX(tblStock[StockMin],'91_KPIS'!$Q447))</f>
        <v/>
      </c>
      <c r="J447" s="55" t="str">
        <f>IF($B447="","",INDEX(tblStock[StockMax],'91_KPIS'!$Q447))</f>
        <v/>
      </c>
      <c r="K447" s="53" t="str">
        <f>IF($B447="","",INDEX(tblStock[Unidad],'91_KPIS'!$Q447))</f>
        <v/>
      </c>
      <c r="L447" s="55" t="str">
        <f t="shared" si="12"/>
        <v/>
      </c>
      <c r="M447" s="55" t="str">
        <f t="shared" si="13"/>
        <v/>
      </c>
      <c r="N447" s="54" t="str">
        <f>IF($B447="","",IFERROR(INDEX(tblEstados[Acción],MATCH($C447,tblEstados[Estado],0)),""))</f>
        <v/>
      </c>
      <c r="O447" s="60" t="str">
        <f>IF($B447="","",INDEX(tblStock[UltimoMov],'91_KPIS'!$Q447))</f>
        <v/>
      </c>
    </row>
    <row r="448" spans="2:15" x14ac:dyDescent="0.25">
      <c r="B448" s="62" t="str">
        <f>IF('91_KPIS'!$Q448="","",'91_KPIS'!$O448)</f>
        <v/>
      </c>
      <c r="C448" s="58" t="str">
        <f>IF($B448="","",INDEX(tblStock[Estado],'91_KPIS'!$Q448))</f>
        <v/>
      </c>
      <c r="D448" s="53" t="str">
        <f>IF($B448="","",INDEX(tblStock[SKU],'91_KPIS'!$Q448))</f>
        <v/>
      </c>
      <c r="E448" s="54" t="str">
        <f>IF($B448="","",INDEX(tblStock[Producto],'91_KPIS'!$Q448))</f>
        <v/>
      </c>
      <c r="F448" s="54" t="str">
        <f>IF($B448="","",INDEX(tblStock[Categoría],'91_KPIS'!$Q448))</f>
        <v/>
      </c>
      <c r="G448" s="54" t="str">
        <f>IF($B448="","",INDEX(tblStock[Proveedor],'91_KPIS'!$Q448)&amp;"")</f>
        <v/>
      </c>
      <c r="H448" s="56" t="str">
        <f>IF($B448="","",INDEX(tblStock[StockActual],'91_KPIS'!$Q448))</f>
        <v/>
      </c>
      <c r="I448" s="55" t="str">
        <f>IF($B448="","",INDEX(tblStock[StockMin],'91_KPIS'!$Q448))</f>
        <v/>
      </c>
      <c r="J448" s="55" t="str">
        <f>IF($B448="","",INDEX(tblStock[StockMax],'91_KPIS'!$Q448))</f>
        <v/>
      </c>
      <c r="K448" s="53" t="str">
        <f>IF($B448="","",INDEX(tblStock[Unidad],'91_KPIS'!$Q448))</f>
        <v/>
      </c>
      <c r="L448" s="55" t="str">
        <f t="shared" si="12"/>
        <v/>
      </c>
      <c r="M448" s="55" t="str">
        <f t="shared" si="13"/>
        <v/>
      </c>
      <c r="N448" s="54" t="str">
        <f>IF($B448="","",IFERROR(INDEX(tblEstados[Acción],MATCH($C448,tblEstados[Estado],0)),""))</f>
        <v/>
      </c>
      <c r="O448" s="60" t="str">
        <f>IF($B448="","",INDEX(tblStock[UltimoMov],'91_KPIS'!$Q448))</f>
        <v/>
      </c>
    </row>
    <row r="449" spans="2:15" x14ac:dyDescent="0.25">
      <c r="B449" s="62" t="str">
        <f>IF('91_KPIS'!$Q449="","",'91_KPIS'!$O449)</f>
        <v/>
      </c>
      <c r="C449" s="58" t="str">
        <f>IF($B449="","",INDEX(tblStock[Estado],'91_KPIS'!$Q449))</f>
        <v/>
      </c>
      <c r="D449" s="53" t="str">
        <f>IF($B449="","",INDEX(tblStock[SKU],'91_KPIS'!$Q449))</f>
        <v/>
      </c>
      <c r="E449" s="54" t="str">
        <f>IF($B449="","",INDEX(tblStock[Producto],'91_KPIS'!$Q449))</f>
        <v/>
      </c>
      <c r="F449" s="54" t="str">
        <f>IF($B449="","",INDEX(tblStock[Categoría],'91_KPIS'!$Q449))</f>
        <v/>
      </c>
      <c r="G449" s="54" t="str">
        <f>IF($B449="","",INDEX(tblStock[Proveedor],'91_KPIS'!$Q449)&amp;"")</f>
        <v/>
      </c>
      <c r="H449" s="56" t="str">
        <f>IF($B449="","",INDEX(tblStock[StockActual],'91_KPIS'!$Q449))</f>
        <v/>
      </c>
      <c r="I449" s="55" t="str">
        <f>IF($B449="","",INDEX(tblStock[StockMin],'91_KPIS'!$Q449))</f>
        <v/>
      </c>
      <c r="J449" s="55" t="str">
        <f>IF($B449="","",INDEX(tblStock[StockMax],'91_KPIS'!$Q449))</f>
        <v/>
      </c>
      <c r="K449" s="53" t="str">
        <f>IF($B449="","",INDEX(tblStock[Unidad],'91_KPIS'!$Q449))</f>
        <v/>
      </c>
      <c r="L449" s="55" t="str">
        <f t="shared" si="12"/>
        <v/>
      </c>
      <c r="M449" s="55" t="str">
        <f t="shared" si="13"/>
        <v/>
      </c>
      <c r="N449" s="54" t="str">
        <f>IF($B449="","",IFERROR(INDEX(tblEstados[Acción],MATCH($C449,tblEstados[Estado],0)),""))</f>
        <v/>
      </c>
      <c r="O449" s="60" t="str">
        <f>IF($B449="","",INDEX(tblStock[UltimoMov],'91_KPIS'!$Q449))</f>
        <v/>
      </c>
    </row>
    <row r="450" spans="2:15" x14ac:dyDescent="0.25">
      <c r="B450" s="62" t="str">
        <f>IF('91_KPIS'!$Q450="","",'91_KPIS'!$O450)</f>
        <v/>
      </c>
      <c r="C450" s="58" t="str">
        <f>IF($B450="","",INDEX(tblStock[Estado],'91_KPIS'!$Q450))</f>
        <v/>
      </c>
      <c r="D450" s="53" t="str">
        <f>IF($B450="","",INDEX(tblStock[SKU],'91_KPIS'!$Q450))</f>
        <v/>
      </c>
      <c r="E450" s="54" t="str">
        <f>IF($B450="","",INDEX(tblStock[Producto],'91_KPIS'!$Q450))</f>
        <v/>
      </c>
      <c r="F450" s="54" t="str">
        <f>IF($B450="","",INDEX(tblStock[Categoría],'91_KPIS'!$Q450))</f>
        <v/>
      </c>
      <c r="G450" s="54" t="str">
        <f>IF($B450="","",INDEX(tblStock[Proveedor],'91_KPIS'!$Q450)&amp;"")</f>
        <v/>
      </c>
      <c r="H450" s="56" t="str">
        <f>IF($B450="","",INDEX(tblStock[StockActual],'91_KPIS'!$Q450))</f>
        <v/>
      </c>
      <c r="I450" s="55" t="str">
        <f>IF($B450="","",INDEX(tblStock[StockMin],'91_KPIS'!$Q450))</f>
        <v/>
      </c>
      <c r="J450" s="55" t="str">
        <f>IF($B450="","",INDEX(tblStock[StockMax],'91_KPIS'!$Q450))</f>
        <v/>
      </c>
      <c r="K450" s="53" t="str">
        <f>IF($B450="","",INDEX(tblStock[Unidad],'91_KPIS'!$Q450))</f>
        <v/>
      </c>
      <c r="L450" s="55" t="str">
        <f t="shared" si="12"/>
        <v/>
      </c>
      <c r="M450" s="55" t="str">
        <f t="shared" si="13"/>
        <v/>
      </c>
      <c r="N450" s="54" t="str">
        <f>IF($B450="","",IFERROR(INDEX(tblEstados[Acción],MATCH($C450,tblEstados[Estado],0)),""))</f>
        <v/>
      </c>
      <c r="O450" s="60" t="str">
        <f>IF($B450="","",INDEX(tblStock[UltimoMov],'91_KPIS'!$Q450))</f>
        <v/>
      </c>
    </row>
    <row r="451" spans="2:15" x14ac:dyDescent="0.25">
      <c r="B451" s="62" t="str">
        <f>IF('91_KPIS'!$Q451="","",'91_KPIS'!$O451)</f>
        <v/>
      </c>
      <c r="C451" s="58" t="str">
        <f>IF($B451="","",INDEX(tblStock[Estado],'91_KPIS'!$Q451))</f>
        <v/>
      </c>
      <c r="D451" s="53" t="str">
        <f>IF($B451="","",INDEX(tblStock[SKU],'91_KPIS'!$Q451))</f>
        <v/>
      </c>
      <c r="E451" s="54" t="str">
        <f>IF($B451="","",INDEX(tblStock[Producto],'91_KPIS'!$Q451))</f>
        <v/>
      </c>
      <c r="F451" s="54" t="str">
        <f>IF($B451="","",INDEX(tblStock[Categoría],'91_KPIS'!$Q451))</f>
        <v/>
      </c>
      <c r="G451" s="54" t="str">
        <f>IF($B451="","",INDEX(tblStock[Proveedor],'91_KPIS'!$Q451)&amp;"")</f>
        <v/>
      </c>
      <c r="H451" s="56" t="str">
        <f>IF($B451="","",INDEX(tblStock[StockActual],'91_KPIS'!$Q451))</f>
        <v/>
      </c>
      <c r="I451" s="55" t="str">
        <f>IF($B451="","",INDEX(tblStock[StockMin],'91_KPIS'!$Q451))</f>
        <v/>
      </c>
      <c r="J451" s="55" t="str">
        <f>IF($B451="","",INDEX(tblStock[StockMax],'91_KPIS'!$Q451))</f>
        <v/>
      </c>
      <c r="K451" s="53" t="str">
        <f>IF($B451="","",INDEX(tblStock[Unidad],'91_KPIS'!$Q451))</f>
        <v/>
      </c>
      <c r="L451" s="55" t="str">
        <f t="shared" si="12"/>
        <v/>
      </c>
      <c r="M451" s="55" t="str">
        <f t="shared" si="13"/>
        <v/>
      </c>
      <c r="N451" s="54" t="str">
        <f>IF($B451="","",IFERROR(INDEX(tblEstados[Acción],MATCH($C451,tblEstados[Estado],0)),""))</f>
        <v/>
      </c>
      <c r="O451" s="60" t="str">
        <f>IF($B451="","",INDEX(tblStock[UltimoMov],'91_KPIS'!$Q451))</f>
        <v/>
      </c>
    </row>
    <row r="452" spans="2:15" x14ac:dyDescent="0.25">
      <c r="B452" s="62" t="str">
        <f>IF('91_KPIS'!$Q452="","",'91_KPIS'!$O452)</f>
        <v/>
      </c>
      <c r="C452" s="58" t="str">
        <f>IF($B452="","",INDEX(tblStock[Estado],'91_KPIS'!$Q452))</f>
        <v/>
      </c>
      <c r="D452" s="53" t="str">
        <f>IF($B452="","",INDEX(tblStock[SKU],'91_KPIS'!$Q452))</f>
        <v/>
      </c>
      <c r="E452" s="54" t="str">
        <f>IF($B452="","",INDEX(tblStock[Producto],'91_KPIS'!$Q452))</f>
        <v/>
      </c>
      <c r="F452" s="54" t="str">
        <f>IF($B452="","",INDEX(tblStock[Categoría],'91_KPIS'!$Q452))</f>
        <v/>
      </c>
      <c r="G452" s="54" t="str">
        <f>IF($B452="","",INDEX(tblStock[Proveedor],'91_KPIS'!$Q452)&amp;"")</f>
        <v/>
      </c>
      <c r="H452" s="56" t="str">
        <f>IF($B452="","",INDEX(tblStock[StockActual],'91_KPIS'!$Q452))</f>
        <v/>
      </c>
      <c r="I452" s="55" t="str">
        <f>IF($B452="","",INDEX(tblStock[StockMin],'91_KPIS'!$Q452))</f>
        <v/>
      </c>
      <c r="J452" s="55" t="str">
        <f>IF($B452="","",INDEX(tblStock[StockMax],'91_KPIS'!$Q452))</f>
        <v/>
      </c>
      <c r="K452" s="53" t="str">
        <f>IF($B452="","",INDEX(tblStock[Unidad],'91_KPIS'!$Q452))</f>
        <v/>
      </c>
      <c r="L452" s="55" t="str">
        <f t="shared" si="12"/>
        <v/>
      </c>
      <c r="M452" s="55" t="str">
        <f t="shared" si="13"/>
        <v/>
      </c>
      <c r="N452" s="54" t="str">
        <f>IF($B452="","",IFERROR(INDEX(tblEstados[Acción],MATCH($C452,tblEstados[Estado],0)),""))</f>
        <v/>
      </c>
      <c r="O452" s="60" t="str">
        <f>IF($B452="","",INDEX(tblStock[UltimoMov],'91_KPIS'!$Q452))</f>
        <v/>
      </c>
    </row>
    <row r="453" spans="2:15" x14ac:dyDescent="0.25">
      <c r="B453" s="62" t="str">
        <f>IF('91_KPIS'!$Q453="","",'91_KPIS'!$O453)</f>
        <v/>
      </c>
      <c r="C453" s="58" t="str">
        <f>IF($B453="","",INDEX(tblStock[Estado],'91_KPIS'!$Q453))</f>
        <v/>
      </c>
      <c r="D453" s="53" t="str">
        <f>IF($B453="","",INDEX(tblStock[SKU],'91_KPIS'!$Q453))</f>
        <v/>
      </c>
      <c r="E453" s="54" t="str">
        <f>IF($B453="","",INDEX(tblStock[Producto],'91_KPIS'!$Q453))</f>
        <v/>
      </c>
      <c r="F453" s="54" t="str">
        <f>IF($B453="","",INDEX(tblStock[Categoría],'91_KPIS'!$Q453))</f>
        <v/>
      </c>
      <c r="G453" s="54" t="str">
        <f>IF($B453="","",INDEX(tblStock[Proveedor],'91_KPIS'!$Q453)&amp;"")</f>
        <v/>
      </c>
      <c r="H453" s="56" t="str">
        <f>IF($B453="","",INDEX(tblStock[StockActual],'91_KPIS'!$Q453))</f>
        <v/>
      </c>
      <c r="I453" s="55" t="str">
        <f>IF($B453="","",INDEX(tblStock[StockMin],'91_KPIS'!$Q453))</f>
        <v/>
      </c>
      <c r="J453" s="55" t="str">
        <f>IF($B453="","",INDEX(tblStock[StockMax],'91_KPIS'!$Q453))</f>
        <v/>
      </c>
      <c r="K453" s="53" t="str">
        <f>IF($B453="","",INDEX(tblStock[Unidad],'91_KPIS'!$Q453))</f>
        <v/>
      </c>
      <c r="L453" s="55" t="str">
        <f t="shared" si="12"/>
        <v/>
      </c>
      <c r="M453" s="55" t="str">
        <f t="shared" si="13"/>
        <v/>
      </c>
      <c r="N453" s="54" t="str">
        <f>IF($B453="","",IFERROR(INDEX(tblEstados[Acción],MATCH($C453,tblEstados[Estado],0)),""))</f>
        <v/>
      </c>
      <c r="O453" s="60" t="str">
        <f>IF($B453="","",INDEX(tblStock[UltimoMov],'91_KPIS'!$Q453))</f>
        <v/>
      </c>
    </row>
    <row r="454" spans="2:15" x14ac:dyDescent="0.25">
      <c r="B454" s="62" t="str">
        <f>IF('91_KPIS'!$Q454="","",'91_KPIS'!$O454)</f>
        <v/>
      </c>
      <c r="C454" s="58" t="str">
        <f>IF($B454="","",INDEX(tblStock[Estado],'91_KPIS'!$Q454))</f>
        <v/>
      </c>
      <c r="D454" s="53" t="str">
        <f>IF($B454="","",INDEX(tblStock[SKU],'91_KPIS'!$Q454))</f>
        <v/>
      </c>
      <c r="E454" s="54" t="str">
        <f>IF($B454="","",INDEX(tblStock[Producto],'91_KPIS'!$Q454))</f>
        <v/>
      </c>
      <c r="F454" s="54" t="str">
        <f>IF($B454="","",INDEX(tblStock[Categoría],'91_KPIS'!$Q454))</f>
        <v/>
      </c>
      <c r="G454" s="54" t="str">
        <f>IF($B454="","",INDEX(tblStock[Proveedor],'91_KPIS'!$Q454)&amp;"")</f>
        <v/>
      </c>
      <c r="H454" s="56" t="str">
        <f>IF($B454="","",INDEX(tblStock[StockActual],'91_KPIS'!$Q454))</f>
        <v/>
      </c>
      <c r="I454" s="55" t="str">
        <f>IF($B454="","",INDEX(tblStock[StockMin],'91_KPIS'!$Q454))</f>
        <v/>
      </c>
      <c r="J454" s="55" t="str">
        <f>IF($B454="","",INDEX(tblStock[StockMax],'91_KPIS'!$Q454))</f>
        <v/>
      </c>
      <c r="K454" s="53" t="str">
        <f>IF($B454="","",INDEX(tblStock[Unidad],'91_KPIS'!$Q454))</f>
        <v/>
      </c>
      <c r="L454" s="55" t="str">
        <f t="shared" si="12"/>
        <v/>
      </c>
      <c r="M454" s="55" t="str">
        <f t="shared" si="13"/>
        <v/>
      </c>
      <c r="N454" s="54" t="str">
        <f>IF($B454="","",IFERROR(INDEX(tblEstados[Acción],MATCH($C454,tblEstados[Estado],0)),""))</f>
        <v/>
      </c>
      <c r="O454" s="60" t="str">
        <f>IF($B454="","",INDEX(tblStock[UltimoMov],'91_KPIS'!$Q454))</f>
        <v/>
      </c>
    </row>
    <row r="455" spans="2:15" x14ac:dyDescent="0.25">
      <c r="B455" s="62" t="str">
        <f>IF('91_KPIS'!$Q455="","",'91_KPIS'!$O455)</f>
        <v/>
      </c>
      <c r="C455" s="58" t="str">
        <f>IF($B455="","",INDEX(tblStock[Estado],'91_KPIS'!$Q455))</f>
        <v/>
      </c>
      <c r="D455" s="53" t="str">
        <f>IF($B455="","",INDEX(tblStock[SKU],'91_KPIS'!$Q455))</f>
        <v/>
      </c>
      <c r="E455" s="54" t="str">
        <f>IF($B455="","",INDEX(tblStock[Producto],'91_KPIS'!$Q455))</f>
        <v/>
      </c>
      <c r="F455" s="54" t="str">
        <f>IF($B455="","",INDEX(tblStock[Categoría],'91_KPIS'!$Q455))</f>
        <v/>
      </c>
      <c r="G455" s="54" t="str">
        <f>IF($B455="","",INDEX(tblStock[Proveedor],'91_KPIS'!$Q455)&amp;"")</f>
        <v/>
      </c>
      <c r="H455" s="56" t="str">
        <f>IF($B455="","",INDEX(tblStock[StockActual],'91_KPIS'!$Q455))</f>
        <v/>
      </c>
      <c r="I455" s="55" t="str">
        <f>IF($B455="","",INDEX(tblStock[StockMin],'91_KPIS'!$Q455))</f>
        <v/>
      </c>
      <c r="J455" s="55" t="str">
        <f>IF($B455="","",INDEX(tblStock[StockMax],'91_KPIS'!$Q455))</f>
        <v/>
      </c>
      <c r="K455" s="53" t="str">
        <f>IF($B455="","",INDEX(tblStock[Unidad],'91_KPIS'!$Q455))</f>
        <v/>
      </c>
      <c r="L455" s="55" t="str">
        <f t="shared" si="12"/>
        <v/>
      </c>
      <c r="M455" s="55" t="str">
        <f t="shared" si="13"/>
        <v/>
      </c>
      <c r="N455" s="54" t="str">
        <f>IF($B455="","",IFERROR(INDEX(tblEstados[Acción],MATCH($C455,tblEstados[Estado],0)),""))</f>
        <v/>
      </c>
      <c r="O455" s="60" t="str">
        <f>IF($B455="","",INDEX(tblStock[UltimoMov],'91_KPIS'!$Q455))</f>
        <v/>
      </c>
    </row>
    <row r="456" spans="2:15" x14ac:dyDescent="0.25">
      <c r="B456" s="62" t="str">
        <f>IF('91_KPIS'!$Q456="","",'91_KPIS'!$O456)</f>
        <v/>
      </c>
      <c r="C456" s="58" t="str">
        <f>IF($B456="","",INDEX(tblStock[Estado],'91_KPIS'!$Q456))</f>
        <v/>
      </c>
      <c r="D456" s="53" t="str">
        <f>IF($B456="","",INDEX(tblStock[SKU],'91_KPIS'!$Q456))</f>
        <v/>
      </c>
      <c r="E456" s="54" t="str">
        <f>IF($B456="","",INDEX(tblStock[Producto],'91_KPIS'!$Q456))</f>
        <v/>
      </c>
      <c r="F456" s="54" t="str">
        <f>IF($B456="","",INDEX(tblStock[Categoría],'91_KPIS'!$Q456))</f>
        <v/>
      </c>
      <c r="G456" s="54" t="str">
        <f>IF($B456="","",INDEX(tblStock[Proveedor],'91_KPIS'!$Q456)&amp;"")</f>
        <v/>
      </c>
      <c r="H456" s="56" t="str">
        <f>IF($B456="","",INDEX(tblStock[StockActual],'91_KPIS'!$Q456))</f>
        <v/>
      </c>
      <c r="I456" s="55" t="str">
        <f>IF($B456="","",INDEX(tblStock[StockMin],'91_KPIS'!$Q456))</f>
        <v/>
      </c>
      <c r="J456" s="55" t="str">
        <f>IF($B456="","",INDEX(tblStock[StockMax],'91_KPIS'!$Q456))</f>
        <v/>
      </c>
      <c r="K456" s="53" t="str">
        <f>IF($B456="","",INDEX(tblStock[Unidad],'91_KPIS'!$Q456))</f>
        <v/>
      </c>
      <c r="L456" s="55" t="str">
        <f t="shared" ref="L456:L507" si="14">IF($B456="","",MAX(0,$I456-$H456))</f>
        <v/>
      </c>
      <c r="M456" s="55" t="str">
        <f t="shared" ref="M456:M507" si="15">IF($B456="","",IF(OR($C456="SOBRESTOCK",$C456="INCONSISTENTE"),0,MAX(0,IF($J456&gt;0,$J456,2*$I456)-MAX(0,$H456))))</f>
        <v/>
      </c>
      <c r="N456" s="54" t="str">
        <f>IF($B456="","",IFERROR(INDEX(tblEstados[Acción],MATCH($C456,tblEstados[Estado],0)),""))</f>
        <v/>
      </c>
      <c r="O456" s="60" t="str">
        <f>IF($B456="","",INDEX(tblStock[UltimoMov],'91_KPIS'!$Q456))</f>
        <v/>
      </c>
    </row>
    <row r="457" spans="2:15" x14ac:dyDescent="0.25">
      <c r="B457" s="62" t="str">
        <f>IF('91_KPIS'!$Q457="","",'91_KPIS'!$O457)</f>
        <v/>
      </c>
      <c r="C457" s="58" t="str">
        <f>IF($B457="","",INDEX(tblStock[Estado],'91_KPIS'!$Q457))</f>
        <v/>
      </c>
      <c r="D457" s="53" t="str">
        <f>IF($B457="","",INDEX(tblStock[SKU],'91_KPIS'!$Q457))</f>
        <v/>
      </c>
      <c r="E457" s="54" t="str">
        <f>IF($B457="","",INDEX(tblStock[Producto],'91_KPIS'!$Q457))</f>
        <v/>
      </c>
      <c r="F457" s="54" t="str">
        <f>IF($B457="","",INDEX(tblStock[Categoría],'91_KPIS'!$Q457))</f>
        <v/>
      </c>
      <c r="G457" s="54" t="str">
        <f>IF($B457="","",INDEX(tblStock[Proveedor],'91_KPIS'!$Q457)&amp;"")</f>
        <v/>
      </c>
      <c r="H457" s="56" t="str">
        <f>IF($B457="","",INDEX(tblStock[StockActual],'91_KPIS'!$Q457))</f>
        <v/>
      </c>
      <c r="I457" s="55" t="str">
        <f>IF($B457="","",INDEX(tblStock[StockMin],'91_KPIS'!$Q457))</f>
        <v/>
      </c>
      <c r="J457" s="55" t="str">
        <f>IF($B457="","",INDEX(tblStock[StockMax],'91_KPIS'!$Q457))</f>
        <v/>
      </c>
      <c r="K457" s="53" t="str">
        <f>IF($B457="","",INDEX(tblStock[Unidad],'91_KPIS'!$Q457))</f>
        <v/>
      </c>
      <c r="L457" s="55" t="str">
        <f t="shared" si="14"/>
        <v/>
      </c>
      <c r="M457" s="55" t="str">
        <f t="shared" si="15"/>
        <v/>
      </c>
      <c r="N457" s="54" t="str">
        <f>IF($B457="","",IFERROR(INDEX(tblEstados[Acción],MATCH($C457,tblEstados[Estado],0)),""))</f>
        <v/>
      </c>
      <c r="O457" s="60" t="str">
        <f>IF($B457="","",INDEX(tblStock[UltimoMov],'91_KPIS'!$Q457))</f>
        <v/>
      </c>
    </row>
    <row r="458" spans="2:15" x14ac:dyDescent="0.25">
      <c r="B458" s="62" t="str">
        <f>IF('91_KPIS'!$Q458="","",'91_KPIS'!$O458)</f>
        <v/>
      </c>
      <c r="C458" s="58" t="str">
        <f>IF($B458="","",INDEX(tblStock[Estado],'91_KPIS'!$Q458))</f>
        <v/>
      </c>
      <c r="D458" s="53" t="str">
        <f>IF($B458="","",INDEX(tblStock[SKU],'91_KPIS'!$Q458))</f>
        <v/>
      </c>
      <c r="E458" s="54" t="str">
        <f>IF($B458="","",INDEX(tblStock[Producto],'91_KPIS'!$Q458))</f>
        <v/>
      </c>
      <c r="F458" s="54" t="str">
        <f>IF($B458="","",INDEX(tblStock[Categoría],'91_KPIS'!$Q458))</f>
        <v/>
      </c>
      <c r="G458" s="54" t="str">
        <f>IF($B458="","",INDEX(tblStock[Proveedor],'91_KPIS'!$Q458)&amp;"")</f>
        <v/>
      </c>
      <c r="H458" s="56" t="str">
        <f>IF($B458="","",INDEX(tblStock[StockActual],'91_KPIS'!$Q458))</f>
        <v/>
      </c>
      <c r="I458" s="55" t="str">
        <f>IF($B458="","",INDEX(tblStock[StockMin],'91_KPIS'!$Q458))</f>
        <v/>
      </c>
      <c r="J458" s="55" t="str">
        <f>IF($B458="","",INDEX(tblStock[StockMax],'91_KPIS'!$Q458))</f>
        <v/>
      </c>
      <c r="K458" s="53" t="str">
        <f>IF($B458="","",INDEX(tblStock[Unidad],'91_KPIS'!$Q458))</f>
        <v/>
      </c>
      <c r="L458" s="55" t="str">
        <f t="shared" si="14"/>
        <v/>
      </c>
      <c r="M458" s="55" t="str">
        <f t="shared" si="15"/>
        <v/>
      </c>
      <c r="N458" s="54" t="str">
        <f>IF($B458="","",IFERROR(INDEX(tblEstados[Acción],MATCH($C458,tblEstados[Estado],0)),""))</f>
        <v/>
      </c>
      <c r="O458" s="60" t="str">
        <f>IF($B458="","",INDEX(tblStock[UltimoMov],'91_KPIS'!$Q458))</f>
        <v/>
      </c>
    </row>
    <row r="459" spans="2:15" x14ac:dyDescent="0.25">
      <c r="B459" s="62" t="str">
        <f>IF('91_KPIS'!$Q459="","",'91_KPIS'!$O459)</f>
        <v/>
      </c>
      <c r="C459" s="58" t="str">
        <f>IF($B459="","",INDEX(tblStock[Estado],'91_KPIS'!$Q459))</f>
        <v/>
      </c>
      <c r="D459" s="53" t="str">
        <f>IF($B459="","",INDEX(tblStock[SKU],'91_KPIS'!$Q459))</f>
        <v/>
      </c>
      <c r="E459" s="54" t="str">
        <f>IF($B459="","",INDEX(tblStock[Producto],'91_KPIS'!$Q459))</f>
        <v/>
      </c>
      <c r="F459" s="54" t="str">
        <f>IF($B459="","",INDEX(tblStock[Categoría],'91_KPIS'!$Q459))</f>
        <v/>
      </c>
      <c r="G459" s="54" t="str">
        <f>IF($B459="","",INDEX(tblStock[Proveedor],'91_KPIS'!$Q459)&amp;"")</f>
        <v/>
      </c>
      <c r="H459" s="56" t="str">
        <f>IF($B459="","",INDEX(tblStock[StockActual],'91_KPIS'!$Q459))</f>
        <v/>
      </c>
      <c r="I459" s="55" t="str">
        <f>IF($B459="","",INDEX(tblStock[StockMin],'91_KPIS'!$Q459))</f>
        <v/>
      </c>
      <c r="J459" s="55" t="str">
        <f>IF($B459="","",INDEX(tblStock[StockMax],'91_KPIS'!$Q459))</f>
        <v/>
      </c>
      <c r="K459" s="53" t="str">
        <f>IF($B459="","",INDEX(tblStock[Unidad],'91_KPIS'!$Q459))</f>
        <v/>
      </c>
      <c r="L459" s="55" t="str">
        <f t="shared" si="14"/>
        <v/>
      </c>
      <c r="M459" s="55" t="str">
        <f t="shared" si="15"/>
        <v/>
      </c>
      <c r="N459" s="54" t="str">
        <f>IF($B459="","",IFERROR(INDEX(tblEstados[Acción],MATCH($C459,tblEstados[Estado],0)),""))</f>
        <v/>
      </c>
      <c r="O459" s="60" t="str">
        <f>IF($B459="","",INDEX(tblStock[UltimoMov],'91_KPIS'!$Q459))</f>
        <v/>
      </c>
    </row>
    <row r="460" spans="2:15" x14ac:dyDescent="0.25">
      <c r="B460" s="62" t="str">
        <f>IF('91_KPIS'!$Q460="","",'91_KPIS'!$O460)</f>
        <v/>
      </c>
      <c r="C460" s="58" t="str">
        <f>IF($B460="","",INDEX(tblStock[Estado],'91_KPIS'!$Q460))</f>
        <v/>
      </c>
      <c r="D460" s="53" t="str">
        <f>IF($B460="","",INDEX(tblStock[SKU],'91_KPIS'!$Q460))</f>
        <v/>
      </c>
      <c r="E460" s="54" t="str">
        <f>IF($B460="","",INDEX(tblStock[Producto],'91_KPIS'!$Q460))</f>
        <v/>
      </c>
      <c r="F460" s="54" t="str">
        <f>IF($B460="","",INDEX(tblStock[Categoría],'91_KPIS'!$Q460))</f>
        <v/>
      </c>
      <c r="G460" s="54" t="str">
        <f>IF($B460="","",INDEX(tblStock[Proveedor],'91_KPIS'!$Q460)&amp;"")</f>
        <v/>
      </c>
      <c r="H460" s="56" t="str">
        <f>IF($B460="","",INDEX(tblStock[StockActual],'91_KPIS'!$Q460))</f>
        <v/>
      </c>
      <c r="I460" s="55" t="str">
        <f>IF($B460="","",INDEX(tblStock[StockMin],'91_KPIS'!$Q460))</f>
        <v/>
      </c>
      <c r="J460" s="55" t="str">
        <f>IF($B460="","",INDEX(tblStock[StockMax],'91_KPIS'!$Q460))</f>
        <v/>
      </c>
      <c r="K460" s="53" t="str">
        <f>IF($B460="","",INDEX(tblStock[Unidad],'91_KPIS'!$Q460))</f>
        <v/>
      </c>
      <c r="L460" s="55" t="str">
        <f t="shared" si="14"/>
        <v/>
      </c>
      <c r="M460" s="55" t="str">
        <f t="shared" si="15"/>
        <v/>
      </c>
      <c r="N460" s="54" t="str">
        <f>IF($B460="","",IFERROR(INDEX(tblEstados[Acción],MATCH($C460,tblEstados[Estado],0)),""))</f>
        <v/>
      </c>
      <c r="O460" s="60" t="str">
        <f>IF($B460="","",INDEX(tblStock[UltimoMov],'91_KPIS'!$Q460))</f>
        <v/>
      </c>
    </row>
    <row r="461" spans="2:15" x14ac:dyDescent="0.25">
      <c r="B461" s="62" t="str">
        <f>IF('91_KPIS'!$Q461="","",'91_KPIS'!$O461)</f>
        <v/>
      </c>
      <c r="C461" s="58" t="str">
        <f>IF($B461="","",INDEX(tblStock[Estado],'91_KPIS'!$Q461))</f>
        <v/>
      </c>
      <c r="D461" s="53" t="str">
        <f>IF($B461="","",INDEX(tblStock[SKU],'91_KPIS'!$Q461))</f>
        <v/>
      </c>
      <c r="E461" s="54" t="str">
        <f>IF($B461="","",INDEX(tblStock[Producto],'91_KPIS'!$Q461))</f>
        <v/>
      </c>
      <c r="F461" s="54" t="str">
        <f>IF($B461="","",INDEX(tblStock[Categoría],'91_KPIS'!$Q461))</f>
        <v/>
      </c>
      <c r="G461" s="54" t="str">
        <f>IF($B461="","",INDEX(tblStock[Proveedor],'91_KPIS'!$Q461)&amp;"")</f>
        <v/>
      </c>
      <c r="H461" s="56" t="str">
        <f>IF($B461="","",INDEX(tblStock[StockActual],'91_KPIS'!$Q461))</f>
        <v/>
      </c>
      <c r="I461" s="55" t="str">
        <f>IF($B461="","",INDEX(tblStock[StockMin],'91_KPIS'!$Q461))</f>
        <v/>
      </c>
      <c r="J461" s="55" t="str">
        <f>IF($B461="","",INDEX(tblStock[StockMax],'91_KPIS'!$Q461))</f>
        <v/>
      </c>
      <c r="K461" s="53" t="str">
        <f>IF($B461="","",INDEX(tblStock[Unidad],'91_KPIS'!$Q461))</f>
        <v/>
      </c>
      <c r="L461" s="55" t="str">
        <f t="shared" si="14"/>
        <v/>
      </c>
      <c r="M461" s="55" t="str">
        <f t="shared" si="15"/>
        <v/>
      </c>
      <c r="N461" s="54" t="str">
        <f>IF($B461="","",IFERROR(INDEX(tblEstados[Acción],MATCH($C461,tblEstados[Estado],0)),""))</f>
        <v/>
      </c>
      <c r="O461" s="60" t="str">
        <f>IF($B461="","",INDEX(tblStock[UltimoMov],'91_KPIS'!$Q461))</f>
        <v/>
      </c>
    </row>
    <row r="462" spans="2:15" x14ac:dyDescent="0.25">
      <c r="B462" s="62" t="str">
        <f>IF('91_KPIS'!$Q462="","",'91_KPIS'!$O462)</f>
        <v/>
      </c>
      <c r="C462" s="58" t="str">
        <f>IF($B462="","",INDEX(tblStock[Estado],'91_KPIS'!$Q462))</f>
        <v/>
      </c>
      <c r="D462" s="53" t="str">
        <f>IF($B462="","",INDEX(tblStock[SKU],'91_KPIS'!$Q462))</f>
        <v/>
      </c>
      <c r="E462" s="54" t="str">
        <f>IF($B462="","",INDEX(tblStock[Producto],'91_KPIS'!$Q462))</f>
        <v/>
      </c>
      <c r="F462" s="54" t="str">
        <f>IF($B462="","",INDEX(tblStock[Categoría],'91_KPIS'!$Q462))</f>
        <v/>
      </c>
      <c r="G462" s="54" t="str">
        <f>IF($B462="","",INDEX(tblStock[Proveedor],'91_KPIS'!$Q462)&amp;"")</f>
        <v/>
      </c>
      <c r="H462" s="56" t="str">
        <f>IF($B462="","",INDEX(tblStock[StockActual],'91_KPIS'!$Q462))</f>
        <v/>
      </c>
      <c r="I462" s="55" t="str">
        <f>IF($B462="","",INDEX(tblStock[StockMin],'91_KPIS'!$Q462))</f>
        <v/>
      </c>
      <c r="J462" s="55" t="str">
        <f>IF($B462="","",INDEX(tblStock[StockMax],'91_KPIS'!$Q462))</f>
        <v/>
      </c>
      <c r="K462" s="53" t="str">
        <f>IF($B462="","",INDEX(tblStock[Unidad],'91_KPIS'!$Q462))</f>
        <v/>
      </c>
      <c r="L462" s="55" t="str">
        <f t="shared" si="14"/>
        <v/>
      </c>
      <c r="M462" s="55" t="str">
        <f t="shared" si="15"/>
        <v/>
      </c>
      <c r="N462" s="54" t="str">
        <f>IF($B462="","",IFERROR(INDEX(tblEstados[Acción],MATCH($C462,tblEstados[Estado],0)),""))</f>
        <v/>
      </c>
      <c r="O462" s="60" t="str">
        <f>IF($B462="","",INDEX(tblStock[UltimoMov],'91_KPIS'!$Q462))</f>
        <v/>
      </c>
    </row>
    <row r="463" spans="2:15" x14ac:dyDescent="0.25">
      <c r="B463" s="62" t="str">
        <f>IF('91_KPIS'!$Q463="","",'91_KPIS'!$O463)</f>
        <v/>
      </c>
      <c r="C463" s="58" t="str">
        <f>IF($B463="","",INDEX(tblStock[Estado],'91_KPIS'!$Q463))</f>
        <v/>
      </c>
      <c r="D463" s="53" t="str">
        <f>IF($B463="","",INDEX(tblStock[SKU],'91_KPIS'!$Q463))</f>
        <v/>
      </c>
      <c r="E463" s="54" t="str">
        <f>IF($B463="","",INDEX(tblStock[Producto],'91_KPIS'!$Q463))</f>
        <v/>
      </c>
      <c r="F463" s="54" t="str">
        <f>IF($B463="","",INDEX(tblStock[Categoría],'91_KPIS'!$Q463))</f>
        <v/>
      </c>
      <c r="G463" s="54" t="str">
        <f>IF($B463="","",INDEX(tblStock[Proveedor],'91_KPIS'!$Q463)&amp;"")</f>
        <v/>
      </c>
      <c r="H463" s="56" t="str">
        <f>IF($B463="","",INDEX(tblStock[StockActual],'91_KPIS'!$Q463))</f>
        <v/>
      </c>
      <c r="I463" s="55" t="str">
        <f>IF($B463="","",INDEX(tblStock[StockMin],'91_KPIS'!$Q463))</f>
        <v/>
      </c>
      <c r="J463" s="55" t="str">
        <f>IF($B463="","",INDEX(tblStock[StockMax],'91_KPIS'!$Q463))</f>
        <v/>
      </c>
      <c r="K463" s="53" t="str">
        <f>IF($B463="","",INDEX(tblStock[Unidad],'91_KPIS'!$Q463))</f>
        <v/>
      </c>
      <c r="L463" s="55" t="str">
        <f t="shared" si="14"/>
        <v/>
      </c>
      <c r="M463" s="55" t="str">
        <f t="shared" si="15"/>
        <v/>
      </c>
      <c r="N463" s="54" t="str">
        <f>IF($B463="","",IFERROR(INDEX(tblEstados[Acción],MATCH($C463,tblEstados[Estado],0)),""))</f>
        <v/>
      </c>
      <c r="O463" s="60" t="str">
        <f>IF($B463="","",INDEX(tblStock[UltimoMov],'91_KPIS'!$Q463))</f>
        <v/>
      </c>
    </row>
    <row r="464" spans="2:15" x14ac:dyDescent="0.25">
      <c r="B464" s="62" t="str">
        <f>IF('91_KPIS'!$Q464="","",'91_KPIS'!$O464)</f>
        <v/>
      </c>
      <c r="C464" s="58" t="str">
        <f>IF($B464="","",INDEX(tblStock[Estado],'91_KPIS'!$Q464))</f>
        <v/>
      </c>
      <c r="D464" s="53" t="str">
        <f>IF($B464="","",INDEX(tblStock[SKU],'91_KPIS'!$Q464))</f>
        <v/>
      </c>
      <c r="E464" s="54" t="str">
        <f>IF($B464="","",INDEX(tblStock[Producto],'91_KPIS'!$Q464))</f>
        <v/>
      </c>
      <c r="F464" s="54" t="str">
        <f>IF($B464="","",INDEX(tblStock[Categoría],'91_KPIS'!$Q464))</f>
        <v/>
      </c>
      <c r="G464" s="54" t="str">
        <f>IF($B464="","",INDEX(tblStock[Proveedor],'91_KPIS'!$Q464)&amp;"")</f>
        <v/>
      </c>
      <c r="H464" s="56" t="str">
        <f>IF($B464="","",INDEX(tblStock[StockActual],'91_KPIS'!$Q464))</f>
        <v/>
      </c>
      <c r="I464" s="55" t="str">
        <f>IF($B464="","",INDEX(tblStock[StockMin],'91_KPIS'!$Q464))</f>
        <v/>
      </c>
      <c r="J464" s="55" t="str">
        <f>IF($B464="","",INDEX(tblStock[StockMax],'91_KPIS'!$Q464))</f>
        <v/>
      </c>
      <c r="K464" s="53" t="str">
        <f>IF($B464="","",INDEX(tblStock[Unidad],'91_KPIS'!$Q464))</f>
        <v/>
      </c>
      <c r="L464" s="55" t="str">
        <f t="shared" si="14"/>
        <v/>
      </c>
      <c r="M464" s="55" t="str">
        <f t="shared" si="15"/>
        <v/>
      </c>
      <c r="N464" s="54" t="str">
        <f>IF($B464="","",IFERROR(INDEX(tblEstados[Acción],MATCH($C464,tblEstados[Estado],0)),""))</f>
        <v/>
      </c>
      <c r="O464" s="60" t="str">
        <f>IF($B464="","",INDEX(tblStock[UltimoMov],'91_KPIS'!$Q464))</f>
        <v/>
      </c>
    </row>
    <row r="465" spans="2:15" x14ac:dyDescent="0.25">
      <c r="B465" s="62" t="str">
        <f>IF('91_KPIS'!$Q465="","",'91_KPIS'!$O465)</f>
        <v/>
      </c>
      <c r="C465" s="58" t="str">
        <f>IF($B465="","",INDEX(tblStock[Estado],'91_KPIS'!$Q465))</f>
        <v/>
      </c>
      <c r="D465" s="53" t="str">
        <f>IF($B465="","",INDEX(tblStock[SKU],'91_KPIS'!$Q465))</f>
        <v/>
      </c>
      <c r="E465" s="54" t="str">
        <f>IF($B465="","",INDEX(tblStock[Producto],'91_KPIS'!$Q465))</f>
        <v/>
      </c>
      <c r="F465" s="54" t="str">
        <f>IF($B465="","",INDEX(tblStock[Categoría],'91_KPIS'!$Q465))</f>
        <v/>
      </c>
      <c r="G465" s="54" t="str">
        <f>IF($B465="","",INDEX(tblStock[Proveedor],'91_KPIS'!$Q465)&amp;"")</f>
        <v/>
      </c>
      <c r="H465" s="56" t="str">
        <f>IF($B465="","",INDEX(tblStock[StockActual],'91_KPIS'!$Q465))</f>
        <v/>
      </c>
      <c r="I465" s="55" t="str">
        <f>IF($B465="","",INDEX(tblStock[StockMin],'91_KPIS'!$Q465))</f>
        <v/>
      </c>
      <c r="J465" s="55" t="str">
        <f>IF($B465="","",INDEX(tblStock[StockMax],'91_KPIS'!$Q465))</f>
        <v/>
      </c>
      <c r="K465" s="53" t="str">
        <f>IF($B465="","",INDEX(tblStock[Unidad],'91_KPIS'!$Q465))</f>
        <v/>
      </c>
      <c r="L465" s="55" t="str">
        <f t="shared" si="14"/>
        <v/>
      </c>
      <c r="M465" s="55" t="str">
        <f t="shared" si="15"/>
        <v/>
      </c>
      <c r="N465" s="54" t="str">
        <f>IF($B465="","",IFERROR(INDEX(tblEstados[Acción],MATCH($C465,tblEstados[Estado],0)),""))</f>
        <v/>
      </c>
      <c r="O465" s="60" t="str">
        <f>IF($B465="","",INDEX(tblStock[UltimoMov],'91_KPIS'!$Q465))</f>
        <v/>
      </c>
    </row>
    <row r="466" spans="2:15" x14ac:dyDescent="0.25">
      <c r="B466" s="62" t="str">
        <f>IF('91_KPIS'!$Q466="","",'91_KPIS'!$O466)</f>
        <v/>
      </c>
      <c r="C466" s="58" t="str">
        <f>IF($B466="","",INDEX(tblStock[Estado],'91_KPIS'!$Q466))</f>
        <v/>
      </c>
      <c r="D466" s="53" t="str">
        <f>IF($B466="","",INDEX(tblStock[SKU],'91_KPIS'!$Q466))</f>
        <v/>
      </c>
      <c r="E466" s="54" t="str">
        <f>IF($B466="","",INDEX(tblStock[Producto],'91_KPIS'!$Q466))</f>
        <v/>
      </c>
      <c r="F466" s="54" t="str">
        <f>IF($B466="","",INDEX(tblStock[Categoría],'91_KPIS'!$Q466))</f>
        <v/>
      </c>
      <c r="G466" s="54" t="str">
        <f>IF($B466="","",INDEX(tblStock[Proveedor],'91_KPIS'!$Q466)&amp;"")</f>
        <v/>
      </c>
      <c r="H466" s="56" t="str">
        <f>IF($B466="","",INDEX(tblStock[StockActual],'91_KPIS'!$Q466))</f>
        <v/>
      </c>
      <c r="I466" s="55" t="str">
        <f>IF($B466="","",INDEX(tblStock[StockMin],'91_KPIS'!$Q466))</f>
        <v/>
      </c>
      <c r="J466" s="55" t="str">
        <f>IF($B466="","",INDEX(tblStock[StockMax],'91_KPIS'!$Q466))</f>
        <v/>
      </c>
      <c r="K466" s="53" t="str">
        <f>IF($B466="","",INDEX(tblStock[Unidad],'91_KPIS'!$Q466))</f>
        <v/>
      </c>
      <c r="L466" s="55" t="str">
        <f t="shared" si="14"/>
        <v/>
      </c>
      <c r="M466" s="55" t="str">
        <f t="shared" si="15"/>
        <v/>
      </c>
      <c r="N466" s="54" t="str">
        <f>IF($B466="","",IFERROR(INDEX(tblEstados[Acción],MATCH($C466,tblEstados[Estado],0)),""))</f>
        <v/>
      </c>
      <c r="O466" s="60" t="str">
        <f>IF($B466="","",INDEX(tblStock[UltimoMov],'91_KPIS'!$Q466))</f>
        <v/>
      </c>
    </row>
    <row r="467" spans="2:15" x14ac:dyDescent="0.25">
      <c r="B467" s="62" t="str">
        <f>IF('91_KPIS'!$Q467="","",'91_KPIS'!$O467)</f>
        <v/>
      </c>
      <c r="C467" s="58" t="str">
        <f>IF($B467="","",INDEX(tblStock[Estado],'91_KPIS'!$Q467))</f>
        <v/>
      </c>
      <c r="D467" s="53" t="str">
        <f>IF($B467="","",INDEX(tblStock[SKU],'91_KPIS'!$Q467))</f>
        <v/>
      </c>
      <c r="E467" s="54" t="str">
        <f>IF($B467="","",INDEX(tblStock[Producto],'91_KPIS'!$Q467))</f>
        <v/>
      </c>
      <c r="F467" s="54" t="str">
        <f>IF($B467="","",INDEX(tblStock[Categoría],'91_KPIS'!$Q467))</f>
        <v/>
      </c>
      <c r="G467" s="54" t="str">
        <f>IF($B467="","",INDEX(tblStock[Proveedor],'91_KPIS'!$Q467)&amp;"")</f>
        <v/>
      </c>
      <c r="H467" s="56" t="str">
        <f>IF($B467="","",INDEX(tblStock[StockActual],'91_KPIS'!$Q467))</f>
        <v/>
      </c>
      <c r="I467" s="55" t="str">
        <f>IF($B467="","",INDEX(tblStock[StockMin],'91_KPIS'!$Q467))</f>
        <v/>
      </c>
      <c r="J467" s="55" t="str">
        <f>IF($B467="","",INDEX(tblStock[StockMax],'91_KPIS'!$Q467))</f>
        <v/>
      </c>
      <c r="K467" s="53" t="str">
        <f>IF($B467="","",INDEX(tblStock[Unidad],'91_KPIS'!$Q467))</f>
        <v/>
      </c>
      <c r="L467" s="55" t="str">
        <f t="shared" si="14"/>
        <v/>
      </c>
      <c r="M467" s="55" t="str">
        <f t="shared" si="15"/>
        <v/>
      </c>
      <c r="N467" s="54" t="str">
        <f>IF($B467="","",IFERROR(INDEX(tblEstados[Acción],MATCH($C467,tblEstados[Estado],0)),""))</f>
        <v/>
      </c>
      <c r="O467" s="60" t="str">
        <f>IF($B467="","",INDEX(tblStock[UltimoMov],'91_KPIS'!$Q467))</f>
        <v/>
      </c>
    </row>
    <row r="468" spans="2:15" x14ac:dyDescent="0.25">
      <c r="B468" s="62" t="str">
        <f>IF('91_KPIS'!$Q468="","",'91_KPIS'!$O468)</f>
        <v/>
      </c>
      <c r="C468" s="58" t="str">
        <f>IF($B468="","",INDEX(tblStock[Estado],'91_KPIS'!$Q468))</f>
        <v/>
      </c>
      <c r="D468" s="53" t="str">
        <f>IF($B468="","",INDEX(tblStock[SKU],'91_KPIS'!$Q468))</f>
        <v/>
      </c>
      <c r="E468" s="54" t="str">
        <f>IF($B468="","",INDEX(tblStock[Producto],'91_KPIS'!$Q468))</f>
        <v/>
      </c>
      <c r="F468" s="54" t="str">
        <f>IF($B468="","",INDEX(tblStock[Categoría],'91_KPIS'!$Q468))</f>
        <v/>
      </c>
      <c r="G468" s="54" t="str">
        <f>IF($B468="","",INDEX(tblStock[Proveedor],'91_KPIS'!$Q468)&amp;"")</f>
        <v/>
      </c>
      <c r="H468" s="56" t="str">
        <f>IF($B468="","",INDEX(tblStock[StockActual],'91_KPIS'!$Q468))</f>
        <v/>
      </c>
      <c r="I468" s="55" t="str">
        <f>IF($B468="","",INDEX(tblStock[StockMin],'91_KPIS'!$Q468))</f>
        <v/>
      </c>
      <c r="J468" s="55" t="str">
        <f>IF($B468="","",INDEX(tblStock[StockMax],'91_KPIS'!$Q468))</f>
        <v/>
      </c>
      <c r="K468" s="53" t="str">
        <f>IF($B468="","",INDEX(tblStock[Unidad],'91_KPIS'!$Q468))</f>
        <v/>
      </c>
      <c r="L468" s="55" t="str">
        <f t="shared" si="14"/>
        <v/>
      </c>
      <c r="M468" s="55" t="str">
        <f t="shared" si="15"/>
        <v/>
      </c>
      <c r="N468" s="54" t="str">
        <f>IF($B468="","",IFERROR(INDEX(tblEstados[Acción],MATCH($C468,tblEstados[Estado],0)),""))</f>
        <v/>
      </c>
      <c r="O468" s="60" t="str">
        <f>IF($B468="","",INDEX(tblStock[UltimoMov],'91_KPIS'!$Q468))</f>
        <v/>
      </c>
    </row>
    <row r="469" spans="2:15" x14ac:dyDescent="0.25">
      <c r="B469" s="62" t="str">
        <f>IF('91_KPIS'!$Q469="","",'91_KPIS'!$O469)</f>
        <v/>
      </c>
      <c r="C469" s="58" t="str">
        <f>IF($B469="","",INDEX(tblStock[Estado],'91_KPIS'!$Q469))</f>
        <v/>
      </c>
      <c r="D469" s="53" t="str">
        <f>IF($B469="","",INDEX(tblStock[SKU],'91_KPIS'!$Q469))</f>
        <v/>
      </c>
      <c r="E469" s="54" t="str">
        <f>IF($B469="","",INDEX(tblStock[Producto],'91_KPIS'!$Q469))</f>
        <v/>
      </c>
      <c r="F469" s="54" t="str">
        <f>IF($B469="","",INDEX(tblStock[Categoría],'91_KPIS'!$Q469))</f>
        <v/>
      </c>
      <c r="G469" s="54" t="str">
        <f>IF($B469="","",INDEX(tblStock[Proveedor],'91_KPIS'!$Q469)&amp;"")</f>
        <v/>
      </c>
      <c r="H469" s="56" t="str">
        <f>IF($B469="","",INDEX(tblStock[StockActual],'91_KPIS'!$Q469))</f>
        <v/>
      </c>
      <c r="I469" s="55" t="str">
        <f>IF($B469="","",INDEX(tblStock[StockMin],'91_KPIS'!$Q469))</f>
        <v/>
      </c>
      <c r="J469" s="55" t="str">
        <f>IF($B469="","",INDEX(tblStock[StockMax],'91_KPIS'!$Q469))</f>
        <v/>
      </c>
      <c r="K469" s="53" t="str">
        <f>IF($B469="","",INDEX(tblStock[Unidad],'91_KPIS'!$Q469))</f>
        <v/>
      </c>
      <c r="L469" s="55" t="str">
        <f t="shared" si="14"/>
        <v/>
      </c>
      <c r="M469" s="55" t="str">
        <f t="shared" si="15"/>
        <v/>
      </c>
      <c r="N469" s="54" t="str">
        <f>IF($B469="","",IFERROR(INDEX(tblEstados[Acción],MATCH($C469,tblEstados[Estado],0)),""))</f>
        <v/>
      </c>
      <c r="O469" s="60" t="str">
        <f>IF($B469="","",INDEX(tblStock[UltimoMov],'91_KPIS'!$Q469))</f>
        <v/>
      </c>
    </row>
    <row r="470" spans="2:15" x14ac:dyDescent="0.25">
      <c r="B470" s="62" t="str">
        <f>IF('91_KPIS'!$Q470="","",'91_KPIS'!$O470)</f>
        <v/>
      </c>
      <c r="C470" s="58" t="str">
        <f>IF($B470="","",INDEX(tblStock[Estado],'91_KPIS'!$Q470))</f>
        <v/>
      </c>
      <c r="D470" s="53" t="str">
        <f>IF($B470="","",INDEX(tblStock[SKU],'91_KPIS'!$Q470))</f>
        <v/>
      </c>
      <c r="E470" s="54" t="str">
        <f>IF($B470="","",INDEX(tblStock[Producto],'91_KPIS'!$Q470))</f>
        <v/>
      </c>
      <c r="F470" s="54" t="str">
        <f>IF($B470="","",INDEX(tblStock[Categoría],'91_KPIS'!$Q470))</f>
        <v/>
      </c>
      <c r="G470" s="54" t="str">
        <f>IF($B470="","",INDEX(tblStock[Proveedor],'91_KPIS'!$Q470)&amp;"")</f>
        <v/>
      </c>
      <c r="H470" s="56" t="str">
        <f>IF($B470="","",INDEX(tblStock[StockActual],'91_KPIS'!$Q470))</f>
        <v/>
      </c>
      <c r="I470" s="55" t="str">
        <f>IF($B470="","",INDEX(tblStock[StockMin],'91_KPIS'!$Q470))</f>
        <v/>
      </c>
      <c r="J470" s="55" t="str">
        <f>IF($B470="","",INDEX(tblStock[StockMax],'91_KPIS'!$Q470))</f>
        <v/>
      </c>
      <c r="K470" s="53" t="str">
        <f>IF($B470="","",INDEX(tblStock[Unidad],'91_KPIS'!$Q470))</f>
        <v/>
      </c>
      <c r="L470" s="55" t="str">
        <f t="shared" si="14"/>
        <v/>
      </c>
      <c r="M470" s="55" t="str">
        <f t="shared" si="15"/>
        <v/>
      </c>
      <c r="N470" s="54" t="str">
        <f>IF($B470="","",IFERROR(INDEX(tblEstados[Acción],MATCH($C470,tblEstados[Estado],0)),""))</f>
        <v/>
      </c>
      <c r="O470" s="60" t="str">
        <f>IF($B470="","",INDEX(tblStock[UltimoMov],'91_KPIS'!$Q470))</f>
        <v/>
      </c>
    </row>
    <row r="471" spans="2:15" x14ac:dyDescent="0.25">
      <c r="B471" s="62" t="str">
        <f>IF('91_KPIS'!$Q471="","",'91_KPIS'!$O471)</f>
        <v/>
      </c>
      <c r="C471" s="58" t="str">
        <f>IF($B471="","",INDEX(tblStock[Estado],'91_KPIS'!$Q471))</f>
        <v/>
      </c>
      <c r="D471" s="53" t="str">
        <f>IF($B471="","",INDEX(tblStock[SKU],'91_KPIS'!$Q471))</f>
        <v/>
      </c>
      <c r="E471" s="54" t="str">
        <f>IF($B471="","",INDEX(tblStock[Producto],'91_KPIS'!$Q471))</f>
        <v/>
      </c>
      <c r="F471" s="54" t="str">
        <f>IF($B471="","",INDEX(tblStock[Categoría],'91_KPIS'!$Q471))</f>
        <v/>
      </c>
      <c r="G471" s="54" t="str">
        <f>IF($B471="","",INDEX(tblStock[Proveedor],'91_KPIS'!$Q471)&amp;"")</f>
        <v/>
      </c>
      <c r="H471" s="56" t="str">
        <f>IF($B471="","",INDEX(tblStock[StockActual],'91_KPIS'!$Q471))</f>
        <v/>
      </c>
      <c r="I471" s="55" t="str">
        <f>IF($B471="","",INDEX(tblStock[StockMin],'91_KPIS'!$Q471))</f>
        <v/>
      </c>
      <c r="J471" s="55" t="str">
        <f>IF($B471="","",INDEX(tblStock[StockMax],'91_KPIS'!$Q471))</f>
        <v/>
      </c>
      <c r="K471" s="53" t="str">
        <f>IF($B471="","",INDEX(tblStock[Unidad],'91_KPIS'!$Q471))</f>
        <v/>
      </c>
      <c r="L471" s="55" t="str">
        <f t="shared" si="14"/>
        <v/>
      </c>
      <c r="M471" s="55" t="str">
        <f t="shared" si="15"/>
        <v/>
      </c>
      <c r="N471" s="54" t="str">
        <f>IF($B471="","",IFERROR(INDEX(tblEstados[Acción],MATCH($C471,tblEstados[Estado],0)),""))</f>
        <v/>
      </c>
      <c r="O471" s="60" t="str">
        <f>IF($B471="","",INDEX(tblStock[UltimoMov],'91_KPIS'!$Q471))</f>
        <v/>
      </c>
    </row>
    <row r="472" spans="2:15" x14ac:dyDescent="0.25">
      <c r="B472" s="62" t="str">
        <f>IF('91_KPIS'!$Q472="","",'91_KPIS'!$O472)</f>
        <v/>
      </c>
      <c r="C472" s="58" t="str">
        <f>IF($B472="","",INDEX(tblStock[Estado],'91_KPIS'!$Q472))</f>
        <v/>
      </c>
      <c r="D472" s="53" t="str">
        <f>IF($B472="","",INDEX(tblStock[SKU],'91_KPIS'!$Q472))</f>
        <v/>
      </c>
      <c r="E472" s="54" t="str">
        <f>IF($B472="","",INDEX(tblStock[Producto],'91_KPIS'!$Q472))</f>
        <v/>
      </c>
      <c r="F472" s="54" t="str">
        <f>IF($B472="","",INDEX(tblStock[Categoría],'91_KPIS'!$Q472))</f>
        <v/>
      </c>
      <c r="G472" s="54" t="str">
        <f>IF($B472="","",INDEX(tblStock[Proveedor],'91_KPIS'!$Q472)&amp;"")</f>
        <v/>
      </c>
      <c r="H472" s="56" t="str">
        <f>IF($B472="","",INDEX(tblStock[StockActual],'91_KPIS'!$Q472))</f>
        <v/>
      </c>
      <c r="I472" s="55" t="str">
        <f>IF($B472="","",INDEX(tblStock[StockMin],'91_KPIS'!$Q472))</f>
        <v/>
      </c>
      <c r="J472" s="55" t="str">
        <f>IF($B472="","",INDEX(tblStock[StockMax],'91_KPIS'!$Q472))</f>
        <v/>
      </c>
      <c r="K472" s="53" t="str">
        <f>IF($B472="","",INDEX(tblStock[Unidad],'91_KPIS'!$Q472))</f>
        <v/>
      </c>
      <c r="L472" s="55" t="str">
        <f t="shared" si="14"/>
        <v/>
      </c>
      <c r="M472" s="55" t="str">
        <f t="shared" si="15"/>
        <v/>
      </c>
      <c r="N472" s="54" t="str">
        <f>IF($B472="","",IFERROR(INDEX(tblEstados[Acción],MATCH($C472,tblEstados[Estado],0)),""))</f>
        <v/>
      </c>
      <c r="O472" s="60" t="str">
        <f>IF($B472="","",INDEX(tblStock[UltimoMov],'91_KPIS'!$Q472))</f>
        <v/>
      </c>
    </row>
    <row r="473" spans="2:15" x14ac:dyDescent="0.25">
      <c r="B473" s="62" t="str">
        <f>IF('91_KPIS'!$Q473="","",'91_KPIS'!$O473)</f>
        <v/>
      </c>
      <c r="C473" s="58" t="str">
        <f>IF($B473="","",INDEX(tblStock[Estado],'91_KPIS'!$Q473))</f>
        <v/>
      </c>
      <c r="D473" s="53" t="str">
        <f>IF($B473="","",INDEX(tblStock[SKU],'91_KPIS'!$Q473))</f>
        <v/>
      </c>
      <c r="E473" s="54" t="str">
        <f>IF($B473="","",INDEX(tblStock[Producto],'91_KPIS'!$Q473))</f>
        <v/>
      </c>
      <c r="F473" s="54" t="str">
        <f>IF($B473="","",INDEX(tblStock[Categoría],'91_KPIS'!$Q473))</f>
        <v/>
      </c>
      <c r="G473" s="54" t="str">
        <f>IF($B473="","",INDEX(tblStock[Proveedor],'91_KPIS'!$Q473)&amp;"")</f>
        <v/>
      </c>
      <c r="H473" s="56" t="str">
        <f>IF($B473="","",INDEX(tblStock[StockActual],'91_KPIS'!$Q473))</f>
        <v/>
      </c>
      <c r="I473" s="55" t="str">
        <f>IF($B473="","",INDEX(tblStock[StockMin],'91_KPIS'!$Q473))</f>
        <v/>
      </c>
      <c r="J473" s="55" t="str">
        <f>IF($B473="","",INDEX(tblStock[StockMax],'91_KPIS'!$Q473))</f>
        <v/>
      </c>
      <c r="K473" s="53" t="str">
        <f>IF($B473="","",INDEX(tblStock[Unidad],'91_KPIS'!$Q473))</f>
        <v/>
      </c>
      <c r="L473" s="55" t="str">
        <f t="shared" si="14"/>
        <v/>
      </c>
      <c r="M473" s="55" t="str">
        <f t="shared" si="15"/>
        <v/>
      </c>
      <c r="N473" s="54" t="str">
        <f>IF($B473="","",IFERROR(INDEX(tblEstados[Acción],MATCH($C473,tblEstados[Estado],0)),""))</f>
        <v/>
      </c>
      <c r="O473" s="60" t="str">
        <f>IF($B473="","",INDEX(tblStock[UltimoMov],'91_KPIS'!$Q473))</f>
        <v/>
      </c>
    </row>
    <row r="474" spans="2:15" x14ac:dyDescent="0.25">
      <c r="B474" s="62" t="str">
        <f>IF('91_KPIS'!$Q474="","",'91_KPIS'!$O474)</f>
        <v/>
      </c>
      <c r="C474" s="58" t="str">
        <f>IF($B474="","",INDEX(tblStock[Estado],'91_KPIS'!$Q474))</f>
        <v/>
      </c>
      <c r="D474" s="53" t="str">
        <f>IF($B474="","",INDEX(tblStock[SKU],'91_KPIS'!$Q474))</f>
        <v/>
      </c>
      <c r="E474" s="54" t="str">
        <f>IF($B474="","",INDEX(tblStock[Producto],'91_KPIS'!$Q474))</f>
        <v/>
      </c>
      <c r="F474" s="54" t="str">
        <f>IF($B474="","",INDEX(tblStock[Categoría],'91_KPIS'!$Q474))</f>
        <v/>
      </c>
      <c r="G474" s="54" t="str">
        <f>IF($B474="","",INDEX(tblStock[Proveedor],'91_KPIS'!$Q474)&amp;"")</f>
        <v/>
      </c>
      <c r="H474" s="56" t="str">
        <f>IF($B474="","",INDEX(tblStock[StockActual],'91_KPIS'!$Q474))</f>
        <v/>
      </c>
      <c r="I474" s="55" t="str">
        <f>IF($B474="","",INDEX(tblStock[StockMin],'91_KPIS'!$Q474))</f>
        <v/>
      </c>
      <c r="J474" s="55" t="str">
        <f>IF($B474="","",INDEX(tblStock[StockMax],'91_KPIS'!$Q474))</f>
        <v/>
      </c>
      <c r="K474" s="53" t="str">
        <f>IF($B474="","",INDEX(tblStock[Unidad],'91_KPIS'!$Q474))</f>
        <v/>
      </c>
      <c r="L474" s="55" t="str">
        <f t="shared" si="14"/>
        <v/>
      </c>
      <c r="M474" s="55" t="str">
        <f t="shared" si="15"/>
        <v/>
      </c>
      <c r="N474" s="54" t="str">
        <f>IF($B474="","",IFERROR(INDEX(tblEstados[Acción],MATCH($C474,tblEstados[Estado],0)),""))</f>
        <v/>
      </c>
      <c r="O474" s="60" t="str">
        <f>IF($B474="","",INDEX(tblStock[UltimoMov],'91_KPIS'!$Q474))</f>
        <v/>
      </c>
    </row>
    <row r="475" spans="2:15" x14ac:dyDescent="0.25">
      <c r="B475" s="62" t="str">
        <f>IF('91_KPIS'!$Q475="","",'91_KPIS'!$O475)</f>
        <v/>
      </c>
      <c r="C475" s="58" t="str">
        <f>IF($B475="","",INDEX(tblStock[Estado],'91_KPIS'!$Q475))</f>
        <v/>
      </c>
      <c r="D475" s="53" t="str">
        <f>IF($B475="","",INDEX(tblStock[SKU],'91_KPIS'!$Q475))</f>
        <v/>
      </c>
      <c r="E475" s="54" t="str">
        <f>IF($B475="","",INDEX(tblStock[Producto],'91_KPIS'!$Q475))</f>
        <v/>
      </c>
      <c r="F475" s="54" t="str">
        <f>IF($B475="","",INDEX(tblStock[Categoría],'91_KPIS'!$Q475))</f>
        <v/>
      </c>
      <c r="G475" s="54" t="str">
        <f>IF($B475="","",INDEX(tblStock[Proveedor],'91_KPIS'!$Q475)&amp;"")</f>
        <v/>
      </c>
      <c r="H475" s="56" t="str">
        <f>IF($B475="","",INDEX(tblStock[StockActual],'91_KPIS'!$Q475))</f>
        <v/>
      </c>
      <c r="I475" s="55" t="str">
        <f>IF($B475="","",INDEX(tblStock[StockMin],'91_KPIS'!$Q475))</f>
        <v/>
      </c>
      <c r="J475" s="55" t="str">
        <f>IF($B475="","",INDEX(tblStock[StockMax],'91_KPIS'!$Q475))</f>
        <v/>
      </c>
      <c r="K475" s="53" t="str">
        <f>IF($B475="","",INDEX(tblStock[Unidad],'91_KPIS'!$Q475))</f>
        <v/>
      </c>
      <c r="L475" s="55" t="str">
        <f t="shared" si="14"/>
        <v/>
      </c>
      <c r="M475" s="55" t="str">
        <f t="shared" si="15"/>
        <v/>
      </c>
      <c r="N475" s="54" t="str">
        <f>IF($B475="","",IFERROR(INDEX(tblEstados[Acción],MATCH($C475,tblEstados[Estado],0)),""))</f>
        <v/>
      </c>
      <c r="O475" s="60" t="str">
        <f>IF($B475="","",INDEX(tblStock[UltimoMov],'91_KPIS'!$Q475))</f>
        <v/>
      </c>
    </row>
    <row r="476" spans="2:15" x14ac:dyDescent="0.25">
      <c r="B476" s="62" t="str">
        <f>IF('91_KPIS'!$Q476="","",'91_KPIS'!$O476)</f>
        <v/>
      </c>
      <c r="C476" s="58" t="str">
        <f>IF($B476="","",INDEX(tblStock[Estado],'91_KPIS'!$Q476))</f>
        <v/>
      </c>
      <c r="D476" s="53" t="str">
        <f>IF($B476="","",INDEX(tblStock[SKU],'91_KPIS'!$Q476))</f>
        <v/>
      </c>
      <c r="E476" s="54" t="str">
        <f>IF($B476="","",INDEX(tblStock[Producto],'91_KPIS'!$Q476))</f>
        <v/>
      </c>
      <c r="F476" s="54" t="str">
        <f>IF($B476="","",INDEX(tblStock[Categoría],'91_KPIS'!$Q476))</f>
        <v/>
      </c>
      <c r="G476" s="54" t="str">
        <f>IF($B476="","",INDEX(tblStock[Proveedor],'91_KPIS'!$Q476)&amp;"")</f>
        <v/>
      </c>
      <c r="H476" s="56" t="str">
        <f>IF($B476="","",INDEX(tblStock[StockActual],'91_KPIS'!$Q476))</f>
        <v/>
      </c>
      <c r="I476" s="55" t="str">
        <f>IF($B476="","",INDEX(tblStock[StockMin],'91_KPIS'!$Q476))</f>
        <v/>
      </c>
      <c r="J476" s="55" t="str">
        <f>IF($B476="","",INDEX(tblStock[StockMax],'91_KPIS'!$Q476))</f>
        <v/>
      </c>
      <c r="K476" s="53" t="str">
        <f>IF($B476="","",INDEX(tblStock[Unidad],'91_KPIS'!$Q476))</f>
        <v/>
      </c>
      <c r="L476" s="55" t="str">
        <f t="shared" si="14"/>
        <v/>
      </c>
      <c r="M476" s="55" t="str">
        <f t="shared" si="15"/>
        <v/>
      </c>
      <c r="N476" s="54" t="str">
        <f>IF($B476="","",IFERROR(INDEX(tblEstados[Acción],MATCH($C476,tblEstados[Estado],0)),""))</f>
        <v/>
      </c>
      <c r="O476" s="60" t="str">
        <f>IF($B476="","",INDEX(tblStock[UltimoMov],'91_KPIS'!$Q476))</f>
        <v/>
      </c>
    </row>
    <row r="477" spans="2:15" x14ac:dyDescent="0.25">
      <c r="B477" s="62" t="str">
        <f>IF('91_KPIS'!$Q477="","",'91_KPIS'!$O477)</f>
        <v/>
      </c>
      <c r="C477" s="58" t="str">
        <f>IF($B477="","",INDEX(tblStock[Estado],'91_KPIS'!$Q477))</f>
        <v/>
      </c>
      <c r="D477" s="53" t="str">
        <f>IF($B477="","",INDEX(tblStock[SKU],'91_KPIS'!$Q477))</f>
        <v/>
      </c>
      <c r="E477" s="54" t="str">
        <f>IF($B477="","",INDEX(tblStock[Producto],'91_KPIS'!$Q477))</f>
        <v/>
      </c>
      <c r="F477" s="54" t="str">
        <f>IF($B477="","",INDEX(tblStock[Categoría],'91_KPIS'!$Q477))</f>
        <v/>
      </c>
      <c r="G477" s="54" t="str">
        <f>IF($B477="","",INDEX(tblStock[Proveedor],'91_KPIS'!$Q477)&amp;"")</f>
        <v/>
      </c>
      <c r="H477" s="56" t="str">
        <f>IF($B477="","",INDEX(tblStock[StockActual],'91_KPIS'!$Q477))</f>
        <v/>
      </c>
      <c r="I477" s="55" t="str">
        <f>IF($B477="","",INDEX(tblStock[StockMin],'91_KPIS'!$Q477))</f>
        <v/>
      </c>
      <c r="J477" s="55" t="str">
        <f>IF($B477="","",INDEX(tblStock[StockMax],'91_KPIS'!$Q477))</f>
        <v/>
      </c>
      <c r="K477" s="53" t="str">
        <f>IF($B477="","",INDEX(tblStock[Unidad],'91_KPIS'!$Q477))</f>
        <v/>
      </c>
      <c r="L477" s="55" t="str">
        <f t="shared" si="14"/>
        <v/>
      </c>
      <c r="M477" s="55" t="str">
        <f t="shared" si="15"/>
        <v/>
      </c>
      <c r="N477" s="54" t="str">
        <f>IF($B477="","",IFERROR(INDEX(tblEstados[Acción],MATCH($C477,tblEstados[Estado],0)),""))</f>
        <v/>
      </c>
      <c r="O477" s="60" t="str">
        <f>IF($B477="","",INDEX(tblStock[UltimoMov],'91_KPIS'!$Q477))</f>
        <v/>
      </c>
    </row>
    <row r="478" spans="2:15" x14ac:dyDescent="0.25">
      <c r="B478" s="62" t="str">
        <f>IF('91_KPIS'!$Q478="","",'91_KPIS'!$O478)</f>
        <v/>
      </c>
      <c r="C478" s="58" t="str">
        <f>IF($B478="","",INDEX(tblStock[Estado],'91_KPIS'!$Q478))</f>
        <v/>
      </c>
      <c r="D478" s="53" t="str">
        <f>IF($B478="","",INDEX(tblStock[SKU],'91_KPIS'!$Q478))</f>
        <v/>
      </c>
      <c r="E478" s="54" t="str">
        <f>IF($B478="","",INDEX(tblStock[Producto],'91_KPIS'!$Q478))</f>
        <v/>
      </c>
      <c r="F478" s="54" t="str">
        <f>IF($B478="","",INDEX(tblStock[Categoría],'91_KPIS'!$Q478))</f>
        <v/>
      </c>
      <c r="G478" s="54" t="str">
        <f>IF($B478="","",INDEX(tblStock[Proveedor],'91_KPIS'!$Q478)&amp;"")</f>
        <v/>
      </c>
      <c r="H478" s="56" t="str">
        <f>IF($B478="","",INDEX(tblStock[StockActual],'91_KPIS'!$Q478))</f>
        <v/>
      </c>
      <c r="I478" s="55" t="str">
        <f>IF($B478="","",INDEX(tblStock[StockMin],'91_KPIS'!$Q478))</f>
        <v/>
      </c>
      <c r="J478" s="55" t="str">
        <f>IF($B478="","",INDEX(tblStock[StockMax],'91_KPIS'!$Q478))</f>
        <v/>
      </c>
      <c r="K478" s="53" t="str">
        <f>IF($B478="","",INDEX(tblStock[Unidad],'91_KPIS'!$Q478))</f>
        <v/>
      </c>
      <c r="L478" s="55" t="str">
        <f t="shared" si="14"/>
        <v/>
      </c>
      <c r="M478" s="55" t="str">
        <f t="shared" si="15"/>
        <v/>
      </c>
      <c r="N478" s="54" t="str">
        <f>IF($B478="","",IFERROR(INDEX(tblEstados[Acción],MATCH($C478,tblEstados[Estado],0)),""))</f>
        <v/>
      </c>
      <c r="O478" s="60" t="str">
        <f>IF($B478="","",INDEX(tblStock[UltimoMov],'91_KPIS'!$Q478))</f>
        <v/>
      </c>
    </row>
    <row r="479" spans="2:15" x14ac:dyDescent="0.25">
      <c r="B479" s="62" t="str">
        <f>IF('91_KPIS'!$Q479="","",'91_KPIS'!$O479)</f>
        <v/>
      </c>
      <c r="C479" s="58" t="str">
        <f>IF($B479="","",INDEX(tblStock[Estado],'91_KPIS'!$Q479))</f>
        <v/>
      </c>
      <c r="D479" s="53" t="str">
        <f>IF($B479="","",INDEX(tblStock[SKU],'91_KPIS'!$Q479))</f>
        <v/>
      </c>
      <c r="E479" s="54" t="str">
        <f>IF($B479="","",INDEX(tblStock[Producto],'91_KPIS'!$Q479))</f>
        <v/>
      </c>
      <c r="F479" s="54" t="str">
        <f>IF($B479="","",INDEX(tblStock[Categoría],'91_KPIS'!$Q479))</f>
        <v/>
      </c>
      <c r="G479" s="54" t="str">
        <f>IF($B479="","",INDEX(tblStock[Proveedor],'91_KPIS'!$Q479)&amp;"")</f>
        <v/>
      </c>
      <c r="H479" s="56" t="str">
        <f>IF($B479="","",INDEX(tblStock[StockActual],'91_KPIS'!$Q479))</f>
        <v/>
      </c>
      <c r="I479" s="55" t="str">
        <f>IF($B479="","",INDEX(tblStock[StockMin],'91_KPIS'!$Q479))</f>
        <v/>
      </c>
      <c r="J479" s="55" t="str">
        <f>IF($B479="","",INDEX(tblStock[StockMax],'91_KPIS'!$Q479))</f>
        <v/>
      </c>
      <c r="K479" s="53" t="str">
        <f>IF($B479="","",INDEX(tblStock[Unidad],'91_KPIS'!$Q479))</f>
        <v/>
      </c>
      <c r="L479" s="55" t="str">
        <f t="shared" si="14"/>
        <v/>
      </c>
      <c r="M479" s="55" t="str">
        <f t="shared" si="15"/>
        <v/>
      </c>
      <c r="N479" s="54" t="str">
        <f>IF($B479="","",IFERROR(INDEX(tblEstados[Acción],MATCH($C479,tblEstados[Estado],0)),""))</f>
        <v/>
      </c>
      <c r="O479" s="60" t="str">
        <f>IF($B479="","",INDEX(tblStock[UltimoMov],'91_KPIS'!$Q479))</f>
        <v/>
      </c>
    </row>
    <row r="480" spans="2:15" x14ac:dyDescent="0.25">
      <c r="B480" s="62" t="str">
        <f>IF('91_KPIS'!$Q480="","",'91_KPIS'!$O480)</f>
        <v/>
      </c>
      <c r="C480" s="58" t="str">
        <f>IF($B480="","",INDEX(tblStock[Estado],'91_KPIS'!$Q480))</f>
        <v/>
      </c>
      <c r="D480" s="53" t="str">
        <f>IF($B480="","",INDEX(tblStock[SKU],'91_KPIS'!$Q480))</f>
        <v/>
      </c>
      <c r="E480" s="54" t="str">
        <f>IF($B480="","",INDEX(tblStock[Producto],'91_KPIS'!$Q480))</f>
        <v/>
      </c>
      <c r="F480" s="54" t="str">
        <f>IF($B480="","",INDEX(tblStock[Categoría],'91_KPIS'!$Q480))</f>
        <v/>
      </c>
      <c r="G480" s="54" t="str">
        <f>IF($B480="","",INDEX(tblStock[Proveedor],'91_KPIS'!$Q480)&amp;"")</f>
        <v/>
      </c>
      <c r="H480" s="56" t="str">
        <f>IF($B480="","",INDEX(tblStock[StockActual],'91_KPIS'!$Q480))</f>
        <v/>
      </c>
      <c r="I480" s="55" t="str">
        <f>IF($B480="","",INDEX(tblStock[StockMin],'91_KPIS'!$Q480))</f>
        <v/>
      </c>
      <c r="J480" s="55" t="str">
        <f>IF($B480="","",INDEX(tblStock[StockMax],'91_KPIS'!$Q480))</f>
        <v/>
      </c>
      <c r="K480" s="53" t="str">
        <f>IF($B480="","",INDEX(tblStock[Unidad],'91_KPIS'!$Q480))</f>
        <v/>
      </c>
      <c r="L480" s="55" t="str">
        <f t="shared" si="14"/>
        <v/>
      </c>
      <c r="M480" s="55" t="str">
        <f t="shared" si="15"/>
        <v/>
      </c>
      <c r="N480" s="54" t="str">
        <f>IF($B480="","",IFERROR(INDEX(tblEstados[Acción],MATCH($C480,tblEstados[Estado],0)),""))</f>
        <v/>
      </c>
      <c r="O480" s="60" t="str">
        <f>IF($B480="","",INDEX(tblStock[UltimoMov],'91_KPIS'!$Q480))</f>
        <v/>
      </c>
    </row>
    <row r="481" spans="2:15" x14ac:dyDescent="0.25">
      <c r="B481" s="62" t="str">
        <f>IF('91_KPIS'!$Q481="","",'91_KPIS'!$O481)</f>
        <v/>
      </c>
      <c r="C481" s="58" t="str">
        <f>IF($B481="","",INDEX(tblStock[Estado],'91_KPIS'!$Q481))</f>
        <v/>
      </c>
      <c r="D481" s="53" t="str">
        <f>IF($B481="","",INDEX(tblStock[SKU],'91_KPIS'!$Q481))</f>
        <v/>
      </c>
      <c r="E481" s="54" t="str">
        <f>IF($B481="","",INDEX(tblStock[Producto],'91_KPIS'!$Q481))</f>
        <v/>
      </c>
      <c r="F481" s="54" t="str">
        <f>IF($B481="","",INDEX(tblStock[Categoría],'91_KPIS'!$Q481))</f>
        <v/>
      </c>
      <c r="G481" s="54" t="str">
        <f>IF($B481="","",INDEX(tblStock[Proveedor],'91_KPIS'!$Q481)&amp;"")</f>
        <v/>
      </c>
      <c r="H481" s="56" t="str">
        <f>IF($B481="","",INDEX(tblStock[StockActual],'91_KPIS'!$Q481))</f>
        <v/>
      </c>
      <c r="I481" s="55" t="str">
        <f>IF($B481="","",INDEX(tblStock[StockMin],'91_KPIS'!$Q481))</f>
        <v/>
      </c>
      <c r="J481" s="55" t="str">
        <f>IF($B481="","",INDEX(tblStock[StockMax],'91_KPIS'!$Q481))</f>
        <v/>
      </c>
      <c r="K481" s="53" t="str">
        <f>IF($B481="","",INDEX(tblStock[Unidad],'91_KPIS'!$Q481))</f>
        <v/>
      </c>
      <c r="L481" s="55" t="str">
        <f t="shared" si="14"/>
        <v/>
      </c>
      <c r="M481" s="55" t="str">
        <f t="shared" si="15"/>
        <v/>
      </c>
      <c r="N481" s="54" t="str">
        <f>IF($B481="","",IFERROR(INDEX(tblEstados[Acción],MATCH($C481,tblEstados[Estado],0)),""))</f>
        <v/>
      </c>
      <c r="O481" s="60" t="str">
        <f>IF($B481="","",INDEX(tblStock[UltimoMov],'91_KPIS'!$Q481))</f>
        <v/>
      </c>
    </row>
    <row r="482" spans="2:15" x14ac:dyDescent="0.25">
      <c r="B482" s="62" t="str">
        <f>IF('91_KPIS'!$Q482="","",'91_KPIS'!$O482)</f>
        <v/>
      </c>
      <c r="C482" s="58" t="str">
        <f>IF($B482="","",INDEX(tblStock[Estado],'91_KPIS'!$Q482))</f>
        <v/>
      </c>
      <c r="D482" s="53" t="str">
        <f>IF($B482="","",INDEX(tblStock[SKU],'91_KPIS'!$Q482))</f>
        <v/>
      </c>
      <c r="E482" s="54" t="str">
        <f>IF($B482="","",INDEX(tblStock[Producto],'91_KPIS'!$Q482))</f>
        <v/>
      </c>
      <c r="F482" s="54" t="str">
        <f>IF($B482="","",INDEX(tblStock[Categoría],'91_KPIS'!$Q482))</f>
        <v/>
      </c>
      <c r="G482" s="54" t="str">
        <f>IF($B482="","",INDEX(tblStock[Proveedor],'91_KPIS'!$Q482)&amp;"")</f>
        <v/>
      </c>
      <c r="H482" s="56" t="str">
        <f>IF($B482="","",INDEX(tblStock[StockActual],'91_KPIS'!$Q482))</f>
        <v/>
      </c>
      <c r="I482" s="55" t="str">
        <f>IF($B482="","",INDEX(tblStock[StockMin],'91_KPIS'!$Q482))</f>
        <v/>
      </c>
      <c r="J482" s="55" t="str">
        <f>IF($B482="","",INDEX(tblStock[StockMax],'91_KPIS'!$Q482))</f>
        <v/>
      </c>
      <c r="K482" s="53" t="str">
        <f>IF($B482="","",INDEX(tblStock[Unidad],'91_KPIS'!$Q482))</f>
        <v/>
      </c>
      <c r="L482" s="55" t="str">
        <f t="shared" si="14"/>
        <v/>
      </c>
      <c r="M482" s="55" t="str">
        <f t="shared" si="15"/>
        <v/>
      </c>
      <c r="N482" s="54" t="str">
        <f>IF($B482="","",IFERROR(INDEX(tblEstados[Acción],MATCH($C482,tblEstados[Estado],0)),""))</f>
        <v/>
      </c>
      <c r="O482" s="60" t="str">
        <f>IF($B482="","",INDEX(tblStock[UltimoMov],'91_KPIS'!$Q482))</f>
        <v/>
      </c>
    </row>
    <row r="483" spans="2:15" x14ac:dyDescent="0.25">
      <c r="B483" s="62" t="str">
        <f>IF('91_KPIS'!$Q483="","",'91_KPIS'!$O483)</f>
        <v/>
      </c>
      <c r="C483" s="58" t="str">
        <f>IF($B483="","",INDEX(tblStock[Estado],'91_KPIS'!$Q483))</f>
        <v/>
      </c>
      <c r="D483" s="53" t="str">
        <f>IF($B483="","",INDEX(tblStock[SKU],'91_KPIS'!$Q483))</f>
        <v/>
      </c>
      <c r="E483" s="54" t="str">
        <f>IF($B483="","",INDEX(tblStock[Producto],'91_KPIS'!$Q483))</f>
        <v/>
      </c>
      <c r="F483" s="54" t="str">
        <f>IF($B483="","",INDEX(tblStock[Categoría],'91_KPIS'!$Q483))</f>
        <v/>
      </c>
      <c r="G483" s="54" t="str">
        <f>IF($B483="","",INDEX(tblStock[Proveedor],'91_KPIS'!$Q483)&amp;"")</f>
        <v/>
      </c>
      <c r="H483" s="56" t="str">
        <f>IF($B483="","",INDEX(tblStock[StockActual],'91_KPIS'!$Q483))</f>
        <v/>
      </c>
      <c r="I483" s="55" t="str">
        <f>IF($B483="","",INDEX(tblStock[StockMin],'91_KPIS'!$Q483))</f>
        <v/>
      </c>
      <c r="J483" s="55" t="str">
        <f>IF($B483="","",INDEX(tblStock[StockMax],'91_KPIS'!$Q483))</f>
        <v/>
      </c>
      <c r="K483" s="53" t="str">
        <f>IF($B483="","",INDEX(tblStock[Unidad],'91_KPIS'!$Q483))</f>
        <v/>
      </c>
      <c r="L483" s="55" t="str">
        <f t="shared" si="14"/>
        <v/>
      </c>
      <c r="M483" s="55" t="str">
        <f t="shared" si="15"/>
        <v/>
      </c>
      <c r="N483" s="54" t="str">
        <f>IF($B483="","",IFERROR(INDEX(tblEstados[Acción],MATCH($C483,tblEstados[Estado],0)),""))</f>
        <v/>
      </c>
      <c r="O483" s="60" t="str">
        <f>IF($B483="","",INDEX(tblStock[UltimoMov],'91_KPIS'!$Q483))</f>
        <v/>
      </c>
    </row>
    <row r="484" spans="2:15" x14ac:dyDescent="0.25">
      <c r="B484" s="62" t="str">
        <f>IF('91_KPIS'!$Q484="","",'91_KPIS'!$O484)</f>
        <v/>
      </c>
      <c r="C484" s="58" t="str">
        <f>IF($B484="","",INDEX(tblStock[Estado],'91_KPIS'!$Q484))</f>
        <v/>
      </c>
      <c r="D484" s="53" t="str">
        <f>IF($B484="","",INDEX(tblStock[SKU],'91_KPIS'!$Q484))</f>
        <v/>
      </c>
      <c r="E484" s="54" t="str">
        <f>IF($B484="","",INDEX(tblStock[Producto],'91_KPIS'!$Q484))</f>
        <v/>
      </c>
      <c r="F484" s="54" t="str">
        <f>IF($B484="","",INDEX(tblStock[Categoría],'91_KPIS'!$Q484))</f>
        <v/>
      </c>
      <c r="G484" s="54" t="str">
        <f>IF($B484="","",INDEX(tblStock[Proveedor],'91_KPIS'!$Q484)&amp;"")</f>
        <v/>
      </c>
      <c r="H484" s="56" t="str">
        <f>IF($B484="","",INDEX(tblStock[StockActual],'91_KPIS'!$Q484))</f>
        <v/>
      </c>
      <c r="I484" s="55" t="str">
        <f>IF($B484="","",INDEX(tblStock[StockMin],'91_KPIS'!$Q484))</f>
        <v/>
      </c>
      <c r="J484" s="55" t="str">
        <f>IF($B484="","",INDEX(tblStock[StockMax],'91_KPIS'!$Q484))</f>
        <v/>
      </c>
      <c r="K484" s="53" t="str">
        <f>IF($B484="","",INDEX(tblStock[Unidad],'91_KPIS'!$Q484))</f>
        <v/>
      </c>
      <c r="L484" s="55" t="str">
        <f t="shared" si="14"/>
        <v/>
      </c>
      <c r="M484" s="55" t="str">
        <f t="shared" si="15"/>
        <v/>
      </c>
      <c r="N484" s="54" t="str">
        <f>IF($B484="","",IFERROR(INDEX(tblEstados[Acción],MATCH($C484,tblEstados[Estado],0)),""))</f>
        <v/>
      </c>
      <c r="O484" s="60" t="str">
        <f>IF($B484="","",INDEX(tblStock[UltimoMov],'91_KPIS'!$Q484))</f>
        <v/>
      </c>
    </row>
    <row r="485" spans="2:15" x14ac:dyDescent="0.25">
      <c r="B485" s="62" t="str">
        <f>IF('91_KPIS'!$Q485="","",'91_KPIS'!$O485)</f>
        <v/>
      </c>
      <c r="C485" s="58" t="str">
        <f>IF($B485="","",INDEX(tblStock[Estado],'91_KPIS'!$Q485))</f>
        <v/>
      </c>
      <c r="D485" s="53" t="str">
        <f>IF($B485="","",INDEX(tblStock[SKU],'91_KPIS'!$Q485))</f>
        <v/>
      </c>
      <c r="E485" s="54" t="str">
        <f>IF($B485="","",INDEX(tblStock[Producto],'91_KPIS'!$Q485))</f>
        <v/>
      </c>
      <c r="F485" s="54" t="str">
        <f>IF($B485="","",INDEX(tblStock[Categoría],'91_KPIS'!$Q485))</f>
        <v/>
      </c>
      <c r="G485" s="54" t="str">
        <f>IF($B485="","",INDEX(tblStock[Proveedor],'91_KPIS'!$Q485)&amp;"")</f>
        <v/>
      </c>
      <c r="H485" s="56" t="str">
        <f>IF($B485="","",INDEX(tblStock[StockActual],'91_KPIS'!$Q485))</f>
        <v/>
      </c>
      <c r="I485" s="55" t="str">
        <f>IF($B485="","",INDEX(tblStock[StockMin],'91_KPIS'!$Q485))</f>
        <v/>
      </c>
      <c r="J485" s="55" t="str">
        <f>IF($B485="","",INDEX(tblStock[StockMax],'91_KPIS'!$Q485))</f>
        <v/>
      </c>
      <c r="K485" s="53" t="str">
        <f>IF($B485="","",INDEX(tblStock[Unidad],'91_KPIS'!$Q485))</f>
        <v/>
      </c>
      <c r="L485" s="55" t="str">
        <f t="shared" si="14"/>
        <v/>
      </c>
      <c r="M485" s="55" t="str">
        <f t="shared" si="15"/>
        <v/>
      </c>
      <c r="N485" s="54" t="str">
        <f>IF($B485="","",IFERROR(INDEX(tblEstados[Acción],MATCH($C485,tblEstados[Estado],0)),""))</f>
        <v/>
      </c>
      <c r="O485" s="60" t="str">
        <f>IF($B485="","",INDEX(tblStock[UltimoMov],'91_KPIS'!$Q485))</f>
        <v/>
      </c>
    </row>
    <row r="486" spans="2:15" x14ac:dyDescent="0.25">
      <c r="B486" s="62" t="str">
        <f>IF('91_KPIS'!$Q486="","",'91_KPIS'!$O486)</f>
        <v/>
      </c>
      <c r="C486" s="58" t="str">
        <f>IF($B486="","",INDEX(tblStock[Estado],'91_KPIS'!$Q486))</f>
        <v/>
      </c>
      <c r="D486" s="53" t="str">
        <f>IF($B486="","",INDEX(tblStock[SKU],'91_KPIS'!$Q486))</f>
        <v/>
      </c>
      <c r="E486" s="54" t="str">
        <f>IF($B486="","",INDEX(tblStock[Producto],'91_KPIS'!$Q486))</f>
        <v/>
      </c>
      <c r="F486" s="54" t="str">
        <f>IF($B486="","",INDEX(tblStock[Categoría],'91_KPIS'!$Q486))</f>
        <v/>
      </c>
      <c r="G486" s="54" t="str">
        <f>IF($B486="","",INDEX(tblStock[Proveedor],'91_KPIS'!$Q486)&amp;"")</f>
        <v/>
      </c>
      <c r="H486" s="56" t="str">
        <f>IF($B486="","",INDEX(tblStock[StockActual],'91_KPIS'!$Q486))</f>
        <v/>
      </c>
      <c r="I486" s="55" t="str">
        <f>IF($B486="","",INDEX(tblStock[StockMin],'91_KPIS'!$Q486))</f>
        <v/>
      </c>
      <c r="J486" s="55" t="str">
        <f>IF($B486="","",INDEX(tblStock[StockMax],'91_KPIS'!$Q486))</f>
        <v/>
      </c>
      <c r="K486" s="53" t="str">
        <f>IF($B486="","",INDEX(tblStock[Unidad],'91_KPIS'!$Q486))</f>
        <v/>
      </c>
      <c r="L486" s="55" t="str">
        <f t="shared" si="14"/>
        <v/>
      </c>
      <c r="M486" s="55" t="str">
        <f t="shared" si="15"/>
        <v/>
      </c>
      <c r="N486" s="54" t="str">
        <f>IF($B486="","",IFERROR(INDEX(tblEstados[Acción],MATCH($C486,tblEstados[Estado],0)),""))</f>
        <v/>
      </c>
      <c r="O486" s="60" t="str">
        <f>IF($B486="","",INDEX(tblStock[UltimoMov],'91_KPIS'!$Q486))</f>
        <v/>
      </c>
    </row>
    <row r="487" spans="2:15" x14ac:dyDescent="0.25">
      <c r="B487" s="62" t="str">
        <f>IF('91_KPIS'!$Q487="","",'91_KPIS'!$O487)</f>
        <v/>
      </c>
      <c r="C487" s="58" t="str">
        <f>IF($B487="","",INDEX(tblStock[Estado],'91_KPIS'!$Q487))</f>
        <v/>
      </c>
      <c r="D487" s="53" t="str">
        <f>IF($B487="","",INDEX(tblStock[SKU],'91_KPIS'!$Q487))</f>
        <v/>
      </c>
      <c r="E487" s="54" t="str">
        <f>IF($B487="","",INDEX(tblStock[Producto],'91_KPIS'!$Q487))</f>
        <v/>
      </c>
      <c r="F487" s="54" t="str">
        <f>IF($B487="","",INDEX(tblStock[Categoría],'91_KPIS'!$Q487))</f>
        <v/>
      </c>
      <c r="G487" s="54" t="str">
        <f>IF($B487="","",INDEX(tblStock[Proveedor],'91_KPIS'!$Q487)&amp;"")</f>
        <v/>
      </c>
      <c r="H487" s="56" t="str">
        <f>IF($B487="","",INDEX(tblStock[StockActual],'91_KPIS'!$Q487))</f>
        <v/>
      </c>
      <c r="I487" s="55" t="str">
        <f>IF($B487="","",INDEX(tblStock[StockMin],'91_KPIS'!$Q487))</f>
        <v/>
      </c>
      <c r="J487" s="55" t="str">
        <f>IF($B487="","",INDEX(tblStock[StockMax],'91_KPIS'!$Q487))</f>
        <v/>
      </c>
      <c r="K487" s="53" t="str">
        <f>IF($B487="","",INDEX(tblStock[Unidad],'91_KPIS'!$Q487))</f>
        <v/>
      </c>
      <c r="L487" s="55" t="str">
        <f t="shared" si="14"/>
        <v/>
      </c>
      <c r="M487" s="55" t="str">
        <f t="shared" si="15"/>
        <v/>
      </c>
      <c r="N487" s="54" t="str">
        <f>IF($B487="","",IFERROR(INDEX(tblEstados[Acción],MATCH($C487,tblEstados[Estado],0)),""))</f>
        <v/>
      </c>
      <c r="O487" s="60" t="str">
        <f>IF($B487="","",INDEX(tblStock[UltimoMov],'91_KPIS'!$Q487))</f>
        <v/>
      </c>
    </row>
    <row r="488" spans="2:15" x14ac:dyDescent="0.25">
      <c r="B488" s="62" t="str">
        <f>IF('91_KPIS'!$Q488="","",'91_KPIS'!$O488)</f>
        <v/>
      </c>
      <c r="C488" s="58" t="str">
        <f>IF($B488="","",INDEX(tblStock[Estado],'91_KPIS'!$Q488))</f>
        <v/>
      </c>
      <c r="D488" s="53" t="str">
        <f>IF($B488="","",INDEX(tblStock[SKU],'91_KPIS'!$Q488))</f>
        <v/>
      </c>
      <c r="E488" s="54" t="str">
        <f>IF($B488="","",INDEX(tblStock[Producto],'91_KPIS'!$Q488))</f>
        <v/>
      </c>
      <c r="F488" s="54" t="str">
        <f>IF($B488="","",INDEX(tblStock[Categoría],'91_KPIS'!$Q488))</f>
        <v/>
      </c>
      <c r="G488" s="54" t="str">
        <f>IF($B488="","",INDEX(tblStock[Proveedor],'91_KPIS'!$Q488)&amp;"")</f>
        <v/>
      </c>
      <c r="H488" s="56" t="str">
        <f>IF($B488="","",INDEX(tblStock[StockActual],'91_KPIS'!$Q488))</f>
        <v/>
      </c>
      <c r="I488" s="55" t="str">
        <f>IF($B488="","",INDEX(tblStock[StockMin],'91_KPIS'!$Q488))</f>
        <v/>
      </c>
      <c r="J488" s="55" t="str">
        <f>IF($B488="","",INDEX(tblStock[StockMax],'91_KPIS'!$Q488))</f>
        <v/>
      </c>
      <c r="K488" s="53" t="str">
        <f>IF($B488="","",INDEX(tblStock[Unidad],'91_KPIS'!$Q488))</f>
        <v/>
      </c>
      <c r="L488" s="55" t="str">
        <f t="shared" si="14"/>
        <v/>
      </c>
      <c r="M488" s="55" t="str">
        <f t="shared" si="15"/>
        <v/>
      </c>
      <c r="N488" s="54" t="str">
        <f>IF($B488="","",IFERROR(INDEX(tblEstados[Acción],MATCH($C488,tblEstados[Estado],0)),""))</f>
        <v/>
      </c>
      <c r="O488" s="60" t="str">
        <f>IF($B488="","",INDEX(tblStock[UltimoMov],'91_KPIS'!$Q488))</f>
        <v/>
      </c>
    </row>
    <row r="489" spans="2:15" x14ac:dyDescent="0.25">
      <c r="B489" s="62" t="str">
        <f>IF('91_KPIS'!$Q489="","",'91_KPIS'!$O489)</f>
        <v/>
      </c>
      <c r="C489" s="58" t="str">
        <f>IF($B489="","",INDEX(tblStock[Estado],'91_KPIS'!$Q489))</f>
        <v/>
      </c>
      <c r="D489" s="53" t="str">
        <f>IF($B489="","",INDEX(tblStock[SKU],'91_KPIS'!$Q489))</f>
        <v/>
      </c>
      <c r="E489" s="54" t="str">
        <f>IF($B489="","",INDEX(tblStock[Producto],'91_KPIS'!$Q489))</f>
        <v/>
      </c>
      <c r="F489" s="54" t="str">
        <f>IF($B489="","",INDEX(tblStock[Categoría],'91_KPIS'!$Q489))</f>
        <v/>
      </c>
      <c r="G489" s="54" t="str">
        <f>IF($B489="","",INDEX(tblStock[Proveedor],'91_KPIS'!$Q489)&amp;"")</f>
        <v/>
      </c>
      <c r="H489" s="56" t="str">
        <f>IF($B489="","",INDEX(tblStock[StockActual],'91_KPIS'!$Q489))</f>
        <v/>
      </c>
      <c r="I489" s="55" t="str">
        <f>IF($B489="","",INDEX(tblStock[StockMin],'91_KPIS'!$Q489))</f>
        <v/>
      </c>
      <c r="J489" s="55" t="str">
        <f>IF($B489="","",INDEX(tblStock[StockMax],'91_KPIS'!$Q489))</f>
        <v/>
      </c>
      <c r="K489" s="53" t="str">
        <f>IF($B489="","",INDEX(tblStock[Unidad],'91_KPIS'!$Q489))</f>
        <v/>
      </c>
      <c r="L489" s="55" t="str">
        <f t="shared" si="14"/>
        <v/>
      </c>
      <c r="M489" s="55" t="str">
        <f t="shared" si="15"/>
        <v/>
      </c>
      <c r="N489" s="54" t="str">
        <f>IF($B489="","",IFERROR(INDEX(tblEstados[Acción],MATCH($C489,tblEstados[Estado],0)),""))</f>
        <v/>
      </c>
      <c r="O489" s="60" t="str">
        <f>IF($B489="","",INDEX(tblStock[UltimoMov],'91_KPIS'!$Q489))</f>
        <v/>
      </c>
    </row>
    <row r="490" spans="2:15" x14ac:dyDescent="0.25">
      <c r="B490" s="62" t="str">
        <f>IF('91_KPIS'!$Q490="","",'91_KPIS'!$O490)</f>
        <v/>
      </c>
      <c r="C490" s="58" t="str">
        <f>IF($B490="","",INDEX(tblStock[Estado],'91_KPIS'!$Q490))</f>
        <v/>
      </c>
      <c r="D490" s="53" t="str">
        <f>IF($B490="","",INDEX(tblStock[SKU],'91_KPIS'!$Q490))</f>
        <v/>
      </c>
      <c r="E490" s="54" t="str">
        <f>IF($B490="","",INDEX(tblStock[Producto],'91_KPIS'!$Q490))</f>
        <v/>
      </c>
      <c r="F490" s="54" t="str">
        <f>IF($B490="","",INDEX(tblStock[Categoría],'91_KPIS'!$Q490))</f>
        <v/>
      </c>
      <c r="G490" s="54" t="str">
        <f>IF($B490="","",INDEX(tblStock[Proveedor],'91_KPIS'!$Q490)&amp;"")</f>
        <v/>
      </c>
      <c r="H490" s="56" t="str">
        <f>IF($B490="","",INDEX(tblStock[StockActual],'91_KPIS'!$Q490))</f>
        <v/>
      </c>
      <c r="I490" s="55" t="str">
        <f>IF($B490="","",INDEX(tblStock[StockMin],'91_KPIS'!$Q490))</f>
        <v/>
      </c>
      <c r="J490" s="55" t="str">
        <f>IF($B490="","",INDEX(tblStock[StockMax],'91_KPIS'!$Q490))</f>
        <v/>
      </c>
      <c r="K490" s="53" t="str">
        <f>IF($B490="","",INDEX(tblStock[Unidad],'91_KPIS'!$Q490))</f>
        <v/>
      </c>
      <c r="L490" s="55" t="str">
        <f t="shared" si="14"/>
        <v/>
      </c>
      <c r="M490" s="55" t="str">
        <f t="shared" si="15"/>
        <v/>
      </c>
      <c r="N490" s="54" t="str">
        <f>IF($B490="","",IFERROR(INDEX(tblEstados[Acción],MATCH($C490,tblEstados[Estado],0)),""))</f>
        <v/>
      </c>
      <c r="O490" s="60" t="str">
        <f>IF($B490="","",INDEX(tblStock[UltimoMov],'91_KPIS'!$Q490))</f>
        <v/>
      </c>
    </row>
    <row r="491" spans="2:15" x14ac:dyDescent="0.25">
      <c r="B491" s="62" t="str">
        <f>IF('91_KPIS'!$Q491="","",'91_KPIS'!$O491)</f>
        <v/>
      </c>
      <c r="C491" s="58" t="str">
        <f>IF($B491="","",INDEX(tblStock[Estado],'91_KPIS'!$Q491))</f>
        <v/>
      </c>
      <c r="D491" s="53" t="str">
        <f>IF($B491="","",INDEX(tblStock[SKU],'91_KPIS'!$Q491))</f>
        <v/>
      </c>
      <c r="E491" s="54" t="str">
        <f>IF($B491="","",INDEX(tblStock[Producto],'91_KPIS'!$Q491))</f>
        <v/>
      </c>
      <c r="F491" s="54" t="str">
        <f>IF($B491="","",INDEX(tblStock[Categoría],'91_KPIS'!$Q491))</f>
        <v/>
      </c>
      <c r="G491" s="54" t="str">
        <f>IF($B491="","",INDEX(tblStock[Proveedor],'91_KPIS'!$Q491)&amp;"")</f>
        <v/>
      </c>
      <c r="H491" s="56" t="str">
        <f>IF($B491="","",INDEX(tblStock[StockActual],'91_KPIS'!$Q491))</f>
        <v/>
      </c>
      <c r="I491" s="55" t="str">
        <f>IF($B491="","",INDEX(tblStock[StockMin],'91_KPIS'!$Q491))</f>
        <v/>
      </c>
      <c r="J491" s="55" t="str">
        <f>IF($B491="","",INDEX(tblStock[StockMax],'91_KPIS'!$Q491))</f>
        <v/>
      </c>
      <c r="K491" s="53" t="str">
        <f>IF($B491="","",INDEX(tblStock[Unidad],'91_KPIS'!$Q491))</f>
        <v/>
      </c>
      <c r="L491" s="55" t="str">
        <f t="shared" si="14"/>
        <v/>
      </c>
      <c r="M491" s="55" t="str">
        <f t="shared" si="15"/>
        <v/>
      </c>
      <c r="N491" s="54" t="str">
        <f>IF($B491="","",IFERROR(INDEX(tblEstados[Acción],MATCH($C491,tblEstados[Estado],0)),""))</f>
        <v/>
      </c>
      <c r="O491" s="60" t="str">
        <f>IF($B491="","",INDEX(tblStock[UltimoMov],'91_KPIS'!$Q491))</f>
        <v/>
      </c>
    </row>
    <row r="492" spans="2:15" x14ac:dyDescent="0.25">
      <c r="B492" s="62" t="str">
        <f>IF('91_KPIS'!$Q492="","",'91_KPIS'!$O492)</f>
        <v/>
      </c>
      <c r="C492" s="58" t="str">
        <f>IF($B492="","",INDEX(tblStock[Estado],'91_KPIS'!$Q492))</f>
        <v/>
      </c>
      <c r="D492" s="53" t="str">
        <f>IF($B492="","",INDEX(tblStock[SKU],'91_KPIS'!$Q492))</f>
        <v/>
      </c>
      <c r="E492" s="54" t="str">
        <f>IF($B492="","",INDEX(tblStock[Producto],'91_KPIS'!$Q492))</f>
        <v/>
      </c>
      <c r="F492" s="54" t="str">
        <f>IF($B492="","",INDEX(tblStock[Categoría],'91_KPIS'!$Q492))</f>
        <v/>
      </c>
      <c r="G492" s="54" t="str">
        <f>IF($B492="","",INDEX(tblStock[Proveedor],'91_KPIS'!$Q492)&amp;"")</f>
        <v/>
      </c>
      <c r="H492" s="56" t="str">
        <f>IF($B492="","",INDEX(tblStock[StockActual],'91_KPIS'!$Q492))</f>
        <v/>
      </c>
      <c r="I492" s="55" t="str">
        <f>IF($B492="","",INDEX(tblStock[StockMin],'91_KPIS'!$Q492))</f>
        <v/>
      </c>
      <c r="J492" s="55" t="str">
        <f>IF($B492="","",INDEX(tblStock[StockMax],'91_KPIS'!$Q492))</f>
        <v/>
      </c>
      <c r="K492" s="53" t="str">
        <f>IF($B492="","",INDEX(tblStock[Unidad],'91_KPIS'!$Q492))</f>
        <v/>
      </c>
      <c r="L492" s="55" t="str">
        <f t="shared" si="14"/>
        <v/>
      </c>
      <c r="M492" s="55" t="str">
        <f t="shared" si="15"/>
        <v/>
      </c>
      <c r="N492" s="54" t="str">
        <f>IF($B492="","",IFERROR(INDEX(tblEstados[Acción],MATCH($C492,tblEstados[Estado],0)),""))</f>
        <v/>
      </c>
      <c r="O492" s="60" t="str">
        <f>IF($B492="","",INDEX(tblStock[UltimoMov],'91_KPIS'!$Q492))</f>
        <v/>
      </c>
    </row>
    <row r="493" spans="2:15" x14ac:dyDescent="0.25">
      <c r="B493" s="62" t="str">
        <f>IF('91_KPIS'!$Q493="","",'91_KPIS'!$O493)</f>
        <v/>
      </c>
      <c r="C493" s="58" t="str">
        <f>IF($B493="","",INDEX(tblStock[Estado],'91_KPIS'!$Q493))</f>
        <v/>
      </c>
      <c r="D493" s="53" t="str">
        <f>IF($B493="","",INDEX(tblStock[SKU],'91_KPIS'!$Q493))</f>
        <v/>
      </c>
      <c r="E493" s="54" t="str">
        <f>IF($B493="","",INDEX(tblStock[Producto],'91_KPIS'!$Q493))</f>
        <v/>
      </c>
      <c r="F493" s="54" t="str">
        <f>IF($B493="","",INDEX(tblStock[Categoría],'91_KPIS'!$Q493))</f>
        <v/>
      </c>
      <c r="G493" s="54" t="str">
        <f>IF($B493="","",INDEX(tblStock[Proveedor],'91_KPIS'!$Q493)&amp;"")</f>
        <v/>
      </c>
      <c r="H493" s="56" t="str">
        <f>IF($B493="","",INDEX(tblStock[StockActual],'91_KPIS'!$Q493))</f>
        <v/>
      </c>
      <c r="I493" s="55" t="str">
        <f>IF($B493="","",INDEX(tblStock[StockMin],'91_KPIS'!$Q493))</f>
        <v/>
      </c>
      <c r="J493" s="55" t="str">
        <f>IF($B493="","",INDEX(tblStock[StockMax],'91_KPIS'!$Q493))</f>
        <v/>
      </c>
      <c r="K493" s="53" t="str">
        <f>IF($B493="","",INDEX(tblStock[Unidad],'91_KPIS'!$Q493))</f>
        <v/>
      </c>
      <c r="L493" s="55" t="str">
        <f t="shared" si="14"/>
        <v/>
      </c>
      <c r="M493" s="55" t="str">
        <f t="shared" si="15"/>
        <v/>
      </c>
      <c r="N493" s="54" t="str">
        <f>IF($B493="","",IFERROR(INDEX(tblEstados[Acción],MATCH($C493,tblEstados[Estado],0)),""))</f>
        <v/>
      </c>
      <c r="O493" s="60" t="str">
        <f>IF($B493="","",INDEX(tblStock[UltimoMov],'91_KPIS'!$Q493))</f>
        <v/>
      </c>
    </row>
    <row r="494" spans="2:15" x14ac:dyDescent="0.25">
      <c r="B494" s="62" t="str">
        <f>IF('91_KPIS'!$Q494="","",'91_KPIS'!$O494)</f>
        <v/>
      </c>
      <c r="C494" s="58" t="str">
        <f>IF($B494="","",INDEX(tblStock[Estado],'91_KPIS'!$Q494))</f>
        <v/>
      </c>
      <c r="D494" s="53" t="str">
        <f>IF($B494="","",INDEX(tblStock[SKU],'91_KPIS'!$Q494))</f>
        <v/>
      </c>
      <c r="E494" s="54" t="str">
        <f>IF($B494="","",INDEX(tblStock[Producto],'91_KPIS'!$Q494))</f>
        <v/>
      </c>
      <c r="F494" s="54" t="str">
        <f>IF($B494="","",INDEX(tblStock[Categoría],'91_KPIS'!$Q494))</f>
        <v/>
      </c>
      <c r="G494" s="54" t="str">
        <f>IF($B494="","",INDEX(tblStock[Proveedor],'91_KPIS'!$Q494)&amp;"")</f>
        <v/>
      </c>
      <c r="H494" s="56" t="str">
        <f>IF($B494="","",INDEX(tblStock[StockActual],'91_KPIS'!$Q494))</f>
        <v/>
      </c>
      <c r="I494" s="55" t="str">
        <f>IF($B494="","",INDEX(tblStock[StockMin],'91_KPIS'!$Q494))</f>
        <v/>
      </c>
      <c r="J494" s="55" t="str">
        <f>IF($B494="","",INDEX(tblStock[StockMax],'91_KPIS'!$Q494))</f>
        <v/>
      </c>
      <c r="K494" s="53" t="str">
        <f>IF($B494="","",INDEX(tblStock[Unidad],'91_KPIS'!$Q494))</f>
        <v/>
      </c>
      <c r="L494" s="55" t="str">
        <f t="shared" si="14"/>
        <v/>
      </c>
      <c r="M494" s="55" t="str">
        <f t="shared" si="15"/>
        <v/>
      </c>
      <c r="N494" s="54" t="str">
        <f>IF($B494="","",IFERROR(INDEX(tblEstados[Acción],MATCH($C494,tblEstados[Estado],0)),""))</f>
        <v/>
      </c>
      <c r="O494" s="60" t="str">
        <f>IF($B494="","",INDEX(tblStock[UltimoMov],'91_KPIS'!$Q494))</f>
        <v/>
      </c>
    </row>
    <row r="495" spans="2:15" x14ac:dyDescent="0.25">
      <c r="B495" s="62" t="str">
        <f>IF('91_KPIS'!$Q495="","",'91_KPIS'!$O495)</f>
        <v/>
      </c>
      <c r="C495" s="58" t="str">
        <f>IF($B495="","",INDEX(tblStock[Estado],'91_KPIS'!$Q495))</f>
        <v/>
      </c>
      <c r="D495" s="53" t="str">
        <f>IF($B495="","",INDEX(tblStock[SKU],'91_KPIS'!$Q495))</f>
        <v/>
      </c>
      <c r="E495" s="54" t="str">
        <f>IF($B495="","",INDEX(tblStock[Producto],'91_KPIS'!$Q495))</f>
        <v/>
      </c>
      <c r="F495" s="54" t="str">
        <f>IF($B495="","",INDEX(tblStock[Categoría],'91_KPIS'!$Q495))</f>
        <v/>
      </c>
      <c r="G495" s="54" t="str">
        <f>IF($B495="","",INDEX(tblStock[Proveedor],'91_KPIS'!$Q495)&amp;"")</f>
        <v/>
      </c>
      <c r="H495" s="56" t="str">
        <f>IF($B495="","",INDEX(tblStock[StockActual],'91_KPIS'!$Q495))</f>
        <v/>
      </c>
      <c r="I495" s="55" t="str">
        <f>IF($B495="","",INDEX(tblStock[StockMin],'91_KPIS'!$Q495))</f>
        <v/>
      </c>
      <c r="J495" s="55" t="str">
        <f>IF($B495="","",INDEX(tblStock[StockMax],'91_KPIS'!$Q495))</f>
        <v/>
      </c>
      <c r="K495" s="53" t="str">
        <f>IF($B495="","",INDEX(tblStock[Unidad],'91_KPIS'!$Q495))</f>
        <v/>
      </c>
      <c r="L495" s="55" t="str">
        <f t="shared" si="14"/>
        <v/>
      </c>
      <c r="M495" s="55" t="str">
        <f t="shared" si="15"/>
        <v/>
      </c>
      <c r="N495" s="54" t="str">
        <f>IF($B495="","",IFERROR(INDEX(tblEstados[Acción],MATCH($C495,tblEstados[Estado],0)),""))</f>
        <v/>
      </c>
      <c r="O495" s="60" t="str">
        <f>IF($B495="","",INDEX(tblStock[UltimoMov],'91_KPIS'!$Q495))</f>
        <v/>
      </c>
    </row>
    <row r="496" spans="2:15" x14ac:dyDescent="0.25">
      <c r="B496" s="62" t="str">
        <f>IF('91_KPIS'!$Q496="","",'91_KPIS'!$O496)</f>
        <v/>
      </c>
      <c r="C496" s="58" t="str">
        <f>IF($B496="","",INDEX(tblStock[Estado],'91_KPIS'!$Q496))</f>
        <v/>
      </c>
      <c r="D496" s="53" t="str">
        <f>IF($B496="","",INDEX(tblStock[SKU],'91_KPIS'!$Q496))</f>
        <v/>
      </c>
      <c r="E496" s="54" t="str">
        <f>IF($B496="","",INDEX(tblStock[Producto],'91_KPIS'!$Q496))</f>
        <v/>
      </c>
      <c r="F496" s="54" t="str">
        <f>IF($B496="","",INDEX(tblStock[Categoría],'91_KPIS'!$Q496))</f>
        <v/>
      </c>
      <c r="G496" s="54" t="str">
        <f>IF($B496="","",INDEX(tblStock[Proveedor],'91_KPIS'!$Q496)&amp;"")</f>
        <v/>
      </c>
      <c r="H496" s="56" t="str">
        <f>IF($B496="","",INDEX(tblStock[StockActual],'91_KPIS'!$Q496))</f>
        <v/>
      </c>
      <c r="I496" s="55" t="str">
        <f>IF($B496="","",INDEX(tblStock[StockMin],'91_KPIS'!$Q496))</f>
        <v/>
      </c>
      <c r="J496" s="55" t="str">
        <f>IF($B496="","",INDEX(tblStock[StockMax],'91_KPIS'!$Q496))</f>
        <v/>
      </c>
      <c r="K496" s="53" t="str">
        <f>IF($B496="","",INDEX(tblStock[Unidad],'91_KPIS'!$Q496))</f>
        <v/>
      </c>
      <c r="L496" s="55" t="str">
        <f t="shared" si="14"/>
        <v/>
      </c>
      <c r="M496" s="55" t="str">
        <f t="shared" si="15"/>
        <v/>
      </c>
      <c r="N496" s="54" t="str">
        <f>IF($B496="","",IFERROR(INDEX(tblEstados[Acción],MATCH($C496,tblEstados[Estado],0)),""))</f>
        <v/>
      </c>
      <c r="O496" s="60" t="str">
        <f>IF($B496="","",INDEX(tblStock[UltimoMov],'91_KPIS'!$Q496))</f>
        <v/>
      </c>
    </row>
    <row r="497" spans="2:15" x14ac:dyDescent="0.25">
      <c r="B497" s="62" t="str">
        <f>IF('91_KPIS'!$Q497="","",'91_KPIS'!$O497)</f>
        <v/>
      </c>
      <c r="C497" s="58" t="str">
        <f>IF($B497="","",INDEX(tblStock[Estado],'91_KPIS'!$Q497))</f>
        <v/>
      </c>
      <c r="D497" s="53" t="str">
        <f>IF($B497="","",INDEX(tblStock[SKU],'91_KPIS'!$Q497))</f>
        <v/>
      </c>
      <c r="E497" s="54" t="str">
        <f>IF($B497="","",INDEX(tblStock[Producto],'91_KPIS'!$Q497))</f>
        <v/>
      </c>
      <c r="F497" s="54" t="str">
        <f>IF($B497="","",INDEX(tblStock[Categoría],'91_KPIS'!$Q497))</f>
        <v/>
      </c>
      <c r="G497" s="54" t="str">
        <f>IF($B497="","",INDEX(tblStock[Proveedor],'91_KPIS'!$Q497)&amp;"")</f>
        <v/>
      </c>
      <c r="H497" s="56" t="str">
        <f>IF($B497="","",INDEX(tblStock[StockActual],'91_KPIS'!$Q497))</f>
        <v/>
      </c>
      <c r="I497" s="55" t="str">
        <f>IF($B497="","",INDEX(tblStock[StockMin],'91_KPIS'!$Q497))</f>
        <v/>
      </c>
      <c r="J497" s="55" t="str">
        <f>IF($B497="","",INDEX(tblStock[StockMax],'91_KPIS'!$Q497))</f>
        <v/>
      </c>
      <c r="K497" s="53" t="str">
        <f>IF($B497="","",INDEX(tblStock[Unidad],'91_KPIS'!$Q497))</f>
        <v/>
      </c>
      <c r="L497" s="55" t="str">
        <f t="shared" si="14"/>
        <v/>
      </c>
      <c r="M497" s="55" t="str">
        <f t="shared" si="15"/>
        <v/>
      </c>
      <c r="N497" s="54" t="str">
        <f>IF($B497="","",IFERROR(INDEX(tblEstados[Acción],MATCH($C497,tblEstados[Estado],0)),""))</f>
        <v/>
      </c>
      <c r="O497" s="60" t="str">
        <f>IF($B497="","",INDEX(tblStock[UltimoMov],'91_KPIS'!$Q497))</f>
        <v/>
      </c>
    </row>
    <row r="498" spans="2:15" x14ac:dyDescent="0.25">
      <c r="B498" s="62" t="str">
        <f>IF('91_KPIS'!$Q498="","",'91_KPIS'!$O498)</f>
        <v/>
      </c>
      <c r="C498" s="58" t="str">
        <f>IF($B498="","",INDEX(tblStock[Estado],'91_KPIS'!$Q498))</f>
        <v/>
      </c>
      <c r="D498" s="53" t="str">
        <f>IF($B498="","",INDEX(tblStock[SKU],'91_KPIS'!$Q498))</f>
        <v/>
      </c>
      <c r="E498" s="54" t="str">
        <f>IF($B498="","",INDEX(tblStock[Producto],'91_KPIS'!$Q498))</f>
        <v/>
      </c>
      <c r="F498" s="54" t="str">
        <f>IF($B498="","",INDEX(tblStock[Categoría],'91_KPIS'!$Q498))</f>
        <v/>
      </c>
      <c r="G498" s="54" t="str">
        <f>IF($B498="","",INDEX(tblStock[Proveedor],'91_KPIS'!$Q498)&amp;"")</f>
        <v/>
      </c>
      <c r="H498" s="56" t="str">
        <f>IF($B498="","",INDEX(tblStock[StockActual],'91_KPIS'!$Q498))</f>
        <v/>
      </c>
      <c r="I498" s="55" t="str">
        <f>IF($B498="","",INDEX(tblStock[StockMin],'91_KPIS'!$Q498))</f>
        <v/>
      </c>
      <c r="J498" s="55" t="str">
        <f>IF($B498="","",INDEX(tblStock[StockMax],'91_KPIS'!$Q498))</f>
        <v/>
      </c>
      <c r="K498" s="53" t="str">
        <f>IF($B498="","",INDEX(tblStock[Unidad],'91_KPIS'!$Q498))</f>
        <v/>
      </c>
      <c r="L498" s="55" t="str">
        <f t="shared" si="14"/>
        <v/>
      </c>
      <c r="M498" s="55" t="str">
        <f t="shared" si="15"/>
        <v/>
      </c>
      <c r="N498" s="54" t="str">
        <f>IF($B498="","",IFERROR(INDEX(tblEstados[Acción],MATCH($C498,tblEstados[Estado],0)),""))</f>
        <v/>
      </c>
      <c r="O498" s="60" t="str">
        <f>IF($B498="","",INDEX(tblStock[UltimoMov],'91_KPIS'!$Q498))</f>
        <v/>
      </c>
    </row>
    <row r="499" spans="2:15" x14ac:dyDescent="0.25">
      <c r="B499" s="62" t="str">
        <f>IF('91_KPIS'!$Q499="","",'91_KPIS'!$O499)</f>
        <v/>
      </c>
      <c r="C499" s="58" t="str">
        <f>IF($B499="","",INDEX(tblStock[Estado],'91_KPIS'!$Q499))</f>
        <v/>
      </c>
      <c r="D499" s="53" t="str">
        <f>IF($B499="","",INDEX(tblStock[SKU],'91_KPIS'!$Q499))</f>
        <v/>
      </c>
      <c r="E499" s="54" t="str">
        <f>IF($B499="","",INDEX(tblStock[Producto],'91_KPIS'!$Q499))</f>
        <v/>
      </c>
      <c r="F499" s="54" t="str">
        <f>IF($B499="","",INDEX(tblStock[Categoría],'91_KPIS'!$Q499))</f>
        <v/>
      </c>
      <c r="G499" s="54" t="str">
        <f>IF($B499="","",INDEX(tblStock[Proveedor],'91_KPIS'!$Q499)&amp;"")</f>
        <v/>
      </c>
      <c r="H499" s="56" t="str">
        <f>IF($B499="","",INDEX(tblStock[StockActual],'91_KPIS'!$Q499))</f>
        <v/>
      </c>
      <c r="I499" s="55" t="str">
        <f>IF($B499="","",INDEX(tblStock[StockMin],'91_KPIS'!$Q499))</f>
        <v/>
      </c>
      <c r="J499" s="55" t="str">
        <f>IF($B499="","",INDEX(tblStock[StockMax],'91_KPIS'!$Q499))</f>
        <v/>
      </c>
      <c r="K499" s="53" t="str">
        <f>IF($B499="","",INDEX(tblStock[Unidad],'91_KPIS'!$Q499))</f>
        <v/>
      </c>
      <c r="L499" s="55" t="str">
        <f t="shared" si="14"/>
        <v/>
      </c>
      <c r="M499" s="55" t="str">
        <f t="shared" si="15"/>
        <v/>
      </c>
      <c r="N499" s="54" t="str">
        <f>IF($B499="","",IFERROR(INDEX(tblEstados[Acción],MATCH($C499,tblEstados[Estado],0)),""))</f>
        <v/>
      </c>
      <c r="O499" s="60" t="str">
        <f>IF($B499="","",INDEX(tblStock[UltimoMov],'91_KPIS'!$Q499))</f>
        <v/>
      </c>
    </row>
    <row r="500" spans="2:15" x14ac:dyDescent="0.25">
      <c r="B500" s="62" t="str">
        <f>IF('91_KPIS'!$Q500="","",'91_KPIS'!$O500)</f>
        <v/>
      </c>
      <c r="C500" s="58" t="str">
        <f>IF($B500="","",INDEX(tblStock[Estado],'91_KPIS'!$Q500))</f>
        <v/>
      </c>
      <c r="D500" s="53" t="str">
        <f>IF($B500="","",INDEX(tblStock[SKU],'91_KPIS'!$Q500))</f>
        <v/>
      </c>
      <c r="E500" s="54" t="str">
        <f>IF($B500="","",INDEX(tblStock[Producto],'91_KPIS'!$Q500))</f>
        <v/>
      </c>
      <c r="F500" s="54" t="str">
        <f>IF($B500="","",INDEX(tblStock[Categoría],'91_KPIS'!$Q500))</f>
        <v/>
      </c>
      <c r="G500" s="54" t="str">
        <f>IF($B500="","",INDEX(tblStock[Proveedor],'91_KPIS'!$Q500)&amp;"")</f>
        <v/>
      </c>
      <c r="H500" s="56" t="str">
        <f>IF($B500="","",INDEX(tblStock[StockActual],'91_KPIS'!$Q500))</f>
        <v/>
      </c>
      <c r="I500" s="55" t="str">
        <f>IF($B500="","",INDEX(tblStock[StockMin],'91_KPIS'!$Q500))</f>
        <v/>
      </c>
      <c r="J500" s="55" t="str">
        <f>IF($B500="","",INDEX(tblStock[StockMax],'91_KPIS'!$Q500))</f>
        <v/>
      </c>
      <c r="K500" s="53" t="str">
        <f>IF($B500="","",INDEX(tblStock[Unidad],'91_KPIS'!$Q500))</f>
        <v/>
      </c>
      <c r="L500" s="55" t="str">
        <f t="shared" si="14"/>
        <v/>
      </c>
      <c r="M500" s="55" t="str">
        <f t="shared" si="15"/>
        <v/>
      </c>
      <c r="N500" s="54" t="str">
        <f>IF($B500="","",IFERROR(INDEX(tblEstados[Acción],MATCH($C500,tblEstados[Estado],0)),""))</f>
        <v/>
      </c>
      <c r="O500" s="60" t="str">
        <f>IF($B500="","",INDEX(tblStock[UltimoMov],'91_KPIS'!$Q500))</f>
        <v/>
      </c>
    </row>
    <row r="501" spans="2:15" x14ac:dyDescent="0.25">
      <c r="B501" s="62" t="str">
        <f>IF('91_KPIS'!$Q501="","",'91_KPIS'!$O501)</f>
        <v/>
      </c>
      <c r="C501" s="58" t="str">
        <f>IF($B501="","",INDEX(tblStock[Estado],'91_KPIS'!$Q501))</f>
        <v/>
      </c>
      <c r="D501" s="53" t="str">
        <f>IF($B501="","",INDEX(tblStock[SKU],'91_KPIS'!$Q501))</f>
        <v/>
      </c>
      <c r="E501" s="54" t="str">
        <f>IF($B501="","",INDEX(tblStock[Producto],'91_KPIS'!$Q501))</f>
        <v/>
      </c>
      <c r="F501" s="54" t="str">
        <f>IF($B501="","",INDEX(tblStock[Categoría],'91_KPIS'!$Q501))</f>
        <v/>
      </c>
      <c r="G501" s="54" t="str">
        <f>IF($B501="","",INDEX(tblStock[Proveedor],'91_KPIS'!$Q501)&amp;"")</f>
        <v/>
      </c>
      <c r="H501" s="56" t="str">
        <f>IF($B501="","",INDEX(tblStock[StockActual],'91_KPIS'!$Q501))</f>
        <v/>
      </c>
      <c r="I501" s="55" t="str">
        <f>IF($B501="","",INDEX(tblStock[StockMin],'91_KPIS'!$Q501))</f>
        <v/>
      </c>
      <c r="J501" s="55" t="str">
        <f>IF($B501="","",INDEX(tblStock[StockMax],'91_KPIS'!$Q501))</f>
        <v/>
      </c>
      <c r="K501" s="53" t="str">
        <f>IF($B501="","",INDEX(tblStock[Unidad],'91_KPIS'!$Q501))</f>
        <v/>
      </c>
      <c r="L501" s="55" t="str">
        <f t="shared" si="14"/>
        <v/>
      </c>
      <c r="M501" s="55" t="str">
        <f t="shared" si="15"/>
        <v/>
      </c>
      <c r="N501" s="54" t="str">
        <f>IF($B501="","",IFERROR(INDEX(tblEstados[Acción],MATCH($C501,tblEstados[Estado],0)),""))</f>
        <v/>
      </c>
      <c r="O501" s="60" t="str">
        <f>IF($B501="","",INDEX(tblStock[UltimoMov],'91_KPIS'!$Q501))</f>
        <v/>
      </c>
    </row>
    <row r="502" spans="2:15" x14ac:dyDescent="0.25">
      <c r="B502" s="62" t="str">
        <f>IF('91_KPIS'!$Q502="","",'91_KPIS'!$O502)</f>
        <v/>
      </c>
      <c r="C502" s="58" t="str">
        <f>IF($B502="","",INDEX(tblStock[Estado],'91_KPIS'!$Q502))</f>
        <v/>
      </c>
      <c r="D502" s="53" t="str">
        <f>IF($B502="","",INDEX(tblStock[SKU],'91_KPIS'!$Q502))</f>
        <v/>
      </c>
      <c r="E502" s="54" t="str">
        <f>IF($B502="","",INDEX(tblStock[Producto],'91_KPIS'!$Q502))</f>
        <v/>
      </c>
      <c r="F502" s="54" t="str">
        <f>IF($B502="","",INDEX(tblStock[Categoría],'91_KPIS'!$Q502))</f>
        <v/>
      </c>
      <c r="G502" s="54" t="str">
        <f>IF($B502="","",INDEX(tblStock[Proveedor],'91_KPIS'!$Q502)&amp;"")</f>
        <v/>
      </c>
      <c r="H502" s="56" t="str">
        <f>IF($B502="","",INDEX(tblStock[StockActual],'91_KPIS'!$Q502))</f>
        <v/>
      </c>
      <c r="I502" s="55" t="str">
        <f>IF($B502="","",INDEX(tblStock[StockMin],'91_KPIS'!$Q502))</f>
        <v/>
      </c>
      <c r="J502" s="55" t="str">
        <f>IF($B502="","",INDEX(tblStock[StockMax],'91_KPIS'!$Q502))</f>
        <v/>
      </c>
      <c r="K502" s="53" t="str">
        <f>IF($B502="","",INDEX(tblStock[Unidad],'91_KPIS'!$Q502))</f>
        <v/>
      </c>
      <c r="L502" s="55" t="str">
        <f t="shared" si="14"/>
        <v/>
      </c>
      <c r="M502" s="55" t="str">
        <f t="shared" si="15"/>
        <v/>
      </c>
      <c r="N502" s="54" t="str">
        <f>IF($B502="","",IFERROR(INDEX(tblEstados[Acción],MATCH($C502,tblEstados[Estado],0)),""))</f>
        <v/>
      </c>
      <c r="O502" s="60" t="str">
        <f>IF($B502="","",INDEX(tblStock[UltimoMov],'91_KPIS'!$Q502))</f>
        <v/>
      </c>
    </row>
    <row r="503" spans="2:15" x14ac:dyDescent="0.25">
      <c r="B503" s="62" t="str">
        <f>IF('91_KPIS'!$Q503="","",'91_KPIS'!$O503)</f>
        <v/>
      </c>
      <c r="C503" s="58" t="str">
        <f>IF($B503="","",INDEX(tblStock[Estado],'91_KPIS'!$Q503))</f>
        <v/>
      </c>
      <c r="D503" s="53" t="str">
        <f>IF($B503="","",INDEX(tblStock[SKU],'91_KPIS'!$Q503))</f>
        <v/>
      </c>
      <c r="E503" s="54" t="str">
        <f>IF($B503="","",INDEX(tblStock[Producto],'91_KPIS'!$Q503))</f>
        <v/>
      </c>
      <c r="F503" s="54" t="str">
        <f>IF($B503="","",INDEX(tblStock[Categoría],'91_KPIS'!$Q503))</f>
        <v/>
      </c>
      <c r="G503" s="54" t="str">
        <f>IF($B503="","",INDEX(tblStock[Proveedor],'91_KPIS'!$Q503)&amp;"")</f>
        <v/>
      </c>
      <c r="H503" s="56" t="str">
        <f>IF($B503="","",INDEX(tblStock[StockActual],'91_KPIS'!$Q503))</f>
        <v/>
      </c>
      <c r="I503" s="55" t="str">
        <f>IF($B503="","",INDEX(tblStock[StockMin],'91_KPIS'!$Q503))</f>
        <v/>
      </c>
      <c r="J503" s="55" t="str">
        <f>IF($B503="","",INDEX(tblStock[StockMax],'91_KPIS'!$Q503))</f>
        <v/>
      </c>
      <c r="K503" s="53" t="str">
        <f>IF($B503="","",INDEX(tblStock[Unidad],'91_KPIS'!$Q503))</f>
        <v/>
      </c>
      <c r="L503" s="55" t="str">
        <f t="shared" si="14"/>
        <v/>
      </c>
      <c r="M503" s="55" t="str">
        <f t="shared" si="15"/>
        <v/>
      </c>
      <c r="N503" s="54" t="str">
        <f>IF($B503="","",IFERROR(INDEX(tblEstados[Acción],MATCH($C503,tblEstados[Estado],0)),""))</f>
        <v/>
      </c>
      <c r="O503" s="60" t="str">
        <f>IF($B503="","",INDEX(tblStock[UltimoMov],'91_KPIS'!$Q503))</f>
        <v/>
      </c>
    </row>
    <row r="504" spans="2:15" x14ac:dyDescent="0.25">
      <c r="B504" s="62" t="str">
        <f>IF('91_KPIS'!$Q504="","",'91_KPIS'!$O504)</f>
        <v/>
      </c>
      <c r="C504" s="58" t="str">
        <f>IF($B504="","",INDEX(tblStock[Estado],'91_KPIS'!$Q504))</f>
        <v/>
      </c>
      <c r="D504" s="53" t="str">
        <f>IF($B504="","",INDEX(tblStock[SKU],'91_KPIS'!$Q504))</f>
        <v/>
      </c>
      <c r="E504" s="54" t="str">
        <f>IF($B504="","",INDEX(tblStock[Producto],'91_KPIS'!$Q504))</f>
        <v/>
      </c>
      <c r="F504" s="54" t="str">
        <f>IF($B504="","",INDEX(tblStock[Categoría],'91_KPIS'!$Q504))</f>
        <v/>
      </c>
      <c r="G504" s="54" t="str">
        <f>IF($B504="","",INDEX(tblStock[Proveedor],'91_KPIS'!$Q504)&amp;"")</f>
        <v/>
      </c>
      <c r="H504" s="56" t="str">
        <f>IF($B504="","",INDEX(tblStock[StockActual],'91_KPIS'!$Q504))</f>
        <v/>
      </c>
      <c r="I504" s="55" t="str">
        <f>IF($B504="","",INDEX(tblStock[StockMin],'91_KPIS'!$Q504))</f>
        <v/>
      </c>
      <c r="J504" s="55" t="str">
        <f>IF($B504="","",INDEX(tblStock[StockMax],'91_KPIS'!$Q504))</f>
        <v/>
      </c>
      <c r="K504" s="53" t="str">
        <f>IF($B504="","",INDEX(tblStock[Unidad],'91_KPIS'!$Q504))</f>
        <v/>
      </c>
      <c r="L504" s="55" t="str">
        <f t="shared" si="14"/>
        <v/>
      </c>
      <c r="M504" s="55" t="str">
        <f t="shared" si="15"/>
        <v/>
      </c>
      <c r="N504" s="54" t="str">
        <f>IF($B504="","",IFERROR(INDEX(tblEstados[Acción],MATCH($C504,tblEstados[Estado],0)),""))</f>
        <v/>
      </c>
      <c r="O504" s="60" t="str">
        <f>IF($B504="","",INDEX(tblStock[UltimoMov],'91_KPIS'!$Q504))</f>
        <v/>
      </c>
    </row>
    <row r="505" spans="2:15" x14ac:dyDescent="0.25">
      <c r="B505" s="62" t="str">
        <f>IF('91_KPIS'!$Q505="","",'91_KPIS'!$O505)</f>
        <v/>
      </c>
      <c r="C505" s="58" t="str">
        <f>IF($B505="","",INDEX(tblStock[Estado],'91_KPIS'!$Q505))</f>
        <v/>
      </c>
      <c r="D505" s="53" t="str">
        <f>IF($B505="","",INDEX(tblStock[SKU],'91_KPIS'!$Q505))</f>
        <v/>
      </c>
      <c r="E505" s="54" t="str">
        <f>IF($B505="","",INDEX(tblStock[Producto],'91_KPIS'!$Q505))</f>
        <v/>
      </c>
      <c r="F505" s="54" t="str">
        <f>IF($B505="","",INDEX(tblStock[Categoría],'91_KPIS'!$Q505))</f>
        <v/>
      </c>
      <c r="G505" s="54" t="str">
        <f>IF($B505="","",INDEX(tblStock[Proveedor],'91_KPIS'!$Q505)&amp;"")</f>
        <v/>
      </c>
      <c r="H505" s="56" t="str">
        <f>IF($B505="","",INDEX(tblStock[StockActual],'91_KPIS'!$Q505))</f>
        <v/>
      </c>
      <c r="I505" s="55" t="str">
        <f>IF($B505="","",INDEX(tblStock[StockMin],'91_KPIS'!$Q505))</f>
        <v/>
      </c>
      <c r="J505" s="55" t="str">
        <f>IF($B505="","",INDEX(tblStock[StockMax],'91_KPIS'!$Q505))</f>
        <v/>
      </c>
      <c r="K505" s="53" t="str">
        <f>IF($B505="","",INDEX(tblStock[Unidad],'91_KPIS'!$Q505))</f>
        <v/>
      </c>
      <c r="L505" s="55" t="str">
        <f t="shared" si="14"/>
        <v/>
      </c>
      <c r="M505" s="55" t="str">
        <f t="shared" si="15"/>
        <v/>
      </c>
      <c r="N505" s="54" t="str">
        <f>IF($B505="","",IFERROR(INDEX(tblEstados[Acción],MATCH($C505,tblEstados[Estado],0)),""))</f>
        <v/>
      </c>
      <c r="O505" s="60" t="str">
        <f>IF($B505="","",INDEX(tblStock[UltimoMov],'91_KPIS'!$Q505))</f>
        <v/>
      </c>
    </row>
    <row r="506" spans="2:15" x14ac:dyDescent="0.25">
      <c r="B506" s="62" t="str">
        <f>IF('91_KPIS'!$Q506="","",'91_KPIS'!$O506)</f>
        <v/>
      </c>
      <c r="C506" s="58" t="str">
        <f>IF($B506="","",INDEX(tblStock[Estado],'91_KPIS'!$Q506))</f>
        <v/>
      </c>
      <c r="D506" s="53" t="str">
        <f>IF($B506="","",INDEX(tblStock[SKU],'91_KPIS'!$Q506))</f>
        <v/>
      </c>
      <c r="E506" s="54" t="str">
        <f>IF($B506="","",INDEX(tblStock[Producto],'91_KPIS'!$Q506))</f>
        <v/>
      </c>
      <c r="F506" s="54" t="str">
        <f>IF($B506="","",INDEX(tblStock[Categoría],'91_KPIS'!$Q506))</f>
        <v/>
      </c>
      <c r="G506" s="54" t="str">
        <f>IF($B506="","",INDEX(tblStock[Proveedor],'91_KPIS'!$Q506)&amp;"")</f>
        <v/>
      </c>
      <c r="H506" s="56" t="str">
        <f>IF($B506="","",INDEX(tblStock[StockActual],'91_KPIS'!$Q506))</f>
        <v/>
      </c>
      <c r="I506" s="55" t="str">
        <f>IF($B506="","",INDEX(tblStock[StockMin],'91_KPIS'!$Q506))</f>
        <v/>
      </c>
      <c r="J506" s="55" t="str">
        <f>IF($B506="","",INDEX(tblStock[StockMax],'91_KPIS'!$Q506))</f>
        <v/>
      </c>
      <c r="K506" s="53" t="str">
        <f>IF($B506="","",INDEX(tblStock[Unidad],'91_KPIS'!$Q506))</f>
        <v/>
      </c>
      <c r="L506" s="55" t="str">
        <f t="shared" si="14"/>
        <v/>
      </c>
      <c r="M506" s="55" t="str">
        <f t="shared" si="15"/>
        <v/>
      </c>
      <c r="N506" s="54" t="str">
        <f>IF($B506="","",IFERROR(INDEX(tblEstados[Acción],MATCH($C506,tblEstados[Estado],0)),""))</f>
        <v/>
      </c>
      <c r="O506" s="60" t="str">
        <f>IF($B506="","",INDEX(tblStock[UltimoMov],'91_KPIS'!$Q506))</f>
        <v/>
      </c>
    </row>
    <row r="507" spans="2:15" x14ac:dyDescent="0.25">
      <c r="B507" s="62" t="str">
        <f>IF('91_KPIS'!$Q507="","",'91_KPIS'!$O507)</f>
        <v/>
      </c>
      <c r="C507" s="58" t="str">
        <f>IF($B507="","",INDEX(tblStock[Estado],'91_KPIS'!$Q507))</f>
        <v/>
      </c>
      <c r="D507" s="53" t="str">
        <f>IF($B507="","",INDEX(tblStock[SKU],'91_KPIS'!$Q507))</f>
        <v/>
      </c>
      <c r="E507" s="54" t="str">
        <f>IF($B507="","",INDEX(tblStock[Producto],'91_KPIS'!$Q507))</f>
        <v/>
      </c>
      <c r="F507" s="54" t="str">
        <f>IF($B507="","",INDEX(tblStock[Categoría],'91_KPIS'!$Q507))</f>
        <v/>
      </c>
      <c r="G507" s="54" t="str">
        <f>IF($B507="","",INDEX(tblStock[Proveedor],'91_KPIS'!$Q507)&amp;"")</f>
        <v/>
      </c>
      <c r="H507" s="56" t="str">
        <f>IF($B507="","",INDEX(tblStock[StockActual],'91_KPIS'!$Q507))</f>
        <v/>
      </c>
      <c r="I507" s="55" t="str">
        <f>IF($B507="","",INDEX(tblStock[StockMin],'91_KPIS'!$Q507))</f>
        <v/>
      </c>
      <c r="J507" s="55" t="str">
        <f>IF($B507="","",INDEX(tblStock[StockMax],'91_KPIS'!$Q507))</f>
        <v/>
      </c>
      <c r="K507" s="53" t="str">
        <f>IF($B507="","",INDEX(tblStock[Unidad],'91_KPIS'!$Q507))</f>
        <v/>
      </c>
      <c r="L507" s="55" t="str">
        <f t="shared" si="14"/>
        <v/>
      </c>
      <c r="M507" s="55" t="str">
        <f t="shared" si="15"/>
        <v/>
      </c>
      <c r="N507" s="54" t="str">
        <f>IF($B507="","",IFERROR(INDEX(tblEstados[Acción],MATCH($C507,tblEstados[Estado],0)),""))</f>
        <v/>
      </c>
      <c r="O507" s="60" t="str">
        <f>IF($B507="","",INDEX(tblStock[UltimoMov],'91_KPIS'!$Q507))</f>
        <v/>
      </c>
    </row>
  </sheetData>
  <sheetProtection password="930D" sheet="1" objects="1" scenarios="1" formatColumns="0" autoFilter="0"/>
  <autoFilter ref="B7:O507" xr:uid="{00000000-0009-0000-0000-000009000000}"/>
  <conditionalFormatting sqref="B8:B507">
    <cfRule type="expression" dxfId="55" priority="8">
      <formula>$C8="INCONSISTENTE"</formula>
    </cfRule>
    <cfRule type="expression" dxfId="54" priority="9">
      <formula>$C8="AGOTADO"</formula>
    </cfRule>
    <cfRule type="expression" dxfId="53" priority="10">
      <formula>$C8="CRÍTICO"</formula>
    </cfRule>
    <cfRule type="expression" dxfId="52" priority="11">
      <formula>$C8="BAJO"</formula>
    </cfRule>
    <cfRule type="expression" dxfId="51" priority="12">
      <formula>$C8="ÓPTIMO"</formula>
    </cfRule>
    <cfRule type="expression" dxfId="50" priority="13">
      <formula>$C8="SOBRESTOCK"</formula>
    </cfRule>
    <cfRule type="expression" dxfId="49" priority="14">
      <formula>$C8="INACTIVO"</formula>
    </cfRule>
  </conditionalFormatting>
  <conditionalFormatting sqref="B8:O507">
    <cfRule type="expression" dxfId="48" priority="21">
      <formula>AND($B8&lt;&gt;"",MOD(ROW(),2)=0)</formula>
    </cfRule>
    <cfRule type="expression" dxfId="47" priority="22">
      <formula>$B8&lt;&gt;""</formula>
    </cfRule>
  </conditionalFormatting>
  <conditionalFormatting sqref="C8:C507">
    <cfRule type="expression" dxfId="46" priority="1">
      <formula>$C8="INCONSISTENTE"</formula>
    </cfRule>
    <cfRule type="expression" dxfId="45" priority="2">
      <formula>$C8="AGOTADO"</formula>
    </cfRule>
    <cfRule type="expression" dxfId="44" priority="3">
      <formula>$C8="CRÍTICO"</formula>
    </cfRule>
    <cfRule type="expression" dxfId="43" priority="4">
      <formula>$C8="BAJO"</formula>
    </cfRule>
    <cfRule type="expression" dxfId="42" priority="5">
      <formula>$C8="ÓPTIMO"</formula>
    </cfRule>
    <cfRule type="expression" dxfId="41" priority="6">
      <formula>$C8="SOBRESTOCK"</formula>
    </cfRule>
    <cfRule type="expression" dxfId="40" priority="7">
      <formula>$C8="INACTIVO"</formula>
    </cfRule>
  </conditionalFormatting>
  <conditionalFormatting sqref="H8:J507">
    <cfRule type="expression" dxfId="39" priority="15">
      <formula>AND(ISNUMBER(H8),H8&lt;&gt;INT(H8))</formula>
    </cfRule>
  </conditionalFormatting>
  <conditionalFormatting sqref="L8:M507">
    <cfRule type="expression" dxfId="38" priority="18">
      <formula>AND(ISNUMBER(L8),L8&lt;&gt;INT(L8))</formula>
    </cfRule>
  </conditionalFormatting>
  <conditionalFormatting sqref="M8:M507">
    <cfRule type="expression" dxfId="37" priority="20">
      <formula>AND(ISNUMBER($M8),$M8&gt;0)</formula>
    </cfRule>
  </conditionalFormatting>
  <dataValidations count="4">
    <dataValidation allowBlank="1" showInputMessage="1" showErrorMessage="1" promptTitle="ƒx #" prompt="Orden de prioridad: primero inconsistencias, luego agotados, críticos, preventivos y sobrestock." sqref="B7" xr:uid="{00000000-0002-0000-0900-000000000000}"/>
    <dataValidation allowBlank="1" showInputMessage="1" showErrorMessage="1" promptTitle="ƒx Faltante" prompt="Unidades que faltan para llegar al stock mínimo." sqref="L7" xr:uid="{00000000-0002-0000-0900-000001000000}"/>
    <dataValidation allowBlank="1" showInputMessage="1" showErrorMessage="1" promptTitle="ƒx SugeridoPedir" prompt="Cantidad sugerida para reponer hasta el máximo (o 2 × mínimo si no hay máximo)." sqref="M7" xr:uid="{00000000-0002-0000-0900-000002000000}"/>
    <dataValidation allowBlank="1" showInputMessage="1" showErrorMessage="1" promptTitle="ƒx AcciónSugerida" prompt="Acción recomendada según el semáforo (tblEstados en 01_CONFIG)." sqref="N7" xr:uid="{00000000-0002-0000-0900-000003000000}"/>
  </dataValidations>
  <pageMargins left="0.4" right="0.4" top="0.7" bottom="0.6" header="0.3" footer="0.3"/>
  <pageSetup fitToHeight="0" orientation="landscape"/>
  <headerFooter>
    <oddHeader>&amp;L&amp;"Segoe UI,Bold"&amp;9M-INV · Alertas de inventario&amp;R&amp;"Segoe UI,Regular"&amp;8&amp;D</oddHeader>
    <oddFooter>&amp;L&amp;"Segoe UI,Regular"&amp;8Z&amp;&amp;P Software Fast Solutions&amp;R&amp;"Segoe UI,Regular"&amp;8Página &amp;P de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83593"/>
  </sheetPr>
  <dimension ref="B1:M122"/>
  <sheetViews>
    <sheetView showGridLines="0" showRowColHeaders="0" workbookViewId="0">
      <selection activeCell="H8" sqref="H8"/>
    </sheetView>
  </sheetViews>
  <sheetFormatPr baseColWidth="10" defaultColWidth="0" defaultRowHeight="15" zeroHeight="1" x14ac:dyDescent="0.25"/>
  <cols>
    <col min="1" max="1" width="3.42578125" customWidth="1"/>
    <col min="2" max="13" width="13.42578125" customWidth="1"/>
    <col min="14" max="14" width="17.140625" customWidth="1"/>
    <col min="15" max="15" width="0" hidden="1" customWidth="1"/>
  </cols>
  <sheetData>
    <row r="1" spans="2:13" s="1" customFormat="1" ht="6" customHeight="1" x14ac:dyDescent="0.25"/>
    <row r="2" spans="2:13" s="1" customFormat="1" ht="24" customHeight="1" x14ac:dyDescent="0.25">
      <c r="B2" s="12" t="s">
        <v>199</v>
      </c>
    </row>
    <row r="3" spans="2:13" s="1" customFormat="1" ht="14.25" x14ac:dyDescent="0.25">
      <c r="B3" s="13" t="s">
        <v>200</v>
      </c>
    </row>
    <row r="4" spans="2:13" s="1" customFormat="1" ht="7.5" customHeight="1" x14ac:dyDescent="0.25"/>
    <row r="5" spans="2:13" s="4" customFormat="1" ht="25.5" customHeight="1" x14ac:dyDescent="0.25"/>
    <row r="6" spans="2:13" s="4" customFormat="1" ht="9" customHeight="1" x14ac:dyDescent="0.25"/>
    <row r="7" spans="2:13" s="4" customFormat="1" ht="14.25" x14ac:dyDescent="0.25">
      <c r="B7" s="129" t="s">
        <v>201</v>
      </c>
      <c r="C7" s="129"/>
      <c r="D7" s="129"/>
      <c r="E7" s="129" t="s">
        <v>202</v>
      </c>
      <c r="F7" s="129"/>
      <c r="G7" s="129"/>
      <c r="H7" s="129" t="s">
        <v>203</v>
      </c>
      <c r="I7" s="129"/>
      <c r="J7" s="129"/>
      <c r="K7" s="129"/>
      <c r="L7" s="129"/>
      <c r="M7" s="129"/>
    </row>
    <row r="8" spans="2:13" s="4" customFormat="1" ht="25.5" customHeight="1" x14ac:dyDescent="0.25">
      <c r="B8" s="130"/>
      <c r="C8" s="130"/>
      <c r="D8" s="130"/>
      <c r="E8" s="130"/>
      <c r="F8" s="130"/>
      <c r="G8" s="130"/>
      <c r="H8" s="131"/>
      <c r="I8" s="131"/>
      <c r="J8" s="131"/>
      <c r="K8" s="131"/>
      <c r="L8" s="131"/>
      <c r="M8" s="131"/>
    </row>
    <row r="9" spans="2:13" s="4" customFormat="1" ht="14.25" x14ac:dyDescent="0.25">
      <c r="H9" s="132" t="str">
        <f>txtKardexCoinciden</f>
        <v>0 producto(s) en el catálogo · use Buscar para filtrar</v>
      </c>
      <c r="I9" s="132"/>
      <c r="J9" s="132"/>
      <c r="K9" s="132"/>
      <c r="L9" s="132"/>
      <c r="M9" s="132"/>
    </row>
    <row r="10" spans="2:13" s="4" customFormat="1" ht="10.5" customHeight="1" x14ac:dyDescent="0.25"/>
    <row r="11" spans="2:13" s="4" customFormat="1" ht="22.5" customHeight="1" x14ac:dyDescent="0.25">
      <c r="B11" s="133" t="str">
        <f>IF(kxExiste,kxProducto,"Elija un producto para ver su ficha")</f>
        <v>Elija un producto para ver su ficha</v>
      </c>
      <c r="C11" s="133"/>
      <c r="D11" s="133"/>
      <c r="E11" s="133"/>
      <c r="F11" s="133"/>
      <c r="G11" s="133"/>
    </row>
    <row r="12" spans="2:13" s="4" customFormat="1" ht="22.5" customHeight="1" x14ac:dyDescent="0.25">
      <c r="B12" s="134" t="str">
        <f>txtKardexMeta</f>
        <v/>
      </c>
      <c r="C12" s="134"/>
      <c r="D12" s="134"/>
      <c r="E12" s="134"/>
      <c r="F12" s="134"/>
      <c r="G12" s="134"/>
    </row>
    <row r="13" spans="2:13" s="4" customFormat="1" ht="22.5" customHeight="1" x14ac:dyDescent="0.25">
      <c r="B13" s="135" t="s">
        <v>204</v>
      </c>
      <c r="C13" s="135"/>
      <c r="D13" s="136" t="s">
        <v>205</v>
      </c>
      <c r="E13" s="136"/>
      <c r="F13" s="137" t="s">
        <v>206</v>
      </c>
      <c r="G13" s="137"/>
    </row>
    <row r="14" spans="2:13" s="4" customFormat="1" ht="22.5" customHeight="1" x14ac:dyDescent="0.25">
      <c r="B14" s="138" t="str">
        <f>IF(kxExiste,INDEX(tblStock[StockActual],kxFila),"—")</f>
        <v>—</v>
      </c>
      <c r="C14" s="138"/>
      <c r="D14" s="139" t="str">
        <f>IF(kxExiste,INDEX(tblStock[Estado],kxFila),"")</f>
        <v/>
      </c>
      <c r="E14" s="139"/>
      <c r="F14" s="140" t="str">
        <f>IF(kxExiste,INDEX(tblStock[ValorInventario],kxFila),"")</f>
        <v/>
      </c>
      <c r="G14" s="140"/>
    </row>
    <row r="15" spans="2:13" s="4" customFormat="1" ht="22.5" customHeight="1" x14ac:dyDescent="0.25">
      <c r="B15" s="138"/>
      <c r="C15" s="138"/>
      <c r="D15" s="139"/>
      <c r="E15" s="139"/>
      <c r="F15" s="140"/>
      <c r="G15" s="140"/>
    </row>
    <row r="16" spans="2:13" s="4" customFormat="1" ht="22.5" customHeight="1" x14ac:dyDescent="0.25">
      <c r="B16" s="63" t="str">
        <f>IF(kxExiste,"MÍN "&amp;INDEX(tblStock[StockMin],kxFila),"")</f>
        <v/>
      </c>
      <c r="C16" s="64" t="str">
        <f>IF(kxExiste,"MÁX "&amp;INDEX(tblStock[StockMax],kxFila),"")</f>
        <v/>
      </c>
      <c r="D16" s="136" t="s">
        <v>207</v>
      </c>
      <c r="E16" s="136"/>
      <c r="F16" s="137" t="s">
        <v>208</v>
      </c>
      <c r="G16" s="137"/>
    </row>
    <row r="17" spans="2:13" s="4" customFormat="1" ht="22.5" customHeight="1" x14ac:dyDescent="0.25">
      <c r="B17" s="141" t="str">
        <f>IF(kxExiste,INDEX(tblStock[Unidad],kxFila),"")</f>
        <v/>
      </c>
      <c r="C17" s="141"/>
      <c r="D17" s="142" t="str">
        <f>IF(kxExiste,INDEX(tblStock[UltimoMov],kxFila),"")</f>
        <v/>
      </c>
      <c r="E17" s="142"/>
      <c r="F17" s="143" t="str">
        <f>IF(kxExiste,INDEX(tblStock[DiasSinMov],kxFila),"")</f>
        <v/>
      </c>
      <c r="G17" s="143"/>
    </row>
    <row r="18" spans="2:13" s="4" customFormat="1" ht="22.5" customHeight="1" x14ac:dyDescent="0.25">
      <c r="B18" s="144" t="str">
        <f>txtKardexTotales</f>
        <v/>
      </c>
      <c r="C18" s="144"/>
      <c r="D18" s="144"/>
      <c r="E18" s="144"/>
      <c r="F18" s="144"/>
      <c r="G18" s="144"/>
    </row>
    <row r="19" spans="2:13" s="4" customFormat="1" ht="13.5" customHeight="1" x14ac:dyDescent="0.25"/>
    <row r="20" spans="2:13" s="4" customFormat="1" ht="22.5" customHeight="1" x14ac:dyDescent="0.25">
      <c r="B20" s="4" t="s">
        <v>209</v>
      </c>
      <c r="J20" s="145" t="str">
        <f>txtKardexMostrando</f>
        <v/>
      </c>
      <c r="K20" s="145"/>
      <c r="L20" s="145"/>
      <c r="M20" s="145"/>
    </row>
    <row r="21" spans="2:13" s="4" customFormat="1" ht="21" customHeight="1" x14ac:dyDescent="0.25">
      <c r="B21" s="6" t="s">
        <v>163</v>
      </c>
      <c r="C21" s="6" t="s">
        <v>164</v>
      </c>
      <c r="D21" s="6" t="s">
        <v>37</v>
      </c>
      <c r="E21" s="6" t="s">
        <v>210</v>
      </c>
      <c r="F21" s="6" t="s">
        <v>211</v>
      </c>
      <c r="G21" s="6" t="s">
        <v>167</v>
      </c>
      <c r="H21" s="6" t="s">
        <v>168</v>
      </c>
      <c r="I21" s="124" t="s">
        <v>169</v>
      </c>
      <c r="J21" s="124"/>
      <c r="K21" s="124" t="s">
        <v>170</v>
      </c>
      <c r="L21" s="124"/>
      <c r="M21" s="124"/>
    </row>
    <row r="22" spans="2:13" ht="16.5" customHeight="1" x14ac:dyDescent="0.25">
      <c r="B22" s="65" t="str">
        <f>IF(kxSKU="","",IFERROR(_xlfn.AGGREGATE(14,6,tblMovimientos[ID]/(tblMovimientos[SKU]=kxSKU),1),""))</f>
        <v/>
      </c>
      <c r="C22" s="66" t="str">
        <f>IF($B22="","",INDEX(tblMovimientos[Fecha],$B22))</f>
        <v/>
      </c>
      <c r="D22" s="67" t="str">
        <f>IF($B22="","",INDEX(tblMovimientos[Tipo],$B22))</f>
        <v/>
      </c>
      <c r="E22" s="68" t="str">
        <f>IF($B22="","",IF(INDEX(tblMovimientos[CantidadNeta],$B22)&gt;0,INDEX(tblMovimientos[CantidadNeta],$B22),""))</f>
        <v/>
      </c>
      <c r="F22" s="69" t="str">
        <f>IF($B22="","",IF(INDEX(tblMovimientos[CantidadNeta],$B22)&lt;0,-INDEX(tblMovimientos[CantidadNeta],$B22),""))</f>
        <v/>
      </c>
      <c r="G22" s="70" t="str">
        <f>IF($B22="","",INDEX(tblMovimientos[Saldo],$B22))</f>
        <v/>
      </c>
      <c r="H22" s="71" t="str">
        <f>IF($B22="","",INDEX(tblMovimientos[Documento],$B22)&amp;"")</f>
        <v/>
      </c>
      <c r="I22" s="146" t="str">
        <f>IF($B22="","",INDEX(tblMovimientos[Responsable],$B22)&amp;"")</f>
        <v/>
      </c>
      <c r="J22" s="146"/>
      <c r="K22" s="146" t="str">
        <f>IF($B22="","",INDEX(tblMovimientos[Observaciones],$B22)&amp;"")</f>
        <v/>
      </c>
      <c r="L22" s="146"/>
      <c r="M22" s="146"/>
    </row>
    <row r="23" spans="2:13" ht="16.5" customHeight="1" x14ac:dyDescent="0.25">
      <c r="B23" s="65" t="str">
        <f>IF(kxSKU="","",IFERROR(_xlfn.AGGREGATE(14,6,tblMovimientos[ID]/(tblMovimientos[SKU]=kxSKU),2),""))</f>
        <v/>
      </c>
      <c r="C23" s="66" t="str">
        <f>IF($B23="","",INDEX(tblMovimientos[Fecha],$B23))</f>
        <v/>
      </c>
      <c r="D23" s="67" t="str">
        <f>IF($B23="","",INDEX(tblMovimientos[Tipo],$B23))</f>
        <v/>
      </c>
      <c r="E23" s="68" t="str">
        <f>IF($B23="","",IF(INDEX(tblMovimientos[CantidadNeta],$B23)&gt;0,INDEX(tblMovimientos[CantidadNeta],$B23),""))</f>
        <v/>
      </c>
      <c r="F23" s="69" t="str">
        <f>IF($B23="","",IF(INDEX(tblMovimientos[CantidadNeta],$B23)&lt;0,-INDEX(tblMovimientos[CantidadNeta],$B23),""))</f>
        <v/>
      </c>
      <c r="G23" s="70" t="str">
        <f>IF($B23="","",INDEX(tblMovimientos[Saldo],$B23))</f>
        <v/>
      </c>
      <c r="H23" s="71" t="str">
        <f>IF($B23="","",INDEX(tblMovimientos[Documento],$B23)&amp;"")</f>
        <v/>
      </c>
      <c r="I23" s="146" t="str">
        <f>IF($B23="","",INDEX(tblMovimientos[Responsable],$B23)&amp;"")</f>
        <v/>
      </c>
      <c r="J23" s="146"/>
      <c r="K23" s="146" t="str">
        <f>IF($B23="","",INDEX(tblMovimientos[Observaciones],$B23)&amp;"")</f>
        <v/>
      </c>
      <c r="L23" s="146"/>
      <c r="M23" s="146"/>
    </row>
    <row r="24" spans="2:13" ht="16.5" customHeight="1" x14ac:dyDescent="0.25">
      <c r="B24" s="65" t="str">
        <f>IF(kxSKU="","",IFERROR(_xlfn.AGGREGATE(14,6,tblMovimientos[ID]/(tblMovimientos[SKU]=kxSKU),3),""))</f>
        <v/>
      </c>
      <c r="C24" s="66" t="str">
        <f>IF($B24="","",INDEX(tblMovimientos[Fecha],$B24))</f>
        <v/>
      </c>
      <c r="D24" s="67" t="str">
        <f>IF($B24="","",INDEX(tblMovimientos[Tipo],$B24))</f>
        <v/>
      </c>
      <c r="E24" s="68" t="str">
        <f>IF($B24="","",IF(INDEX(tblMovimientos[CantidadNeta],$B24)&gt;0,INDEX(tblMovimientos[CantidadNeta],$B24),""))</f>
        <v/>
      </c>
      <c r="F24" s="69" t="str">
        <f>IF($B24="","",IF(INDEX(tblMovimientos[CantidadNeta],$B24)&lt;0,-INDEX(tblMovimientos[CantidadNeta],$B24),""))</f>
        <v/>
      </c>
      <c r="G24" s="70" t="str">
        <f>IF($B24="","",INDEX(tblMovimientos[Saldo],$B24))</f>
        <v/>
      </c>
      <c r="H24" s="71" t="str">
        <f>IF($B24="","",INDEX(tblMovimientos[Documento],$B24)&amp;"")</f>
        <v/>
      </c>
      <c r="I24" s="146" t="str">
        <f>IF($B24="","",INDEX(tblMovimientos[Responsable],$B24)&amp;"")</f>
        <v/>
      </c>
      <c r="J24" s="146"/>
      <c r="K24" s="146" t="str">
        <f>IF($B24="","",INDEX(tblMovimientos[Observaciones],$B24)&amp;"")</f>
        <v/>
      </c>
      <c r="L24" s="146"/>
      <c r="M24" s="146"/>
    </row>
    <row r="25" spans="2:13" ht="16.5" customHeight="1" x14ac:dyDescent="0.25">
      <c r="B25" s="65" t="str">
        <f>IF(kxSKU="","",IFERROR(_xlfn.AGGREGATE(14,6,tblMovimientos[ID]/(tblMovimientos[SKU]=kxSKU),4),""))</f>
        <v/>
      </c>
      <c r="C25" s="66" t="str">
        <f>IF($B25="","",INDEX(tblMovimientos[Fecha],$B25))</f>
        <v/>
      </c>
      <c r="D25" s="67" t="str">
        <f>IF($B25="","",INDEX(tblMovimientos[Tipo],$B25))</f>
        <v/>
      </c>
      <c r="E25" s="68" t="str">
        <f>IF($B25="","",IF(INDEX(tblMovimientos[CantidadNeta],$B25)&gt;0,INDEX(tblMovimientos[CantidadNeta],$B25),""))</f>
        <v/>
      </c>
      <c r="F25" s="69" t="str">
        <f>IF($B25="","",IF(INDEX(tblMovimientos[CantidadNeta],$B25)&lt;0,-INDEX(tblMovimientos[CantidadNeta],$B25),""))</f>
        <v/>
      </c>
      <c r="G25" s="70" t="str">
        <f>IF($B25="","",INDEX(tblMovimientos[Saldo],$B25))</f>
        <v/>
      </c>
      <c r="H25" s="71" t="str">
        <f>IF($B25="","",INDEX(tblMovimientos[Documento],$B25)&amp;"")</f>
        <v/>
      </c>
      <c r="I25" s="146" t="str">
        <f>IF($B25="","",INDEX(tblMovimientos[Responsable],$B25)&amp;"")</f>
        <v/>
      </c>
      <c r="J25" s="146"/>
      <c r="K25" s="146" t="str">
        <f>IF($B25="","",INDEX(tblMovimientos[Observaciones],$B25)&amp;"")</f>
        <v/>
      </c>
      <c r="L25" s="146"/>
      <c r="M25" s="146"/>
    </row>
    <row r="26" spans="2:13" ht="16.5" customHeight="1" x14ac:dyDescent="0.25">
      <c r="B26" s="65" t="str">
        <f>IF(kxSKU="","",IFERROR(_xlfn.AGGREGATE(14,6,tblMovimientos[ID]/(tblMovimientos[SKU]=kxSKU),5),""))</f>
        <v/>
      </c>
      <c r="C26" s="66" t="str">
        <f>IF($B26="","",INDEX(tblMovimientos[Fecha],$B26))</f>
        <v/>
      </c>
      <c r="D26" s="67" t="str">
        <f>IF($B26="","",INDEX(tblMovimientos[Tipo],$B26))</f>
        <v/>
      </c>
      <c r="E26" s="68" t="str">
        <f>IF($B26="","",IF(INDEX(tblMovimientos[CantidadNeta],$B26)&gt;0,INDEX(tblMovimientos[CantidadNeta],$B26),""))</f>
        <v/>
      </c>
      <c r="F26" s="69" t="str">
        <f>IF($B26="","",IF(INDEX(tblMovimientos[CantidadNeta],$B26)&lt;0,-INDEX(tblMovimientos[CantidadNeta],$B26),""))</f>
        <v/>
      </c>
      <c r="G26" s="70" t="str">
        <f>IF($B26="","",INDEX(tblMovimientos[Saldo],$B26))</f>
        <v/>
      </c>
      <c r="H26" s="71" t="str">
        <f>IF($B26="","",INDEX(tblMovimientos[Documento],$B26)&amp;"")</f>
        <v/>
      </c>
      <c r="I26" s="146" t="str">
        <f>IF($B26="","",INDEX(tblMovimientos[Responsable],$B26)&amp;"")</f>
        <v/>
      </c>
      <c r="J26" s="146"/>
      <c r="K26" s="146" t="str">
        <f>IF($B26="","",INDEX(tblMovimientos[Observaciones],$B26)&amp;"")</f>
        <v/>
      </c>
      <c r="L26" s="146"/>
      <c r="M26" s="146"/>
    </row>
    <row r="27" spans="2:13" ht="16.5" customHeight="1" x14ac:dyDescent="0.25">
      <c r="B27" s="65" t="str">
        <f>IF(kxSKU="","",IFERROR(_xlfn.AGGREGATE(14,6,tblMovimientos[ID]/(tblMovimientos[SKU]=kxSKU),6),""))</f>
        <v/>
      </c>
      <c r="C27" s="66" t="str">
        <f>IF($B27="","",INDEX(tblMovimientos[Fecha],$B27))</f>
        <v/>
      </c>
      <c r="D27" s="67" t="str">
        <f>IF($B27="","",INDEX(tblMovimientos[Tipo],$B27))</f>
        <v/>
      </c>
      <c r="E27" s="68" t="str">
        <f>IF($B27="","",IF(INDEX(tblMovimientos[CantidadNeta],$B27)&gt;0,INDEX(tblMovimientos[CantidadNeta],$B27),""))</f>
        <v/>
      </c>
      <c r="F27" s="69" t="str">
        <f>IF($B27="","",IF(INDEX(tblMovimientos[CantidadNeta],$B27)&lt;0,-INDEX(tblMovimientos[CantidadNeta],$B27),""))</f>
        <v/>
      </c>
      <c r="G27" s="70" t="str">
        <f>IF($B27="","",INDEX(tblMovimientos[Saldo],$B27))</f>
        <v/>
      </c>
      <c r="H27" s="71" t="str">
        <f>IF($B27="","",INDEX(tblMovimientos[Documento],$B27)&amp;"")</f>
        <v/>
      </c>
      <c r="I27" s="146" t="str">
        <f>IF($B27="","",INDEX(tblMovimientos[Responsable],$B27)&amp;"")</f>
        <v/>
      </c>
      <c r="J27" s="146"/>
      <c r="K27" s="146" t="str">
        <f>IF($B27="","",INDEX(tblMovimientos[Observaciones],$B27)&amp;"")</f>
        <v/>
      </c>
      <c r="L27" s="146"/>
      <c r="M27" s="146"/>
    </row>
    <row r="28" spans="2:13" ht="16.5" customHeight="1" x14ac:dyDescent="0.25">
      <c r="B28" s="65" t="str">
        <f>IF(kxSKU="","",IFERROR(_xlfn.AGGREGATE(14,6,tblMovimientos[ID]/(tblMovimientos[SKU]=kxSKU),7),""))</f>
        <v/>
      </c>
      <c r="C28" s="66" t="str">
        <f>IF($B28="","",INDEX(tblMovimientos[Fecha],$B28))</f>
        <v/>
      </c>
      <c r="D28" s="67" t="str">
        <f>IF($B28="","",INDEX(tblMovimientos[Tipo],$B28))</f>
        <v/>
      </c>
      <c r="E28" s="68" t="str">
        <f>IF($B28="","",IF(INDEX(tblMovimientos[CantidadNeta],$B28)&gt;0,INDEX(tblMovimientos[CantidadNeta],$B28),""))</f>
        <v/>
      </c>
      <c r="F28" s="69" t="str">
        <f>IF($B28="","",IF(INDEX(tblMovimientos[CantidadNeta],$B28)&lt;0,-INDEX(tblMovimientos[CantidadNeta],$B28),""))</f>
        <v/>
      </c>
      <c r="G28" s="70" t="str">
        <f>IF($B28="","",INDEX(tblMovimientos[Saldo],$B28))</f>
        <v/>
      </c>
      <c r="H28" s="71" t="str">
        <f>IF($B28="","",INDEX(tblMovimientos[Documento],$B28)&amp;"")</f>
        <v/>
      </c>
      <c r="I28" s="146" t="str">
        <f>IF($B28="","",INDEX(tblMovimientos[Responsable],$B28)&amp;"")</f>
        <v/>
      </c>
      <c r="J28" s="146"/>
      <c r="K28" s="146" t="str">
        <f>IF($B28="","",INDEX(tblMovimientos[Observaciones],$B28)&amp;"")</f>
        <v/>
      </c>
      <c r="L28" s="146"/>
      <c r="M28" s="146"/>
    </row>
    <row r="29" spans="2:13" ht="16.5" customHeight="1" x14ac:dyDescent="0.25">
      <c r="B29" s="65" t="str">
        <f>IF(kxSKU="","",IFERROR(_xlfn.AGGREGATE(14,6,tblMovimientos[ID]/(tblMovimientos[SKU]=kxSKU),8),""))</f>
        <v/>
      </c>
      <c r="C29" s="66" t="str">
        <f>IF($B29="","",INDEX(tblMovimientos[Fecha],$B29))</f>
        <v/>
      </c>
      <c r="D29" s="67" t="str">
        <f>IF($B29="","",INDEX(tblMovimientos[Tipo],$B29))</f>
        <v/>
      </c>
      <c r="E29" s="68" t="str">
        <f>IF($B29="","",IF(INDEX(tblMovimientos[CantidadNeta],$B29)&gt;0,INDEX(tblMovimientos[CantidadNeta],$B29),""))</f>
        <v/>
      </c>
      <c r="F29" s="69" t="str">
        <f>IF($B29="","",IF(INDEX(tblMovimientos[CantidadNeta],$B29)&lt;0,-INDEX(tblMovimientos[CantidadNeta],$B29),""))</f>
        <v/>
      </c>
      <c r="G29" s="70" t="str">
        <f>IF($B29="","",INDEX(tblMovimientos[Saldo],$B29))</f>
        <v/>
      </c>
      <c r="H29" s="71" t="str">
        <f>IF($B29="","",INDEX(tblMovimientos[Documento],$B29)&amp;"")</f>
        <v/>
      </c>
      <c r="I29" s="146" t="str">
        <f>IF($B29="","",INDEX(tblMovimientos[Responsable],$B29)&amp;"")</f>
        <v/>
      </c>
      <c r="J29" s="146"/>
      <c r="K29" s="146" t="str">
        <f>IF($B29="","",INDEX(tblMovimientos[Observaciones],$B29)&amp;"")</f>
        <v/>
      </c>
      <c r="L29" s="146"/>
      <c r="M29" s="146"/>
    </row>
    <row r="30" spans="2:13" ht="16.5" customHeight="1" x14ac:dyDescent="0.25">
      <c r="B30" s="65" t="str">
        <f>IF(kxSKU="","",IFERROR(_xlfn.AGGREGATE(14,6,tblMovimientos[ID]/(tblMovimientos[SKU]=kxSKU),9),""))</f>
        <v/>
      </c>
      <c r="C30" s="66" t="str">
        <f>IF($B30="","",INDEX(tblMovimientos[Fecha],$B30))</f>
        <v/>
      </c>
      <c r="D30" s="67" t="str">
        <f>IF($B30="","",INDEX(tblMovimientos[Tipo],$B30))</f>
        <v/>
      </c>
      <c r="E30" s="68" t="str">
        <f>IF($B30="","",IF(INDEX(tblMovimientos[CantidadNeta],$B30)&gt;0,INDEX(tblMovimientos[CantidadNeta],$B30),""))</f>
        <v/>
      </c>
      <c r="F30" s="69" t="str">
        <f>IF($B30="","",IF(INDEX(tblMovimientos[CantidadNeta],$B30)&lt;0,-INDEX(tblMovimientos[CantidadNeta],$B30),""))</f>
        <v/>
      </c>
      <c r="G30" s="70" t="str">
        <f>IF($B30="","",INDEX(tblMovimientos[Saldo],$B30))</f>
        <v/>
      </c>
      <c r="H30" s="71" t="str">
        <f>IF($B30="","",INDEX(tblMovimientos[Documento],$B30)&amp;"")</f>
        <v/>
      </c>
      <c r="I30" s="146" t="str">
        <f>IF($B30="","",INDEX(tblMovimientos[Responsable],$B30)&amp;"")</f>
        <v/>
      </c>
      <c r="J30" s="146"/>
      <c r="K30" s="146" t="str">
        <f>IF($B30="","",INDEX(tblMovimientos[Observaciones],$B30)&amp;"")</f>
        <v/>
      </c>
      <c r="L30" s="146"/>
      <c r="M30" s="146"/>
    </row>
    <row r="31" spans="2:13" ht="16.5" customHeight="1" x14ac:dyDescent="0.25">
      <c r="B31" s="65" t="str">
        <f>IF(kxSKU="","",IFERROR(_xlfn.AGGREGATE(14,6,tblMovimientos[ID]/(tblMovimientos[SKU]=kxSKU),10),""))</f>
        <v/>
      </c>
      <c r="C31" s="66" t="str">
        <f>IF($B31="","",INDEX(tblMovimientos[Fecha],$B31))</f>
        <v/>
      </c>
      <c r="D31" s="67" t="str">
        <f>IF($B31="","",INDEX(tblMovimientos[Tipo],$B31))</f>
        <v/>
      </c>
      <c r="E31" s="68" t="str">
        <f>IF($B31="","",IF(INDEX(tblMovimientos[CantidadNeta],$B31)&gt;0,INDEX(tblMovimientos[CantidadNeta],$B31),""))</f>
        <v/>
      </c>
      <c r="F31" s="69" t="str">
        <f>IF($B31="","",IF(INDEX(tblMovimientos[CantidadNeta],$B31)&lt;0,-INDEX(tblMovimientos[CantidadNeta],$B31),""))</f>
        <v/>
      </c>
      <c r="G31" s="70" t="str">
        <f>IF($B31="","",INDEX(tblMovimientos[Saldo],$B31))</f>
        <v/>
      </c>
      <c r="H31" s="71" t="str">
        <f>IF($B31="","",INDEX(tblMovimientos[Documento],$B31)&amp;"")</f>
        <v/>
      </c>
      <c r="I31" s="146" t="str">
        <f>IF($B31="","",INDEX(tblMovimientos[Responsable],$B31)&amp;"")</f>
        <v/>
      </c>
      <c r="J31" s="146"/>
      <c r="K31" s="146" t="str">
        <f>IF($B31="","",INDEX(tblMovimientos[Observaciones],$B31)&amp;"")</f>
        <v/>
      </c>
      <c r="L31" s="146"/>
      <c r="M31" s="146"/>
    </row>
    <row r="32" spans="2:13" ht="16.5" customHeight="1" x14ac:dyDescent="0.25">
      <c r="B32" s="65" t="str">
        <f>IF(kxSKU="","",IFERROR(_xlfn.AGGREGATE(14,6,tblMovimientos[ID]/(tblMovimientos[SKU]=kxSKU),11),""))</f>
        <v/>
      </c>
      <c r="C32" s="66" t="str">
        <f>IF($B32="","",INDEX(tblMovimientos[Fecha],$B32))</f>
        <v/>
      </c>
      <c r="D32" s="67" t="str">
        <f>IF($B32="","",INDEX(tblMovimientos[Tipo],$B32))</f>
        <v/>
      </c>
      <c r="E32" s="68" t="str">
        <f>IF($B32="","",IF(INDEX(tblMovimientos[CantidadNeta],$B32)&gt;0,INDEX(tblMovimientos[CantidadNeta],$B32),""))</f>
        <v/>
      </c>
      <c r="F32" s="69" t="str">
        <f>IF($B32="","",IF(INDEX(tblMovimientos[CantidadNeta],$B32)&lt;0,-INDEX(tblMovimientos[CantidadNeta],$B32),""))</f>
        <v/>
      </c>
      <c r="G32" s="70" t="str">
        <f>IF($B32="","",INDEX(tblMovimientos[Saldo],$B32))</f>
        <v/>
      </c>
      <c r="H32" s="71" t="str">
        <f>IF($B32="","",INDEX(tblMovimientos[Documento],$B32)&amp;"")</f>
        <v/>
      </c>
      <c r="I32" s="146" t="str">
        <f>IF($B32="","",INDEX(tblMovimientos[Responsable],$B32)&amp;"")</f>
        <v/>
      </c>
      <c r="J32" s="146"/>
      <c r="K32" s="146" t="str">
        <f>IF($B32="","",INDEX(tblMovimientos[Observaciones],$B32)&amp;"")</f>
        <v/>
      </c>
      <c r="L32" s="146"/>
      <c r="M32" s="146"/>
    </row>
    <row r="33" spans="2:13" ht="16.5" customHeight="1" x14ac:dyDescent="0.25">
      <c r="B33" s="65" t="str">
        <f>IF(kxSKU="","",IFERROR(_xlfn.AGGREGATE(14,6,tblMovimientos[ID]/(tblMovimientos[SKU]=kxSKU),12),""))</f>
        <v/>
      </c>
      <c r="C33" s="66" t="str">
        <f>IF($B33="","",INDEX(tblMovimientos[Fecha],$B33))</f>
        <v/>
      </c>
      <c r="D33" s="67" t="str">
        <f>IF($B33="","",INDEX(tblMovimientos[Tipo],$B33))</f>
        <v/>
      </c>
      <c r="E33" s="68" t="str">
        <f>IF($B33="","",IF(INDEX(tblMovimientos[CantidadNeta],$B33)&gt;0,INDEX(tblMovimientos[CantidadNeta],$B33),""))</f>
        <v/>
      </c>
      <c r="F33" s="69" t="str">
        <f>IF($B33="","",IF(INDEX(tblMovimientos[CantidadNeta],$B33)&lt;0,-INDEX(tblMovimientos[CantidadNeta],$B33),""))</f>
        <v/>
      </c>
      <c r="G33" s="70" t="str">
        <f>IF($B33="","",INDEX(tblMovimientos[Saldo],$B33))</f>
        <v/>
      </c>
      <c r="H33" s="71" t="str">
        <f>IF($B33="","",INDEX(tblMovimientos[Documento],$B33)&amp;"")</f>
        <v/>
      </c>
      <c r="I33" s="146" t="str">
        <f>IF($B33="","",INDEX(tblMovimientos[Responsable],$B33)&amp;"")</f>
        <v/>
      </c>
      <c r="J33" s="146"/>
      <c r="K33" s="146" t="str">
        <f>IF($B33="","",INDEX(tblMovimientos[Observaciones],$B33)&amp;"")</f>
        <v/>
      </c>
      <c r="L33" s="146"/>
      <c r="M33" s="146"/>
    </row>
    <row r="34" spans="2:13" ht="16.5" customHeight="1" x14ac:dyDescent="0.25">
      <c r="B34" s="65" t="str">
        <f>IF(kxSKU="","",IFERROR(_xlfn.AGGREGATE(14,6,tblMovimientos[ID]/(tblMovimientos[SKU]=kxSKU),13),""))</f>
        <v/>
      </c>
      <c r="C34" s="66" t="str">
        <f>IF($B34="","",INDEX(tblMovimientos[Fecha],$B34))</f>
        <v/>
      </c>
      <c r="D34" s="67" t="str">
        <f>IF($B34="","",INDEX(tblMovimientos[Tipo],$B34))</f>
        <v/>
      </c>
      <c r="E34" s="68" t="str">
        <f>IF($B34="","",IF(INDEX(tblMovimientos[CantidadNeta],$B34)&gt;0,INDEX(tblMovimientos[CantidadNeta],$B34),""))</f>
        <v/>
      </c>
      <c r="F34" s="69" t="str">
        <f>IF($B34="","",IF(INDEX(tblMovimientos[CantidadNeta],$B34)&lt;0,-INDEX(tblMovimientos[CantidadNeta],$B34),""))</f>
        <v/>
      </c>
      <c r="G34" s="70" t="str">
        <f>IF($B34="","",INDEX(tblMovimientos[Saldo],$B34))</f>
        <v/>
      </c>
      <c r="H34" s="71" t="str">
        <f>IF($B34="","",INDEX(tblMovimientos[Documento],$B34)&amp;"")</f>
        <v/>
      </c>
      <c r="I34" s="146" t="str">
        <f>IF($B34="","",INDEX(tblMovimientos[Responsable],$B34)&amp;"")</f>
        <v/>
      </c>
      <c r="J34" s="146"/>
      <c r="K34" s="146" t="str">
        <f>IF($B34="","",INDEX(tblMovimientos[Observaciones],$B34)&amp;"")</f>
        <v/>
      </c>
      <c r="L34" s="146"/>
      <c r="M34" s="146"/>
    </row>
    <row r="35" spans="2:13" ht="16.5" customHeight="1" x14ac:dyDescent="0.25">
      <c r="B35" s="65" t="str">
        <f>IF(kxSKU="","",IFERROR(_xlfn.AGGREGATE(14,6,tblMovimientos[ID]/(tblMovimientos[SKU]=kxSKU),14),""))</f>
        <v/>
      </c>
      <c r="C35" s="66" t="str">
        <f>IF($B35="","",INDEX(tblMovimientos[Fecha],$B35))</f>
        <v/>
      </c>
      <c r="D35" s="67" t="str">
        <f>IF($B35="","",INDEX(tblMovimientos[Tipo],$B35))</f>
        <v/>
      </c>
      <c r="E35" s="68" t="str">
        <f>IF($B35="","",IF(INDEX(tblMovimientos[CantidadNeta],$B35)&gt;0,INDEX(tblMovimientos[CantidadNeta],$B35),""))</f>
        <v/>
      </c>
      <c r="F35" s="69" t="str">
        <f>IF($B35="","",IF(INDEX(tblMovimientos[CantidadNeta],$B35)&lt;0,-INDEX(tblMovimientos[CantidadNeta],$B35),""))</f>
        <v/>
      </c>
      <c r="G35" s="70" t="str">
        <f>IF($B35="","",INDEX(tblMovimientos[Saldo],$B35))</f>
        <v/>
      </c>
      <c r="H35" s="71" t="str">
        <f>IF($B35="","",INDEX(tblMovimientos[Documento],$B35)&amp;"")</f>
        <v/>
      </c>
      <c r="I35" s="146" t="str">
        <f>IF($B35="","",INDEX(tblMovimientos[Responsable],$B35)&amp;"")</f>
        <v/>
      </c>
      <c r="J35" s="146"/>
      <c r="K35" s="146" t="str">
        <f>IF($B35="","",INDEX(tblMovimientos[Observaciones],$B35)&amp;"")</f>
        <v/>
      </c>
      <c r="L35" s="146"/>
      <c r="M35" s="146"/>
    </row>
    <row r="36" spans="2:13" ht="16.5" customHeight="1" x14ac:dyDescent="0.25">
      <c r="B36" s="65" t="str">
        <f>IF(kxSKU="","",IFERROR(_xlfn.AGGREGATE(14,6,tblMovimientos[ID]/(tblMovimientos[SKU]=kxSKU),15),""))</f>
        <v/>
      </c>
      <c r="C36" s="66" t="str">
        <f>IF($B36="","",INDEX(tblMovimientos[Fecha],$B36))</f>
        <v/>
      </c>
      <c r="D36" s="67" t="str">
        <f>IF($B36="","",INDEX(tblMovimientos[Tipo],$B36))</f>
        <v/>
      </c>
      <c r="E36" s="68" t="str">
        <f>IF($B36="","",IF(INDEX(tblMovimientos[CantidadNeta],$B36)&gt;0,INDEX(tblMovimientos[CantidadNeta],$B36),""))</f>
        <v/>
      </c>
      <c r="F36" s="69" t="str">
        <f>IF($B36="","",IF(INDEX(tblMovimientos[CantidadNeta],$B36)&lt;0,-INDEX(tblMovimientos[CantidadNeta],$B36),""))</f>
        <v/>
      </c>
      <c r="G36" s="70" t="str">
        <f>IF($B36="","",INDEX(tblMovimientos[Saldo],$B36))</f>
        <v/>
      </c>
      <c r="H36" s="71" t="str">
        <f>IF($B36="","",INDEX(tblMovimientos[Documento],$B36)&amp;"")</f>
        <v/>
      </c>
      <c r="I36" s="146" t="str">
        <f>IF($B36="","",INDEX(tblMovimientos[Responsable],$B36)&amp;"")</f>
        <v/>
      </c>
      <c r="J36" s="146"/>
      <c r="K36" s="146" t="str">
        <f>IF($B36="","",INDEX(tblMovimientos[Observaciones],$B36)&amp;"")</f>
        <v/>
      </c>
      <c r="L36" s="146"/>
      <c r="M36" s="146"/>
    </row>
    <row r="37" spans="2:13" ht="16.5" customHeight="1" x14ac:dyDescent="0.25">
      <c r="B37" s="65" t="str">
        <f>IF(kxSKU="","",IFERROR(_xlfn.AGGREGATE(14,6,tblMovimientos[ID]/(tblMovimientos[SKU]=kxSKU),16),""))</f>
        <v/>
      </c>
      <c r="C37" s="66" t="str">
        <f>IF($B37="","",INDEX(tblMovimientos[Fecha],$B37))</f>
        <v/>
      </c>
      <c r="D37" s="67" t="str">
        <f>IF($B37="","",INDEX(tblMovimientos[Tipo],$B37))</f>
        <v/>
      </c>
      <c r="E37" s="68" t="str">
        <f>IF($B37="","",IF(INDEX(tblMovimientos[CantidadNeta],$B37)&gt;0,INDEX(tblMovimientos[CantidadNeta],$B37),""))</f>
        <v/>
      </c>
      <c r="F37" s="69" t="str">
        <f>IF($B37="","",IF(INDEX(tblMovimientos[CantidadNeta],$B37)&lt;0,-INDEX(tblMovimientos[CantidadNeta],$B37),""))</f>
        <v/>
      </c>
      <c r="G37" s="70" t="str">
        <f>IF($B37="","",INDEX(tblMovimientos[Saldo],$B37))</f>
        <v/>
      </c>
      <c r="H37" s="71" t="str">
        <f>IF($B37="","",INDEX(tblMovimientos[Documento],$B37)&amp;"")</f>
        <v/>
      </c>
      <c r="I37" s="146" t="str">
        <f>IF($B37="","",INDEX(tblMovimientos[Responsable],$B37)&amp;"")</f>
        <v/>
      </c>
      <c r="J37" s="146"/>
      <c r="K37" s="146" t="str">
        <f>IF($B37="","",INDEX(tblMovimientos[Observaciones],$B37)&amp;"")</f>
        <v/>
      </c>
      <c r="L37" s="146"/>
      <c r="M37" s="146"/>
    </row>
    <row r="38" spans="2:13" ht="16.5" customHeight="1" x14ac:dyDescent="0.25">
      <c r="B38" s="65" t="str">
        <f>IF(kxSKU="","",IFERROR(_xlfn.AGGREGATE(14,6,tblMovimientos[ID]/(tblMovimientos[SKU]=kxSKU),17),""))</f>
        <v/>
      </c>
      <c r="C38" s="66" t="str">
        <f>IF($B38="","",INDEX(tblMovimientos[Fecha],$B38))</f>
        <v/>
      </c>
      <c r="D38" s="67" t="str">
        <f>IF($B38="","",INDEX(tblMovimientos[Tipo],$B38))</f>
        <v/>
      </c>
      <c r="E38" s="68" t="str">
        <f>IF($B38="","",IF(INDEX(tblMovimientos[CantidadNeta],$B38)&gt;0,INDEX(tblMovimientos[CantidadNeta],$B38),""))</f>
        <v/>
      </c>
      <c r="F38" s="69" t="str">
        <f>IF($B38="","",IF(INDEX(tblMovimientos[CantidadNeta],$B38)&lt;0,-INDEX(tblMovimientos[CantidadNeta],$B38),""))</f>
        <v/>
      </c>
      <c r="G38" s="70" t="str">
        <f>IF($B38="","",INDEX(tblMovimientos[Saldo],$B38))</f>
        <v/>
      </c>
      <c r="H38" s="71" t="str">
        <f>IF($B38="","",INDEX(tblMovimientos[Documento],$B38)&amp;"")</f>
        <v/>
      </c>
      <c r="I38" s="146" t="str">
        <f>IF($B38="","",INDEX(tblMovimientos[Responsable],$B38)&amp;"")</f>
        <v/>
      </c>
      <c r="J38" s="146"/>
      <c r="K38" s="146" t="str">
        <f>IF($B38="","",INDEX(tblMovimientos[Observaciones],$B38)&amp;"")</f>
        <v/>
      </c>
      <c r="L38" s="146"/>
      <c r="M38" s="146"/>
    </row>
    <row r="39" spans="2:13" ht="16.5" customHeight="1" x14ac:dyDescent="0.25">
      <c r="B39" s="65" t="str">
        <f>IF(kxSKU="","",IFERROR(_xlfn.AGGREGATE(14,6,tblMovimientos[ID]/(tblMovimientos[SKU]=kxSKU),18),""))</f>
        <v/>
      </c>
      <c r="C39" s="66" t="str">
        <f>IF($B39="","",INDEX(tblMovimientos[Fecha],$B39))</f>
        <v/>
      </c>
      <c r="D39" s="67" t="str">
        <f>IF($B39="","",INDEX(tblMovimientos[Tipo],$B39))</f>
        <v/>
      </c>
      <c r="E39" s="68" t="str">
        <f>IF($B39="","",IF(INDEX(tblMovimientos[CantidadNeta],$B39)&gt;0,INDEX(tblMovimientos[CantidadNeta],$B39),""))</f>
        <v/>
      </c>
      <c r="F39" s="69" t="str">
        <f>IF($B39="","",IF(INDEX(tblMovimientos[CantidadNeta],$B39)&lt;0,-INDEX(tblMovimientos[CantidadNeta],$B39),""))</f>
        <v/>
      </c>
      <c r="G39" s="70" t="str">
        <f>IF($B39="","",INDEX(tblMovimientos[Saldo],$B39))</f>
        <v/>
      </c>
      <c r="H39" s="71" t="str">
        <f>IF($B39="","",INDEX(tblMovimientos[Documento],$B39)&amp;"")</f>
        <v/>
      </c>
      <c r="I39" s="146" t="str">
        <f>IF($B39="","",INDEX(tblMovimientos[Responsable],$B39)&amp;"")</f>
        <v/>
      </c>
      <c r="J39" s="146"/>
      <c r="K39" s="146" t="str">
        <f>IF($B39="","",INDEX(tblMovimientos[Observaciones],$B39)&amp;"")</f>
        <v/>
      </c>
      <c r="L39" s="146"/>
      <c r="M39" s="146"/>
    </row>
    <row r="40" spans="2:13" ht="16.5" customHeight="1" x14ac:dyDescent="0.25">
      <c r="B40" s="65" t="str">
        <f>IF(kxSKU="","",IFERROR(_xlfn.AGGREGATE(14,6,tblMovimientos[ID]/(tblMovimientos[SKU]=kxSKU),19),""))</f>
        <v/>
      </c>
      <c r="C40" s="66" t="str">
        <f>IF($B40="","",INDEX(tblMovimientos[Fecha],$B40))</f>
        <v/>
      </c>
      <c r="D40" s="67" t="str">
        <f>IF($B40="","",INDEX(tblMovimientos[Tipo],$B40))</f>
        <v/>
      </c>
      <c r="E40" s="68" t="str">
        <f>IF($B40="","",IF(INDEX(tblMovimientos[CantidadNeta],$B40)&gt;0,INDEX(tblMovimientos[CantidadNeta],$B40),""))</f>
        <v/>
      </c>
      <c r="F40" s="69" t="str">
        <f>IF($B40="","",IF(INDEX(tblMovimientos[CantidadNeta],$B40)&lt;0,-INDEX(tblMovimientos[CantidadNeta],$B40),""))</f>
        <v/>
      </c>
      <c r="G40" s="70" t="str">
        <f>IF($B40="","",INDEX(tblMovimientos[Saldo],$B40))</f>
        <v/>
      </c>
      <c r="H40" s="71" t="str">
        <f>IF($B40="","",INDEX(tblMovimientos[Documento],$B40)&amp;"")</f>
        <v/>
      </c>
      <c r="I40" s="146" t="str">
        <f>IF($B40="","",INDEX(tblMovimientos[Responsable],$B40)&amp;"")</f>
        <v/>
      </c>
      <c r="J40" s="146"/>
      <c r="K40" s="146" t="str">
        <f>IF($B40="","",INDEX(tblMovimientos[Observaciones],$B40)&amp;"")</f>
        <v/>
      </c>
      <c r="L40" s="146"/>
      <c r="M40" s="146"/>
    </row>
    <row r="41" spans="2:13" ht="16.5" customHeight="1" x14ac:dyDescent="0.25">
      <c r="B41" s="65" t="str">
        <f>IF(kxSKU="","",IFERROR(_xlfn.AGGREGATE(14,6,tblMovimientos[ID]/(tblMovimientos[SKU]=kxSKU),20),""))</f>
        <v/>
      </c>
      <c r="C41" s="66" t="str">
        <f>IF($B41="","",INDEX(tblMovimientos[Fecha],$B41))</f>
        <v/>
      </c>
      <c r="D41" s="67" t="str">
        <f>IF($B41="","",INDEX(tblMovimientos[Tipo],$B41))</f>
        <v/>
      </c>
      <c r="E41" s="68" t="str">
        <f>IF($B41="","",IF(INDEX(tblMovimientos[CantidadNeta],$B41)&gt;0,INDEX(tblMovimientos[CantidadNeta],$B41),""))</f>
        <v/>
      </c>
      <c r="F41" s="69" t="str">
        <f>IF($B41="","",IF(INDEX(tblMovimientos[CantidadNeta],$B41)&lt;0,-INDEX(tblMovimientos[CantidadNeta],$B41),""))</f>
        <v/>
      </c>
      <c r="G41" s="70" t="str">
        <f>IF($B41="","",INDEX(tblMovimientos[Saldo],$B41))</f>
        <v/>
      </c>
      <c r="H41" s="71" t="str">
        <f>IF($B41="","",INDEX(tblMovimientos[Documento],$B41)&amp;"")</f>
        <v/>
      </c>
      <c r="I41" s="146" t="str">
        <f>IF($B41="","",INDEX(tblMovimientos[Responsable],$B41)&amp;"")</f>
        <v/>
      </c>
      <c r="J41" s="146"/>
      <c r="K41" s="146" t="str">
        <f>IF($B41="","",INDEX(tblMovimientos[Observaciones],$B41)&amp;"")</f>
        <v/>
      </c>
      <c r="L41" s="146"/>
      <c r="M41" s="146"/>
    </row>
    <row r="42" spans="2:13" ht="16.5" customHeight="1" x14ac:dyDescent="0.25">
      <c r="B42" s="65" t="str">
        <f>IF(kxSKU="","",IFERROR(_xlfn.AGGREGATE(14,6,tblMovimientos[ID]/(tblMovimientos[SKU]=kxSKU),21),""))</f>
        <v/>
      </c>
      <c r="C42" s="66" t="str">
        <f>IF($B42="","",INDEX(tblMovimientos[Fecha],$B42))</f>
        <v/>
      </c>
      <c r="D42" s="67" t="str">
        <f>IF($B42="","",INDEX(tblMovimientos[Tipo],$B42))</f>
        <v/>
      </c>
      <c r="E42" s="68" t="str">
        <f>IF($B42="","",IF(INDEX(tblMovimientos[CantidadNeta],$B42)&gt;0,INDEX(tblMovimientos[CantidadNeta],$B42),""))</f>
        <v/>
      </c>
      <c r="F42" s="69" t="str">
        <f>IF($B42="","",IF(INDEX(tblMovimientos[CantidadNeta],$B42)&lt;0,-INDEX(tblMovimientos[CantidadNeta],$B42),""))</f>
        <v/>
      </c>
      <c r="G42" s="70" t="str">
        <f>IF($B42="","",INDEX(tblMovimientos[Saldo],$B42))</f>
        <v/>
      </c>
      <c r="H42" s="71" t="str">
        <f>IF($B42="","",INDEX(tblMovimientos[Documento],$B42)&amp;"")</f>
        <v/>
      </c>
      <c r="I42" s="146" t="str">
        <f>IF($B42="","",INDEX(tblMovimientos[Responsable],$B42)&amp;"")</f>
        <v/>
      </c>
      <c r="J42" s="146"/>
      <c r="K42" s="146" t="str">
        <f>IF($B42="","",INDEX(tblMovimientos[Observaciones],$B42)&amp;"")</f>
        <v/>
      </c>
      <c r="L42" s="146"/>
      <c r="M42" s="146"/>
    </row>
    <row r="43" spans="2:13" ht="16.5" customHeight="1" x14ac:dyDescent="0.25">
      <c r="B43" s="65" t="str">
        <f>IF(kxSKU="","",IFERROR(_xlfn.AGGREGATE(14,6,tblMovimientos[ID]/(tblMovimientos[SKU]=kxSKU),22),""))</f>
        <v/>
      </c>
      <c r="C43" s="66" t="str">
        <f>IF($B43="","",INDEX(tblMovimientos[Fecha],$B43))</f>
        <v/>
      </c>
      <c r="D43" s="67" t="str">
        <f>IF($B43="","",INDEX(tblMovimientos[Tipo],$B43))</f>
        <v/>
      </c>
      <c r="E43" s="68" t="str">
        <f>IF($B43="","",IF(INDEX(tblMovimientos[CantidadNeta],$B43)&gt;0,INDEX(tblMovimientos[CantidadNeta],$B43),""))</f>
        <v/>
      </c>
      <c r="F43" s="69" t="str">
        <f>IF($B43="","",IF(INDEX(tblMovimientos[CantidadNeta],$B43)&lt;0,-INDEX(tblMovimientos[CantidadNeta],$B43),""))</f>
        <v/>
      </c>
      <c r="G43" s="70" t="str">
        <f>IF($B43="","",INDEX(tblMovimientos[Saldo],$B43))</f>
        <v/>
      </c>
      <c r="H43" s="71" t="str">
        <f>IF($B43="","",INDEX(tblMovimientos[Documento],$B43)&amp;"")</f>
        <v/>
      </c>
      <c r="I43" s="146" t="str">
        <f>IF($B43="","",INDEX(tblMovimientos[Responsable],$B43)&amp;"")</f>
        <v/>
      </c>
      <c r="J43" s="146"/>
      <c r="K43" s="146" t="str">
        <f>IF($B43="","",INDEX(tblMovimientos[Observaciones],$B43)&amp;"")</f>
        <v/>
      </c>
      <c r="L43" s="146"/>
      <c r="M43" s="146"/>
    </row>
    <row r="44" spans="2:13" ht="16.5" customHeight="1" x14ac:dyDescent="0.25">
      <c r="B44" s="65" t="str">
        <f>IF(kxSKU="","",IFERROR(_xlfn.AGGREGATE(14,6,tblMovimientos[ID]/(tblMovimientos[SKU]=kxSKU),23),""))</f>
        <v/>
      </c>
      <c r="C44" s="66" t="str">
        <f>IF($B44="","",INDEX(tblMovimientos[Fecha],$B44))</f>
        <v/>
      </c>
      <c r="D44" s="67" t="str">
        <f>IF($B44="","",INDEX(tblMovimientos[Tipo],$B44))</f>
        <v/>
      </c>
      <c r="E44" s="68" t="str">
        <f>IF($B44="","",IF(INDEX(tblMovimientos[CantidadNeta],$B44)&gt;0,INDEX(tblMovimientos[CantidadNeta],$B44),""))</f>
        <v/>
      </c>
      <c r="F44" s="69" t="str">
        <f>IF($B44="","",IF(INDEX(tblMovimientos[CantidadNeta],$B44)&lt;0,-INDEX(tblMovimientos[CantidadNeta],$B44),""))</f>
        <v/>
      </c>
      <c r="G44" s="70" t="str">
        <f>IF($B44="","",INDEX(tblMovimientos[Saldo],$B44))</f>
        <v/>
      </c>
      <c r="H44" s="71" t="str">
        <f>IF($B44="","",INDEX(tblMovimientos[Documento],$B44)&amp;"")</f>
        <v/>
      </c>
      <c r="I44" s="146" t="str">
        <f>IF($B44="","",INDEX(tblMovimientos[Responsable],$B44)&amp;"")</f>
        <v/>
      </c>
      <c r="J44" s="146"/>
      <c r="K44" s="146" t="str">
        <f>IF($B44="","",INDEX(tblMovimientos[Observaciones],$B44)&amp;"")</f>
        <v/>
      </c>
      <c r="L44" s="146"/>
      <c r="M44" s="146"/>
    </row>
    <row r="45" spans="2:13" ht="16.5" customHeight="1" x14ac:dyDescent="0.25">
      <c r="B45" s="65" t="str">
        <f>IF(kxSKU="","",IFERROR(_xlfn.AGGREGATE(14,6,tblMovimientos[ID]/(tblMovimientos[SKU]=kxSKU),24),""))</f>
        <v/>
      </c>
      <c r="C45" s="66" t="str">
        <f>IF($B45="","",INDEX(tblMovimientos[Fecha],$B45))</f>
        <v/>
      </c>
      <c r="D45" s="67" t="str">
        <f>IF($B45="","",INDEX(tblMovimientos[Tipo],$B45))</f>
        <v/>
      </c>
      <c r="E45" s="68" t="str">
        <f>IF($B45="","",IF(INDEX(tblMovimientos[CantidadNeta],$B45)&gt;0,INDEX(tblMovimientos[CantidadNeta],$B45),""))</f>
        <v/>
      </c>
      <c r="F45" s="69" t="str">
        <f>IF($B45="","",IF(INDEX(tblMovimientos[CantidadNeta],$B45)&lt;0,-INDEX(tblMovimientos[CantidadNeta],$B45),""))</f>
        <v/>
      </c>
      <c r="G45" s="70" t="str">
        <f>IF($B45="","",INDEX(tblMovimientos[Saldo],$B45))</f>
        <v/>
      </c>
      <c r="H45" s="71" t="str">
        <f>IF($B45="","",INDEX(tblMovimientos[Documento],$B45)&amp;"")</f>
        <v/>
      </c>
      <c r="I45" s="146" t="str">
        <f>IF($B45="","",INDEX(tblMovimientos[Responsable],$B45)&amp;"")</f>
        <v/>
      </c>
      <c r="J45" s="146"/>
      <c r="K45" s="146" t="str">
        <f>IF($B45="","",INDEX(tblMovimientos[Observaciones],$B45)&amp;"")</f>
        <v/>
      </c>
      <c r="L45" s="146"/>
      <c r="M45" s="146"/>
    </row>
    <row r="46" spans="2:13" ht="16.5" customHeight="1" x14ac:dyDescent="0.25">
      <c r="B46" s="65" t="str">
        <f>IF(kxSKU="","",IFERROR(_xlfn.AGGREGATE(14,6,tblMovimientos[ID]/(tblMovimientos[SKU]=kxSKU),25),""))</f>
        <v/>
      </c>
      <c r="C46" s="66" t="str">
        <f>IF($B46="","",INDEX(tblMovimientos[Fecha],$B46))</f>
        <v/>
      </c>
      <c r="D46" s="67" t="str">
        <f>IF($B46="","",INDEX(tblMovimientos[Tipo],$B46))</f>
        <v/>
      </c>
      <c r="E46" s="68" t="str">
        <f>IF($B46="","",IF(INDEX(tblMovimientos[CantidadNeta],$B46)&gt;0,INDEX(tblMovimientos[CantidadNeta],$B46),""))</f>
        <v/>
      </c>
      <c r="F46" s="69" t="str">
        <f>IF($B46="","",IF(INDEX(tblMovimientos[CantidadNeta],$B46)&lt;0,-INDEX(tblMovimientos[CantidadNeta],$B46),""))</f>
        <v/>
      </c>
      <c r="G46" s="70" t="str">
        <f>IF($B46="","",INDEX(tblMovimientos[Saldo],$B46))</f>
        <v/>
      </c>
      <c r="H46" s="71" t="str">
        <f>IF($B46="","",INDEX(tblMovimientos[Documento],$B46)&amp;"")</f>
        <v/>
      </c>
      <c r="I46" s="146" t="str">
        <f>IF($B46="","",INDEX(tblMovimientos[Responsable],$B46)&amp;"")</f>
        <v/>
      </c>
      <c r="J46" s="146"/>
      <c r="K46" s="146" t="str">
        <f>IF($B46="","",INDEX(tblMovimientos[Observaciones],$B46)&amp;"")</f>
        <v/>
      </c>
      <c r="L46" s="146"/>
      <c r="M46" s="146"/>
    </row>
    <row r="47" spans="2:13" ht="16.5" customHeight="1" x14ac:dyDescent="0.25">
      <c r="B47" s="65" t="str">
        <f>IF(kxSKU="","",IFERROR(_xlfn.AGGREGATE(14,6,tblMovimientos[ID]/(tblMovimientos[SKU]=kxSKU),26),""))</f>
        <v/>
      </c>
      <c r="C47" s="66" t="str">
        <f>IF($B47="","",INDEX(tblMovimientos[Fecha],$B47))</f>
        <v/>
      </c>
      <c r="D47" s="67" t="str">
        <f>IF($B47="","",INDEX(tblMovimientos[Tipo],$B47))</f>
        <v/>
      </c>
      <c r="E47" s="68" t="str">
        <f>IF($B47="","",IF(INDEX(tblMovimientos[CantidadNeta],$B47)&gt;0,INDEX(tblMovimientos[CantidadNeta],$B47),""))</f>
        <v/>
      </c>
      <c r="F47" s="69" t="str">
        <f>IF($B47="","",IF(INDEX(tblMovimientos[CantidadNeta],$B47)&lt;0,-INDEX(tblMovimientos[CantidadNeta],$B47),""))</f>
        <v/>
      </c>
      <c r="G47" s="70" t="str">
        <f>IF($B47="","",INDEX(tblMovimientos[Saldo],$B47))</f>
        <v/>
      </c>
      <c r="H47" s="71" t="str">
        <f>IF($B47="","",INDEX(tblMovimientos[Documento],$B47)&amp;"")</f>
        <v/>
      </c>
      <c r="I47" s="146" t="str">
        <f>IF($B47="","",INDEX(tblMovimientos[Responsable],$B47)&amp;"")</f>
        <v/>
      </c>
      <c r="J47" s="146"/>
      <c r="K47" s="146" t="str">
        <f>IF($B47="","",INDEX(tblMovimientos[Observaciones],$B47)&amp;"")</f>
        <v/>
      </c>
      <c r="L47" s="146"/>
      <c r="M47" s="146"/>
    </row>
    <row r="48" spans="2:13" ht="16.5" customHeight="1" x14ac:dyDescent="0.25">
      <c r="B48" s="65" t="str">
        <f>IF(kxSKU="","",IFERROR(_xlfn.AGGREGATE(14,6,tblMovimientos[ID]/(tblMovimientos[SKU]=kxSKU),27),""))</f>
        <v/>
      </c>
      <c r="C48" s="66" t="str">
        <f>IF($B48="","",INDEX(tblMovimientos[Fecha],$B48))</f>
        <v/>
      </c>
      <c r="D48" s="67" t="str">
        <f>IF($B48="","",INDEX(tblMovimientos[Tipo],$B48))</f>
        <v/>
      </c>
      <c r="E48" s="68" t="str">
        <f>IF($B48="","",IF(INDEX(tblMovimientos[CantidadNeta],$B48)&gt;0,INDEX(tblMovimientos[CantidadNeta],$B48),""))</f>
        <v/>
      </c>
      <c r="F48" s="69" t="str">
        <f>IF($B48="","",IF(INDEX(tblMovimientos[CantidadNeta],$B48)&lt;0,-INDEX(tblMovimientos[CantidadNeta],$B48),""))</f>
        <v/>
      </c>
      <c r="G48" s="70" t="str">
        <f>IF($B48="","",INDEX(tblMovimientos[Saldo],$B48))</f>
        <v/>
      </c>
      <c r="H48" s="71" t="str">
        <f>IF($B48="","",INDEX(tblMovimientos[Documento],$B48)&amp;"")</f>
        <v/>
      </c>
      <c r="I48" s="146" t="str">
        <f>IF($B48="","",INDEX(tblMovimientos[Responsable],$B48)&amp;"")</f>
        <v/>
      </c>
      <c r="J48" s="146"/>
      <c r="K48" s="146" t="str">
        <f>IF($B48="","",INDEX(tblMovimientos[Observaciones],$B48)&amp;"")</f>
        <v/>
      </c>
      <c r="L48" s="146"/>
      <c r="M48" s="146"/>
    </row>
    <row r="49" spans="2:13" ht="16.5" customHeight="1" x14ac:dyDescent="0.25">
      <c r="B49" s="65" t="str">
        <f>IF(kxSKU="","",IFERROR(_xlfn.AGGREGATE(14,6,tblMovimientos[ID]/(tblMovimientos[SKU]=kxSKU),28),""))</f>
        <v/>
      </c>
      <c r="C49" s="66" t="str">
        <f>IF($B49="","",INDEX(tblMovimientos[Fecha],$B49))</f>
        <v/>
      </c>
      <c r="D49" s="67" t="str">
        <f>IF($B49="","",INDEX(tblMovimientos[Tipo],$B49))</f>
        <v/>
      </c>
      <c r="E49" s="68" t="str">
        <f>IF($B49="","",IF(INDEX(tblMovimientos[CantidadNeta],$B49)&gt;0,INDEX(tblMovimientos[CantidadNeta],$B49),""))</f>
        <v/>
      </c>
      <c r="F49" s="69" t="str">
        <f>IF($B49="","",IF(INDEX(tblMovimientos[CantidadNeta],$B49)&lt;0,-INDEX(tblMovimientos[CantidadNeta],$B49),""))</f>
        <v/>
      </c>
      <c r="G49" s="70" t="str">
        <f>IF($B49="","",INDEX(tblMovimientos[Saldo],$B49))</f>
        <v/>
      </c>
      <c r="H49" s="71" t="str">
        <f>IF($B49="","",INDEX(tblMovimientos[Documento],$B49)&amp;"")</f>
        <v/>
      </c>
      <c r="I49" s="146" t="str">
        <f>IF($B49="","",INDEX(tblMovimientos[Responsable],$B49)&amp;"")</f>
        <v/>
      </c>
      <c r="J49" s="146"/>
      <c r="K49" s="146" t="str">
        <f>IF($B49="","",INDEX(tblMovimientos[Observaciones],$B49)&amp;"")</f>
        <v/>
      </c>
      <c r="L49" s="146"/>
      <c r="M49" s="146"/>
    </row>
    <row r="50" spans="2:13" ht="16.5" customHeight="1" x14ac:dyDescent="0.25">
      <c r="B50" s="65" t="str">
        <f>IF(kxSKU="","",IFERROR(_xlfn.AGGREGATE(14,6,tblMovimientos[ID]/(tblMovimientos[SKU]=kxSKU),29),""))</f>
        <v/>
      </c>
      <c r="C50" s="66" t="str">
        <f>IF($B50="","",INDEX(tblMovimientos[Fecha],$B50))</f>
        <v/>
      </c>
      <c r="D50" s="67" t="str">
        <f>IF($B50="","",INDEX(tblMovimientos[Tipo],$B50))</f>
        <v/>
      </c>
      <c r="E50" s="68" t="str">
        <f>IF($B50="","",IF(INDEX(tblMovimientos[CantidadNeta],$B50)&gt;0,INDEX(tblMovimientos[CantidadNeta],$B50),""))</f>
        <v/>
      </c>
      <c r="F50" s="69" t="str">
        <f>IF($B50="","",IF(INDEX(tblMovimientos[CantidadNeta],$B50)&lt;0,-INDEX(tblMovimientos[CantidadNeta],$B50),""))</f>
        <v/>
      </c>
      <c r="G50" s="70" t="str">
        <f>IF($B50="","",INDEX(tblMovimientos[Saldo],$B50))</f>
        <v/>
      </c>
      <c r="H50" s="71" t="str">
        <f>IF($B50="","",INDEX(tblMovimientos[Documento],$B50)&amp;"")</f>
        <v/>
      </c>
      <c r="I50" s="146" t="str">
        <f>IF($B50="","",INDEX(tblMovimientos[Responsable],$B50)&amp;"")</f>
        <v/>
      </c>
      <c r="J50" s="146"/>
      <c r="K50" s="146" t="str">
        <f>IF($B50="","",INDEX(tblMovimientos[Observaciones],$B50)&amp;"")</f>
        <v/>
      </c>
      <c r="L50" s="146"/>
      <c r="M50" s="146"/>
    </row>
    <row r="51" spans="2:13" ht="16.5" customHeight="1" x14ac:dyDescent="0.25">
      <c r="B51" s="65" t="str">
        <f>IF(kxSKU="","",IFERROR(_xlfn.AGGREGATE(14,6,tblMovimientos[ID]/(tblMovimientos[SKU]=kxSKU),30),""))</f>
        <v/>
      </c>
      <c r="C51" s="66" t="str">
        <f>IF($B51="","",INDEX(tblMovimientos[Fecha],$B51))</f>
        <v/>
      </c>
      <c r="D51" s="67" t="str">
        <f>IF($B51="","",INDEX(tblMovimientos[Tipo],$B51))</f>
        <v/>
      </c>
      <c r="E51" s="68" t="str">
        <f>IF($B51="","",IF(INDEX(tblMovimientos[CantidadNeta],$B51)&gt;0,INDEX(tblMovimientos[CantidadNeta],$B51),""))</f>
        <v/>
      </c>
      <c r="F51" s="69" t="str">
        <f>IF($B51="","",IF(INDEX(tblMovimientos[CantidadNeta],$B51)&lt;0,-INDEX(tblMovimientos[CantidadNeta],$B51),""))</f>
        <v/>
      </c>
      <c r="G51" s="70" t="str">
        <f>IF($B51="","",INDEX(tblMovimientos[Saldo],$B51))</f>
        <v/>
      </c>
      <c r="H51" s="71" t="str">
        <f>IF($B51="","",INDEX(tblMovimientos[Documento],$B51)&amp;"")</f>
        <v/>
      </c>
      <c r="I51" s="146" t="str">
        <f>IF($B51="","",INDEX(tblMovimientos[Responsable],$B51)&amp;"")</f>
        <v/>
      </c>
      <c r="J51" s="146"/>
      <c r="K51" s="146" t="str">
        <f>IF($B51="","",INDEX(tblMovimientos[Observaciones],$B51)&amp;"")</f>
        <v/>
      </c>
      <c r="L51" s="146"/>
      <c r="M51" s="146"/>
    </row>
    <row r="52" spans="2:13" ht="16.5" customHeight="1" x14ac:dyDescent="0.25">
      <c r="B52" s="65" t="str">
        <f>IF(kxSKU="","",IFERROR(_xlfn.AGGREGATE(14,6,tblMovimientos[ID]/(tblMovimientos[SKU]=kxSKU),31),""))</f>
        <v/>
      </c>
      <c r="C52" s="66" t="str">
        <f>IF($B52="","",INDEX(tblMovimientos[Fecha],$B52))</f>
        <v/>
      </c>
      <c r="D52" s="67" t="str">
        <f>IF($B52="","",INDEX(tblMovimientos[Tipo],$B52))</f>
        <v/>
      </c>
      <c r="E52" s="68" t="str">
        <f>IF($B52="","",IF(INDEX(tblMovimientos[CantidadNeta],$B52)&gt;0,INDEX(tblMovimientos[CantidadNeta],$B52),""))</f>
        <v/>
      </c>
      <c r="F52" s="69" t="str">
        <f>IF($B52="","",IF(INDEX(tblMovimientos[CantidadNeta],$B52)&lt;0,-INDEX(tblMovimientos[CantidadNeta],$B52),""))</f>
        <v/>
      </c>
      <c r="G52" s="70" t="str">
        <f>IF($B52="","",INDEX(tblMovimientos[Saldo],$B52))</f>
        <v/>
      </c>
      <c r="H52" s="71" t="str">
        <f>IF($B52="","",INDEX(tblMovimientos[Documento],$B52)&amp;"")</f>
        <v/>
      </c>
      <c r="I52" s="146" t="str">
        <f>IF($B52="","",INDEX(tblMovimientos[Responsable],$B52)&amp;"")</f>
        <v/>
      </c>
      <c r="J52" s="146"/>
      <c r="K52" s="146" t="str">
        <f>IF($B52="","",INDEX(tblMovimientos[Observaciones],$B52)&amp;"")</f>
        <v/>
      </c>
      <c r="L52" s="146"/>
      <c r="M52" s="146"/>
    </row>
    <row r="53" spans="2:13" ht="16.5" customHeight="1" x14ac:dyDescent="0.25">
      <c r="B53" s="65" t="str">
        <f>IF(kxSKU="","",IFERROR(_xlfn.AGGREGATE(14,6,tblMovimientos[ID]/(tblMovimientos[SKU]=kxSKU),32),""))</f>
        <v/>
      </c>
      <c r="C53" s="66" t="str">
        <f>IF($B53="","",INDEX(tblMovimientos[Fecha],$B53))</f>
        <v/>
      </c>
      <c r="D53" s="67" t="str">
        <f>IF($B53="","",INDEX(tblMovimientos[Tipo],$B53))</f>
        <v/>
      </c>
      <c r="E53" s="68" t="str">
        <f>IF($B53="","",IF(INDEX(tblMovimientos[CantidadNeta],$B53)&gt;0,INDEX(tblMovimientos[CantidadNeta],$B53),""))</f>
        <v/>
      </c>
      <c r="F53" s="69" t="str">
        <f>IF($B53="","",IF(INDEX(tblMovimientos[CantidadNeta],$B53)&lt;0,-INDEX(tblMovimientos[CantidadNeta],$B53),""))</f>
        <v/>
      </c>
      <c r="G53" s="70" t="str">
        <f>IF($B53="","",INDEX(tblMovimientos[Saldo],$B53))</f>
        <v/>
      </c>
      <c r="H53" s="71" t="str">
        <f>IF($B53="","",INDEX(tblMovimientos[Documento],$B53)&amp;"")</f>
        <v/>
      </c>
      <c r="I53" s="146" t="str">
        <f>IF($B53="","",INDEX(tblMovimientos[Responsable],$B53)&amp;"")</f>
        <v/>
      </c>
      <c r="J53" s="146"/>
      <c r="K53" s="146" t="str">
        <f>IF($B53="","",INDEX(tblMovimientos[Observaciones],$B53)&amp;"")</f>
        <v/>
      </c>
      <c r="L53" s="146"/>
      <c r="M53" s="146"/>
    </row>
    <row r="54" spans="2:13" ht="16.5" customHeight="1" x14ac:dyDescent="0.25">
      <c r="B54" s="65" t="str">
        <f>IF(kxSKU="","",IFERROR(_xlfn.AGGREGATE(14,6,tblMovimientos[ID]/(tblMovimientos[SKU]=kxSKU),33),""))</f>
        <v/>
      </c>
      <c r="C54" s="66" t="str">
        <f>IF($B54="","",INDEX(tblMovimientos[Fecha],$B54))</f>
        <v/>
      </c>
      <c r="D54" s="67" t="str">
        <f>IF($B54="","",INDEX(tblMovimientos[Tipo],$B54))</f>
        <v/>
      </c>
      <c r="E54" s="68" t="str">
        <f>IF($B54="","",IF(INDEX(tblMovimientos[CantidadNeta],$B54)&gt;0,INDEX(tblMovimientos[CantidadNeta],$B54),""))</f>
        <v/>
      </c>
      <c r="F54" s="69" t="str">
        <f>IF($B54="","",IF(INDEX(tblMovimientos[CantidadNeta],$B54)&lt;0,-INDEX(tblMovimientos[CantidadNeta],$B54),""))</f>
        <v/>
      </c>
      <c r="G54" s="70" t="str">
        <f>IF($B54="","",INDEX(tblMovimientos[Saldo],$B54))</f>
        <v/>
      </c>
      <c r="H54" s="71" t="str">
        <f>IF($B54="","",INDEX(tblMovimientos[Documento],$B54)&amp;"")</f>
        <v/>
      </c>
      <c r="I54" s="146" t="str">
        <f>IF($B54="","",INDEX(tblMovimientos[Responsable],$B54)&amp;"")</f>
        <v/>
      </c>
      <c r="J54" s="146"/>
      <c r="K54" s="146" t="str">
        <f>IF($B54="","",INDEX(tblMovimientos[Observaciones],$B54)&amp;"")</f>
        <v/>
      </c>
      <c r="L54" s="146"/>
      <c r="M54" s="146"/>
    </row>
    <row r="55" spans="2:13" ht="16.5" customHeight="1" x14ac:dyDescent="0.25">
      <c r="B55" s="65" t="str">
        <f>IF(kxSKU="","",IFERROR(_xlfn.AGGREGATE(14,6,tblMovimientos[ID]/(tblMovimientos[SKU]=kxSKU),34),""))</f>
        <v/>
      </c>
      <c r="C55" s="66" t="str">
        <f>IF($B55="","",INDEX(tblMovimientos[Fecha],$B55))</f>
        <v/>
      </c>
      <c r="D55" s="67" t="str">
        <f>IF($B55="","",INDEX(tblMovimientos[Tipo],$B55))</f>
        <v/>
      </c>
      <c r="E55" s="68" t="str">
        <f>IF($B55="","",IF(INDEX(tblMovimientos[CantidadNeta],$B55)&gt;0,INDEX(tblMovimientos[CantidadNeta],$B55),""))</f>
        <v/>
      </c>
      <c r="F55" s="69" t="str">
        <f>IF($B55="","",IF(INDEX(tblMovimientos[CantidadNeta],$B55)&lt;0,-INDEX(tblMovimientos[CantidadNeta],$B55),""))</f>
        <v/>
      </c>
      <c r="G55" s="70" t="str">
        <f>IF($B55="","",INDEX(tblMovimientos[Saldo],$B55))</f>
        <v/>
      </c>
      <c r="H55" s="71" t="str">
        <f>IF($B55="","",INDEX(tblMovimientos[Documento],$B55)&amp;"")</f>
        <v/>
      </c>
      <c r="I55" s="146" t="str">
        <f>IF($B55="","",INDEX(tblMovimientos[Responsable],$B55)&amp;"")</f>
        <v/>
      </c>
      <c r="J55" s="146"/>
      <c r="K55" s="146" t="str">
        <f>IF($B55="","",INDEX(tblMovimientos[Observaciones],$B55)&amp;"")</f>
        <v/>
      </c>
      <c r="L55" s="146"/>
      <c r="M55" s="146"/>
    </row>
    <row r="56" spans="2:13" ht="16.5" customHeight="1" x14ac:dyDescent="0.25">
      <c r="B56" s="65" t="str">
        <f>IF(kxSKU="","",IFERROR(_xlfn.AGGREGATE(14,6,tblMovimientos[ID]/(tblMovimientos[SKU]=kxSKU),35),""))</f>
        <v/>
      </c>
      <c r="C56" s="66" t="str">
        <f>IF($B56="","",INDEX(tblMovimientos[Fecha],$B56))</f>
        <v/>
      </c>
      <c r="D56" s="67" t="str">
        <f>IF($B56="","",INDEX(tblMovimientos[Tipo],$B56))</f>
        <v/>
      </c>
      <c r="E56" s="68" t="str">
        <f>IF($B56="","",IF(INDEX(tblMovimientos[CantidadNeta],$B56)&gt;0,INDEX(tblMovimientos[CantidadNeta],$B56),""))</f>
        <v/>
      </c>
      <c r="F56" s="69" t="str">
        <f>IF($B56="","",IF(INDEX(tblMovimientos[CantidadNeta],$B56)&lt;0,-INDEX(tblMovimientos[CantidadNeta],$B56),""))</f>
        <v/>
      </c>
      <c r="G56" s="70" t="str">
        <f>IF($B56="","",INDEX(tblMovimientos[Saldo],$B56))</f>
        <v/>
      </c>
      <c r="H56" s="71" t="str">
        <f>IF($B56="","",INDEX(tblMovimientos[Documento],$B56)&amp;"")</f>
        <v/>
      </c>
      <c r="I56" s="146" t="str">
        <f>IF($B56="","",INDEX(tblMovimientos[Responsable],$B56)&amp;"")</f>
        <v/>
      </c>
      <c r="J56" s="146"/>
      <c r="K56" s="146" t="str">
        <f>IF($B56="","",INDEX(tblMovimientos[Observaciones],$B56)&amp;"")</f>
        <v/>
      </c>
      <c r="L56" s="146"/>
      <c r="M56" s="146"/>
    </row>
    <row r="57" spans="2:13" ht="16.5" customHeight="1" x14ac:dyDescent="0.25">
      <c r="B57" s="65" t="str">
        <f>IF(kxSKU="","",IFERROR(_xlfn.AGGREGATE(14,6,tblMovimientos[ID]/(tblMovimientos[SKU]=kxSKU),36),""))</f>
        <v/>
      </c>
      <c r="C57" s="66" t="str">
        <f>IF($B57="","",INDEX(tblMovimientos[Fecha],$B57))</f>
        <v/>
      </c>
      <c r="D57" s="67" t="str">
        <f>IF($B57="","",INDEX(tblMovimientos[Tipo],$B57))</f>
        <v/>
      </c>
      <c r="E57" s="68" t="str">
        <f>IF($B57="","",IF(INDEX(tblMovimientos[CantidadNeta],$B57)&gt;0,INDEX(tblMovimientos[CantidadNeta],$B57),""))</f>
        <v/>
      </c>
      <c r="F57" s="69" t="str">
        <f>IF($B57="","",IF(INDEX(tblMovimientos[CantidadNeta],$B57)&lt;0,-INDEX(tblMovimientos[CantidadNeta],$B57),""))</f>
        <v/>
      </c>
      <c r="G57" s="70" t="str">
        <f>IF($B57="","",INDEX(tblMovimientos[Saldo],$B57))</f>
        <v/>
      </c>
      <c r="H57" s="71" t="str">
        <f>IF($B57="","",INDEX(tblMovimientos[Documento],$B57)&amp;"")</f>
        <v/>
      </c>
      <c r="I57" s="146" t="str">
        <f>IF($B57="","",INDEX(tblMovimientos[Responsable],$B57)&amp;"")</f>
        <v/>
      </c>
      <c r="J57" s="146"/>
      <c r="K57" s="146" t="str">
        <f>IF($B57="","",INDEX(tblMovimientos[Observaciones],$B57)&amp;"")</f>
        <v/>
      </c>
      <c r="L57" s="146"/>
      <c r="M57" s="146"/>
    </row>
    <row r="58" spans="2:13" ht="16.5" customHeight="1" x14ac:dyDescent="0.25">
      <c r="B58" s="65" t="str">
        <f>IF(kxSKU="","",IFERROR(_xlfn.AGGREGATE(14,6,tblMovimientos[ID]/(tblMovimientos[SKU]=kxSKU),37),""))</f>
        <v/>
      </c>
      <c r="C58" s="66" t="str">
        <f>IF($B58="","",INDEX(tblMovimientos[Fecha],$B58))</f>
        <v/>
      </c>
      <c r="D58" s="67" t="str">
        <f>IF($B58="","",INDEX(tblMovimientos[Tipo],$B58))</f>
        <v/>
      </c>
      <c r="E58" s="68" t="str">
        <f>IF($B58="","",IF(INDEX(tblMovimientos[CantidadNeta],$B58)&gt;0,INDEX(tblMovimientos[CantidadNeta],$B58),""))</f>
        <v/>
      </c>
      <c r="F58" s="69" t="str">
        <f>IF($B58="","",IF(INDEX(tblMovimientos[CantidadNeta],$B58)&lt;0,-INDEX(tblMovimientos[CantidadNeta],$B58),""))</f>
        <v/>
      </c>
      <c r="G58" s="70" t="str">
        <f>IF($B58="","",INDEX(tblMovimientos[Saldo],$B58))</f>
        <v/>
      </c>
      <c r="H58" s="71" t="str">
        <f>IF($B58="","",INDEX(tblMovimientos[Documento],$B58)&amp;"")</f>
        <v/>
      </c>
      <c r="I58" s="146" t="str">
        <f>IF($B58="","",INDEX(tblMovimientos[Responsable],$B58)&amp;"")</f>
        <v/>
      </c>
      <c r="J58" s="146"/>
      <c r="K58" s="146" t="str">
        <f>IF($B58="","",INDEX(tblMovimientos[Observaciones],$B58)&amp;"")</f>
        <v/>
      </c>
      <c r="L58" s="146"/>
      <c r="M58" s="146"/>
    </row>
    <row r="59" spans="2:13" ht="16.5" customHeight="1" x14ac:dyDescent="0.25">
      <c r="B59" s="65" t="str">
        <f>IF(kxSKU="","",IFERROR(_xlfn.AGGREGATE(14,6,tblMovimientos[ID]/(tblMovimientos[SKU]=kxSKU),38),""))</f>
        <v/>
      </c>
      <c r="C59" s="66" t="str">
        <f>IF($B59="","",INDEX(tblMovimientos[Fecha],$B59))</f>
        <v/>
      </c>
      <c r="D59" s="67" t="str">
        <f>IF($B59="","",INDEX(tblMovimientos[Tipo],$B59))</f>
        <v/>
      </c>
      <c r="E59" s="68" t="str">
        <f>IF($B59="","",IF(INDEX(tblMovimientos[CantidadNeta],$B59)&gt;0,INDEX(tblMovimientos[CantidadNeta],$B59),""))</f>
        <v/>
      </c>
      <c r="F59" s="69" t="str">
        <f>IF($B59="","",IF(INDEX(tblMovimientos[CantidadNeta],$B59)&lt;0,-INDEX(tblMovimientos[CantidadNeta],$B59),""))</f>
        <v/>
      </c>
      <c r="G59" s="70" t="str">
        <f>IF($B59="","",INDEX(tblMovimientos[Saldo],$B59))</f>
        <v/>
      </c>
      <c r="H59" s="71" t="str">
        <f>IF($B59="","",INDEX(tblMovimientos[Documento],$B59)&amp;"")</f>
        <v/>
      </c>
      <c r="I59" s="146" t="str">
        <f>IF($B59="","",INDEX(tblMovimientos[Responsable],$B59)&amp;"")</f>
        <v/>
      </c>
      <c r="J59" s="146"/>
      <c r="K59" s="146" t="str">
        <f>IF($B59="","",INDEX(tblMovimientos[Observaciones],$B59)&amp;"")</f>
        <v/>
      </c>
      <c r="L59" s="146"/>
      <c r="M59" s="146"/>
    </row>
    <row r="60" spans="2:13" ht="16.5" customHeight="1" x14ac:dyDescent="0.25">
      <c r="B60" s="65" t="str">
        <f>IF(kxSKU="","",IFERROR(_xlfn.AGGREGATE(14,6,tblMovimientos[ID]/(tblMovimientos[SKU]=kxSKU),39),""))</f>
        <v/>
      </c>
      <c r="C60" s="66" t="str">
        <f>IF($B60="","",INDEX(tblMovimientos[Fecha],$B60))</f>
        <v/>
      </c>
      <c r="D60" s="67" t="str">
        <f>IF($B60="","",INDEX(tblMovimientos[Tipo],$B60))</f>
        <v/>
      </c>
      <c r="E60" s="68" t="str">
        <f>IF($B60="","",IF(INDEX(tblMovimientos[CantidadNeta],$B60)&gt;0,INDEX(tblMovimientos[CantidadNeta],$B60),""))</f>
        <v/>
      </c>
      <c r="F60" s="69" t="str">
        <f>IF($B60="","",IF(INDEX(tblMovimientos[CantidadNeta],$B60)&lt;0,-INDEX(tblMovimientos[CantidadNeta],$B60),""))</f>
        <v/>
      </c>
      <c r="G60" s="70" t="str">
        <f>IF($B60="","",INDEX(tblMovimientos[Saldo],$B60))</f>
        <v/>
      </c>
      <c r="H60" s="71" t="str">
        <f>IF($B60="","",INDEX(tblMovimientos[Documento],$B60)&amp;"")</f>
        <v/>
      </c>
      <c r="I60" s="146" t="str">
        <f>IF($B60="","",INDEX(tblMovimientos[Responsable],$B60)&amp;"")</f>
        <v/>
      </c>
      <c r="J60" s="146"/>
      <c r="K60" s="146" t="str">
        <f>IF($B60="","",INDEX(tblMovimientos[Observaciones],$B60)&amp;"")</f>
        <v/>
      </c>
      <c r="L60" s="146"/>
      <c r="M60" s="146"/>
    </row>
    <row r="61" spans="2:13" ht="16.5" customHeight="1" x14ac:dyDescent="0.25">
      <c r="B61" s="65" t="str">
        <f>IF(kxSKU="","",IFERROR(_xlfn.AGGREGATE(14,6,tblMovimientos[ID]/(tblMovimientos[SKU]=kxSKU),40),""))</f>
        <v/>
      </c>
      <c r="C61" s="66" t="str">
        <f>IF($B61="","",INDEX(tblMovimientos[Fecha],$B61))</f>
        <v/>
      </c>
      <c r="D61" s="67" t="str">
        <f>IF($B61="","",INDEX(tblMovimientos[Tipo],$B61))</f>
        <v/>
      </c>
      <c r="E61" s="68" t="str">
        <f>IF($B61="","",IF(INDEX(tblMovimientos[CantidadNeta],$B61)&gt;0,INDEX(tblMovimientos[CantidadNeta],$B61),""))</f>
        <v/>
      </c>
      <c r="F61" s="69" t="str">
        <f>IF($B61="","",IF(INDEX(tblMovimientos[CantidadNeta],$B61)&lt;0,-INDEX(tblMovimientos[CantidadNeta],$B61),""))</f>
        <v/>
      </c>
      <c r="G61" s="70" t="str">
        <f>IF($B61="","",INDEX(tblMovimientos[Saldo],$B61))</f>
        <v/>
      </c>
      <c r="H61" s="71" t="str">
        <f>IF($B61="","",INDEX(tblMovimientos[Documento],$B61)&amp;"")</f>
        <v/>
      </c>
      <c r="I61" s="146" t="str">
        <f>IF($B61="","",INDEX(tblMovimientos[Responsable],$B61)&amp;"")</f>
        <v/>
      </c>
      <c r="J61" s="146"/>
      <c r="K61" s="146" t="str">
        <f>IF($B61="","",INDEX(tblMovimientos[Observaciones],$B61)&amp;"")</f>
        <v/>
      </c>
      <c r="L61" s="146"/>
      <c r="M61" s="146"/>
    </row>
    <row r="62" spans="2:13" ht="16.5" customHeight="1" x14ac:dyDescent="0.25">
      <c r="B62" s="65" t="str">
        <f>IF(kxSKU="","",IFERROR(_xlfn.AGGREGATE(14,6,tblMovimientos[ID]/(tblMovimientos[SKU]=kxSKU),41),""))</f>
        <v/>
      </c>
      <c r="C62" s="66" t="str">
        <f>IF($B62="","",INDEX(tblMovimientos[Fecha],$B62))</f>
        <v/>
      </c>
      <c r="D62" s="67" t="str">
        <f>IF($B62="","",INDEX(tblMovimientos[Tipo],$B62))</f>
        <v/>
      </c>
      <c r="E62" s="68" t="str">
        <f>IF($B62="","",IF(INDEX(tblMovimientos[CantidadNeta],$B62)&gt;0,INDEX(tblMovimientos[CantidadNeta],$B62),""))</f>
        <v/>
      </c>
      <c r="F62" s="69" t="str">
        <f>IF($B62="","",IF(INDEX(tblMovimientos[CantidadNeta],$B62)&lt;0,-INDEX(tblMovimientos[CantidadNeta],$B62),""))</f>
        <v/>
      </c>
      <c r="G62" s="70" t="str">
        <f>IF($B62="","",INDEX(tblMovimientos[Saldo],$B62))</f>
        <v/>
      </c>
      <c r="H62" s="71" t="str">
        <f>IF($B62="","",INDEX(tblMovimientos[Documento],$B62)&amp;"")</f>
        <v/>
      </c>
      <c r="I62" s="146" t="str">
        <f>IF($B62="","",INDEX(tblMovimientos[Responsable],$B62)&amp;"")</f>
        <v/>
      </c>
      <c r="J62" s="146"/>
      <c r="K62" s="146" t="str">
        <f>IF($B62="","",INDEX(tblMovimientos[Observaciones],$B62)&amp;"")</f>
        <v/>
      </c>
      <c r="L62" s="146"/>
      <c r="M62" s="146"/>
    </row>
    <row r="63" spans="2:13" ht="16.5" customHeight="1" x14ac:dyDescent="0.25">
      <c r="B63" s="65" t="str">
        <f>IF(kxSKU="","",IFERROR(_xlfn.AGGREGATE(14,6,tblMovimientos[ID]/(tblMovimientos[SKU]=kxSKU),42),""))</f>
        <v/>
      </c>
      <c r="C63" s="66" t="str">
        <f>IF($B63="","",INDEX(tblMovimientos[Fecha],$B63))</f>
        <v/>
      </c>
      <c r="D63" s="67" t="str">
        <f>IF($B63="","",INDEX(tblMovimientos[Tipo],$B63))</f>
        <v/>
      </c>
      <c r="E63" s="68" t="str">
        <f>IF($B63="","",IF(INDEX(tblMovimientos[CantidadNeta],$B63)&gt;0,INDEX(tblMovimientos[CantidadNeta],$B63),""))</f>
        <v/>
      </c>
      <c r="F63" s="69" t="str">
        <f>IF($B63="","",IF(INDEX(tblMovimientos[CantidadNeta],$B63)&lt;0,-INDEX(tblMovimientos[CantidadNeta],$B63),""))</f>
        <v/>
      </c>
      <c r="G63" s="70" t="str">
        <f>IF($B63="","",INDEX(tblMovimientos[Saldo],$B63))</f>
        <v/>
      </c>
      <c r="H63" s="71" t="str">
        <f>IF($B63="","",INDEX(tblMovimientos[Documento],$B63)&amp;"")</f>
        <v/>
      </c>
      <c r="I63" s="146" t="str">
        <f>IF($B63="","",INDEX(tblMovimientos[Responsable],$B63)&amp;"")</f>
        <v/>
      </c>
      <c r="J63" s="146"/>
      <c r="K63" s="146" t="str">
        <f>IF($B63="","",INDEX(tblMovimientos[Observaciones],$B63)&amp;"")</f>
        <v/>
      </c>
      <c r="L63" s="146"/>
      <c r="M63" s="146"/>
    </row>
    <row r="64" spans="2:13" ht="16.5" customHeight="1" x14ac:dyDescent="0.25">
      <c r="B64" s="65" t="str">
        <f>IF(kxSKU="","",IFERROR(_xlfn.AGGREGATE(14,6,tblMovimientos[ID]/(tblMovimientos[SKU]=kxSKU),43),""))</f>
        <v/>
      </c>
      <c r="C64" s="66" t="str">
        <f>IF($B64="","",INDEX(tblMovimientos[Fecha],$B64))</f>
        <v/>
      </c>
      <c r="D64" s="67" t="str">
        <f>IF($B64="","",INDEX(tblMovimientos[Tipo],$B64))</f>
        <v/>
      </c>
      <c r="E64" s="68" t="str">
        <f>IF($B64="","",IF(INDEX(tblMovimientos[CantidadNeta],$B64)&gt;0,INDEX(tblMovimientos[CantidadNeta],$B64),""))</f>
        <v/>
      </c>
      <c r="F64" s="69" t="str">
        <f>IF($B64="","",IF(INDEX(tblMovimientos[CantidadNeta],$B64)&lt;0,-INDEX(tblMovimientos[CantidadNeta],$B64),""))</f>
        <v/>
      </c>
      <c r="G64" s="70" t="str">
        <f>IF($B64="","",INDEX(tblMovimientos[Saldo],$B64))</f>
        <v/>
      </c>
      <c r="H64" s="71" t="str">
        <f>IF($B64="","",INDEX(tblMovimientos[Documento],$B64)&amp;"")</f>
        <v/>
      </c>
      <c r="I64" s="146" t="str">
        <f>IF($B64="","",INDEX(tblMovimientos[Responsable],$B64)&amp;"")</f>
        <v/>
      </c>
      <c r="J64" s="146"/>
      <c r="K64" s="146" t="str">
        <f>IF($B64="","",INDEX(tblMovimientos[Observaciones],$B64)&amp;"")</f>
        <v/>
      </c>
      <c r="L64" s="146"/>
      <c r="M64" s="146"/>
    </row>
    <row r="65" spans="2:13" ht="16.5" customHeight="1" x14ac:dyDescent="0.25">
      <c r="B65" s="65" t="str">
        <f>IF(kxSKU="","",IFERROR(_xlfn.AGGREGATE(14,6,tblMovimientos[ID]/(tblMovimientos[SKU]=kxSKU),44),""))</f>
        <v/>
      </c>
      <c r="C65" s="66" t="str">
        <f>IF($B65="","",INDEX(tblMovimientos[Fecha],$B65))</f>
        <v/>
      </c>
      <c r="D65" s="67" t="str">
        <f>IF($B65="","",INDEX(tblMovimientos[Tipo],$B65))</f>
        <v/>
      </c>
      <c r="E65" s="68" t="str">
        <f>IF($B65="","",IF(INDEX(tblMovimientos[CantidadNeta],$B65)&gt;0,INDEX(tblMovimientos[CantidadNeta],$B65),""))</f>
        <v/>
      </c>
      <c r="F65" s="69" t="str">
        <f>IF($B65="","",IF(INDEX(tblMovimientos[CantidadNeta],$B65)&lt;0,-INDEX(tblMovimientos[CantidadNeta],$B65),""))</f>
        <v/>
      </c>
      <c r="G65" s="70" t="str">
        <f>IF($B65="","",INDEX(tblMovimientos[Saldo],$B65))</f>
        <v/>
      </c>
      <c r="H65" s="71" t="str">
        <f>IF($B65="","",INDEX(tblMovimientos[Documento],$B65)&amp;"")</f>
        <v/>
      </c>
      <c r="I65" s="146" t="str">
        <f>IF($B65="","",INDEX(tblMovimientos[Responsable],$B65)&amp;"")</f>
        <v/>
      </c>
      <c r="J65" s="146"/>
      <c r="K65" s="146" t="str">
        <f>IF($B65="","",INDEX(tblMovimientos[Observaciones],$B65)&amp;"")</f>
        <v/>
      </c>
      <c r="L65" s="146"/>
      <c r="M65" s="146"/>
    </row>
    <row r="66" spans="2:13" ht="16.5" customHeight="1" x14ac:dyDescent="0.25">
      <c r="B66" s="65" t="str">
        <f>IF(kxSKU="","",IFERROR(_xlfn.AGGREGATE(14,6,tblMovimientos[ID]/(tblMovimientos[SKU]=kxSKU),45),""))</f>
        <v/>
      </c>
      <c r="C66" s="66" t="str">
        <f>IF($B66="","",INDEX(tblMovimientos[Fecha],$B66))</f>
        <v/>
      </c>
      <c r="D66" s="67" t="str">
        <f>IF($B66="","",INDEX(tblMovimientos[Tipo],$B66))</f>
        <v/>
      </c>
      <c r="E66" s="68" t="str">
        <f>IF($B66="","",IF(INDEX(tblMovimientos[CantidadNeta],$B66)&gt;0,INDEX(tblMovimientos[CantidadNeta],$B66),""))</f>
        <v/>
      </c>
      <c r="F66" s="69" t="str">
        <f>IF($B66="","",IF(INDEX(tblMovimientos[CantidadNeta],$B66)&lt;0,-INDEX(tblMovimientos[CantidadNeta],$B66),""))</f>
        <v/>
      </c>
      <c r="G66" s="70" t="str">
        <f>IF($B66="","",INDEX(tblMovimientos[Saldo],$B66))</f>
        <v/>
      </c>
      <c r="H66" s="71" t="str">
        <f>IF($B66="","",INDEX(tblMovimientos[Documento],$B66)&amp;"")</f>
        <v/>
      </c>
      <c r="I66" s="146" t="str">
        <f>IF($B66="","",INDEX(tblMovimientos[Responsable],$B66)&amp;"")</f>
        <v/>
      </c>
      <c r="J66" s="146"/>
      <c r="K66" s="146" t="str">
        <f>IF($B66="","",INDEX(tblMovimientos[Observaciones],$B66)&amp;"")</f>
        <v/>
      </c>
      <c r="L66" s="146"/>
      <c r="M66" s="146"/>
    </row>
    <row r="67" spans="2:13" ht="16.5" customHeight="1" x14ac:dyDescent="0.25">
      <c r="B67" s="65" t="str">
        <f>IF(kxSKU="","",IFERROR(_xlfn.AGGREGATE(14,6,tblMovimientos[ID]/(tblMovimientos[SKU]=kxSKU),46),""))</f>
        <v/>
      </c>
      <c r="C67" s="66" t="str">
        <f>IF($B67="","",INDEX(tblMovimientos[Fecha],$B67))</f>
        <v/>
      </c>
      <c r="D67" s="67" t="str">
        <f>IF($B67="","",INDEX(tblMovimientos[Tipo],$B67))</f>
        <v/>
      </c>
      <c r="E67" s="68" t="str">
        <f>IF($B67="","",IF(INDEX(tblMovimientos[CantidadNeta],$B67)&gt;0,INDEX(tblMovimientos[CantidadNeta],$B67),""))</f>
        <v/>
      </c>
      <c r="F67" s="69" t="str">
        <f>IF($B67="","",IF(INDEX(tblMovimientos[CantidadNeta],$B67)&lt;0,-INDEX(tblMovimientos[CantidadNeta],$B67),""))</f>
        <v/>
      </c>
      <c r="G67" s="70" t="str">
        <f>IF($B67="","",INDEX(tblMovimientos[Saldo],$B67))</f>
        <v/>
      </c>
      <c r="H67" s="71" t="str">
        <f>IF($B67="","",INDEX(tblMovimientos[Documento],$B67)&amp;"")</f>
        <v/>
      </c>
      <c r="I67" s="146" t="str">
        <f>IF($B67="","",INDEX(tblMovimientos[Responsable],$B67)&amp;"")</f>
        <v/>
      </c>
      <c r="J67" s="146"/>
      <c r="K67" s="146" t="str">
        <f>IF($B67="","",INDEX(tblMovimientos[Observaciones],$B67)&amp;"")</f>
        <v/>
      </c>
      <c r="L67" s="146"/>
      <c r="M67" s="146"/>
    </row>
    <row r="68" spans="2:13" ht="16.5" customHeight="1" x14ac:dyDescent="0.25">
      <c r="B68" s="65" t="str">
        <f>IF(kxSKU="","",IFERROR(_xlfn.AGGREGATE(14,6,tblMovimientos[ID]/(tblMovimientos[SKU]=kxSKU),47),""))</f>
        <v/>
      </c>
      <c r="C68" s="66" t="str">
        <f>IF($B68="","",INDEX(tblMovimientos[Fecha],$B68))</f>
        <v/>
      </c>
      <c r="D68" s="67" t="str">
        <f>IF($B68="","",INDEX(tblMovimientos[Tipo],$B68))</f>
        <v/>
      </c>
      <c r="E68" s="68" t="str">
        <f>IF($B68="","",IF(INDEX(tblMovimientos[CantidadNeta],$B68)&gt;0,INDEX(tblMovimientos[CantidadNeta],$B68),""))</f>
        <v/>
      </c>
      <c r="F68" s="69" t="str">
        <f>IF($B68="","",IF(INDEX(tblMovimientos[CantidadNeta],$B68)&lt;0,-INDEX(tblMovimientos[CantidadNeta],$B68),""))</f>
        <v/>
      </c>
      <c r="G68" s="70" t="str">
        <f>IF($B68="","",INDEX(tblMovimientos[Saldo],$B68))</f>
        <v/>
      </c>
      <c r="H68" s="71" t="str">
        <f>IF($B68="","",INDEX(tblMovimientos[Documento],$B68)&amp;"")</f>
        <v/>
      </c>
      <c r="I68" s="146" t="str">
        <f>IF($B68="","",INDEX(tblMovimientos[Responsable],$B68)&amp;"")</f>
        <v/>
      </c>
      <c r="J68" s="146"/>
      <c r="K68" s="146" t="str">
        <f>IF($B68="","",INDEX(tblMovimientos[Observaciones],$B68)&amp;"")</f>
        <v/>
      </c>
      <c r="L68" s="146"/>
      <c r="M68" s="146"/>
    </row>
    <row r="69" spans="2:13" ht="16.5" customHeight="1" x14ac:dyDescent="0.25">
      <c r="B69" s="65" t="str">
        <f>IF(kxSKU="","",IFERROR(_xlfn.AGGREGATE(14,6,tblMovimientos[ID]/(tblMovimientos[SKU]=kxSKU),48),""))</f>
        <v/>
      </c>
      <c r="C69" s="66" t="str">
        <f>IF($B69="","",INDEX(tblMovimientos[Fecha],$B69))</f>
        <v/>
      </c>
      <c r="D69" s="67" t="str">
        <f>IF($B69="","",INDEX(tblMovimientos[Tipo],$B69))</f>
        <v/>
      </c>
      <c r="E69" s="68" t="str">
        <f>IF($B69="","",IF(INDEX(tblMovimientos[CantidadNeta],$B69)&gt;0,INDEX(tblMovimientos[CantidadNeta],$B69),""))</f>
        <v/>
      </c>
      <c r="F69" s="69" t="str">
        <f>IF($B69="","",IF(INDEX(tblMovimientos[CantidadNeta],$B69)&lt;0,-INDEX(tblMovimientos[CantidadNeta],$B69),""))</f>
        <v/>
      </c>
      <c r="G69" s="70" t="str">
        <f>IF($B69="","",INDEX(tblMovimientos[Saldo],$B69))</f>
        <v/>
      </c>
      <c r="H69" s="71" t="str">
        <f>IF($B69="","",INDEX(tblMovimientos[Documento],$B69)&amp;"")</f>
        <v/>
      </c>
      <c r="I69" s="146" t="str">
        <f>IF($B69="","",INDEX(tblMovimientos[Responsable],$B69)&amp;"")</f>
        <v/>
      </c>
      <c r="J69" s="146"/>
      <c r="K69" s="146" t="str">
        <f>IF($B69="","",INDEX(tblMovimientos[Observaciones],$B69)&amp;"")</f>
        <v/>
      </c>
      <c r="L69" s="146"/>
      <c r="M69" s="146"/>
    </row>
    <row r="70" spans="2:13" ht="16.5" customHeight="1" x14ac:dyDescent="0.25">
      <c r="B70" s="65" t="str">
        <f>IF(kxSKU="","",IFERROR(_xlfn.AGGREGATE(14,6,tblMovimientos[ID]/(tblMovimientos[SKU]=kxSKU),49),""))</f>
        <v/>
      </c>
      <c r="C70" s="66" t="str">
        <f>IF($B70="","",INDEX(tblMovimientos[Fecha],$B70))</f>
        <v/>
      </c>
      <c r="D70" s="67" t="str">
        <f>IF($B70="","",INDEX(tblMovimientos[Tipo],$B70))</f>
        <v/>
      </c>
      <c r="E70" s="68" t="str">
        <f>IF($B70="","",IF(INDEX(tblMovimientos[CantidadNeta],$B70)&gt;0,INDEX(tblMovimientos[CantidadNeta],$B70),""))</f>
        <v/>
      </c>
      <c r="F70" s="69" t="str">
        <f>IF($B70="","",IF(INDEX(tblMovimientos[CantidadNeta],$B70)&lt;0,-INDEX(tblMovimientos[CantidadNeta],$B70),""))</f>
        <v/>
      </c>
      <c r="G70" s="70" t="str">
        <f>IF($B70="","",INDEX(tblMovimientos[Saldo],$B70))</f>
        <v/>
      </c>
      <c r="H70" s="71" t="str">
        <f>IF($B70="","",INDEX(tblMovimientos[Documento],$B70)&amp;"")</f>
        <v/>
      </c>
      <c r="I70" s="146" t="str">
        <f>IF($B70="","",INDEX(tblMovimientos[Responsable],$B70)&amp;"")</f>
        <v/>
      </c>
      <c r="J70" s="146"/>
      <c r="K70" s="146" t="str">
        <f>IF($B70="","",INDEX(tblMovimientos[Observaciones],$B70)&amp;"")</f>
        <v/>
      </c>
      <c r="L70" s="146"/>
      <c r="M70" s="146"/>
    </row>
    <row r="71" spans="2:13" ht="16.5" customHeight="1" x14ac:dyDescent="0.25">
      <c r="B71" s="65" t="str">
        <f>IF(kxSKU="","",IFERROR(_xlfn.AGGREGATE(14,6,tblMovimientos[ID]/(tblMovimientos[SKU]=kxSKU),50),""))</f>
        <v/>
      </c>
      <c r="C71" s="66" t="str">
        <f>IF($B71="","",INDEX(tblMovimientos[Fecha],$B71))</f>
        <v/>
      </c>
      <c r="D71" s="67" t="str">
        <f>IF($B71="","",INDEX(tblMovimientos[Tipo],$B71))</f>
        <v/>
      </c>
      <c r="E71" s="68" t="str">
        <f>IF($B71="","",IF(INDEX(tblMovimientos[CantidadNeta],$B71)&gt;0,INDEX(tblMovimientos[CantidadNeta],$B71),""))</f>
        <v/>
      </c>
      <c r="F71" s="69" t="str">
        <f>IF($B71="","",IF(INDEX(tblMovimientos[CantidadNeta],$B71)&lt;0,-INDEX(tblMovimientos[CantidadNeta],$B71),""))</f>
        <v/>
      </c>
      <c r="G71" s="70" t="str">
        <f>IF($B71="","",INDEX(tblMovimientos[Saldo],$B71))</f>
        <v/>
      </c>
      <c r="H71" s="71" t="str">
        <f>IF($B71="","",INDEX(tblMovimientos[Documento],$B71)&amp;"")</f>
        <v/>
      </c>
      <c r="I71" s="146" t="str">
        <f>IF($B71="","",INDEX(tblMovimientos[Responsable],$B71)&amp;"")</f>
        <v/>
      </c>
      <c r="J71" s="146"/>
      <c r="K71" s="146" t="str">
        <f>IF($B71="","",INDEX(tblMovimientos[Observaciones],$B71)&amp;"")</f>
        <v/>
      </c>
      <c r="L71" s="146"/>
      <c r="M71" s="146"/>
    </row>
    <row r="72" spans="2:13" ht="16.5" customHeight="1" x14ac:dyDescent="0.25">
      <c r="B72" s="65" t="str">
        <f>IF(kxSKU="","",IFERROR(_xlfn.AGGREGATE(14,6,tblMovimientos[ID]/(tblMovimientos[SKU]=kxSKU),51),""))</f>
        <v/>
      </c>
      <c r="C72" s="66" t="str">
        <f>IF($B72="","",INDEX(tblMovimientos[Fecha],$B72))</f>
        <v/>
      </c>
      <c r="D72" s="67" t="str">
        <f>IF($B72="","",INDEX(tblMovimientos[Tipo],$B72))</f>
        <v/>
      </c>
      <c r="E72" s="68" t="str">
        <f>IF($B72="","",IF(INDEX(tblMovimientos[CantidadNeta],$B72)&gt;0,INDEX(tblMovimientos[CantidadNeta],$B72),""))</f>
        <v/>
      </c>
      <c r="F72" s="69" t="str">
        <f>IF($B72="","",IF(INDEX(tblMovimientos[CantidadNeta],$B72)&lt;0,-INDEX(tblMovimientos[CantidadNeta],$B72),""))</f>
        <v/>
      </c>
      <c r="G72" s="70" t="str">
        <f>IF($B72="","",INDEX(tblMovimientos[Saldo],$B72))</f>
        <v/>
      </c>
      <c r="H72" s="71" t="str">
        <f>IF($B72="","",INDEX(tblMovimientos[Documento],$B72)&amp;"")</f>
        <v/>
      </c>
      <c r="I72" s="146" t="str">
        <f>IF($B72="","",INDEX(tblMovimientos[Responsable],$B72)&amp;"")</f>
        <v/>
      </c>
      <c r="J72" s="146"/>
      <c r="K72" s="146" t="str">
        <f>IF($B72="","",INDEX(tblMovimientos[Observaciones],$B72)&amp;"")</f>
        <v/>
      </c>
      <c r="L72" s="146"/>
      <c r="M72" s="146"/>
    </row>
    <row r="73" spans="2:13" ht="16.5" customHeight="1" x14ac:dyDescent="0.25">
      <c r="B73" s="65" t="str">
        <f>IF(kxSKU="","",IFERROR(_xlfn.AGGREGATE(14,6,tblMovimientos[ID]/(tblMovimientos[SKU]=kxSKU),52),""))</f>
        <v/>
      </c>
      <c r="C73" s="66" t="str">
        <f>IF($B73="","",INDEX(tblMovimientos[Fecha],$B73))</f>
        <v/>
      </c>
      <c r="D73" s="67" t="str">
        <f>IF($B73="","",INDEX(tblMovimientos[Tipo],$B73))</f>
        <v/>
      </c>
      <c r="E73" s="68" t="str">
        <f>IF($B73="","",IF(INDEX(tblMovimientos[CantidadNeta],$B73)&gt;0,INDEX(tblMovimientos[CantidadNeta],$B73),""))</f>
        <v/>
      </c>
      <c r="F73" s="69" t="str">
        <f>IF($B73="","",IF(INDEX(tblMovimientos[CantidadNeta],$B73)&lt;0,-INDEX(tblMovimientos[CantidadNeta],$B73),""))</f>
        <v/>
      </c>
      <c r="G73" s="70" t="str">
        <f>IF($B73="","",INDEX(tblMovimientos[Saldo],$B73))</f>
        <v/>
      </c>
      <c r="H73" s="71" t="str">
        <f>IF($B73="","",INDEX(tblMovimientos[Documento],$B73)&amp;"")</f>
        <v/>
      </c>
      <c r="I73" s="146" t="str">
        <f>IF($B73="","",INDEX(tblMovimientos[Responsable],$B73)&amp;"")</f>
        <v/>
      </c>
      <c r="J73" s="146"/>
      <c r="K73" s="146" t="str">
        <f>IF($B73="","",INDEX(tblMovimientos[Observaciones],$B73)&amp;"")</f>
        <v/>
      </c>
      <c r="L73" s="146"/>
      <c r="M73" s="146"/>
    </row>
    <row r="74" spans="2:13" ht="16.5" customHeight="1" x14ac:dyDescent="0.25">
      <c r="B74" s="65" t="str">
        <f>IF(kxSKU="","",IFERROR(_xlfn.AGGREGATE(14,6,tblMovimientos[ID]/(tblMovimientos[SKU]=kxSKU),53),""))</f>
        <v/>
      </c>
      <c r="C74" s="66" t="str">
        <f>IF($B74="","",INDEX(tblMovimientos[Fecha],$B74))</f>
        <v/>
      </c>
      <c r="D74" s="67" t="str">
        <f>IF($B74="","",INDEX(tblMovimientos[Tipo],$B74))</f>
        <v/>
      </c>
      <c r="E74" s="68" t="str">
        <f>IF($B74="","",IF(INDEX(tblMovimientos[CantidadNeta],$B74)&gt;0,INDEX(tblMovimientos[CantidadNeta],$B74),""))</f>
        <v/>
      </c>
      <c r="F74" s="69" t="str">
        <f>IF($B74="","",IF(INDEX(tblMovimientos[CantidadNeta],$B74)&lt;0,-INDEX(tblMovimientos[CantidadNeta],$B74),""))</f>
        <v/>
      </c>
      <c r="G74" s="70" t="str">
        <f>IF($B74="","",INDEX(tblMovimientos[Saldo],$B74))</f>
        <v/>
      </c>
      <c r="H74" s="71" t="str">
        <f>IF($B74="","",INDEX(tblMovimientos[Documento],$B74)&amp;"")</f>
        <v/>
      </c>
      <c r="I74" s="146" t="str">
        <f>IF($B74="","",INDEX(tblMovimientos[Responsable],$B74)&amp;"")</f>
        <v/>
      </c>
      <c r="J74" s="146"/>
      <c r="K74" s="146" t="str">
        <f>IF($B74="","",INDEX(tblMovimientos[Observaciones],$B74)&amp;"")</f>
        <v/>
      </c>
      <c r="L74" s="146"/>
      <c r="M74" s="146"/>
    </row>
    <row r="75" spans="2:13" ht="16.5" customHeight="1" x14ac:dyDescent="0.25">
      <c r="B75" s="65" t="str">
        <f>IF(kxSKU="","",IFERROR(_xlfn.AGGREGATE(14,6,tblMovimientos[ID]/(tblMovimientos[SKU]=kxSKU),54),""))</f>
        <v/>
      </c>
      <c r="C75" s="66" t="str">
        <f>IF($B75="","",INDEX(tblMovimientos[Fecha],$B75))</f>
        <v/>
      </c>
      <c r="D75" s="67" t="str">
        <f>IF($B75="","",INDEX(tblMovimientos[Tipo],$B75))</f>
        <v/>
      </c>
      <c r="E75" s="68" t="str">
        <f>IF($B75="","",IF(INDEX(tblMovimientos[CantidadNeta],$B75)&gt;0,INDEX(tblMovimientos[CantidadNeta],$B75),""))</f>
        <v/>
      </c>
      <c r="F75" s="69" t="str">
        <f>IF($B75="","",IF(INDEX(tblMovimientos[CantidadNeta],$B75)&lt;0,-INDEX(tblMovimientos[CantidadNeta],$B75),""))</f>
        <v/>
      </c>
      <c r="G75" s="70" t="str">
        <f>IF($B75="","",INDEX(tblMovimientos[Saldo],$B75))</f>
        <v/>
      </c>
      <c r="H75" s="71" t="str">
        <f>IF($B75="","",INDEX(tblMovimientos[Documento],$B75)&amp;"")</f>
        <v/>
      </c>
      <c r="I75" s="146" t="str">
        <f>IF($B75="","",INDEX(tblMovimientos[Responsable],$B75)&amp;"")</f>
        <v/>
      </c>
      <c r="J75" s="146"/>
      <c r="K75" s="146" t="str">
        <f>IF($B75="","",INDEX(tblMovimientos[Observaciones],$B75)&amp;"")</f>
        <v/>
      </c>
      <c r="L75" s="146"/>
      <c r="M75" s="146"/>
    </row>
    <row r="76" spans="2:13" ht="16.5" customHeight="1" x14ac:dyDescent="0.25">
      <c r="B76" s="65" t="str">
        <f>IF(kxSKU="","",IFERROR(_xlfn.AGGREGATE(14,6,tblMovimientos[ID]/(tblMovimientos[SKU]=kxSKU),55),""))</f>
        <v/>
      </c>
      <c r="C76" s="66" t="str">
        <f>IF($B76="","",INDEX(tblMovimientos[Fecha],$B76))</f>
        <v/>
      </c>
      <c r="D76" s="67" t="str">
        <f>IF($B76="","",INDEX(tblMovimientos[Tipo],$B76))</f>
        <v/>
      </c>
      <c r="E76" s="68" t="str">
        <f>IF($B76="","",IF(INDEX(tblMovimientos[CantidadNeta],$B76)&gt;0,INDEX(tblMovimientos[CantidadNeta],$B76),""))</f>
        <v/>
      </c>
      <c r="F76" s="69" t="str">
        <f>IF($B76="","",IF(INDEX(tblMovimientos[CantidadNeta],$B76)&lt;0,-INDEX(tblMovimientos[CantidadNeta],$B76),""))</f>
        <v/>
      </c>
      <c r="G76" s="70" t="str">
        <f>IF($B76="","",INDEX(tblMovimientos[Saldo],$B76))</f>
        <v/>
      </c>
      <c r="H76" s="71" t="str">
        <f>IF($B76="","",INDEX(tblMovimientos[Documento],$B76)&amp;"")</f>
        <v/>
      </c>
      <c r="I76" s="146" t="str">
        <f>IF($B76="","",INDEX(tblMovimientos[Responsable],$B76)&amp;"")</f>
        <v/>
      </c>
      <c r="J76" s="146"/>
      <c r="K76" s="146" t="str">
        <f>IF($B76="","",INDEX(tblMovimientos[Observaciones],$B76)&amp;"")</f>
        <v/>
      </c>
      <c r="L76" s="146"/>
      <c r="M76" s="146"/>
    </row>
    <row r="77" spans="2:13" ht="16.5" customHeight="1" x14ac:dyDescent="0.25">
      <c r="B77" s="65" t="str">
        <f>IF(kxSKU="","",IFERROR(_xlfn.AGGREGATE(14,6,tblMovimientos[ID]/(tblMovimientos[SKU]=kxSKU),56),""))</f>
        <v/>
      </c>
      <c r="C77" s="66" t="str">
        <f>IF($B77="","",INDEX(tblMovimientos[Fecha],$B77))</f>
        <v/>
      </c>
      <c r="D77" s="67" t="str">
        <f>IF($B77="","",INDEX(tblMovimientos[Tipo],$B77))</f>
        <v/>
      </c>
      <c r="E77" s="68" t="str">
        <f>IF($B77="","",IF(INDEX(tblMovimientos[CantidadNeta],$B77)&gt;0,INDEX(tblMovimientos[CantidadNeta],$B77),""))</f>
        <v/>
      </c>
      <c r="F77" s="69" t="str">
        <f>IF($B77="","",IF(INDEX(tblMovimientos[CantidadNeta],$B77)&lt;0,-INDEX(tblMovimientos[CantidadNeta],$B77),""))</f>
        <v/>
      </c>
      <c r="G77" s="70" t="str">
        <f>IF($B77="","",INDEX(tblMovimientos[Saldo],$B77))</f>
        <v/>
      </c>
      <c r="H77" s="71" t="str">
        <f>IF($B77="","",INDEX(tblMovimientos[Documento],$B77)&amp;"")</f>
        <v/>
      </c>
      <c r="I77" s="146" t="str">
        <f>IF($B77="","",INDEX(tblMovimientos[Responsable],$B77)&amp;"")</f>
        <v/>
      </c>
      <c r="J77" s="146"/>
      <c r="K77" s="146" t="str">
        <f>IF($B77="","",INDEX(tblMovimientos[Observaciones],$B77)&amp;"")</f>
        <v/>
      </c>
      <c r="L77" s="146"/>
      <c r="M77" s="146"/>
    </row>
    <row r="78" spans="2:13" ht="16.5" customHeight="1" x14ac:dyDescent="0.25">
      <c r="B78" s="65" t="str">
        <f>IF(kxSKU="","",IFERROR(_xlfn.AGGREGATE(14,6,tblMovimientos[ID]/(tblMovimientos[SKU]=kxSKU),57),""))</f>
        <v/>
      </c>
      <c r="C78" s="66" t="str">
        <f>IF($B78="","",INDEX(tblMovimientos[Fecha],$B78))</f>
        <v/>
      </c>
      <c r="D78" s="67" t="str">
        <f>IF($B78="","",INDEX(tblMovimientos[Tipo],$B78))</f>
        <v/>
      </c>
      <c r="E78" s="68" t="str">
        <f>IF($B78="","",IF(INDEX(tblMovimientos[CantidadNeta],$B78)&gt;0,INDEX(tblMovimientos[CantidadNeta],$B78),""))</f>
        <v/>
      </c>
      <c r="F78" s="69" t="str">
        <f>IF($B78="","",IF(INDEX(tblMovimientos[CantidadNeta],$B78)&lt;0,-INDEX(tblMovimientos[CantidadNeta],$B78),""))</f>
        <v/>
      </c>
      <c r="G78" s="70" t="str">
        <f>IF($B78="","",INDEX(tblMovimientos[Saldo],$B78))</f>
        <v/>
      </c>
      <c r="H78" s="71" t="str">
        <f>IF($B78="","",INDEX(tblMovimientos[Documento],$B78)&amp;"")</f>
        <v/>
      </c>
      <c r="I78" s="146" t="str">
        <f>IF($B78="","",INDEX(tblMovimientos[Responsable],$B78)&amp;"")</f>
        <v/>
      </c>
      <c r="J78" s="146"/>
      <c r="K78" s="146" t="str">
        <f>IF($B78="","",INDEX(tblMovimientos[Observaciones],$B78)&amp;"")</f>
        <v/>
      </c>
      <c r="L78" s="146"/>
      <c r="M78" s="146"/>
    </row>
    <row r="79" spans="2:13" ht="16.5" customHeight="1" x14ac:dyDescent="0.25">
      <c r="B79" s="65" t="str">
        <f>IF(kxSKU="","",IFERROR(_xlfn.AGGREGATE(14,6,tblMovimientos[ID]/(tblMovimientos[SKU]=kxSKU),58),""))</f>
        <v/>
      </c>
      <c r="C79" s="66" t="str">
        <f>IF($B79="","",INDEX(tblMovimientos[Fecha],$B79))</f>
        <v/>
      </c>
      <c r="D79" s="67" t="str">
        <f>IF($B79="","",INDEX(tblMovimientos[Tipo],$B79))</f>
        <v/>
      </c>
      <c r="E79" s="68" t="str">
        <f>IF($B79="","",IF(INDEX(tblMovimientos[CantidadNeta],$B79)&gt;0,INDEX(tblMovimientos[CantidadNeta],$B79),""))</f>
        <v/>
      </c>
      <c r="F79" s="69" t="str">
        <f>IF($B79="","",IF(INDEX(tblMovimientos[CantidadNeta],$B79)&lt;0,-INDEX(tblMovimientos[CantidadNeta],$B79),""))</f>
        <v/>
      </c>
      <c r="G79" s="70" t="str">
        <f>IF($B79="","",INDEX(tblMovimientos[Saldo],$B79))</f>
        <v/>
      </c>
      <c r="H79" s="71" t="str">
        <f>IF($B79="","",INDEX(tblMovimientos[Documento],$B79)&amp;"")</f>
        <v/>
      </c>
      <c r="I79" s="146" t="str">
        <f>IF($B79="","",INDEX(tblMovimientos[Responsable],$B79)&amp;"")</f>
        <v/>
      </c>
      <c r="J79" s="146"/>
      <c r="K79" s="146" t="str">
        <f>IF($B79="","",INDEX(tblMovimientos[Observaciones],$B79)&amp;"")</f>
        <v/>
      </c>
      <c r="L79" s="146"/>
      <c r="M79" s="146"/>
    </row>
    <row r="80" spans="2:13" ht="16.5" customHeight="1" x14ac:dyDescent="0.25">
      <c r="B80" s="65" t="str">
        <f>IF(kxSKU="","",IFERROR(_xlfn.AGGREGATE(14,6,tblMovimientos[ID]/(tblMovimientos[SKU]=kxSKU),59),""))</f>
        <v/>
      </c>
      <c r="C80" s="66" t="str">
        <f>IF($B80="","",INDEX(tblMovimientos[Fecha],$B80))</f>
        <v/>
      </c>
      <c r="D80" s="67" t="str">
        <f>IF($B80="","",INDEX(tblMovimientos[Tipo],$B80))</f>
        <v/>
      </c>
      <c r="E80" s="68" t="str">
        <f>IF($B80="","",IF(INDEX(tblMovimientos[CantidadNeta],$B80)&gt;0,INDEX(tblMovimientos[CantidadNeta],$B80),""))</f>
        <v/>
      </c>
      <c r="F80" s="69" t="str">
        <f>IF($B80="","",IF(INDEX(tblMovimientos[CantidadNeta],$B80)&lt;0,-INDEX(tblMovimientos[CantidadNeta],$B80),""))</f>
        <v/>
      </c>
      <c r="G80" s="70" t="str">
        <f>IF($B80="","",INDEX(tblMovimientos[Saldo],$B80))</f>
        <v/>
      </c>
      <c r="H80" s="71" t="str">
        <f>IF($B80="","",INDEX(tblMovimientos[Documento],$B80)&amp;"")</f>
        <v/>
      </c>
      <c r="I80" s="146" t="str">
        <f>IF($B80="","",INDEX(tblMovimientos[Responsable],$B80)&amp;"")</f>
        <v/>
      </c>
      <c r="J80" s="146"/>
      <c r="K80" s="146" t="str">
        <f>IF($B80="","",INDEX(tblMovimientos[Observaciones],$B80)&amp;"")</f>
        <v/>
      </c>
      <c r="L80" s="146"/>
      <c r="M80" s="146"/>
    </row>
    <row r="81" spans="2:13" ht="16.5" customHeight="1" x14ac:dyDescent="0.25">
      <c r="B81" s="65" t="str">
        <f>IF(kxSKU="","",IFERROR(_xlfn.AGGREGATE(14,6,tblMovimientos[ID]/(tblMovimientos[SKU]=kxSKU),60),""))</f>
        <v/>
      </c>
      <c r="C81" s="66" t="str">
        <f>IF($B81="","",INDEX(tblMovimientos[Fecha],$B81))</f>
        <v/>
      </c>
      <c r="D81" s="67" t="str">
        <f>IF($B81="","",INDEX(tblMovimientos[Tipo],$B81))</f>
        <v/>
      </c>
      <c r="E81" s="68" t="str">
        <f>IF($B81="","",IF(INDEX(tblMovimientos[CantidadNeta],$B81)&gt;0,INDEX(tblMovimientos[CantidadNeta],$B81),""))</f>
        <v/>
      </c>
      <c r="F81" s="69" t="str">
        <f>IF($B81="","",IF(INDEX(tblMovimientos[CantidadNeta],$B81)&lt;0,-INDEX(tblMovimientos[CantidadNeta],$B81),""))</f>
        <v/>
      </c>
      <c r="G81" s="70" t="str">
        <f>IF($B81="","",INDEX(tblMovimientos[Saldo],$B81))</f>
        <v/>
      </c>
      <c r="H81" s="71" t="str">
        <f>IF($B81="","",INDEX(tblMovimientos[Documento],$B81)&amp;"")</f>
        <v/>
      </c>
      <c r="I81" s="146" t="str">
        <f>IF($B81="","",INDEX(tblMovimientos[Responsable],$B81)&amp;"")</f>
        <v/>
      </c>
      <c r="J81" s="146"/>
      <c r="K81" s="146" t="str">
        <f>IF($B81="","",INDEX(tblMovimientos[Observaciones],$B81)&amp;"")</f>
        <v/>
      </c>
      <c r="L81" s="146"/>
      <c r="M81" s="146"/>
    </row>
    <row r="82" spans="2:13" ht="16.5" customHeight="1" x14ac:dyDescent="0.25">
      <c r="B82" s="65" t="str">
        <f>IF(kxSKU="","",IFERROR(_xlfn.AGGREGATE(14,6,tblMovimientos[ID]/(tblMovimientos[SKU]=kxSKU),61),""))</f>
        <v/>
      </c>
      <c r="C82" s="66" t="str">
        <f>IF($B82="","",INDEX(tblMovimientos[Fecha],$B82))</f>
        <v/>
      </c>
      <c r="D82" s="67" t="str">
        <f>IF($B82="","",INDEX(tblMovimientos[Tipo],$B82))</f>
        <v/>
      </c>
      <c r="E82" s="68" t="str">
        <f>IF($B82="","",IF(INDEX(tblMovimientos[CantidadNeta],$B82)&gt;0,INDEX(tblMovimientos[CantidadNeta],$B82),""))</f>
        <v/>
      </c>
      <c r="F82" s="69" t="str">
        <f>IF($B82="","",IF(INDEX(tblMovimientos[CantidadNeta],$B82)&lt;0,-INDEX(tblMovimientos[CantidadNeta],$B82),""))</f>
        <v/>
      </c>
      <c r="G82" s="70" t="str">
        <f>IF($B82="","",INDEX(tblMovimientos[Saldo],$B82))</f>
        <v/>
      </c>
      <c r="H82" s="71" t="str">
        <f>IF($B82="","",INDEX(tblMovimientos[Documento],$B82)&amp;"")</f>
        <v/>
      </c>
      <c r="I82" s="146" t="str">
        <f>IF($B82="","",INDEX(tblMovimientos[Responsable],$B82)&amp;"")</f>
        <v/>
      </c>
      <c r="J82" s="146"/>
      <c r="K82" s="146" t="str">
        <f>IF($B82="","",INDEX(tblMovimientos[Observaciones],$B82)&amp;"")</f>
        <v/>
      </c>
      <c r="L82" s="146"/>
      <c r="M82" s="146"/>
    </row>
    <row r="83" spans="2:13" ht="16.5" customHeight="1" x14ac:dyDescent="0.25">
      <c r="B83" s="65" t="str">
        <f>IF(kxSKU="","",IFERROR(_xlfn.AGGREGATE(14,6,tblMovimientos[ID]/(tblMovimientos[SKU]=kxSKU),62),""))</f>
        <v/>
      </c>
      <c r="C83" s="66" t="str">
        <f>IF($B83="","",INDEX(tblMovimientos[Fecha],$B83))</f>
        <v/>
      </c>
      <c r="D83" s="67" t="str">
        <f>IF($B83="","",INDEX(tblMovimientos[Tipo],$B83))</f>
        <v/>
      </c>
      <c r="E83" s="68" t="str">
        <f>IF($B83="","",IF(INDEX(tblMovimientos[CantidadNeta],$B83)&gt;0,INDEX(tblMovimientos[CantidadNeta],$B83),""))</f>
        <v/>
      </c>
      <c r="F83" s="69" t="str">
        <f>IF($B83="","",IF(INDEX(tblMovimientos[CantidadNeta],$B83)&lt;0,-INDEX(tblMovimientos[CantidadNeta],$B83),""))</f>
        <v/>
      </c>
      <c r="G83" s="70" t="str">
        <f>IF($B83="","",INDEX(tblMovimientos[Saldo],$B83))</f>
        <v/>
      </c>
      <c r="H83" s="71" t="str">
        <f>IF($B83="","",INDEX(tblMovimientos[Documento],$B83)&amp;"")</f>
        <v/>
      </c>
      <c r="I83" s="146" t="str">
        <f>IF($B83="","",INDEX(tblMovimientos[Responsable],$B83)&amp;"")</f>
        <v/>
      </c>
      <c r="J83" s="146"/>
      <c r="K83" s="146" t="str">
        <f>IF($B83="","",INDEX(tblMovimientos[Observaciones],$B83)&amp;"")</f>
        <v/>
      </c>
      <c r="L83" s="146"/>
      <c r="M83" s="146"/>
    </row>
    <row r="84" spans="2:13" ht="16.5" customHeight="1" x14ac:dyDescent="0.25">
      <c r="B84" s="65" t="str">
        <f>IF(kxSKU="","",IFERROR(_xlfn.AGGREGATE(14,6,tblMovimientos[ID]/(tblMovimientos[SKU]=kxSKU),63),""))</f>
        <v/>
      </c>
      <c r="C84" s="66" t="str">
        <f>IF($B84="","",INDEX(tblMovimientos[Fecha],$B84))</f>
        <v/>
      </c>
      <c r="D84" s="67" t="str">
        <f>IF($B84="","",INDEX(tblMovimientos[Tipo],$B84))</f>
        <v/>
      </c>
      <c r="E84" s="68" t="str">
        <f>IF($B84="","",IF(INDEX(tblMovimientos[CantidadNeta],$B84)&gt;0,INDEX(tblMovimientos[CantidadNeta],$B84),""))</f>
        <v/>
      </c>
      <c r="F84" s="69" t="str">
        <f>IF($B84="","",IF(INDEX(tblMovimientos[CantidadNeta],$B84)&lt;0,-INDEX(tblMovimientos[CantidadNeta],$B84),""))</f>
        <v/>
      </c>
      <c r="G84" s="70" t="str">
        <f>IF($B84="","",INDEX(tblMovimientos[Saldo],$B84))</f>
        <v/>
      </c>
      <c r="H84" s="71" t="str">
        <f>IF($B84="","",INDEX(tblMovimientos[Documento],$B84)&amp;"")</f>
        <v/>
      </c>
      <c r="I84" s="146" t="str">
        <f>IF($B84="","",INDEX(tblMovimientos[Responsable],$B84)&amp;"")</f>
        <v/>
      </c>
      <c r="J84" s="146"/>
      <c r="K84" s="146" t="str">
        <f>IF($B84="","",INDEX(tblMovimientos[Observaciones],$B84)&amp;"")</f>
        <v/>
      </c>
      <c r="L84" s="146"/>
      <c r="M84" s="146"/>
    </row>
    <row r="85" spans="2:13" ht="16.5" customHeight="1" x14ac:dyDescent="0.25">
      <c r="B85" s="65" t="str">
        <f>IF(kxSKU="","",IFERROR(_xlfn.AGGREGATE(14,6,tblMovimientos[ID]/(tblMovimientos[SKU]=kxSKU),64),""))</f>
        <v/>
      </c>
      <c r="C85" s="66" t="str">
        <f>IF($B85="","",INDEX(tblMovimientos[Fecha],$B85))</f>
        <v/>
      </c>
      <c r="D85" s="67" t="str">
        <f>IF($B85="","",INDEX(tblMovimientos[Tipo],$B85))</f>
        <v/>
      </c>
      <c r="E85" s="68" t="str">
        <f>IF($B85="","",IF(INDEX(tblMovimientos[CantidadNeta],$B85)&gt;0,INDEX(tblMovimientos[CantidadNeta],$B85),""))</f>
        <v/>
      </c>
      <c r="F85" s="69" t="str">
        <f>IF($B85="","",IF(INDEX(tblMovimientos[CantidadNeta],$B85)&lt;0,-INDEX(tblMovimientos[CantidadNeta],$B85),""))</f>
        <v/>
      </c>
      <c r="G85" s="70" t="str">
        <f>IF($B85="","",INDEX(tblMovimientos[Saldo],$B85))</f>
        <v/>
      </c>
      <c r="H85" s="71" t="str">
        <f>IF($B85="","",INDEX(tblMovimientos[Documento],$B85)&amp;"")</f>
        <v/>
      </c>
      <c r="I85" s="146" t="str">
        <f>IF($B85="","",INDEX(tblMovimientos[Responsable],$B85)&amp;"")</f>
        <v/>
      </c>
      <c r="J85" s="146"/>
      <c r="K85" s="146" t="str">
        <f>IF($B85="","",INDEX(tblMovimientos[Observaciones],$B85)&amp;"")</f>
        <v/>
      </c>
      <c r="L85" s="146"/>
      <c r="M85" s="146"/>
    </row>
    <row r="86" spans="2:13" ht="16.5" customHeight="1" x14ac:dyDescent="0.25">
      <c r="B86" s="65" t="str">
        <f>IF(kxSKU="","",IFERROR(_xlfn.AGGREGATE(14,6,tblMovimientos[ID]/(tblMovimientos[SKU]=kxSKU),65),""))</f>
        <v/>
      </c>
      <c r="C86" s="66" t="str">
        <f>IF($B86="","",INDEX(tblMovimientos[Fecha],$B86))</f>
        <v/>
      </c>
      <c r="D86" s="67" t="str">
        <f>IF($B86="","",INDEX(tblMovimientos[Tipo],$B86))</f>
        <v/>
      </c>
      <c r="E86" s="68" t="str">
        <f>IF($B86="","",IF(INDEX(tblMovimientos[CantidadNeta],$B86)&gt;0,INDEX(tblMovimientos[CantidadNeta],$B86),""))</f>
        <v/>
      </c>
      <c r="F86" s="69" t="str">
        <f>IF($B86="","",IF(INDEX(tblMovimientos[CantidadNeta],$B86)&lt;0,-INDEX(tblMovimientos[CantidadNeta],$B86),""))</f>
        <v/>
      </c>
      <c r="G86" s="70" t="str">
        <f>IF($B86="","",INDEX(tblMovimientos[Saldo],$B86))</f>
        <v/>
      </c>
      <c r="H86" s="71" t="str">
        <f>IF($B86="","",INDEX(tblMovimientos[Documento],$B86)&amp;"")</f>
        <v/>
      </c>
      <c r="I86" s="146" t="str">
        <f>IF($B86="","",INDEX(tblMovimientos[Responsable],$B86)&amp;"")</f>
        <v/>
      </c>
      <c r="J86" s="146"/>
      <c r="K86" s="146" t="str">
        <f>IF($B86="","",INDEX(tblMovimientos[Observaciones],$B86)&amp;"")</f>
        <v/>
      </c>
      <c r="L86" s="146"/>
      <c r="M86" s="146"/>
    </row>
    <row r="87" spans="2:13" ht="16.5" customHeight="1" x14ac:dyDescent="0.25">
      <c r="B87" s="65" t="str">
        <f>IF(kxSKU="","",IFERROR(_xlfn.AGGREGATE(14,6,tblMovimientos[ID]/(tblMovimientos[SKU]=kxSKU),66),""))</f>
        <v/>
      </c>
      <c r="C87" s="66" t="str">
        <f>IF($B87="","",INDEX(tblMovimientos[Fecha],$B87))</f>
        <v/>
      </c>
      <c r="D87" s="67" t="str">
        <f>IF($B87="","",INDEX(tblMovimientos[Tipo],$B87))</f>
        <v/>
      </c>
      <c r="E87" s="68" t="str">
        <f>IF($B87="","",IF(INDEX(tblMovimientos[CantidadNeta],$B87)&gt;0,INDEX(tblMovimientos[CantidadNeta],$B87),""))</f>
        <v/>
      </c>
      <c r="F87" s="69" t="str">
        <f>IF($B87="","",IF(INDEX(tblMovimientos[CantidadNeta],$B87)&lt;0,-INDEX(tblMovimientos[CantidadNeta],$B87),""))</f>
        <v/>
      </c>
      <c r="G87" s="70" t="str">
        <f>IF($B87="","",INDEX(tblMovimientos[Saldo],$B87))</f>
        <v/>
      </c>
      <c r="H87" s="71" t="str">
        <f>IF($B87="","",INDEX(tblMovimientos[Documento],$B87)&amp;"")</f>
        <v/>
      </c>
      <c r="I87" s="146" t="str">
        <f>IF($B87="","",INDEX(tblMovimientos[Responsable],$B87)&amp;"")</f>
        <v/>
      </c>
      <c r="J87" s="146"/>
      <c r="K87" s="146" t="str">
        <f>IF($B87="","",INDEX(tblMovimientos[Observaciones],$B87)&amp;"")</f>
        <v/>
      </c>
      <c r="L87" s="146"/>
      <c r="M87" s="146"/>
    </row>
    <row r="88" spans="2:13" ht="16.5" customHeight="1" x14ac:dyDescent="0.25">
      <c r="B88" s="65" t="str">
        <f>IF(kxSKU="","",IFERROR(_xlfn.AGGREGATE(14,6,tblMovimientos[ID]/(tblMovimientos[SKU]=kxSKU),67),""))</f>
        <v/>
      </c>
      <c r="C88" s="66" t="str">
        <f>IF($B88="","",INDEX(tblMovimientos[Fecha],$B88))</f>
        <v/>
      </c>
      <c r="D88" s="67" t="str">
        <f>IF($B88="","",INDEX(tblMovimientos[Tipo],$B88))</f>
        <v/>
      </c>
      <c r="E88" s="68" t="str">
        <f>IF($B88="","",IF(INDEX(tblMovimientos[CantidadNeta],$B88)&gt;0,INDEX(tblMovimientos[CantidadNeta],$B88),""))</f>
        <v/>
      </c>
      <c r="F88" s="69" t="str">
        <f>IF($B88="","",IF(INDEX(tblMovimientos[CantidadNeta],$B88)&lt;0,-INDEX(tblMovimientos[CantidadNeta],$B88),""))</f>
        <v/>
      </c>
      <c r="G88" s="70" t="str">
        <f>IF($B88="","",INDEX(tblMovimientos[Saldo],$B88))</f>
        <v/>
      </c>
      <c r="H88" s="71" t="str">
        <f>IF($B88="","",INDEX(tblMovimientos[Documento],$B88)&amp;"")</f>
        <v/>
      </c>
      <c r="I88" s="146" t="str">
        <f>IF($B88="","",INDEX(tblMovimientos[Responsable],$B88)&amp;"")</f>
        <v/>
      </c>
      <c r="J88" s="146"/>
      <c r="K88" s="146" t="str">
        <f>IF($B88="","",INDEX(tblMovimientos[Observaciones],$B88)&amp;"")</f>
        <v/>
      </c>
      <c r="L88" s="146"/>
      <c r="M88" s="146"/>
    </row>
    <row r="89" spans="2:13" ht="16.5" customHeight="1" x14ac:dyDescent="0.25">
      <c r="B89" s="65" t="str">
        <f>IF(kxSKU="","",IFERROR(_xlfn.AGGREGATE(14,6,tblMovimientos[ID]/(tblMovimientos[SKU]=kxSKU),68),""))</f>
        <v/>
      </c>
      <c r="C89" s="66" t="str">
        <f>IF($B89="","",INDEX(tblMovimientos[Fecha],$B89))</f>
        <v/>
      </c>
      <c r="D89" s="67" t="str">
        <f>IF($B89="","",INDEX(tblMovimientos[Tipo],$B89))</f>
        <v/>
      </c>
      <c r="E89" s="68" t="str">
        <f>IF($B89="","",IF(INDEX(tblMovimientos[CantidadNeta],$B89)&gt;0,INDEX(tblMovimientos[CantidadNeta],$B89),""))</f>
        <v/>
      </c>
      <c r="F89" s="69" t="str">
        <f>IF($B89="","",IF(INDEX(tblMovimientos[CantidadNeta],$B89)&lt;0,-INDEX(tblMovimientos[CantidadNeta],$B89),""))</f>
        <v/>
      </c>
      <c r="G89" s="70" t="str">
        <f>IF($B89="","",INDEX(tblMovimientos[Saldo],$B89))</f>
        <v/>
      </c>
      <c r="H89" s="71" t="str">
        <f>IF($B89="","",INDEX(tblMovimientos[Documento],$B89)&amp;"")</f>
        <v/>
      </c>
      <c r="I89" s="146" t="str">
        <f>IF($B89="","",INDEX(tblMovimientos[Responsable],$B89)&amp;"")</f>
        <v/>
      </c>
      <c r="J89" s="146"/>
      <c r="K89" s="146" t="str">
        <f>IF($B89="","",INDEX(tblMovimientos[Observaciones],$B89)&amp;"")</f>
        <v/>
      </c>
      <c r="L89" s="146"/>
      <c r="M89" s="146"/>
    </row>
    <row r="90" spans="2:13" ht="16.5" customHeight="1" x14ac:dyDescent="0.25">
      <c r="B90" s="65" t="str">
        <f>IF(kxSKU="","",IFERROR(_xlfn.AGGREGATE(14,6,tblMovimientos[ID]/(tblMovimientos[SKU]=kxSKU),69),""))</f>
        <v/>
      </c>
      <c r="C90" s="66" t="str">
        <f>IF($B90="","",INDEX(tblMovimientos[Fecha],$B90))</f>
        <v/>
      </c>
      <c r="D90" s="67" t="str">
        <f>IF($B90="","",INDEX(tblMovimientos[Tipo],$B90))</f>
        <v/>
      </c>
      <c r="E90" s="68" t="str">
        <f>IF($B90="","",IF(INDEX(tblMovimientos[CantidadNeta],$B90)&gt;0,INDEX(tblMovimientos[CantidadNeta],$B90),""))</f>
        <v/>
      </c>
      <c r="F90" s="69" t="str">
        <f>IF($B90="","",IF(INDEX(tblMovimientos[CantidadNeta],$B90)&lt;0,-INDEX(tblMovimientos[CantidadNeta],$B90),""))</f>
        <v/>
      </c>
      <c r="G90" s="70" t="str">
        <f>IF($B90="","",INDEX(tblMovimientos[Saldo],$B90))</f>
        <v/>
      </c>
      <c r="H90" s="71" t="str">
        <f>IF($B90="","",INDEX(tblMovimientos[Documento],$B90)&amp;"")</f>
        <v/>
      </c>
      <c r="I90" s="146" t="str">
        <f>IF($B90="","",INDEX(tblMovimientos[Responsable],$B90)&amp;"")</f>
        <v/>
      </c>
      <c r="J90" s="146"/>
      <c r="K90" s="146" t="str">
        <f>IF($B90="","",INDEX(tblMovimientos[Observaciones],$B90)&amp;"")</f>
        <v/>
      </c>
      <c r="L90" s="146"/>
      <c r="M90" s="146"/>
    </row>
    <row r="91" spans="2:13" ht="16.5" customHeight="1" x14ac:dyDescent="0.25">
      <c r="B91" s="65" t="str">
        <f>IF(kxSKU="","",IFERROR(_xlfn.AGGREGATE(14,6,tblMovimientos[ID]/(tblMovimientos[SKU]=kxSKU),70),""))</f>
        <v/>
      </c>
      <c r="C91" s="66" t="str">
        <f>IF($B91="","",INDEX(tblMovimientos[Fecha],$B91))</f>
        <v/>
      </c>
      <c r="D91" s="67" t="str">
        <f>IF($B91="","",INDEX(tblMovimientos[Tipo],$B91))</f>
        <v/>
      </c>
      <c r="E91" s="68" t="str">
        <f>IF($B91="","",IF(INDEX(tblMovimientos[CantidadNeta],$B91)&gt;0,INDEX(tblMovimientos[CantidadNeta],$B91),""))</f>
        <v/>
      </c>
      <c r="F91" s="69" t="str">
        <f>IF($B91="","",IF(INDEX(tblMovimientos[CantidadNeta],$B91)&lt;0,-INDEX(tblMovimientos[CantidadNeta],$B91),""))</f>
        <v/>
      </c>
      <c r="G91" s="70" t="str">
        <f>IF($B91="","",INDEX(tblMovimientos[Saldo],$B91))</f>
        <v/>
      </c>
      <c r="H91" s="71" t="str">
        <f>IF($B91="","",INDEX(tblMovimientos[Documento],$B91)&amp;"")</f>
        <v/>
      </c>
      <c r="I91" s="146" t="str">
        <f>IF($B91="","",INDEX(tblMovimientos[Responsable],$B91)&amp;"")</f>
        <v/>
      </c>
      <c r="J91" s="146"/>
      <c r="K91" s="146" t="str">
        <f>IF($B91="","",INDEX(tblMovimientos[Observaciones],$B91)&amp;"")</f>
        <v/>
      </c>
      <c r="L91" s="146"/>
      <c r="M91" s="146"/>
    </row>
    <row r="92" spans="2:13" ht="16.5" customHeight="1" x14ac:dyDescent="0.25">
      <c r="B92" s="65" t="str">
        <f>IF(kxSKU="","",IFERROR(_xlfn.AGGREGATE(14,6,tblMovimientos[ID]/(tblMovimientos[SKU]=kxSKU),71),""))</f>
        <v/>
      </c>
      <c r="C92" s="66" t="str">
        <f>IF($B92="","",INDEX(tblMovimientos[Fecha],$B92))</f>
        <v/>
      </c>
      <c r="D92" s="67" t="str">
        <f>IF($B92="","",INDEX(tblMovimientos[Tipo],$B92))</f>
        <v/>
      </c>
      <c r="E92" s="68" t="str">
        <f>IF($B92="","",IF(INDEX(tblMovimientos[CantidadNeta],$B92)&gt;0,INDEX(tblMovimientos[CantidadNeta],$B92),""))</f>
        <v/>
      </c>
      <c r="F92" s="69" t="str">
        <f>IF($B92="","",IF(INDEX(tblMovimientos[CantidadNeta],$B92)&lt;0,-INDEX(tblMovimientos[CantidadNeta],$B92),""))</f>
        <v/>
      </c>
      <c r="G92" s="70" t="str">
        <f>IF($B92="","",INDEX(tblMovimientos[Saldo],$B92))</f>
        <v/>
      </c>
      <c r="H92" s="71" t="str">
        <f>IF($B92="","",INDEX(tblMovimientos[Documento],$B92)&amp;"")</f>
        <v/>
      </c>
      <c r="I92" s="146" t="str">
        <f>IF($B92="","",INDEX(tblMovimientos[Responsable],$B92)&amp;"")</f>
        <v/>
      </c>
      <c r="J92" s="146"/>
      <c r="K92" s="146" t="str">
        <f>IF($B92="","",INDEX(tblMovimientos[Observaciones],$B92)&amp;"")</f>
        <v/>
      </c>
      <c r="L92" s="146"/>
      <c r="M92" s="146"/>
    </row>
    <row r="93" spans="2:13" ht="16.5" customHeight="1" x14ac:dyDescent="0.25">
      <c r="B93" s="65" t="str">
        <f>IF(kxSKU="","",IFERROR(_xlfn.AGGREGATE(14,6,tblMovimientos[ID]/(tblMovimientos[SKU]=kxSKU),72),""))</f>
        <v/>
      </c>
      <c r="C93" s="66" t="str">
        <f>IF($B93="","",INDEX(tblMovimientos[Fecha],$B93))</f>
        <v/>
      </c>
      <c r="D93" s="67" t="str">
        <f>IF($B93="","",INDEX(tblMovimientos[Tipo],$B93))</f>
        <v/>
      </c>
      <c r="E93" s="68" t="str">
        <f>IF($B93="","",IF(INDEX(tblMovimientos[CantidadNeta],$B93)&gt;0,INDEX(tblMovimientos[CantidadNeta],$B93),""))</f>
        <v/>
      </c>
      <c r="F93" s="69" t="str">
        <f>IF($B93="","",IF(INDEX(tblMovimientos[CantidadNeta],$B93)&lt;0,-INDEX(tblMovimientos[CantidadNeta],$B93),""))</f>
        <v/>
      </c>
      <c r="G93" s="70" t="str">
        <f>IF($B93="","",INDEX(tblMovimientos[Saldo],$B93))</f>
        <v/>
      </c>
      <c r="H93" s="71" t="str">
        <f>IF($B93="","",INDEX(tblMovimientos[Documento],$B93)&amp;"")</f>
        <v/>
      </c>
      <c r="I93" s="146" t="str">
        <f>IF($B93="","",INDEX(tblMovimientos[Responsable],$B93)&amp;"")</f>
        <v/>
      </c>
      <c r="J93" s="146"/>
      <c r="K93" s="146" t="str">
        <f>IF($B93="","",INDEX(tblMovimientos[Observaciones],$B93)&amp;"")</f>
        <v/>
      </c>
      <c r="L93" s="146"/>
      <c r="M93" s="146"/>
    </row>
    <row r="94" spans="2:13" ht="16.5" customHeight="1" x14ac:dyDescent="0.25">
      <c r="B94" s="65" t="str">
        <f>IF(kxSKU="","",IFERROR(_xlfn.AGGREGATE(14,6,tblMovimientos[ID]/(tblMovimientos[SKU]=kxSKU),73),""))</f>
        <v/>
      </c>
      <c r="C94" s="66" t="str">
        <f>IF($B94="","",INDEX(tblMovimientos[Fecha],$B94))</f>
        <v/>
      </c>
      <c r="D94" s="67" t="str">
        <f>IF($B94="","",INDEX(tblMovimientos[Tipo],$B94))</f>
        <v/>
      </c>
      <c r="E94" s="68" t="str">
        <f>IF($B94="","",IF(INDEX(tblMovimientos[CantidadNeta],$B94)&gt;0,INDEX(tblMovimientos[CantidadNeta],$B94),""))</f>
        <v/>
      </c>
      <c r="F94" s="69" t="str">
        <f>IF($B94="","",IF(INDEX(tblMovimientos[CantidadNeta],$B94)&lt;0,-INDEX(tblMovimientos[CantidadNeta],$B94),""))</f>
        <v/>
      </c>
      <c r="G94" s="70" t="str">
        <f>IF($B94="","",INDEX(tblMovimientos[Saldo],$B94))</f>
        <v/>
      </c>
      <c r="H94" s="71" t="str">
        <f>IF($B94="","",INDEX(tblMovimientos[Documento],$B94)&amp;"")</f>
        <v/>
      </c>
      <c r="I94" s="146" t="str">
        <f>IF($B94="","",INDEX(tblMovimientos[Responsable],$B94)&amp;"")</f>
        <v/>
      </c>
      <c r="J94" s="146"/>
      <c r="K94" s="146" t="str">
        <f>IF($B94="","",INDEX(tblMovimientos[Observaciones],$B94)&amp;"")</f>
        <v/>
      </c>
      <c r="L94" s="146"/>
      <c r="M94" s="146"/>
    </row>
    <row r="95" spans="2:13" ht="16.5" customHeight="1" x14ac:dyDescent="0.25">
      <c r="B95" s="65" t="str">
        <f>IF(kxSKU="","",IFERROR(_xlfn.AGGREGATE(14,6,tblMovimientos[ID]/(tblMovimientos[SKU]=kxSKU),74),""))</f>
        <v/>
      </c>
      <c r="C95" s="66" t="str">
        <f>IF($B95="","",INDEX(tblMovimientos[Fecha],$B95))</f>
        <v/>
      </c>
      <c r="D95" s="67" t="str">
        <f>IF($B95="","",INDEX(tblMovimientos[Tipo],$B95))</f>
        <v/>
      </c>
      <c r="E95" s="68" t="str">
        <f>IF($B95="","",IF(INDEX(tblMovimientos[CantidadNeta],$B95)&gt;0,INDEX(tblMovimientos[CantidadNeta],$B95),""))</f>
        <v/>
      </c>
      <c r="F95" s="69" t="str">
        <f>IF($B95="","",IF(INDEX(tblMovimientos[CantidadNeta],$B95)&lt;0,-INDEX(tblMovimientos[CantidadNeta],$B95),""))</f>
        <v/>
      </c>
      <c r="G95" s="70" t="str">
        <f>IF($B95="","",INDEX(tblMovimientos[Saldo],$B95))</f>
        <v/>
      </c>
      <c r="H95" s="71" t="str">
        <f>IF($B95="","",INDEX(tblMovimientos[Documento],$B95)&amp;"")</f>
        <v/>
      </c>
      <c r="I95" s="146" t="str">
        <f>IF($B95="","",INDEX(tblMovimientos[Responsable],$B95)&amp;"")</f>
        <v/>
      </c>
      <c r="J95" s="146"/>
      <c r="K95" s="146" t="str">
        <f>IF($B95="","",INDEX(tblMovimientos[Observaciones],$B95)&amp;"")</f>
        <v/>
      </c>
      <c r="L95" s="146"/>
      <c r="M95" s="146"/>
    </row>
    <row r="96" spans="2:13" ht="16.5" customHeight="1" x14ac:dyDescent="0.25">
      <c r="B96" s="65" t="str">
        <f>IF(kxSKU="","",IFERROR(_xlfn.AGGREGATE(14,6,tblMovimientos[ID]/(tblMovimientos[SKU]=kxSKU),75),""))</f>
        <v/>
      </c>
      <c r="C96" s="66" t="str">
        <f>IF($B96="","",INDEX(tblMovimientos[Fecha],$B96))</f>
        <v/>
      </c>
      <c r="D96" s="67" t="str">
        <f>IF($B96="","",INDEX(tblMovimientos[Tipo],$B96))</f>
        <v/>
      </c>
      <c r="E96" s="68" t="str">
        <f>IF($B96="","",IF(INDEX(tblMovimientos[CantidadNeta],$B96)&gt;0,INDEX(tblMovimientos[CantidadNeta],$B96),""))</f>
        <v/>
      </c>
      <c r="F96" s="69" t="str">
        <f>IF($B96="","",IF(INDEX(tblMovimientos[CantidadNeta],$B96)&lt;0,-INDEX(tblMovimientos[CantidadNeta],$B96),""))</f>
        <v/>
      </c>
      <c r="G96" s="70" t="str">
        <f>IF($B96="","",INDEX(tblMovimientos[Saldo],$B96))</f>
        <v/>
      </c>
      <c r="H96" s="71" t="str">
        <f>IF($B96="","",INDEX(tblMovimientos[Documento],$B96)&amp;"")</f>
        <v/>
      </c>
      <c r="I96" s="146" t="str">
        <f>IF($B96="","",INDEX(tblMovimientos[Responsable],$B96)&amp;"")</f>
        <v/>
      </c>
      <c r="J96" s="146"/>
      <c r="K96" s="146" t="str">
        <f>IF($B96="","",INDEX(tblMovimientos[Observaciones],$B96)&amp;"")</f>
        <v/>
      </c>
      <c r="L96" s="146"/>
      <c r="M96" s="146"/>
    </row>
    <row r="97" spans="2:13" ht="16.5" customHeight="1" x14ac:dyDescent="0.25">
      <c r="B97" s="65" t="str">
        <f>IF(kxSKU="","",IFERROR(_xlfn.AGGREGATE(14,6,tblMovimientos[ID]/(tblMovimientos[SKU]=kxSKU),76),""))</f>
        <v/>
      </c>
      <c r="C97" s="66" t="str">
        <f>IF($B97="","",INDEX(tblMovimientos[Fecha],$B97))</f>
        <v/>
      </c>
      <c r="D97" s="67" t="str">
        <f>IF($B97="","",INDEX(tblMovimientos[Tipo],$B97))</f>
        <v/>
      </c>
      <c r="E97" s="68" t="str">
        <f>IF($B97="","",IF(INDEX(tblMovimientos[CantidadNeta],$B97)&gt;0,INDEX(tblMovimientos[CantidadNeta],$B97),""))</f>
        <v/>
      </c>
      <c r="F97" s="69" t="str">
        <f>IF($B97="","",IF(INDEX(tblMovimientos[CantidadNeta],$B97)&lt;0,-INDEX(tblMovimientos[CantidadNeta],$B97),""))</f>
        <v/>
      </c>
      <c r="G97" s="70" t="str">
        <f>IF($B97="","",INDEX(tblMovimientos[Saldo],$B97))</f>
        <v/>
      </c>
      <c r="H97" s="71" t="str">
        <f>IF($B97="","",INDEX(tblMovimientos[Documento],$B97)&amp;"")</f>
        <v/>
      </c>
      <c r="I97" s="146" t="str">
        <f>IF($B97="","",INDEX(tblMovimientos[Responsable],$B97)&amp;"")</f>
        <v/>
      </c>
      <c r="J97" s="146"/>
      <c r="K97" s="146" t="str">
        <f>IF($B97="","",INDEX(tblMovimientos[Observaciones],$B97)&amp;"")</f>
        <v/>
      </c>
      <c r="L97" s="146"/>
      <c r="M97" s="146"/>
    </row>
    <row r="98" spans="2:13" ht="16.5" customHeight="1" x14ac:dyDescent="0.25">
      <c r="B98" s="65" t="str">
        <f>IF(kxSKU="","",IFERROR(_xlfn.AGGREGATE(14,6,tblMovimientos[ID]/(tblMovimientos[SKU]=kxSKU),77),""))</f>
        <v/>
      </c>
      <c r="C98" s="66" t="str">
        <f>IF($B98="","",INDEX(tblMovimientos[Fecha],$B98))</f>
        <v/>
      </c>
      <c r="D98" s="67" t="str">
        <f>IF($B98="","",INDEX(tblMovimientos[Tipo],$B98))</f>
        <v/>
      </c>
      <c r="E98" s="68" t="str">
        <f>IF($B98="","",IF(INDEX(tblMovimientos[CantidadNeta],$B98)&gt;0,INDEX(tblMovimientos[CantidadNeta],$B98),""))</f>
        <v/>
      </c>
      <c r="F98" s="69" t="str">
        <f>IF($B98="","",IF(INDEX(tblMovimientos[CantidadNeta],$B98)&lt;0,-INDEX(tblMovimientos[CantidadNeta],$B98),""))</f>
        <v/>
      </c>
      <c r="G98" s="70" t="str">
        <f>IF($B98="","",INDEX(tblMovimientos[Saldo],$B98))</f>
        <v/>
      </c>
      <c r="H98" s="71" t="str">
        <f>IF($B98="","",INDEX(tblMovimientos[Documento],$B98)&amp;"")</f>
        <v/>
      </c>
      <c r="I98" s="146" t="str">
        <f>IF($B98="","",INDEX(tblMovimientos[Responsable],$B98)&amp;"")</f>
        <v/>
      </c>
      <c r="J98" s="146"/>
      <c r="K98" s="146" t="str">
        <f>IF($B98="","",INDEX(tblMovimientos[Observaciones],$B98)&amp;"")</f>
        <v/>
      </c>
      <c r="L98" s="146"/>
      <c r="M98" s="146"/>
    </row>
    <row r="99" spans="2:13" ht="16.5" customHeight="1" x14ac:dyDescent="0.25">
      <c r="B99" s="65" t="str">
        <f>IF(kxSKU="","",IFERROR(_xlfn.AGGREGATE(14,6,tblMovimientos[ID]/(tblMovimientos[SKU]=kxSKU),78),""))</f>
        <v/>
      </c>
      <c r="C99" s="66" t="str">
        <f>IF($B99="","",INDEX(tblMovimientos[Fecha],$B99))</f>
        <v/>
      </c>
      <c r="D99" s="67" t="str">
        <f>IF($B99="","",INDEX(tblMovimientos[Tipo],$B99))</f>
        <v/>
      </c>
      <c r="E99" s="68" t="str">
        <f>IF($B99="","",IF(INDEX(tblMovimientos[CantidadNeta],$B99)&gt;0,INDEX(tblMovimientos[CantidadNeta],$B99),""))</f>
        <v/>
      </c>
      <c r="F99" s="69" t="str">
        <f>IF($B99="","",IF(INDEX(tblMovimientos[CantidadNeta],$B99)&lt;0,-INDEX(tblMovimientos[CantidadNeta],$B99),""))</f>
        <v/>
      </c>
      <c r="G99" s="70" t="str">
        <f>IF($B99="","",INDEX(tblMovimientos[Saldo],$B99))</f>
        <v/>
      </c>
      <c r="H99" s="71" t="str">
        <f>IF($B99="","",INDEX(tblMovimientos[Documento],$B99)&amp;"")</f>
        <v/>
      </c>
      <c r="I99" s="146" t="str">
        <f>IF($B99="","",INDEX(tblMovimientos[Responsable],$B99)&amp;"")</f>
        <v/>
      </c>
      <c r="J99" s="146"/>
      <c r="K99" s="146" t="str">
        <f>IF($B99="","",INDEX(tblMovimientos[Observaciones],$B99)&amp;"")</f>
        <v/>
      </c>
      <c r="L99" s="146"/>
      <c r="M99" s="146"/>
    </row>
    <row r="100" spans="2:13" ht="16.5" customHeight="1" x14ac:dyDescent="0.25">
      <c r="B100" s="65" t="str">
        <f>IF(kxSKU="","",IFERROR(_xlfn.AGGREGATE(14,6,tblMovimientos[ID]/(tblMovimientos[SKU]=kxSKU),79),""))</f>
        <v/>
      </c>
      <c r="C100" s="66" t="str">
        <f>IF($B100="","",INDEX(tblMovimientos[Fecha],$B100))</f>
        <v/>
      </c>
      <c r="D100" s="67" t="str">
        <f>IF($B100="","",INDEX(tblMovimientos[Tipo],$B100))</f>
        <v/>
      </c>
      <c r="E100" s="68" t="str">
        <f>IF($B100="","",IF(INDEX(tblMovimientos[CantidadNeta],$B100)&gt;0,INDEX(tblMovimientos[CantidadNeta],$B100),""))</f>
        <v/>
      </c>
      <c r="F100" s="69" t="str">
        <f>IF($B100="","",IF(INDEX(tblMovimientos[CantidadNeta],$B100)&lt;0,-INDEX(tblMovimientos[CantidadNeta],$B100),""))</f>
        <v/>
      </c>
      <c r="G100" s="70" t="str">
        <f>IF($B100="","",INDEX(tblMovimientos[Saldo],$B100))</f>
        <v/>
      </c>
      <c r="H100" s="71" t="str">
        <f>IF($B100="","",INDEX(tblMovimientos[Documento],$B100)&amp;"")</f>
        <v/>
      </c>
      <c r="I100" s="146" t="str">
        <f>IF($B100="","",INDEX(tblMovimientos[Responsable],$B100)&amp;"")</f>
        <v/>
      </c>
      <c r="J100" s="146"/>
      <c r="K100" s="146" t="str">
        <f>IF($B100="","",INDEX(tblMovimientos[Observaciones],$B100)&amp;"")</f>
        <v/>
      </c>
      <c r="L100" s="146"/>
      <c r="M100" s="146"/>
    </row>
    <row r="101" spans="2:13" ht="16.5" customHeight="1" x14ac:dyDescent="0.25">
      <c r="B101" s="65" t="str">
        <f>IF(kxSKU="","",IFERROR(_xlfn.AGGREGATE(14,6,tblMovimientos[ID]/(tblMovimientos[SKU]=kxSKU),80),""))</f>
        <v/>
      </c>
      <c r="C101" s="66" t="str">
        <f>IF($B101="","",INDEX(tblMovimientos[Fecha],$B101))</f>
        <v/>
      </c>
      <c r="D101" s="67" t="str">
        <f>IF($B101="","",INDEX(tblMovimientos[Tipo],$B101))</f>
        <v/>
      </c>
      <c r="E101" s="68" t="str">
        <f>IF($B101="","",IF(INDEX(tblMovimientos[CantidadNeta],$B101)&gt;0,INDEX(tblMovimientos[CantidadNeta],$B101),""))</f>
        <v/>
      </c>
      <c r="F101" s="69" t="str">
        <f>IF($B101="","",IF(INDEX(tblMovimientos[CantidadNeta],$B101)&lt;0,-INDEX(tblMovimientos[CantidadNeta],$B101),""))</f>
        <v/>
      </c>
      <c r="G101" s="70" t="str">
        <f>IF($B101="","",INDEX(tblMovimientos[Saldo],$B101))</f>
        <v/>
      </c>
      <c r="H101" s="71" t="str">
        <f>IF($B101="","",INDEX(tblMovimientos[Documento],$B101)&amp;"")</f>
        <v/>
      </c>
      <c r="I101" s="146" t="str">
        <f>IF($B101="","",INDEX(tblMovimientos[Responsable],$B101)&amp;"")</f>
        <v/>
      </c>
      <c r="J101" s="146"/>
      <c r="K101" s="146" t="str">
        <f>IF($B101="","",INDEX(tblMovimientos[Observaciones],$B101)&amp;"")</f>
        <v/>
      </c>
      <c r="L101" s="146"/>
      <c r="M101" s="146"/>
    </row>
    <row r="102" spans="2:13" ht="16.5" customHeight="1" x14ac:dyDescent="0.25">
      <c r="B102" s="65" t="str">
        <f>IF(kxSKU="","",IFERROR(_xlfn.AGGREGATE(14,6,tblMovimientos[ID]/(tblMovimientos[SKU]=kxSKU),81),""))</f>
        <v/>
      </c>
      <c r="C102" s="66" t="str">
        <f>IF($B102="","",INDEX(tblMovimientos[Fecha],$B102))</f>
        <v/>
      </c>
      <c r="D102" s="67" t="str">
        <f>IF($B102="","",INDEX(tblMovimientos[Tipo],$B102))</f>
        <v/>
      </c>
      <c r="E102" s="68" t="str">
        <f>IF($B102="","",IF(INDEX(tblMovimientos[CantidadNeta],$B102)&gt;0,INDEX(tblMovimientos[CantidadNeta],$B102),""))</f>
        <v/>
      </c>
      <c r="F102" s="69" t="str">
        <f>IF($B102="","",IF(INDEX(tblMovimientos[CantidadNeta],$B102)&lt;0,-INDEX(tblMovimientos[CantidadNeta],$B102),""))</f>
        <v/>
      </c>
      <c r="G102" s="70" t="str">
        <f>IF($B102="","",INDEX(tblMovimientos[Saldo],$B102))</f>
        <v/>
      </c>
      <c r="H102" s="71" t="str">
        <f>IF($B102="","",INDEX(tblMovimientos[Documento],$B102)&amp;"")</f>
        <v/>
      </c>
      <c r="I102" s="146" t="str">
        <f>IF($B102="","",INDEX(tblMovimientos[Responsable],$B102)&amp;"")</f>
        <v/>
      </c>
      <c r="J102" s="146"/>
      <c r="K102" s="146" t="str">
        <f>IF($B102="","",INDEX(tblMovimientos[Observaciones],$B102)&amp;"")</f>
        <v/>
      </c>
      <c r="L102" s="146"/>
      <c r="M102" s="146"/>
    </row>
    <row r="103" spans="2:13" ht="16.5" customHeight="1" x14ac:dyDescent="0.25">
      <c r="B103" s="65" t="str">
        <f>IF(kxSKU="","",IFERROR(_xlfn.AGGREGATE(14,6,tblMovimientos[ID]/(tblMovimientos[SKU]=kxSKU),82),""))</f>
        <v/>
      </c>
      <c r="C103" s="66" t="str">
        <f>IF($B103="","",INDEX(tblMovimientos[Fecha],$B103))</f>
        <v/>
      </c>
      <c r="D103" s="67" t="str">
        <f>IF($B103="","",INDEX(tblMovimientos[Tipo],$B103))</f>
        <v/>
      </c>
      <c r="E103" s="68" t="str">
        <f>IF($B103="","",IF(INDEX(tblMovimientos[CantidadNeta],$B103)&gt;0,INDEX(tblMovimientos[CantidadNeta],$B103),""))</f>
        <v/>
      </c>
      <c r="F103" s="69" t="str">
        <f>IF($B103="","",IF(INDEX(tblMovimientos[CantidadNeta],$B103)&lt;0,-INDEX(tblMovimientos[CantidadNeta],$B103),""))</f>
        <v/>
      </c>
      <c r="G103" s="70" t="str">
        <f>IF($B103="","",INDEX(tblMovimientos[Saldo],$B103))</f>
        <v/>
      </c>
      <c r="H103" s="71" t="str">
        <f>IF($B103="","",INDEX(tblMovimientos[Documento],$B103)&amp;"")</f>
        <v/>
      </c>
      <c r="I103" s="146" t="str">
        <f>IF($B103="","",INDEX(tblMovimientos[Responsable],$B103)&amp;"")</f>
        <v/>
      </c>
      <c r="J103" s="146"/>
      <c r="K103" s="146" t="str">
        <f>IF($B103="","",INDEX(tblMovimientos[Observaciones],$B103)&amp;"")</f>
        <v/>
      </c>
      <c r="L103" s="146"/>
      <c r="M103" s="146"/>
    </row>
    <row r="104" spans="2:13" ht="16.5" customHeight="1" x14ac:dyDescent="0.25">
      <c r="B104" s="65" t="str">
        <f>IF(kxSKU="","",IFERROR(_xlfn.AGGREGATE(14,6,tblMovimientos[ID]/(tblMovimientos[SKU]=kxSKU),83),""))</f>
        <v/>
      </c>
      <c r="C104" s="66" t="str">
        <f>IF($B104="","",INDEX(tblMovimientos[Fecha],$B104))</f>
        <v/>
      </c>
      <c r="D104" s="67" t="str">
        <f>IF($B104="","",INDEX(tblMovimientos[Tipo],$B104))</f>
        <v/>
      </c>
      <c r="E104" s="68" t="str">
        <f>IF($B104="","",IF(INDEX(tblMovimientos[CantidadNeta],$B104)&gt;0,INDEX(tblMovimientos[CantidadNeta],$B104),""))</f>
        <v/>
      </c>
      <c r="F104" s="69" t="str">
        <f>IF($B104="","",IF(INDEX(tblMovimientos[CantidadNeta],$B104)&lt;0,-INDEX(tblMovimientos[CantidadNeta],$B104),""))</f>
        <v/>
      </c>
      <c r="G104" s="70" t="str">
        <f>IF($B104="","",INDEX(tblMovimientos[Saldo],$B104))</f>
        <v/>
      </c>
      <c r="H104" s="71" t="str">
        <f>IF($B104="","",INDEX(tblMovimientos[Documento],$B104)&amp;"")</f>
        <v/>
      </c>
      <c r="I104" s="146" t="str">
        <f>IF($B104="","",INDEX(tblMovimientos[Responsable],$B104)&amp;"")</f>
        <v/>
      </c>
      <c r="J104" s="146"/>
      <c r="K104" s="146" t="str">
        <f>IF($B104="","",INDEX(tblMovimientos[Observaciones],$B104)&amp;"")</f>
        <v/>
      </c>
      <c r="L104" s="146"/>
      <c r="M104" s="146"/>
    </row>
    <row r="105" spans="2:13" ht="16.5" customHeight="1" x14ac:dyDescent="0.25">
      <c r="B105" s="65" t="str">
        <f>IF(kxSKU="","",IFERROR(_xlfn.AGGREGATE(14,6,tblMovimientos[ID]/(tblMovimientos[SKU]=kxSKU),84),""))</f>
        <v/>
      </c>
      <c r="C105" s="66" t="str">
        <f>IF($B105="","",INDEX(tblMovimientos[Fecha],$B105))</f>
        <v/>
      </c>
      <c r="D105" s="67" t="str">
        <f>IF($B105="","",INDEX(tblMovimientos[Tipo],$B105))</f>
        <v/>
      </c>
      <c r="E105" s="68" t="str">
        <f>IF($B105="","",IF(INDEX(tblMovimientos[CantidadNeta],$B105)&gt;0,INDEX(tblMovimientos[CantidadNeta],$B105),""))</f>
        <v/>
      </c>
      <c r="F105" s="69" t="str">
        <f>IF($B105="","",IF(INDEX(tblMovimientos[CantidadNeta],$B105)&lt;0,-INDEX(tblMovimientos[CantidadNeta],$B105),""))</f>
        <v/>
      </c>
      <c r="G105" s="70" t="str">
        <f>IF($B105="","",INDEX(tblMovimientos[Saldo],$B105))</f>
        <v/>
      </c>
      <c r="H105" s="71" t="str">
        <f>IF($B105="","",INDEX(tblMovimientos[Documento],$B105)&amp;"")</f>
        <v/>
      </c>
      <c r="I105" s="146" t="str">
        <f>IF($B105="","",INDEX(tblMovimientos[Responsable],$B105)&amp;"")</f>
        <v/>
      </c>
      <c r="J105" s="146"/>
      <c r="K105" s="146" t="str">
        <f>IF($B105="","",INDEX(tblMovimientos[Observaciones],$B105)&amp;"")</f>
        <v/>
      </c>
      <c r="L105" s="146"/>
      <c r="M105" s="146"/>
    </row>
    <row r="106" spans="2:13" ht="16.5" customHeight="1" x14ac:dyDescent="0.25">
      <c r="B106" s="65" t="str">
        <f>IF(kxSKU="","",IFERROR(_xlfn.AGGREGATE(14,6,tblMovimientos[ID]/(tblMovimientos[SKU]=kxSKU),85),""))</f>
        <v/>
      </c>
      <c r="C106" s="66" t="str">
        <f>IF($B106="","",INDEX(tblMovimientos[Fecha],$B106))</f>
        <v/>
      </c>
      <c r="D106" s="67" t="str">
        <f>IF($B106="","",INDEX(tblMovimientos[Tipo],$B106))</f>
        <v/>
      </c>
      <c r="E106" s="68" t="str">
        <f>IF($B106="","",IF(INDEX(tblMovimientos[CantidadNeta],$B106)&gt;0,INDEX(tblMovimientos[CantidadNeta],$B106),""))</f>
        <v/>
      </c>
      <c r="F106" s="69" t="str">
        <f>IF($B106="","",IF(INDEX(tblMovimientos[CantidadNeta],$B106)&lt;0,-INDEX(tblMovimientos[CantidadNeta],$B106),""))</f>
        <v/>
      </c>
      <c r="G106" s="70" t="str">
        <f>IF($B106="","",INDEX(tblMovimientos[Saldo],$B106))</f>
        <v/>
      </c>
      <c r="H106" s="71" t="str">
        <f>IF($B106="","",INDEX(tblMovimientos[Documento],$B106)&amp;"")</f>
        <v/>
      </c>
      <c r="I106" s="146" t="str">
        <f>IF($B106="","",INDEX(tblMovimientos[Responsable],$B106)&amp;"")</f>
        <v/>
      </c>
      <c r="J106" s="146"/>
      <c r="K106" s="146" t="str">
        <f>IF($B106="","",INDEX(tblMovimientos[Observaciones],$B106)&amp;"")</f>
        <v/>
      </c>
      <c r="L106" s="146"/>
      <c r="M106" s="146"/>
    </row>
    <row r="107" spans="2:13" ht="16.5" customHeight="1" x14ac:dyDescent="0.25">
      <c r="B107" s="65" t="str">
        <f>IF(kxSKU="","",IFERROR(_xlfn.AGGREGATE(14,6,tblMovimientos[ID]/(tblMovimientos[SKU]=kxSKU),86),""))</f>
        <v/>
      </c>
      <c r="C107" s="66" t="str">
        <f>IF($B107="","",INDEX(tblMovimientos[Fecha],$B107))</f>
        <v/>
      </c>
      <c r="D107" s="67" t="str">
        <f>IF($B107="","",INDEX(tblMovimientos[Tipo],$B107))</f>
        <v/>
      </c>
      <c r="E107" s="68" t="str">
        <f>IF($B107="","",IF(INDEX(tblMovimientos[CantidadNeta],$B107)&gt;0,INDEX(tblMovimientos[CantidadNeta],$B107),""))</f>
        <v/>
      </c>
      <c r="F107" s="69" t="str">
        <f>IF($B107="","",IF(INDEX(tblMovimientos[CantidadNeta],$B107)&lt;0,-INDEX(tblMovimientos[CantidadNeta],$B107),""))</f>
        <v/>
      </c>
      <c r="G107" s="70" t="str">
        <f>IF($B107="","",INDEX(tblMovimientos[Saldo],$B107))</f>
        <v/>
      </c>
      <c r="H107" s="71" t="str">
        <f>IF($B107="","",INDEX(tblMovimientos[Documento],$B107)&amp;"")</f>
        <v/>
      </c>
      <c r="I107" s="146" t="str">
        <f>IF($B107="","",INDEX(tblMovimientos[Responsable],$B107)&amp;"")</f>
        <v/>
      </c>
      <c r="J107" s="146"/>
      <c r="K107" s="146" t="str">
        <f>IF($B107="","",INDEX(tblMovimientos[Observaciones],$B107)&amp;"")</f>
        <v/>
      </c>
      <c r="L107" s="146"/>
      <c r="M107" s="146"/>
    </row>
    <row r="108" spans="2:13" ht="16.5" customHeight="1" x14ac:dyDescent="0.25">
      <c r="B108" s="65" t="str">
        <f>IF(kxSKU="","",IFERROR(_xlfn.AGGREGATE(14,6,tblMovimientos[ID]/(tblMovimientos[SKU]=kxSKU),87),""))</f>
        <v/>
      </c>
      <c r="C108" s="66" t="str">
        <f>IF($B108="","",INDEX(tblMovimientos[Fecha],$B108))</f>
        <v/>
      </c>
      <c r="D108" s="67" t="str">
        <f>IF($B108="","",INDEX(tblMovimientos[Tipo],$B108))</f>
        <v/>
      </c>
      <c r="E108" s="68" t="str">
        <f>IF($B108="","",IF(INDEX(tblMovimientos[CantidadNeta],$B108)&gt;0,INDEX(tblMovimientos[CantidadNeta],$B108),""))</f>
        <v/>
      </c>
      <c r="F108" s="69" t="str">
        <f>IF($B108="","",IF(INDEX(tblMovimientos[CantidadNeta],$B108)&lt;0,-INDEX(tblMovimientos[CantidadNeta],$B108),""))</f>
        <v/>
      </c>
      <c r="G108" s="70" t="str">
        <f>IF($B108="","",INDEX(tblMovimientos[Saldo],$B108))</f>
        <v/>
      </c>
      <c r="H108" s="71" t="str">
        <f>IF($B108="","",INDEX(tblMovimientos[Documento],$B108)&amp;"")</f>
        <v/>
      </c>
      <c r="I108" s="146" t="str">
        <f>IF($B108="","",INDEX(tblMovimientos[Responsable],$B108)&amp;"")</f>
        <v/>
      </c>
      <c r="J108" s="146"/>
      <c r="K108" s="146" t="str">
        <f>IF($B108="","",INDEX(tblMovimientos[Observaciones],$B108)&amp;"")</f>
        <v/>
      </c>
      <c r="L108" s="146"/>
      <c r="M108" s="146"/>
    </row>
    <row r="109" spans="2:13" ht="16.5" customHeight="1" x14ac:dyDescent="0.25">
      <c r="B109" s="65" t="str">
        <f>IF(kxSKU="","",IFERROR(_xlfn.AGGREGATE(14,6,tblMovimientos[ID]/(tblMovimientos[SKU]=kxSKU),88),""))</f>
        <v/>
      </c>
      <c r="C109" s="66" t="str">
        <f>IF($B109="","",INDEX(tblMovimientos[Fecha],$B109))</f>
        <v/>
      </c>
      <c r="D109" s="67" t="str">
        <f>IF($B109="","",INDEX(tblMovimientos[Tipo],$B109))</f>
        <v/>
      </c>
      <c r="E109" s="68" t="str">
        <f>IF($B109="","",IF(INDEX(tblMovimientos[CantidadNeta],$B109)&gt;0,INDEX(tblMovimientos[CantidadNeta],$B109),""))</f>
        <v/>
      </c>
      <c r="F109" s="69" t="str">
        <f>IF($B109="","",IF(INDEX(tblMovimientos[CantidadNeta],$B109)&lt;0,-INDEX(tblMovimientos[CantidadNeta],$B109),""))</f>
        <v/>
      </c>
      <c r="G109" s="70" t="str">
        <f>IF($B109="","",INDEX(tblMovimientos[Saldo],$B109))</f>
        <v/>
      </c>
      <c r="H109" s="71" t="str">
        <f>IF($B109="","",INDEX(tblMovimientos[Documento],$B109)&amp;"")</f>
        <v/>
      </c>
      <c r="I109" s="146" t="str">
        <f>IF($B109="","",INDEX(tblMovimientos[Responsable],$B109)&amp;"")</f>
        <v/>
      </c>
      <c r="J109" s="146"/>
      <c r="K109" s="146" t="str">
        <f>IF($B109="","",INDEX(tblMovimientos[Observaciones],$B109)&amp;"")</f>
        <v/>
      </c>
      <c r="L109" s="146"/>
      <c r="M109" s="146"/>
    </row>
    <row r="110" spans="2:13" ht="16.5" customHeight="1" x14ac:dyDescent="0.25">
      <c r="B110" s="65" t="str">
        <f>IF(kxSKU="","",IFERROR(_xlfn.AGGREGATE(14,6,tblMovimientos[ID]/(tblMovimientos[SKU]=kxSKU),89),""))</f>
        <v/>
      </c>
      <c r="C110" s="66" t="str">
        <f>IF($B110="","",INDEX(tblMovimientos[Fecha],$B110))</f>
        <v/>
      </c>
      <c r="D110" s="67" t="str">
        <f>IF($B110="","",INDEX(tblMovimientos[Tipo],$B110))</f>
        <v/>
      </c>
      <c r="E110" s="68" t="str">
        <f>IF($B110="","",IF(INDEX(tblMovimientos[CantidadNeta],$B110)&gt;0,INDEX(tblMovimientos[CantidadNeta],$B110),""))</f>
        <v/>
      </c>
      <c r="F110" s="69" t="str">
        <f>IF($B110="","",IF(INDEX(tblMovimientos[CantidadNeta],$B110)&lt;0,-INDEX(tblMovimientos[CantidadNeta],$B110),""))</f>
        <v/>
      </c>
      <c r="G110" s="70" t="str">
        <f>IF($B110="","",INDEX(tblMovimientos[Saldo],$B110))</f>
        <v/>
      </c>
      <c r="H110" s="71" t="str">
        <f>IF($B110="","",INDEX(tblMovimientos[Documento],$B110)&amp;"")</f>
        <v/>
      </c>
      <c r="I110" s="146" t="str">
        <f>IF($B110="","",INDEX(tblMovimientos[Responsable],$B110)&amp;"")</f>
        <v/>
      </c>
      <c r="J110" s="146"/>
      <c r="K110" s="146" t="str">
        <f>IF($B110="","",INDEX(tblMovimientos[Observaciones],$B110)&amp;"")</f>
        <v/>
      </c>
      <c r="L110" s="146"/>
      <c r="M110" s="146"/>
    </row>
    <row r="111" spans="2:13" ht="16.5" customHeight="1" x14ac:dyDescent="0.25">
      <c r="B111" s="65" t="str">
        <f>IF(kxSKU="","",IFERROR(_xlfn.AGGREGATE(14,6,tblMovimientos[ID]/(tblMovimientos[SKU]=kxSKU),90),""))</f>
        <v/>
      </c>
      <c r="C111" s="66" t="str">
        <f>IF($B111="","",INDEX(tblMovimientos[Fecha],$B111))</f>
        <v/>
      </c>
      <c r="D111" s="67" t="str">
        <f>IF($B111="","",INDEX(tblMovimientos[Tipo],$B111))</f>
        <v/>
      </c>
      <c r="E111" s="68" t="str">
        <f>IF($B111="","",IF(INDEX(tblMovimientos[CantidadNeta],$B111)&gt;0,INDEX(tblMovimientos[CantidadNeta],$B111),""))</f>
        <v/>
      </c>
      <c r="F111" s="69" t="str">
        <f>IF($B111="","",IF(INDEX(tblMovimientos[CantidadNeta],$B111)&lt;0,-INDEX(tblMovimientos[CantidadNeta],$B111),""))</f>
        <v/>
      </c>
      <c r="G111" s="70" t="str">
        <f>IF($B111="","",INDEX(tblMovimientos[Saldo],$B111))</f>
        <v/>
      </c>
      <c r="H111" s="71" t="str">
        <f>IF($B111="","",INDEX(tblMovimientos[Documento],$B111)&amp;"")</f>
        <v/>
      </c>
      <c r="I111" s="146" t="str">
        <f>IF($B111="","",INDEX(tblMovimientos[Responsable],$B111)&amp;"")</f>
        <v/>
      </c>
      <c r="J111" s="146"/>
      <c r="K111" s="146" t="str">
        <f>IF($B111="","",INDEX(tblMovimientos[Observaciones],$B111)&amp;"")</f>
        <v/>
      </c>
      <c r="L111" s="146"/>
      <c r="M111" s="146"/>
    </row>
    <row r="112" spans="2:13" ht="16.5" customHeight="1" x14ac:dyDescent="0.25">
      <c r="B112" s="65" t="str">
        <f>IF(kxSKU="","",IFERROR(_xlfn.AGGREGATE(14,6,tblMovimientos[ID]/(tblMovimientos[SKU]=kxSKU),91),""))</f>
        <v/>
      </c>
      <c r="C112" s="66" t="str">
        <f>IF($B112="","",INDEX(tblMovimientos[Fecha],$B112))</f>
        <v/>
      </c>
      <c r="D112" s="67" t="str">
        <f>IF($B112="","",INDEX(tblMovimientos[Tipo],$B112))</f>
        <v/>
      </c>
      <c r="E112" s="68" t="str">
        <f>IF($B112="","",IF(INDEX(tblMovimientos[CantidadNeta],$B112)&gt;0,INDEX(tblMovimientos[CantidadNeta],$B112),""))</f>
        <v/>
      </c>
      <c r="F112" s="69" t="str">
        <f>IF($B112="","",IF(INDEX(tblMovimientos[CantidadNeta],$B112)&lt;0,-INDEX(tblMovimientos[CantidadNeta],$B112),""))</f>
        <v/>
      </c>
      <c r="G112" s="70" t="str">
        <f>IF($B112="","",INDEX(tblMovimientos[Saldo],$B112))</f>
        <v/>
      </c>
      <c r="H112" s="71" t="str">
        <f>IF($B112="","",INDEX(tblMovimientos[Documento],$B112)&amp;"")</f>
        <v/>
      </c>
      <c r="I112" s="146" t="str">
        <f>IF($B112="","",INDEX(tblMovimientos[Responsable],$B112)&amp;"")</f>
        <v/>
      </c>
      <c r="J112" s="146"/>
      <c r="K112" s="146" t="str">
        <f>IF($B112="","",INDEX(tblMovimientos[Observaciones],$B112)&amp;"")</f>
        <v/>
      </c>
      <c r="L112" s="146"/>
      <c r="M112" s="146"/>
    </row>
    <row r="113" spans="2:13" ht="16.5" customHeight="1" x14ac:dyDescent="0.25">
      <c r="B113" s="65" t="str">
        <f>IF(kxSKU="","",IFERROR(_xlfn.AGGREGATE(14,6,tblMovimientos[ID]/(tblMovimientos[SKU]=kxSKU),92),""))</f>
        <v/>
      </c>
      <c r="C113" s="66" t="str">
        <f>IF($B113="","",INDEX(tblMovimientos[Fecha],$B113))</f>
        <v/>
      </c>
      <c r="D113" s="67" t="str">
        <f>IF($B113="","",INDEX(tblMovimientos[Tipo],$B113))</f>
        <v/>
      </c>
      <c r="E113" s="68" t="str">
        <f>IF($B113="","",IF(INDEX(tblMovimientos[CantidadNeta],$B113)&gt;0,INDEX(tblMovimientos[CantidadNeta],$B113),""))</f>
        <v/>
      </c>
      <c r="F113" s="69" t="str">
        <f>IF($B113="","",IF(INDEX(tblMovimientos[CantidadNeta],$B113)&lt;0,-INDEX(tblMovimientos[CantidadNeta],$B113),""))</f>
        <v/>
      </c>
      <c r="G113" s="70" t="str">
        <f>IF($B113="","",INDEX(tblMovimientos[Saldo],$B113))</f>
        <v/>
      </c>
      <c r="H113" s="71" t="str">
        <f>IF($B113="","",INDEX(tblMovimientos[Documento],$B113)&amp;"")</f>
        <v/>
      </c>
      <c r="I113" s="146" t="str">
        <f>IF($B113="","",INDEX(tblMovimientos[Responsable],$B113)&amp;"")</f>
        <v/>
      </c>
      <c r="J113" s="146"/>
      <c r="K113" s="146" t="str">
        <f>IF($B113="","",INDEX(tblMovimientos[Observaciones],$B113)&amp;"")</f>
        <v/>
      </c>
      <c r="L113" s="146"/>
      <c r="M113" s="146"/>
    </row>
    <row r="114" spans="2:13" ht="16.5" customHeight="1" x14ac:dyDescent="0.25">
      <c r="B114" s="65" t="str">
        <f>IF(kxSKU="","",IFERROR(_xlfn.AGGREGATE(14,6,tblMovimientos[ID]/(tblMovimientos[SKU]=kxSKU),93),""))</f>
        <v/>
      </c>
      <c r="C114" s="66" t="str">
        <f>IF($B114="","",INDEX(tblMovimientos[Fecha],$B114))</f>
        <v/>
      </c>
      <c r="D114" s="67" t="str">
        <f>IF($B114="","",INDEX(tblMovimientos[Tipo],$B114))</f>
        <v/>
      </c>
      <c r="E114" s="68" t="str">
        <f>IF($B114="","",IF(INDEX(tblMovimientos[CantidadNeta],$B114)&gt;0,INDEX(tblMovimientos[CantidadNeta],$B114),""))</f>
        <v/>
      </c>
      <c r="F114" s="69" t="str">
        <f>IF($B114="","",IF(INDEX(tblMovimientos[CantidadNeta],$B114)&lt;0,-INDEX(tblMovimientos[CantidadNeta],$B114),""))</f>
        <v/>
      </c>
      <c r="G114" s="70" t="str">
        <f>IF($B114="","",INDEX(tblMovimientos[Saldo],$B114))</f>
        <v/>
      </c>
      <c r="H114" s="71" t="str">
        <f>IF($B114="","",INDEX(tblMovimientos[Documento],$B114)&amp;"")</f>
        <v/>
      </c>
      <c r="I114" s="146" t="str">
        <f>IF($B114="","",INDEX(tblMovimientos[Responsable],$B114)&amp;"")</f>
        <v/>
      </c>
      <c r="J114" s="146"/>
      <c r="K114" s="146" t="str">
        <f>IF($B114="","",INDEX(tblMovimientos[Observaciones],$B114)&amp;"")</f>
        <v/>
      </c>
      <c r="L114" s="146"/>
      <c r="M114" s="146"/>
    </row>
    <row r="115" spans="2:13" ht="16.5" customHeight="1" x14ac:dyDescent="0.25">
      <c r="B115" s="65" t="str">
        <f>IF(kxSKU="","",IFERROR(_xlfn.AGGREGATE(14,6,tblMovimientos[ID]/(tblMovimientos[SKU]=kxSKU),94),""))</f>
        <v/>
      </c>
      <c r="C115" s="66" t="str">
        <f>IF($B115="","",INDEX(tblMovimientos[Fecha],$B115))</f>
        <v/>
      </c>
      <c r="D115" s="67" t="str">
        <f>IF($B115="","",INDEX(tblMovimientos[Tipo],$B115))</f>
        <v/>
      </c>
      <c r="E115" s="68" t="str">
        <f>IF($B115="","",IF(INDEX(tblMovimientos[CantidadNeta],$B115)&gt;0,INDEX(tblMovimientos[CantidadNeta],$B115),""))</f>
        <v/>
      </c>
      <c r="F115" s="69" t="str">
        <f>IF($B115="","",IF(INDEX(tblMovimientos[CantidadNeta],$B115)&lt;0,-INDEX(tblMovimientos[CantidadNeta],$B115),""))</f>
        <v/>
      </c>
      <c r="G115" s="70" t="str">
        <f>IF($B115="","",INDEX(tblMovimientos[Saldo],$B115))</f>
        <v/>
      </c>
      <c r="H115" s="71" t="str">
        <f>IF($B115="","",INDEX(tblMovimientos[Documento],$B115)&amp;"")</f>
        <v/>
      </c>
      <c r="I115" s="146" t="str">
        <f>IF($B115="","",INDEX(tblMovimientos[Responsable],$B115)&amp;"")</f>
        <v/>
      </c>
      <c r="J115" s="146"/>
      <c r="K115" s="146" t="str">
        <f>IF($B115="","",INDEX(tblMovimientos[Observaciones],$B115)&amp;"")</f>
        <v/>
      </c>
      <c r="L115" s="146"/>
      <c r="M115" s="146"/>
    </row>
    <row r="116" spans="2:13" ht="16.5" customHeight="1" x14ac:dyDescent="0.25">
      <c r="B116" s="65" t="str">
        <f>IF(kxSKU="","",IFERROR(_xlfn.AGGREGATE(14,6,tblMovimientos[ID]/(tblMovimientos[SKU]=kxSKU),95),""))</f>
        <v/>
      </c>
      <c r="C116" s="66" t="str">
        <f>IF($B116="","",INDEX(tblMovimientos[Fecha],$B116))</f>
        <v/>
      </c>
      <c r="D116" s="67" t="str">
        <f>IF($B116="","",INDEX(tblMovimientos[Tipo],$B116))</f>
        <v/>
      </c>
      <c r="E116" s="68" t="str">
        <f>IF($B116="","",IF(INDEX(tblMovimientos[CantidadNeta],$B116)&gt;0,INDEX(tblMovimientos[CantidadNeta],$B116),""))</f>
        <v/>
      </c>
      <c r="F116" s="69" t="str">
        <f>IF($B116="","",IF(INDEX(tblMovimientos[CantidadNeta],$B116)&lt;0,-INDEX(tblMovimientos[CantidadNeta],$B116),""))</f>
        <v/>
      </c>
      <c r="G116" s="70" t="str">
        <f>IF($B116="","",INDEX(tblMovimientos[Saldo],$B116))</f>
        <v/>
      </c>
      <c r="H116" s="71" t="str">
        <f>IF($B116="","",INDEX(tblMovimientos[Documento],$B116)&amp;"")</f>
        <v/>
      </c>
      <c r="I116" s="146" t="str">
        <f>IF($B116="","",INDEX(tblMovimientos[Responsable],$B116)&amp;"")</f>
        <v/>
      </c>
      <c r="J116" s="146"/>
      <c r="K116" s="146" t="str">
        <f>IF($B116="","",INDEX(tblMovimientos[Observaciones],$B116)&amp;"")</f>
        <v/>
      </c>
      <c r="L116" s="146"/>
      <c r="M116" s="146"/>
    </row>
    <row r="117" spans="2:13" ht="16.5" customHeight="1" x14ac:dyDescent="0.25">
      <c r="B117" s="65" t="str">
        <f>IF(kxSKU="","",IFERROR(_xlfn.AGGREGATE(14,6,tblMovimientos[ID]/(tblMovimientos[SKU]=kxSKU),96),""))</f>
        <v/>
      </c>
      <c r="C117" s="66" t="str">
        <f>IF($B117="","",INDEX(tblMovimientos[Fecha],$B117))</f>
        <v/>
      </c>
      <c r="D117" s="67" t="str">
        <f>IF($B117="","",INDEX(tblMovimientos[Tipo],$B117))</f>
        <v/>
      </c>
      <c r="E117" s="68" t="str">
        <f>IF($B117="","",IF(INDEX(tblMovimientos[CantidadNeta],$B117)&gt;0,INDEX(tblMovimientos[CantidadNeta],$B117),""))</f>
        <v/>
      </c>
      <c r="F117" s="69" t="str">
        <f>IF($B117="","",IF(INDEX(tblMovimientos[CantidadNeta],$B117)&lt;0,-INDEX(tblMovimientos[CantidadNeta],$B117),""))</f>
        <v/>
      </c>
      <c r="G117" s="70" t="str">
        <f>IF($B117="","",INDEX(tblMovimientos[Saldo],$B117))</f>
        <v/>
      </c>
      <c r="H117" s="71" t="str">
        <f>IF($B117="","",INDEX(tblMovimientos[Documento],$B117)&amp;"")</f>
        <v/>
      </c>
      <c r="I117" s="146" t="str">
        <f>IF($B117="","",INDEX(tblMovimientos[Responsable],$B117)&amp;"")</f>
        <v/>
      </c>
      <c r="J117" s="146"/>
      <c r="K117" s="146" t="str">
        <f>IF($B117="","",INDEX(tblMovimientos[Observaciones],$B117)&amp;"")</f>
        <v/>
      </c>
      <c r="L117" s="146"/>
      <c r="M117" s="146"/>
    </row>
    <row r="118" spans="2:13" ht="16.5" customHeight="1" x14ac:dyDescent="0.25">
      <c r="B118" s="65" t="str">
        <f>IF(kxSKU="","",IFERROR(_xlfn.AGGREGATE(14,6,tblMovimientos[ID]/(tblMovimientos[SKU]=kxSKU),97),""))</f>
        <v/>
      </c>
      <c r="C118" s="66" t="str">
        <f>IF($B118="","",INDEX(tblMovimientos[Fecha],$B118))</f>
        <v/>
      </c>
      <c r="D118" s="67" t="str">
        <f>IF($B118="","",INDEX(tblMovimientos[Tipo],$B118))</f>
        <v/>
      </c>
      <c r="E118" s="68" t="str">
        <f>IF($B118="","",IF(INDEX(tblMovimientos[CantidadNeta],$B118)&gt;0,INDEX(tblMovimientos[CantidadNeta],$B118),""))</f>
        <v/>
      </c>
      <c r="F118" s="69" t="str">
        <f>IF($B118="","",IF(INDEX(tblMovimientos[CantidadNeta],$B118)&lt;0,-INDEX(tblMovimientos[CantidadNeta],$B118),""))</f>
        <v/>
      </c>
      <c r="G118" s="70" t="str">
        <f>IF($B118="","",INDEX(tblMovimientos[Saldo],$B118))</f>
        <v/>
      </c>
      <c r="H118" s="71" t="str">
        <f>IF($B118="","",INDEX(tblMovimientos[Documento],$B118)&amp;"")</f>
        <v/>
      </c>
      <c r="I118" s="146" t="str">
        <f>IF($B118="","",INDEX(tblMovimientos[Responsable],$B118)&amp;"")</f>
        <v/>
      </c>
      <c r="J118" s="146"/>
      <c r="K118" s="146" t="str">
        <f>IF($B118="","",INDEX(tblMovimientos[Observaciones],$B118)&amp;"")</f>
        <v/>
      </c>
      <c r="L118" s="146"/>
      <c r="M118" s="146"/>
    </row>
    <row r="119" spans="2:13" ht="16.5" customHeight="1" x14ac:dyDescent="0.25">
      <c r="B119" s="65" t="str">
        <f>IF(kxSKU="","",IFERROR(_xlfn.AGGREGATE(14,6,tblMovimientos[ID]/(tblMovimientos[SKU]=kxSKU),98),""))</f>
        <v/>
      </c>
      <c r="C119" s="66" t="str">
        <f>IF($B119="","",INDEX(tblMovimientos[Fecha],$B119))</f>
        <v/>
      </c>
      <c r="D119" s="67" t="str">
        <f>IF($B119="","",INDEX(tblMovimientos[Tipo],$B119))</f>
        <v/>
      </c>
      <c r="E119" s="68" t="str">
        <f>IF($B119="","",IF(INDEX(tblMovimientos[CantidadNeta],$B119)&gt;0,INDEX(tblMovimientos[CantidadNeta],$B119),""))</f>
        <v/>
      </c>
      <c r="F119" s="69" t="str">
        <f>IF($B119="","",IF(INDEX(tblMovimientos[CantidadNeta],$B119)&lt;0,-INDEX(tblMovimientos[CantidadNeta],$B119),""))</f>
        <v/>
      </c>
      <c r="G119" s="70" t="str">
        <f>IF($B119="","",INDEX(tblMovimientos[Saldo],$B119))</f>
        <v/>
      </c>
      <c r="H119" s="71" t="str">
        <f>IF($B119="","",INDEX(tblMovimientos[Documento],$B119)&amp;"")</f>
        <v/>
      </c>
      <c r="I119" s="146" t="str">
        <f>IF($B119="","",INDEX(tblMovimientos[Responsable],$B119)&amp;"")</f>
        <v/>
      </c>
      <c r="J119" s="146"/>
      <c r="K119" s="146" t="str">
        <f>IF($B119="","",INDEX(tblMovimientos[Observaciones],$B119)&amp;"")</f>
        <v/>
      </c>
      <c r="L119" s="146"/>
      <c r="M119" s="146"/>
    </row>
    <row r="120" spans="2:13" ht="16.5" customHeight="1" x14ac:dyDescent="0.25">
      <c r="B120" s="65" t="str">
        <f>IF(kxSKU="","",IFERROR(_xlfn.AGGREGATE(14,6,tblMovimientos[ID]/(tblMovimientos[SKU]=kxSKU),99),""))</f>
        <v/>
      </c>
      <c r="C120" s="66" t="str">
        <f>IF($B120="","",INDEX(tblMovimientos[Fecha],$B120))</f>
        <v/>
      </c>
      <c r="D120" s="67" t="str">
        <f>IF($B120="","",INDEX(tblMovimientos[Tipo],$B120))</f>
        <v/>
      </c>
      <c r="E120" s="68" t="str">
        <f>IF($B120="","",IF(INDEX(tblMovimientos[CantidadNeta],$B120)&gt;0,INDEX(tblMovimientos[CantidadNeta],$B120),""))</f>
        <v/>
      </c>
      <c r="F120" s="69" t="str">
        <f>IF($B120="","",IF(INDEX(tblMovimientos[CantidadNeta],$B120)&lt;0,-INDEX(tblMovimientos[CantidadNeta],$B120),""))</f>
        <v/>
      </c>
      <c r="G120" s="70" t="str">
        <f>IF($B120="","",INDEX(tblMovimientos[Saldo],$B120))</f>
        <v/>
      </c>
      <c r="H120" s="71" t="str">
        <f>IF($B120="","",INDEX(tblMovimientos[Documento],$B120)&amp;"")</f>
        <v/>
      </c>
      <c r="I120" s="146" t="str">
        <f>IF($B120="","",INDEX(tblMovimientos[Responsable],$B120)&amp;"")</f>
        <v/>
      </c>
      <c r="J120" s="146"/>
      <c r="K120" s="146" t="str">
        <f>IF($B120="","",INDEX(tblMovimientos[Observaciones],$B120)&amp;"")</f>
        <v/>
      </c>
      <c r="L120" s="146"/>
      <c r="M120" s="146"/>
    </row>
    <row r="121" spans="2:13" ht="16.5" customHeight="1" x14ac:dyDescent="0.25">
      <c r="B121" s="65" t="str">
        <f>IF(kxSKU="","",IFERROR(_xlfn.AGGREGATE(14,6,tblMovimientos[ID]/(tblMovimientos[SKU]=kxSKU),100),""))</f>
        <v/>
      </c>
      <c r="C121" s="66" t="str">
        <f>IF($B121="","",INDEX(tblMovimientos[Fecha],$B121))</f>
        <v/>
      </c>
      <c r="D121" s="67" t="str">
        <f>IF($B121="","",INDEX(tblMovimientos[Tipo],$B121))</f>
        <v/>
      </c>
      <c r="E121" s="68" t="str">
        <f>IF($B121="","",IF(INDEX(tblMovimientos[CantidadNeta],$B121)&gt;0,INDEX(tblMovimientos[CantidadNeta],$B121),""))</f>
        <v/>
      </c>
      <c r="F121" s="69" t="str">
        <f>IF($B121="","",IF(INDEX(tblMovimientos[CantidadNeta],$B121)&lt;0,-INDEX(tblMovimientos[CantidadNeta],$B121),""))</f>
        <v/>
      </c>
      <c r="G121" s="70" t="str">
        <f>IF($B121="","",INDEX(tblMovimientos[Saldo],$B121))</f>
        <v/>
      </c>
      <c r="H121" s="71" t="str">
        <f>IF($B121="","",INDEX(tblMovimientos[Documento],$B121)&amp;"")</f>
        <v/>
      </c>
      <c r="I121" s="146" t="str">
        <f>IF($B121="","",INDEX(tblMovimientos[Responsable],$B121)&amp;"")</f>
        <v/>
      </c>
      <c r="J121" s="146"/>
      <c r="K121" s="146" t="str">
        <f>IF($B121="","",INDEX(tblMovimientos[Observaciones],$B121)&amp;"")</f>
        <v/>
      </c>
      <c r="L121" s="146"/>
      <c r="M121" s="146"/>
    </row>
    <row r="122" spans="2:13" s="4" customFormat="1" ht="12" customHeight="1" x14ac:dyDescent="0.25"/>
  </sheetData>
  <sheetProtection password="930D" sheet="1" objects="1" scenarios="1"/>
  <mergeCells count="224">
    <mergeCell ref="I120:J120"/>
    <mergeCell ref="K120:M120"/>
    <mergeCell ref="I121:J121"/>
    <mergeCell ref="K121:M121"/>
    <mergeCell ref="I115:J115"/>
    <mergeCell ref="K115:M115"/>
    <mergeCell ref="I116:J116"/>
    <mergeCell ref="K116:M116"/>
    <mergeCell ref="I117:J117"/>
    <mergeCell ref="K117:M117"/>
    <mergeCell ref="I118:J118"/>
    <mergeCell ref="K118:M118"/>
    <mergeCell ref="I119:J119"/>
    <mergeCell ref="K119:M119"/>
    <mergeCell ref="I110:J110"/>
    <mergeCell ref="K110:M110"/>
    <mergeCell ref="I111:J111"/>
    <mergeCell ref="K111:M111"/>
    <mergeCell ref="I112:J112"/>
    <mergeCell ref="K112:M112"/>
    <mergeCell ref="I113:J113"/>
    <mergeCell ref="K113:M113"/>
    <mergeCell ref="I114:J114"/>
    <mergeCell ref="K114:M114"/>
    <mergeCell ref="I105:J105"/>
    <mergeCell ref="K105:M105"/>
    <mergeCell ref="I106:J106"/>
    <mergeCell ref="K106:M106"/>
    <mergeCell ref="I107:J107"/>
    <mergeCell ref="K107:M107"/>
    <mergeCell ref="I108:J108"/>
    <mergeCell ref="K108:M108"/>
    <mergeCell ref="I109:J109"/>
    <mergeCell ref="K109:M109"/>
    <mergeCell ref="I100:J100"/>
    <mergeCell ref="K100:M100"/>
    <mergeCell ref="I101:J101"/>
    <mergeCell ref="K101:M101"/>
    <mergeCell ref="I102:J102"/>
    <mergeCell ref="K102:M102"/>
    <mergeCell ref="I103:J103"/>
    <mergeCell ref="K103:M103"/>
    <mergeCell ref="I104:J104"/>
    <mergeCell ref="K104:M104"/>
    <mergeCell ref="I95:J95"/>
    <mergeCell ref="K95:M95"/>
    <mergeCell ref="I96:J96"/>
    <mergeCell ref="K96:M96"/>
    <mergeCell ref="I97:J97"/>
    <mergeCell ref="K97:M97"/>
    <mergeCell ref="I98:J98"/>
    <mergeCell ref="K98:M98"/>
    <mergeCell ref="I99:J99"/>
    <mergeCell ref="K99:M99"/>
    <mergeCell ref="I90:J90"/>
    <mergeCell ref="K90:M90"/>
    <mergeCell ref="I91:J91"/>
    <mergeCell ref="K91:M91"/>
    <mergeCell ref="I92:J92"/>
    <mergeCell ref="K92:M92"/>
    <mergeCell ref="I93:J93"/>
    <mergeCell ref="K93:M93"/>
    <mergeCell ref="I94:J94"/>
    <mergeCell ref="K94:M94"/>
    <mergeCell ref="I85:J85"/>
    <mergeCell ref="K85:M85"/>
    <mergeCell ref="I86:J86"/>
    <mergeCell ref="K86:M86"/>
    <mergeCell ref="I87:J87"/>
    <mergeCell ref="K87:M87"/>
    <mergeCell ref="I88:J88"/>
    <mergeCell ref="K88:M88"/>
    <mergeCell ref="I89:J89"/>
    <mergeCell ref="K89:M89"/>
    <mergeCell ref="I80:J80"/>
    <mergeCell ref="K80:M80"/>
    <mergeCell ref="I81:J81"/>
    <mergeCell ref="K81:M81"/>
    <mergeCell ref="I82:J82"/>
    <mergeCell ref="K82:M82"/>
    <mergeCell ref="I83:J83"/>
    <mergeCell ref="K83:M83"/>
    <mergeCell ref="I84:J84"/>
    <mergeCell ref="K84:M84"/>
    <mergeCell ref="I75:J75"/>
    <mergeCell ref="K75:M75"/>
    <mergeCell ref="I76:J76"/>
    <mergeCell ref="K76:M76"/>
    <mergeCell ref="I77:J77"/>
    <mergeCell ref="K77:M77"/>
    <mergeCell ref="I78:J78"/>
    <mergeCell ref="K78:M78"/>
    <mergeCell ref="I79:J79"/>
    <mergeCell ref="K79:M79"/>
    <mergeCell ref="I70:J70"/>
    <mergeCell ref="K70:M70"/>
    <mergeCell ref="I71:J71"/>
    <mergeCell ref="K71:M71"/>
    <mergeCell ref="I72:J72"/>
    <mergeCell ref="K72:M72"/>
    <mergeCell ref="I73:J73"/>
    <mergeCell ref="K73:M73"/>
    <mergeCell ref="I74:J74"/>
    <mergeCell ref="K74:M74"/>
    <mergeCell ref="I65:J65"/>
    <mergeCell ref="K65:M65"/>
    <mergeCell ref="I66:J66"/>
    <mergeCell ref="K66:M66"/>
    <mergeCell ref="I67:J67"/>
    <mergeCell ref="K67:M67"/>
    <mergeCell ref="I68:J68"/>
    <mergeCell ref="K68:M68"/>
    <mergeCell ref="I69:J69"/>
    <mergeCell ref="K69:M69"/>
    <mergeCell ref="I60:J60"/>
    <mergeCell ref="K60:M60"/>
    <mergeCell ref="I61:J61"/>
    <mergeCell ref="K61:M61"/>
    <mergeCell ref="I62:J62"/>
    <mergeCell ref="K62:M62"/>
    <mergeCell ref="I63:J63"/>
    <mergeCell ref="K63:M63"/>
    <mergeCell ref="I64:J64"/>
    <mergeCell ref="K64:M64"/>
    <mergeCell ref="I55:J55"/>
    <mergeCell ref="K55:M55"/>
    <mergeCell ref="I56:J56"/>
    <mergeCell ref="K56:M56"/>
    <mergeCell ref="I57:J57"/>
    <mergeCell ref="K57:M57"/>
    <mergeCell ref="I58:J58"/>
    <mergeCell ref="K58:M58"/>
    <mergeCell ref="I59:J59"/>
    <mergeCell ref="K59:M59"/>
    <mergeCell ref="I50:J50"/>
    <mergeCell ref="K50:M50"/>
    <mergeCell ref="I51:J51"/>
    <mergeCell ref="K51:M51"/>
    <mergeCell ref="I52:J52"/>
    <mergeCell ref="K52:M52"/>
    <mergeCell ref="I53:J53"/>
    <mergeCell ref="K53:M53"/>
    <mergeCell ref="I54:J54"/>
    <mergeCell ref="K54:M54"/>
    <mergeCell ref="I45:J45"/>
    <mergeCell ref="K45:M45"/>
    <mergeCell ref="I46:J46"/>
    <mergeCell ref="K46:M46"/>
    <mergeCell ref="I47:J47"/>
    <mergeCell ref="K47:M47"/>
    <mergeCell ref="I48:J48"/>
    <mergeCell ref="K48:M48"/>
    <mergeCell ref="I49:J49"/>
    <mergeCell ref="K49:M49"/>
    <mergeCell ref="I40:J40"/>
    <mergeCell ref="K40:M40"/>
    <mergeCell ref="I41:J41"/>
    <mergeCell ref="K41:M41"/>
    <mergeCell ref="I42:J42"/>
    <mergeCell ref="K42:M42"/>
    <mergeCell ref="I43:J43"/>
    <mergeCell ref="K43:M43"/>
    <mergeCell ref="I44:J44"/>
    <mergeCell ref="K44:M44"/>
    <mergeCell ref="I35:J35"/>
    <mergeCell ref="K35:M35"/>
    <mergeCell ref="I36:J36"/>
    <mergeCell ref="K36:M36"/>
    <mergeCell ref="I37:J37"/>
    <mergeCell ref="K37:M37"/>
    <mergeCell ref="I38:J38"/>
    <mergeCell ref="K38:M38"/>
    <mergeCell ref="I39:J39"/>
    <mergeCell ref="K39:M39"/>
    <mergeCell ref="I30:J30"/>
    <mergeCell ref="K30:M30"/>
    <mergeCell ref="I31:J31"/>
    <mergeCell ref="K31:M31"/>
    <mergeCell ref="I32:J32"/>
    <mergeCell ref="K32:M32"/>
    <mergeCell ref="I33:J33"/>
    <mergeCell ref="K33:M33"/>
    <mergeCell ref="I34:J34"/>
    <mergeCell ref="K34:M34"/>
    <mergeCell ref="I25:J25"/>
    <mergeCell ref="K25:M25"/>
    <mergeCell ref="I26:J26"/>
    <mergeCell ref="K26:M26"/>
    <mergeCell ref="I27:J27"/>
    <mergeCell ref="K27:M27"/>
    <mergeCell ref="I28:J28"/>
    <mergeCell ref="K28:M28"/>
    <mergeCell ref="I29:J29"/>
    <mergeCell ref="K29:M29"/>
    <mergeCell ref="B18:G18"/>
    <mergeCell ref="J20:M20"/>
    <mergeCell ref="I21:J21"/>
    <mergeCell ref="K21:M21"/>
    <mergeCell ref="I22:J22"/>
    <mergeCell ref="K22:M22"/>
    <mergeCell ref="I23:J23"/>
    <mergeCell ref="K23:M23"/>
    <mergeCell ref="I24:J24"/>
    <mergeCell ref="K24:M24"/>
    <mergeCell ref="B13:C13"/>
    <mergeCell ref="D13:E13"/>
    <mergeCell ref="F13:G13"/>
    <mergeCell ref="B14:C15"/>
    <mergeCell ref="D14:E15"/>
    <mergeCell ref="F14:G15"/>
    <mergeCell ref="D16:E16"/>
    <mergeCell ref="F16:G16"/>
    <mergeCell ref="B17:C17"/>
    <mergeCell ref="D17:E17"/>
    <mergeCell ref="F17:G17"/>
    <mergeCell ref="B7:D7"/>
    <mergeCell ref="E7:G7"/>
    <mergeCell ref="H7:M7"/>
    <mergeCell ref="B8:D8"/>
    <mergeCell ref="E8:G8"/>
    <mergeCell ref="H8:M8"/>
    <mergeCell ref="H9:M9"/>
    <mergeCell ref="B11:G11"/>
    <mergeCell ref="B12:G12"/>
  </mergeCells>
  <conditionalFormatting sqref="B14:C15">
    <cfRule type="expression" dxfId="36" priority="8">
      <formula>$D$14="INCONSISTENTE"</formula>
    </cfRule>
    <cfRule type="expression" dxfId="35" priority="9">
      <formula>$D$14="AGOTADO"</formula>
    </cfRule>
    <cfRule type="expression" dxfId="34" priority="10">
      <formula>$D$14="CRÍTICO"</formula>
    </cfRule>
    <cfRule type="expression" dxfId="33" priority="11">
      <formula>$D$14="BAJO"</formula>
    </cfRule>
    <cfRule type="expression" dxfId="32" priority="12">
      <formula>$D$14="ÓPTIMO"</formula>
    </cfRule>
    <cfRule type="expression" dxfId="31" priority="13">
      <formula>$D$14="SOBRESTOCK"</formula>
    </cfRule>
    <cfRule type="expression" dxfId="30" priority="14">
      <formula>$D$14="INACTIVO"</formula>
    </cfRule>
    <cfRule type="expression" dxfId="29" priority="15">
      <formula>AND(ISNUMBER($B$14),$B$14&lt;&gt;INT($B$14))</formula>
    </cfRule>
  </conditionalFormatting>
  <conditionalFormatting sqref="B22:M121">
    <cfRule type="expression" dxfId="28" priority="19">
      <formula>AND($B22&lt;&gt;"",MOD(ROW(),2)=0)</formula>
    </cfRule>
    <cfRule type="expression" dxfId="27" priority="20">
      <formula>$B22&lt;&gt;""</formula>
    </cfRule>
  </conditionalFormatting>
  <conditionalFormatting sqref="D22:D121">
    <cfRule type="expression" dxfId="26" priority="17">
      <formula>ISNUMBER($E22)</formula>
    </cfRule>
    <cfRule type="expression" dxfId="25" priority="18">
      <formula>ISNUMBER($F22)</formula>
    </cfRule>
  </conditionalFormatting>
  <conditionalFormatting sqref="D14:E15">
    <cfRule type="expression" dxfId="24" priority="1">
      <formula>$D$14="INCONSISTENTE"</formula>
    </cfRule>
    <cfRule type="expression" dxfId="23" priority="2">
      <formula>$D$14="AGOTADO"</formula>
    </cfRule>
    <cfRule type="expression" dxfId="22" priority="3">
      <formula>$D$14="CRÍTICO"</formula>
    </cfRule>
    <cfRule type="expression" dxfId="21" priority="4">
      <formula>$D$14="BAJO"</formula>
    </cfRule>
    <cfRule type="expression" dxfId="20" priority="5">
      <formula>$D$14="ÓPTIMO"</formula>
    </cfRule>
    <cfRule type="expression" dxfId="19" priority="6">
      <formula>$D$14="SOBRESTOCK"</formula>
    </cfRule>
    <cfRule type="expression" dxfId="18" priority="7">
      <formula>$D$14="INACTIVO"</formula>
    </cfRule>
  </conditionalFormatting>
  <conditionalFormatting sqref="E22:G121">
    <cfRule type="expression" dxfId="17" priority="21">
      <formula>AND(ISNUMBER(E22),E22&lt;&gt;INT(E22))</formula>
    </cfRule>
  </conditionalFormatting>
  <conditionalFormatting sqref="F17:G17">
    <cfRule type="expression" dxfId="16" priority="16">
      <formula>AND(ISNUMBER($F$17),$F$17&gt;cfgDiasSinRotacion,kxStock&gt;0)</formula>
    </cfRule>
  </conditionalFormatting>
  <dataValidations count="3">
    <dataValidation type="list" allowBlank="1" showInputMessage="1" showErrorMessage="1" promptTitle="Categoría (opcional)" prompt="Filtra la lista de productos." sqref="B8" xr:uid="{00000000-0002-0000-0A00-000000000000}">
      <formula1>lstCategorias</formula1>
    </dataValidation>
    <dataValidation type="textLength" operator="lessThanOrEqual" allowBlank="1" showInputMessage="1" showErrorMessage="1" promptTitle="Buscar" prompt="Escriba parte del nombre o del SKU y pulse Enter; luego elija en Producto." sqref="E8" xr:uid="{00000000-0002-0000-0A00-000001000000}">
      <formula1>40</formula1>
    </dataValidation>
    <dataValidation type="list" allowBlank="1" showInputMessage="1" showErrorMessage="1" errorTitle="Producto no válido" error="Elija un producto de la lista (Alt + ↓)." promptTitle="Producto" prompt="Elija el producto a consultar (incluye descontinuados)." sqref="H8" xr:uid="{00000000-0002-0000-0A00-000002000000}">
      <formula1>lfKardex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360C"/>
    <pageSetUpPr fitToPage="1"/>
  </sheetPr>
  <dimension ref="B1:M514"/>
  <sheetViews>
    <sheetView showGridLines="0" showRowColHeaders="0" workbookViewId="0">
      <pane ySplit="14" topLeftCell="A15" activePane="bottomLeft" state="frozen"/>
      <selection pane="bottomLeft" activeCell="D10" sqref="D10"/>
    </sheetView>
  </sheetViews>
  <sheetFormatPr baseColWidth="10" defaultColWidth="0" defaultRowHeight="15" zeroHeight="1" x14ac:dyDescent="0.25"/>
  <cols>
    <col min="1" max="1" width="2.28515625" customWidth="1"/>
    <col min="2" max="2" width="5.7109375" customWidth="1"/>
    <col min="3" max="3" width="33.140625" customWidth="1"/>
    <col min="4" max="4" width="12" customWidth="1"/>
    <col min="5" max="5" width="38.5703125" customWidth="1"/>
    <col min="6" max="7" width="12" customWidth="1"/>
    <col min="8" max="9" width="12.85546875" customWidth="1"/>
    <col min="10" max="10" width="17.7109375" customWidth="1"/>
    <col min="11" max="11" width="14.85546875" customWidth="1"/>
    <col min="12" max="12" width="15.7109375" customWidth="1"/>
    <col min="13" max="13" width="17.7109375" customWidth="1"/>
    <col min="14" max="14" width="2.28515625" customWidth="1"/>
    <col min="15" max="15" width="0" hidden="1" customWidth="1"/>
  </cols>
  <sheetData>
    <row r="1" spans="2:13" s="1" customFormat="1" ht="6" customHeight="1" x14ac:dyDescent="0.25"/>
    <row r="2" spans="2:13" s="1" customFormat="1" ht="24" customHeight="1" x14ac:dyDescent="0.25">
      <c r="B2" s="12" t="s">
        <v>212</v>
      </c>
    </row>
    <row r="3" spans="2:13" s="1" customFormat="1" ht="14.25" x14ac:dyDescent="0.25">
      <c r="B3" s="13" t="s">
        <v>213</v>
      </c>
    </row>
    <row r="4" spans="2:13" s="1" customFormat="1" ht="7.5" customHeight="1" x14ac:dyDescent="0.25"/>
    <row r="5" spans="2:13" s="4" customFormat="1" ht="25.5" customHeight="1" x14ac:dyDescent="0.25"/>
    <row r="6" spans="2:13" s="4" customFormat="1" ht="9" customHeight="1" x14ac:dyDescent="0.25"/>
    <row r="7" spans="2:13" s="72" customFormat="1" ht="19.5" customHeight="1" x14ac:dyDescent="0.25">
      <c r="B7" s="147" t="str">
        <f>cfgEmpresa</f>
        <v>NOMBRE DE SU EMPRESA</v>
      </c>
      <c r="C7" s="147"/>
      <c r="D7" s="147"/>
      <c r="E7" s="147"/>
      <c r="J7" s="154" t="s">
        <v>217</v>
      </c>
      <c r="K7" s="154"/>
      <c r="L7" s="154"/>
      <c r="M7" s="154"/>
    </row>
    <row r="8" spans="2:13" s="72" customFormat="1" ht="19.5" customHeight="1" x14ac:dyDescent="0.25">
      <c r="B8" s="148" t="str">
        <f>"NIT "&amp;cfgNIT&amp;"  ·  "&amp;cfgBodega</f>
        <v>NIT   ·  Bodega principal</v>
      </c>
      <c r="C8" s="148"/>
      <c r="D8" s="148"/>
      <c r="E8" s="148"/>
      <c r="J8" s="155">
        <f ca="1">YEAR(TODAY())*10000+MONTH(TODAY())*100+DAY(TODAY())</f>
        <v>20260925</v>
      </c>
      <c r="K8" s="155"/>
      <c r="L8" s="155"/>
      <c r="M8" s="155"/>
    </row>
    <row r="9" spans="2:13" s="72" customFormat="1" ht="19.5" customHeight="1" x14ac:dyDescent="0.25">
      <c r="B9" s="149" t="s">
        <v>214</v>
      </c>
      <c r="C9" s="149"/>
      <c r="D9" s="149"/>
      <c r="E9" s="149"/>
      <c r="J9" s="156">
        <f ca="1">TODAY()</f>
        <v>46290</v>
      </c>
      <c r="K9" s="156"/>
      <c r="L9" s="156"/>
      <c r="M9" s="156"/>
    </row>
    <row r="10" spans="2:13" s="72" customFormat="1" ht="19.5" customHeight="1" x14ac:dyDescent="0.25">
      <c r="B10" s="150" t="s">
        <v>215</v>
      </c>
      <c r="C10" s="150"/>
      <c r="D10" s="151" t="s">
        <v>216</v>
      </c>
      <c r="E10" s="151"/>
      <c r="J10" s="157">
        <f>kpiPedidoTotal</f>
        <v>0</v>
      </c>
      <c r="K10" s="157"/>
      <c r="L10" s="157"/>
      <c r="M10" s="157"/>
    </row>
    <row r="11" spans="2:13" s="72" customFormat="1" ht="19.5" customHeight="1" x14ac:dyDescent="0.25">
      <c r="B11" s="152" t="str">
        <f>txtPedidoContacto</f>
        <v>Todos los proveedores. Para enviar un pedido, elija el proveedor e imprima.</v>
      </c>
      <c r="C11" s="152"/>
      <c r="D11" s="152"/>
      <c r="E11" s="152"/>
      <c r="J11" s="158" t="str">
        <f>txtPedidoResumen</f>
        <v>0 línea(s) · 0 proveedor(es)</v>
      </c>
      <c r="K11" s="158"/>
      <c r="L11" s="158"/>
      <c r="M11" s="158"/>
    </row>
    <row r="12" spans="2:13" s="72" customFormat="1" ht="19.5" customHeight="1" x14ac:dyDescent="0.25">
      <c r="B12" s="153" t="str">
        <f ca="1">txtPedidoEntrega</f>
        <v/>
      </c>
      <c r="C12" s="153"/>
      <c r="D12" s="153"/>
      <c r="E12" s="153"/>
      <c r="J12" s="159" t="s">
        <v>218</v>
      </c>
      <c r="K12" s="159"/>
      <c r="L12" s="159"/>
      <c r="M12" s="159"/>
    </row>
    <row r="13" spans="2:13" s="4" customFormat="1" ht="9" customHeight="1" x14ac:dyDescent="0.25"/>
    <row r="14" spans="2:13" ht="24" customHeight="1" x14ac:dyDescent="0.25">
      <c r="B14" s="73" t="s">
        <v>192</v>
      </c>
      <c r="C14" s="73" t="s">
        <v>139</v>
      </c>
      <c r="D14" s="73" t="s">
        <v>152</v>
      </c>
      <c r="E14" s="73" t="s">
        <v>153</v>
      </c>
      <c r="F14" s="73" t="s">
        <v>107</v>
      </c>
      <c r="G14" s="73" t="s">
        <v>193</v>
      </c>
      <c r="H14" s="73" t="s">
        <v>194</v>
      </c>
      <c r="I14" s="73" t="s">
        <v>195</v>
      </c>
      <c r="J14" s="73" t="s">
        <v>51</v>
      </c>
      <c r="K14" s="73" t="s">
        <v>219</v>
      </c>
      <c r="L14" s="73" t="s">
        <v>220</v>
      </c>
      <c r="M14" s="73" t="s">
        <v>221</v>
      </c>
    </row>
    <row r="15" spans="2:13" ht="15.75" x14ac:dyDescent="0.25">
      <c r="B15" s="74" t="str">
        <f>IF('91_KPIS'!$T8="","",1)</f>
        <v/>
      </c>
      <c r="C15" s="75" t="str">
        <f>IF($B15="","",IF(INDEX(tblStock[Proveedor],'91_KPIS'!$T8)="","(Sin proveedor)",INDEX(tblStock[Proveedor],'91_KPIS'!$T8)))</f>
        <v/>
      </c>
      <c r="D15" s="76" t="str">
        <f>IF($B15="","",INDEX(tblStock[SKU],'91_KPIS'!$T8))</f>
        <v/>
      </c>
      <c r="E15" s="75" t="str">
        <f>IF($B15="","",INDEX(tblStock[Producto],'91_KPIS'!$T8))</f>
        <v/>
      </c>
      <c r="F15" s="76" t="str">
        <f>IF($B15="","",INDEX(tblStock[Unidad],'91_KPIS'!$T8))</f>
        <v/>
      </c>
      <c r="G15" s="77" t="str">
        <f>IF($B15="","",INDEX(tblStock[StockActual],'91_KPIS'!$T8))</f>
        <v/>
      </c>
      <c r="H15" s="78" t="str">
        <f>IF($B15="","",INDEX(tblStock[StockMin],'91_KPIS'!$T8))</f>
        <v/>
      </c>
      <c r="I15" s="78" t="str">
        <f>IF($B15="","",INDEX(tblStock[StockMax],'91_KPIS'!$T8))</f>
        <v/>
      </c>
      <c r="J15" s="79" t="str">
        <f>IF($B15="","",INDEX(tblStock[Estado],'91_KPIS'!$T8))</f>
        <v/>
      </c>
      <c r="K15" s="80" t="str">
        <f t="shared" ref="K15:K78" si="0">IF($B15="","",MAX(0,IF($I15&gt;0,$I15,2*$H15)-MAX(0,$G15)))</f>
        <v/>
      </c>
      <c r="L15" s="81" t="str">
        <f>IF($B15="","",INDEX(tblStock[CostoUnitario],'91_KPIS'!$T8))</f>
        <v/>
      </c>
      <c r="M15" s="82" t="str">
        <f t="shared" ref="M15:M78" si="1">IF($B15="","",$K15*$L15)</f>
        <v/>
      </c>
    </row>
    <row r="16" spans="2:13" ht="15.75" x14ac:dyDescent="0.25">
      <c r="B16" s="74" t="str">
        <f>IF('91_KPIS'!$T9="","",2)</f>
        <v/>
      </c>
      <c r="C16" s="75" t="str">
        <f>IF($B16="","",IF(INDEX(tblStock[Proveedor],'91_KPIS'!$T9)="","(Sin proveedor)",INDEX(tblStock[Proveedor],'91_KPIS'!$T9)))</f>
        <v/>
      </c>
      <c r="D16" s="76" t="str">
        <f>IF($B16="","",INDEX(tblStock[SKU],'91_KPIS'!$T9))</f>
        <v/>
      </c>
      <c r="E16" s="75" t="str">
        <f>IF($B16="","",INDEX(tblStock[Producto],'91_KPIS'!$T9))</f>
        <v/>
      </c>
      <c r="F16" s="76" t="str">
        <f>IF($B16="","",INDEX(tblStock[Unidad],'91_KPIS'!$T9))</f>
        <v/>
      </c>
      <c r="G16" s="77" t="str">
        <f>IF($B16="","",INDEX(tblStock[StockActual],'91_KPIS'!$T9))</f>
        <v/>
      </c>
      <c r="H16" s="78" t="str">
        <f>IF($B16="","",INDEX(tblStock[StockMin],'91_KPIS'!$T9))</f>
        <v/>
      </c>
      <c r="I16" s="78" t="str">
        <f>IF($B16="","",INDEX(tblStock[StockMax],'91_KPIS'!$T9))</f>
        <v/>
      </c>
      <c r="J16" s="79" t="str">
        <f>IF($B16="","",INDEX(tblStock[Estado],'91_KPIS'!$T9))</f>
        <v/>
      </c>
      <c r="K16" s="80" t="str">
        <f t="shared" si="0"/>
        <v/>
      </c>
      <c r="L16" s="81" t="str">
        <f>IF($B16="","",INDEX(tblStock[CostoUnitario],'91_KPIS'!$T9))</f>
        <v/>
      </c>
      <c r="M16" s="82" t="str">
        <f t="shared" si="1"/>
        <v/>
      </c>
    </row>
    <row r="17" spans="2:13" ht="15.75" x14ac:dyDescent="0.25">
      <c r="B17" s="74" t="str">
        <f>IF('91_KPIS'!$T10="","",3)</f>
        <v/>
      </c>
      <c r="C17" s="75" t="str">
        <f>IF($B17="","",IF(INDEX(tblStock[Proveedor],'91_KPIS'!$T10)="","(Sin proveedor)",INDEX(tblStock[Proveedor],'91_KPIS'!$T10)))</f>
        <v/>
      </c>
      <c r="D17" s="76" t="str">
        <f>IF($B17="","",INDEX(tblStock[SKU],'91_KPIS'!$T10))</f>
        <v/>
      </c>
      <c r="E17" s="75" t="str">
        <f>IF($B17="","",INDEX(tblStock[Producto],'91_KPIS'!$T10))</f>
        <v/>
      </c>
      <c r="F17" s="76" t="str">
        <f>IF($B17="","",INDEX(tblStock[Unidad],'91_KPIS'!$T10))</f>
        <v/>
      </c>
      <c r="G17" s="77" t="str">
        <f>IF($B17="","",INDEX(tblStock[StockActual],'91_KPIS'!$T10))</f>
        <v/>
      </c>
      <c r="H17" s="78" t="str">
        <f>IF($B17="","",INDEX(tblStock[StockMin],'91_KPIS'!$T10))</f>
        <v/>
      </c>
      <c r="I17" s="78" t="str">
        <f>IF($B17="","",INDEX(tblStock[StockMax],'91_KPIS'!$T10))</f>
        <v/>
      </c>
      <c r="J17" s="79" t="str">
        <f>IF($B17="","",INDEX(tblStock[Estado],'91_KPIS'!$T10))</f>
        <v/>
      </c>
      <c r="K17" s="80" t="str">
        <f t="shared" si="0"/>
        <v/>
      </c>
      <c r="L17" s="81" t="str">
        <f>IF($B17="","",INDEX(tblStock[CostoUnitario],'91_KPIS'!$T10))</f>
        <v/>
      </c>
      <c r="M17" s="82" t="str">
        <f t="shared" si="1"/>
        <v/>
      </c>
    </row>
    <row r="18" spans="2:13" ht="15.75" x14ac:dyDescent="0.25">
      <c r="B18" s="74" t="str">
        <f>IF('91_KPIS'!$T11="","",4)</f>
        <v/>
      </c>
      <c r="C18" s="75" t="str">
        <f>IF($B18="","",IF(INDEX(tblStock[Proveedor],'91_KPIS'!$T11)="","(Sin proveedor)",INDEX(tblStock[Proveedor],'91_KPIS'!$T11)))</f>
        <v/>
      </c>
      <c r="D18" s="76" t="str">
        <f>IF($B18="","",INDEX(tblStock[SKU],'91_KPIS'!$T11))</f>
        <v/>
      </c>
      <c r="E18" s="75" t="str">
        <f>IF($B18="","",INDEX(tblStock[Producto],'91_KPIS'!$T11))</f>
        <v/>
      </c>
      <c r="F18" s="76" t="str">
        <f>IF($B18="","",INDEX(tblStock[Unidad],'91_KPIS'!$T11))</f>
        <v/>
      </c>
      <c r="G18" s="77" t="str">
        <f>IF($B18="","",INDEX(tblStock[StockActual],'91_KPIS'!$T11))</f>
        <v/>
      </c>
      <c r="H18" s="78" t="str">
        <f>IF($B18="","",INDEX(tblStock[StockMin],'91_KPIS'!$T11))</f>
        <v/>
      </c>
      <c r="I18" s="78" t="str">
        <f>IF($B18="","",INDEX(tblStock[StockMax],'91_KPIS'!$T11))</f>
        <v/>
      </c>
      <c r="J18" s="79" t="str">
        <f>IF($B18="","",INDEX(tblStock[Estado],'91_KPIS'!$T11))</f>
        <v/>
      </c>
      <c r="K18" s="80" t="str">
        <f t="shared" si="0"/>
        <v/>
      </c>
      <c r="L18" s="81" t="str">
        <f>IF($B18="","",INDEX(tblStock[CostoUnitario],'91_KPIS'!$T11))</f>
        <v/>
      </c>
      <c r="M18" s="82" t="str">
        <f t="shared" si="1"/>
        <v/>
      </c>
    </row>
    <row r="19" spans="2:13" ht="15.75" x14ac:dyDescent="0.25">
      <c r="B19" s="74" t="str">
        <f>IF('91_KPIS'!$T12="","",5)</f>
        <v/>
      </c>
      <c r="C19" s="75" t="str">
        <f>IF($B19="","",IF(INDEX(tblStock[Proveedor],'91_KPIS'!$T12)="","(Sin proveedor)",INDEX(tblStock[Proveedor],'91_KPIS'!$T12)))</f>
        <v/>
      </c>
      <c r="D19" s="76" t="str">
        <f>IF($B19="","",INDEX(tblStock[SKU],'91_KPIS'!$T12))</f>
        <v/>
      </c>
      <c r="E19" s="75" t="str">
        <f>IF($B19="","",INDEX(tblStock[Producto],'91_KPIS'!$T12))</f>
        <v/>
      </c>
      <c r="F19" s="76" t="str">
        <f>IF($B19="","",INDEX(tblStock[Unidad],'91_KPIS'!$T12))</f>
        <v/>
      </c>
      <c r="G19" s="77" t="str">
        <f>IF($B19="","",INDEX(tblStock[StockActual],'91_KPIS'!$T12))</f>
        <v/>
      </c>
      <c r="H19" s="78" t="str">
        <f>IF($B19="","",INDEX(tblStock[StockMin],'91_KPIS'!$T12))</f>
        <v/>
      </c>
      <c r="I19" s="78" t="str">
        <f>IF($B19="","",INDEX(tblStock[StockMax],'91_KPIS'!$T12))</f>
        <v/>
      </c>
      <c r="J19" s="79" t="str">
        <f>IF($B19="","",INDEX(tblStock[Estado],'91_KPIS'!$T12))</f>
        <v/>
      </c>
      <c r="K19" s="80" t="str">
        <f t="shared" si="0"/>
        <v/>
      </c>
      <c r="L19" s="81" t="str">
        <f>IF($B19="","",INDEX(tblStock[CostoUnitario],'91_KPIS'!$T12))</f>
        <v/>
      </c>
      <c r="M19" s="82" t="str">
        <f t="shared" si="1"/>
        <v/>
      </c>
    </row>
    <row r="20" spans="2:13" ht="15.75" x14ac:dyDescent="0.25">
      <c r="B20" s="74" t="str">
        <f>IF('91_KPIS'!$T13="","",6)</f>
        <v/>
      </c>
      <c r="C20" s="75" t="str">
        <f>IF($B20="","",IF(INDEX(tblStock[Proveedor],'91_KPIS'!$T13)="","(Sin proveedor)",INDEX(tblStock[Proveedor],'91_KPIS'!$T13)))</f>
        <v/>
      </c>
      <c r="D20" s="76" t="str">
        <f>IF($B20="","",INDEX(tblStock[SKU],'91_KPIS'!$T13))</f>
        <v/>
      </c>
      <c r="E20" s="75" t="str">
        <f>IF($B20="","",INDEX(tblStock[Producto],'91_KPIS'!$T13))</f>
        <v/>
      </c>
      <c r="F20" s="76" t="str">
        <f>IF($B20="","",INDEX(tblStock[Unidad],'91_KPIS'!$T13))</f>
        <v/>
      </c>
      <c r="G20" s="77" t="str">
        <f>IF($B20="","",INDEX(tblStock[StockActual],'91_KPIS'!$T13))</f>
        <v/>
      </c>
      <c r="H20" s="78" t="str">
        <f>IF($B20="","",INDEX(tblStock[StockMin],'91_KPIS'!$T13))</f>
        <v/>
      </c>
      <c r="I20" s="78" t="str">
        <f>IF($B20="","",INDEX(tblStock[StockMax],'91_KPIS'!$T13))</f>
        <v/>
      </c>
      <c r="J20" s="79" t="str">
        <f>IF($B20="","",INDEX(tblStock[Estado],'91_KPIS'!$T13))</f>
        <v/>
      </c>
      <c r="K20" s="80" t="str">
        <f t="shared" si="0"/>
        <v/>
      </c>
      <c r="L20" s="81" t="str">
        <f>IF($B20="","",INDEX(tblStock[CostoUnitario],'91_KPIS'!$T13))</f>
        <v/>
      </c>
      <c r="M20" s="82" t="str">
        <f t="shared" si="1"/>
        <v/>
      </c>
    </row>
    <row r="21" spans="2:13" ht="15.75" x14ac:dyDescent="0.25">
      <c r="B21" s="74" t="str">
        <f>IF('91_KPIS'!$T14="","",7)</f>
        <v/>
      </c>
      <c r="C21" s="75" t="str">
        <f>IF($B21="","",IF(INDEX(tblStock[Proveedor],'91_KPIS'!$T14)="","(Sin proveedor)",INDEX(tblStock[Proveedor],'91_KPIS'!$T14)))</f>
        <v/>
      </c>
      <c r="D21" s="76" t="str">
        <f>IF($B21="","",INDEX(tblStock[SKU],'91_KPIS'!$T14))</f>
        <v/>
      </c>
      <c r="E21" s="75" t="str">
        <f>IF($B21="","",INDEX(tblStock[Producto],'91_KPIS'!$T14))</f>
        <v/>
      </c>
      <c r="F21" s="76" t="str">
        <f>IF($B21="","",INDEX(tblStock[Unidad],'91_KPIS'!$T14))</f>
        <v/>
      </c>
      <c r="G21" s="77" t="str">
        <f>IF($B21="","",INDEX(tblStock[StockActual],'91_KPIS'!$T14))</f>
        <v/>
      </c>
      <c r="H21" s="78" t="str">
        <f>IF($B21="","",INDEX(tblStock[StockMin],'91_KPIS'!$T14))</f>
        <v/>
      </c>
      <c r="I21" s="78" t="str">
        <f>IF($B21="","",INDEX(tblStock[StockMax],'91_KPIS'!$T14))</f>
        <v/>
      </c>
      <c r="J21" s="79" t="str">
        <f>IF($B21="","",INDEX(tblStock[Estado],'91_KPIS'!$T14))</f>
        <v/>
      </c>
      <c r="K21" s="80" t="str">
        <f t="shared" si="0"/>
        <v/>
      </c>
      <c r="L21" s="81" t="str">
        <f>IF($B21="","",INDEX(tblStock[CostoUnitario],'91_KPIS'!$T14))</f>
        <v/>
      </c>
      <c r="M21" s="82" t="str">
        <f t="shared" si="1"/>
        <v/>
      </c>
    </row>
    <row r="22" spans="2:13" ht="15.75" x14ac:dyDescent="0.25">
      <c r="B22" s="74" t="str">
        <f>IF('91_KPIS'!$T15="","",8)</f>
        <v/>
      </c>
      <c r="C22" s="75" t="str">
        <f>IF($B22="","",IF(INDEX(tblStock[Proveedor],'91_KPIS'!$T15)="","(Sin proveedor)",INDEX(tblStock[Proveedor],'91_KPIS'!$T15)))</f>
        <v/>
      </c>
      <c r="D22" s="76" t="str">
        <f>IF($B22="","",INDEX(tblStock[SKU],'91_KPIS'!$T15))</f>
        <v/>
      </c>
      <c r="E22" s="75" t="str">
        <f>IF($B22="","",INDEX(tblStock[Producto],'91_KPIS'!$T15))</f>
        <v/>
      </c>
      <c r="F22" s="76" t="str">
        <f>IF($B22="","",INDEX(tblStock[Unidad],'91_KPIS'!$T15))</f>
        <v/>
      </c>
      <c r="G22" s="77" t="str">
        <f>IF($B22="","",INDEX(tblStock[StockActual],'91_KPIS'!$T15))</f>
        <v/>
      </c>
      <c r="H22" s="78" t="str">
        <f>IF($B22="","",INDEX(tblStock[StockMin],'91_KPIS'!$T15))</f>
        <v/>
      </c>
      <c r="I22" s="78" t="str">
        <f>IF($B22="","",INDEX(tblStock[StockMax],'91_KPIS'!$T15))</f>
        <v/>
      </c>
      <c r="J22" s="79" t="str">
        <f>IF($B22="","",INDEX(tblStock[Estado],'91_KPIS'!$T15))</f>
        <v/>
      </c>
      <c r="K22" s="80" t="str">
        <f t="shared" si="0"/>
        <v/>
      </c>
      <c r="L22" s="81" t="str">
        <f>IF($B22="","",INDEX(tblStock[CostoUnitario],'91_KPIS'!$T15))</f>
        <v/>
      </c>
      <c r="M22" s="82" t="str">
        <f t="shared" si="1"/>
        <v/>
      </c>
    </row>
    <row r="23" spans="2:13" ht="15.75" x14ac:dyDescent="0.25">
      <c r="B23" s="74" t="str">
        <f>IF('91_KPIS'!$T16="","",9)</f>
        <v/>
      </c>
      <c r="C23" s="75" t="str">
        <f>IF($B23="","",IF(INDEX(tblStock[Proveedor],'91_KPIS'!$T16)="","(Sin proveedor)",INDEX(tblStock[Proveedor],'91_KPIS'!$T16)))</f>
        <v/>
      </c>
      <c r="D23" s="76" t="str">
        <f>IF($B23="","",INDEX(tblStock[SKU],'91_KPIS'!$T16))</f>
        <v/>
      </c>
      <c r="E23" s="75" t="str">
        <f>IF($B23="","",INDEX(tblStock[Producto],'91_KPIS'!$T16))</f>
        <v/>
      </c>
      <c r="F23" s="76" t="str">
        <f>IF($B23="","",INDEX(tblStock[Unidad],'91_KPIS'!$T16))</f>
        <v/>
      </c>
      <c r="G23" s="77" t="str">
        <f>IF($B23="","",INDEX(tblStock[StockActual],'91_KPIS'!$T16))</f>
        <v/>
      </c>
      <c r="H23" s="78" t="str">
        <f>IF($B23="","",INDEX(tblStock[StockMin],'91_KPIS'!$T16))</f>
        <v/>
      </c>
      <c r="I23" s="78" t="str">
        <f>IF($B23="","",INDEX(tblStock[StockMax],'91_KPIS'!$T16))</f>
        <v/>
      </c>
      <c r="J23" s="79" t="str">
        <f>IF($B23="","",INDEX(tblStock[Estado],'91_KPIS'!$T16))</f>
        <v/>
      </c>
      <c r="K23" s="80" t="str">
        <f t="shared" si="0"/>
        <v/>
      </c>
      <c r="L23" s="81" t="str">
        <f>IF($B23="","",INDEX(tblStock[CostoUnitario],'91_KPIS'!$T16))</f>
        <v/>
      </c>
      <c r="M23" s="82" t="str">
        <f t="shared" si="1"/>
        <v/>
      </c>
    </row>
    <row r="24" spans="2:13" ht="15.75" x14ac:dyDescent="0.25">
      <c r="B24" s="74" t="str">
        <f>IF('91_KPIS'!$T17="","",10)</f>
        <v/>
      </c>
      <c r="C24" s="75" t="str">
        <f>IF($B24="","",IF(INDEX(tblStock[Proveedor],'91_KPIS'!$T17)="","(Sin proveedor)",INDEX(tblStock[Proveedor],'91_KPIS'!$T17)))</f>
        <v/>
      </c>
      <c r="D24" s="76" t="str">
        <f>IF($B24="","",INDEX(tblStock[SKU],'91_KPIS'!$T17))</f>
        <v/>
      </c>
      <c r="E24" s="75" t="str">
        <f>IF($B24="","",INDEX(tblStock[Producto],'91_KPIS'!$T17))</f>
        <v/>
      </c>
      <c r="F24" s="76" t="str">
        <f>IF($B24="","",INDEX(tblStock[Unidad],'91_KPIS'!$T17))</f>
        <v/>
      </c>
      <c r="G24" s="77" t="str">
        <f>IF($B24="","",INDEX(tblStock[StockActual],'91_KPIS'!$T17))</f>
        <v/>
      </c>
      <c r="H24" s="78" t="str">
        <f>IF($B24="","",INDEX(tblStock[StockMin],'91_KPIS'!$T17))</f>
        <v/>
      </c>
      <c r="I24" s="78" t="str">
        <f>IF($B24="","",INDEX(tblStock[StockMax],'91_KPIS'!$T17))</f>
        <v/>
      </c>
      <c r="J24" s="79" t="str">
        <f>IF($B24="","",INDEX(tblStock[Estado],'91_KPIS'!$T17))</f>
        <v/>
      </c>
      <c r="K24" s="80" t="str">
        <f t="shared" si="0"/>
        <v/>
      </c>
      <c r="L24" s="81" t="str">
        <f>IF($B24="","",INDEX(tblStock[CostoUnitario],'91_KPIS'!$T17))</f>
        <v/>
      </c>
      <c r="M24" s="82" t="str">
        <f t="shared" si="1"/>
        <v/>
      </c>
    </row>
    <row r="25" spans="2:13" ht="15.75" x14ac:dyDescent="0.25">
      <c r="B25" s="74" t="str">
        <f>IF('91_KPIS'!$T18="","",11)</f>
        <v/>
      </c>
      <c r="C25" s="75" t="str">
        <f>IF($B25="","",IF(INDEX(tblStock[Proveedor],'91_KPIS'!$T18)="","(Sin proveedor)",INDEX(tblStock[Proveedor],'91_KPIS'!$T18)))</f>
        <v/>
      </c>
      <c r="D25" s="76" t="str">
        <f>IF($B25="","",INDEX(tblStock[SKU],'91_KPIS'!$T18))</f>
        <v/>
      </c>
      <c r="E25" s="75" t="str">
        <f>IF($B25="","",INDEX(tblStock[Producto],'91_KPIS'!$T18))</f>
        <v/>
      </c>
      <c r="F25" s="76" t="str">
        <f>IF($B25="","",INDEX(tblStock[Unidad],'91_KPIS'!$T18))</f>
        <v/>
      </c>
      <c r="G25" s="77" t="str">
        <f>IF($B25="","",INDEX(tblStock[StockActual],'91_KPIS'!$T18))</f>
        <v/>
      </c>
      <c r="H25" s="78" t="str">
        <f>IF($B25="","",INDEX(tblStock[StockMin],'91_KPIS'!$T18))</f>
        <v/>
      </c>
      <c r="I25" s="78" t="str">
        <f>IF($B25="","",INDEX(tblStock[StockMax],'91_KPIS'!$T18))</f>
        <v/>
      </c>
      <c r="J25" s="79" t="str">
        <f>IF($B25="","",INDEX(tblStock[Estado],'91_KPIS'!$T18))</f>
        <v/>
      </c>
      <c r="K25" s="80" t="str">
        <f t="shared" si="0"/>
        <v/>
      </c>
      <c r="L25" s="81" t="str">
        <f>IF($B25="","",INDEX(tblStock[CostoUnitario],'91_KPIS'!$T18))</f>
        <v/>
      </c>
      <c r="M25" s="82" t="str">
        <f t="shared" si="1"/>
        <v/>
      </c>
    </row>
    <row r="26" spans="2:13" ht="15.75" x14ac:dyDescent="0.25">
      <c r="B26" s="74" t="str">
        <f>IF('91_KPIS'!$T19="","",12)</f>
        <v/>
      </c>
      <c r="C26" s="75" t="str">
        <f>IF($B26="","",IF(INDEX(tblStock[Proveedor],'91_KPIS'!$T19)="","(Sin proveedor)",INDEX(tblStock[Proveedor],'91_KPIS'!$T19)))</f>
        <v/>
      </c>
      <c r="D26" s="76" t="str">
        <f>IF($B26="","",INDEX(tblStock[SKU],'91_KPIS'!$T19))</f>
        <v/>
      </c>
      <c r="E26" s="75" t="str">
        <f>IF($B26="","",INDEX(tblStock[Producto],'91_KPIS'!$T19))</f>
        <v/>
      </c>
      <c r="F26" s="76" t="str">
        <f>IF($B26="","",INDEX(tblStock[Unidad],'91_KPIS'!$T19))</f>
        <v/>
      </c>
      <c r="G26" s="77" t="str">
        <f>IF($B26="","",INDEX(tblStock[StockActual],'91_KPIS'!$T19))</f>
        <v/>
      </c>
      <c r="H26" s="78" t="str">
        <f>IF($B26="","",INDEX(tblStock[StockMin],'91_KPIS'!$T19))</f>
        <v/>
      </c>
      <c r="I26" s="78" t="str">
        <f>IF($B26="","",INDEX(tblStock[StockMax],'91_KPIS'!$T19))</f>
        <v/>
      </c>
      <c r="J26" s="79" t="str">
        <f>IF($B26="","",INDEX(tblStock[Estado],'91_KPIS'!$T19))</f>
        <v/>
      </c>
      <c r="K26" s="80" t="str">
        <f t="shared" si="0"/>
        <v/>
      </c>
      <c r="L26" s="81" t="str">
        <f>IF($B26="","",INDEX(tblStock[CostoUnitario],'91_KPIS'!$T19))</f>
        <v/>
      </c>
      <c r="M26" s="82" t="str">
        <f t="shared" si="1"/>
        <v/>
      </c>
    </row>
    <row r="27" spans="2:13" ht="15.75" x14ac:dyDescent="0.25">
      <c r="B27" s="74" t="str">
        <f>IF('91_KPIS'!$T20="","",13)</f>
        <v/>
      </c>
      <c r="C27" s="75" t="str">
        <f>IF($B27="","",IF(INDEX(tblStock[Proveedor],'91_KPIS'!$T20)="","(Sin proveedor)",INDEX(tblStock[Proveedor],'91_KPIS'!$T20)))</f>
        <v/>
      </c>
      <c r="D27" s="76" t="str">
        <f>IF($B27="","",INDEX(tblStock[SKU],'91_KPIS'!$T20))</f>
        <v/>
      </c>
      <c r="E27" s="75" t="str">
        <f>IF($B27="","",INDEX(tblStock[Producto],'91_KPIS'!$T20))</f>
        <v/>
      </c>
      <c r="F27" s="76" t="str">
        <f>IF($B27="","",INDEX(tblStock[Unidad],'91_KPIS'!$T20))</f>
        <v/>
      </c>
      <c r="G27" s="77" t="str">
        <f>IF($B27="","",INDEX(tblStock[StockActual],'91_KPIS'!$T20))</f>
        <v/>
      </c>
      <c r="H27" s="78" t="str">
        <f>IF($B27="","",INDEX(tblStock[StockMin],'91_KPIS'!$T20))</f>
        <v/>
      </c>
      <c r="I27" s="78" t="str">
        <f>IF($B27="","",INDEX(tblStock[StockMax],'91_KPIS'!$T20))</f>
        <v/>
      </c>
      <c r="J27" s="79" t="str">
        <f>IF($B27="","",INDEX(tblStock[Estado],'91_KPIS'!$T20))</f>
        <v/>
      </c>
      <c r="K27" s="80" t="str">
        <f t="shared" si="0"/>
        <v/>
      </c>
      <c r="L27" s="81" t="str">
        <f>IF($B27="","",INDEX(tblStock[CostoUnitario],'91_KPIS'!$T20))</f>
        <v/>
      </c>
      <c r="M27" s="82" t="str">
        <f t="shared" si="1"/>
        <v/>
      </c>
    </row>
    <row r="28" spans="2:13" ht="15.75" x14ac:dyDescent="0.25">
      <c r="B28" s="74" t="str">
        <f>IF('91_KPIS'!$T21="","",14)</f>
        <v/>
      </c>
      <c r="C28" s="75" t="str">
        <f>IF($B28="","",IF(INDEX(tblStock[Proveedor],'91_KPIS'!$T21)="","(Sin proveedor)",INDEX(tblStock[Proveedor],'91_KPIS'!$T21)))</f>
        <v/>
      </c>
      <c r="D28" s="76" t="str">
        <f>IF($B28="","",INDEX(tblStock[SKU],'91_KPIS'!$T21))</f>
        <v/>
      </c>
      <c r="E28" s="75" t="str">
        <f>IF($B28="","",INDEX(tblStock[Producto],'91_KPIS'!$T21))</f>
        <v/>
      </c>
      <c r="F28" s="76" t="str">
        <f>IF($B28="","",INDEX(tblStock[Unidad],'91_KPIS'!$T21))</f>
        <v/>
      </c>
      <c r="G28" s="77" t="str">
        <f>IF($B28="","",INDEX(tblStock[StockActual],'91_KPIS'!$T21))</f>
        <v/>
      </c>
      <c r="H28" s="78" t="str">
        <f>IF($B28="","",INDEX(tblStock[StockMin],'91_KPIS'!$T21))</f>
        <v/>
      </c>
      <c r="I28" s="78" t="str">
        <f>IF($B28="","",INDEX(tblStock[StockMax],'91_KPIS'!$T21))</f>
        <v/>
      </c>
      <c r="J28" s="79" t="str">
        <f>IF($B28="","",INDEX(tblStock[Estado],'91_KPIS'!$T21))</f>
        <v/>
      </c>
      <c r="K28" s="80" t="str">
        <f t="shared" si="0"/>
        <v/>
      </c>
      <c r="L28" s="81" t="str">
        <f>IF($B28="","",INDEX(tblStock[CostoUnitario],'91_KPIS'!$T21))</f>
        <v/>
      </c>
      <c r="M28" s="82" t="str">
        <f t="shared" si="1"/>
        <v/>
      </c>
    </row>
    <row r="29" spans="2:13" ht="15.75" x14ac:dyDescent="0.25">
      <c r="B29" s="74" t="str">
        <f>IF('91_KPIS'!$T22="","",15)</f>
        <v/>
      </c>
      <c r="C29" s="75" t="str">
        <f>IF($B29="","",IF(INDEX(tblStock[Proveedor],'91_KPIS'!$T22)="","(Sin proveedor)",INDEX(tblStock[Proveedor],'91_KPIS'!$T22)))</f>
        <v/>
      </c>
      <c r="D29" s="76" t="str">
        <f>IF($B29="","",INDEX(tblStock[SKU],'91_KPIS'!$T22))</f>
        <v/>
      </c>
      <c r="E29" s="75" t="str">
        <f>IF($B29="","",INDEX(tblStock[Producto],'91_KPIS'!$T22))</f>
        <v/>
      </c>
      <c r="F29" s="76" t="str">
        <f>IF($B29="","",INDEX(tblStock[Unidad],'91_KPIS'!$T22))</f>
        <v/>
      </c>
      <c r="G29" s="77" t="str">
        <f>IF($B29="","",INDEX(tblStock[StockActual],'91_KPIS'!$T22))</f>
        <v/>
      </c>
      <c r="H29" s="78" t="str">
        <f>IF($B29="","",INDEX(tblStock[StockMin],'91_KPIS'!$T22))</f>
        <v/>
      </c>
      <c r="I29" s="78" t="str">
        <f>IF($B29="","",INDEX(tblStock[StockMax],'91_KPIS'!$T22))</f>
        <v/>
      </c>
      <c r="J29" s="79" t="str">
        <f>IF($B29="","",INDEX(tblStock[Estado],'91_KPIS'!$T22))</f>
        <v/>
      </c>
      <c r="K29" s="80" t="str">
        <f t="shared" si="0"/>
        <v/>
      </c>
      <c r="L29" s="81" t="str">
        <f>IF($B29="","",INDEX(tblStock[CostoUnitario],'91_KPIS'!$T22))</f>
        <v/>
      </c>
      <c r="M29" s="82" t="str">
        <f t="shared" si="1"/>
        <v/>
      </c>
    </row>
    <row r="30" spans="2:13" ht="15.75" x14ac:dyDescent="0.25">
      <c r="B30" s="74" t="str">
        <f>IF('91_KPIS'!$T23="","",16)</f>
        <v/>
      </c>
      <c r="C30" s="75" t="str">
        <f>IF($B30="","",IF(INDEX(tblStock[Proveedor],'91_KPIS'!$T23)="","(Sin proveedor)",INDEX(tblStock[Proveedor],'91_KPIS'!$T23)))</f>
        <v/>
      </c>
      <c r="D30" s="76" t="str">
        <f>IF($B30="","",INDEX(tblStock[SKU],'91_KPIS'!$T23))</f>
        <v/>
      </c>
      <c r="E30" s="75" t="str">
        <f>IF($B30="","",INDEX(tblStock[Producto],'91_KPIS'!$T23))</f>
        <v/>
      </c>
      <c r="F30" s="76" t="str">
        <f>IF($B30="","",INDEX(tblStock[Unidad],'91_KPIS'!$T23))</f>
        <v/>
      </c>
      <c r="G30" s="77" t="str">
        <f>IF($B30="","",INDEX(tblStock[StockActual],'91_KPIS'!$T23))</f>
        <v/>
      </c>
      <c r="H30" s="78" t="str">
        <f>IF($B30="","",INDEX(tblStock[StockMin],'91_KPIS'!$T23))</f>
        <v/>
      </c>
      <c r="I30" s="78" t="str">
        <f>IF($B30="","",INDEX(tblStock[StockMax],'91_KPIS'!$T23))</f>
        <v/>
      </c>
      <c r="J30" s="79" t="str">
        <f>IF($B30="","",INDEX(tblStock[Estado],'91_KPIS'!$T23))</f>
        <v/>
      </c>
      <c r="K30" s="80" t="str">
        <f t="shared" si="0"/>
        <v/>
      </c>
      <c r="L30" s="81" t="str">
        <f>IF($B30="","",INDEX(tblStock[CostoUnitario],'91_KPIS'!$T23))</f>
        <v/>
      </c>
      <c r="M30" s="82" t="str">
        <f t="shared" si="1"/>
        <v/>
      </c>
    </row>
    <row r="31" spans="2:13" ht="15.75" x14ac:dyDescent="0.25">
      <c r="B31" s="74" t="str">
        <f>IF('91_KPIS'!$T24="","",17)</f>
        <v/>
      </c>
      <c r="C31" s="75" t="str">
        <f>IF($B31="","",IF(INDEX(tblStock[Proveedor],'91_KPIS'!$T24)="","(Sin proveedor)",INDEX(tblStock[Proveedor],'91_KPIS'!$T24)))</f>
        <v/>
      </c>
      <c r="D31" s="76" t="str">
        <f>IF($B31="","",INDEX(tblStock[SKU],'91_KPIS'!$T24))</f>
        <v/>
      </c>
      <c r="E31" s="75" t="str">
        <f>IF($B31="","",INDEX(tblStock[Producto],'91_KPIS'!$T24))</f>
        <v/>
      </c>
      <c r="F31" s="76" t="str">
        <f>IF($B31="","",INDEX(tblStock[Unidad],'91_KPIS'!$T24))</f>
        <v/>
      </c>
      <c r="G31" s="77" t="str">
        <f>IF($B31="","",INDEX(tblStock[StockActual],'91_KPIS'!$T24))</f>
        <v/>
      </c>
      <c r="H31" s="78" t="str">
        <f>IF($B31="","",INDEX(tblStock[StockMin],'91_KPIS'!$T24))</f>
        <v/>
      </c>
      <c r="I31" s="78" t="str">
        <f>IF($B31="","",INDEX(tblStock[StockMax],'91_KPIS'!$T24))</f>
        <v/>
      </c>
      <c r="J31" s="79" t="str">
        <f>IF($B31="","",INDEX(tblStock[Estado],'91_KPIS'!$T24))</f>
        <v/>
      </c>
      <c r="K31" s="80" t="str">
        <f t="shared" si="0"/>
        <v/>
      </c>
      <c r="L31" s="81" t="str">
        <f>IF($B31="","",INDEX(tblStock[CostoUnitario],'91_KPIS'!$T24))</f>
        <v/>
      </c>
      <c r="M31" s="82" t="str">
        <f t="shared" si="1"/>
        <v/>
      </c>
    </row>
    <row r="32" spans="2:13" ht="15.75" x14ac:dyDescent="0.25">
      <c r="B32" s="74" t="str">
        <f>IF('91_KPIS'!$T25="","",18)</f>
        <v/>
      </c>
      <c r="C32" s="75" t="str">
        <f>IF($B32="","",IF(INDEX(tblStock[Proveedor],'91_KPIS'!$T25)="","(Sin proveedor)",INDEX(tblStock[Proveedor],'91_KPIS'!$T25)))</f>
        <v/>
      </c>
      <c r="D32" s="76" t="str">
        <f>IF($B32="","",INDEX(tblStock[SKU],'91_KPIS'!$T25))</f>
        <v/>
      </c>
      <c r="E32" s="75" t="str">
        <f>IF($B32="","",INDEX(tblStock[Producto],'91_KPIS'!$T25))</f>
        <v/>
      </c>
      <c r="F32" s="76" t="str">
        <f>IF($B32="","",INDEX(tblStock[Unidad],'91_KPIS'!$T25))</f>
        <v/>
      </c>
      <c r="G32" s="77" t="str">
        <f>IF($B32="","",INDEX(tblStock[StockActual],'91_KPIS'!$T25))</f>
        <v/>
      </c>
      <c r="H32" s="78" t="str">
        <f>IF($B32="","",INDEX(tblStock[StockMin],'91_KPIS'!$T25))</f>
        <v/>
      </c>
      <c r="I32" s="78" t="str">
        <f>IF($B32="","",INDEX(tblStock[StockMax],'91_KPIS'!$T25))</f>
        <v/>
      </c>
      <c r="J32" s="79" t="str">
        <f>IF($B32="","",INDEX(tblStock[Estado],'91_KPIS'!$T25))</f>
        <v/>
      </c>
      <c r="K32" s="80" t="str">
        <f t="shared" si="0"/>
        <v/>
      </c>
      <c r="L32" s="81" t="str">
        <f>IF($B32="","",INDEX(tblStock[CostoUnitario],'91_KPIS'!$T25))</f>
        <v/>
      </c>
      <c r="M32" s="82" t="str">
        <f t="shared" si="1"/>
        <v/>
      </c>
    </row>
    <row r="33" spans="2:13" ht="15.75" x14ac:dyDescent="0.25">
      <c r="B33" s="74" t="str">
        <f>IF('91_KPIS'!$T26="","",19)</f>
        <v/>
      </c>
      <c r="C33" s="75" t="str">
        <f>IF($B33="","",IF(INDEX(tblStock[Proveedor],'91_KPIS'!$T26)="","(Sin proveedor)",INDEX(tblStock[Proveedor],'91_KPIS'!$T26)))</f>
        <v/>
      </c>
      <c r="D33" s="76" t="str">
        <f>IF($B33="","",INDEX(tblStock[SKU],'91_KPIS'!$T26))</f>
        <v/>
      </c>
      <c r="E33" s="75" t="str">
        <f>IF($B33="","",INDEX(tblStock[Producto],'91_KPIS'!$T26))</f>
        <v/>
      </c>
      <c r="F33" s="76" t="str">
        <f>IF($B33="","",INDEX(tblStock[Unidad],'91_KPIS'!$T26))</f>
        <v/>
      </c>
      <c r="G33" s="77" t="str">
        <f>IF($B33="","",INDEX(tblStock[StockActual],'91_KPIS'!$T26))</f>
        <v/>
      </c>
      <c r="H33" s="78" t="str">
        <f>IF($B33="","",INDEX(tblStock[StockMin],'91_KPIS'!$T26))</f>
        <v/>
      </c>
      <c r="I33" s="78" t="str">
        <f>IF($B33="","",INDEX(tblStock[StockMax],'91_KPIS'!$T26))</f>
        <v/>
      </c>
      <c r="J33" s="79" t="str">
        <f>IF($B33="","",INDEX(tblStock[Estado],'91_KPIS'!$T26))</f>
        <v/>
      </c>
      <c r="K33" s="80" t="str">
        <f t="shared" si="0"/>
        <v/>
      </c>
      <c r="L33" s="81" t="str">
        <f>IF($B33="","",INDEX(tblStock[CostoUnitario],'91_KPIS'!$T26))</f>
        <v/>
      </c>
      <c r="M33" s="82" t="str">
        <f t="shared" si="1"/>
        <v/>
      </c>
    </row>
    <row r="34" spans="2:13" ht="15.75" x14ac:dyDescent="0.25">
      <c r="B34" s="74" t="str">
        <f>IF('91_KPIS'!$T27="","",20)</f>
        <v/>
      </c>
      <c r="C34" s="75" t="str">
        <f>IF($B34="","",IF(INDEX(tblStock[Proveedor],'91_KPIS'!$T27)="","(Sin proveedor)",INDEX(tblStock[Proveedor],'91_KPIS'!$T27)))</f>
        <v/>
      </c>
      <c r="D34" s="76" t="str">
        <f>IF($B34="","",INDEX(tblStock[SKU],'91_KPIS'!$T27))</f>
        <v/>
      </c>
      <c r="E34" s="75" t="str">
        <f>IF($B34="","",INDEX(tblStock[Producto],'91_KPIS'!$T27))</f>
        <v/>
      </c>
      <c r="F34" s="76" t="str">
        <f>IF($B34="","",INDEX(tblStock[Unidad],'91_KPIS'!$T27))</f>
        <v/>
      </c>
      <c r="G34" s="77" t="str">
        <f>IF($B34="","",INDEX(tblStock[StockActual],'91_KPIS'!$T27))</f>
        <v/>
      </c>
      <c r="H34" s="78" t="str">
        <f>IF($B34="","",INDEX(tblStock[StockMin],'91_KPIS'!$T27))</f>
        <v/>
      </c>
      <c r="I34" s="78" t="str">
        <f>IF($B34="","",INDEX(tblStock[StockMax],'91_KPIS'!$T27))</f>
        <v/>
      </c>
      <c r="J34" s="79" t="str">
        <f>IF($B34="","",INDEX(tblStock[Estado],'91_KPIS'!$T27))</f>
        <v/>
      </c>
      <c r="K34" s="80" t="str">
        <f t="shared" si="0"/>
        <v/>
      </c>
      <c r="L34" s="81" t="str">
        <f>IF($B34="","",INDEX(tblStock[CostoUnitario],'91_KPIS'!$T27))</f>
        <v/>
      </c>
      <c r="M34" s="82" t="str">
        <f t="shared" si="1"/>
        <v/>
      </c>
    </row>
    <row r="35" spans="2:13" ht="15.75" x14ac:dyDescent="0.25">
      <c r="B35" s="74" t="str">
        <f>IF('91_KPIS'!$T28="","",21)</f>
        <v/>
      </c>
      <c r="C35" s="75" t="str">
        <f>IF($B35="","",IF(INDEX(tblStock[Proveedor],'91_KPIS'!$T28)="","(Sin proveedor)",INDEX(tblStock[Proveedor],'91_KPIS'!$T28)))</f>
        <v/>
      </c>
      <c r="D35" s="76" t="str">
        <f>IF($B35="","",INDEX(tblStock[SKU],'91_KPIS'!$T28))</f>
        <v/>
      </c>
      <c r="E35" s="75" t="str">
        <f>IF($B35="","",INDEX(tblStock[Producto],'91_KPIS'!$T28))</f>
        <v/>
      </c>
      <c r="F35" s="76" t="str">
        <f>IF($B35="","",INDEX(tblStock[Unidad],'91_KPIS'!$T28))</f>
        <v/>
      </c>
      <c r="G35" s="77" t="str">
        <f>IF($B35="","",INDEX(tblStock[StockActual],'91_KPIS'!$T28))</f>
        <v/>
      </c>
      <c r="H35" s="78" t="str">
        <f>IF($B35="","",INDEX(tblStock[StockMin],'91_KPIS'!$T28))</f>
        <v/>
      </c>
      <c r="I35" s="78" t="str">
        <f>IF($B35="","",INDEX(tblStock[StockMax],'91_KPIS'!$T28))</f>
        <v/>
      </c>
      <c r="J35" s="79" t="str">
        <f>IF($B35="","",INDEX(tblStock[Estado],'91_KPIS'!$T28))</f>
        <v/>
      </c>
      <c r="K35" s="80" t="str">
        <f t="shared" si="0"/>
        <v/>
      </c>
      <c r="L35" s="81" t="str">
        <f>IF($B35="","",INDEX(tblStock[CostoUnitario],'91_KPIS'!$T28))</f>
        <v/>
      </c>
      <c r="M35" s="82" t="str">
        <f t="shared" si="1"/>
        <v/>
      </c>
    </row>
    <row r="36" spans="2:13" ht="15.75" x14ac:dyDescent="0.25">
      <c r="B36" s="74" t="str">
        <f>IF('91_KPIS'!$T29="","",22)</f>
        <v/>
      </c>
      <c r="C36" s="75" t="str">
        <f>IF($B36="","",IF(INDEX(tblStock[Proveedor],'91_KPIS'!$T29)="","(Sin proveedor)",INDEX(tblStock[Proveedor],'91_KPIS'!$T29)))</f>
        <v/>
      </c>
      <c r="D36" s="76" t="str">
        <f>IF($B36="","",INDEX(tblStock[SKU],'91_KPIS'!$T29))</f>
        <v/>
      </c>
      <c r="E36" s="75" t="str">
        <f>IF($B36="","",INDEX(tblStock[Producto],'91_KPIS'!$T29))</f>
        <v/>
      </c>
      <c r="F36" s="76" t="str">
        <f>IF($B36="","",INDEX(tblStock[Unidad],'91_KPIS'!$T29))</f>
        <v/>
      </c>
      <c r="G36" s="77" t="str">
        <f>IF($B36="","",INDEX(tblStock[StockActual],'91_KPIS'!$T29))</f>
        <v/>
      </c>
      <c r="H36" s="78" t="str">
        <f>IF($B36="","",INDEX(tblStock[StockMin],'91_KPIS'!$T29))</f>
        <v/>
      </c>
      <c r="I36" s="78" t="str">
        <f>IF($B36="","",INDEX(tblStock[StockMax],'91_KPIS'!$T29))</f>
        <v/>
      </c>
      <c r="J36" s="79" t="str">
        <f>IF($B36="","",INDEX(tblStock[Estado],'91_KPIS'!$T29))</f>
        <v/>
      </c>
      <c r="K36" s="80" t="str">
        <f t="shared" si="0"/>
        <v/>
      </c>
      <c r="L36" s="81" t="str">
        <f>IF($B36="","",INDEX(tblStock[CostoUnitario],'91_KPIS'!$T29))</f>
        <v/>
      </c>
      <c r="M36" s="82" t="str">
        <f t="shared" si="1"/>
        <v/>
      </c>
    </row>
    <row r="37" spans="2:13" ht="15.75" x14ac:dyDescent="0.25">
      <c r="B37" s="74" t="str">
        <f>IF('91_KPIS'!$T30="","",23)</f>
        <v/>
      </c>
      <c r="C37" s="75" t="str">
        <f>IF($B37="","",IF(INDEX(tblStock[Proveedor],'91_KPIS'!$T30)="","(Sin proveedor)",INDEX(tblStock[Proveedor],'91_KPIS'!$T30)))</f>
        <v/>
      </c>
      <c r="D37" s="76" t="str">
        <f>IF($B37="","",INDEX(tblStock[SKU],'91_KPIS'!$T30))</f>
        <v/>
      </c>
      <c r="E37" s="75" t="str">
        <f>IF($B37="","",INDEX(tblStock[Producto],'91_KPIS'!$T30))</f>
        <v/>
      </c>
      <c r="F37" s="76" t="str">
        <f>IF($B37="","",INDEX(tblStock[Unidad],'91_KPIS'!$T30))</f>
        <v/>
      </c>
      <c r="G37" s="77" t="str">
        <f>IF($B37="","",INDEX(tblStock[StockActual],'91_KPIS'!$T30))</f>
        <v/>
      </c>
      <c r="H37" s="78" t="str">
        <f>IF($B37="","",INDEX(tblStock[StockMin],'91_KPIS'!$T30))</f>
        <v/>
      </c>
      <c r="I37" s="78" t="str">
        <f>IF($B37="","",INDEX(tblStock[StockMax],'91_KPIS'!$T30))</f>
        <v/>
      </c>
      <c r="J37" s="79" t="str">
        <f>IF($B37="","",INDEX(tblStock[Estado],'91_KPIS'!$T30))</f>
        <v/>
      </c>
      <c r="K37" s="80" t="str">
        <f t="shared" si="0"/>
        <v/>
      </c>
      <c r="L37" s="81" t="str">
        <f>IF($B37="","",INDEX(tblStock[CostoUnitario],'91_KPIS'!$T30))</f>
        <v/>
      </c>
      <c r="M37" s="82" t="str">
        <f t="shared" si="1"/>
        <v/>
      </c>
    </row>
    <row r="38" spans="2:13" ht="15.75" x14ac:dyDescent="0.25">
      <c r="B38" s="74" t="str">
        <f>IF('91_KPIS'!$T31="","",24)</f>
        <v/>
      </c>
      <c r="C38" s="75" t="str">
        <f>IF($B38="","",IF(INDEX(tblStock[Proveedor],'91_KPIS'!$T31)="","(Sin proveedor)",INDEX(tblStock[Proveedor],'91_KPIS'!$T31)))</f>
        <v/>
      </c>
      <c r="D38" s="76" t="str">
        <f>IF($B38="","",INDEX(tblStock[SKU],'91_KPIS'!$T31))</f>
        <v/>
      </c>
      <c r="E38" s="75" t="str">
        <f>IF($B38="","",INDEX(tblStock[Producto],'91_KPIS'!$T31))</f>
        <v/>
      </c>
      <c r="F38" s="76" t="str">
        <f>IF($B38="","",INDEX(tblStock[Unidad],'91_KPIS'!$T31))</f>
        <v/>
      </c>
      <c r="G38" s="77" t="str">
        <f>IF($B38="","",INDEX(tblStock[StockActual],'91_KPIS'!$T31))</f>
        <v/>
      </c>
      <c r="H38" s="78" t="str">
        <f>IF($B38="","",INDEX(tblStock[StockMin],'91_KPIS'!$T31))</f>
        <v/>
      </c>
      <c r="I38" s="78" t="str">
        <f>IF($B38="","",INDEX(tblStock[StockMax],'91_KPIS'!$T31))</f>
        <v/>
      </c>
      <c r="J38" s="79" t="str">
        <f>IF($B38="","",INDEX(tblStock[Estado],'91_KPIS'!$T31))</f>
        <v/>
      </c>
      <c r="K38" s="80" t="str">
        <f t="shared" si="0"/>
        <v/>
      </c>
      <c r="L38" s="81" t="str">
        <f>IF($B38="","",INDEX(tblStock[CostoUnitario],'91_KPIS'!$T31))</f>
        <v/>
      </c>
      <c r="M38" s="82" t="str">
        <f t="shared" si="1"/>
        <v/>
      </c>
    </row>
    <row r="39" spans="2:13" ht="15.75" x14ac:dyDescent="0.25">
      <c r="B39" s="74" t="str">
        <f>IF('91_KPIS'!$T32="","",25)</f>
        <v/>
      </c>
      <c r="C39" s="75" t="str">
        <f>IF($B39="","",IF(INDEX(tblStock[Proveedor],'91_KPIS'!$T32)="","(Sin proveedor)",INDEX(tblStock[Proveedor],'91_KPIS'!$T32)))</f>
        <v/>
      </c>
      <c r="D39" s="76" t="str">
        <f>IF($B39="","",INDEX(tblStock[SKU],'91_KPIS'!$T32))</f>
        <v/>
      </c>
      <c r="E39" s="75" t="str">
        <f>IF($B39="","",INDEX(tblStock[Producto],'91_KPIS'!$T32))</f>
        <v/>
      </c>
      <c r="F39" s="76" t="str">
        <f>IF($B39="","",INDEX(tblStock[Unidad],'91_KPIS'!$T32))</f>
        <v/>
      </c>
      <c r="G39" s="77" t="str">
        <f>IF($B39="","",INDEX(tblStock[StockActual],'91_KPIS'!$T32))</f>
        <v/>
      </c>
      <c r="H39" s="78" t="str">
        <f>IF($B39="","",INDEX(tblStock[StockMin],'91_KPIS'!$T32))</f>
        <v/>
      </c>
      <c r="I39" s="78" t="str">
        <f>IF($B39="","",INDEX(tblStock[StockMax],'91_KPIS'!$T32))</f>
        <v/>
      </c>
      <c r="J39" s="79" t="str">
        <f>IF($B39="","",INDEX(tblStock[Estado],'91_KPIS'!$T32))</f>
        <v/>
      </c>
      <c r="K39" s="80" t="str">
        <f t="shared" si="0"/>
        <v/>
      </c>
      <c r="L39" s="81" t="str">
        <f>IF($B39="","",INDEX(tblStock[CostoUnitario],'91_KPIS'!$T32))</f>
        <v/>
      </c>
      <c r="M39" s="82" t="str">
        <f t="shared" si="1"/>
        <v/>
      </c>
    </row>
    <row r="40" spans="2:13" ht="15.75" x14ac:dyDescent="0.25">
      <c r="B40" s="74" t="str">
        <f>IF('91_KPIS'!$T33="","",26)</f>
        <v/>
      </c>
      <c r="C40" s="75" t="str">
        <f>IF($B40="","",IF(INDEX(tblStock[Proveedor],'91_KPIS'!$T33)="","(Sin proveedor)",INDEX(tblStock[Proveedor],'91_KPIS'!$T33)))</f>
        <v/>
      </c>
      <c r="D40" s="76" t="str">
        <f>IF($B40="","",INDEX(tblStock[SKU],'91_KPIS'!$T33))</f>
        <v/>
      </c>
      <c r="E40" s="75" t="str">
        <f>IF($B40="","",INDEX(tblStock[Producto],'91_KPIS'!$T33))</f>
        <v/>
      </c>
      <c r="F40" s="76" t="str">
        <f>IF($B40="","",INDEX(tblStock[Unidad],'91_KPIS'!$T33))</f>
        <v/>
      </c>
      <c r="G40" s="77" t="str">
        <f>IF($B40="","",INDEX(tblStock[StockActual],'91_KPIS'!$T33))</f>
        <v/>
      </c>
      <c r="H40" s="78" t="str">
        <f>IF($B40="","",INDEX(tblStock[StockMin],'91_KPIS'!$T33))</f>
        <v/>
      </c>
      <c r="I40" s="78" t="str">
        <f>IF($B40="","",INDEX(tblStock[StockMax],'91_KPIS'!$T33))</f>
        <v/>
      </c>
      <c r="J40" s="79" t="str">
        <f>IF($B40="","",INDEX(tblStock[Estado],'91_KPIS'!$T33))</f>
        <v/>
      </c>
      <c r="K40" s="80" t="str">
        <f t="shared" si="0"/>
        <v/>
      </c>
      <c r="L40" s="81" t="str">
        <f>IF($B40="","",INDEX(tblStock[CostoUnitario],'91_KPIS'!$T33))</f>
        <v/>
      </c>
      <c r="M40" s="82" t="str">
        <f t="shared" si="1"/>
        <v/>
      </c>
    </row>
    <row r="41" spans="2:13" ht="15.75" x14ac:dyDescent="0.25">
      <c r="B41" s="74" t="str">
        <f>IF('91_KPIS'!$T34="","",27)</f>
        <v/>
      </c>
      <c r="C41" s="75" t="str">
        <f>IF($B41="","",IF(INDEX(tblStock[Proveedor],'91_KPIS'!$T34)="","(Sin proveedor)",INDEX(tblStock[Proveedor],'91_KPIS'!$T34)))</f>
        <v/>
      </c>
      <c r="D41" s="76" t="str">
        <f>IF($B41="","",INDEX(tblStock[SKU],'91_KPIS'!$T34))</f>
        <v/>
      </c>
      <c r="E41" s="75" t="str">
        <f>IF($B41="","",INDEX(tblStock[Producto],'91_KPIS'!$T34))</f>
        <v/>
      </c>
      <c r="F41" s="76" t="str">
        <f>IF($B41="","",INDEX(tblStock[Unidad],'91_KPIS'!$T34))</f>
        <v/>
      </c>
      <c r="G41" s="77" t="str">
        <f>IF($B41="","",INDEX(tblStock[StockActual],'91_KPIS'!$T34))</f>
        <v/>
      </c>
      <c r="H41" s="78" t="str">
        <f>IF($B41="","",INDEX(tblStock[StockMin],'91_KPIS'!$T34))</f>
        <v/>
      </c>
      <c r="I41" s="78" t="str">
        <f>IF($B41="","",INDEX(tblStock[StockMax],'91_KPIS'!$T34))</f>
        <v/>
      </c>
      <c r="J41" s="79" t="str">
        <f>IF($B41="","",INDEX(tblStock[Estado],'91_KPIS'!$T34))</f>
        <v/>
      </c>
      <c r="K41" s="80" t="str">
        <f t="shared" si="0"/>
        <v/>
      </c>
      <c r="L41" s="81" t="str">
        <f>IF($B41="","",INDEX(tblStock[CostoUnitario],'91_KPIS'!$T34))</f>
        <v/>
      </c>
      <c r="M41" s="82" t="str">
        <f t="shared" si="1"/>
        <v/>
      </c>
    </row>
    <row r="42" spans="2:13" ht="15.75" x14ac:dyDescent="0.25">
      <c r="B42" s="74" t="str">
        <f>IF('91_KPIS'!$T35="","",28)</f>
        <v/>
      </c>
      <c r="C42" s="75" t="str">
        <f>IF($B42="","",IF(INDEX(tblStock[Proveedor],'91_KPIS'!$T35)="","(Sin proveedor)",INDEX(tblStock[Proveedor],'91_KPIS'!$T35)))</f>
        <v/>
      </c>
      <c r="D42" s="76" t="str">
        <f>IF($B42="","",INDEX(tblStock[SKU],'91_KPIS'!$T35))</f>
        <v/>
      </c>
      <c r="E42" s="75" t="str">
        <f>IF($B42="","",INDEX(tblStock[Producto],'91_KPIS'!$T35))</f>
        <v/>
      </c>
      <c r="F42" s="76" t="str">
        <f>IF($B42="","",INDEX(tblStock[Unidad],'91_KPIS'!$T35))</f>
        <v/>
      </c>
      <c r="G42" s="77" t="str">
        <f>IF($B42="","",INDEX(tblStock[StockActual],'91_KPIS'!$T35))</f>
        <v/>
      </c>
      <c r="H42" s="78" t="str">
        <f>IF($B42="","",INDEX(tblStock[StockMin],'91_KPIS'!$T35))</f>
        <v/>
      </c>
      <c r="I42" s="78" t="str">
        <f>IF($B42="","",INDEX(tblStock[StockMax],'91_KPIS'!$T35))</f>
        <v/>
      </c>
      <c r="J42" s="79" t="str">
        <f>IF($B42="","",INDEX(tblStock[Estado],'91_KPIS'!$T35))</f>
        <v/>
      </c>
      <c r="K42" s="80" t="str">
        <f t="shared" si="0"/>
        <v/>
      </c>
      <c r="L42" s="81" t="str">
        <f>IF($B42="","",INDEX(tblStock[CostoUnitario],'91_KPIS'!$T35))</f>
        <v/>
      </c>
      <c r="M42" s="82" t="str">
        <f t="shared" si="1"/>
        <v/>
      </c>
    </row>
    <row r="43" spans="2:13" ht="15.75" x14ac:dyDescent="0.25">
      <c r="B43" s="74" t="str">
        <f>IF('91_KPIS'!$T36="","",29)</f>
        <v/>
      </c>
      <c r="C43" s="75" t="str">
        <f>IF($B43="","",IF(INDEX(tblStock[Proveedor],'91_KPIS'!$T36)="","(Sin proveedor)",INDEX(tblStock[Proveedor],'91_KPIS'!$T36)))</f>
        <v/>
      </c>
      <c r="D43" s="76" t="str">
        <f>IF($B43="","",INDEX(tblStock[SKU],'91_KPIS'!$T36))</f>
        <v/>
      </c>
      <c r="E43" s="75" t="str">
        <f>IF($B43="","",INDEX(tblStock[Producto],'91_KPIS'!$T36))</f>
        <v/>
      </c>
      <c r="F43" s="76" t="str">
        <f>IF($B43="","",INDEX(tblStock[Unidad],'91_KPIS'!$T36))</f>
        <v/>
      </c>
      <c r="G43" s="77" t="str">
        <f>IF($B43="","",INDEX(tblStock[StockActual],'91_KPIS'!$T36))</f>
        <v/>
      </c>
      <c r="H43" s="78" t="str">
        <f>IF($B43="","",INDEX(tblStock[StockMin],'91_KPIS'!$T36))</f>
        <v/>
      </c>
      <c r="I43" s="78" t="str">
        <f>IF($B43="","",INDEX(tblStock[StockMax],'91_KPIS'!$T36))</f>
        <v/>
      </c>
      <c r="J43" s="79" t="str">
        <f>IF($B43="","",INDEX(tblStock[Estado],'91_KPIS'!$T36))</f>
        <v/>
      </c>
      <c r="K43" s="80" t="str">
        <f t="shared" si="0"/>
        <v/>
      </c>
      <c r="L43" s="81" t="str">
        <f>IF($B43="","",INDEX(tblStock[CostoUnitario],'91_KPIS'!$T36))</f>
        <v/>
      </c>
      <c r="M43" s="82" t="str">
        <f t="shared" si="1"/>
        <v/>
      </c>
    </row>
    <row r="44" spans="2:13" ht="15.75" x14ac:dyDescent="0.25">
      <c r="B44" s="74" t="str">
        <f>IF('91_KPIS'!$T37="","",30)</f>
        <v/>
      </c>
      <c r="C44" s="75" t="str">
        <f>IF($B44="","",IF(INDEX(tblStock[Proveedor],'91_KPIS'!$T37)="","(Sin proveedor)",INDEX(tblStock[Proveedor],'91_KPIS'!$T37)))</f>
        <v/>
      </c>
      <c r="D44" s="76" t="str">
        <f>IF($B44="","",INDEX(tblStock[SKU],'91_KPIS'!$T37))</f>
        <v/>
      </c>
      <c r="E44" s="75" t="str">
        <f>IF($B44="","",INDEX(tblStock[Producto],'91_KPIS'!$T37))</f>
        <v/>
      </c>
      <c r="F44" s="76" t="str">
        <f>IF($B44="","",INDEX(tblStock[Unidad],'91_KPIS'!$T37))</f>
        <v/>
      </c>
      <c r="G44" s="77" t="str">
        <f>IF($B44="","",INDEX(tblStock[StockActual],'91_KPIS'!$T37))</f>
        <v/>
      </c>
      <c r="H44" s="78" t="str">
        <f>IF($B44="","",INDEX(tblStock[StockMin],'91_KPIS'!$T37))</f>
        <v/>
      </c>
      <c r="I44" s="78" t="str">
        <f>IF($B44="","",INDEX(tblStock[StockMax],'91_KPIS'!$T37))</f>
        <v/>
      </c>
      <c r="J44" s="79" t="str">
        <f>IF($B44="","",INDEX(tblStock[Estado],'91_KPIS'!$T37))</f>
        <v/>
      </c>
      <c r="K44" s="80" t="str">
        <f t="shared" si="0"/>
        <v/>
      </c>
      <c r="L44" s="81" t="str">
        <f>IF($B44="","",INDEX(tblStock[CostoUnitario],'91_KPIS'!$T37))</f>
        <v/>
      </c>
      <c r="M44" s="82" t="str">
        <f t="shared" si="1"/>
        <v/>
      </c>
    </row>
    <row r="45" spans="2:13" ht="15.75" x14ac:dyDescent="0.25">
      <c r="B45" s="74" t="str">
        <f>IF('91_KPIS'!$T38="","",31)</f>
        <v/>
      </c>
      <c r="C45" s="75" t="str">
        <f>IF($B45="","",IF(INDEX(tblStock[Proveedor],'91_KPIS'!$T38)="","(Sin proveedor)",INDEX(tblStock[Proveedor],'91_KPIS'!$T38)))</f>
        <v/>
      </c>
      <c r="D45" s="76" t="str">
        <f>IF($B45="","",INDEX(tblStock[SKU],'91_KPIS'!$T38))</f>
        <v/>
      </c>
      <c r="E45" s="75" t="str">
        <f>IF($B45="","",INDEX(tblStock[Producto],'91_KPIS'!$T38))</f>
        <v/>
      </c>
      <c r="F45" s="76" t="str">
        <f>IF($B45="","",INDEX(tblStock[Unidad],'91_KPIS'!$T38))</f>
        <v/>
      </c>
      <c r="G45" s="77" t="str">
        <f>IF($B45="","",INDEX(tblStock[StockActual],'91_KPIS'!$T38))</f>
        <v/>
      </c>
      <c r="H45" s="78" t="str">
        <f>IF($B45="","",INDEX(tblStock[StockMin],'91_KPIS'!$T38))</f>
        <v/>
      </c>
      <c r="I45" s="78" t="str">
        <f>IF($B45="","",INDEX(tblStock[StockMax],'91_KPIS'!$T38))</f>
        <v/>
      </c>
      <c r="J45" s="79" t="str">
        <f>IF($B45="","",INDEX(tblStock[Estado],'91_KPIS'!$T38))</f>
        <v/>
      </c>
      <c r="K45" s="80" t="str">
        <f t="shared" si="0"/>
        <v/>
      </c>
      <c r="L45" s="81" t="str">
        <f>IF($B45="","",INDEX(tblStock[CostoUnitario],'91_KPIS'!$T38))</f>
        <v/>
      </c>
      <c r="M45" s="82" t="str">
        <f t="shared" si="1"/>
        <v/>
      </c>
    </row>
    <row r="46" spans="2:13" ht="15.75" x14ac:dyDescent="0.25">
      <c r="B46" s="74" t="str">
        <f>IF('91_KPIS'!$T39="","",32)</f>
        <v/>
      </c>
      <c r="C46" s="75" t="str">
        <f>IF($B46="","",IF(INDEX(tblStock[Proveedor],'91_KPIS'!$T39)="","(Sin proveedor)",INDEX(tblStock[Proveedor],'91_KPIS'!$T39)))</f>
        <v/>
      </c>
      <c r="D46" s="76" t="str">
        <f>IF($B46="","",INDEX(tblStock[SKU],'91_KPIS'!$T39))</f>
        <v/>
      </c>
      <c r="E46" s="75" t="str">
        <f>IF($B46="","",INDEX(tblStock[Producto],'91_KPIS'!$T39))</f>
        <v/>
      </c>
      <c r="F46" s="76" t="str">
        <f>IF($B46="","",INDEX(tblStock[Unidad],'91_KPIS'!$T39))</f>
        <v/>
      </c>
      <c r="G46" s="77" t="str">
        <f>IF($B46="","",INDEX(tblStock[StockActual],'91_KPIS'!$T39))</f>
        <v/>
      </c>
      <c r="H46" s="78" t="str">
        <f>IF($B46="","",INDEX(tblStock[StockMin],'91_KPIS'!$T39))</f>
        <v/>
      </c>
      <c r="I46" s="78" t="str">
        <f>IF($B46="","",INDEX(tblStock[StockMax],'91_KPIS'!$T39))</f>
        <v/>
      </c>
      <c r="J46" s="79" t="str">
        <f>IF($B46="","",INDEX(tblStock[Estado],'91_KPIS'!$T39))</f>
        <v/>
      </c>
      <c r="K46" s="80" t="str">
        <f t="shared" si="0"/>
        <v/>
      </c>
      <c r="L46" s="81" t="str">
        <f>IF($B46="","",INDEX(tblStock[CostoUnitario],'91_KPIS'!$T39))</f>
        <v/>
      </c>
      <c r="M46" s="82" t="str">
        <f t="shared" si="1"/>
        <v/>
      </c>
    </row>
    <row r="47" spans="2:13" ht="15.75" x14ac:dyDescent="0.25">
      <c r="B47" s="74" t="str">
        <f>IF('91_KPIS'!$T40="","",33)</f>
        <v/>
      </c>
      <c r="C47" s="75" t="str">
        <f>IF($B47="","",IF(INDEX(tblStock[Proveedor],'91_KPIS'!$T40)="","(Sin proveedor)",INDEX(tblStock[Proveedor],'91_KPIS'!$T40)))</f>
        <v/>
      </c>
      <c r="D47" s="76" t="str">
        <f>IF($B47="","",INDEX(tblStock[SKU],'91_KPIS'!$T40))</f>
        <v/>
      </c>
      <c r="E47" s="75" t="str">
        <f>IF($B47="","",INDEX(tblStock[Producto],'91_KPIS'!$T40))</f>
        <v/>
      </c>
      <c r="F47" s="76" t="str">
        <f>IF($B47="","",INDEX(tblStock[Unidad],'91_KPIS'!$T40))</f>
        <v/>
      </c>
      <c r="G47" s="77" t="str">
        <f>IF($B47="","",INDEX(tblStock[StockActual],'91_KPIS'!$T40))</f>
        <v/>
      </c>
      <c r="H47" s="78" t="str">
        <f>IF($B47="","",INDEX(tblStock[StockMin],'91_KPIS'!$T40))</f>
        <v/>
      </c>
      <c r="I47" s="78" t="str">
        <f>IF($B47="","",INDEX(tblStock[StockMax],'91_KPIS'!$T40))</f>
        <v/>
      </c>
      <c r="J47" s="79" t="str">
        <f>IF($B47="","",INDEX(tblStock[Estado],'91_KPIS'!$T40))</f>
        <v/>
      </c>
      <c r="K47" s="80" t="str">
        <f t="shared" si="0"/>
        <v/>
      </c>
      <c r="L47" s="81" t="str">
        <f>IF($B47="","",INDEX(tblStock[CostoUnitario],'91_KPIS'!$T40))</f>
        <v/>
      </c>
      <c r="M47" s="82" t="str">
        <f t="shared" si="1"/>
        <v/>
      </c>
    </row>
    <row r="48" spans="2:13" ht="15.75" x14ac:dyDescent="0.25">
      <c r="B48" s="74" t="str">
        <f>IF('91_KPIS'!$T41="","",34)</f>
        <v/>
      </c>
      <c r="C48" s="75" t="str">
        <f>IF($B48="","",IF(INDEX(tblStock[Proveedor],'91_KPIS'!$T41)="","(Sin proveedor)",INDEX(tblStock[Proveedor],'91_KPIS'!$T41)))</f>
        <v/>
      </c>
      <c r="D48" s="76" t="str">
        <f>IF($B48="","",INDEX(tblStock[SKU],'91_KPIS'!$T41))</f>
        <v/>
      </c>
      <c r="E48" s="75" t="str">
        <f>IF($B48="","",INDEX(tblStock[Producto],'91_KPIS'!$T41))</f>
        <v/>
      </c>
      <c r="F48" s="76" t="str">
        <f>IF($B48="","",INDEX(tblStock[Unidad],'91_KPIS'!$T41))</f>
        <v/>
      </c>
      <c r="G48" s="77" t="str">
        <f>IF($B48="","",INDEX(tblStock[StockActual],'91_KPIS'!$T41))</f>
        <v/>
      </c>
      <c r="H48" s="78" t="str">
        <f>IF($B48="","",INDEX(tblStock[StockMin],'91_KPIS'!$T41))</f>
        <v/>
      </c>
      <c r="I48" s="78" t="str">
        <f>IF($B48="","",INDEX(tblStock[StockMax],'91_KPIS'!$T41))</f>
        <v/>
      </c>
      <c r="J48" s="79" t="str">
        <f>IF($B48="","",INDEX(tblStock[Estado],'91_KPIS'!$T41))</f>
        <v/>
      </c>
      <c r="K48" s="80" t="str">
        <f t="shared" si="0"/>
        <v/>
      </c>
      <c r="L48" s="81" t="str">
        <f>IF($B48="","",INDEX(tblStock[CostoUnitario],'91_KPIS'!$T41))</f>
        <v/>
      </c>
      <c r="M48" s="82" t="str">
        <f t="shared" si="1"/>
        <v/>
      </c>
    </row>
    <row r="49" spans="2:13" ht="15.75" x14ac:dyDescent="0.25">
      <c r="B49" s="74" t="str">
        <f>IF('91_KPIS'!$T42="","",35)</f>
        <v/>
      </c>
      <c r="C49" s="75" t="str">
        <f>IF($B49="","",IF(INDEX(tblStock[Proveedor],'91_KPIS'!$T42)="","(Sin proveedor)",INDEX(tblStock[Proveedor],'91_KPIS'!$T42)))</f>
        <v/>
      </c>
      <c r="D49" s="76" t="str">
        <f>IF($B49="","",INDEX(tblStock[SKU],'91_KPIS'!$T42))</f>
        <v/>
      </c>
      <c r="E49" s="75" t="str">
        <f>IF($B49="","",INDEX(tblStock[Producto],'91_KPIS'!$T42))</f>
        <v/>
      </c>
      <c r="F49" s="76" t="str">
        <f>IF($B49="","",INDEX(tblStock[Unidad],'91_KPIS'!$T42))</f>
        <v/>
      </c>
      <c r="G49" s="77" t="str">
        <f>IF($B49="","",INDEX(tblStock[StockActual],'91_KPIS'!$T42))</f>
        <v/>
      </c>
      <c r="H49" s="78" t="str">
        <f>IF($B49="","",INDEX(tblStock[StockMin],'91_KPIS'!$T42))</f>
        <v/>
      </c>
      <c r="I49" s="78" t="str">
        <f>IF($B49="","",INDEX(tblStock[StockMax],'91_KPIS'!$T42))</f>
        <v/>
      </c>
      <c r="J49" s="79" t="str">
        <f>IF($B49="","",INDEX(tblStock[Estado],'91_KPIS'!$T42))</f>
        <v/>
      </c>
      <c r="K49" s="80" t="str">
        <f t="shared" si="0"/>
        <v/>
      </c>
      <c r="L49" s="81" t="str">
        <f>IF($B49="","",INDEX(tblStock[CostoUnitario],'91_KPIS'!$T42))</f>
        <v/>
      </c>
      <c r="M49" s="82" t="str">
        <f t="shared" si="1"/>
        <v/>
      </c>
    </row>
    <row r="50" spans="2:13" ht="15.75" x14ac:dyDescent="0.25">
      <c r="B50" s="74" t="str">
        <f>IF('91_KPIS'!$T43="","",36)</f>
        <v/>
      </c>
      <c r="C50" s="75" t="str">
        <f>IF($B50="","",IF(INDEX(tblStock[Proveedor],'91_KPIS'!$T43)="","(Sin proveedor)",INDEX(tblStock[Proveedor],'91_KPIS'!$T43)))</f>
        <v/>
      </c>
      <c r="D50" s="76" t="str">
        <f>IF($B50="","",INDEX(tblStock[SKU],'91_KPIS'!$T43))</f>
        <v/>
      </c>
      <c r="E50" s="75" t="str">
        <f>IF($B50="","",INDEX(tblStock[Producto],'91_KPIS'!$T43))</f>
        <v/>
      </c>
      <c r="F50" s="76" t="str">
        <f>IF($B50="","",INDEX(tblStock[Unidad],'91_KPIS'!$T43))</f>
        <v/>
      </c>
      <c r="G50" s="77" t="str">
        <f>IF($B50="","",INDEX(tblStock[StockActual],'91_KPIS'!$T43))</f>
        <v/>
      </c>
      <c r="H50" s="78" t="str">
        <f>IF($B50="","",INDEX(tblStock[StockMin],'91_KPIS'!$T43))</f>
        <v/>
      </c>
      <c r="I50" s="78" t="str">
        <f>IF($B50="","",INDEX(tblStock[StockMax],'91_KPIS'!$T43))</f>
        <v/>
      </c>
      <c r="J50" s="79" t="str">
        <f>IF($B50="","",INDEX(tblStock[Estado],'91_KPIS'!$T43))</f>
        <v/>
      </c>
      <c r="K50" s="80" t="str">
        <f t="shared" si="0"/>
        <v/>
      </c>
      <c r="L50" s="81" t="str">
        <f>IF($B50="","",INDEX(tblStock[CostoUnitario],'91_KPIS'!$T43))</f>
        <v/>
      </c>
      <c r="M50" s="82" t="str">
        <f t="shared" si="1"/>
        <v/>
      </c>
    </row>
    <row r="51" spans="2:13" ht="15.75" x14ac:dyDescent="0.25">
      <c r="B51" s="74" t="str">
        <f>IF('91_KPIS'!$T44="","",37)</f>
        <v/>
      </c>
      <c r="C51" s="75" t="str">
        <f>IF($B51="","",IF(INDEX(tblStock[Proveedor],'91_KPIS'!$T44)="","(Sin proveedor)",INDEX(tblStock[Proveedor],'91_KPIS'!$T44)))</f>
        <v/>
      </c>
      <c r="D51" s="76" t="str">
        <f>IF($B51="","",INDEX(tblStock[SKU],'91_KPIS'!$T44))</f>
        <v/>
      </c>
      <c r="E51" s="75" t="str">
        <f>IF($B51="","",INDEX(tblStock[Producto],'91_KPIS'!$T44))</f>
        <v/>
      </c>
      <c r="F51" s="76" t="str">
        <f>IF($B51="","",INDEX(tblStock[Unidad],'91_KPIS'!$T44))</f>
        <v/>
      </c>
      <c r="G51" s="77" t="str">
        <f>IF($B51="","",INDEX(tblStock[StockActual],'91_KPIS'!$T44))</f>
        <v/>
      </c>
      <c r="H51" s="78" t="str">
        <f>IF($B51="","",INDEX(tblStock[StockMin],'91_KPIS'!$T44))</f>
        <v/>
      </c>
      <c r="I51" s="78" t="str">
        <f>IF($B51="","",INDEX(tblStock[StockMax],'91_KPIS'!$T44))</f>
        <v/>
      </c>
      <c r="J51" s="79" t="str">
        <f>IF($B51="","",INDEX(tblStock[Estado],'91_KPIS'!$T44))</f>
        <v/>
      </c>
      <c r="K51" s="80" t="str">
        <f t="shared" si="0"/>
        <v/>
      </c>
      <c r="L51" s="81" t="str">
        <f>IF($B51="","",INDEX(tblStock[CostoUnitario],'91_KPIS'!$T44))</f>
        <v/>
      </c>
      <c r="M51" s="82" t="str">
        <f t="shared" si="1"/>
        <v/>
      </c>
    </row>
    <row r="52" spans="2:13" ht="15.75" x14ac:dyDescent="0.25">
      <c r="B52" s="74" t="str">
        <f>IF('91_KPIS'!$T45="","",38)</f>
        <v/>
      </c>
      <c r="C52" s="75" t="str">
        <f>IF($B52="","",IF(INDEX(tblStock[Proveedor],'91_KPIS'!$T45)="","(Sin proveedor)",INDEX(tblStock[Proveedor],'91_KPIS'!$T45)))</f>
        <v/>
      </c>
      <c r="D52" s="76" t="str">
        <f>IF($B52="","",INDEX(tblStock[SKU],'91_KPIS'!$T45))</f>
        <v/>
      </c>
      <c r="E52" s="75" t="str">
        <f>IF($B52="","",INDEX(tblStock[Producto],'91_KPIS'!$T45))</f>
        <v/>
      </c>
      <c r="F52" s="76" t="str">
        <f>IF($B52="","",INDEX(tblStock[Unidad],'91_KPIS'!$T45))</f>
        <v/>
      </c>
      <c r="G52" s="77" t="str">
        <f>IF($B52="","",INDEX(tblStock[StockActual],'91_KPIS'!$T45))</f>
        <v/>
      </c>
      <c r="H52" s="78" t="str">
        <f>IF($B52="","",INDEX(tblStock[StockMin],'91_KPIS'!$T45))</f>
        <v/>
      </c>
      <c r="I52" s="78" t="str">
        <f>IF($B52="","",INDEX(tblStock[StockMax],'91_KPIS'!$T45))</f>
        <v/>
      </c>
      <c r="J52" s="79" t="str">
        <f>IF($B52="","",INDEX(tblStock[Estado],'91_KPIS'!$T45))</f>
        <v/>
      </c>
      <c r="K52" s="80" t="str">
        <f t="shared" si="0"/>
        <v/>
      </c>
      <c r="L52" s="81" t="str">
        <f>IF($B52="","",INDEX(tblStock[CostoUnitario],'91_KPIS'!$T45))</f>
        <v/>
      </c>
      <c r="M52" s="82" t="str">
        <f t="shared" si="1"/>
        <v/>
      </c>
    </row>
    <row r="53" spans="2:13" ht="15.75" x14ac:dyDescent="0.25">
      <c r="B53" s="74" t="str">
        <f>IF('91_KPIS'!$T46="","",39)</f>
        <v/>
      </c>
      <c r="C53" s="75" t="str">
        <f>IF($B53="","",IF(INDEX(tblStock[Proveedor],'91_KPIS'!$T46)="","(Sin proveedor)",INDEX(tblStock[Proveedor],'91_KPIS'!$T46)))</f>
        <v/>
      </c>
      <c r="D53" s="76" t="str">
        <f>IF($B53="","",INDEX(tblStock[SKU],'91_KPIS'!$T46))</f>
        <v/>
      </c>
      <c r="E53" s="75" t="str">
        <f>IF($B53="","",INDEX(tblStock[Producto],'91_KPIS'!$T46))</f>
        <v/>
      </c>
      <c r="F53" s="76" t="str">
        <f>IF($B53="","",INDEX(tblStock[Unidad],'91_KPIS'!$T46))</f>
        <v/>
      </c>
      <c r="G53" s="77" t="str">
        <f>IF($B53="","",INDEX(tblStock[StockActual],'91_KPIS'!$T46))</f>
        <v/>
      </c>
      <c r="H53" s="78" t="str">
        <f>IF($B53="","",INDEX(tblStock[StockMin],'91_KPIS'!$T46))</f>
        <v/>
      </c>
      <c r="I53" s="78" t="str">
        <f>IF($B53="","",INDEX(tblStock[StockMax],'91_KPIS'!$T46))</f>
        <v/>
      </c>
      <c r="J53" s="79" t="str">
        <f>IF($B53="","",INDEX(tblStock[Estado],'91_KPIS'!$T46))</f>
        <v/>
      </c>
      <c r="K53" s="80" t="str">
        <f t="shared" si="0"/>
        <v/>
      </c>
      <c r="L53" s="81" t="str">
        <f>IF($B53="","",INDEX(tblStock[CostoUnitario],'91_KPIS'!$T46))</f>
        <v/>
      </c>
      <c r="M53" s="82" t="str">
        <f t="shared" si="1"/>
        <v/>
      </c>
    </row>
    <row r="54" spans="2:13" ht="15.75" x14ac:dyDescent="0.25">
      <c r="B54" s="74" t="str">
        <f>IF('91_KPIS'!$T47="","",40)</f>
        <v/>
      </c>
      <c r="C54" s="75" t="str">
        <f>IF($B54="","",IF(INDEX(tblStock[Proveedor],'91_KPIS'!$T47)="","(Sin proveedor)",INDEX(tblStock[Proveedor],'91_KPIS'!$T47)))</f>
        <v/>
      </c>
      <c r="D54" s="76" t="str">
        <f>IF($B54="","",INDEX(tblStock[SKU],'91_KPIS'!$T47))</f>
        <v/>
      </c>
      <c r="E54" s="75" t="str">
        <f>IF($B54="","",INDEX(tblStock[Producto],'91_KPIS'!$T47))</f>
        <v/>
      </c>
      <c r="F54" s="76" t="str">
        <f>IF($B54="","",INDEX(tblStock[Unidad],'91_KPIS'!$T47))</f>
        <v/>
      </c>
      <c r="G54" s="77" t="str">
        <f>IF($B54="","",INDEX(tblStock[StockActual],'91_KPIS'!$T47))</f>
        <v/>
      </c>
      <c r="H54" s="78" t="str">
        <f>IF($B54="","",INDEX(tblStock[StockMin],'91_KPIS'!$T47))</f>
        <v/>
      </c>
      <c r="I54" s="78" t="str">
        <f>IF($B54="","",INDEX(tblStock[StockMax],'91_KPIS'!$T47))</f>
        <v/>
      </c>
      <c r="J54" s="79" t="str">
        <f>IF($B54="","",INDEX(tblStock[Estado],'91_KPIS'!$T47))</f>
        <v/>
      </c>
      <c r="K54" s="80" t="str">
        <f t="shared" si="0"/>
        <v/>
      </c>
      <c r="L54" s="81" t="str">
        <f>IF($B54="","",INDEX(tblStock[CostoUnitario],'91_KPIS'!$T47))</f>
        <v/>
      </c>
      <c r="M54" s="82" t="str">
        <f t="shared" si="1"/>
        <v/>
      </c>
    </row>
    <row r="55" spans="2:13" ht="15.75" x14ac:dyDescent="0.25">
      <c r="B55" s="74" t="str">
        <f>IF('91_KPIS'!$T48="","",41)</f>
        <v/>
      </c>
      <c r="C55" s="75" t="str">
        <f>IF($B55="","",IF(INDEX(tblStock[Proveedor],'91_KPIS'!$T48)="","(Sin proveedor)",INDEX(tblStock[Proveedor],'91_KPIS'!$T48)))</f>
        <v/>
      </c>
      <c r="D55" s="76" t="str">
        <f>IF($B55="","",INDEX(tblStock[SKU],'91_KPIS'!$T48))</f>
        <v/>
      </c>
      <c r="E55" s="75" t="str">
        <f>IF($B55="","",INDEX(tblStock[Producto],'91_KPIS'!$T48))</f>
        <v/>
      </c>
      <c r="F55" s="76" t="str">
        <f>IF($B55="","",INDEX(tblStock[Unidad],'91_KPIS'!$T48))</f>
        <v/>
      </c>
      <c r="G55" s="77" t="str">
        <f>IF($B55="","",INDEX(tblStock[StockActual],'91_KPIS'!$T48))</f>
        <v/>
      </c>
      <c r="H55" s="78" t="str">
        <f>IF($B55="","",INDEX(tblStock[StockMin],'91_KPIS'!$T48))</f>
        <v/>
      </c>
      <c r="I55" s="78" t="str">
        <f>IF($B55="","",INDEX(tblStock[StockMax],'91_KPIS'!$T48))</f>
        <v/>
      </c>
      <c r="J55" s="79" t="str">
        <f>IF($B55="","",INDEX(tblStock[Estado],'91_KPIS'!$T48))</f>
        <v/>
      </c>
      <c r="K55" s="80" t="str">
        <f t="shared" si="0"/>
        <v/>
      </c>
      <c r="L55" s="81" t="str">
        <f>IF($B55="","",INDEX(tblStock[CostoUnitario],'91_KPIS'!$T48))</f>
        <v/>
      </c>
      <c r="M55" s="82" t="str">
        <f t="shared" si="1"/>
        <v/>
      </c>
    </row>
    <row r="56" spans="2:13" ht="15.75" x14ac:dyDescent="0.25">
      <c r="B56" s="74" t="str">
        <f>IF('91_KPIS'!$T49="","",42)</f>
        <v/>
      </c>
      <c r="C56" s="75" t="str">
        <f>IF($B56="","",IF(INDEX(tblStock[Proveedor],'91_KPIS'!$T49)="","(Sin proveedor)",INDEX(tblStock[Proveedor],'91_KPIS'!$T49)))</f>
        <v/>
      </c>
      <c r="D56" s="76" t="str">
        <f>IF($B56="","",INDEX(tblStock[SKU],'91_KPIS'!$T49))</f>
        <v/>
      </c>
      <c r="E56" s="75" t="str">
        <f>IF($B56="","",INDEX(tblStock[Producto],'91_KPIS'!$T49))</f>
        <v/>
      </c>
      <c r="F56" s="76" t="str">
        <f>IF($B56="","",INDEX(tblStock[Unidad],'91_KPIS'!$T49))</f>
        <v/>
      </c>
      <c r="G56" s="77" t="str">
        <f>IF($B56="","",INDEX(tblStock[StockActual],'91_KPIS'!$T49))</f>
        <v/>
      </c>
      <c r="H56" s="78" t="str">
        <f>IF($B56="","",INDEX(tblStock[StockMin],'91_KPIS'!$T49))</f>
        <v/>
      </c>
      <c r="I56" s="78" t="str">
        <f>IF($B56="","",INDEX(tblStock[StockMax],'91_KPIS'!$T49))</f>
        <v/>
      </c>
      <c r="J56" s="79" t="str">
        <f>IF($B56="","",INDEX(tblStock[Estado],'91_KPIS'!$T49))</f>
        <v/>
      </c>
      <c r="K56" s="80" t="str">
        <f t="shared" si="0"/>
        <v/>
      </c>
      <c r="L56" s="81" t="str">
        <f>IF($B56="","",INDEX(tblStock[CostoUnitario],'91_KPIS'!$T49))</f>
        <v/>
      </c>
      <c r="M56" s="82" t="str">
        <f t="shared" si="1"/>
        <v/>
      </c>
    </row>
    <row r="57" spans="2:13" ht="15.75" x14ac:dyDescent="0.25">
      <c r="B57" s="74" t="str">
        <f>IF('91_KPIS'!$T50="","",43)</f>
        <v/>
      </c>
      <c r="C57" s="75" t="str">
        <f>IF($B57="","",IF(INDEX(tblStock[Proveedor],'91_KPIS'!$T50)="","(Sin proveedor)",INDEX(tblStock[Proveedor],'91_KPIS'!$T50)))</f>
        <v/>
      </c>
      <c r="D57" s="76" t="str">
        <f>IF($B57="","",INDEX(tblStock[SKU],'91_KPIS'!$T50))</f>
        <v/>
      </c>
      <c r="E57" s="75" t="str">
        <f>IF($B57="","",INDEX(tblStock[Producto],'91_KPIS'!$T50))</f>
        <v/>
      </c>
      <c r="F57" s="76" t="str">
        <f>IF($B57="","",INDEX(tblStock[Unidad],'91_KPIS'!$T50))</f>
        <v/>
      </c>
      <c r="G57" s="77" t="str">
        <f>IF($B57="","",INDEX(tblStock[StockActual],'91_KPIS'!$T50))</f>
        <v/>
      </c>
      <c r="H57" s="78" t="str">
        <f>IF($B57="","",INDEX(tblStock[StockMin],'91_KPIS'!$T50))</f>
        <v/>
      </c>
      <c r="I57" s="78" t="str">
        <f>IF($B57="","",INDEX(tblStock[StockMax],'91_KPIS'!$T50))</f>
        <v/>
      </c>
      <c r="J57" s="79" t="str">
        <f>IF($B57="","",INDEX(tblStock[Estado],'91_KPIS'!$T50))</f>
        <v/>
      </c>
      <c r="K57" s="80" t="str">
        <f t="shared" si="0"/>
        <v/>
      </c>
      <c r="L57" s="81" t="str">
        <f>IF($B57="","",INDEX(tblStock[CostoUnitario],'91_KPIS'!$T50))</f>
        <v/>
      </c>
      <c r="M57" s="82" t="str">
        <f t="shared" si="1"/>
        <v/>
      </c>
    </row>
    <row r="58" spans="2:13" ht="15.75" x14ac:dyDescent="0.25">
      <c r="B58" s="74" t="str">
        <f>IF('91_KPIS'!$T51="","",44)</f>
        <v/>
      </c>
      <c r="C58" s="75" t="str">
        <f>IF($B58="","",IF(INDEX(tblStock[Proveedor],'91_KPIS'!$T51)="","(Sin proveedor)",INDEX(tblStock[Proveedor],'91_KPIS'!$T51)))</f>
        <v/>
      </c>
      <c r="D58" s="76" t="str">
        <f>IF($B58="","",INDEX(tblStock[SKU],'91_KPIS'!$T51))</f>
        <v/>
      </c>
      <c r="E58" s="75" t="str">
        <f>IF($B58="","",INDEX(tblStock[Producto],'91_KPIS'!$T51))</f>
        <v/>
      </c>
      <c r="F58" s="76" t="str">
        <f>IF($B58="","",INDEX(tblStock[Unidad],'91_KPIS'!$T51))</f>
        <v/>
      </c>
      <c r="G58" s="77" t="str">
        <f>IF($B58="","",INDEX(tblStock[StockActual],'91_KPIS'!$T51))</f>
        <v/>
      </c>
      <c r="H58" s="78" t="str">
        <f>IF($B58="","",INDEX(tblStock[StockMin],'91_KPIS'!$T51))</f>
        <v/>
      </c>
      <c r="I58" s="78" t="str">
        <f>IF($B58="","",INDEX(tblStock[StockMax],'91_KPIS'!$T51))</f>
        <v/>
      </c>
      <c r="J58" s="79" t="str">
        <f>IF($B58="","",INDEX(tblStock[Estado],'91_KPIS'!$T51))</f>
        <v/>
      </c>
      <c r="K58" s="80" t="str">
        <f t="shared" si="0"/>
        <v/>
      </c>
      <c r="L58" s="81" t="str">
        <f>IF($B58="","",INDEX(tblStock[CostoUnitario],'91_KPIS'!$T51))</f>
        <v/>
      </c>
      <c r="M58" s="82" t="str">
        <f t="shared" si="1"/>
        <v/>
      </c>
    </row>
    <row r="59" spans="2:13" ht="15.75" x14ac:dyDescent="0.25">
      <c r="B59" s="74" t="str">
        <f>IF('91_KPIS'!$T52="","",45)</f>
        <v/>
      </c>
      <c r="C59" s="75" t="str">
        <f>IF($B59="","",IF(INDEX(tblStock[Proveedor],'91_KPIS'!$T52)="","(Sin proveedor)",INDEX(tblStock[Proveedor],'91_KPIS'!$T52)))</f>
        <v/>
      </c>
      <c r="D59" s="76" t="str">
        <f>IF($B59="","",INDEX(tblStock[SKU],'91_KPIS'!$T52))</f>
        <v/>
      </c>
      <c r="E59" s="75" t="str">
        <f>IF($B59="","",INDEX(tblStock[Producto],'91_KPIS'!$T52))</f>
        <v/>
      </c>
      <c r="F59" s="76" t="str">
        <f>IF($B59="","",INDEX(tblStock[Unidad],'91_KPIS'!$T52))</f>
        <v/>
      </c>
      <c r="G59" s="77" t="str">
        <f>IF($B59="","",INDEX(tblStock[StockActual],'91_KPIS'!$T52))</f>
        <v/>
      </c>
      <c r="H59" s="78" t="str">
        <f>IF($B59="","",INDEX(tblStock[StockMin],'91_KPIS'!$T52))</f>
        <v/>
      </c>
      <c r="I59" s="78" t="str">
        <f>IF($B59="","",INDEX(tblStock[StockMax],'91_KPIS'!$T52))</f>
        <v/>
      </c>
      <c r="J59" s="79" t="str">
        <f>IF($B59="","",INDEX(tblStock[Estado],'91_KPIS'!$T52))</f>
        <v/>
      </c>
      <c r="K59" s="80" t="str">
        <f t="shared" si="0"/>
        <v/>
      </c>
      <c r="L59" s="81" t="str">
        <f>IF($B59="","",INDEX(tblStock[CostoUnitario],'91_KPIS'!$T52))</f>
        <v/>
      </c>
      <c r="M59" s="82" t="str">
        <f t="shared" si="1"/>
        <v/>
      </c>
    </row>
    <row r="60" spans="2:13" ht="15.75" x14ac:dyDescent="0.25">
      <c r="B60" s="74" t="str">
        <f>IF('91_KPIS'!$T53="","",46)</f>
        <v/>
      </c>
      <c r="C60" s="75" t="str">
        <f>IF($B60="","",IF(INDEX(tblStock[Proveedor],'91_KPIS'!$T53)="","(Sin proveedor)",INDEX(tblStock[Proveedor],'91_KPIS'!$T53)))</f>
        <v/>
      </c>
      <c r="D60" s="76" t="str">
        <f>IF($B60="","",INDEX(tblStock[SKU],'91_KPIS'!$T53))</f>
        <v/>
      </c>
      <c r="E60" s="75" t="str">
        <f>IF($B60="","",INDEX(tblStock[Producto],'91_KPIS'!$T53))</f>
        <v/>
      </c>
      <c r="F60" s="76" t="str">
        <f>IF($B60="","",INDEX(tblStock[Unidad],'91_KPIS'!$T53))</f>
        <v/>
      </c>
      <c r="G60" s="77" t="str">
        <f>IF($B60="","",INDEX(tblStock[StockActual],'91_KPIS'!$T53))</f>
        <v/>
      </c>
      <c r="H60" s="78" t="str">
        <f>IF($B60="","",INDEX(tblStock[StockMin],'91_KPIS'!$T53))</f>
        <v/>
      </c>
      <c r="I60" s="78" t="str">
        <f>IF($B60="","",INDEX(tblStock[StockMax],'91_KPIS'!$T53))</f>
        <v/>
      </c>
      <c r="J60" s="79" t="str">
        <f>IF($B60="","",INDEX(tblStock[Estado],'91_KPIS'!$T53))</f>
        <v/>
      </c>
      <c r="K60" s="80" t="str">
        <f t="shared" si="0"/>
        <v/>
      </c>
      <c r="L60" s="81" t="str">
        <f>IF($B60="","",INDEX(tblStock[CostoUnitario],'91_KPIS'!$T53))</f>
        <v/>
      </c>
      <c r="M60" s="82" t="str">
        <f t="shared" si="1"/>
        <v/>
      </c>
    </row>
    <row r="61" spans="2:13" ht="15.75" x14ac:dyDescent="0.25">
      <c r="B61" s="74" t="str">
        <f>IF('91_KPIS'!$T54="","",47)</f>
        <v/>
      </c>
      <c r="C61" s="75" t="str">
        <f>IF($B61="","",IF(INDEX(tblStock[Proveedor],'91_KPIS'!$T54)="","(Sin proveedor)",INDEX(tblStock[Proveedor],'91_KPIS'!$T54)))</f>
        <v/>
      </c>
      <c r="D61" s="76" t="str">
        <f>IF($B61="","",INDEX(tblStock[SKU],'91_KPIS'!$T54))</f>
        <v/>
      </c>
      <c r="E61" s="75" t="str">
        <f>IF($B61="","",INDEX(tblStock[Producto],'91_KPIS'!$T54))</f>
        <v/>
      </c>
      <c r="F61" s="76" t="str">
        <f>IF($B61="","",INDEX(tblStock[Unidad],'91_KPIS'!$T54))</f>
        <v/>
      </c>
      <c r="G61" s="77" t="str">
        <f>IF($B61="","",INDEX(tblStock[StockActual],'91_KPIS'!$T54))</f>
        <v/>
      </c>
      <c r="H61" s="78" t="str">
        <f>IF($B61="","",INDEX(tblStock[StockMin],'91_KPIS'!$T54))</f>
        <v/>
      </c>
      <c r="I61" s="78" t="str">
        <f>IF($B61="","",INDEX(tblStock[StockMax],'91_KPIS'!$T54))</f>
        <v/>
      </c>
      <c r="J61" s="79" t="str">
        <f>IF($B61="","",INDEX(tblStock[Estado],'91_KPIS'!$T54))</f>
        <v/>
      </c>
      <c r="K61" s="80" t="str">
        <f t="shared" si="0"/>
        <v/>
      </c>
      <c r="L61" s="81" t="str">
        <f>IF($B61="","",INDEX(tblStock[CostoUnitario],'91_KPIS'!$T54))</f>
        <v/>
      </c>
      <c r="M61" s="82" t="str">
        <f t="shared" si="1"/>
        <v/>
      </c>
    </row>
    <row r="62" spans="2:13" ht="15.75" x14ac:dyDescent="0.25">
      <c r="B62" s="74" t="str">
        <f>IF('91_KPIS'!$T55="","",48)</f>
        <v/>
      </c>
      <c r="C62" s="75" t="str">
        <f>IF($B62="","",IF(INDEX(tblStock[Proveedor],'91_KPIS'!$T55)="","(Sin proveedor)",INDEX(tblStock[Proveedor],'91_KPIS'!$T55)))</f>
        <v/>
      </c>
      <c r="D62" s="76" t="str">
        <f>IF($B62="","",INDEX(tblStock[SKU],'91_KPIS'!$T55))</f>
        <v/>
      </c>
      <c r="E62" s="75" t="str">
        <f>IF($B62="","",INDEX(tblStock[Producto],'91_KPIS'!$T55))</f>
        <v/>
      </c>
      <c r="F62" s="76" t="str">
        <f>IF($B62="","",INDEX(tblStock[Unidad],'91_KPIS'!$T55))</f>
        <v/>
      </c>
      <c r="G62" s="77" t="str">
        <f>IF($B62="","",INDEX(tblStock[StockActual],'91_KPIS'!$T55))</f>
        <v/>
      </c>
      <c r="H62" s="78" t="str">
        <f>IF($B62="","",INDEX(tblStock[StockMin],'91_KPIS'!$T55))</f>
        <v/>
      </c>
      <c r="I62" s="78" t="str">
        <f>IF($B62="","",INDEX(tblStock[StockMax],'91_KPIS'!$T55))</f>
        <v/>
      </c>
      <c r="J62" s="79" t="str">
        <f>IF($B62="","",INDEX(tblStock[Estado],'91_KPIS'!$T55))</f>
        <v/>
      </c>
      <c r="K62" s="80" t="str">
        <f t="shared" si="0"/>
        <v/>
      </c>
      <c r="L62" s="81" t="str">
        <f>IF($B62="","",INDEX(tblStock[CostoUnitario],'91_KPIS'!$T55))</f>
        <v/>
      </c>
      <c r="M62" s="82" t="str">
        <f t="shared" si="1"/>
        <v/>
      </c>
    </row>
    <row r="63" spans="2:13" ht="15.75" x14ac:dyDescent="0.25">
      <c r="B63" s="74" t="str">
        <f>IF('91_KPIS'!$T56="","",49)</f>
        <v/>
      </c>
      <c r="C63" s="75" t="str">
        <f>IF($B63="","",IF(INDEX(tblStock[Proveedor],'91_KPIS'!$T56)="","(Sin proveedor)",INDEX(tblStock[Proveedor],'91_KPIS'!$T56)))</f>
        <v/>
      </c>
      <c r="D63" s="76" t="str">
        <f>IF($B63="","",INDEX(tblStock[SKU],'91_KPIS'!$T56))</f>
        <v/>
      </c>
      <c r="E63" s="75" t="str">
        <f>IF($B63="","",INDEX(tblStock[Producto],'91_KPIS'!$T56))</f>
        <v/>
      </c>
      <c r="F63" s="76" t="str">
        <f>IF($B63="","",INDEX(tblStock[Unidad],'91_KPIS'!$T56))</f>
        <v/>
      </c>
      <c r="G63" s="77" t="str">
        <f>IF($B63="","",INDEX(tblStock[StockActual],'91_KPIS'!$T56))</f>
        <v/>
      </c>
      <c r="H63" s="78" t="str">
        <f>IF($B63="","",INDEX(tblStock[StockMin],'91_KPIS'!$T56))</f>
        <v/>
      </c>
      <c r="I63" s="78" t="str">
        <f>IF($B63="","",INDEX(tblStock[StockMax],'91_KPIS'!$T56))</f>
        <v/>
      </c>
      <c r="J63" s="79" t="str">
        <f>IF($B63="","",INDEX(tblStock[Estado],'91_KPIS'!$T56))</f>
        <v/>
      </c>
      <c r="K63" s="80" t="str">
        <f t="shared" si="0"/>
        <v/>
      </c>
      <c r="L63" s="81" t="str">
        <f>IF($B63="","",INDEX(tblStock[CostoUnitario],'91_KPIS'!$T56))</f>
        <v/>
      </c>
      <c r="M63" s="82" t="str">
        <f t="shared" si="1"/>
        <v/>
      </c>
    </row>
    <row r="64" spans="2:13" ht="15.75" x14ac:dyDescent="0.25">
      <c r="B64" s="74" t="str">
        <f>IF('91_KPIS'!$T57="","",50)</f>
        <v/>
      </c>
      <c r="C64" s="75" t="str">
        <f>IF($B64="","",IF(INDEX(tblStock[Proveedor],'91_KPIS'!$T57)="","(Sin proveedor)",INDEX(tblStock[Proveedor],'91_KPIS'!$T57)))</f>
        <v/>
      </c>
      <c r="D64" s="76" t="str">
        <f>IF($B64="","",INDEX(tblStock[SKU],'91_KPIS'!$T57))</f>
        <v/>
      </c>
      <c r="E64" s="75" t="str">
        <f>IF($B64="","",INDEX(tblStock[Producto],'91_KPIS'!$T57))</f>
        <v/>
      </c>
      <c r="F64" s="76" t="str">
        <f>IF($B64="","",INDEX(tblStock[Unidad],'91_KPIS'!$T57))</f>
        <v/>
      </c>
      <c r="G64" s="77" t="str">
        <f>IF($B64="","",INDEX(tblStock[StockActual],'91_KPIS'!$T57))</f>
        <v/>
      </c>
      <c r="H64" s="78" t="str">
        <f>IF($B64="","",INDEX(tblStock[StockMin],'91_KPIS'!$T57))</f>
        <v/>
      </c>
      <c r="I64" s="78" t="str">
        <f>IF($B64="","",INDEX(tblStock[StockMax],'91_KPIS'!$T57))</f>
        <v/>
      </c>
      <c r="J64" s="79" t="str">
        <f>IF($B64="","",INDEX(tblStock[Estado],'91_KPIS'!$T57))</f>
        <v/>
      </c>
      <c r="K64" s="80" t="str">
        <f t="shared" si="0"/>
        <v/>
      </c>
      <c r="L64" s="81" t="str">
        <f>IF($B64="","",INDEX(tblStock[CostoUnitario],'91_KPIS'!$T57))</f>
        <v/>
      </c>
      <c r="M64" s="82" t="str">
        <f t="shared" si="1"/>
        <v/>
      </c>
    </row>
    <row r="65" spans="2:13" ht="15.75" x14ac:dyDescent="0.25">
      <c r="B65" s="74" t="str">
        <f>IF('91_KPIS'!$T58="","",51)</f>
        <v/>
      </c>
      <c r="C65" s="75" t="str">
        <f>IF($B65="","",IF(INDEX(tblStock[Proveedor],'91_KPIS'!$T58)="","(Sin proveedor)",INDEX(tblStock[Proveedor],'91_KPIS'!$T58)))</f>
        <v/>
      </c>
      <c r="D65" s="76" t="str">
        <f>IF($B65="","",INDEX(tblStock[SKU],'91_KPIS'!$T58))</f>
        <v/>
      </c>
      <c r="E65" s="75" t="str">
        <f>IF($B65="","",INDEX(tblStock[Producto],'91_KPIS'!$T58))</f>
        <v/>
      </c>
      <c r="F65" s="76" t="str">
        <f>IF($B65="","",INDEX(tblStock[Unidad],'91_KPIS'!$T58))</f>
        <v/>
      </c>
      <c r="G65" s="77" t="str">
        <f>IF($B65="","",INDEX(tblStock[StockActual],'91_KPIS'!$T58))</f>
        <v/>
      </c>
      <c r="H65" s="78" t="str">
        <f>IF($B65="","",INDEX(tblStock[StockMin],'91_KPIS'!$T58))</f>
        <v/>
      </c>
      <c r="I65" s="78" t="str">
        <f>IF($B65="","",INDEX(tblStock[StockMax],'91_KPIS'!$T58))</f>
        <v/>
      </c>
      <c r="J65" s="79" t="str">
        <f>IF($B65="","",INDEX(tblStock[Estado],'91_KPIS'!$T58))</f>
        <v/>
      </c>
      <c r="K65" s="80" t="str">
        <f t="shared" si="0"/>
        <v/>
      </c>
      <c r="L65" s="81" t="str">
        <f>IF($B65="","",INDEX(tblStock[CostoUnitario],'91_KPIS'!$T58))</f>
        <v/>
      </c>
      <c r="M65" s="82" t="str">
        <f t="shared" si="1"/>
        <v/>
      </c>
    </row>
    <row r="66" spans="2:13" ht="15.75" x14ac:dyDescent="0.25">
      <c r="B66" s="74" t="str">
        <f>IF('91_KPIS'!$T59="","",52)</f>
        <v/>
      </c>
      <c r="C66" s="75" t="str">
        <f>IF($B66="","",IF(INDEX(tblStock[Proveedor],'91_KPIS'!$T59)="","(Sin proveedor)",INDEX(tblStock[Proveedor],'91_KPIS'!$T59)))</f>
        <v/>
      </c>
      <c r="D66" s="76" t="str">
        <f>IF($B66="","",INDEX(tblStock[SKU],'91_KPIS'!$T59))</f>
        <v/>
      </c>
      <c r="E66" s="75" t="str">
        <f>IF($B66="","",INDEX(tblStock[Producto],'91_KPIS'!$T59))</f>
        <v/>
      </c>
      <c r="F66" s="76" t="str">
        <f>IF($B66="","",INDEX(tblStock[Unidad],'91_KPIS'!$T59))</f>
        <v/>
      </c>
      <c r="G66" s="77" t="str">
        <f>IF($B66="","",INDEX(tblStock[StockActual],'91_KPIS'!$T59))</f>
        <v/>
      </c>
      <c r="H66" s="78" t="str">
        <f>IF($B66="","",INDEX(tblStock[StockMin],'91_KPIS'!$T59))</f>
        <v/>
      </c>
      <c r="I66" s="78" t="str">
        <f>IF($B66="","",INDEX(tblStock[StockMax],'91_KPIS'!$T59))</f>
        <v/>
      </c>
      <c r="J66" s="79" t="str">
        <f>IF($B66="","",INDEX(tblStock[Estado],'91_KPIS'!$T59))</f>
        <v/>
      </c>
      <c r="K66" s="80" t="str">
        <f t="shared" si="0"/>
        <v/>
      </c>
      <c r="L66" s="81" t="str">
        <f>IF($B66="","",INDEX(tblStock[CostoUnitario],'91_KPIS'!$T59))</f>
        <v/>
      </c>
      <c r="M66" s="82" t="str">
        <f t="shared" si="1"/>
        <v/>
      </c>
    </row>
    <row r="67" spans="2:13" ht="15.75" x14ac:dyDescent="0.25">
      <c r="B67" s="74" t="str">
        <f>IF('91_KPIS'!$T60="","",53)</f>
        <v/>
      </c>
      <c r="C67" s="75" t="str">
        <f>IF($B67="","",IF(INDEX(tblStock[Proveedor],'91_KPIS'!$T60)="","(Sin proveedor)",INDEX(tblStock[Proveedor],'91_KPIS'!$T60)))</f>
        <v/>
      </c>
      <c r="D67" s="76" t="str">
        <f>IF($B67="","",INDEX(tblStock[SKU],'91_KPIS'!$T60))</f>
        <v/>
      </c>
      <c r="E67" s="75" t="str">
        <f>IF($B67="","",INDEX(tblStock[Producto],'91_KPIS'!$T60))</f>
        <v/>
      </c>
      <c r="F67" s="76" t="str">
        <f>IF($B67="","",INDEX(tblStock[Unidad],'91_KPIS'!$T60))</f>
        <v/>
      </c>
      <c r="G67" s="77" t="str">
        <f>IF($B67="","",INDEX(tblStock[StockActual],'91_KPIS'!$T60))</f>
        <v/>
      </c>
      <c r="H67" s="78" t="str">
        <f>IF($B67="","",INDEX(tblStock[StockMin],'91_KPIS'!$T60))</f>
        <v/>
      </c>
      <c r="I67" s="78" t="str">
        <f>IF($B67="","",INDEX(tblStock[StockMax],'91_KPIS'!$T60))</f>
        <v/>
      </c>
      <c r="J67" s="79" t="str">
        <f>IF($B67="","",INDEX(tblStock[Estado],'91_KPIS'!$T60))</f>
        <v/>
      </c>
      <c r="K67" s="80" t="str">
        <f t="shared" si="0"/>
        <v/>
      </c>
      <c r="L67" s="81" t="str">
        <f>IF($B67="","",INDEX(tblStock[CostoUnitario],'91_KPIS'!$T60))</f>
        <v/>
      </c>
      <c r="M67" s="82" t="str">
        <f t="shared" si="1"/>
        <v/>
      </c>
    </row>
    <row r="68" spans="2:13" ht="15.75" x14ac:dyDescent="0.25">
      <c r="B68" s="74" t="str">
        <f>IF('91_KPIS'!$T61="","",54)</f>
        <v/>
      </c>
      <c r="C68" s="75" t="str">
        <f>IF($B68="","",IF(INDEX(tblStock[Proveedor],'91_KPIS'!$T61)="","(Sin proveedor)",INDEX(tblStock[Proveedor],'91_KPIS'!$T61)))</f>
        <v/>
      </c>
      <c r="D68" s="76" t="str">
        <f>IF($B68="","",INDEX(tblStock[SKU],'91_KPIS'!$T61))</f>
        <v/>
      </c>
      <c r="E68" s="75" t="str">
        <f>IF($B68="","",INDEX(tblStock[Producto],'91_KPIS'!$T61))</f>
        <v/>
      </c>
      <c r="F68" s="76" t="str">
        <f>IF($B68="","",INDEX(tblStock[Unidad],'91_KPIS'!$T61))</f>
        <v/>
      </c>
      <c r="G68" s="77" t="str">
        <f>IF($B68="","",INDEX(tblStock[StockActual],'91_KPIS'!$T61))</f>
        <v/>
      </c>
      <c r="H68" s="78" t="str">
        <f>IF($B68="","",INDEX(tblStock[StockMin],'91_KPIS'!$T61))</f>
        <v/>
      </c>
      <c r="I68" s="78" t="str">
        <f>IF($B68="","",INDEX(tblStock[StockMax],'91_KPIS'!$T61))</f>
        <v/>
      </c>
      <c r="J68" s="79" t="str">
        <f>IF($B68="","",INDEX(tblStock[Estado],'91_KPIS'!$T61))</f>
        <v/>
      </c>
      <c r="K68" s="80" t="str">
        <f t="shared" si="0"/>
        <v/>
      </c>
      <c r="L68" s="81" t="str">
        <f>IF($B68="","",INDEX(tblStock[CostoUnitario],'91_KPIS'!$T61))</f>
        <v/>
      </c>
      <c r="M68" s="82" t="str">
        <f t="shared" si="1"/>
        <v/>
      </c>
    </row>
    <row r="69" spans="2:13" ht="15.75" x14ac:dyDescent="0.25">
      <c r="B69" s="74" t="str">
        <f>IF('91_KPIS'!$T62="","",55)</f>
        <v/>
      </c>
      <c r="C69" s="75" t="str">
        <f>IF($B69="","",IF(INDEX(tblStock[Proveedor],'91_KPIS'!$T62)="","(Sin proveedor)",INDEX(tblStock[Proveedor],'91_KPIS'!$T62)))</f>
        <v/>
      </c>
      <c r="D69" s="76" t="str">
        <f>IF($B69="","",INDEX(tblStock[SKU],'91_KPIS'!$T62))</f>
        <v/>
      </c>
      <c r="E69" s="75" t="str">
        <f>IF($B69="","",INDEX(tblStock[Producto],'91_KPIS'!$T62))</f>
        <v/>
      </c>
      <c r="F69" s="76" t="str">
        <f>IF($B69="","",INDEX(tblStock[Unidad],'91_KPIS'!$T62))</f>
        <v/>
      </c>
      <c r="G69" s="77" t="str">
        <f>IF($B69="","",INDEX(tblStock[StockActual],'91_KPIS'!$T62))</f>
        <v/>
      </c>
      <c r="H69" s="78" t="str">
        <f>IF($B69="","",INDEX(tblStock[StockMin],'91_KPIS'!$T62))</f>
        <v/>
      </c>
      <c r="I69" s="78" t="str">
        <f>IF($B69="","",INDEX(tblStock[StockMax],'91_KPIS'!$T62))</f>
        <v/>
      </c>
      <c r="J69" s="79" t="str">
        <f>IF($B69="","",INDEX(tblStock[Estado],'91_KPIS'!$T62))</f>
        <v/>
      </c>
      <c r="K69" s="80" t="str">
        <f t="shared" si="0"/>
        <v/>
      </c>
      <c r="L69" s="81" t="str">
        <f>IF($B69="","",INDEX(tblStock[CostoUnitario],'91_KPIS'!$T62))</f>
        <v/>
      </c>
      <c r="M69" s="82" t="str">
        <f t="shared" si="1"/>
        <v/>
      </c>
    </row>
    <row r="70" spans="2:13" ht="15.75" x14ac:dyDescent="0.25">
      <c r="B70" s="74" t="str">
        <f>IF('91_KPIS'!$T63="","",56)</f>
        <v/>
      </c>
      <c r="C70" s="75" t="str">
        <f>IF($B70="","",IF(INDEX(tblStock[Proveedor],'91_KPIS'!$T63)="","(Sin proveedor)",INDEX(tblStock[Proveedor],'91_KPIS'!$T63)))</f>
        <v/>
      </c>
      <c r="D70" s="76" t="str">
        <f>IF($B70="","",INDEX(tblStock[SKU],'91_KPIS'!$T63))</f>
        <v/>
      </c>
      <c r="E70" s="75" t="str">
        <f>IF($B70="","",INDEX(tblStock[Producto],'91_KPIS'!$T63))</f>
        <v/>
      </c>
      <c r="F70" s="76" t="str">
        <f>IF($B70="","",INDEX(tblStock[Unidad],'91_KPIS'!$T63))</f>
        <v/>
      </c>
      <c r="G70" s="77" t="str">
        <f>IF($B70="","",INDEX(tblStock[StockActual],'91_KPIS'!$T63))</f>
        <v/>
      </c>
      <c r="H70" s="78" t="str">
        <f>IF($B70="","",INDEX(tblStock[StockMin],'91_KPIS'!$T63))</f>
        <v/>
      </c>
      <c r="I70" s="78" t="str">
        <f>IF($B70="","",INDEX(tblStock[StockMax],'91_KPIS'!$T63))</f>
        <v/>
      </c>
      <c r="J70" s="79" t="str">
        <f>IF($B70="","",INDEX(tblStock[Estado],'91_KPIS'!$T63))</f>
        <v/>
      </c>
      <c r="K70" s="80" t="str">
        <f t="shared" si="0"/>
        <v/>
      </c>
      <c r="L70" s="81" t="str">
        <f>IF($B70="","",INDEX(tblStock[CostoUnitario],'91_KPIS'!$T63))</f>
        <v/>
      </c>
      <c r="M70" s="82" t="str">
        <f t="shared" si="1"/>
        <v/>
      </c>
    </row>
    <row r="71" spans="2:13" ht="15.75" x14ac:dyDescent="0.25">
      <c r="B71" s="74" t="str">
        <f>IF('91_KPIS'!$T64="","",57)</f>
        <v/>
      </c>
      <c r="C71" s="75" t="str">
        <f>IF($B71="","",IF(INDEX(tblStock[Proveedor],'91_KPIS'!$T64)="","(Sin proveedor)",INDEX(tblStock[Proveedor],'91_KPIS'!$T64)))</f>
        <v/>
      </c>
      <c r="D71" s="76" t="str">
        <f>IF($B71="","",INDEX(tblStock[SKU],'91_KPIS'!$T64))</f>
        <v/>
      </c>
      <c r="E71" s="75" t="str">
        <f>IF($B71="","",INDEX(tblStock[Producto],'91_KPIS'!$T64))</f>
        <v/>
      </c>
      <c r="F71" s="76" t="str">
        <f>IF($B71="","",INDEX(tblStock[Unidad],'91_KPIS'!$T64))</f>
        <v/>
      </c>
      <c r="G71" s="77" t="str">
        <f>IF($B71="","",INDEX(tblStock[StockActual],'91_KPIS'!$T64))</f>
        <v/>
      </c>
      <c r="H71" s="78" t="str">
        <f>IF($B71="","",INDEX(tblStock[StockMin],'91_KPIS'!$T64))</f>
        <v/>
      </c>
      <c r="I71" s="78" t="str">
        <f>IF($B71="","",INDEX(tblStock[StockMax],'91_KPIS'!$T64))</f>
        <v/>
      </c>
      <c r="J71" s="79" t="str">
        <f>IF($B71="","",INDEX(tblStock[Estado],'91_KPIS'!$T64))</f>
        <v/>
      </c>
      <c r="K71" s="80" t="str">
        <f t="shared" si="0"/>
        <v/>
      </c>
      <c r="L71" s="81" t="str">
        <f>IF($B71="","",INDEX(tblStock[CostoUnitario],'91_KPIS'!$T64))</f>
        <v/>
      </c>
      <c r="M71" s="82" t="str">
        <f t="shared" si="1"/>
        <v/>
      </c>
    </row>
    <row r="72" spans="2:13" ht="15.75" x14ac:dyDescent="0.25">
      <c r="B72" s="74" t="str">
        <f>IF('91_KPIS'!$T65="","",58)</f>
        <v/>
      </c>
      <c r="C72" s="75" t="str">
        <f>IF($B72="","",IF(INDEX(tblStock[Proveedor],'91_KPIS'!$T65)="","(Sin proveedor)",INDEX(tblStock[Proveedor],'91_KPIS'!$T65)))</f>
        <v/>
      </c>
      <c r="D72" s="76" t="str">
        <f>IF($B72="","",INDEX(tblStock[SKU],'91_KPIS'!$T65))</f>
        <v/>
      </c>
      <c r="E72" s="75" t="str">
        <f>IF($B72="","",INDEX(tblStock[Producto],'91_KPIS'!$T65))</f>
        <v/>
      </c>
      <c r="F72" s="76" t="str">
        <f>IF($B72="","",INDEX(tblStock[Unidad],'91_KPIS'!$T65))</f>
        <v/>
      </c>
      <c r="G72" s="77" t="str">
        <f>IF($B72="","",INDEX(tblStock[StockActual],'91_KPIS'!$T65))</f>
        <v/>
      </c>
      <c r="H72" s="78" t="str">
        <f>IF($B72="","",INDEX(tblStock[StockMin],'91_KPIS'!$T65))</f>
        <v/>
      </c>
      <c r="I72" s="78" t="str">
        <f>IF($B72="","",INDEX(tblStock[StockMax],'91_KPIS'!$T65))</f>
        <v/>
      </c>
      <c r="J72" s="79" t="str">
        <f>IF($B72="","",INDEX(tblStock[Estado],'91_KPIS'!$T65))</f>
        <v/>
      </c>
      <c r="K72" s="80" t="str">
        <f t="shared" si="0"/>
        <v/>
      </c>
      <c r="L72" s="81" t="str">
        <f>IF($B72="","",INDEX(tblStock[CostoUnitario],'91_KPIS'!$T65))</f>
        <v/>
      </c>
      <c r="M72" s="82" t="str">
        <f t="shared" si="1"/>
        <v/>
      </c>
    </row>
    <row r="73" spans="2:13" ht="15.75" x14ac:dyDescent="0.25">
      <c r="B73" s="74" t="str">
        <f>IF('91_KPIS'!$T66="","",59)</f>
        <v/>
      </c>
      <c r="C73" s="75" t="str">
        <f>IF($B73="","",IF(INDEX(tblStock[Proveedor],'91_KPIS'!$T66)="","(Sin proveedor)",INDEX(tblStock[Proveedor],'91_KPIS'!$T66)))</f>
        <v/>
      </c>
      <c r="D73" s="76" t="str">
        <f>IF($B73="","",INDEX(tblStock[SKU],'91_KPIS'!$T66))</f>
        <v/>
      </c>
      <c r="E73" s="75" t="str">
        <f>IF($B73="","",INDEX(tblStock[Producto],'91_KPIS'!$T66))</f>
        <v/>
      </c>
      <c r="F73" s="76" t="str">
        <f>IF($B73="","",INDEX(tblStock[Unidad],'91_KPIS'!$T66))</f>
        <v/>
      </c>
      <c r="G73" s="77" t="str">
        <f>IF($B73="","",INDEX(tblStock[StockActual],'91_KPIS'!$T66))</f>
        <v/>
      </c>
      <c r="H73" s="78" t="str">
        <f>IF($B73="","",INDEX(tblStock[StockMin],'91_KPIS'!$T66))</f>
        <v/>
      </c>
      <c r="I73" s="78" t="str">
        <f>IF($B73="","",INDEX(tblStock[StockMax],'91_KPIS'!$T66))</f>
        <v/>
      </c>
      <c r="J73" s="79" t="str">
        <f>IF($B73="","",INDEX(tblStock[Estado],'91_KPIS'!$T66))</f>
        <v/>
      </c>
      <c r="K73" s="80" t="str">
        <f t="shared" si="0"/>
        <v/>
      </c>
      <c r="L73" s="81" t="str">
        <f>IF($B73="","",INDEX(tblStock[CostoUnitario],'91_KPIS'!$T66))</f>
        <v/>
      </c>
      <c r="M73" s="82" t="str">
        <f t="shared" si="1"/>
        <v/>
      </c>
    </row>
    <row r="74" spans="2:13" ht="15.75" x14ac:dyDescent="0.25">
      <c r="B74" s="74" t="str">
        <f>IF('91_KPIS'!$T67="","",60)</f>
        <v/>
      </c>
      <c r="C74" s="75" t="str">
        <f>IF($B74="","",IF(INDEX(tblStock[Proveedor],'91_KPIS'!$T67)="","(Sin proveedor)",INDEX(tblStock[Proveedor],'91_KPIS'!$T67)))</f>
        <v/>
      </c>
      <c r="D74" s="76" t="str">
        <f>IF($B74="","",INDEX(tblStock[SKU],'91_KPIS'!$T67))</f>
        <v/>
      </c>
      <c r="E74" s="75" t="str">
        <f>IF($B74="","",INDEX(tblStock[Producto],'91_KPIS'!$T67))</f>
        <v/>
      </c>
      <c r="F74" s="76" t="str">
        <f>IF($B74="","",INDEX(tblStock[Unidad],'91_KPIS'!$T67))</f>
        <v/>
      </c>
      <c r="G74" s="77" t="str">
        <f>IF($B74="","",INDEX(tblStock[StockActual],'91_KPIS'!$T67))</f>
        <v/>
      </c>
      <c r="H74" s="78" t="str">
        <f>IF($B74="","",INDEX(tblStock[StockMin],'91_KPIS'!$T67))</f>
        <v/>
      </c>
      <c r="I74" s="78" t="str">
        <f>IF($B74="","",INDEX(tblStock[StockMax],'91_KPIS'!$T67))</f>
        <v/>
      </c>
      <c r="J74" s="79" t="str">
        <f>IF($B74="","",INDEX(tblStock[Estado],'91_KPIS'!$T67))</f>
        <v/>
      </c>
      <c r="K74" s="80" t="str">
        <f t="shared" si="0"/>
        <v/>
      </c>
      <c r="L74" s="81" t="str">
        <f>IF($B74="","",INDEX(tblStock[CostoUnitario],'91_KPIS'!$T67))</f>
        <v/>
      </c>
      <c r="M74" s="82" t="str">
        <f t="shared" si="1"/>
        <v/>
      </c>
    </row>
    <row r="75" spans="2:13" ht="15.75" x14ac:dyDescent="0.25">
      <c r="B75" s="74" t="str">
        <f>IF('91_KPIS'!$T68="","",61)</f>
        <v/>
      </c>
      <c r="C75" s="75" t="str">
        <f>IF($B75="","",IF(INDEX(tblStock[Proveedor],'91_KPIS'!$T68)="","(Sin proveedor)",INDEX(tblStock[Proveedor],'91_KPIS'!$T68)))</f>
        <v/>
      </c>
      <c r="D75" s="76" t="str">
        <f>IF($B75="","",INDEX(tblStock[SKU],'91_KPIS'!$T68))</f>
        <v/>
      </c>
      <c r="E75" s="75" t="str">
        <f>IF($B75="","",INDEX(tblStock[Producto],'91_KPIS'!$T68))</f>
        <v/>
      </c>
      <c r="F75" s="76" t="str">
        <f>IF($B75="","",INDEX(tblStock[Unidad],'91_KPIS'!$T68))</f>
        <v/>
      </c>
      <c r="G75" s="77" t="str">
        <f>IF($B75="","",INDEX(tblStock[StockActual],'91_KPIS'!$T68))</f>
        <v/>
      </c>
      <c r="H75" s="78" t="str">
        <f>IF($B75="","",INDEX(tblStock[StockMin],'91_KPIS'!$T68))</f>
        <v/>
      </c>
      <c r="I75" s="78" t="str">
        <f>IF($B75="","",INDEX(tblStock[StockMax],'91_KPIS'!$T68))</f>
        <v/>
      </c>
      <c r="J75" s="79" t="str">
        <f>IF($B75="","",INDEX(tblStock[Estado],'91_KPIS'!$T68))</f>
        <v/>
      </c>
      <c r="K75" s="80" t="str">
        <f t="shared" si="0"/>
        <v/>
      </c>
      <c r="L75" s="81" t="str">
        <f>IF($B75="","",INDEX(tblStock[CostoUnitario],'91_KPIS'!$T68))</f>
        <v/>
      </c>
      <c r="M75" s="82" t="str">
        <f t="shared" si="1"/>
        <v/>
      </c>
    </row>
    <row r="76" spans="2:13" ht="15.75" x14ac:dyDescent="0.25">
      <c r="B76" s="74" t="str">
        <f>IF('91_KPIS'!$T69="","",62)</f>
        <v/>
      </c>
      <c r="C76" s="75" t="str">
        <f>IF($B76="","",IF(INDEX(tblStock[Proveedor],'91_KPIS'!$T69)="","(Sin proveedor)",INDEX(tblStock[Proveedor],'91_KPIS'!$T69)))</f>
        <v/>
      </c>
      <c r="D76" s="76" t="str">
        <f>IF($B76="","",INDEX(tblStock[SKU],'91_KPIS'!$T69))</f>
        <v/>
      </c>
      <c r="E76" s="75" t="str">
        <f>IF($B76="","",INDEX(tblStock[Producto],'91_KPIS'!$T69))</f>
        <v/>
      </c>
      <c r="F76" s="76" t="str">
        <f>IF($B76="","",INDEX(tblStock[Unidad],'91_KPIS'!$T69))</f>
        <v/>
      </c>
      <c r="G76" s="77" t="str">
        <f>IF($B76="","",INDEX(tblStock[StockActual],'91_KPIS'!$T69))</f>
        <v/>
      </c>
      <c r="H76" s="78" t="str">
        <f>IF($B76="","",INDEX(tblStock[StockMin],'91_KPIS'!$T69))</f>
        <v/>
      </c>
      <c r="I76" s="78" t="str">
        <f>IF($B76="","",INDEX(tblStock[StockMax],'91_KPIS'!$T69))</f>
        <v/>
      </c>
      <c r="J76" s="79" t="str">
        <f>IF($B76="","",INDEX(tblStock[Estado],'91_KPIS'!$T69))</f>
        <v/>
      </c>
      <c r="K76" s="80" t="str">
        <f t="shared" si="0"/>
        <v/>
      </c>
      <c r="L76" s="81" t="str">
        <f>IF($B76="","",INDEX(tblStock[CostoUnitario],'91_KPIS'!$T69))</f>
        <v/>
      </c>
      <c r="M76" s="82" t="str">
        <f t="shared" si="1"/>
        <v/>
      </c>
    </row>
    <row r="77" spans="2:13" ht="15.75" x14ac:dyDescent="0.25">
      <c r="B77" s="74" t="str">
        <f>IF('91_KPIS'!$T70="","",63)</f>
        <v/>
      </c>
      <c r="C77" s="75" t="str">
        <f>IF($B77="","",IF(INDEX(tblStock[Proveedor],'91_KPIS'!$T70)="","(Sin proveedor)",INDEX(tblStock[Proveedor],'91_KPIS'!$T70)))</f>
        <v/>
      </c>
      <c r="D77" s="76" t="str">
        <f>IF($B77="","",INDEX(tblStock[SKU],'91_KPIS'!$T70))</f>
        <v/>
      </c>
      <c r="E77" s="75" t="str">
        <f>IF($B77="","",INDEX(tblStock[Producto],'91_KPIS'!$T70))</f>
        <v/>
      </c>
      <c r="F77" s="76" t="str">
        <f>IF($B77="","",INDEX(tblStock[Unidad],'91_KPIS'!$T70))</f>
        <v/>
      </c>
      <c r="G77" s="77" t="str">
        <f>IF($B77="","",INDEX(tblStock[StockActual],'91_KPIS'!$T70))</f>
        <v/>
      </c>
      <c r="H77" s="78" t="str">
        <f>IF($B77="","",INDEX(tblStock[StockMin],'91_KPIS'!$T70))</f>
        <v/>
      </c>
      <c r="I77" s="78" t="str">
        <f>IF($B77="","",INDEX(tblStock[StockMax],'91_KPIS'!$T70))</f>
        <v/>
      </c>
      <c r="J77" s="79" t="str">
        <f>IF($B77="","",INDEX(tblStock[Estado],'91_KPIS'!$T70))</f>
        <v/>
      </c>
      <c r="K77" s="80" t="str">
        <f t="shared" si="0"/>
        <v/>
      </c>
      <c r="L77" s="81" t="str">
        <f>IF($B77="","",INDEX(tblStock[CostoUnitario],'91_KPIS'!$T70))</f>
        <v/>
      </c>
      <c r="M77" s="82" t="str">
        <f t="shared" si="1"/>
        <v/>
      </c>
    </row>
    <row r="78" spans="2:13" ht="15.75" x14ac:dyDescent="0.25">
      <c r="B78" s="74" t="str">
        <f>IF('91_KPIS'!$T71="","",64)</f>
        <v/>
      </c>
      <c r="C78" s="75" t="str">
        <f>IF($B78="","",IF(INDEX(tblStock[Proveedor],'91_KPIS'!$T71)="","(Sin proveedor)",INDEX(tblStock[Proveedor],'91_KPIS'!$T71)))</f>
        <v/>
      </c>
      <c r="D78" s="76" t="str">
        <f>IF($B78="","",INDEX(tblStock[SKU],'91_KPIS'!$T71))</f>
        <v/>
      </c>
      <c r="E78" s="75" t="str">
        <f>IF($B78="","",INDEX(tblStock[Producto],'91_KPIS'!$T71))</f>
        <v/>
      </c>
      <c r="F78" s="76" t="str">
        <f>IF($B78="","",INDEX(tblStock[Unidad],'91_KPIS'!$T71))</f>
        <v/>
      </c>
      <c r="G78" s="77" t="str">
        <f>IF($B78="","",INDEX(tblStock[StockActual],'91_KPIS'!$T71))</f>
        <v/>
      </c>
      <c r="H78" s="78" t="str">
        <f>IF($B78="","",INDEX(tblStock[StockMin],'91_KPIS'!$T71))</f>
        <v/>
      </c>
      <c r="I78" s="78" t="str">
        <f>IF($B78="","",INDEX(tblStock[StockMax],'91_KPIS'!$T71))</f>
        <v/>
      </c>
      <c r="J78" s="79" t="str">
        <f>IF($B78="","",INDEX(tblStock[Estado],'91_KPIS'!$T71))</f>
        <v/>
      </c>
      <c r="K78" s="80" t="str">
        <f t="shared" si="0"/>
        <v/>
      </c>
      <c r="L78" s="81" t="str">
        <f>IF($B78="","",INDEX(tblStock[CostoUnitario],'91_KPIS'!$T71))</f>
        <v/>
      </c>
      <c r="M78" s="82" t="str">
        <f t="shared" si="1"/>
        <v/>
      </c>
    </row>
    <row r="79" spans="2:13" ht="15.75" x14ac:dyDescent="0.25">
      <c r="B79" s="74" t="str">
        <f>IF('91_KPIS'!$T72="","",65)</f>
        <v/>
      </c>
      <c r="C79" s="75" t="str">
        <f>IF($B79="","",IF(INDEX(tblStock[Proveedor],'91_KPIS'!$T72)="","(Sin proveedor)",INDEX(tblStock[Proveedor],'91_KPIS'!$T72)))</f>
        <v/>
      </c>
      <c r="D79" s="76" t="str">
        <f>IF($B79="","",INDEX(tblStock[SKU],'91_KPIS'!$T72))</f>
        <v/>
      </c>
      <c r="E79" s="75" t="str">
        <f>IF($B79="","",INDEX(tblStock[Producto],'91_KPIS'!$T72))</f>
        <v/>
      </c>
      <c r="F79" s="76" t="str">
        <f>IF($B79="","",INDEX(tblStock[Unidad],'91_KPIS'!$T72))</f>
        <v/>
      </c>
      <c r="G79" s="77" t="str">
        <f>IF($B79="","",INDEX(tblStock[StockActual],'91_KPIS'!$T72))</f>
        <v/>
      </c>
      <c r="H79" s="78" t="str">
        <f>IF($B79="","",INDEX(tblStock[StockMin],'91_KPIS'!$T72))</f>
        <v/>
      </c>
      <c r="I79" s="78" t="str">
        <f>IF($B79="","",INDEX(tblStock[StockMax],'91_KPIS'!$T72))</f>
        <v/>
      </c>
      <c r="J79" s="79" t="str">
        <f>IF($B79="","",INDEX(tblStock[Estado],'91_KPIS'!$T72))</f>
        <v/>
      </c>
      <c r="K79" s="80" t="str">
        <f t="shared" ref="K79:K142" si="2">IF($B79="","",MAX(0,IF($I79&gt;0,$I79,2*$H79)-MAX(0,$G79)))</f>
        <v/>
      </c>
      <c r="L79" s="81" t="str">
        <f>IF($B79="","",INDEX(tblStock[CostoUnitario],'91_KPIS'!$T72))</f>
        <v/>
      </c>
      <c r="M79" s="82" t="str">
        <f t="shared" ref="M79:M142" si="3">IF($B79="","",$K79*$L79)</f>
        <v/>
      </c>
    </row>
    <row r="80" spans="2:13" ht="15.75" x14ac:dyDescent="0.25">
      <c r="B80" s="74" t="str">
        <f>IF('91_KPIS'!$T73="","",66)</f>
        <v/>
      </c>
      <c r="C80" s="75" t="str">
        <f>IF($B80="","",IF(INDEX(tblStock[Proveedor],'91_KPIS'!$T73)="","(Sin proveedor)",INDEX(tblStock[Proveedor],'91_KPIS'!$T73)))</f>
        <v/>
      </c>
      <c r="D80" s="76" t="str">
        <f>IF($B80="","",INDEX(tblStock[SKU],'91_KPIS'!$T73))</f>
        <v/>
      </c>
      <c r="E80" s="75" t="str">
        <f>IF($B80="","",INDEX(tblStock[Producto],'91_KPIS'!$T73))</f>
        <v/>
      </c>
      <c r="F80" s="76" t="str">
        <f>IF($B80="","",INDEX(tblStock[Unidad],'91_KPIS'!$T73))</f>
        <v/>
      </c>
      <c r="G80" s="77" t="str">
        <f>IF($B80="","",INDEX(tblStock[StockActual],'91_KPIS'!$T73))</f>
        <v/>
      </c>
      <c r="H80" s="78" t="str">
        <f>IF($B80="","",INDEX(tblStock[StockMin],'91_KPIS'!$T73))</f>
        <v/>
      </c>
      <c r="I80" s="78" t="str">
        <f>IF($B80="","",INDEX(tblStock[StockMax],'91_KPIS'!$T73))</f>
        <v/>
      </c>
      <c r="J80" s="79" t="str">
        <f>IF($B80="","",INDEX(tblStock[Estado],'91_KPIS'!$T73))</f>
        <v/>
      </c>
      <c r="K80" s="80" t="str">
        <f t="shared" si="2"/>
        <v/>
      </c>
      <c r="L80" s="81" t="str">
        <f>IF($B80="","",INDEX(tblStock[CostoUnitario],'91_KPIS'!$T73))</f>
        <v/>
      </c>
      <c r="M80" s="82" t="str">
        <f t="shared" si="3"/>
        <v/>
      </c>
    </row>
    <row r="81" spans="2:13" ht="15.75" x14ac:dyDescent="0.25">
      <c r="B81" s="74" t="str">
        <f>IF('91_KPIS'!$T74="","",67)</f>
        <v/>
      </c>
      <c r="C81" s="75" t="str">
        <f>IF($B81="","",IF(INDEX(tblStock[Proveedor],'91_KPIS'!$T74)="","(Sin proveedor)",INDEX(tblStock[Proveedor],'91_KPIS'!$T74)))</f>
        <v/>
      </c>
      <c r="D81" s="76" t="str">
        <f>IF($B81="","",INDEX(tblStock[SKU],'91_KPIS'!$T74))</f>
        <v/>
      </c>
      <c r="E81" s="75" t="str">
        <f>IF($B81="","",INDEX(tblStock[Producto],'91_KPIS'!$T74))</f>
        <v/>
      </c>
      <c r="F81" s="76" t="str">
        <f>IF($B81="","",INDEX(tblStock[Unidad],'91_KPIS'!$T74))</f>
        <v/>
      </c>
      <c r="G81" s="77" t="str">
        <f>IF($B81="","",INDEX(tblStock[StockActual],'91_KPIS'!$T74))</f>
        <v/>
      </c>
      <c r="H81" s="78" t="str">
        <f>IF($B81="","",INDEX(tblStock[StockMin],'91_KPIS'!$T74))</f>
        <v/>
      </c>
      <c r="I81" s="78" t="str">
        <f>IF($B81="","",INDEX(tblStock[StockMax],'91_KPIS'!$T74))</f>
        <v/>
      </c>
      <c r="J81" s="79" t="str">
        <f>IF($B81="","",INDEX(tblStock[Estado],'91_KPIS'!$T74))</f>
        <v/>
      </c>
      <c r="K81" s="80" t="str">
        <f t="shared" si="2"/>
        <v/>
      </c>
      <c r="L81" s="81" t="str">
        <f>IF($B81="","",INDEX(tblStock[CostoUnitario],'91_KPIS'!$T74))</f>
        <v/>
      </c>
      <c r="M81" s="82" t="str">
        <f t="shared" si="3"/>
        <v/>
      </c>
    </row>
    <row r="82" spans="2:13" ht="15.75" x14ac:dyDescent="0.25">
      <c r="B82" s="74" t="str">
        <f>IF('91_KPIS'!$T75="","",68)</f>
        <v/>
      </c>
      <c r="C82" s="75" t="str">
        <f>IF($B82="","",IF(INDEX(tblStock[Proveedor],'91_KPIS'!$T75)="","(Sin proveedor)",INDEX(tblStock[Proveedor],'91_KPIS'!$T75)))</f>
        <v/>
      </c>
      <c r="D82" s="76" t="str">
        <f>IF($B82="","",INDEX(tblStock[SKU],'91_KPIS'!$T75))</f>
        <v/>
      </c>
      <c r="E82" s="75" t="str">
        <f>IF($B82="","",INDEX(tblStock[Producto],'91_KPIS'!$T75))</f>
        <v/>
      </c>
      <c r="F82" s="76" t="str">
        <f>IF($B82="","",INDEX(tblStock[Unidad],'91_KPIS'!$T75))</f>
        <v/>
      </c>
      <c r="G82" s="77" t="str">
        <f>IF($B82="","",INDEX(tblStock[StockActual],'91_KPIS'!$T75))</f>
        <v/>
      </c>
      <c r="H82" s="78" t="str">
        <f>IF($B82="","",INDEX(tblStock[StockMin],'91_KPIS'!$T75))</f>
        <v/>
      </c>
      <c r="I82" s="78" t="str">
        <f>IF($B82="","",INDEX(tblStock[StockMax],'91_KPIS'!$T75))</f>
        <v/>
      </c>
      <c r="J82" s="79" t="str">
        <f>IF($B82="","",INDEX(tblStock[Estado],'91_KPIS'!$T75))</f>
        <v/>
      </c>
      <c r="K82" s="80" t="str">
        <f t="shared" si="2"/>
        <v/>
      </c>
      <c r="L82" s="81" t="str">
        <f>IF($B82="","",INDEX(tblStock[CostoUnitario],'91_KPIS'!$T75))</f>
        <v/>
      </c>
      <c r="M82" s="82" t="str">
        <f t="shared" si="3"/>
        <v/>
      </c>
    </row>
    <row r="83" spans="2:13" ht="15.75" x14ac:dyDescent="0.25">
      <c r="B83" s="74" t="str">
        <f>IF('91_KPIS'!$T76="","",69)</f>
        <v/>
      </c>
      <c r="C83" s="75" t="str">
        <f>IF($B83="","",IF(INDEX(tblStock[Proveedor],'91_KPIS'!$T76)="","(Sin proveedor)",INDEX(tblStock[Proveedor],'91_KPIS'!$T76)))</f>
        <v/>
      </c>
      <c r="D83" s="76" t="str">
        <f>IF($B83="","",INDEX(tblStock[SKU],'91_KPIS'!$T76))</f>
        <v/>
      </c>
      <c r="E83" s="75" t="str">
        <f>IF($B83="","",INDEX(tblStock[Producto],'91_KPIS'!$T76))</f>
        <v/>
      </c>
      <c r="F83" s="76" t="str">
        <f>IF($B83="","",INDEX(tblStock[Unidad],'91_KPIS'!$T76))</f>
        <v/>
      </c>
      <c r="G83" s="77" t="str">
        <f>IF($B83="","",INDEX(tblStock[StockActual],'91_KPIS'!$T76))</f>
        <v/>
      </c>
      <c r="H83" s="78" t="str">
        <f>IF($B83="","",INDEX(tblStock[StockMin],'91_KPIS'!$T76))</f>
        <v/>
      </c>
      <c r="I83" s="78" t="str">
        <f>IF($B83="","",INDEX(tblStock[StockMax],'91_KPIS'!$T76))</f>
        <v/>
      </c>
      <c r="J83" s="79" t="str">
        <f>IF($B83="","",INDEX(tblStock[Estado],'91_KPIS'!$T76))</f>
        <v/>
      </c>
      <c r="K83" s="80" t="str">
        <f t="shared" si="2"/>
        <v/>
      </c>
      <c r="L83" s="81" t="str">
        <f>IF($B83="","",INDEX(tblStock[CostoUnitario],'91_KPIS'!$T76))</f>
        <v/>
      </c>
      <c r="M83" s="82" t="str">
        <f t="shared" si="3"/>
        <v/>
      </c>
    </row>
    <row r="84" spans="2:13" ht="15.75" x14ac:dyDescent="0.25">
      <c r="B84" s="74" t="str">
        <f>IF('91_KPIS'!$T77="","",70)</f>
        <v/>
      </c>
      <c r="C84" s="75" t="str">
        <f>IF($B84="","",IF(INDEX(tblStock[Proveedor],'91_KPIS'!$T77)="","(Sin proveedor)",INDEX(tblStock[Proveedor],'91_KPIS'!$T77)))</f>
        <v/>
      </c>
      <c r="D84" s="76" t="str">
        <f>IF($B84="","",INDEX(tblStock[SKU],'91_KPIS'!$T77))</f>
        <v/>
      </c>
      <c r="E84" s="75" t="str">
        <f>IF($B84="","",INDEX(tblStock[Producto],'91_KPIS'!$T77))</f>
        <v/>
      </c>
      <c r="F84" s="76" t="str">
        <f>IF($B84="","",INDEX(tblStock[Unidad],'91_KPIS'!$T77))</f>
        <v/>
      </c>
      <c r="G84" s="77" t="str">
        <f>IF($B84="","",INDEX(tblStock[StockActual],'91_KPIS'!$T77))</f>
        <v/>
      </c>
      <c r="H84" s="78" t="str">
        <f>IF($B84="","",INDEX(tblStock[StockMin],'91_KPIS'!$T77))</f>
        <v/>
      </c>
      <c r="I84" s="78" t="str">
        <f>IF($B84="","",INDEX(tblStock[StockMax],'91_KPIS'!$T77))</f>
        <v/>
      </c>
      <c r="J84" s="79" t="str">
        <f>IF($B84="","",INDEX(tblStock[Estado],'91_KPIS'!$T77))</f>
        <v/>
      </c>
      <c r="K84" s="80" t="str">
        <f t="shared" si="2"/>
        <v/>
      </c>
      <c r="L84" s="81" t="str">
        <f>IF($B84="","",INDEX(tblStock[CostoUnitario],'91_KPIS'!$T77))</f>
        <v/>
      </c>
      <c r="M84" s="82" t="str">
        <f t="shared" si="3"/>
        <v/>
      </c>
    </row>
    <row r="85" spans="2:13" ht="15.75" x14ac:dyDescent="0.25">
      <c r="B85" s="74" t="str">
        <f>IF('91_KPIS'!$T78="","",71)</f>
        <v/>
      </c>
      <c r="C85" s="75" t="str">
        <f>IF($B85="","",IF(INDEX(tblStock[Proveedor],'91_KPIS'!$T78)="","(Sin proveedor)",INDEX(tblStock[Proveedor],'91_KPIS'!$T78)))</f>
        <v/>
      </c>
      <c r="D85" s="76" t="str">
        <f>IF($B85="","",INDEX(tblStock[SKU],'91_KPIS'!$T78))</f>
        <v/>
      </c>
      <c r="E85" s="75" t="str">
        <f>IF($B85="","",INDEX(tblStock[Producto],'91_KPIS'!$T78))</f>
        <v/>
      </c>
      <c r="F85" s="76" t="str">
        <f>IF($B85="","",INDEX(tblStock[Unidad],'91_KPIS'!$T78))</f>
        <v/>
      </c>
      <c r="G85" s="77" t="str">
        <f>IF($B85="","",INDEX(tblStock[StockActual],'91_KPIS'!$T78))</f>
        <v/>
      </c>
      <c r="H85" s="78" t="str">
        <f>IF($B85="","",INDEX(tblStock[StockMin],'91_KPIS'!$T78))</f>
        <v/>
      </c>
      <c r="I85" s="78" t="str">
        <f>IF($B85="","",INDEX(tblStock[StockMax],'91_KPIS'!$T78))</f>
        <v/>
      </c>
      <c r="J85" s="79" t="str">
        <f>IF($B85="","",INDEX(tblStock[Estado],'91_KPIS'!$T78))</f>
        <v/>
      </c>
      <c r="K85" s="80" t="str">
        <f t="shared" si="2"/>
        <v/>
      </c>
      <c r="L85" s="81" t="str">
        <f>IF($B85="","",INDEX(tblStock[CostoUnitario],'91_KPIS'!$T78))</f>
        <v/>
      </c>
      <c r="M85" s="82" t="str">
        <f t="shared" si="3"/>
        <v/>
      </c>
    </row>
    <row r="86" spans="2:13" ht="15.75" x14ac:dyDescent="0.25">
      <c r="B86" s="74" t="str">
        <f>IF('91_KPIS'!$T79="","",72)</f>
        <v/>
      </c>
      <c r="C86" s="75" t="str">
        <f>IF($B86="","",IF(INDEX(tblStock[Proveedor],'91_KPIS'!$T79)="","(Sin proveedor)",INDEX(tblStock[Proveedor],'91_KPIS'!$T79)))</f>
        <v/>
      </c>
      <c r="D86" s="76" t="str">
        <f>IF($B86="","",INDEX(tblStock[SKU],'91_KPIS'!$T79))</f>
        <v/>
      </c>
      <c r="E86" s="75" t="str">
        <f>IF($B86="","",INDEX(tblStock[Producto],'91_KPIS'!$T79))</f>
        <v/>
      </c>
      <c r="F86" s="76" t="str">
        <f>IF($B86="","",INDEX(tblStock[Unidad],'91_KPIS'!$T79))</f>
        <v/>
      </c>
      <c r="G86" s="77" t="str">
        <f>IF($B86="","",INDEX(tblStock[StockActual],'91_KPIS'!$T79))</f>
        <v/>
      </c>
      <c r="H86" s="78" t="str">
        <f>IF($B86="","",INDEX(tblStock[StockMin],'91_KPIS'!$T79))</f>
        <v/>
      </c>
      <c r="I86" s="78" t="str">
        <f>IF($B86="","",INDEX(tblStock[StockMax],'91_KPIS'!$T79))</f>
        <v/>
      </c>
      <c r="J86" s="79" t="str">
        <f>IF($B86="","",INDEX(tblStock[Estado],'91_KPIS'!$T79))</f>
        <v/>
      </c>
      <c r="K86" s="80" t="str">
        <f t="shared" si="2"/>
        <v/>
      </c>
      <c r="L86" s="81" t="str">
        <f>IF($B86="","",INDEX(tblStock[CostoUnitario],'91_KPIS'!$T79))</f>
        <v/>
      </c>
      <c r="M86" s="82" t="str">
        <f t="shared" si="3"/>
        <v/>
      </c>
    </row>
    <row r="87" spans="2:13" ht="15.75" x14ac:dyDescent="0.25">
      <c r="B87" s="74" t="str">
        <f>IF('91_KPIS'!$T80="","",73)</f>
        <v/>
      </c>
      <c r="C87" s="75" t="str">
        <f>IF($B87="","",IF(INDEX(tblStock[Proveedor],'91_KPIS'!$T80)="","(Sin proveedor)",INDEX(tblStock[Proveedor],'91_KPIS'!$T80)))</f>
        <v/>
      </c>
      <c r="D87" s="76" t="str">
        <f>IF($B87="","",INDEX(tblStock[SKU],'91_KPIS'!$T80))</f>
        <v/>
      </c>
      <c r="E87" s="75" t="str">
        <f>IF($B87="","",INDEX(tblStock[Producto],'91_KPIS'!$T80))</f>
        <v/>
      </c>
      <c r="F87" s="76" t="str">
        <f>IF($B87="","",INDEX(tblStock[Unidad],'91_KPIS'!$T80))</f>
        <v/>
      </c>
      <c r="G87" s="77" t="str">
        <f>IF($B87="","",INDEX(tblStock[StockActual],'91_KPIS'!$T80))</f>
        <v/>
      </c>
      <c r="H87" s="78" t="str">
        <f>IF($B87="","",INDEX(tblStock[StockMin],'91_KPIS'!$T80))</f>
        <v/>
      </c>
      <c r="I87" s="78" t="str">
        <f>IF($B87="","",INDEX(tblStock[StockMax],'91_KPIS'!$T80))</f>
        <v/>
      </c>
      <c r="J87" s="79" t="str">
        <f>IF($B87="","",INDEX(tblStock[Estado],'91_KPIS'!$T80))</f>
        <v/>
      </c>
      <c r="K87" s="80" t="str">
        <f t="shared" si="2"/>
        <v/>
      </c>
      <c r="L87" s="81" t="str">
        <f>IF($B87="","",INDEX(tblStock[CostoUnitario],'91_KPIS'!$T80))</f>
        <v/>
      </c>
      <c r="M87" s="82" t="str">
        <f t="shared" si="3"/>
        <v/>
      </c>
    </row>
    <row r="88" spans="2:13" ht="15.75" x14ac:dyDescent="0.25">
      <c r="B88" s="74" t="str">
        <f>IF('91_KPIS'!$T81="","",74)</f>
        <v/>
      </c>
      <c r="C88" s="75" t="str">
        <f>IF($B88="","",IF(INDEX(tblStock[Proveedor],'91_KPIS'!$T81)="","(Sin proveedor)",INDEX(tblStock[Proveedor],'91_KPIS'!$T81)))</f>
        <v/>
      </c>
      <c r="D88" s="76" t="str">
        <f>IF($B88="","",INDEX(tblStock[SKU],'91_KPIS'!$T81))</f>
        <v/>
      </c>
      <c r="E88" s="75" t="str">
        <f>IF($B88="","",INDEX(tblStock[Producto],'91_KPIS'!$T81))</f>
        <v/>
      </c>
      <c r="F88" s="76" t="str">
        <f>IF($B88="","",INDEX(tblStock[Unidad],'91_KPIS'!$T81))</f>
        <v/>
      </c>
      <c r="G88" s="77" t="str">
        <f>IF($B88="","",INDEX(tblStock[StockActual],'91_KPIS'!$T81))</f>
        <v/>
      </c>
      <c r="H88" s="78" t="str">
        <f>IF($B88="","",INDEX(tblStock[StockMin],'91_KPIS'!$T81))</f>
        <v/>
      </c>
      <c r="I88" s="78" t="str">
        <f>IF($B88="","",INDEX(tblStock[StockMax],'91_KPIS'!$T81))</f>
        <v/>
      </c>
      <c r="J88" s="79" t="str">
        <f>IF($B88="","",INDEX(tblStock[Estado],'91_KPIS'!$T81))</f>
        <v/>
      </c>
      <c r="K88" s="80" t="str">
        <f t="shared" si="2"/>
        <v/>
      </c>
      <c r="L88" s="81" t="str">
        <f>IF($B88="","",INDEX(tblStock[CostoUnitario],'91_KPIS'!$T81))</f>
        <v/>
      </c>
      <c r="M88" s="82" t="str">
        <f t="shared" si="3"/>
        <v/>
      </c>
    </row>
    <row r="89" spans="2:13" ht="15.75" x14ac:dyDescent="0.25">
      <c r="B89" s="74" t="str">
        <f>IF('91_KPIS'!$T82="","",75)</f>
        <v/>
      </c>
      <c r="C89" s="75" t="str">
        <f>IF($B89="","",IF(INDEX(tblStock[Proveedor],'91_KPIS'!$T82)="","(Sin proveedor)",INDEX(tblStock[Proveedor],'91_KPIS'!$T82)))</f>
        <v/>
      </c>
      <c r="D89" s="76" t="str">
        <f>IF($B89="","",INDEX(tblStock[SKU],'91_KPIS'!$T82))</f>
        <v/>
      </c>
      <c r="E89" s="75" t="str">
        <f>IF($B89="","",INDEX(tblStock[Producto],'91_KPIS'!$T82))</f>
        <v/>
      </c>
      <c r="F89" s="76" t="str">
        <f>IF($B89="","",INDEX(tblStock[Unidad],'91_KPIS'!$T82))</f>
        <v/>
      </c>
      <c r="G89" s="77" t="str">
        <f>IF($B89="","",INDEX(tblStock[StockActual],'91_KPIS'!$T82))</f>
        <v/>
      </c>
      <c r="H89" s="78" t="str">
        <f>IF($B89="","",INDEX(tblStock[StockMin],'91_KPIS'!$T82))</f>
        <v/>
      </c>
      <c r="I89" s="78" t="str">
        <f>IF($B89="","",INDEX(tblStock[StockMax],'91_KPIS'!$T82))</f>
        <v/>
      </c>
      <c r="J89" s="79" t="str">
        <f>IF($B89="","",INDEX(tblStock[Estado],'91_KPIS'!$T82))</f>
        <v/>
      </c>
      <c r="K89" s="80" t="str">
        <f t="shared" si="2"/>
        <v/>
      </c>
      <c r="L89" s="81" t="str">
        <f>IF($B89="","",INDEX(tblStock[CostoUnitario],'91_KPIS'!$T82))</f>
        <v/>
      </c>
      <c r="M89" s="82" t="str">
        <f t="shared" si="3"/>
        <v/>
      </c>
    </row>
    <row r="90" spans="2:13" ht="15.75" x14ac:dyDescent="0.25">
      <c r="B90" s="74" t="str">
        <f>IF('91_KPIS'!$T83="","",76)</f>
        <v/>
      </c>
      <c r="C90" s="75" t="str">
        <f>IF($B90="","",IF(INDEX(tblStock[Proveedor],'91_KPIS'!$T83)="","(Sin proveedor)",INDEX(tblStock[Proveedor],'91_KPIS'!$T83)))</f>
        <v/>
      </c>
      <c r="D90" s="76" t="str">
        <f>IF($B90="","",INDEX(tblStock[SKU],'91_KPIS'!$T83))</f>
        <v/>
      </c>
      <c r="E90" s="75" t="str">
        <f>IF($B90="","",INDEX(tblStock[Producto],'91_KPIS'!$T83))</f>
        <v/>
      </c>
      <c r="F90" s="76" t="str">
        <f>IF($B90="","",INDEX(tblStock[Unidad],'91_KPIS'!$T83))</f>
        <v/>
      </c>
      <c r="G90" s="77" t="str">
        <f>IF($B90="","",INDEX(tblStock[StockActual],'91_KPIS'!$T83))</f>
        <v/>
      </c>
      <c r="H90" s="78" t="str">
        <f>IF($B90="","",INDEX(tblStock[StockMin],'91_KPIS'!$T83))</f>
        <v/>
      </c>
      <c r="I90" s="78" t="str">
        <f>IF($B90="","",INDEX(tblStock[StockMax],'91_KPIS'!$T83))</f>
        <v/>
      </c>
      <c r="J90" s="79" t="str">
        <f>IF($B90="","",INDEX(tblStock[Estado],'91_KPIS'!$T83))</f>
        <v/>
      </c>
      <c r="K90" s="80" t="str">
        <f t="shared" si="2"/>
        <v/>
      </c>
      <c r="L90" s="81" t="str">
        <f>IF($B90="","",INDEX(tblStock[CostoUnitario],'91_KPIS'!$T83))</f>
        <v/>
      </c>
      <c r="M90" s="82" t="str">
        <f t="shared" si="3"/>
        <v/>
      </c>
    </row>
    <row r="91" spans="2:13" ht="15.75" x14ac:dyDescent="0.25">
      <c r="B91" s="74" t="str">
        <f>IF('91_KPIS'!$T84="","",77)</f>
        <v/>
      </c>
      <c r="C91" s="75" t="str">
        <f>IF($B91="","",IF(INDEX(tblStock[Proveedor],'91_KPIS'!$T84)="","(Sin proveedor)",INDEX(tblStock[Proveedor],'91_KPIS'!$T84)))</f>
        <v/>
      </c>
      <c r="D91" s="76" t="str">
        <f>IF($B91="","",INDEX(tblStock[SKU],'91_KPIS'!$T84))</f>
        <v/>
      </c>
      <c r="E91" s="75" t="str">
        <f>IF($B91="","",INDEX(tblStock[Producto],'91_KPIS'!$T84))</f>
        <v/>
      </c>
      <c r="F91" s="76" t="str">
        <f>IF($B91="","",INDEX(tblStock[Unidad],'91_KPIS'!$T84))</f>
        <v/>
      </c>
      <c r="G91" s="77" t="str">
        <f>IF($B91="","",INDEX(tblStock[StockActual],'91_KPIS'!$T84))</f>
        <v/>
      </c>
      <c r="H91" s="78" t="str">
        <f>IF($B91="","",INDEX(tblStock[StockMin],'91_KPIS'!$T84))</f>
        <v/>
      </c>
      <c r="I91" s="78" t="str">
        <f>IF($B91="","",INDEX(tblStock[StockMax],'91_KPIS'!$T84))</f>
        <v/>
      </c>
      <c r="J91" s="79" t="str">
        <f>IF($B91="","",INDEX(tblStock[Estado],'91_KPIS'!$T84))</f>
        <v/>
      </c>
      <c r="K91" s="80" t="str">
        <f t="shared" si="2"/>
        <v/>
      </c>
      <c r="L91" s="81" t="str">
        <f>IF($B91="","",INDEX(tblStock[CostoUnitario],'91_KPIS'!$T84))</f>
        <v/>
      </c>
      <c r="M91" s="82" t="str">
        <f t="shared" si="3"/>
        <v/>
      </c>
    </row>
    <row r="92" spans="2:13" ht="15.75" x14ac:dyDescent="0.25">
      <c r="B92" s="74" t="str">
        <f>IF('91_KPIS'!$T85="","",78)</f>
        <v/>
      </c>
      <c r="C92" s="75" t="str">
        <f>IF($B92="","",IF(INDEX(tblStock[Proveedor],'91_KPIS'!$T85)="","(Sin proveedor)",INDEX(tblStock[Proveedor],'91_KPIS'!$T85)))</f>
        <v/>
      </c>
      <c r="D92" s="76" t="str">
        <f>IF($B92="","",INDEX(tblStock[SKU],'91_KPIS'!$T85))</f>
        <v/>
      </c>
      <c r="E92" s="75" t="str">
        <f>IF($B92="","",INDEX(tblStock[Producto],'91_KPIS'!$T85))</f>
        <v/>
      </c>
      <c r="F92" s="76" t="str">
        <f>IF($B92="","",INDEX(tblStock[Unidad],'91_KPIS'!$T85))</f>
        <v/>
      </c>
      <c r="G92" s="77" t="str">
        <f>IF($B92="","",INDEX(tblStock[StockActual],'91_KPIS'!$T85))</f>
        <v/>
      </c>
      <c r="H92" s="78" t="str">
        <f>IF($B92="","",INDEX(tblStock[StockMin],'91_KPIS'!$T85))</f>
        <v/>
      </c>
      <c r="I92" s="78" t="str">
        <f>IF($B92="","",INDEX(tblStock[StockMax],'91_KPIS'!$T85))</f>
        <v/>
      </c>
      <c r="J92" s="79" t="str">
        <f>IF($B92="","",INDEX(tblStock[Estado],'91_KPIS'!$T85))</f>
        <v/>
      </c>
      <c r="K92" s="80" t="str">
        <f t="shared" si="2"/>
        <v/>
      </c>
      <c r="L92" s="81" t="str">
        <f>IF($B92="","",INDEX(tblStock[CostoUnitario],'91_KPIS'!$T85))</f>
        <v/>
      </c>
      <c r="M92" s="82" t="str">
        <f t="shared" si="3"/>
        <v/>
      </c>
    </row>
    <row r="93" spans="2:13" ht="15.75" x14ac:dyDescent="0.25">
      <c r="B93" s="74" t="str">
        <f>IF('91_KPIS'!$T86="","",79)</f>
        <v/>
      </c>
      <c r="C93" s="75" t="str">
        <f>IF($B93="","",IF(INDEX(tblStock[Proveedor],'91_KPIS'!$T86)="","(Sin proveedor)",INDEX(tblStock[Proveedor],'91_KPIS'!$T86)))</f>
        <v/>
      </c>
      <c r="D93" s="76" t="str">
        <f>IF($B93="","",INDEX(tblStock[SKU],'91_KPIS'!$T86))</f>
        <v/>
      </c>
      <c r="E93" s="75" t="str">
        <f>IF($B93="","",INDEX(tblStock[Producto],'91_KPIS'!$T86))</f>
        <v/>
      </c>
      <c r="F93" s="76" t="str">
        <f>IF($B93="","",INDEX(tblStock[Unidad],'91_KPIS'!$T86))</f>
        <v/>
      </c>
      <c r="G93" s="77" t="str">
        <f>IF($B93="","",INDEX(tblStock[StockActual],'91_KPIS'!$T86))</f>
        <v/>
      </c>
      <c r="H93" s="78" t="str">
        <f>IF($B93="","",INDEX(tblStock[StockMin],'91_KPIS'!$T86))</f>
        <v/>
      </c>
      <c r="I93" s="78" t="str">
        <f>IF($B93="","",INDEX(tblStock[StockMax],'91_KPIS'!$T86))</f>
        <v/>
      </c>
      <c r="J93" s="79" t="str">
        <f>IF($B93="","",INDEX(tblStock[Estado],'91_KPIS'!$T86))</f>
        <v/>
      </c>
      <c r="K93" s="80" t="str">
        <f t="shared" si="2"/>
        <v/>
      </c>
      <c r="L93" s="81" t="str">
        <f>IF($B93="","",INDEX(tblStock[CostoUnitario],'91_KPIS'!$T86))</f>
        <v/>
      </c>
      <c r="M93" s="82" t="str">
        <f t="shared" si="3"/>
        <v/>
      </c>
    </row>
    <row r="94" spans="2:13" ht="15.75" x14ac:dyDescent="0.25">
      <c r="B94" s="74" t="str">
        <f>IF('91_KPIS'!$T87="","",80)</f>
        <v/>
      </c>
      <c r="C94" s="75" t="str">
        <f>IF($B94="","",IF(INDEX(tblStock[Proveedor],'91_KPIS'!$T87)="","(Sin proveedor)",INDEX(tblStock[Proveedor],'91_KPIS'!$T87)))</f>
        <v/>
      </c>
      <c r="D94" s="76" t="str">
        <f>IF($B94="","",INDEX(tblStock[SKU],'91_KPIS'!$T87))</f>
        <v/>
      </c>
      <c r="E94" s="75" t="str">
        <f>IF($B94="","",INDEX(tblStock[Producto],'91_KPIS'!$T87))</f>
        <v/>
      </c>
      <c r="F94" s="76" t="str">
        <f>IF($B94="","",INDEX(tblStock[Unidad],'91_KPIS'!$T87))</f>
        <v/>
      </c>
      <c r="G94" s="77" t="str">
        <f>IF($B94="","",INDEX(tblStock[StockActual],'91_KPIS'!$T87))</f>
        <v/>
      </c>
      <c r="H94" s="78" t="str">
        <f>IF($B94="","",INDEX(tblStock[StockMin],'91_KPIS'!$T87))</f>
        <v/>
      </c>
      <c r="I94" s="78" t="str">
        <f>IF($B94="","",INDEX(tblStock[StockMax],'91_KPIS'!$T87))</f>
        <v/>
      </c>
      <c r="J94" s="79" t="str">
        <f>IF($B94="","",INDEX(tblStock[Estado],'91_KPIS'!$T87))</f>
        <v/>
      </c>
      <c r="K94" s="80" t="str">
        <f t="shared" si="2"/>
        <v/>
      </c>
      <c r="L94" s="81" t="str">
        <f>IF($B94="","",INDEX(tblStock[CostoUnitario],'91_KPIS'!$T87))</f>
        <v/>
      </c>
      <c r="M94" s="82" t="str">
        <f t="shared" si="3"/>
        <v/>
      </c>
    </row>
    <row r="95" spans="2:13" ht="15.75" x14ac:dyDescent="0.25">
      <c r="B95" s="74" t="str">
        <f>IF('91_KPIS'!$T88="","",81)</f>
        <v/>
      </c>
      <c r="C95" s="75" t="str">
        <f>IF($B95="","",IF(INDEX(tblStock[Proveedor],'91_KPIS'!$T88)="","(Sin proveedor)",INDEX(tblStock[Proveedor],'91_KPIS'!$T88)))</f>
        <v/>
      </c>
      <c r="D95" s="76" t="str">
        <f>IF($B95="","",INDEX(tblStock[SKU],'91_KPIS'!$T88))</f>
        <v/>
      </c>
      <c r="E95" s="75" t="str">
        <f>IF($B95="","",INDEX(tblStock[Producto],'91_KPIS'!$T88))</f>
        <v/>
      </c>
      <c r="F95" s="76" t="str">
        <f>IF($B95="","",INDEX(tblStock[Unidad],'91_KPIS'!$T88))</f>
        <v/>
      </c>
      <c r="G95" s="77" t="str">
        <f>IF($B95="","",INDEX(tblStock[StockActual],'91_KPIS'!$T88))</f>
        <v/>
      </c>
      <c r="H95" s="78" t="str">
        <f>IF($B95="","",INDEX(tblStock[StockMin],'91_KPIS'!$T88))</f>
        <v/>
      </c>
      <c r="I95" s="78" t="str">
        <f>IF($B95="","",INDEX(tblStock[StockMax],'91_KPIS'!$T88))</f>
        <v/>
      </c>
      <c r="J95" s="79" t="str">
        <f>IF($B95="","",INDEX(tblStock[Estado],'91_KPIS'!$T88))</f>
        <v/>
      </c>
      <c r="K95" s="80" t="str">
        <f t="shared" si="2"/>
        <v/>
      </c>
      <c r="L95" s="81" t="str">
        <f>IF($B95="","",INDEX(tblStock[CostoUnitario],'91_KPIS'!$T88))</f>
        <v/>
      </c>
      <c r="M95" s="82" t="str">
        <f t="shared" si="3"/>
        <v/>
      </c>
    </row>
    <row r="96" spans="2:13" ht="15.75" x14ac:dyDescent="0.25">
      <c r="B96" s="74" t="str">
        <f>IF('91_KPIS'!$T89="","",82)</f>
        <v/>
      </c>
      <c r="C96" s="75" t="str">
        <f>IF($B96="","",IF(INDEX(tblStock[Proveedor],'91_KPIS'!$T89)="","(Sin proveedor)",INDEX(tblStock[Proveedor],'91_KPIS'!$T89)))</f>
        <v/>
      </c>
      <c r="D96" s="76" t="str">
        <f>IF($B96="","",INDEX(tblStock[SKU],'91_KPIS'!$T89))</f>
        <v/>
      </c>
      <c r="E96" s="75" t="str">
        <f>IF($B96="","",INDEX(tblStock[Producto],'91_KPIS'!$T89))</f>
        <v/>
      </c>
      <c r="F96" s="76" t="str">
        <f>IF($B96="","",INDEX(tblStock[Unidad],'91_KPIS'!$T89))</f>
        <v/>
      </c>
      <c r="G96" s="77" t="str">
        <f>IF($B96="","",INDEX(tblStock[StockActual],'91_KPIS'!$T89))</f>
        <v/>
      </c>
      <c r="H96" s="78" t="str">
        <f>IF($B96="","",INDEX(tblStock[StockMin],'91_KPIS'!$T89))</f>
        <v/>
      </c>
      <c r="I96" s="78" t="str">
        <f>IF($B96="","",INDEX(tblStock[StockMax],'91_KPIS'!$T89))</f>
        <v/>
      </c>
      <c r="J96" s="79" t="str">
        <f>IF($B96="","",INDEX(tblStock[Estado],'91_KPIS'!$T89))</f>
        <v/>
      </c>
      <c r="K96" s="80" t="str">
        <f t="shared" si="2"/>
        <v/>
      </c>
      <c r="L96" s="81" t="str">
        <f>IF($B96="","",INDEX(tblStock[CostoUnitario],'91_KPIS'!$T89))</f>
        <v/>
      </c>
      <c r="M96" s="82" t="str">
        <f t="shared" si="3"/>
        <v/>
      </c>
    </row>
    <row r="97" spans="2:13" ht="15.75" x14ac:dyDescent="0.25">
      <c r="B97" s="74" t="str">
        <f>IF('91_KPIS'!$T90="","",83)</f>
        <v/>
      </c>
      <c r="C97" s="75" t="str">
        <f>IF($B97="","",IF(INDEX(tblStock[Proveedor],'91_KPIS'!$T90)="","(Sin proveedor)",INDEX(tblStock[Proveedor],'91_KPIS'!$T90)))</f>
        <v/>
      </c>
      <c r="D97" s="76" t="str">
        <f>IF($B97="","",INDEX(tblStock[SKU],'91_KPIS'!$T90))</f>
        <v/>
      </c>
      <c r="E97" s="75" t="str">
        <f>IF($B97="","",INDEX(tblStock[Producto],'91_KPIS'!$T90))</f>
        <v/>
      </c>
      <c r="F97" s="76" t="str">
        <f>IF($B97="","",INDEX(tblStock[Unidad],'91_KPIS'!$T90))</f>
        <v/>
      </c>
      <c r="G97" s="77" t="str">
        <f>IF($B97="","",INDEX(tblStock[StockActual],'91_KPIS'!$T90))</f>
        <v/>
      </c>
      <c r="H97" s="78" t="str">
        <f>IF($B97="","",INDEX(tblStock[StockMin],'91_KPIS'!$T90))</f>
        <v/>
      </c>
      <c r="I97" s="78" t="str">
        <f>IF($B97="","",INDEX(tblStock[StockMax],'91_KPIS'!$T90))</f>
        <v/>
      </c>
      <c r="J97" s="79" t="str">
        <f>IF($B97="","",INDEX(tblStock[Estado],'91_KPIS'!$T90))</f>
        <v/>
      </c>
      <c r="K97" s="80" t="str">
        <f t="shared" si="2"/>
        <v/>
      </c>
      <c r="L97" s="81" t="str">
        <f>IF($B97="","",INDEX(tblStock[CostoUnitario],'91_KPIS'!$T90))</f>
        <v/>
      </c>
      <c r="M97" s="82" t="str">
        <f t="shared" si="3"/>
        <v/>
      </c>
    </row>
    <row r="98" spans="2:13" ht="15.75" x14ac:dyDescent="0.25">
      <c r="B98" s="74" t="str">
        <f>IF('91_KPIS'!$T91="","",84)</f>
        <v/>
      </c>
      <c r="C98" s="75" t="str">
        <f>IF($B98="","",IF(INDEX(tblStock[Proveedor],'91_KPIS'!$T91)="","(Sin proveedor)",INDEX(tblStock[Proveedor],'91_KPIS'!$T91)))</f>
        <v/>
      </c>
      <c r="D98" s="76" t="str">
        <f>IF($B98="","",INDEX(tblStock[SKU],'91_KPIS'!$T91))</f>
        <v/>
      </c>
      <c r="E98" s="75" t="str">
        <f>IF($B98="","",INDEX(tblStock[Producto],'91_KPIS'!$T91))</f>
        <v/>
      </c>
      <c r="F98" s="76" t="str">
        <f>IF($B98="","",INDEX(tblStock[Unidad],'91_KPIS'!$T91))</f>
        <v/>
      </c>
      <c r="G98" s="77" t="str">
        <f>IF($B98="","",INDEX(tblStock[StockActual],'91_KPIS'!$T91))</f>
        <v/>
      </c>
      <c r="H98" s="78" t="str">
        <f>IF($B98="","",INDEX(tblStock[StockMin],'91_KPIS'!$T91))</f>
        <v/>
      </c>
      <c r="I98" s="78" t="str">
        <f>IF($B98="","",INDEX(tblStock[StockMax],'91_KPIS'!$T91))</f>
        <v/>
      </c>
      <c r="J98" s="79" t="str">
        <f>IF($B98="","",INDEX(tblStock[Estado],'91_KPIS'!$T91))</f>
        <v/>
      </c>
      <c r="K98" s="80" t="str">
        <f t="shared" si="2"/>
        <v/>
      </c>
      <c r="L98" s="81" t="str">
        <f>IF($B98="","",INDEX(tblStock[CostoUnitario],'91_KPIS'!$T91))</f>
        <v/>
      </c>
      <c r="M98" s="82" t="str">
        <f t="shared" si="3"/>
        <v/>
      </c>
    </row>
    <row r="99" spans="2:13" ht="15.75" x14ac:dyDescent="0.25">
      <c r="B99" s="74" t="str">
        <f>IF('91_KPIS'!$T92="","",85)</f>
        <v/>
      </c>
      <c r="C99" s="75" t="str">
        <f>IF($B99="","",IF(INDEX(tblStock[Proveedor],'91_KPIS'!$T92)="","(Sin proveedor)",INDEX(tblStock[Proveedor],'91_KPIS'!$T92)))</f>
        <v/>
      </c>
      <c r="D99" s="76" t="str">
        <f>IF($B99="","",INDEX(tblStock[SKU],'91_KPIS'!$T92))</f>
        <v/>
      </c>
      <c r="E99" s="75" t="str">
        <f>IF($B99="","",INDEX(tblStock[Producto],'91_KPIS'!$T92))</f>
        <v/>
      </c>
      <c r="F99" s="76" t="str">
        <f>IF($B99="","",INDEX(tblStock[Unidad],'91_KPIS'!$T92))</f>
        <v/>
      </c>
      <c r="G99" s="77" t="str">
        <f>IF($B99="","",INDEX(tblStock[StockActual],'91_KPIS'!$T92))</f>
        <v/>
      </c>
      <c r="H99" s="78" t="str">
        <f>IF($B99="","",INDEX(tblStock[StockMin],'91_KPIS'!$T92))</f>
        <v/>
      </c>
      <c r="I99" s="78" t="str">
        <f>IF($B99="","",INDEX(tblStock[StockMax],'91_KPIS'!$T92))</f>
        <v/>
      </c>
      <c r="J99" s="79" t="str">
        <f>IF($B99="","",INDEX(tblStock[Estado],'91_KPIS'!$T92))</f>
        <v/>
      </c>
      <c r="K99" s="80" t="str">
        <f t="shared" si="2"/>
        <v/>
      </c>
      <c r="L99" s="81" t="str">
        <f>IF($B99="","",INDEX(tblStock[CostoUnitario],'91_KPIS'!$T92))</f>
        <v/>
      </c>
      <c r="M99" s="82" t="str">
        <f t="shared" si="3"/>
        <v/>
      </c>
    </row>
    <row r="100" spans="2:13" ht="15.75" x14ac:dyDescent="0.25">
      <c r="B100" s="74" t="str">
        <f>IF('91_KPIS'!$T93="","",86)</f>
        <v/>
      </c>
      <c r="C100" s="75" t="str">
        <f>IF($B100="","",IF(INDEX(tblStock[Proveedor],'91_KPIS'!$T93)="","(Sin proveedor)",INDEX(tblStock[Proveedor],'91_KPIS'!$T93)))</f>
        <v/>
      </c>
      <c r="D100" s="76" t="str">
        <f>IF($B100="","",INDEX(tblStock[SKU],'91_KPIS'!$T93))</f>
        <v/>
      </c>
      <c r="E100" s="75" t="str">
        <f>IF($B100="","",INDEX(tblStock[Producto],'91_KPIS'!$T93))</f>
        <v/>
      </c>
      <c r="F100" s="76" t="str">
        <f>IF($B100="","",INDEX(tblStock[Unidad],'91_KPIS'!$T93))</f>
        <v/>
      </c>
      <c r="G100" s="77" t="str">
        <f>IF($B100="","",INDEX(tblStock[StockActual],'91_KPIS'!$T93))</f>
        <v/>
      </c>
      <c r="H100" s="78" t="str">
        <f>IF($B100="","",INDEX(tblStock[StockMin],'91_KPIS'!$T93))</f>
        <v/>
      </c>
      <c r="I100" s="78" t="str">
        <f>IF($B100="","",INDEX(tblStock[StockMax],'91_KPIS'!$T93))</f>
        <v/>
      </c>
      <c r="J100" s="79" t="str">
        <f>IF($B100="","",INDEX(tblStock[Estado],'91_KPIS'!$T93))</f>
        <v/>
      </c>
      <c r="K100" s="80" t="str">
        <f t="shared" si="2"/>
        <v/>
      </c>
      <c r="L100" s="81" t="str">
        <f>IF($B100="","",INDEX(tblStock[CostoUnitario],'91_KPIS'!$T93))</f>
        <v/>
      </c>
      <c r="M100" s="82" t="str">
        <f t="shared" si="3"/>
        <v/>
      </c>
    </row>
    <row r="101" spans="2:13" ht="15.75" x14ac:dyDescent="0.25">
      <c r="B101" s="74" t="str">
        <f>IF('91_KPIS'!$T94="","",87)</f>
        <v/>
      </c>
      <c r="C101" s="75" t="str">
        <f>IF($B101="","",IF(INDEX(tblStock[Proveedor],'91_KPIS'!$T94)="","(Sin proveedor)",INDEX(tblStock[Proveedor],'91_KPIS'!$T94)))</f>
        <v/>
      </c>
      <c r="D101" s="76" t="str">
        <f>IF($B101="","",INDEX(tblStock[SKU],'91_KPIS'!$T94))</f>
        <v/>
      </c>
      <c r="E101" s="75" t="str">
        <f>IF($B101="","",INDEX(tblStock[Producto],'91_KPIS'!$T94))</f>
        <v/>
      </c>
      <c r="F101" s="76" t="str">
        <f>IF($B101="","",INDEX(tblStock[Unidad],'91_KPIS'!$T94))</f>
        <v/>
      </c>
      <c r="G101" s="77" t="str">
        <f>IF($B101="","",INDEX(tblStock[StockActual],'91_KPIS'!$T94))</f>
        <v/>
      </c>
      <c r="H101" s="78" t="str">
        <f>IF($B101="","",INDEX(tblStock[StockMin],'91_KPIS'!$T94))</f>
        <v/>
      </c>
      <c r="I101" s="78" t="str">
        <f>IF($B101="","",INDEX(tblStock[StockMax],'91_KPIS'!$T94))</f>
        <v/>
      </c>
      <c r="J101" s="79" t="str">
        <f>IF($B101="","",INDEX(tblStock[Estado],'91_KPIS'!$T94))</f>
        <v/>
      </c>
      <c r="K101" s="80" t="str">
        <f t="shared" si="2"/>
        <v/>
      </c>
      <c r="L101" s="81" t="str">
        <f>IF($B101="","",INDEX(tblStock[CostoUnitario],'91_KPIS'!$T94))</f>
        <v/>
      </c>
      <c r="M101" s="82" t="str">
        <f t="shared" si="3"/>
        <v/>
      </c>
    </row>
    <row r="102" spans="2:13" ht="15.75" x14ac:dyDescent="0.25">
      <c r="B102" s="74" t="str">
        <f>IF('91_KPIS'!$T95="","",88)</f>
        <v/>
      </c>
      <c r="C102" s="75" t="str">
        <f>IF($B102="","",IF(INDEX(tblStock[Proveedor],'91_KPIS'!$T95)="","(Sin proveedor)",INDEX(tblStock[Proveedor],'91_KPIS'!$T95)))</f>
        <v/>
      </c>
      <c r="D102" s="76" t="str">
        <f>IF($B102="","",INDEX(tblStock[SKU],'91_KPIS'!$T95))</f>
        <v/>
      </c>
      <c r="E102" s="75" t="str">
        <f>IF($B102="","",INDEX(tblStock[Producto],'91_KPIS'!$T95))</f>
        <v/>
      </c>
      <c r="F102" s="76" t="str">
        <f>IF($B102="","",INDEX(tblStock[Unidad],'91_KPIS'!$T95))</f>
        <v/>
      </c>
      <c r="G102" s="77" t="str">
        <f>IF($B102="","",INDEX(tblStock[StockActual],'91_KPIS'!$T95))</f>
        <v/>
      </c>
      <c r="H102" s="78" t="str">
        <f>IF($B102="","",INDEX(tblStock[StockMin],'91_KPIS'!$T95))</f>
        <v/>
      </c>
      <c r="I102" s="78" t="str">
        <f>IF($B102="","",INDEX(tblStock[StockMax],'91_KPIS'!$T95))</f>
        <v/>
      </c>
      <c r="J102" s="79" t="str">
        <f>IF($B102="","",INDEX(tblStock[Estado],'91_KPIS'!$T95))</f>
        <v/>
      </c>
      <c r="K102" s="80" t="str">
        <f t="shared" si="2"/>
        <v/>
      </c>
      <c r="L102" s="81" t="str">
        <f>IF($B102="","",INDEX(tblStock[CostoUnitario],'91_KPIS'!$T95))</f>
        <v/>
      </c>
      <c r="M102" s="82" t="str">
        <f t="shared" si="3"/>
        <v/>
      </c>
    </row>
    <row r="103" spans="2:13" ht="15.75" x14ac:dyDescent="0.25">
      <c r="B103" s="74" t="str">
        <f>IF('91_KPIS'!$T96="","",89)</f>
        <v/>
      </c>
      <c r="C103" s="75" t="str">
        <f>IF($B103="","",IF(INDEX(tblStock[Proveedor],'91_KPIS'!$T96)="","(Sin proveedor)",INDEX(tblStock[Proveedor],'91_KPIS'!$T96)))</f>
        <v/>
      </c>
      <c r="D103" s="76" t="str">
        <f>IF($B103="","",INDEX(tblStock[SKU],'91_KPIS'!$T96))</f>
        <v/>
      </c>
      <c r="E103" s="75" t="str">
        <f>IF($B103="","",INDEX(tblStock[Producto],'91_KPIS'!$T96))</f>
        <v/>
      </c>
      <c r="F103" s="76" t="str">
        <f>IF($B103="","",INDEX(tblStock[Unidad],'91_KPIS'!$T96))</f>
        <v/>
      </c>
      <c r="G103" s="77" t="str">
        <f>IF($B103="","",INDEX(tblStock[StockActual],'91_KPIS'!$T96))</f>
        <v/>
      </c>
      <c r="H103" s="78" t="str">
        <f>IF($B103="","",INDEX(tblStock[StockMin],'91_KPIS'!$T96))</f>
        <v/>
      </c>
      <c r="I103" s="78" t="str">
        <f>IF($B103="","",INDEX(tblStock[StockMax],'91_KPIS'!$T96))</f>
        <v/>
      </c>
      <c r="J103" s="79" t="str">
        <f>IF($B103="","",INDEX(tblStock[Estado],'91_KPIS'!$T96))</f>
        <v/>
      </c>
      <c r="K103" s="80" t="str">
        <f t="shared" si="2"/>
        <v/>
      </c>
      <c r="L103" s="81" t="str">
        <f>IF($B103="","",INDEX(tblStock[CostoUnitario],'91_KPIS'!$T96))</f>
        <v/>
      </c>
      <c r="M103" s="82" t="str">
        <f t="shared" si="3"/>
        <v/>
      </c>
    </row>
    <row r="104" spans="2:13" ht="15.75" x14ac:dyDescent="0.25">
      <c r="B104" s="74" t="str">
        <f>IF('91_KPIS'!$T97="","",90)</f>
        <v/>
      </c>
      <c r="C104" s="75" t="str">
        <f>IF($B104="","",IF(INDEX(tblStock[Proveedor],'91_KPIS'!$T97)="","(Sin proveedor)",INDEX(tblStock[Proveedor],'91_KPIS'!$T97)))</f>
        <v/>
      </c>
      <c r="D104" s="76" t="str">
        <f>IF($B104="","",INDEX(tblStock[SKU],'91_KPIS'!$T97))</f>
        <v/>
      </c>
      <c r="E104" s="75" t="str">
        <f>IF($B104="","",INDEX(tblStock[Producto],'91_KPIS'!$T97))</f>
        <v/>
      </c>
      <c r="F104" s="76" t="str">
        <f>IF($B104="","",INDEX(tblStock[Unidad],'91_KPIS'!$T97))</f>
        <v/>
      </c>
      <c r="G104" s="77" t="str">
        <f>IF($B104="","",INDEX(tblStock[StockActual],'91_KPIS'!$T97))</f>
        <v/>
      </c>
      <c r="H104" s="78" t="str">
        <f>IF($B104="","",INDEX(tblStock[StockMin],'91_KPIS'!$T97))</f>
        <v/>
      </c>
      <c r="I104" s="78" t="str">
        <f>IF($B104="","",INDEX(tblStock[StockMax],'91_KPIS'!$T97))</f>
        <v/>
      </c>
      <c r="J104" s="79" t="str">
        <f>IF($B104="","",INDEX(tblStock[Estado],'91_KPIS'!$T97))</f>
        <v/>
      </c>
      <c r="K104" s="80" t="str">
        <f t="shared" si="2"/>
        <v/>
      </c>
      <c r="L104" s="81" t="str">
        <f>IF($B104="","",INDEX(tblStock[CostoUnitario],'91_KPIS'!$T97))</f>
        <v/>
      </c>
      <c r="M104" s="82" t="str">
        <f t="shared" si="3"/>
        <v/>
      </c>
    </row>
    <row r="105" spans="2:13" ht="15.75" x14ac:dyDescent="0.25">
      <c r="B105" s="74" t="str">
        <f>IF('91_KPIS'!$T98="","",91)</f>
        <v/>
      </c>
      <c r="C105" s="75" t="str">
        <f>IF($B105="","",IF(INDEX(tblStock[Proveedor],'91_KPIS'!$T98)="","(Sin proveedor)",INDEX(tblStock[Proveedor],'91_KPIS'!$T98)))</f>
        <v/>
      </c>
      <c r="D105" s="76" t="str">
        <f>IF($B105="","",INDEX(tblStock[SKU],'91_KPIS'!$T98))</f>
        <v/>
      </c>
      <c r="E105" s="75" t="str">
        <f>IF($B105="","",INDEX(tblStock[Producto],'91_KPIS'!$T98))</f>
        <v/>
      </c>
      <c r="F105" s="76" t="str">
        <f>IF($B105="","",INDEX(tblStock[Unidad],'91_KPIS'!$T98))</f>
        <v/>
      </c>
      <c r="G105" s="77" t="str">
        <f>IF($B105="","",INDEX(tblStock[StockActual],'91_KPIS'!$T98))</f>
        <v/>
      </c>
      <c r="H105" s="78" t="str">
        <f>IF($B105="","",INDEX(tblStock[StockMin],'91_KPIS'!$T98))</f>
        <v/>
      </c>
      <c r="I105" s="78" t="str">
        <f>IF($B105="","",INDEX(tblStock[StockMax],'91_KPIS'!$T98))</f>
        <v/>
      </c>
      <c r="J105" s="79" t="str">
        <f>IF($B105="","",INDEX(tblStock[Estado],'91_KPIS'!$T98))</f>
        <v/>
      </c>
      <c r="K105" s="80" t="str">
        <f t="shared" si="2"/>
        <v/>
      </c>
      <c r="L105" s="81" t="str">
        <f>IF($B105="","",INDEX(tblStock[CostoUnitario],'91_KPIS'!$T98))</f>
        <v/>
      </c>
      <c r="M105" s="82" t="str">
        <f t="shared" si="3"/>
        <v/>
      </c>
    </row>
    <row r="106" spans="2:13" ht="15.75" x14ac:dyDescent="0.25">
      <c r="B106" s="74" t="str">
        <f>IF('91_KPIS'!$T99="","",92)</f>
        <v/>
      </c>
      <c r="C106" s="75" t="str">
        <f>IF($B106="","",IF(INDEX(tblStock[Proveedor],'91_KPIS'!$T99)="","(Sin proveedor)",INDEX(tblStock[Proveedor],'91_KPIS'!$T99)))</f>
        <v/>
      </c>
      <c r="D106" s="76" t="str">
        <f>IF($B106="","",INDEX(tblStock[SKU],'91_KPIS'!$T99))</f>
        <v/>
      </c>
      <c r="E106" s="75" t="str">
        <f>IF($B106="","",INDEX(tblStock[Producto],'91_KPIS'!$T99))</f>
        <v/>
      </c>
      <c r="F106" s="76" t="str">
        <f>IF($B106="","",INDEX(tblStock[Unidad],'91_KPIS'!$T99))</f>
        <v/>
      </c>
      <c r="G106" s="77" t="str">
        <f>IF($B106="","",INDEX(tblStock[StockActual],'91_KPIS'!$T99))</f>
        <v/>
      </c>
      <c r="H106" s="78" t="str">
        <f>IF($B106="","",INDEX(tblStock[StockMin],'91_KPIS'!$T99))</f>
        <v/>
      </c>
      <c r="I106" s="78" t="str">
        <f>IF($B106="","",INDEX(tblStock[StockMax],'91_KPIS'!$T99))</f>
        <v/>
      </c>
      <c r="J106" s="79" t="str">
        <f>IF($B106="","",INDEX(tblStock[Estado],'91_KPIS'!$T99))</f>
        <v/>
      </c>
      <c r="K106" s="80" t="str">
        <f t="shared" si="2"/>
        <v/>
      </c>
      <c r="L106" s="81" t="str">
        <f>IF($B106="","",INDEX(tblStock[CostoUnitario],'91_KPIS'!$T99))</f>
        <v/>
      </c>
      <c r="M106" s="82" t="str">
        <f t="shared" si="3"/>
        <v/>
      </c>
    </row>
    <row r="107" spans="2:13" ht="15.75" x14ac:dyDescent="0.25">
      <c r="B107" s="74" t="str">
        <f>IF('91_KPIS'!$T100="","",93)</f>
        <v/>
      </c>
      <c r="C107" s="75" t="str">
        <f>IF($B107="","",IF(INDEX(tblStock[Proveedor],'91_KPIS'!$T100)="","(Sin proveedor)",INDEX(tblStock[Proveedor],'91_KPIS'!$T100)))</f>
        <v/>
      </c>
      <c r="D107" s="76" t="str">
        <f>IF($B107="","",INDEX(tblStock[SKU],'91_KPIS'!$T100))</f>
        <v/>
      </c>
      <c r="E107" s="75" t="str">
        <f>IF($B107="","",INDEX(tblStock[Producto],'91_KPIS'!$T100))</f>
        <v/>
      </c>
      <c r="F107" s="76" t="str">
        <f>IF($B107="","",INDEX(tblStock[Unidad],'91_KPIS'!$T100))</f>
        <v/>
      </c>
      <c r="G107" s="77" t="str">
        <f>IF($B107="","",INDEX(tblStock[StockActual],'91_KPIS'!$T100))</f>
        <v/>
      </c>
      <c r="H107" s="78" t="str">
        <f>IF($B107="","",INDEX(tblStock[StockMin],'91_KPIS'!$T100))</f>
        <v/>
      </c>
      <c r="I107" s="78" t="str">
        <f>IF($B107="","",INDEX(tblStock[StockMax],'91_KPIS'!$T100))</f>
        <v/>
      </c>
      <c r="J107" s="79" t="str">
        <f>IF($B107="","",INDEX(tblStock[Estado],'91_KPIS'!$T100))</f>
        <v/>
      </c>
      <c r="K107" s="80" t="str">
        <f t="shared" si="2"/>
        <v/>
      </c>
      <c r="L107" s="81" t="str">
        <f>IF($B107="","",INDEX(tblStock[CostoUnitario],'91_KPIS'!$T100))</f>
        <v/>
      </c>
      <c r="M107" s="82" t="str">
        <f t="shared" si="3"/>
        <v/>
      </c>
    </row>
    <row r="108" spans="2:13" ht="15.75" x14ac:dyDescent="0.25">
      <c r="B108" s="74" t="str">
        <f>IF('91_KPIS'!$T101="","",94)</f>
        <v/>
      </c>
      <c r="C108" s="75" t="str">
        <f>IF($B108="","",IF(INDEX(tblStock[Proveedor],'91_KPIS'!$T101)="","(Sin proveedor)",INDEX(tblStock[Proveedor],'91_KPIS'!$T101)))</f>
        <v/>
      </c>
      <c r="D108" s="76" t="str">
        <f>IF($B108="","",INDEX(tblStock[SKU],'91_KPIS'!$T101))</f>
        <v/>
      </c>
      <c r="E108" s="75" t="str">
        <f>IF($B108="","",INDEX(tblStock[Producto],'91_KPIS'!$T101))</f>
        <v/>
      </c>
      <c r="F108" s="76" t="str">
        <f>IF($B108="","",INDEX(tblStock[Unidad],'91_KPIS'!$T101))</f>
        <v/>
      </c>
      <c r="G108" s="77" t="str">
        <f>IF($B108="","",INDEX(tblStock[StockActual],'91_KPIS'!$T101))</f>
        <v/>
      </c>
      <c r="H108" s="78" t="str">
        <f>IF($B108="","",INDEX(tblStock[StockMin],'91_KPIS'!$T101))</f>
        <v/>
      </c>
      <c r="I108" s="78" t="str">
        <f>IF($B108="","",INDEX(tblStock[StockMax],'91_KPIS'!$T101))</f>
        <v/>
      </c>
      <c r="J108" s="79" t="str">
        <f>IF($B108="","",INDEX(tblStock[Estado],'91_KPIS'!$T101))</f>
        <v/>
      </c>
      <c r="K108" s="80" t="str">
        <f t="shared" si="2"/>
        <v/>
      </c>
      <c r="L108" s="81" t="str">
        <f>IF($B108="","",INDEX(tblStock[CostoUnitario],'91_KPIS'!$T101))</f>
        <v/>
      </c>
      <c r="M108" s="82" t="str">
        <f t="shared" si="3"/>
        <v/>
      </c>
    </row>
    <row r="109" spans="2:13" ht="15.75" x14ac:dyDescent="0.25">
      <c r="B109" s="74" t="str">
        <f>IF('91_KPIS'!$T102="","",95)</f>
        <v/>
      </c>
      <c r="C109" s="75" t="str">
        <f>IF($B109="","",IF(INDEX(tblStock[Proveedor],'91_KPIS'!$T102)="","(Sin proveedor)",INDEX(tblStock[Proveedor],'91_KPIS'!$T102)))</f>
        <v/>
      </c>
      <c r="D109" s="76" t="str">
        <f>IF($B109="","",INDEX(tblStock[SKU],'91_KPIS'!$T102))</f>
        <v/>
      </c>
      <c r="E109" s="75" t="str">
        <f>IF($B109="","",INDEX(tblStock[Producto],'91_KPIS'!$T102))</f>
        <v/>
      </c>
      <c r="F109" s="76" t="str">
        <f>IF($B109="","",INDEX(tblStock[Unidad],'91_KPIS'!$T102))</f>
        <v/>
      </c>
      <c r="G109" s="77" t="str">
        <f>IF($B109="","",INDEX(tblStock[StockActual],'91_KPIS'!$T102))</f>
        <v/>
      </c>
      <c r="H109" s="78" t="str">
        <f>IF($B109="","",INDEX(tblStock[StockMin],'91_KPIS'!$T102))</f>
        <v/>
      </c>
      <c r="I109" s="78" t="str">
        <f>IF($B109="","",INDEX(tblStock[StockMax],'91_KPIS'!$T102))</f>
        <v/>
      </c>
      <c r="J109" s="79" t="str">
        <f>IF($B109="","",INDEX(tblStock[Estado],'91_KPIS'!$T102))</f>
        <v/>
      </c>
      <c r="K109" s="80" t="str">
        <f t="shared" si="2"/>
        <v/>
      </c>
      <c r="L109" s="81" t="str">
        <f>IF($B109="","",INDEX(tblStock[CostoUnitario],'91_KPIS'!$T102))</f>
        <v/>
      </c>
      <c r="M109" s="82" t="str">
        <f t="shared" si="3"/>
        <v/>
      </c>
    </row>
    <row r="110" spans="2:13" ht="15.75" x14ac:dyDescent="0.25">
      <c r="B110" s="74" t="str">
        <f>IF('91_KPIS'!$T103="","",96)</f>
        <v/>
      </c>
      <c r="C110" s="75" t="str">
        <f>IF($B110="","",IF(INDEX(tblStock[Proveedor],'91_KPIS'!$T103)="","(Sin proveedor)",INDEX(tblStock[Proveedor],'91_KPIS'!$T103)))</f>
        <v/>
      </c>
      <c r="D110" s="76" t="str">
        <f>IF($B110="","",INDEX(tblStock[SKU],'91_KPIS'!$T103))</f>
        <v/>
      </c>
      <c r="E110" s="75" t="str">
        <f>IF($B110="","",INDEX(tblStock[Producto],'91_KPIS'!$T103))</f>
        <v/>
      </c>
      <c r="F110" s="76" t="str">
        <f>IF($B110="","",INDEX(tblStock[Unidad],'91_KPIS'!$T103))</f>
        <v/>
      </c>
      <c r="G110" s="77" t="str">
        <f>IF($B110="","",INDEX(tblStock[StockActual],'91_KPIS'!$T103))</f>
        <v/>
      </c>
      <c r="H110" s="78" t="str">
        <f>IF($B110="","",INDEX(tblStock[StockMin],'91_KPIS'!$T103))</f>
        <v/>
      </c>
      <c r="I110" s="78" t="str">
        <f>IF($B110="","",INDEX(tblStock[StockMax],'91_KPIS'!$T103))</f>
        <v/>
      </c>
      <c r="J110" s="79" t="str">
        <f>IF($B110="","",INDEX(tblStock[Estado],'91_KPIS'!$T103))</f>
        <v/>
      </c>
      <c r="K110" s="80" t="str">
        <f t="shared" si="2"/>
        <v/>
      </c>
      <c r="L110" s="81" t="str">
        <f>IF($B110="","",INDEX(tblStock[CostoUnitario],'91_KPIS'!$T103))</f>
        <v/>
      </c>
      <c r="M110" s="82" t="str">
        <f t="shared" si="3"/>
        <v/>
      </c>
    </row>
    <row r="111" spans="2:13" ht="15.75" x14ac:dyDescent="0.25">
      <c r="B111" s="74" t="str">
        <f>IF('91_KPIS'!$T104="","",97)</f>
        <v/>
      </c>
      <c r="C111" s="75" t="str">
        <f>IF($B111="","",IF(INDEX(tblStock[Proveedor],'91_KPIS'!$T104)="","(Sin proveedor)",INDEX(tblStock[Proveedor],'91_KPIS'!$T104)))</f>
        <v/>
      </c>
      <c r="D111" s="76" t="str">
        <f>IF($B111="","",INDEX(tblStock[SKU],'91_KPIS'!$T104))</f>
        <v/>
      </c>
      <c r="E111" s="75" t="str">
        <f>IF($B111="","",INDEX(tblStock[Producto],'91_KPIS'!$T104))</f>
        <v/>
      </c>
      <c r="F111" s="76" t="str">
        <f>IF($B111="","",INDEX(tblStock[Unidad],'91_KPIS'!$T104))</f>
        <v/>
      </c>
      <c r="G111" s="77" t="str">
        <f>IF($B111="","",INDEX(tblStock[StockActual],'91_KPIS'!$T104))</f>
        <v/>
      </c>
      <c r="H111" s="78" t="str">
        <f>IF($B111="","",INDEX(tblStock[StockMin],'91_KPIS'!$T104))</f>
        <v/>
      </c>
      <c r="I111" s="78" t="str">
        <f>IF($B111="","",INDEX(tblStock[StockMax],'91_KPIS'!$T104))</f>
        <v/>
      </c>
      <c r="J111" s="79" t="str">
        <f>IF($B111="","",INDEX(tblStock[Estado],'91_KPIS'!$T104))</f>
        <v/>
      </c>
      <c r="K111" s="80" t="str">
        <f t="shared" si="2"/>
        <v/>
      </c>
      <c r="L111" s="81" t="str">
        <f>IF($B111="","",INDEX(tblStock[CostoUnitario],'91_KPIS'!$T104))</f>
        <v/>
      </c>
      <c r="M111" s="82" t="str">
        <f t="shared" si="3"/>
        <v/>
      </c>
    </row>
    <row r="112" spans="2:13" ht="15.75" x14ac:dyDescent="0.25">
      <c r="B112" s="74" t="str">
        <f>IF('91_KPIS'!$T105="","",98)</f>
        <v/>
      </c>
      <c r="C112" s="75" t="str">
        <f>IF($B112="","",IF(INDEX(tblStock[Proveedor],'91_KPIS'!$T105)="","(Sin proveedor)",INDEX(tblStock[Proveedor],'91_KPIS'!$T105)))</f>
        <v/>
      </c>
      <c r="D112" s="76" t="str">
        <f>IF($B112="","",INDEX(tblStock[SKU],'91_KPIS'!$T105))</f>
        <v/>
      </c>
      <c r="E112" s="75" t="str">
        <f>IF($B112="","",INDEX(tblStock[Producto],'91_KPIS'!$T105))</f>
        <v/>
      </c>
      <c r="F112" s="76" t="str">
        <f>IF($B112="","",INDEX(tblStock[Unidad],'91_KPIS'!$T105))</f>
        <v/>
      </c>
      <c r="G112" s="77" t="str">
        <f>IF($B112="","",INDEX(tblStock[StockActual],'91_KPIS'!$T105))</f>
        <v/>
      </c>
      <c r="H112" s="78" t="str">
        <f>IF($B112="","",INDEX(tblStock[StockMin],'91_KPIS'!$T105))</f>
        <v/>
      </c>
      <c r="I112" s="78" t="str">
        <f>IF($B112="","",INDEX(tblStock[StockMax],'91_KPIS'!$T105))</f>
        <v/>
      </c>
      <c r="J112" s="79" t="str">
        <f>IF($B112="","",INDEX(tblStock[Estado],'91_KPIS'!$T105))</f>
        <v/>
      </c>
      <c r="K112" s="80" t="str">
        <f t="shared" si="2"/>
        <v/>
      </c>
      <c r="L112" s="81" t="str">
        <f>IF($B112="","",INDEX(tblStock[CostoUnitario],'91_KPIS'!$T105))</f>
        <v/>
      </c>
      <c r="M112" s="82" t="str">
        <f t="shared" si="3"/>
        <v/>
      </c>
    </row>
    <row r="113" spans="2:13" ht="15.75" x14ac:dyDescent="0.25">
      <c r="B113" s="74" t="str">
        <f>IF('91_KPIS'!$T106="","",99)</f>
        <v/>
      </c>
      <c r="C113" s="75" t="str">
        <f>IF($B113="","",IF(INDEX(tblStock[Proveedor],'91_KPIS'!$T106)="","(Sin proveedor)",INDEX(tblStock[Proveedor],'91_KPIS'!$T106)))</f>
        <v/>
      </c>
      <c r="D113" s="76" t="str">
        <f>IF($B113="","",INDEX(tblStock[SKU],'91_KPIS'!$T106))</f>
        <v/>
      </c>
      <c r="E113" s="75" t="str">
        <f>IF($B113="","",INDEX(tblStock[Producto],'91_KPIS'!$T106))</f>
        <v/>
      </c>
      <c r="F113" s="76" t="str">
        <f>IF($B113="","",INDEX(tblStock[Unidad],'91_KPIS'!$T106))</f>
        <v/>
      </c>
      <c r="G113" s="77" t="str">
        <f>IF($B113="","",INDEX(tblStock[StockActual],'91_KPIS'!$T106))</f>
        <v/>
      </c>
      <c r="H113" s="78" t="str">
        <f>IF($B113="","",INDEX(tblStock[StockMin],'91_KPIS'!$T106))</f>
        <v/>
      </c>
      <c r="I113" s="78" t="str">
        <f>IF($B113="","",INDEX(tblStock[StockMax],'91_KPIS'!$T106))</f>
        <v/>
      </c>
      <c r="J113" s="79" t="str">
        <f>IF($B113="","",INDEX(tblStock[Estado],'91_KPIS'!$T106))</f>
        <v/>
      </c>
      <c r="K113" s="80" t="str">
        <f t="shared" si="2"/>
        <v/>
      </c>
      <c r="L113" s="81" t="str">
        <f>IF($B113="","",INDEX(tblStock[CostoUnitario],'91_KPIS'!$T106))</f>
        <v/>
      </c>
      <c r="M113" s="82" t="str">
        <f t="shared" si="3"/>
        <v/>
      </c>
    </row>
    <row r="114" spans="2:13" ht="15.75" x14ac:dyDescent="0.25">
      <c r="B114" s="74" t="str">
        <f>IF('91_KPIS'!$T107="","",100)</f>
        <v/>
      </c>
      <c r="C114" s="75" t="str">
        <f>IF($B114="","",IF(INDEX(tblStock[Proveedor],'91_KPIS'!$T107)="","(Sin proveedor)",INDEX(tblStock[Proveedor],'91_KPIS'!$T107)))</f>
        <v/>
      </c>
      <c r="D114" s="76" t="str">
        <f>IF($B114="","",INDEX(tblStock[SKU],'91_KPIS'!$T107))</f>
        <v/>
      </c>
      <c r="E114" s="75" t="str">
        <f>IF($B114="","",INDEX(tblStock[Producto],'91_KPIS'!$T107))</f>
        <v/>
      </c>
      <c r="F114" s="76" t="str">
        <f>IF($B114="","",INDEX(tblStock[Unidad],'91_KPIS'!$T107))</f>
        <v/>
      </c>
      <c r="G114" s="77" t="str">
        <f>IF($B114="","",INDEX(tblStock[StockActual],'91_KPIS'!$T107))</f>
        <v/>
      </c>
      <c r="H114" s="78" t="str">
        <f>IF($B114="","",INDEX(tblStock[StockMin],'91_KPIS'!$T107))</f>
        <v/>
      </c>
      <c r="I114" s="78" t="str">
        <f>IF($B114="","",INDEX(tblStock[StockMax],'91_KPIS'!$T107))</f>
        <v/>
      </c>
      <c r="J114" s="79" t="str">
        <f>IF($B114="","",INDEX(tblStock[Estado],'91_KPIS'!$T107))</f>
        <v/>
      </c>
      <c r="K114" s="80" t="str">
        <f t="shared" si="2"/>
        <v/>
      </c>
      <c r="L114" s="81" t="str">
        <f>IF($B114="","",INDEX(tblStock[CostoUnitario],'91_KPIS'!$T107))</f>
        <v/>
      </c>
      <c r="M114" s="82" t="str">
        <f t="shared" si="3"/>
        <v/>
      </c>
    </row>
    <row r="115" spans="2:13" ht="15.75" x14ac:dyDescent="0.25">
      <c r="B115" s="74" t="str">
        <f>IF('91_KPIS'!$T108="","",101)</f>
        <v/>
      </c>
      <c r="C115" s="75" t="str">
        <f>IF($B115="","",IF(INDEX(tblStock[Proveedor],'91_KPIS'!$T108)="","(Sin proveedor)",INDEX(tblStock[Proveedor],'91_KPIS'!$T108)))</f>
        <v/>
      </c>
      <c r="D115" s="76" t="str">
        <f>IF($B115="","",INDEX(tblStock[SKU],'91_KPIS'!$T108))</f>
        <v/>
      </c>
      <c r="E115" s="75" t="str">
        <f>IF($B115="","",INDEX(tblStock[Producto],'91_KPIS'!$T108))</f>
        <v/>
      </c>
      <c r="F115" s="76" t="str">
        <f>IF($B115="","",INDEX(tblStock[Unidad],'91_KPIS'!$T108))</f>
        <v/>
      </c>
      <c r="G115" s="77" t="str">
        <f>IF($B115="","",INDEX(tblStock[StockActual],'91_KPIS'!$T108))</f>
        <v/>
      </c>
      <c r="H115" s="78" t="str">
        <f>IF($B115="","",INDEX(tblStock[StockMin],'91_KPIS'!$T108))</f>
        <v/>
      </c>
      <c r="I115" s="78" t="str">
        <f>IF($B115="","",INDEX(tblStock[StockMax],'91_KPIS'!$T108))</f>
        <v/>
      </c>
      <c r="J115" s="79" t="str">
        <f>IF($B115="","",INDEX(tblStock[Estado],'91_KPIS'!$T108))</f>
        <v/>
      </c>
      <c r="K115" s="80" t="str">
        <f t="shared" si="2"/>
        <v/>
      </c>
      <c r="L115" s="81" t="str">
        <f>IF($B115="","",INDEX(tblStock[CostoUnitario],'91_KPIS'!$T108))</f>
        <v/>
      </c>
      <c r="M115" s="82" t="str">
        <f t="shared" si="3"/>
        <v/>
      </c>
    </row>
    <row r="116" spans="2:13" ht="15.75" x14ac:dyDescent="0.25">
      <c r="B116" s="74" t="str">
        <f>IF('91_KPIS'!$T109="","",102)</f>
        <v/>
      </c>
      <c r="C116" s="75" t="str">
        <f>IF($B116="","",IF(INDEX(tblStock[Proveedor],'91_KPIS'!$T109)="","(Sin proveedor)",INDEX(tblStock[Proveedor],'91_KPIS'!$T109)))</f>
        <v/>
      </c>
      <c r="D116" s="76" t="str">
        <f>IF($B116="","",INDEX(tblStock[SKU],'91_KPIS'!$T109))</f>
        <v/>
      </c>
      <c r="E116" s="75" t="str">
        <f>IF($B116="","",INDEX(tblStock[Producto],'91_KPIS'!$T109))</f>
        <v/>
      </c>
      <c r="F116" s="76" t="str">
        <f>IF($B116="","",INDEX(tblStock[Unidad],'91_KPIS'!$T109))</f>
        <v/>
      </c>
      <c r="G116" s="77" t="str">
        <f>IF($B116="","",INDEX(tblStock[StockActual],'91_KPIS'!$T109))</f>
        <v/>
      </c>
      <c r="H116" s="78" t="str">
        <f>IF($B116="","",INDEX(tblStock[StockMin],'91_KPIS'!$T109))</f>
        <v/>
      </c>
      <c r="I116" s="78" t="str">
        <f>IF($B116="","",INDEX(tblStock[StockMax],'91_KPIS'!$T109))</f>
        <v/>
      </c>
      <c r="J116" s="79" t="str">
        <f>IF($B116="","",INDEX(tblStock[Estado],'91_KPIS'!$T109))</f>
        <v/>
      </c>
      <c r="K116" s="80" t="str">
        <f t="shared" si="2"/>
        <v/>
      </c>
      <c r="L116" s="81" t="str">
        <f>IF($B116="","",INDEX(tblStock[CostoUnitario],'91_KPIS'!$T109))</f>
        <v/>
      </c>
      <c r="M116" s="82" t="str">
        <f t="shared" si="3"/>
        <v/>
      </c>
    </row>
    <row r="117" spans="2:13" ht="15.75" x14ac:dyDescent="0.25">
      <c r="B117" s="74" t="str">
        <f>IF('91_KPIS'!$T110="","",103)</f>
        <v/>
      </c>
      <c r="C117" s="75" t="str">
        <f>IF($B117="","",IF(INDEX(tblStock[Proveedor],'91_KPIS'!$T110)="","(Sin proveedor)",INDEX(tblStock[Proveedor],'91_KPIS'!$T110)))</f>
        <v/>
      </c>
      <c r="D117" s="76" t="str">
        <f>IF($B117="","",INDEX(tblStock[SKU],'91_KPIS'!$T110))</f>
        <v/>
      </c>
      <c r="E117" s="75" t="str">
        <f>IF($B117="","",INDEX(tblStock[Producto],'91_KPIS'!$T110))</f>
        <v/>
      </c>
      <c r="F117" s="76" t="str">
        <f>IF($B117="","",INDEX(tblStock[Unidad],'91_KPIS'!$T110))</f>
        <v/>
      </c>
      <c r="G117" s="77" t="str">
        <f>IF($B117="","",INDEX(tblStock[StockActual],'91_KPIS'!$T110))</f>
        <v/>
      </c>
      <c r="H117" s="78" t="str">
        <f>IF($B117="","",INDEX(tblStock[StockMin],'91_KPIS'!$T110))</f>
        <v/>
      </c>
      <c r="I117" s="78" t="str">
        <f>IF($B117="","",INDEX(tblStock[StockMax],'91_KPIS'!$T110))</f>
        <v/>
      </c>
      <c r="J117" s="79" t="str">
        <f>IF($B117="","",INDEX(tblStock[Estado],'91_KPIS'!$T110))</f>
        <v/>
      </c>
      <c r="K117" s="80" t="str">
        <f t="shared" si="2"/>
        <v/>
      </c>
      <c r="L117" s="81" t="str">
        <f>IF($B117="","",INDEX(tblStock[CostoUnitario],'91_KPIS'!$T110))</f>
        <v/>
      </c>
      <c r="M117" s="82" t="str">
        <f t="shared" si="3"/>
        <v/>
      </c>
    </row>
    <row r="118" spans="2:13" ht="15.75" x14ac:dyDescent="0.25">
      <c r="B118" s="74" t="str">
        <f>IF('91_KPIS'!$T111="","",104)</f>
        <v/>
      </c>
      <c r="C118" s="75" t="str">
        <f>IF($B118="","",IF(INDEX(tblStock[Proveedor],'91_KPIS'!$T111)="","(Sin proveedor)",INDEX(tblStock[Proveedor],'91_KPIS'!$T111)))</f>
        <v/>
      </c>
      <c r="D118" s="76" t="str">
        <f>IF($B118="","",INDEX(tblStock[SKU],'91_KPIS'!$T111))</f>
        <v/>
      </c>
      <c r="E118" s="75" t="str">
        <f>IF($B118="","",INDEX(tblStock[Producto],'91_KPIS'!$T111))</f>
        <v/>
      </c>
      <c r="F118" s="76" t="str">
        <f>IF($B118="","",INDEX(tblStock[Unidad],'91_KPIS'!$T111))</f>
        <v/>
      </c>
      <c r="G118" s="77" t="str">
        <f>IF($B118="","",INDEX(tblStock[StockActual],'91_KPIS'!$T111))</f>
        <v/>
      </c>
      <c r="H118" s="78" t="str">
        <f>IF($B118="","",INDEX(tblStock[StockMin],'91_KPIS'!$T111))</f>
        <v/>
      </c>
      <c r="I118" s="78" t="str">
        <f>IF($B118="","",INDEX(tblStock[StockMax],'91_KPIS'!$T111))</f>
        <v/>
      </c>
      <c r="J118" s="79" t="str">
        <f>IF($B118="","",INDEX(tblStock[Estado],'91_KPIS'!$T111))</f>
        <v/>
      </c>
      <c r="K118" s="80" t="str">
        <f t="shared" si="2"/>
        <v/>
      </c>
      <c r="L118" s="81" t="str">
        <f>IF($B118="","",INDEX(tblStock[CostoUnitario],'91_KPIS'!$T111))</f>
        <v/>
      </c>
      <c r="M118" s="82" t="str">
        <f t="shared" si="3"/>
        <v/>
      </c>
    </row>
    <row r="119" spans="2:13" ht="15.75" x14ac:dyDescent="0.25">
      <c r="B119" s="74" t="str">
        <f>IF('91_KPIS'!$T112="","",105)</f>
        <v/>
      </c>
      <c r="C119" s="75" t="str">
        <f>IF($B119="","",IF(INDEX(tblStock[Proveedor],'91_KPIS'!$T112)="","(Sin proveedor)",INDEX(tblStock[Proveedor],'91_KPIS'!$T112)))</f>
        <v/>
      </c>
      <c r="D119" s="76" t="str">
        <f>IF($B119="","",INDEX(tblStock[SKU],'91_KPIS'!$T112))</f>
        <v/>
      </c>
      <c r="E119" s="75" t="str">
        <f>IF($B119="","",INDEX(tblStock[Producto],'91_KPIS'!$T112))</f>
        <v/>
      </c>
      <c r="F119" s="76" t="str">
        <f>IF($B119="","",INDEX(tblStock[Unidad],'91_KPIS'!$T112))</f>
        <v/>
      </c>
      <c r="G119" s="77" t="str">
        <f>IF($B119="","",INDEX(tblStock[StockActual],'91_KPIS'!$T112))</f>
        <v/>
      </c>
      <c r="H119" s="78" t="str">
        <f>IF($B119="","",INDEX(tblStock[StockMin],'91_KPIS'!$T112))</f>
        <v/>
      </c>
      <c r="I119" s="78" t="str">
        <f>IF($B119="","",INDEX(tblStock[StockMax],'91_KPIS'!$T112))</f>
        <v/>
      </c>
      <c r="J119" s="79" t="str">
        <f>IF($B119="","",INDEX(tblStock[Estado],'91_KPIS'!$T112))</f>
        <v/>
      </c>
      <c r="K119" s="80" t="str">
        <f t="shared" si="2"/>
        <v/>
      </c>
      <c r="L119" s="81" t="str">
        <f>IF($B119="","",INDEX(tblStock[CostoUnitario],'91_KPIS'!$T112))</f>
        <v/>
      </c>
      <c r="M119" s="82" t="str">
        <f t="shared" si="3"/>
        <v/>
      </c>
    </row>
    <row r="120" spans="2:13" ht="15.75" x14ac:dyDescent="0.25">
      <c r="B120" s="74" t="str">
        <f>IF('91_KPIS'!$T113="","",106)</f>
        <v/>
      </c>
      <c r="C120" s="75" t="str">
        <f>IF($B120="","",IF(INDEX(tblStock[Proveedor],'91_KPIS'!$T113)="","(Sin proveedor)",INDEX(tblStock[Proveedor],'91_KPIS'!$T113)))</f>
        <v/>
      </c>
      <c r="D120" s="76" t="str">
        <f>IF($B120="","",INDEX(tblStock[SKU],'91_KPIS'!$T113))</f>
        <v/>
      </c>
      <c r="E120" s="75" t="str">
        <f>IF($B120="","",INDEX(tblStock[Producto],'91_KPIS'!$T113))</f>
        <v/>
      </c>
      <c r="F120" s="76" t="str">
        <f>IF($B120="","",INDEX(tblStock[Unidad],'91_KPIS'!$T113))</f>
        <v/>
      </c>
      <c r="G120" s="77" t="str">
        <f>IF($B120="","",INDEX(tblStock[StockActual],'91_KPIS'!$T113))</f>
        <v/>
      </c>
      <c r="H120" s="78" t="str">
        <f>IF($B120="","",INDEX(tblStock[StockMin],'91_KPIS'!$T113))</f>
        <v/>
      </c>
      <c r="I120" s="78" t="str">
        <f>IF($B120="","",INDEX(tblStock[StockMax],'91_KPIS'!$T113))</f>
        <v/>
      </c>
      <c r="J120" s="79" t="str">
        <f>IF($B120="","",INDEX(tblStock[Estado],'91_KPIS'!$T113))</f>
        <v/>
      </c>
      <c r="K120" s="80" t="str">
        <f t="shared" si="2"/>
        <v/>
      </c>
      <c r="L120" s="81" t="str">
        <f>IF($B120="","",INDEX(tblStock[CostoUnitario],'91_KPIS'!$T113))</f>
        <v/>
      </c>
      <c r="M120" s="82" t="str">
        <f t="shared" si="3"/>
        <v/>
      </c>
    </row>
    <row r="121" spans="2:13" ht="15.75" x14ac:dyDescent="0.25">
      <c r="B121" s="74" t="str">
        <f>IF('91_KPIS'!$T114="","",107)</f>
        <v/>
      </c>
      <c r="C121" s="75" t="str">
        <f>IF($B121="","",IF(INDEX(tblStock[Proveedor],'91_KPIS'!$T114)="","(Sin proveedor)",INDEX(tblStock[Proveedor],'91_KPIS'!$T114)))</f>
        <v/>
      </c>
      <c r="D121" s="76" t="str">
        <f>IF($B121="","",INDEX(tblStock[SKU],'91_KPIS'!$T114))</f>
        <v/>
      </c>
      <c r="E121" s="75" t="str">
        <f>IF($B121="","",INDEX(tblStock[Producto],'91_KPIS'!$T114))</f>
        <v/>
      </c>
      <c r="F121" s="76" t="str">
        <f>IF($B121="","",INDEX(tblStock[Unidad],'91_KPIS'!$T114))</f>
        <v/>
      </c>
      <c r="G121" s="77" t="str">
        <f>IF($B121="","",INDEX(tblStock[StockActual],'91_KPIS'!$T114))</f>
        <v/>
      </c>
      <c r="H121" s="78" t="str">
        <f>IF($B121="","",INDEX(tblStock[StockMin],'91_KPIS'!$T114))</f>
        <v/>
      </c>
      <c r="I121" s="78" t="str">
        <f>IF($B121="","",INDEX(tblStock[StockMax],'91_KPIS'!$T114))</f>
        <v/>
      </c>
      <c r="J121" s="79" t="str">
        <f>IF($B121="","",INDEX(tblStock[Estado],'91_KPIS'!$T114))</f>
        <v/>
      </c>
      <c r="K121" s="80" t="str">
        <f t="shared" si="2"/>
        <v/>
      </c>
      <c r="L121" s="81" t="str">
        <f>IF($B121="","",INDEX(tblStock[CostoUnitario],'91_KPIS'!$T114))</f>
        <v/>
      </c>
      <c r="M121" s="82" t="str">
        <f t="shared" si="3"/>
        <v/>
      </c>
    </row>
    <row r="122" spans="2:13" ht="15.75" x14ac:dyDescent="0.25">
      <c r="B122" s="74" t="str">
        <f>IF('91_KPIS'!$T115="","",108)</f>
        <v/>
      </c>
      <c r="C122" s="75" t="str">
        <f>IF($B122="","",IF(INDEX(tblStock[Proveedor],'91_KPIS'!$T115)="","(Sin proveedor)",INDEX(tblStock[Proveedor],'91_KPIS'!$T115)))</f>
        <v/>
      </c>
      <c r="D122" s="76" t="str">
        <f>IF($B122="","",INDEX(tblStock[SKU],'91_KPIS'!$T115))</f>
        <v/>
      </c>
      <c r="E122" s="75" t="str">
        <f>IF($B122="","",INDEX(tblStock[Producto],'91_KPIS'!$T115))</f>
        <v/>
      </c>
      <c r="F122" s="76" t="str">
        <f>IF($B122="","",INDEX(tblStock[Unidad],'91_KPIS'!$T115))</f>
        <v/>
      </c>
      <c r="G122" s="77" t="str">
        <f>IF($B122="","",INDEX(tblStock[StockActual],'91_KPIS'!$T115))</f>
        <v/>
      </c>
      <c r="H122" s="78" t="str">
        <f>IF($B122="","",INDEX(tblStock[StockMin],'91_KPIS'!$T115))</f>
        <v/>
      </c>
      <c r="I122" s="78" t="str">
        <f>IF($B122="","",INDEX(tblStock[StockMax],'91_KPIS'!$T115))</f>
        <v/>
      </c>
      <c r="J122" s="79" t="str">
        <f>IF($B122="","",INDEX(tblStock[Estado],'91_KPIS'!$T115))</f>
        <v/>
      </c>
      <c r="K122" s="80" t="str">
        <f t="shared" si="2"/>
        <v/>
      </c>
      <c r="L122" s="81" t="str">
        <f>IF($B122="","",INDEX(tblStock[CostoUnitario],'91_KPIS'!$T115))</f>
        <v/>
      </c>
      <c r="M122" s="82" t="str">
        <f t="shared" si="3"/>
        <v/>
      </c>
    </row>
    <row r="123" spans="2:13" ht="15.75" x14ac:dyDescent="0.25">
      <c r="B123" s="74" t="str">
        <f>IF('91_KPIS'!$T116="","",109)</f>
        <v/>
      </c>
      <c r="C123" s="75" t="str">
        <f>IF($B123="","",IF(INDEX(tblStock[Proveedor],'91_KPIS'!$T116)="","(Sin proveedor)",INDEX(tblStock[Proveedor],'91_KPIS'!$T116)))</f>
        <v/>
      </c>
      <c r="D123" s="76" t="str">
        <f>IF($B123="","",INDEX(tblStock[SKU],'91_KPIS'!$T116))</f>
        <v/>
      </c>
      <c r="E123" s="75" t="str">
        <f>IF($B123="","",INDEX(tblStock[Producto],'91_KPIS'!$T116))</f>
        <v/>
      </c>
      <c r="F123" s="76" t="str">
        <f>IF($B123="","",INDEX(tblStock[Unidad],'91_KPIS'!$T116))</f>
        <v/>
      </c>
      <c r="G123" s="77" t="str">
        <f>IF($B123="","",INDEX(tblStock[StockActual],'91_KPIS'!$T116))</f>
        <v/>
      </c>
      <c r="H123" s="78" t="str">
        <f>IF($B123="","",INDEX(tblStock[StockMin],'91_KPIS'!$T116))</f>
        <v/>
      </c>
      <c r="I123" s="78" t="str">
        <f>IF($B123="","",INDEX(tblStock[StockMax],'91_KPIS'!$T116))</f>
        <v/>
      </c>
      <c r="J123" s="79" t="str">
        <f>IF($B123="","",INDEX(tblStock[Estado],'91_KPIS'!$T116))</f>
        <v/>
      </c>
      <c r="K123" s="80" t="str">
        <f t="shared" si="2"/>
        <v/>
      </c>
      <c r="L123" s="81" t="str">
        <f>IF($B123="","",INDEX(tblStock[CostoUnitario],'91_KPIS'!$T116))</f>
        <v/>
      </c>
      <c r="M123" s="82" t="str">
        <f t="shared" si="3"/>
        <v/>
      </c>
    </row>
    <row r="124" spans="2:13" ht="15.75" x14ac:dyDescent="0.25">
      <c r="B124" s="74" t="str">
        <f>IF('91_KPIS'!$T117="","",110)</f>
        <v/>
      </c>
      <c r="C124" s="75" t="str">
        <f>IF($B124="","",IF(INDEX(tblStock[Proveedor],'91_KPIS'!$T117)="","(Sin proveedor)",INDEX(tblStock[Proveedor],'91_KPIS'!$T117)))</f>
        <v/>
      </c>
      <c r="D124" s="76" t="str">
        <f>IF($B124="","",INDEX(tblStock[SKU],'91_KPIS'!$T117))</f>
        <v/>
      </c>
      <c r="E124" s="75" t="str">
        <f>IF($B124="","",INDEX(tblStock[Producto],'91_KPIS'!$T117))</f>
        <v/>
      </c>
      <c r="F124" s="76" t="str">
        <f>IF($B124="","",INDEX(tblStock[Unidad],'91_KPIS'!$T117))</f>
        <v/>
      </c>
      <c r="G124" s="77" t="str">
        <f>IF($B124="","",INDEX(tblStock[StockActual],'91_KPIS'!$T117))</f>
        <v/>
      </c>
      <c r="H124" s="78" t="str">
        <f>IF($B124="","",INDEX(tblStock[StockMin],'91_KPIS'!$T117))</f>
        <v/>
      </c>
      <c r="I124" s="78" t="str">
        <f>IF($B124="","",INDEX(tblStock[StockMax],'91_KPIS'!$T117))</f>
        <v/>
      </c>
      <c r="J124" s="79" t="str">
        <f>IF($B124="","",INDEX(tblStock[Estado],'91_KPIS'!$T117))</f>
        <v/>
      </c>
      <c r="K124" s="80" t="str">
        <f t="shared" si="2"/>
        <v/>
      </c>
      <c r="L124" s="81" t="str">
        <f>IF($B124="","",INDEX(tblStock[CostoUnitario],'91_KPIS'!$T117))</f>
        <v/>
      </c>
      <c r="M124" s="82" t="str">
        <f t="shared" si="3"/>
        <v/>
      </c>
    </row>
    <row r="125" spans="2:13" ht="15.75" x14ac:dyDescent="0.25">
      <c r="B125" s="74" t="str">
        <f>IF('91_KPIS'!$T118="","",111)</f>
        <v/>
      </c>
      <c r="C125" s="75" t="str">
        <f>IF($B125="","",IF(INDEX(tblStock[Proveedor],'91_KPIS'!$T118)="","(Sin proveedor)",INDEX(tblStock[Proveedor],'91_KPIS'!$T118)))</f>
        <v/>
      </c>
      <c r="D125" s="76" t="str">
        <f>IF($B125="","",INDEX(tblStock[SKU],'91_KPIS'!$T118))</f>
        <v/>
      </c>
      <c r="E125" s="75" t="str">
        <f>IF($B125="","",INDEX(tblStock[Producto],'91_KPIS'!$T118))</f>
        <v/>
      </c>
      <c r="F125" s="76" t="str">
        <f>IF($B125="","",INDEX(tblStock[Unidad],'91_KPIS'!$T118))</f>
        <v/>
      </c>
      <c r="G125" s="77" t="str">
        <f>IF($B125="","",INDEX(tblStock[StockActual],'91_KPIS'!$T118))</f>
        <v/>
      </c>
      <c r="H125" s="78" t="str">
        <f>IF($B125="","",INDEX(tblStock[StockMin],'91_KPIS'!$T118))</f>
        <v/>
      </c>
      <c r="I125" s="78" t="str">
        <f>IF($B125="","",INDEX(tblStock[StockMax],'91_KPIS'!$T118))</f>
        <v/>
      </c>
      <c r="J125" s="79" t="str">
        <f>IF($B125="","",INDEX(tblStock[Estado],'91_KPIS'!$T118))</f>
        <v/>
      </c>
      <c r="K125" s="80" t="str">
        <f t="shared" si="2"/>
        <v/>
      </c>
      <c r="L125" s="81" t="str">
        <f>IF($B125="","",INDEX(tblStock[CostoUnitario],'91_KPIS'!$T118))</f>
        <v/>
      </c>
      <c r="M125" s="82" t="str">
        <f t="shared" si="3"/>
        <v/>
      </c>
    </row>
    <row r="126" spans="2:13" ht="15.75" x14ac:dyDescent="0.25">
      <c r="B126" s="74" t="str">
        <f>IF('91_KPIS'!$T119="","",112)</f>
        <v/>
      </c>
      <c r="C126" s="75" t="str">
        <f>IF($B126="","",IF(INDEX(tblStock[Proveedor],'91_KPIS'!$T119)="","(Sin proveedor)",INDEX(tblStock[Proveedor],'91_KPIS'!$T119)))</f>
        <v/>
      </c>
      <c r="D126" s="76" t="str">
        <f>IF($B126="","",INDEX(tblStock[SKU],'91_KPIS'!$T119))</f>
        <v/>
      </c>
      <c r="E126" s="75" t="str">
        <f>IF($B126="","",INDEX(tblStock[Producto],'91_KPIS'!$T119))</f>
        <v/>
      </c>
      <c r="F126" s="76" t="str">
        <f>IF($B126="","",INDEX(tblStock[Unidad],'91_KPIS'!$T119))</f>
        <v/>
      </c>
      <c r="G126" s="77" t="str">
        <f>IF($B126="","",INDEX(tblStock[StockActual],'91_KPIS'!$T119))</f>
        <v/>
      </c>
      <c r="H126" s="78" t="str">
        <f>IF($B126="","",INDEX(tblStock[StockMin],'91_KPIS'!$T119))</f>
        <v/>
      </c>
      <c r="I126" s="78" t="str">
        <f>IF($B126="","",INDEX(tblStock[StockMax],'91_KPIS'!$T119))</f>
        <v/>
      </c>
      <c r="J126" s="79" t="str">
        <f>IF($B126="","",INDEX(tblStock[Estado],'91_KPIS'!$T119))</f>
        <v/>
      </c>
      <c r="K126" s="80" t="str">
        <f t="shared" si="2"/>
        <v/>
      </c>
      <c r="L126" s="81" t="str">
        <f>IF($B126="","",INDEX(tblStock[CostoUnitario],'91_KPIS'!$T119))</f>
        <v/>
      </c>
      <c r="M126" s="82" t="str">
        <f t="shared" si="3"/>
        <v/>
      </c>
    </row>
    <row r="127" spans="2:13" ht="15.75" x14ac:dyDescent="0.25">
      <c r="B127" s="74" t="str">
        <f>IF('91_KPIS'!$T120="","",113)</f>
        <v/>
      </c>
      <c r="C127" s="75" t="str">
        <f>IF($B127="","",IF(INDEX(tblStock[Proveedor],'91_KPIS'!$T120)="","(Sin proveedor)",INDEX(tblStock[Proveedor],'91_KPIS'!$T120)))</f>
        <v/>
      </c>
      <c r="D127" s="76" t="str">
        <f>IF($B127="","",INDEX(tblStock[SKU],'91_KPIS'!$T120))</f>
        <v/>
      </c>
      <c r="E127" s="75" t="str">
        <f>IF($B127="","",INDEX(tblStock[Producto],'91_KPIS'!$T120))</f>
        <v/>
      </c>
      <c r="F127" s="76" t="str">
        <f>IF($B127="","",INDEX(tblStock[Unidad],'91_KPIS'!$T120))</f>
        <v/>
      </c>
      <c r="G127" s="77" t="str">
        <f>IF($B127="","",INDEX(tblStock[StockActual],'91_KPIS'!$T120))</f>
        <v/>
      </c>
      <c r="H127" s="78" t="str">
        <f>IF($B127="","",INDEX(tblStock[StockMin],'91_KPIS'!$T120))</f>
        <v/>
      </c>
      <c r="I127" s="78" t="str">
        <f>IF($B127="","",INDEX(tblStock[StockMax],'91_KPIS'!$T120))</f>
        <v/>
      </c>
      <c r="J127" s="79" t="str">
        <f>IF($B127="","",INDEX(tblStock[Estado],'91_KPIS'!$T120))</f>
        <v/>
      </c>
      <c r="K127" s="80" t="str">
        <f t="shared" si="2"/>
        <v/>
      </c>
      <c r="L127" s="81" t="str">
        <f>IF($B127="","",INDEX(tblStock[CostoUnitario],'91_KPIS'!$T120))</f>
        <v/>
      </c>
      <c r="M127" s="82" t="str">
        <f t="shared" si="3"/>
        <v/>
      </c>
    </row>
    <row r="128" spans="2:13" ht="15.75" x14ac:dyDescent="0.25">
      <c r="B128" s="74" t="str">
        <f>IF('91_KPIS'!$T121="","",114)</f>
        <v/>
      </c>
      <c r="C128" s="75" t="str">
        <f>IF($B128="","",IF(INDEX(tblStock[Proveedor],'91_KPIS'!$T121)="","(Sin proveedor)",INDEX(tblStock[Proveedor],'91_KPIS'!$T121)))</f>
        <v/>
      </c>
      <c r="D128" s="76" t="str">
        <f>IF($B128="","",INDEX(tblStock[SKU],'91_KPIS'!$T121))</f>
        <v/>
      </c>
      <c r="E128" s="75" t="str">
        <f>IF($B128="","",INDEX(tblStock[Producto],'91_KPIS'!$T121))</f>
        <v/>
      </c>
      <c r="F128" s="76" t="str">
        <f>IF($B128="","",INDEX(tblStock[Unidad],'91_KPIS'!$T121))</f>
        <v/>
      </c>
      <c r="G128" s="77" t="str">
        <f>IF($B128="","",INDEX(tblStock[StockActual],'91_KPIS'!$T121))</f>
        <v/>
      </c>
      <c r="H128" s="78" t="str">
        <f>IF($B128="","",INDEX(tblStock[StockMin],'91_KPIS'!$T121))</f>
        <v/>
      </c>
      <c r="I128" s="78" t="str">
        <f>IF($B128="","",INDEX(tblStock[StockMax],'91_KPIS'!$T121))</f>
        <v/>
      </c>
      <c r="J128" s="79" t="str">
        <f>IF($B128="","",INDEX(tblStock[Estado],'91_KPIS'!$T121))</f>
        <v/>
      </c>
      <c r="K128" s="80" t="str">
        <f t="shared" si="2"/>
        <v/>
      </c>
      <c r="L128" s="81" t="str">
        <f>IF($B128="","",INDEX(tblStock[CostoUnitario],'91_KPIS'!$T121))</f>
        <v/>
      </c>
      <c r="M128" s="82" t="str">
        <f t="shared" si="3"/>
        <v/>
      </c>
    </row>
    <row r="129" spans="2:13" ht="15.75" x14ac:dyDescent="0.25">
      <c r="B129" s="74" t="str">
        <f>IF('91_KPIS'!$T122="","",115)</f>
        <v/>
      </c>
      <c r="C129" s="75" t="str">
        <f>IF($B129="","",IF(INDEX(tblStock[Proveedor],'91_KPIS'!$T122)="","(Sin proveedor)",INDEX(tblStock[Proveedor],'91_KPIS'!$T122)))</f>
        <v/>
      </c>
      <c r="D129" s="76" t="str">
        <f>IF($B129="","",INDEX(tblStock[SKU],'91_KPIS'!$T122))</f>
        <v/>
      </c>
      <c r="E129" s="75" t="str">
        <f>IF($B129="","",INDEX(tblStock[Producto],'91_KPIS'!$T122))</f>
        <v/>
      </c>
      <c r="F129" s="76" t="str">
        <f>IF($B129="","",INDEX(tblStock[Unidad],'91_KPIS'!$T122))</f>
        <v/>
      </c>
      <c r="G129" s="77" t="str">
        <f>IF($B129="","",INDEX(tblStock[StockActual],'91_KPIS'!$T122))</f>
        <v/>
      </c>
      <c r="H129" s="78" t="str">
        <f>IF($B129="","",INDEX(tblStock[StockMin],'91_KPIS'!$T122))</f>
        <v/>
      </c>
      <c r="I129" s="78" t="str">
        <f>IF($B129="","",INDEX(tblStock[StockMax],'91_KPIS'!$T122))</f>
        <v/>
      </c>
      <c r="J129" s="79" t="str">
        <f>IF($B129="","",INDEX(tblStock[Estado],'91_KPIS'!$T122))</f>
        <v/>
      </c>
      <c r="K129" s="80" t="str">
        <f t="shared" si="2"/>
        <v/>
      </c>
      <c r="L129" s="81" t="str">
        <f>IF($B129="","",INDEX(tblStock[CostoUnitario],'91_KPIS'!$T122))</f>
        <v/>
      </c>
      <c r="M129" s="82" t="str">
        <f t="shared" si="3"/>
        <v/>
      </c>
    </row>
    <row r="130" spans="2:13" ht="15.75" x14ac:dyDescent="0.25">
      <c r="B130" s="74" t="str">
        <f>IF('91_KPIS'!$T123="","",116)</f>
        <v/>
      </c>
      <c r="C130" s="75" t="str">
        <f>IF($B130="","",IF(INDEX(tblStock[Proveedor],'91_KPIS'!$T123)="","(Sin proveedor)",INDEX(tblStock[Proveedor],'91_KPIS'!$T123)))</f>
        <v/>
      </c>
      <c r="D130" s="76" t="str">
        <f>IF($B130="","",INDEX(tblStock[SKU],'91_KPIS'!$T123))</f>
        <v/>
      </c>
      <c r="E130" s="75" t="str">
        <f>IF($B130="","",INDEX(tblStock[Producto],'91_KPIS'!$T123))</f>
        <v/>
      </c>
      <c r="F130" s="76" t="str">
        <f>IF($B130="","",INDEX(tblStock[Unidad],'91_KPIS'!$T123))</f>
        <v/>
      </c>
      <c r="G130" s="77" t="str">
        <f>IF($B130="","",INDEX(tblStock[StockActual],'91_KPIS'!$T123))</f>
        <v/>
      </c>
      <c r="H130" s="78" t="str">
        <f>IF($B130="","",INDEX(tblStock[StockMin],'91_KPIS'!$T123))</f>
        <v/>
      </c>
      <c r="I130" s="78" t="str">
        <f>IF($B130="","",INDEX(tblStock[StockMax],'91_KPIS'!$T123))</f>
        <v/>
      </c>
      <c r="J130" s="79" t="str">
        <f>IF($B130="","",INDEX(tblStock[Estado],'91_KPIS'!$T123))</f>
        <v/>
      </c>
      <c r="K130" s="80" t="str">
        <f t="shared" si="2"/>
        <v/>
      </c>
      <c r="L130" s="81" t="str">
        <f>IF($B130="","",INDEX(tblStock[CostoUnitario],'91_KPIS'!$T123))</f>
        <v/>
      </c>
      <c r="M130" s="82" t="str">
        <f t="shared" si="3"/>
        <v/>
      </c>
    </row>
    <row r="131" spans="2:13" ht="15.75" x14ac:dyDescent="0.25">
      <c r="B131" s="74" t="str">
        <f>IF('91_KPIS'!$T124="","",117)</f>
        <v/>
      </c>
      <c r="C131" s="75" t="str">
        <f>IF($B131="","",IF(INDEX(tblStock[Proveedor],'91_KPIS'!$T124)="","(Sin proveedor)",INDEX(tblStock[Proveedor],'91_KPIS'!$T124)))</f>
        <v/>
      </c>
      <c r="D131" s="76" t="str">
        <f>IF($B131="","",INDEX(tblStock[SKU],'91_KPIS'!$T124))</f>
        <v/>
      </c>
      <c r="E131" s="75" t="str">
        <f>IF($B131="","",INDEX(tblStock[Producto],'91_KPIS'!$T124))</f>
        <v/>
      </c>
      <c r="F131" s="76" t="str">
        <f>IF($B131="","",INDEX(tblStock[Unidad],'91_KPIS'!$T124))</f>
        <v/>
      </c>
      <c r="G131" s="77" t="str">
        <f>IF($B131="","",INDEX(tblStock[StockActual],'91_KPIS'!$T124))</f>
        <v/>
      </c>
      <c r="H131" s="78" t="str">
        <f>IF($B131="","",INDEX(tblStock[StockMin],'91_KPIS'!$T124))</f>
        <v/>
      </c>
      <c r="I131" s="78" t="str">
        <f>IF($B131="","",INDEX(tblStock[StockMax],'91_KPIS'!$T124))</f>
        <v/>
      </c>
      <c r="J131" s="79" t="str">
        <f>IF($B131="","",INDEX(tblStock[Estado],'91_KPIS'!$T124))</f>
        <v/>
      </c>
      <c r="K131" s="80" t="str">
        <f t="shared" si="2"/>
        <v/>
      </c>
      <c r="L131" s="81" t="str">
        <f>IF($B131="","",INDEX(tblStock[CostoUnitario],'91_KPIS'!$T124))</f>
        <v/>
      </c>
      <c r="M131" s="82" t="str">
        <f t="shared" si="3"/>
        <v/>
      </c>
    </row>
    <row r="132" spans="2:13" ht="15.75" x14ac:dyDescent="0.25">
      <c r="B132" s="74" t="str">
        <f>IF('91_KPIS'!$T125="","",118)</f>
        <v/>
      </c>
      <c r="C132" s="75" t="str">
        <f>IF($B132="","",IF(INDEX(tblStock[Proveedor],'91_KPIS'!$T125)="","(Sin proveedor)",INDEX(tblStock[Proveedor],'91_KPIS'!$T125)))</f>
        <v/>
      </c>
      <c r="D132" s="76" t="str">
        <f>IF($B132="","",INDEX(tblStock[SKU],'91_KPIS'!$T125))</f>
        <v/>
      </c>
      <c r="E132" s="75" t="str">
        <f>IF($B132="","",INDEX(tblStock[Producto],'91_KPIS'!$T125))</f>
        <v/>
      </c>
      <c r="F132" s="76" t="str">
        <f>IF($B132="","",INDEX(tblStock[Unidad],'91_KPIS'!$T125))</f>
        <v/>
      </c>
      <c r="G132" s="77" t="str">
        <f>IF($B132="","",INDEX(tblStock[StockActual],'91_KPIS'!$T125))</f>
        <v/>
      </c>
      <c r="H132" s="78" t="str">
        <f>IF($B132="","",INDEX(tblStock[StockMin],'91_KPIS'!$T125))</f>
        <v/>
      </c>
      <c r="I132" s="78" t="str">
        <f>IF($B132="","",INDEX(tblStock[StockMax],'91_KPIS'!$T125))</f>
        <v/>
      </c>
      <c r="J132" s="79" t="str">
        <f>IF($B132="","",INDEX(tblStock[Estado],'91_KPIS'!$T125))</f>
        <v/>
      </c>
      <c r="K132" s="80" t="str">
        <f t="shared" si="2"/>
        <v/>
      </c>
      <c r="L132" s="81" t="str">
        <f>IF($B132="","",INDEX(tblStock[CostoUnitario],'91_KPIS'!$T125))</f>
        <v/>
      </c>
      <c r="M132" s="82" t="str">
        <f t="shared" si="3"/>
        <v/>
      </c>
    </row>
    <row r="133" spans="2:13" ht="15.75" x14ac:dyDescent="0.25">
      <c r="B133" s="74" t="str">
        <f>IF('91_KPIS'!$T126="","",119)</f>
        <v/>
      </c>
      <c r="C133" s="75" t="str">
        <f>IF($B133="","",IF(INDEX(tblStock[Proveedor],'91_KPIS'!$T126)="","(Sin proveedor)",INDEX(tblStock[Proveedor],'91_KPIS'!$T126)))</f>
        <v/>
      </c>
      <c r="D133" s="76" t="str">
        <f>IF($B133="","",INDEX(tblStock[SKU],'91_KPIS'!$T126))</f>
        <v/>
      </c>
      <c r="E133" s="75" t="str">
        <f>IF($B133="","",INDEX(tblStock[Producto],'91_KPIS'!$T126))</f>
        <v/>
      </c>
      <c r="F133" s="76" t="str">
        <f>IF($B133="","",INDEX(tblStock[Unidad],'91_KPIS'!$T126))</f>
        <v/>
      </c>
      <c r="G133" s="77" t="str">
        <f>IF($B133="","",INDEX(tblStock[StockActual],'91_KPIS'!$T126))</f>
        <v/>
      </c>
      <c r="H133" s="78" t="str">
        <f>IF($B133="","",INDEX(tblStock[StockMin],'91_KPIS'!$T126))</f>
        <v/>
      </c>
      <c r="I133" s="78" t="str">
        <f>IF($B133="","",INDEX(tblStock[StockMax],'91_KPIS'!$T126))</f>
        <v/>
      </c>
      <c r="J133" s="79" t="str">
        <f>IF($B133="","",INDEX(tblStock[Estado],'91_KPIS'!$T126))</f>
        <v/>
      </c>
      <c r="K133" s="80" t="str">
        <f t="shared" si="2"/>
        <v/>
      </c>
      <c r="L133" s="81" t="str">
        <f>IF($B133="","",INDEX(tblStock[CostoUnitario],'91_KPIS'!$T126))</f>
        <v/>
      </c>
      <c r="M133" s="82" t="str">
        <f t="shared" si="3"/>
        <v/>
      </c>
    </row>
    <row r="134" spans="2:13" ht="15.75" x14ac:dyDescent="0.25">
      <c r="B134" s="74" t="str">
        <f>IF('91_KPIS'!$T127="","",120)</f>
        <v/>
      </c>
      <c r="C134" s="75" t="str">
        <f>IF($B134="","",IF(INDEX(tblStock[Proveedor],'91_KPIS'!$T127)="","(Sin proveedor)",INDEX(tblStock[Proveedor],'91_KPIS'!$T127)))</f>
        <v/>
      </c>
      <c r="D134" s="76" t="str">
        <f>IF($B134="","",INDEX(tblStock[SKU],'91_KPIS'!$T127))</f>
        <v/>
      </c>
      <c r="E134" s="75" t="str">
        <f>IF($B134="","",INDEX(tblStock[Producto],'91_KPIS'!$T127))</f>
        <v/>
      </c>
      <c r="F134" s="76" t="str">
        <f>IF($B134="","",INDEX(tblStock[Unidad],'91_KPIS'!$T127))</f>
        <v/>
      </c>
      <c r="G134" s="77" t="str">
        <f>IF($B134="","",INDEX(tblStock[StockActual],'91_KPIS'!$T127))</f>
        <v/>
      </c>
      <c r="H134" s="78" t="str">
        <f>IF($B134="","",INDEX(tblStock[StockMin],'91_KPIS'!$T127))</f>
        <v/>
      </c>
      <c r="I134" s="78" t="str">
        <f>IF($B134="","",INDEX(tblStock[StockMax],'91_KPIS'!$T127))</f>
        <v/>
      </c>
      <c r="J134" s="79" t="str">
        <f>IF($B134="","",INDEX(tblStock[Estado],'91_KPIS'!$T127))</f>
        <v/>
      </c>
      <c r="K134" s="80" t="str">
        <f t="shared" si="2"/>
        <v/>
      </c>
      <c r="L134" s="81" t="str">
        <f>IF($B134="","",INDEX(tblStock[CostoUnitario],'91_KPIS'!$T127))</f>
        <v/>
      </c>
      <c r="M134" s="82" t="str">
        <f t="shared" si="3"/>
        <v/>
      </c>
    </row>
    <row r="135" spans="2:13" ht="15.75" x14ac:dyDescent="0.25">
      <c r="B135" s="74" t="str">
        <f>IF('91_KPIS'!$T128="","",121)</f>
        <v/>
      </c>
      <c r="C135" s="75" t="str">
        <f>IF($B135="","",IF(INDEX(tblStock[Proveedor],'91_KPIS'!$T128)="","(Sin proveedor)",INDEX(tblStock[Proveedor],'91_KPIS'!$T128)))</f>
        <v/>
      </c>
      <c r="D135" s="76" t="str">
        <f>IF($B135="","",INDEX(tblStock[SKU],'91_KPIS'!$T128))</f>
        <v/>
      </c>
      <c r="E135" s="75" t="str">
        <f>IF($B135="","",INDEX(tblStock[Producto],'91_KPIS'!$T128))</f>
        <v/>
      </c>
      <c r="F135" s="76" t="str">
        <f>IF($B135="","",INDEX(tblStock[Unidad],'91_KPIS'!$T128))</f>
        <v/>
      </c>
      <c r="G135" s="77" t="str">
        <f>IF($B135="","",INDEX(tblStock[StockActual],'91_KPIS'!$T128))</f>
        <v/>
      </c>
      <c r="H135" s="78" t="str">
        <f>IF($B135="","",INDEX(tblStock[StockMin],'91_KPIS'!$T128))</f>
        <v/>
      </c>
      <c r="I135" s="78" t="str">
        <f>IF($B135="","",INDEX(tblStock[StockMax],'91_KPIS'!$T128))</f>
        <v/>
      </c>
      <c r="J135" s="79" t="str">
        <f>IF($B135="","",INDEX(tblStock[Estado],'91_KPIS'!$T128))</f>
        <v/>
      </c>
      <c r="K135" s="80" t="str">
        <f t="shared" si="2"/>
        <v/>
      </c>
      <c r="L135" s="81" t="str">
        <f>IF($B135="","",INDEX(tblStock[CostoUnitario],'91_KPIS'!$T128))</f>
        <v/>
      </c>
      <c r="M135" s="82" t="str">
        <f t="shared" si="3"/>
        <v/>
      </c>
    </row>
    <row r="136" spans="2:13" ht="15.75" x14ac:dyDescent="0.25">
      <c r="B136" s="74" t="str">
        <f>IF('91_KPIS'!$T129="","",122)</f>
        <v/>
      </c>
      <c r="C136" s="75" t="str">
        <f>IF($B136="","",IF(INDEX(tblStock[Proveedor],'91_KPIS'!$T129)="","(Sin proveedor)",INDEX(tblStock[Proveedor],'91_KPIS'!$T129)))</f>
        <v/>
      </c>
      <c r="D136" s="76" t="str">
        <f>IF($B136="","",INDEX(tblStock[SKU],'91_KPIS'!$T129))</f>
        <v/>
      </c>
      <c r="E136" s="75" t="str">
        <f>IF($B136="","",INDEX(tblStock[Producto],'91_KPIS'!$T129))</f>
        <v/>
      </c>
      <c r="F136" s="76" t="str">
        <f>IF($B136="","",INDEX(tblStock[Unidad],'91_KPIS'!$T129))</f>
        <v/>
      </c>
      <c r="G136" s="77" t="str">
        <f>IF($B136="","",INDEX(tblStock[StockActual],'91_KPIS'!$T129))</f>
        <v/>
      </c>
      <c r="H136" s="78" t="str">
        <f>IF($B136="","",INDEX(tblStock[StockMin],'91_KPIS'!$T129))</f>
        <v/>
      </c>
      <c r="I136" s="78" t="str">
        <f>IF($B136="","",INDEX(tblStock[StockMax],'91_KPIS'!$T129))</f>
        <v/>
      </c>
      <c r="J136" s="79" t="str">
        <f>IF($B136="","",INDEX(tblStock[Estado],'91_KPIS'!$T129))</f>
        <v/>
      </c>
      <c r="K136" s="80" t="str">
        <f t="shared" si="2"/>
        <v/>
      </c>
      <c r="L136" s="81" t="str">
        <f>IF($B136="","",INDEX(tblStock[CostoUnitario],'91_KPIS'!$T129))</f>
        <v/>
      </c>
      <c r="M136" s="82" t="str">
        <f t="shared" si="3"/>
        <v/>
      </c>
    </row>
    <row r="137" spans="2:13" ht="15.75" x14ac:dyDescent="0.25">
      <c r="B137" s="74" t="str">
        <f>IF('91_KPIS'!$T130="","",123)</f>
        <v/>
      </c>
      <c r="C137" s="75" t="str">
        <f>IF($B137="","",IF(INDEX(tblStock[Proveedor],'91_KPIS'!$T130)="","(Sin proveedor)",INDEX(tblStock[Proveedor],'91_KPIS'!$T130)))</f>
        <v/>
      </c>
      <c r="D137" s="76" t="str">
        <f>IF($B137="","",INDEX(tblStock[SKU],'91_KPIS'!$T130))</f>
        <v/>
      </c>
      <c r="E137" s="75" t="str">
        <f>IF($B137="","",INDEX(tblStock[Producto],'91_KPIS'!$T130))</f>
        <v/>
      </c>
      <c r="F137" s="76" t="str">
        <f>IF($B137="","",INDEX(tblStock[Unidad],'91_KPIS'!$T130))</f>
        <v/>
      </c>
      <c r="G137" s="77" t="str">
        <f>IF($B137="","",INDEX(tblStock[StockActual],'91_KPIS'!$T130))</f>
        <v/>
      </c>
      <c r="H137" s="78" t="str">
        <f>IF($B137="","",INDEX(tblStock[StockMin],'91_KPIS'!$T130))</f>
        <v/>
      </c>
      <c r="I137" s="78" t="str">
        <f>IF($B137="","",INDEX(tblStock[StockMax],'91_KPIS'!$T130))</f>
        <v/>
      </c>
      <c r="J137" s="79" t="str">
        <f>IF($B137="","",INDEX(tblStock[Estado],'91_KPIS'!$T130))</f>
        <v/>
      </c>
      <c r="K137" s="80" t="str">
        <f t="shared" si="2"/>
        <v/>
      </c>
      <c r="L137" s="81" t="str">
        <f>IF($B137="","",INDEX(tblStock[CostoUnitario],'91_KPIS'!$T130))</f>
        <v/>
      </c>
      <c r="M137" s="82" t="str">
        <f t="shared" si="3"/>
        <v/>
      </c>
    </row>
    <row r="138" spans="2:13" ht="15.75" x14ac:dyDescent="0.25">
      <c r="B138" s="74" t="str">
        <f>IF('91_KPIS'!$T131="","",124)</f>
        <v/>
      </c>
      <c r="C138" s="75" t="str">
        <f>IF($B138="","",IF(INDEX(tblStock[Proveedor],'91_KPIS'!$T131)="","(Sin proveedor)",INDEX(tblStock[Proveedor],'91_KPIS'!$T131)))</f>
        <v/>
      </c>
      <c r="D138" s="76" t="str">
        <f>IF($B138="","",INDEX(tblStock[SKU],'91_KPIS'!$T131))</f>
        <v/>
      </c>
      <c r="E138" s="75" t="str">
        <f>IF($B138="","",INDEX(tblStock[Producto],'91_KPIS'!$T131))</f>
        <v/>
      </c>
      <c r="F138" s="76" t="str">
        <f>IF($B138="","",INDEX(tblStock[Unidad],'91_KPIS'!$T131))</f>
        <v/>
      </c>
      <c r="G138" s="77" t="str">
        <f>IF($B138="","",INDEX(tblStock[StockActual],'91_KPIS'!$T131))</f>
        <v/>
      </c>
      <c r="H138" s="78" t="str">
        <f>IF($B138="","",INDEX(tblStock[StockMin],'91_KPIS'!$T131))</f>
        <v/>
      </c>
      <c r="I138" s="78" t="str">
        <f>IF($B138="","",INDEX(tblStock[StockMax],'91_KPIS'!$T131))</f>
        <v/>
      </c>
      <c r="J138" s="79" t="str">
        <f>IF($B138="","",INDEX(tblStock[Estado],'91_KPIS'!$T131))</f>
        <v/>
      </c>
      <c r="K138" s="80" t="str">
        <f t="shared" si="2"/>
        <v/>
      </c>
      <c r="L138" s="81" t="str">
        <f>IF($B138="","",INDEX(tblStock[CostoUnitario],'91_KPIS'!$T131))</f>
        <v/>
      </c>
      <c r="M138" s="82" t="str">
        <f t="shared" si="3"/>
        <v/>
      </c>
    </row>
    <row r="139" spans="2:13" ht="15.75" x14ac:dyDescent="0.25">
      <c r="B139" s="74" t="str">
        <f>IF('91_KPIS'!$T132="","",125)</f>
        <v/>
      </c>
      <c r="C139" s="75" t="str">
        <f>IF($B139="","",IF(INDEX(tblStock[Proveedor],'91_KPIS'!$T132)="","(Sin proveedor)",INDEX(tblStock[Proveedor],'91_KPIS'!$T132)))</f>
        <v/>
      </c>
      <c r="D139" s="76" t="str">
        <f>IF($B139="","",INDEX(tblStock[SKU],'91_KPIS'!$T132))</f>
        <v/>
      </c>
      <c r="E139" s="75" t="str">
        <f>IF($B139="","",INDEX(tblStock[Producto],'91_KPIS'!$T132))</f>
        <v/>
      </c>
      <c r="F139" s="76" t="str">
        <f>IF($B139="","",INDEX(tblStock[Unidad],'91_KPIS'!$T132))</f>
        <v/>
      </c>
      <c r="G139" s="77" t="str">
        <f>IF($B139="","",INDEX(tblStock[StockActual],'91_KPIS'!$T132))</f>
        <v/>
      </c>
      <c r="H139" s="78" t="str">
        <f>IF($B139="","",INDEX(tblStock[StockMin],'91_KPIS'!$T132))</f>
        <v/>
      </c>
      <c r="I139" s="78" t="str">
        <f>IF($B139="","",INDEX(tblStock[StockMax],'91_KPIS'!$T132))</f>
        <v/>
      </c>
      <c r="J139" s="79" t="str">
        <f>IF($B139="","",INDEX(tblStock[Estado],'91_KPIS'!$T132))</f>
        <v/>
      </c>
      <c r="K139" s="80" t="str">
        <f t="shared" si="2"/>
        <v/>
      </c>
      <c r="L139" s="81" t="str">
        <f>IF($B139="","",INDEX(tblStock[CostoUnitario],'91_KPIS'!$T132))</f>
        <v/>
      </c>
      <c r="M139" s="82" t="str">
        <f t="shared" si="3"/>
        <v/>
      </c>
    </row>
    <row r="140" spans="2:13" ht="15.75" x14ac:dyDescent="0.25">
      <c r="B140" s="74" t="str">
        <f>IF('91_KPIS'!$T133="","",126)</f>
        <v/>
      </c>
      <c r="C140" s="75" t="str">
        <f>IF($B140="","",IF(INDEX(tblStock[Proveedor],'91_KPIS'!$T133)="","(Sin proveedor)",INDEX(tblStock[Proveedor],'91_KPIS'!$T133)))</f>
        <v/>
      </c>
      <c r="D140" s="76" t="str">
        <f>IF($B140="","",INDEX(tblStock[SKU],'91_KPIS'!$T133))</f>
        <v/>
      </c>
      <c r="E140" s="75" t="str">
        <f>IF($B140="","",INDEX(tblStock[Producto],'91_KPIS'!$T133))</f>
        <v/>
      </c>
      <c r="F140" s="76" t="str">
        <f>IF($B140="","",INDEX(tblStock[Unidad],'91_KPIS'!$T133))</f>
        <v/>
      </c>
      <c r="G140" s="77" t="str">
        <f>IF($B140="","",INDEX(tblStock[StockActual],'91_KPIS'!$T133))</f>
        <v/>
      </c>
      <c r="H140" s="78" t="str">
        <f>IF($B140="","",INDEX(tblStock[StockMin],'91_KPIS'!$T133))</f>
        <v/>
      </c>
      <c r="I140" s="78" t="str">
        <f>IF($B140="","",INDEX(tblStock[StockMax],'91_KPIS'!$T133))</f>
        <v/>
      </c>
      <c r="J140" s="79" t="str">
        <f>IF($B140="","",INDEX(tblStock[Estado],'91_KPIS'!$T133))</f>
        <v/>
      </c>
      <c r="K140" s="80" t="str">
        <f t="shared" si="2"/>
        <v/>
      </c>
      <c r="L140" s="81" t="str">
        <f>IF($B140="","",INDEX(tblStock[CostoUnitario],'91_KPIS'!$T133))</f>
        <v/>
      </c>
      <c r="M140" s="82" t="str">
        <f t="shared" si="3"/>
        <v/>
      </c>
    </row>
    <row r="141" spans="2:13" ht="15.75" x14ac:dyDescent="0.25">
      <c r="B141" s="74" t="str">
        <f>IF('91_KPIS'!$T134="","",127)</f>
        <v/>
      </c>
      <c r="C141" s="75" t="str">
        <f>IF($B141="","",IF(INDEX(tblStock[Proveedor],'91_KPIS'!$T134)="","(Sin proveedor)",INDEX(tblStock[Proveedor],'91_KPIS'!$T134)))</f>
        <v/>
      </c>
      <c r="D141" s="76" t="str">
        <f>IF($B141="","",INDEX(tblStock[SKU],'91_KPIS'!$T134))</f>
        <v/>
      </c>
      <c r="E141" s="75" t="str">
        <f>IF($B141="","",INDEX(tblStock[Producto],'91_KPIS'!$T134))</f>
        <v/>
      </c>
      <c r="F141" s="76" t="str">
        <f>IF($B141="","",INDEX(tblStock[Unidad],'91_KPIS'!$T134))</f>
        <v/>
      </c>
      <c r="G141" s="77" t="str">
        <f>IF($B141="","",INDEX(tblStock[StockActual],'91_KPIS'!$T134))</f>
        <v/>
      </c>
      <c r="H141" s="78" t="str">
        <f>IF($B141="","",INDEX(tblStock[StockMin],'91_KPIS'!$T134))</f>
        <v/>
      </c>
      <c r="I141" s="78" t="str">
        <f>IF($B141="","",INDEX(tblStock[StockMax],'91_KPIS'!$T134))</f>
        <v/>
      </c>
      <c r="J141" s="79" t="str">
        <f>IF($B141="","",INDEX(tblStock[Estado],'91_KPIS'!$T134))</f>
        <v/>
      </c>
      <c r="K141" s="80" t="str">
        <f t="shared" si="2"/>
        <v/>
      </c>
      <c r="L141" s="81" t="str">
        <f>IF($B141="","",INDEX(tblStock[CostoUnitario],'91_KPIS'!$T134))</f>
        <v/>
      </c>
      <c r="M141" s="82" t="str">
        <f t="shared" si="3"/>
        <v/>
      </c>
    </row>
    <row r="142" spans="2:13" ht="15.75" x14ac:dyDescent="0.25">
      <c r="B142" s="74" t="str">
        <f>IF('91_KPIS'!$T135="","",128)</f>
        <v/>
      </c>
      <c r="C142" s="75" t="str">
        <f>IF($B142="","",IF(INDEX(tblStock[Proveedor],'91_KPIS'!$T135)="","(Sin proveedor)",INDEX(tblStock[Proveedor],'91_KPIS'!$T135)))</f>
        <v/>
      </c>
      <c r="D142" s="76" t="str">
        <f>IF($B142="","",INDEX(tblStock[SKU],'91_KPIS'!$T135))</f>
        <v/>
      </c>
      <c r="E142" s="75" t="str">
        <f>IF($B142="","",INDEX(tblStock[Producto],'91_KPIS'!$T135))</f>
        <v/>
      </c>
      <c r="F142" s="76" t="str">
        <f>IF($B142="","",INDEX(tblStock[Unidad],'91_KPIS'!$T135))</f>
        <v/>
      </c>
      <c r="G142" s="77" t="str">
        <f>IF($B142="","",INDEX(tblStock[StockActual],'91_KPIS'!$T135))</f>
        <v/>
      </c>
      <c r="H142" s="78" t="str">
        <f>IF($B142="","",INDEX(tblStock[StockMin],'91_KPIS'!$T135))</f>
        <v/>
      </c>
      <c r="I142" s="78" t="str">
        <f>IF($B142="","",INDEX(tblStock[StockMax],'91_KPIS'!$T135))</f>
        <v/>
      </c>
      <c r="J142" s="79" t="str">
        <f>IF($B142="","",INDEX(tblStock[Estado],'91_KPIS'!$T135))</f>
        <v/>
      </c>
      <c r="K142" s="80" t="str">
        <f t="shared" si="2"/>
        <v/>
      </c>
      <c r="L142" s="81" t="str">
        <f>IF($B142="","",INDEX(tblStock[CostoUnitario],'91_KPIS'!$T135))</f>
        <v/>
      </c>
      <c r="M142" s="82" t="str">
        <f t="shared" si="3"/>
        <v/>
      </c>
    </row>
    <row r="143" spans="2:13" ht="15.75" x14ac:dyDescent="0.25">
      <c r="B143" s="74" t="str">
        <f>IF('91_KPIS'!$T136="","",129)</f>
        <v/>
      </c>
      <c r="C143" s="75" t="str">
        <f>IF($B143="","",IF(INDEX(tblStock[Proveedor],'91_KPIS'!$T136)="","(Sin proveedor)",INDEX(tblStock[Proveedor],'91_KPIS'!$T136)))</f>
        <v/>
      </c>
      <c r="D143" s="76" t="str">
        <f>IF($B143="","",INDEX(tblStock[SKU],'91_KPIS'!$T136))</f>
        <v/>
      </c>
      <c r="E143" s="75" t="str">
        <f>IF($B143="","",INDEX(tblStock[Producto],'91_KPIS'!$T136))</f>
        <v/>
      </c>
      <c r="F143" s="76" t="str">
        <f>IF($B143="","",INDEX(tblStock[Unidad],'91_KPIS'!$T136))</f>
        <v/>
      </c>
      <c r="G143" s="77" t="str">
        <f>IF($B143="","",INDEX(tblStock[StockActual],'91_KPIS'!$T136))</f>
        <v/>
      </c>
      <c r="H143" s="78" t="str">
        <f>IF($B143="","",INDEX(tblStock[StockMin],'91_KPIS'!$T136))</f>
        <v/>
      </c>
      <c r="I143" s="78" t="str">
        <f>IF($B143="","",INDEX(tblStock[StockMax],'91_KPIS'!$T136))</f>
        <v/>
      </c>
      <c r="J143" s="79" t="str">
        <f>IF($B143="","",INDEX(tblStock[Estado],'91_KPIS'!$T136))</f>
        <v/>
      </c>
      <c r="K143" s="80" t="str">
        <f t="shared" ref="K143:K206" si="4">IF($B143="","",MAX(0,IF($I143&gt;0,$I143,2*$H143)-MAX(0,$G143)))</f>
        <v/>
      </c>
      <c r="L143" s="81" t="str">
        <f>IF($B143="","",INDEX(tblStock[CostoUnitario],'91_KPIS'!$T136))</f>
        <v/>
      </c>
      <c r="M143" s="82" t="str">
        <f t="shared" ref="M143:M206" si="5">IF($B143="","",$K143*$L143)</f>
        <v/>
      </c>
    </row>
    <row r="144" spans="2:13" ht="15.75" x14ac:dyDescent="0.25">
      <c r="B144" s="74" t="str">
        <f>IF('91_KPIS'!$T137="","",130)</f>
        <v/>
      </c>
      <c r="C144" s="75" t="str">
        <f>IF($B144="","",IF(INDEX(tblStock[Proveedor],'91_KPIS'!$T137)="","(Sin proveedor)",INDEX(tblStock[Proveedor],'91_KPIS'!$T137)))</f>
        <v/>
      </c>
      <c r="D144" s="76" t="str">
        <f>IF($B144="","",INDEX(tblStock[SKU],'91_KPIS'!$T137))</f>
        <v/>
      </c>
      <c r="E144" s="75" t="str">
        <f>IF($B144="","",INDEX(tblStock[Producto],'91_KPIS'!$T137))</f>
        <v/>
      </c>
      <c r="F144" s="76" t="str">
        <f>IF($B144="","",INDEX(tblStock[Unidad],'91_KPIS'!$T137))</f>
        <v/>
      </c>
      <c r="G144" s="77" t="str">
        <f>IF($B144="","",INDEX(tblStock[StockActual],'91_KPIS'!$T137))</f>
        <v/>
      </c>
      <c r="H144" s="78" t="str">
        <f>IF($B144="","",INDEX(tblStock[StockMin],'91_KPIS'!$T137))</f>
        <v/>
      </c>
      <c r="I144" s="78" t="str">
        <f>IF($B144="","",INDEX(tblStock[StockMax],'91_KPIS'!$T137))</f>
        <v/>
      </c>
      <c r="J144" s="79" t="str">
        <f>IF($B144="","",INDEX(tblStock[Estado],'91_KPIS'!$T137))</f>
        <v/>
      </c>
      <c r="K144" s="80" t="str">
        <f t="shared" si="4"/>
        <v/>
      </c>
      <c r="L144" s="81" t="str">
        <f>IF($B144="","",INDEX(tblStock[CostoUnitario],'91_KPIS'!$T137))</f>
        <v/>
      </c>
      <c r="M144" s="82" t="str">
        <f t="shared" si="5"/>
        <v/>
      </c>
    </row>
    <row r="145" spans="2:13" ht="15.75" x14ac:dyDescent="0.25">
      <c r="B145" s="74" t="str">
        <f>IF('91_KPIS'!$T138="","",131)</f>
        <v/>
      </c>
      <c r="C145" s="75" t="str">
        <f>IF($B145="","",IF(INDEX(tblStock[Proveedor],'91_KPIS'!$T138)="","(Sin proveedor)",INDEX(tblStock[Proveedor],'91_KPIS'!$T138)))</f>
        <v/>
      </c>
      <c r="D145" s="76" t="str">
        <f>IF($B145="","",INDEX(tblStock[SKU],'91_KPIS'!$T138))</f>
        <v/>
      </c>
      <c r="E145" s="75" t="str">
        <f>IF($B145="","",INDEX(tblStock[Producto],'91_KPIS'!$T138))</f>
        <v/>
      </c>
      <c r="F145" s="76" t="str">
        <f>IF($B145="","",INDEX(tblStock[Unidad],'91_KPIS'!$T138))</f>
        <v/>
      </c>
      <c r="G145" s="77" t="str">
        <f>IF($B145="","",INDEX(tblStock[StockActual],'91_KPIS'!$T138))</f>
        <v/>
      </c>
      <c r="H145" s="78" t="str">
        <f>IF($B145="","",INDEX(tblStock[StockMin],'91_KPIS'!$T138))</f>
        <v/>
      </c>
      <c r="I145" s="78" t="str">
        <f>IF($B145="","",INDEX(tblStock[StockMax],'91_KPIS'!$T138))</f>
        <v/>
      </c>
      <c r="J145" s="79" t="str">
        <f>IF($B145="","",INDEX(tblStock[Estado],'91_KPIS'!$T138))</f>
        <v/>
      </c>
      <c r="K145" s="80" t="str">
        <f t="shared" si="4"/>
        <v/>
      </c>
      <c r="L145" s="81" t="str">
        <f>IF($B145="","",INDEX(tblStock[CostoUnitario],'91_KPIS'!$T138))</f>
        <v/>
      </c>
      <c r="M145" s="82" t="str">
        <f t="shared" si="5"/>
        <v/>
      </c>
    </row>
    <row r="146" spans="2:13" ht="15.75" x14ac:dyDescent="0.25">
      <c r="B146" s="74" t="str">
        <f>IF('91_KPIS'!$T139="","",132)</f>
        <v/>
      </c>
      <c r="C146" s="75" t="str">
        <f>IF($B146="","",IF(INDEX(tblStock[Proveedor],'91_KPIS'!$T139)="","(Sin proveedor)",INDEX(tblStock[Proveedor],'91_KPIS'!$T139)))</f>
        <v/>
      </c>
      <c r="D146" s="76" t="str">
        <f>IF($B146="","",INDEX(tblStock[SKU],'91_KPIS'!$T139))</f>
        <v/>
      </c>
      <c r="E146" s="75" t="str">
        <f>IF($B146="","",INDEX(tblStock[Producto],'91_KPIS'!$T139))</f>
        <v/>
      </c>
      <c r="F146" s="76" t="str">
        <f>IF($B146="","",INDEX(tblStock[Unidad],'91_KPIS'!$T139))</f>
        <v/>
      </c>
      <c r="G146" s="77" t="str">
        <f>IF($B146="","",INDEX(tblStock[StockActual],'91_KPIS'!$T139))</f>
        <v/>
      </c>
      <c r="H146" s="78" t="str">
        <f>IF($B146="","",INDEX(tblStock[StockMin],'91_KPIS'!$T139))</f>
        <v/>
      </c>
      <c r="I146" s="78" t="str">
        <f>IF($B146="","",INDEX(tblStock[StockMax],'91_KPIS'!$T139))</f>
        <v/>
      </c>
      <c r="J146" s="79" t="str">
        <f>IF($B146="","",INDEX(tblStock[Estado],'91_KPIS'!$T139))</f>
        <v/>
      </c>
      <c r="K146" s="80" t="str">
        <f t="shared" si="4"/>
        <v/>
      </c>
      <c r="L146" s="81" t="str">
        <f>IF($B146="","",INDEX(tblStock[CostoUnitario],'91_KPIS'!$T139))</f>
        <v/>
      </c>
      <c r="M146" s="82" t="str">
        <f t="shared" si="5"/>
        <v/>
      </c>
    </row>
    <row r="147" spans="2:13" ht="15.75" x14ac:dyDescent="0.25">
      <c r="B147" s="74" t="str">
        <f>IF('91_KPIS'!$T140="","",133)</f>
        <v/>
      </c>
      <c r="C147" s="75" t="str">
        <f>IF($B147="","",IF(INDEX(tblStock[Proveedor],'91_KPIS'!$T140)="","(Sin proveedor)",INDEX(tblStock[Proveedor],'91_KPIS'!$T140)))</f>
        <v/>
      </c>
      <c r="D147" s="76" t="str">
        <f>IF($B147="","",INDEX(tblStock[SKU],'91_KPIS'!$T140))</f>
        <v/>
      </c>
      <c r="E147" s="75" t="str">
        <f>IF($B147="","",INDEX(tblStock[Producto],'91_KPIS'!$T140))</f>
        <v/>
      </c>
      <c r="F147" s="76" t="str">
        <f>IF($B147="","",INDEX(tblStock[Unidad],'91_KPIS'!$T140))</f>
        <v/>
      </c>
      <c r="G147" s="77" t="str">
        <f>IF($B147="","",INDEX(tblStock[StockActual],'91_KPIS'!$T140))</f>
        <v/>
      </c>
      <c r="H147" s="78" t="str">
        <f>IF($B147="","",INDEX(tblStock[StockMin],'91_KPIS'!$T140))</f>
        <v/>
      </c>
      <c r="I147" s="78" t="str">
        <f>IF($B147="","",INDEX(tblStock[StockMax],'91_KPIS'!$T140))</f>
        <v/>
      </c>
      <c r="J147" s="79" t="str">
        <f>IF($B147="","",INDEX(tblStock[Estado],'91_KPIS'!$T140))</f>
        <v/>
      </c>
      <c r="K147" s="80" t="str">
        <f t="shared" si="4"/>
        <v/>
      </c>
      <c r="L147" s="81" t="str">
        <f>IF($B147="","",INDEX(tblStock[CostoUnitario],'91_KPIS'!$T140))</f>
        <v/>
      </c>
      <c r="M147" s="82" t="str">
        <f t="shared" si="5"/>
        <v/>
      </c>
    </row>
    <row r="148" spans="2:13" ht="15.75" x14ac:dyDescent="0.25">
      <c r="B148" s="74" t="str">
        <f>IF('91_KPIS'!$T141="","",134)</f>
        <v/>
      </c>
      <c r="C148" s="75" t="str">
        <f>IF($B148="","",IF(INDEX(tblStock[Proveedor],'91_KPIS'!$T141)="","(Sin proveedor)",INDEX(tblStock[Proveedor],'91_KPIS'!$T141)))</f>
        <v/>
      </c>
      <c r="D148" s="76" t="str">
        <f>IF($B148="","",INDEX(tblStock[SKU],'91_KPIS'!$T141))</f>
        <v/>
      </c>
      <c r="E148" s="75" t="str">
        <f>IF($B148="","",INDEX(tblStock[Producto],'91_KPIS'!$T141))</f>
        <v/>
      </c>
      <c r="F148" s="76" t="str">
        <f>IF($B148="","",INDEX(tblStock[Unidad],'91_KPIS'!$T141))</f>
        <v/>
      </c>
      <c r="G148" s="77" t="str">
        <f>IF($B148="","",INDEX(tblStock[StockActual],'91_KPIS'!$T141))</f>
        <v/>
      </c>
      <c r="H148" s="78" t="str">
        <f>IF($B148="","",INDEX(tblStock[StockMin],'91_KPIS'!$T141))</f>
        <v/>
      </c>
      <c r="I148" s="78" t="str">
        <f>IF($B148="","",INDEX(tblStock[StockMax],'91_KPIS'!$T141))</f>
        <v/>
      </c>
      <c r="J148" s="79" t="str">
        <f>IF($B148="","",INDEX(tblStock[Estado],'91_KPIS'!$T141))</f>
        <v/>
      </c>
      <c r="K148" s="80" t="str">
        <f t="shared" si="4"/>
        <v/>
      </c>
      <c r="L148" s="81" t="str">
        <f>IF($B148="","",INDEX(tblStock[CostoUnitario],'91_KPIS'!$T141))</f>
        <v/>
      </c>
      <c r="M148" s="82" t="str">
        <f t="shared" si="5"/>
        <v/>
      </c>
    </row>
    <row r="149" spans="2:13" ht="15.75" x14ac:dyDescent="0.25">
      <c r="B149" s="74" t="str">
        <f>IF('91_KPIS'!$T142="","",135)</f>
        <v/>
      </c>
      <c r="C149" s="75" t="str">
        <f>IF($B149="","",IF(INDEX(tblStock[Proveedor],'91_KPIS'!$T142)="","(Sin proveedor)",INDEX(tblStock[Proveedor],'91_KPIS'!$T142)))</f>
        <v/>
      </c>
      <c r="D149" s="76" t="str">
        <f>IF($B149="","",INDEX(tblStock[SKU],'91_KPIS'!$T142))</f>
        <v/>
      </c>
      <c r="E149" s="75" t="str">
        <f>IF($B149="","",INDEX(tblStock[Producto],'91_KPIS'!$T142))</f>
        <v/>
      </c>
      <c r="F149" s="76" t="str">
        <f>IF($B149="","",INDEX(tblStock[Unidad],'91_KPIS'!$T142))</f>
        <v/>
      </c>
      <c r="G149" s="77" t="str">
        <f>IF($B149="","",INDEX(tblStock[StockActual],'91_KPIS'!$T142))</f>
        <v/>
      </c>
      <c r="H149" s="78" t="str">
        <f>IF($B149="","",INDEX(tblStock[StockMin],'91_KPIS'!$T142))</f>
        <v/>
      </c>
      <c r="I149" s="78" t="str">
        <f>IF($B149="","",INDEX(tblStock[StockMax],'91_KPIS'!$T142))</f>
        <v/>
      </c>
      <c r="J149" s="79" t="str">
        <f>IF($B149="","",INDEX(tblStock[Estado],'91_KPIS'!$T142))</f>
        <v/>
      </c>
      <c r="K149" s="80" t="str">
        <f t="shared" si="4"/>
        <v/>
      </c>
      <c r="L149" s="81" t="str">
        <f>IF($B149="","",INDEX(tblStock[CostoUnitario],'91_KPIS'!$T142))</f>
        <v/>
      </c>
      <c r="M149" s="82" t="str">
        <f t="shared" si="5"/>
        <v/>
      </c>
    </row>
    <row r="150" spans="2:13" ht="15.75" x14ac:dyDescent="0.25">
      <c r="B150" s="74" t="str">
        <f>IF('91_KPIS'!$T143="","",136)</f>
        <v/>
      </c>
      <c r="C150" s="75" t="str">
        <f>IF($B150="","",IF(INDEX(tblStock[Proveedor],'91_KPIS'!$T143)="","(Sin proveedor)",INDEX(tblStock[Proveedor],'91_KPIS'!$T143)))</f>
        <v/>
      </c>
      <c r="D150" s="76" t="str">
        <f>IF($B150="","",INDEX(tblStock[SKU],'91_KPIS'!$T143))</f>
        <v/>
      </c>
      <c r="E150" s="75" t="str">
        <f>IF($B150="","",INDEX(tblStock[Producto],'91_KPIS'!$T143))</f>
        <v/>
      </c>
      <c r="F150" s="76" t="str">
        <f>IF($B150="","",INDEX(tblStock[Unidad],'91_KPIS'!$T143))</f>
        <v/>
      </c>
      <c r="G150" s="77" t="str">
        <f>IF($B150="","",INDEX(tblStock[StockActual],'91_KPIS'!$T143))</f>
        <v/>
      </c>
      <c r="H150" s="78" t="str">
        <f>IF($B150="","",INDEX(tblStock[StockMin],'91_KPIS'!$T143))</f>
        <v/>
      </c>
      <c r="I150" s="78" t="str">
        <f>IF($B150="","",INDEX(tblStock[StockMax],'91_KPIS'!$T143))</f>
        <v/>
      </c>
      <c r="J150" s="79" t="str">
        <f>IF($B150="","",INDEX(tblStock[Estado],'91_KPIS'!$T143))</f>
        <v/>
      </c>
      <c r="K150" s="80" t="str">
        <f t="shared" si="4"/>
        <v/>
      </c>
      <c r="L150" s="81" t="str">
        <f>IF($B150="","",INDEX(tblStock[CostoUnitario],'91_KPIS'!$T143))</f>
        <v/>
      </c>
      <c r="M150" s="82" t="str">
        <f t="shared" si="5"/>
        <v/>
      </c>
    </row>
    <row r="151" spans="2:13" ht="15.75" x14ac:dyDescent="0.25">
      <c r="B151" s="74" t="str">
        <f>IF('91_KPIS'!$T144="","",137)</f>
        <v/>
      </c>
      <c r="C151" s="75" t="str">
        <f>IF($B151="","",IF(INDEX(tblStock[Proveedor],'91_KPIS'!$T144)="","(Sin proveedor)",INDEX(tblStock[Proveedor],'91_KPIS'!$T144)))</f>
        <v/>
      </c>
      <c r="D151" s="76" t="str">
        <f>IF($B151="","",INDEX(tblStock[SKU],'91_KPIS'!$T144))</f>
        <v/>
      </c>
      <c r="E151" s="75" t="str">
        <f>IF($B151="","",INDEX(tblStock[Producto],'91_KPIS'!$T144))</f>
        <v/>
      </c>
      <c r="F151" s="76" t="str">
        <f>IF($B151="","",INDEX(tblStock[Unidad],'91_KPIS'!$T144))</f>
        <v/>
      </c>
      <c r="G151" s="77" t="str">
        <f>IF($B151="","",INDEX(tblStock[StockActual],'91_KPIS'!$T144))</f>
        <v/>
      </c>
      <c r="H151" s="78" t="str">
        <f>IF($B151="","",INDEX(tblStock[StockMin],'91_KPIS'!$T144))</f>
        <v/>
      </c>
      <c r="I151" s="78" t="str">
        <f>IF($B151="","",INDEX(tblStock[StockMax],'91_KPIS'!$T144))</f>
        <v/>
      </c>
      <c r="J151" s="79" t="str">
        <f>IF($B151="","",INDEX(tblStock[Estado],'91_KPIS'!$T144))</f>
        <v/>
      </c>
      <c r="K151" s="80" t="str">
        <f t="shared" si="4"/>
        <v/>
      </c>
      <c r="L151" s="81" t="str">
        <f>IF($B151="","",INDEX(tblStock[CostoUnitario],'91_KPIS'!$T144))</f>
        <v/>
      </c>
      <c r="M151" s="82" t="str">
        <f t="shared" si="5"/>
        <v/>
      </c>
    </row>
    <row r="152" spans="2:13" ht="15.75" x14ac:dyDescent="0.25">
      <c r="B152" s="74" t="str">
        <f>IF('91_KPIS'!$T145="","",138)</f>
        <v/>
      </c>
      <c r="C152" s="75" t="str">
        <f>IF($B152="","",IF(INDEX(tblStock[Proveedor],'91_KPIS'!$T145)="","(Sin proveedor)",INDEX(tblStock[Proveedor],'91_KPIS'!$T145)))</f>
        <v/>
      </c>
      <c r="D152" s="76" t="str">
        <f>IF($B152="","",INDEX(tblStock[SKU],'91_KPIS'!$T145))</f>
        <v/>
      </c>
      <c r="E152" s="75" t="str">
        <f>IF($B152="","",INDEX(tblStock[Producto],'91_KPIS'!$T145))</f>
        <v/>
      </c>
      <c r="F152" s="76" t="str">
        <f>IF($B152="","",INDEX(tblStock[Unidad],'91_KPIS'!$T145))</f>
        <v/>
      </c>
      <c r="G152" s="77" t="str">
        <f>IF($B152="","",INDEX(tblStock[StockActual],'91_KPIS'!$T145))</f>
        <v/>
      </c>
      <c r="H152" s="78" t="str">
        <f>IF($B152="","",INDEX(tblStock[StockMin],'91_KPIS'!$T145))</f>
        <v/>
      </c>
      <c r="I152" s="78" t="str">
        <f>IF($B152="","",INDEX(tblStock[StockMax],'91_KPIS'!$T145))</f>
        <v/>
      </c>
      <c r="J152" s="79" t="str">
        <f>IF($B152="","",INDEX(tblStock[Estado],'91_KPIS'!$T145))</f>
        <v/>
      </c>
      <c r="K152" s="80" t="str">
        <f t="shared" si="4"/>
        <v/>
      </c>
      <c r="L152" s="81" t="str">
        <f>IF($B152="","",INDEX(tblStock[CostoUnitario],'91_KPIS'!$T145))</f>
        <v/>
      </c>
      <c r="M152" s="82" t="str">
        <f t="shared" si="5"/>
        <v/>
      </c>
    </row>
    <row r="153" spans="2:13" ht="15.75" x14ac:dyDescent="0.25">
      <c r="B153" s="74" t="str">
        <f>IF('91_KPIS'!$T146="","",139)</f>
        <v/>
      </c>
      <c r="C153" s="75" t="str">
        <f>IF($B153="","",IF(INDEX(tblStock[Proveedor],'91_KPIS'!$T146)="","(Sin proveedor)",INDEX(tblStock[Proveedor],'91_KPIS'!$T146)))</f>
        <v/>
      </c>
      <c r="D153" s="76" t="str">
        <f>IF($B153="","",INDEX(tblStock[SKU],'91_KPIS'!$T146))</f>
        <v/>
      </c>
      <c r="E153" s="75" t="str">
        <f>IF($B153="","",INDEX(tblStock[Producto],'91_KPIS'!$T146))</f>
        <v/>
      </c>
      <c r="F153" s="76" t="str">
        <f>IF($B153="","",INDEX(tblStock[Unidad],'91_KPIS'!$T146))</f>
        <v/>
      </c>
      <c r="G153" s="77" t="str">
        <f>IF($B153="","",INDEX(tblStock[StockActual],'91_KPIS'!$T146))</f>
        <v/>
      </c>
      <c r="H153" s="78" t="str">
        <f>IF($B153="","",INDEX(tblStock[StockMin],'91_KPIS'!$T146))</f>
        <v/>
      </c>
      <c r="I153" s="78" t="str">
        <f>IF($B153="","",INDEX(tblStock[StockMax],'91_KPIS'!$T146))</f>
        <v/>
      </c>
      <c r="J153" s="79" t="str">
        <f>IF($B153="","",INDEX(tblStock[Estado],'91_KPIS'!$T146))</f>
        <v/>
      </c>
      <c r="K153" s="80" t="str">
        <f t="shared" si="4"/>
        <v/>
      </c>
      <c r="L153" s="81" t="str">
        <f>IF($B153="","",INDEX(tblStock[CostoUnitario],'91_KPIS'!$T146))</f>
        <v/>
      </c>
      <c r="M153" s="82" t="str">
        <f t="shared" si="5"/>
        <v/>
      </c>
    </row>
    <row r="154" spans="2:13" ht="15.75" x14ac:dyDescent="0.25">
      <c r="B154" s="74" t="str">
        <f>IF('91_KPIS'!$T147="","",140)</f>
        <v/>
      </c>
      <c r="C154" s="75" t="str">
        <f>IF($B154="","",IF(INDEX(tblStock[Proveedor],'91_KPIS'!$T147)="","(Sin proveedor)",INDEX(tblStock[Proveedor],'91_KPIS'!$T147)))</f>
        <v/>
      </c>
      <c r="D154" s="76" t="str">
        <f>IF($B154="","",INDEX(tblStock[SKU],'91_KPIS'!$T147))</f>
        <v/>
      </c>
      <c r="E154" s="75" t="str">
        <f>IF($B154="","",INDEX(tblStock[Producto],'91_KPIS'!$T147))</f>
        <v/>
      </c>
      <c r="F154" s="76" t="str">
        <f>IF($B154="","",INDEX(tblStock[Unidad],'91_KPIS'!$T147))</f>
        <v/>
      </c>
      <c r="G154" s="77" t="str">
        <f>IF($B154="","",INDEX(tblStock[StockActual],'91_KPIS'!$T147))</f>
        <v/>
      </c>
      <c r="H154" s="78" t="str">
        <f>IF($B154="","",INDEX(tblStock[StockMin],'91_KPIS'!$T147))</f>
        <v/>
      </c>
      <c r="I154" s="78" t="str">
        <f>IF($B154="","",INDEX(tblStock[StockMax],'91_KPIS'!$T147))</f>
        <v/>
      </c>
      <c r="J154" s="79" t="str">
        <f>IF($B154="","",INDEX(tblStock[Estado],'91_KPIS'!$T147))</f>
        <v/>
      </c>
      <c r="K154" s="80" t="str">
        <f t="shared" si="4"/>
        <v/>
      </c>
      <c r="L154" s="81" t="str">
        <f>IF($B154="","",INDEX(tblStock[CostoUnitario],'91_KPIS'!$T147))</f>
        <v/>
      </c>
      <c r="M154" s="82" t="str">
        <f t="shared" si="5"/>
        <v/>
      </c>
    </row>
    <row r="155" spans="2:13" ht="15.75" x14ac:dyDescent="0.25">
      <c r="B155" s="74" t="str">
        <f>IF('91_KPIS'!$T148="","",141)</f>
        <v/>
      </c>
      <c r="C155" s="75" t="str">
        <f>IF($B155="","",IF(INDEX(tblStock[Proveedor],'91_KPIS'!$T148)="","(Sin proveedor)",INDEX(tblStock[Proveedor],'91_KPIS'!$T148)))</f>
        <v/>
      </c>
      <c r="D155" s="76" t="str">
        <f>IF($B155="","",INDEX(tblStock[SKU],'91_KPIS'!$T148))</f>
        <v/>
      </c>
      <c r="E155" s="75" t="str">
        <f>IF($B155="","",INDEX(tblStock[Producto],'91_KPIS'!$T148))</f>
        <v/>
      </c>
      <c r="F155" s="76" t="str">
        <f>IF($B155="","",INDEX(tblStock[Unidad],'91_KPIS'!$T148))</f>
        <v/>
      </c>
      <c r="G155" s="77" t="str">
        <f>IF($B155="","",INDEX(tblStock[StockActual],'91_KPIS'!$T148))</f>
        <v/>
      </c>
      <c r="H155" s="78" t="str">
        <f>IF($B155="","",INDEX(tblStock[StockMin],'91_KPIS'!$T148))</f>
        <v/>
      </c>
      <c r="I155" s="78" t="str">
        <f>IF($B155="","",INDEX(tblStock[StockMax],'91_KPIS'!$T148))</f>
        <v/>
      </c>
      <c r="J155" s="79" t="str">
        <f>IF($B155="","",INDEX(tblStock[Estado],'91_KPIS'!$T148))</f>
        <v/>
      </c>
      <c r="K155" s="80" t="str">
        <f t="shared" si="4"/>
        <v/>
      </c>
      <c r="L155" s="81" t="str">
        <f>IF($B155="","",INDEX(tblStock[CostoUnitario],'91_KPIS'!$T148))</f>
        <v/>
      </c>
      <c r="M155" s="82" t="str">
        <f t="shared" si="5"/>
        <v/>
      </c>
    </row>
    <row r="156" spans="2:13" ht="15.75" x14ac:dyDescent="0.25">
      <c r="B156" s="74" t="str">
        <f>IF('91_KPIS'!$T149="","",142)</f>
        <v/>
      </c>
      <c r="C156" s="75" t="str">
        <f>IF($B156="","",IF(INDEX(tblStock[Proveedor],'91_KPIS'!$T149)="","(Sin proveedor)",INDEX(tblStock[Proveedor],'91_KPIS'!$T149)))</f>
        <v/>
      </c>
      <c r="D156" s="76" t="str">
        <f>IF($B156="","",INDEX(tblStock[SKU],'91_KPIS'!$T149))</f>
        <v/>
      </c>
      <c r="E156" s="75" t="str">
        <f>IF($B156="","",INDEX(tblStock[Producto],'91_KPIS'!$T149))</f>
        <v/>
      </c>
      <c r="F156" s="76" t="str">
        <f>IF($B156="","",INDEX(tblStock[Unidad],'91_KPIS'!$T149))</f>
        <v/>
      </c>
      <c r="G156" s="77" t="str">
        <f>IF($B156="","",INDEX(tblStock[StockActual],'91_KPIS'!$T149))</f>
        <v/>
      </c>
      <c r="H156" s="78" t="str">
        <f>IF($B156="","",INDEX(tblStock[StockMin],'91_KPIS'!$T149))</f>
        <v/>
      </c>
      <c r="I156" s="78" t="str">
        <f>IF($B156="","",INDEX(tblStock[StockMax],'91_KPIS'!$T149))</f>
        <v/>
      </c>
      <c r="J156" s="79" t="str">
        <f>IF($B156="","",INDEX(tblStock[Estado],'91_KPIS'!$T149))</f>
        <v/>
      </c>
      <c r="K156" s="80" t="str">
        <f t="shared" si="4"/>
        <v/>
      </c>
      <c r="L156" s="81" t="str">
        <f>IF($B156="","",INDEX(tblStock[CostoUnitario],'91_KPIS'!$T149))</f>
        <v/>
      </c>
      <c r="M156" s="82" t="str">
        <f t="shared" si="5"/>
        <v/>
      </c>
    </row>
    <row r="157" spans="2:13" ht="15.75" x14ac:dyDescent="0.25">
      <c r="B157" s="74" t="str">
        <f>IF('91_KPIS'!$T150="","",143)</f>
        <v/>
      </c>
      <c r="C157" s="75" t="str">
        <f>IF($B157="","",IF(INDEX(tblStock[Proveedor],'91_KPIS'!$T150)="","(Sin proveedor)",INDEX(tblStock[Proveedor],'91_KPIS'!$T150)))</f>
        <v/>
      </c>
      <c r="D157" s="76" t="str">
        <f>IF($B157="","",INDEX(tblStock[SKU],'91_KPIS'!$T150))</f>
        <v/>
      </c>
      <c r="E157" s="75" t="str">
        <f>IF($B157="","",INDEX(tblStock[Producto],'91_KPIS'!$T150))</f>
        <v/>
      </c>
      <c r="F157" s="76" t="str">
        <f>IF($B157="","",INDEX(tblStock[Unidad],'91_KPIS'!$T150))</f>
        <v/>
      </c>
      <c r="G157" s="77" t="str">
        <f>IF($B157="","",INDEX(tblStock[StockActual],'91_KPIS'!$T150))</f>
        <v/>
      </c>
      <c r="H157" s="78" t="str">
        <f>IF($B157="","",INDEX(tblStock[StockMin],'91_KPIS'!$T150))</f>
        <v/>
      </c>
      <c r="I157" s="78" t="str">
        <f>IF($B157="","",INDEX(tblStock[StockMax],'91_KPIS'!$T150))</f>
        <v/>
      </c>
      <c r="J157" s="79" t="str">
        <f>IF($B157="","",INDEX(tblStock[Estado],'91_KPIS'!$T150))</f>
        <v/>
      </c>
      <c r="K157" s="80" t="str">
        <f t="shared" si="4"/>
        <v/>
      </c>
      <c r="L157" s="81" t="str">
        <f>IF($B157="","",INDEX(tblStock[CostoUnitario],'91_KPIS'!$T150))</f>
        <v/>
      </c>
      <c r="M157" s="82" t="str">
        <f t="shared" si="5"/>
        <v/>
      </c>
    </row>
    <row r="158" spans="2:13" ht="15.75" x14ac:dyDescent="0.25">
      <c r="B158" s="74" t="str">
        <f>IF('91_KPIS'!$T151="","",144)</f>
        <v/>
      </c>
      <c r="C158" s="75" t="str">
        <f>IF($B158="","",IF(INDEX(tblStock[Proveedor],'91_KPIS'!$T151)="","(Sin proveedor)",INDEX(tblStock[Proveedor],'91_KPIS'!$T151)))</f>
        <v/>
      </c>
      <c r="D158" s="76" t="str">
        <f>IF($B158="","",INDEX(tblStock[SKU],'91_KPIS'!$T151))</f>
        <v/>
      </c>
      <c r="E158" s="75" t="str">
        <f>IF($B158="","",INDEX(tblStock[Producto],'91_KPIS'!$T151))</f>
        <v/>
      </c>
      <c r="F158" s="76" t="str">
        <f>IF($B158="","",INDEX(tblStock[Unidad],'91_KPIS'!$T151))</f>
        <v/>
      </c>
      <c r="G158" s="77" t="str">
        <f>IF($B158="","",INDEX(tblStock[StockActual],'91_KPIS'!$T151))</f>
        <v/>
      </c>
      <c r="H158" s="78" t="str">
        <f>IF($B158="","",INDEX(tblStock[StockMin],'91_KPIS'!$T151))</f>
        <v/>
      </c>
      <c r="I158" s="78" t="str">
        <f>IF($B158="","",INDEX(tblStock[StockMax],'91_KPIS'!$T151))</f>
        <v/>
      </c>
      <c r="J158" s="79" t="str">
        <f>IF($B158="","",INDEX(tblStock[Estado],'91_KPIS'!$T151))</f>
        <v/>
      </c>
      <c r="K158" s="80" t="str">
        <f t="shared" si="4"/>
        <v/>
      </c>
      <c r="L158" s="81" t="str">
        <f>IF($B158="","",INDEX(tblStock[CostoUnitario],'91_KPIS'!$T151))</f>
        <v/>
      </c>
      <c r="M158" s="82" t="str">
        <f t="shared" si="5"/>
        <v/>
      </c>
    </row>
    <row r="159" spans="2:13" ht="15.75" x14ac:dyDescent="0.25">
      <c r="B159" s="74" t="str">
        <f>IF('91_KPIS'!$T152="","",145)</f>
        <v/>
      </c>
      <c r="C159" s="75" t="str">
        <f>IF($B159="","",IF(INDEX(tblStock[Proveedor],'91_KPIS'!$T152)="","(Sin proveedor)",INDEX(tblStock[Proveedor],'91_KPIS'!$T152)))</f>
        <v/>
      </c>
      <c r="D159" s="76" t="str">
        <f>IF($B159="","",INDEX(tblStock[SKU],'91_KPIS'!$T152))</f>
        <v/>
      </c>
      <c r="E159" s="75" t="str">
        <f>IF($B159="","",INDEX(tblStock[Producto],'91_KPIS'!$T152))</f>
        <v/>
      </c>
      <c r="F159" s="76" t="str">
        <f>IF($B159="","",INDEX(tblStock[Unidad],'91_KPIS'!$T152))</f>
        <v/>
      </c>
      <c r="G159" s="77" t="str">
        <f>IF($B159="","",INDEX(tblStock[StockActual],'91_KPIS'!$T152))</f>
        <v/>
      </c>
      <c r="H159" s="78" t="str">
        <f>IF($B159="","",INDEX(tblStock[StockMin],'91_KPIS'!$T152))</f>
        <v/>
      </c>
      <c r="I159" s="78" t="str">
        <f>IF($B159="","",INDEX(tblStock[StockMax],'91_KPIS'!$T152))</f>
        <v/>
      </c>
      <c r="J159" s="79" t="str">
        <f>IF($B159="","",INDEX(tblStock[Estado],'91_KPIS'!$T152))</f>
        <v/>
      </c>
      <c r="K159" s="80" t="str">
        <f t="shared" si="4"/>
        <v/>
      </c>
      <c r="L159" s="81" t="str">
        <f>IF($B159="","",INDEX(tblStock[CostoUnitario],'91_KPIS'!$T152))</f>
        <v/>
      </c>
      <c r="M159" s="82" t="str">
        <f t="shared" si="5"/>
        <v/>
      </c>
    </row>
    <row r="160" spans="2:13" ht="15.75" x14ac:dyDescent="0.25">
      <c r="B160" s="74" t="str">
        <f>IF('91_KPIS'!$T153="","",146)</f>
        <v/>
      </c>
      <c r="C160" s="75" t="str">
        <f>IF($B160="","",IF(INDEX(tblStock[Proveedor],'91_KPIS'!$T153)="","(Sin proveedor)",INDEX(tblStock[Proveedor],'91_KPIS'!$T153)))</f>
        <v/>
      </c>
      <c r="D160" s="76" t="str">
        <f>IF($B160="","",INDEX(tblStock[SKU],'91_KPIS'!$T153))</f>
        <v/>
      </c>
      <c r="E160" s="75" t="str">
        <f>IF($B160="","",INDEX(tblStock[Producto],'91_KPIS'!$T153))</f>
        <v/>
      </c>
      <c r="F160" s="76" t="str">
        <f>IF($B160="","",INDEX(tblStock[Unidad],'91_KPIS'!$T153))</f>
        <v/>
      </c>
      <c r="G160" s="77" t="str">
        <f>IF($B160="","",INDEX(tblStock[StockActual],'91_KPIS'!$T153))</f>
        <v/>
      </c>
      <c r="H160" s="78" t="str">
        <f>IF($B160="","",INDEX(tblStock[StockMin],'91_KPIS'!$T153))</f>
        <v/>
      </c>
      <c r="I160" s="78" t="str">
        <f>IF($B160="","",INDEX(tblStock[StockMax],'91_KPIS'!$T153))</f>
        <v/>
      </c>
      <c r="J160" s="79" t="str">
        <f>IF($B160="","",INDEX(tblStock[Estado],'91_KPIS'!$T153))</f>
        <v/>
      </c>
      <c r="K160" s="80" t="str">
        <f t="shared" si="4"/>
        <v/>
      </c>
      <c r="L160" s="81" t="str">
        <f>IF($B160="","",INDEX(tblStock[CostoUnitario],'91_KPIS'!$T153))</f>
        <v/>
      </c>
      <c r="M160" s="82" t="str">
        <f t="shared" si="5"/>
        <v/>
      </c>
    </row>
    <row r="161" spans="2:13" ht="15.75" x14ac:dyDescent="0.25">
      <c r="B161" s="74" t="str">
        <f>IF('91_KPIS'!$T154="","",147)</f>
        <v/>
      </c>
      <c r="C161" s="75" t="str">
        <f>IF($B161="","",IF(INDEX(tblStock[Proveedor],'91_KPIS'!$T154)="","(Sin proveedor)",INDEX(tblStock[Proveedor],'91_KPIS'!$T154)))</f>
        <v/>
      </c>
      <c r="D161" s="76" t="str">
        <f>IF($B161="","",INDEX(tblStock[SKU],'91_KPIS'!$T154))</f>
        <v/>
      </c>
      <c r="E161" s="75" t="str">
        <f>IF($B161="","",INDEX(tblStock[Producto],'91_KPIS'!$T154))</f>
        <v/>
      </c>
      <c r="F161" s="76" t="str">
        <f>IF($B161="","",INDEX(tblStock[Unidad],'91_KPIS'!$T154))</f>
        <v/>
      </c>
      <c r="G161" s="77" t="str">
        <f>IF($B161="","",INDEX(tblStock[StockActual],'91_KPIS'!$T154))</f>
        <v/>
      </c>
      <c r="H161" s="78" t="str">
        <f>IF($B161="","",INDEX(tblStock[StockMin],'91_KPIS'!$T154))</f>
        <v/>
      </c>
      <c r="I161" s="78" t="str">
        <f>IF($B161="","",INDEX(tblStock[StockMax],'91_KPIS'!$T154))</f>
        <v/>
      </c>
      <c r="J161" s="79" t="str">
        <f>IF($B161="","",INDEX(tblStock[Estado],'91_KPIS'!$T154))</f>
        <v/>
      </c>
      <c r="K161" s="80" t="str">
        <f t="shared" si="4"/>
        <v/>
      </c>
      <c r="L161" s="81" t="str">
        <f>IF($B161="","",INDEX(tblStock[CostoUnitario],'91_KPIS'!$T154))</f>
        <v/>
      </c>
      <c r="M161" s="82" t="str">
        <f t="shared" si="5"/>
        <v/>
      </c>
    </row>
    <row r="162" spans="2:13" ht="15.75" x14ac:dyDescent="0.25">
      <c r="B162" s="74" t="str">
        <f>IF('91_KPIS'!$T155="","",148)</f>
        <v/>
      </c>
      <c r="C162" s="75" t="str">
        <f>IF($B162="","",IF(INDEX(tblStock[Proveedor],'91_KPIS'!$T155)="","(Sin proveedor)",INDEX(tblStock[Proveedor],'91_KPIS'!$T155)))</f>
        <v/>
      </c>
      <c r="D162" s="76" t="str">
        <f>IF($B162="","",INDEX(tblStock[SKU],'91_KPIS'!$T155))</f>
        <v/>
      </c>
      <c r="E162" s="75" t="str">
        <f>IF($B162="","",INDEX(tblStock[Producto],'91_KPIS'!$T155))</f>
        <v/>
      </c>
      <c r="F162" s="76" t="str">
        <f>IF($B162="","",INDEX(tblStock[Unidad],'91_KPIS'!$T155))</f>
        <v/>
      </c>
      <c r="G162" s="77" t="str">
        <f>IF($B162="","",INDEX(tblStock[StockActual],'91_KPIS'!$T155))</f>
        <v/>
      </c>
      <c r="H162" s="78" t="str">
        <f>IF($B162="","",INDEX(tblStock[StockMin],'91_KPIS'!$T155))</f>
        <v/>
      </c>
      <c r="I162" s="78" t="str">
        <f>IF($B162="","",INDEX(tblStock[StockMax],'91_KPIS'!$T155))</f>
        <v/>
      </c>
      <c r="J162" s="79" t="str">
        <f>IF($B162="","",INDEX(tblStock[Estado],'91_KPIS'!$T155))</f>
        <v/>
      </c>
      <c r="K162" s="80" t="str">
        <f t="shared" si="4"/>
        <v/>
      </c>
      <c r="L162" s="81" t="str">
        <f>IF($B162="","",INDEX(tblStock[CostoUnitario],'91_KPIS'!$T155))</f>
        <v/>
      </c>
      <c r="M162" s="82" t="str">
        <f t="shared" si="5"/>
        <v/>
      </c>
    </row>
    <row r="163" spans="2:13" ht="15.75" x14ac:dyDescent="0.25">
      <c r="B163" s="74" t="str">
        <f>IF('91_KPIS'!$T156="","",149)</f>
        <v/>
      </c>
      <c r="C163" s="75" t="str">
        <f>IF($B163="","",IF(INDEX(tblStock[Proveedor],'91_KPIS'!$T156)="","(Sin proveedor)",INDEX(tblStock[Proveedor],'91_KPIS'!$T156)))</f>
        <v/>
      </c>
      <c r="D163" s="76" t="str">
        <f>IF($B163="","",INDEX(tblStock[SKU],'91_KPIS'!$T156))</f>
        <v/>
      </c>
      <c r="E163" s="75" t="str">
        <f>IF($B163="","",INDEX(tblStock[Producto],'91_KPIS'!$T156))</f>
        <v/>
      </c>
      <c r="F163" s="76" t="str">
        <f>IF($B163="","",INDEX(tblStock[Unidad],'91_KPIS'!$T156))</f>
        <v/>
      </c>
      <c r="G163" s="77" t="str">
        <f>IF($B163="","",INDEX(tblStock[StockActual],'91_KPIS'!$T156))</f>
        <v/>
      </c>
      <c r="H163" s="78" t="str">
        <f>IF($B163="","",INDEX(tblStock[StockMin],'91_KPIS'!$T156))</f>
        <v/>
      </c>
      <c r="I163" s="78" t="str">
        <f>IF($B163="","",INDEX(tblStock[StockMax],'91_KPIS'!$T156))</f>
        <v/>
      </c>
      <c r="J163" s="79" t="str">
        <f>IF($B163="","",INDEX(tblStock[Estado],'91_KPIS'!$T156))</f>
        <v/>
      </c>
      <c r="K163" s="80" t="str">
        <f t="shared" si="4"/>
        <v/>
      </c>
      <c r="L163" s="81" t="str">
        <f>IF($B163="","",INDEX(tblStock[CostoUnitario],'91_KPIS'!$T156))</f>
        <v/>
      </c>
      <c r="M163" s="82" t="str">
        <f t="shared" si="5"/>
        <v/>
      </c>
    </row>
    <row r="164" spans="2:13" ht="15.75" x14ac:dyDescent="0.25">
      <c r="B164" s="74" t="str">
        <f>IF('91_KPIS'!$T157="","",150)</f>
        <v/>
      </c>
      <c r="C164" s="75" t="str">
        <f>IF($B164="","",IF(INDEX(tblStock[Proveedor],'91_KPIS'!$T157)="","(Sin proveedor)",INDEX(tblStock[Proveedor],'91_KPIS'!$T157)))</f>
        <v/>
      </c>
      <c r="D164" s="76" t="str">
        <f>IF($B164="","",INDEX(tblStock[SKU],'91_KPIS'!$T157))</f>
        <v/>
      </c>
      <c r="E164" s="75" t="str">
        <f>IF($B164="","",INDEX(tblStock[Producto],'91_KPIS'!$T157))</f>
        <v/>
      </c>
      <c r="F164" s="76" t="str">
        <f>IF($B164="","",INDEX(tblStock[Unidad],'91_KPIS'!$T157))</f>
        <v/>
      </c>
      <c r="G164" s="77" t="str">
        <f>IF($B164="","",INDEX(tblStock[StockActual],'91_KPIS'!$T157))</f>
        <v/>
      </c>
      <c r="H164" s="78" t="str">
        <f>IF($B164="","",INDEX(tblStock[StockMin],'91_KPIS'!$T157))</f>
        <v/>
      </c>
      <c r="I164" s="78" t="str">
        <f>IF($B164="","",INDEX(tblStock[StockMax],'91_KPIS'!$T157))</f>
        <v/>
      </c>
      <c r="J164" s="79" t="str">
        <f>IF($B164="","",INDEX(tblStock[Estado],'91_KPIS'!$T157))</f>
        <v/>
      </c>
      <c r="K164" s="80" t="str">
        <f t="shared" si="4"/>
        <v/>
      </c>
      <c r="L164" s="81" t="str">
        <f>IF($B164="","",INDEX(tblStock[CostoUnitario],'91_KPIS'!$T157))</f>
        <v/>
      </c>
      <c r="M164" s="82" t="str">
        <f t="shared" si="5"/>
        <v/>
      </c>
    </row>
    <row r="165" spans="2:13" ht="15.75" x14ac:dyDescent="0.25">
      <c r="B165" s="74" t="str">
        <f>IF('91_KPIS'!$T158="","",151)</f>
        <v/>
      </c>
      <c r="C165" s="75" t="str">
        <f>IF($B165="","",IF(INDEX(tblStock[Proveedor],'91_KPIS'!$T158)="","(Sin proveedor)",INDEX(tblStock[Proveedor],'91_KPIS'!$T158)))</f>
        <v/>
      </c>
      <c r="D165" s="76" t="str">
        <f>IF($B165="","",INDEX(tblStock[SKU],'91_KPIS'!$T158))</f>
        <v/>
      </c>
      <c r="E165" s="75" t="str">
        <f>IF($B165="","",INDEX(tblStock[Producto],'91_KPIS'!$T158))</f>
        <v/>
      </c>
      <c r="F165" s="76" t="str">
        <f>IF($B165="","",INDEX(tblStock[Unidad],'91_KPIS'!$T158))</f>
        <v/>
      </c>
      <c r="G165" s="77" t="str">
        <f>IF($B165="","",INDEX(tblStock[StockActual],'91_KPIS'!$T158))</f>
        <v/>
      </c>
      <c r="H165" s="78" t="str">
        <f>IF($B165="","",INDEX(tblStock[StockMin],'91_KPIS'!$T158))</f>
        <v/>
      </c>
      <c r="I165" s="78" t="str">
        <f>IF($B165="","",INDEX(tblStock[StockMax],'91_KPIS'!$T158))</f>
        <v/>
      </c>
      <c r="J165" s="79" t="str">
        <f>IF($B165="","",INDEX(tblStock[Estado],'91_KPIS'!$T158))</f>
        <v/>
      </c>
      <c r="K165" s="80" t="str">
        <f t="shared" si="4"/>
        <v/>
      </c>
      <c r="L165" s="81" t="str">
        <f>IF($B165="","",INDEX(tblStock[CostoUnitario],'91_KPIS'!$T158))</f>
        <v/>
      </c>
      <c r="M165" s="82" t="str">
        <f t="shared" si="5"/>
        <v/>
      </c>
    </row>
    <row r="166" spans="2:13" ht="15.75" x14ac:dyDescent="0.25">
      <c r="B166" s="74" t="str">
        <f>IF('91_KPIS'!$T159="","",152)</f>
        <v/>
      </c>
      <c r="C166" s="75" t="str">
        <f>IF($B166="","",IF(INDEX(tblStock[Proveedor],'91_KPIS'!$T159)="","(Sin proveedor)",INDEX(tblStock[Proveedor],'91_KPIS'!$T159)))</f>
        <v/>
      </c>
      <c r="D166" s="76" t="str">
        <f>IF($B166="","",INDEX(tblStock[SKU],'91_KPIS'!$T159))</f>
        <v/>
      </c>
      <c r="E166" s="75" t="str">
        <f>IF($B166="","",INDEX(tblStock[Producto],'91_KPIS'!$T159))</f>
        <v/>
      </c>
      <c r="F166" s="76" t="str">
        <f>IF($B166="","",INDEX(tblStock[Unidad],'91_KPIS'!$T159))</f>
        <v/>
      </c>
      <c r="G166" s="77" t="str">
        <f>IF($B166="","",INDEX(tblStock[StockActual],'91_KPIS'!$T159))</f>
        <v/>
      </c>
      <c r="H166" s="78" t="str">
        <f>IF($B166="","",INDEX(tblStock[StockMin],'91_KPIS'!$T159))</f>
        <v/>
      </c>
      <c r="I166" s="78" t="str">
        <f>IF($B166="","",INDEX(tblStock[StockMax],'91_KPIS'!$T159))</f>
        <v/>
      </c>
      <c r="J166" s="79" t="str">
        <f>IF($B166="","",INDEX(tblStock[Estado],'91_KPIS'!$T159))</f>
        <v/>
      </c>
      <c r="K166" s="80" t="str">
        <f t="shared" si="4"/>
        <v/>
      </c>
      <c r="L166" s="81" t="str">
        <f>IF($B166="","",INDEX(tblStock[CostoUnitario],'91_KPIS'!$T159))</f>
        <v/>
      </c>
      <c r="M166" s="82" t="str">
        <f t="shared" si="5"/>
        <v/>
      </c>
    </row>
    <row r="167" spans="2:13" ht="15.75" x14ac:dyDescent="0.25">
      <c r="B167" s="74" t="str">
        <f>IF('91_KPIS'!$T160="","",153)</f>
        <v/>
      </c>
      <c r="C167" s="75" t="str">
        <f>IF($B167="","",IF(INDEX(tblStock[Proveedor],'91_KPIS'!$T160)="","(Sin proveedor)",INDEX(tblStock[Proveedor],'91_KPIS'!$T160)))</f>
        <v/>
      </c>
      <c r="D167" s="76" t="str">
        <f>IF($B167="","",INDEX(tblStock[SKU],'91_KPIS'!$T160))</f>
        <v/>
      </c>
      <c r="E167" s="75" t="str">
        <f>IF($B167="","",INDEX(tblStock[Producto],'91_KPIS'!$T160))</f>
        <v/>
      </c>
      <c r="F167" s="76" t="str">
        <f>IF($B167="","",INDEX(tblStock[Unidad],'91_KPIS'!$T160))</f>
        <v/>
      </c>
      <c r="G167" s="77" t="str">
        <f>IF($B167="","",INDEX(tblStock[StockActual],'91_KPIS'!$T160))</f>
        <v/>
      </c>
      <c r="H167" s="78" t="str">
        <f>IF($B167="","",INDEX(tblStock[StockMin],'91_KPIS'!$T160))</f>
        <v/>
      </c>
      <c r="I167" s="78" t="str">
        <f>IF($B167="","",INDEX(tblStock[StockMax],'91_KPIS'!$T160))</f>
        <v/>
      </c>
      <c r="J167" s="79" t="str">
        <f>IF($B167="","",INDEX(tblStock[Estado],'91_KPIS'!$T160))</f>
        <v/>
      </c>
      <c r="K167" s="80" t="str">
        <f t="shared" si="4"/>
        <v/>
      </c>
      <c r="L167" s="81" t="str">
        <f>IF($B167="","",INDEX(tblStock[CostoUnitario],'91_KPIS'!$T160))</f>
        <v/>
      </c>
      <c r="M167" s="82" t="str">
        <f t="shared" si="5"/>
        <v/>
      </c>
    </row>
    <row r="168" spans="2:13" ht="15.75" x14ac:dyDescent="0.25">
      <c r="B168" s="74" t="str">
        <f>IF('91_KPIS'!$T161="","",154)</f>
        <v/>
      </c>
      <c r="C168" s="75" t="str">
        <f>IF($B168="","",IF(INDEX(tblStock[Proveedor],'91_KPIS'!$T161)="","(Sin proveedor)",INDEX(tblStock[Proveedor],'91_KPIS'!$T161)))</f>
        <v/>
      </c>
      <c r="D168" s="76" t="str">
        <f>IF($B168="","",INDEX(tblStock[SKU],'91_KPIS'!$T161))</f>
        <v/>
      </c>
      <c r="E168" s="75" t="str">
        <f>IF($B168="","",INDEX(tblStock[Producto],'91_KPIS'!$T161))</f>
        <v/>
      </c>
      <c r="F168" s="76" t="str">
        <f>IF($B168="","",INDEX(tblStock[Unidad],'91_KPIS'!$T161))</f>
        <v/>
      </c>
      <c r="G168" s="77" t="str">
        <f>IF($B168="","",INDEX(tblStock[StockActual],'91_KPIS'!$T161))</f>
        <v/>
      </c>
      <c r="H168" s="78" t="str">
        <f>IF($B168="","",INDEX(tblStock[StockMin],'91_KPIS'!$T161))</f>
        <v/>
      </c>
      <c r="I168" s="78" t="str">
        <f>IF($B168="","",INDEX(tblStock[StockMax],'91_KPIS'!$T161))</f>
        <v/>
      </c>
      <c r="J168" s="79" t="str">
        <f>IF($B168="","",INDEX(tblStock[Estado],'91_KPIS'!$T161))</f>
        <v/>
      </c>
      <c r="K168" s="80" t="str">
        <f t="shared" si="4"/>
        <v/>
      </c>
      <c r="L168" s="81" t="str">
        <f>IF($B168="","",INDEX(tblStock[CostoUnitario],'91_KPIS'!$T161))</f>
        <v/>
      </c>
      <c r="M168" s="82" t="str">
        <f t="shared" si="5"/>
        <v/>
      </c>
    </row>
    <row r="169" spans="2:13" ht="15.75" x14ac:dyDescent="0.25">
      <c r="B169" s="74" t="str">
        <f>IF('91_KPIS'!$T162="","",155)</f>
        <v/>
      </c>
      <c r="C169" s="75" t="str">
        <f>IF($B169="","",IF(INDEX(tblStock[Proveedor],'91_KPIS'!$T162)="","(Sin proveedor)",INDEX(tblStock[Proveedor],'91_KPIS'!$T162)))</f>
        <v/>
      </c>
      <c r="D169" s="76" t="str">
        <f>IF($B169="","",INDEX(tblStock[SKU],'91_KPIS'!$T162))</f>
        <v/>
      </c>
      <c r="E169" s="75" t="str">
        <f>IF($B169="","",INDEX(tblStock[Producto],'91_KPIS'!$T162))</f>
        <v/>
      </c>
      <c r="F169" s="76" t="str">
        <f>IF($B169="","",INDEX(tblStock[Unidad],'91_KPIS'!$T162))</f>
        <v/>
      </c>
      <c r="G169" s="77" t="str">
        <f>IF($B169="","",INDEX(tblStock[StockActual],'91_KPIS'!$T162))</f>
        <v/>
      </c>
      <c r="H169" s="78" t="str">
        <f>IF($B169="","",INDEX(tblStock[StockMin],'91_KPIS'!$T162))</f>
        <v/>
      </c>
      <c r="I169" s="78" t="str">
        <f>IF($B169="","",INDEX(tblStock[StockMax],'91_KPIS'!$T162))</f>
        <v/>
      </c>
      <c r="J169" s="79" t="str">
        <f>IF($B169="","",INDEX(tblStock[Estado],'91_KPIS'!$T162))</f>
        <v/>
      </c>
      <c r="K169" s="80" t="str">
        <f t="shared" si="4"/>
        <v/>
      </c>
      <c r="L169" s="81" t="str">
        <f>IF($B169="","",INDEX(tblStock[CostoUnitario],'91_KPIS'!$T162))</f>
        <v/>
      </c>
      <c r="M169" s="82" t="str">
        <f t="shared" si="5"/>
        <v/>
      </c>
    </row>
    <row r="170" spans="2:13" ht="15.75" x14ac:dyDescent="0.25">
      <c r="B170" s="74" t="str">
        <f>IF('91_KPIS'!$T163="","",156)</f>
        <v/>
      </c>
      <c r="C170" s="75" t="str">
        <f>IF($B170="","",IF(INDEX(tblStock[Proveedor],'91_KPIS'!$T163)="","(Sin proveedor)",INDEX(tblStock[Proveedor],'91_KPIS'!$T163)))</f>
        <v/>
      </c>
      <c r="D170" s="76" t="str">
        <f>IF($B170="","",INDEX(tblStock[SKU],'91_KPIS'!$T163))</f>
        <v/>
      </c>
      <c r="E170" s="75" t="str">
        <f>IF($B170="","",INDEX(tblStock[Producto],'91_KPIS'!$T163))</f>
        <v/>
      </c>
      <c r="F170" s="76" t="str">
        <f>IF($B170="","",INDEX(tblStock[Unidad],'91_KPIS'!$T163))</f>
        <v/>
      </c>
      <c r="G170" s="77" t="str">
        <f>IF($B170="","",INDEX(tblStock[StockActual],'91_KPIS'!$T163))</f>
        <v/>
      </c>
      <c r="H170" s="78" t="str">
        <f>IF($B170="","",INDEX(tblStock[StockMin],'91_KPIS'!$T163))</f>
        <v/>
      </c>
      <c r="I170" s="78" t="str">
        <f>IF($B170="","",INDEX(tblStock[StockMax],'91_KPIS'!$T163))</f>
        <v/>
      </c>
      <c r="J170" s="79" t="str">
        <f>IF($B170="","",INDEX(tblStock[Estado],'91_KPIS'!$T163))</f>
        <v/>
      </c>
      <c r="K170" s="80" t="str">
        <f t="shared" si="4"/>
        <v/>
      </c>
      <c r="L170" s="81" t="str">
        <f>IF($B170="","",INDEX(tblStock[CostoUnitario],'91_KPIS'!$T163))</f>
        <v/>
      </c>
      <c r="M170" s="82" t="str">
        <f t="shared" si="5"/>
        <v/>
      </c>
    </row>
    <row r="171" spans="2:13" ht="15.75" x14ac:dyDescent="0.25">
      <c r="B171" s="74" t="str">
        <f>IF('91_KPIS'!$T164="","",157)</f>
        <v/>
      </c>
      <c r="C171" s="75" t="str">
        <f>IF($B171="","",IF(INDEX(tblStock[Proveedor],'91_KPIS'!$T164)="","(Sin proveedor)",INDEX(tblStock[Proveedor],'91_KPIS'!$T164)))</f>
        <v/>
      </c>
      <c r="D171" s="76" t="str">
        <f>IF($B171="","",INDEX(tblStock[SKU],'91_KPIS'!$T164))</f>
        <v/>
      </c>
      <c r="E171" s="75" t="str">
        <f>IF($B171="","",INDEX(tblStock[Producto],'91_KPIS'!$T164))</f>
        <v/>
      </c>
      <c r="F171" s="76" t="str">
        <f>IF($B171="","",INDEX(tblStock[Unidad],'91_KPIS'!$T164))</f>
        <v/>
      </c>
      <c r="G171" s="77" t="str">
        <f>IF($B171="","",INDEX(tblStock[StockActual],'91_KPIS'!$T164))</f>
        <v/>
      </c>
      <c r="H171" s="78" t="str">
        <f>IF($B171="","",INDEX(tblStock[StockMin],'91_KPIS'!$T164))</f>
        <v/>
      </c>
      <c r="I171" s="78" t="str">
        <f>IF($B171="","",INDEX(tblStock[StockMax],'91_KPIS'!$T164))</f>
        <v/>
      </c>
      <c r="J171" s="79" t="str">
        <f>IF($B171="","",INDEX(tblStock[Estado],'91_KPIS'!$T164))</f>
        <v/>
      </c>
      <c r="K171" s="80" t="str">
        <f t="shared" si="4"/>
        <v/>
      </c>
      <c r="L171" s="81" t="str">
        <f>IF($B171="","",INDEX(tblStock[CostoUnitario],'91_KPIS'!$T164))</f>
        <v/>
      </c>
      <c r="M171" s="82" t="str">
        <f t="shared" si="5"/>
        <v/>
      </c>
    </row>
    <row r="172" spans="2:13" ht="15.75" x14ac:dyDescent="0.25">
      <c r="B172" s="74" t="str">
        <f>IF('91_KPIS'!$T165="","",158)</f>
        <v/>
      </c>
      <c r="C172" s="75" t="str">
        <f>IF($B172="","",IF(INDEX(tblStock[Proveedor],'91_KPIS'!$T165)="","(Sin proveedor)",INDEX(tblStock[Proveedor],'91_KPIS'!$T165)))</f>
        <v/>
      </c>
      <c r="D172" s="76" t="str">
        <f>IF($B172="","",INDEX(tblStock[SKU],'91_KPIS'!$T165))</f>
        <v/>
      </c>
      <c r="E172" s="75" t="str">
        <f>IF($B172="","",INDEX(tblStock[Producto],'91_KPIS'!$T165))</f>
        <v/>
      </c>
      <c r="F172" s="76" t="str">
        <f>IF($B172="","",INDEX(tblStock[Unidad],'91_KPIS'!$T165))</f>
        <v/>
      </c>
      <c r="G172" s="77" t="str">
        <f>IF($B172="","",INDEX(tblStock[StockActual],'91_KPIS'!$T165))</f>
        <v/>
      </c>
      <c r="H172" s="78" t="str">
        <f>IF($B172="","",INDEX(tblStock[StockMin],'91_KPIS'!$T165))</f>
        <v/>
      </c>
      <c r="I172" s="78" t="str">
        <f>IF($B172="","",INDEX(tblStock[StockMax],'91_KPIS'!$T165))</f>
        <v/>
      </c>
      <c r="J172" s="79" t="str">
        <f>IF($B172="","",INDEX(tblStock[Estado],'91_KPIS'!$T165))</f>
        <v/>
      </c>
      <c r="K172" s="80" t="str">
        <f t="shared" si="4"/>
        <v/>
      </c>
      <c r="L172" s="81" t="str">
        <f>IF($B172="","",INDEX(tblStock[CostoUnitario],'91_KPIS'!$T165))</f>
        <v/>
      </c>
      <c r="M172" s="82" t="str">
        <f t="shared" si="5"/>
        <v/>
      </c>
    </row>
    <row r="173" spans="2:13" ht="15.75" x14ac:dyDescent="0.25">
      <c r="B173" s="74" t="str">
        <f>IF('91_KPIS'!$T166="","",159)</f>
        <v/>
      </c>
      <c r="C173" s="75" t="str">
        <f>IF($B173="","",IF(INDEX(tblStock[Proveedor],'91_KPIS'!$T166)="","(Sin proveedor)",INDEX(tblStock[Proveedor],'91_KPIS'!$T166)))</f>
        <v/>
      </c>
      <c r="D173" s="76" t="str">
        <f>IF($B173="","",INDEX(tblStock[SKU],'91_KPIS'!$T166))</f>
        <v/>
      </c>
      <c r="E173" s="75" t="str">
        <f>IF($B173="","",INDEX(tblStock[Producto],'91_KPIS'!$T166))</f>
        <v/>
      </c>
      <c r="F173" s="76" t="str">
        <f>IF($B173="","",INDEX(tblStock[Unidad],'91_KPIS'!$T166))</f>
        <v/>
      </c>
      <c r="G173" s="77" t="str">
        <f>IF($B173="","",INDEX(tblStock[StockActual],'91_KPIS'!$T166))</f>
        <v/>
      </c>
      <c r="H173" s="78" t="str">
        <f>IF($B173="","",INDEX(tblStock[StockMin],'91_KPIS'!$T166))</f>
        <v/>
      </c>
      <c r="I173" s="78" t="str">
        <f>IF($B173="","",INDEX(tblStock[StockMax],'91_KPIS'!$T166))</f>
        <v/>
      </c>
      <c r="J173" s="79" t="str">
        <f>IF($B173="","",INDEX(tblStock[Estado],'91_KPIS'!$T166))</f>
        <v/>
      </c>
      <c r="K173" s="80" t="str">
        <f t="shared" si="4"/>
        <v/>
      </c>
      <c r="L173" s="81" t="str">
        <f>IF($B173="","",INDEX(tblStock[CostoUnitario],'91_KPIS'!$T166))</f>
        <v/>
      </c>
      <c r="M173" s="82" t="str">
        <f t="shared" si="5"/>
        <v/>
      </c>
    </row>
    <row r="174" spans="2:13" ht="15.75" x14ac:dyDescent="0.25">
      <c r="B174" s="74" t="str">
        <f>IF('91_KPIS'!$T167="","",160)</f>
        <v/>
      </c>
      <c r="C174" s="75" t="str">
        <f>IF($B174="","",IF(INDEX(tblStock[Proveedor],'91_KPIS'!$T167)="","(Sin proveedor)",INDEX(tblStock[Proveedor],'91_KPIS'!$T167)))</f>
        <v/>
      </c>
      <c r="D174" s="76" t="str">
        <f>IF($B174="","",INDEX(tblStock[SKU],'91_KPIS'!$T167))</f>
        <v/>
      </c>
      <c r="E174" s="75" t="str">
        <f>IF($B174="","",INDEX(tblStock[Producto],'91_KPIS'!$T167))</f>
        <v/>
      </c>
      <c r="F174" s="76" t="str">
        <f>IF($B174="","",INDEX(tblStock[Unidad],'91_KPIS'!$T167))</f>
        <v/>
      </c>
      <c r="G174" s="77" t="str">
        <f>IF($B174="","",INDEX(tblStock[StockActual],'91_KPIS'!$T167))</f>
        <v/>
      </c>
      <c r="H174" s="78" t="str">
        <f>IF($B174="","",INDEX(tblStock[StockMin],'91_KPIS'!$T167))</f>
        <v/>
      </c>
      <c r="I174" s="78" t="str">
        <f>IF($B174="","",INDEX(tblStock[StockMax],'91_KPIS'!$T167))</f>
        <v/>
      </c>
      <c r="J174" s="79" t="str">
        <f>IF($B174="","",INDEX(tblStock[Estado],'91_KPIS'!$T167))</f>
        <v/>
      </c>
      <c r="K174" s="80" t="str">
        <f t="shared" si="4"/>
        <v/>
      </c>
      <c r="L174" s="81" t="str">
        <f>IF($B174="","",INDEX(tblStock[CostoUnitario],'91_KPIS'!$T167))</f>
        <v/>
      </c>
      <c r="M174" s="82" t="str">
        <f t="shared" si="5"/>
        <v/>
      </c>
    </row>
    <row r="175" spans="2:13" ht="15.75" x14ac:dyDescent="0.25">
      <c r="B175" s="74" t="str">
        <f>IF('91_KPIS'!$T168="","",161)</f>
        <v/>
      </c>
      <c r="C175" s="75" t="str">
        <f>IF($B175="","",IF(INDEX(tblStock[Proveedor],'91_KPIS'!$T168)="","(Sin proveedor)",INDEX(tblStock[Proveedor],'91_KPIS'!$T168)))</f>
        <v/>
      </c>
      <c r="D175" s="76" t="str">
        <f>IF($B175="","",INDEX(tblStock[SKU],'91_KPIS'!$T168))</f>
        <v/>
      </c>
      <c r="E175" s="75" t="str">
        <f>IF($B175="","",INDEX(tblStock[Producto],'91_KPIS'!$T168))</f>
        <v/>
      </c>
      <c r="F175" s="76" t="str">
        <f>IF($B175="","",INDEX(tblStock[Unidad],'91_KPIS'!$T168))</f>
        <v/>
      </c>
      <c r="G175" s="77" t="str">
        <f>IF($B175="","",INDEX(tblStock[StockActual],'91_KPIS'!$T168))</f>
        <v/>
      </c>
      <c r="H175" s="78" t="str">
        <f>IF($B175="","",INDEX(tblStock[StockMin],'91_KPIS'!$T168))</f>
        <v/>
      </c>
      <c r="I175" s="78" t="str">
        <f>IF($B175="","",INDEX(tblStock[StockMax],'91_KPIS'!$T168))</f>
        <v/>
      </c>
      <c r="J175" s="79" t="str">
        <f>IF($B175="","",INDEX(tblStock[Estado],'91_KPIS'!$T168))</f>
        <v/>
      </c>
      <c r="K175" s="80" t="str">
        <f t="shared" si="4"/>
        <v/>
      </c>
      <c r="L175" s="81" t="str">
        <f>IF($B175="","",INDEX(tblStock[CostoUnitario],'91_KPIS'!$T168))</f>
        <v/>
      </c>
      <c r="M175" s="82" t="str">
        <f t="shared" si="5"/>
        <v/>
      </c>
    </row>
    <row r="176" spans="2:13" ht="15.75" x14ac:dyDescent="0.25">
      <c r="B176" s="74" t="str">
        <f>IF('91_KPIS'!$T169="","",162)</f>
        <v/>
      </c>
      <c r="C176" s="75" t="str">
        <f>IF($B176="","",IF(INDEX(tblStock[Proveedor],'91_KPIS'!$T169)="","(Sin proveedor)",INDEX(tblStock[Proveedor],'91_KPIS'!$T169)))</f>
        <v/>
      </c>
      <c r="D176" s="76" t="str">
        <f>IF($B176="","",INDEX(tblStock[SKU],'91_KPIS'!$T169))</f>
        <v/>
      </c>
      <c r="E176" s="75" t="str">
        <f>IF($B176="","",INDEX(tblStock[Producto],'91_KPIS'!$T169))</f>
        <v/>
      </c>
      <c r="F176" s="76" t="str">
        <f>IF($B176="","",INDEX(tblStock[Unidad],'91_KPIS'!$T169))</f>
        <v/>
      </c>
      <c r="G176" s="77" t="str">
        <f>IF($B176="","",INDEX(tblStock[StockActual],'91_KPIS'!$T169))</f>
        <v/>
      </c>
      <c r="H176" s="78" t="str">
        <f>IF($B176="","",INDEX(tblStock[StockMin],'91_KPIS'!$T169))</f>
        <v/>
      </c>
      <c r="I176" s="78" t="str">
        <f>IF($B176="","",INDEX(tblStock[StockMax],'91_KPIS'!$T169))</f>
        <v/>
      </c>
      <c r="J176" s="79" t="str">
        <f>IF($B176="","",INDEX(tblStock[Estado],'91_KPIS'!$T169))</f>
        <v/>
      </c>
      <c r="K176" s="80" t="str">
        <f t="shared" si="4"/>
        <v/>
      </c>
      <c r="L176" s="81" t="str">
        <f>IF($B176="","",INDEX(tblStock[CostoUnitario],'91_KPIS'!$T169))</f>
        <v/>
      </c>
      <c r="M176" s="82" t="str">
        <f t="shared" si="5"/>
        <v/>
      </c>
    </row>
    <row r="177" spans="2:13" ht="15.75" x14ac:dyDescent="0.25">
      <c r="B177" s="74" t="str">
        <f>IF('91_KPIS'!$T170="","",163)</f>
        <v/>
      </c>
      <c r="C177" s="75" t="str">
        <f>IF($B177="","",IF(INDEX(tblStock[Proveedor],'91_KPIS'!$T170)="","(Sin proveedor)",INDEX(tblStock[Proveedor],'91_KPIS'!$T170)))</f>
        <v/>
      </c>
      <c r="D177" s="76" t="str">
        <f>IF($B177="","",INDEX(tblStock[SKU],'91_KPIS'!$T170))</f>
        <v/>
      </c>
      <c r="E177" s="75" t="str">
        <f>IF($B177="","",INDEX(tblStock[Producto],'91_KPIS'!$T170))</f>
        <v/>
      </c>
      <c r="F177" s="76" t="str">
        <f>IF($B177="","",INDEX(tblStock[Unidad],'91_KPIS'!$T170))</f>
        <v/>
      </c>
      <c r="G177" s="77" t="str">
        <f>IF($B177="","",INDEX(tblStock[StockActual],'91_KPIS'!$T170))</f>
        <v/>
      </c>
      <c r="H177" s="78" t="str">
        <f>IF($B177="","",INDEX(tblStock[StockMin],'91_KPIS'!$T170))</f>
        <v/>
      </c>
      <c r="I177" s="78" t="str">
        <f>IF($B177="","",INDEX(tblStock[StockMax],'91_KPIS'!$T170))</f>
        <v/>
      </c>
      <c r="J177" s="79" t="str">
        <f>IF($B177="","",INDEX(tblStock[Estado],'91_KPIS'!$T170))</f>
        <v/>
      </c>
      <c r="K177" s="80" t="str">
        <f t="shared" si="4"/>
        <v/>
      </c>
      <c r="L177" s="81" t="str">
        <f>IF($B177="","",INDEX(tblStock[CostoUnitario],'91_KPIS'!$T170))</f>
        <v/>
      </c>
      <c r="M177" s="82" t="str">
        <f t="shared" si="5"/>
        <v/>
      </c>
    </row>
    <row r="178" spans="2:13" ht="15.75" x14ac:dyDescent="0.25">
      <c r="B178" s="74" t="str">
        <f>IF('91_KPIS'!$T171="","",164)</f>
        <v/>
      </c>
      <c r="C178" s="75" t="str">
        <f>IF($B178="","",IF(INDEX(tblStock[Proveedor],'91_KPIS'!$T171)="","(Sin proveedor)",INDEX(tblStock[Proveedor],'91_KPIS'!$T171)))</f>
        <v/>
      </c>
      <c r="D178" s="76" t="str">
        <f>IF($B178="","",INDEX(tblStock[SKU],'91_KPIS'!$T171))</f>
        <v/>
      </c>
      <c r="E178" s="75" t="str">
        <f>IF($B178="","",INDEX(tblStock[Producto],'91_KPIS'!$T171))</f>
        <v/>
      </c>
      <c r="F178" s="76" t="str">
        <f>IF($B178="","",INDEX(tblStock[Unidad],'91_KPIS'!$T171))</f>
        <v/>
      </c>
      <c r="G178" s="77" t="str">
        <f>IF($B178="","",INDEX(tblStock[StockActual],'91_KPIS'!$T171))</f>
        <v/>
      </c>
      <c r="H178" s="78" t="str">
        <f>IF($B178="","",INDEX(tblStock[StockMin],'91_KPIS'!$T171))</f>
        <v/>
      </c>
      <c r="I178" s="78" t="str">
        <f>IF($B178="","",INDEX(tblStock[StockMax],'91_KPIS'!$T171))</f>
        <v/>
      </c>
      <c r="J178" s="79" t="str">
        <f>IF($B178="","",INDEX(tblStock[Estado],'91_KPIS'!$T171))</f>
        <v/>
      </c>
      <c r="K178" s="80" t="str">
        <f t="shared" si="4"/>
        <v/>
      </c>
      <c r="L178" s="81" t="str">
        <f>IF($B178="","",INDEX(tblStock[CostoUnitario],'91_KPIS'!$T171))</f>
        <v/>
      </c>
      <c r="M178" s="82" t="str">
        <f t="shared" si="5"/>
        <v/>
      </c>
    </row>
    <row r="179" spans="2:13" ht="15.75" x14ac:dyDescent="0.25">
      <c r="B179" s="74" t="str">
        <f>IF('91_KPIS'!$T172="","",165)</f>
        <v/>
      </c>
      <c r="C179" s="75" t="str">
        <f>IF($B179="","",IF(INDEX(tblStock[Proveedor],'91_KPIS'!$T172)="","(Sin proveedor)",INDEX(tblStock[Proveedor],'91_KPIS'!$T172)))</f>
        <v/>
      </c>
      <c r="D179" s="76" t="str">
        <f>IF($B179="","",INDEX(tblStock[SKU],'91_KPIS'!$T172))</f>
        <v/>
      </c>
      <c r="E179" s="75" t="str">
        <f>IF($B179="","",INDEX(tblStock[Producto],'91_KPIS'!$T172))</f>
        <v/>
      </c>
      <c r="F179" s="76" t="str">
        <f>IF($B179="","",INDEX(tblStock[Unidad],'91_KPIS'!$T172))</f>
        <v/>
      </c>
      <c r="G179" s="77" t="str">
        <f>IF($B179="","",INDEX(tblStock[StockActual],'91_KPIS'!$T172))</f>
        <v/>
      </c>
      <c r="H179" s="78" t="str">
        <f>IF($B179="","",INDEX(tblStock[StockMin],'91_KPIS'!$T172))</f>
        <v/>
      </c>
      <c r="I179" s="78" t="str">
        <f>IF($B179="","",INDEX(tblStock[StockMax],'91_KPIS'!$T172))</f>
        <v/>
      </c>
      <c r="J179" s="79" t="str">
        <f>IF($B179="","",INDEX(tblStock[Estado],'91_KPIS'!$T172))</f>
        <v/>
      </c>
      <c r="K179" s="80" t="str">
        <f t="shared" si="4"/>
        <v/>
      </c>
      <c r="L179" s="81" t="str">
        <f>IF($B179="","",INDEX(tblStock[CostoUnitario],'91_KPIS'!$T172))</f>
        <v/>
      </c>
      <c r="M179" s="82" t="str">
        <f t="shared" si="5"/>
        <v/>
      </c>
    </row>
    <row r="180" spans="2:13" ht="15.75" x14ac:dyDescent="0.25">
      <c r="B180" s="74" t="str">
        <f>IF('91_KPIS'!$T173="","",166)</f>
        <v/>
      </c>
      <c r="C180" s="75" t="str">
        <f>IF($B180="","",IF(INDEX(tblStock[Proveedor],'91_KPIS'!$T173)="","(Sin proveedor)",INDEX(tblStock[Proveedor],'91_KPIS'!$T173)))</f>
        <v/>
      </c>
      <c r="D180" s="76" t="str">
        <f>IF($B180="","",INDEX(tblStock[SKU],'91_KPIS'!$T173))</f>
        <v/>
      </c>
      <c r="E180" s="75" t="str">
        <f>IF($B180="","",INDEX(tblStock[Producto],'91_KPIS'!$T173))</f>
        <v/>
      </c>
      <c r="F180" s="76" t="str">
        <f>IF($B180="","",INDEX(tblStock[Unidad],'91_KPIS'!$T173))</f>
        <v/>
      </c>
      <c r="G180" s="77" t="str">
        <f>IF($B180="","",INDEX(tblStock[StockActual],'91_KPIS'!$T173))</f>
        <v/>
      </c>
      <c r="H180" s="78" t="str">
        <f>IF($B180="","",INDEX(tblStock[StockMin],'91_KPIS'!$T173))</f>
        <v/>
      </c>
      <c r="I180" s="78" t="str">
        <f>IF($B180="","",INDEX(tblStock[StockMax],'91_KPIS'!$T173))</f>
        <v/>
      </c>
      <c r="J180" s="79" t="str">
        <f>IF($B180="","",INDEX(tblStock[Estado],'91_KPIS'!$T173))</f>
        <v/>
      </c>
      <c r="K180" s="80" t="str">
        <f t="shared" si="4"/>
        <v/>
      </c>
      <c r="L180" s="81" t="str">
        <f>IF($B180="","",INDEX(tblStock[CostoUnitario],'91_KPIS'!$T173))</f>
        <v/>
      </c>
      <c r="M180" s="82" t="str">
        <f t="shared" si="5"/>
        <v/>
      </c>
    </row>
    <row r="181" spans="2:13" ht="15.75" x14ac:dyDescent="0.25">
      <c r="B181" s="74" t="str">
        <f>IF('91_KPIS'!$T174="","",167)</f>
        <v/>
      </c>
      <c r="C181" s="75" t="str">
        <f>IF($B181="","",IF(INDEX(tblStock[Proveedor],'91_KPIS'!$T174)="","(Sin proveedor)",INDEX(tblStock[Proveedor],'91_KPIS'!$T174)))</f>
        <v/>
      </c>
      <c r="D181" s="76" t="str">
        <f>IF($B181="","",INDEX(tblStock[SKU],'91_KPIS'!$T174))</f>
        <v/>
      </c>
      <c r="E181" s="75" t="str">
        <f>IF($B181="","",INDEX(tblStock[Producto],'91_KPIS'!$T174))</f>
        <v/>
      </c>
      <c r="F181" s="76" t="str">
        <f>IF($B181="","",INDEX(tblStock[Unidad],'91_KPIS'!$T174))</f>
        <v/>
      </c>
      <c r="G181" s="77" t="str">
        <f>IF($B181="","",INDEX(tblStock[StockActual],'91_KPIS'!$T174))</f>
        <v/>
      </c>
      <c r="H181" s="78" t="str">
        <f>IF($B181="","",INDEX(tblStock[StockMin],'91_KPIS'!$T174))</f>
        <v/>
      </c>
      <c r="I181" s="78" t="str">
        <f>IF($B181="","",INDEX(tblStock[StockMax],'91_KPIS'!$T174))</f>
        <v/>
      </c>
      <c r="J181" s="79" t="str">
        <f>IF($B181="","",INDEX(tblStock[Estado],'91_KPIS'!$T174))</f>
        <v/>
      </c>
      <c r="K181" s="80" t="str">
        <f t="shared" si="4"/>
        <v/>
      </c>
      <c r="L181" s="81" t="str">
        <f>IF($B181="","",INDEX(tblStock[CostoUnitario],'91_KPIS'!$T174))</f>
        <v/>
      </c>
      <c r="M181" s="82" t="str">
        <f t="shared" si="5"/>
        <v/>
      </c>
    </row>
    <row r="182" spans="2:13" ht="15.75" x14ac:dyDescent="0.25">
      <c r="B182" s="74" t="str">
        <f>IF('91_KPIS'!$T175="","",168)</f>
        <v/>
      </c>
      <c r="C182" s="75" t="str">
        <f>IF($B182="","",IF(INDEX(tblStock[Proveedor],'91_KPIS'!$T175)="","(Sin proveedor)",INDEX(tblStock[Proveedor],'91_KPIS'!$T175)))</f>
        <v/>
      </c>
      <c r="D182" s="76" t="str">
        <f>IF($B182="","",INDEX(tblStock[SKU],'91_KPIS'!$T175))</f>
        <v/>
      </c>
      <c r="E182" s="75" t="str">
        <f>IF($B182="","",INDEX(tblStock[Producto],'91_KPIS'!$T175))</f>
        <v/>
      </c>
      <c r="F182" s="76" t="str">
        <f>IF($B182="","",INDEX(tblStock[Unidad],'91_KPIS'!$T175))</f>
        <v/>
      </c>
      <c r="G182" s="77" t="str">
        <f>IF($B182="","",INDEX(tblStock[StockActual],'91_KPIS'!$T175))</f>
        <v/>
      </c>
      <c r="H182" s="78" t="str">
        <f>IF($B182="","",INDEX(tblStock[StockMin],'91_KPIS'!$T175))</f>
        <v/>
      </c>
      <c r="I182" s="78" t="str">
        <f>IF($B182="","",INDEX(tblStock[StockMax],'91_KPIS'!$T175))</f>
        <v/>
      </c>
      <c r="J182" s="79" t="str">
        <f>IF($B182="","",INDEX(tblStock[Estado],'91_KPIS'!$T175))</f>
        <v/>
      </c>
      <c r="K182" s="80" t="str">
        <f t="shared" si="4"/>
        <v/>
      </c>
      <c r="L182" s="81" t="str">
        <f>IF($B182="","",INDEX(tblStock[CostoUnitario],'91_KPIS'!$T175))</f>
        <v/>
      </c>
      <c r="M182" s="82" t="str">
        <f t="shared" si="5"/>
        <v/>
      </c>
    </row>
    <row r="183" spans="2:13" ht="15.75" x14ac:dyDescent="0.25">
      <c r="B183" s="74" t="str">
        <f>IF('91_KPIS'!$T176="","",169)</f>
        <v/>
      </c>
      <c r="C183" s="75" t="str">
        <f>IF($B183="","",IF(INDEX(tblStock[Proveedor],'91_KPIS'!$T176)="","(Sin proveedor)",INDEX(tblStock[Proveedor],'91_KPIS'!$T176)))</f>
        <v/>
      </c>
      <c r="D183" s="76" t="str">
        <f>IF($B183="","",INDEX(tblStock[SKU],'91_KPIS'!$T176))</f>
        <v/>
      </c>
      <c r="E183" s="75" t="str">
        <f>IF($B183="","",INDEX(tblStock[Producto],'91_KPIS'!$T176))</f>
        <v/>
      </c>
      <c r="F183" s="76" t="str">
        <f>IF($B183="","",INDEX(tblStock[Unidad],'91_KPIS'!$T176))</f>
        <v/>
      </c>
      <c r="G183" s="77" t="str">
        <f>IF($B183="","",INDEX(tblStock[StockActual],'91_KPIS'!$T176))</f>
        <v/>
      </c>
      <c r="H183" s="78" t="str">
        <f>IF($B183="","",INDEX(tblStock[StockMin],'91_KPIS'!$T176))</f>
        <v/>
      </c>
      <c r="I183" s="78" t="str">
        <f>IF($B183="","",INDEX(tblStock[StockMax],'91_KPIS'!$T176))</f>
        <v/>
      </c>
      <c r="J183" s="79" t="str">
        <f>IF($B183="","",INDEX(tblStock[Estado],'91_KPIS'!$T176))</f>
        <v/>
      </c>
      <c r="K183" s="80" t="str">
        <f t="shared" si="4"/>
        <v/>
      </c>
      <c r="L183" s="81" t="str">
        <f>IF($B183="","",INDEX(tblStock[CostoUnitario],'91_KPIS'!$T176))</f>
        <v/>
      </c>
      <c r="M183" s="82" t="str">
        <f t="shared" si="5"/>
        <v/>
      </c>
    </row>
    <row r="184" spans="2:13" ht="15.75" x14ac:dyDescent="0.25">
      <c r="B184" s="74" t="str">
        <f>IF('91_KPIS'!$T177="","",170)</f>
        <v/>
      </c>
      <c r="C184" s="75" t="str">
        <f>IF($B184="","",IF(INDEX(tblStock[Proveedor],'91_KPIS'!$T177)="","(Sin proveedor)",INDEX(tblStock[Proveedor],'91_KPIS'!$T177)))</f>
        <v/>
      </c>
      <c r="D184" s="76" t="str">
        <f>IF($B184="","",INDEX(tblStock[SKU],'91_KPIS'!$T177))</f>
        <v/>
      </c>
      <c r="E184" s="75" t="str">
        <f>IF($B184="","",INDEX(tblStock[Producto],'91_KPIS'!$T177))</f>
        <v/>
      </c>
      <c r="F184" s="76" t="str">
        <f>IF($B184="","",INDEX(tblStock[Unidad],'91_KPIS'!$T177))</f>
        <v/>
      </c>
      <c r="G184" s="77" t="str">
        <f>IF($B184="","",INDEX(tblStock[StockActual],'91_KPIS'!$T177))</f>
        <v/>
      </c>
      <c r="H184" s="78" t="str">
        <f>IF($B184="","",INDEX(tblStock[StockMin],'91_KPIS'!$T177))</f>
        <v/>
      </c>
      <c r="I184" s="78" t="str">
        <f>IF($B184="","",INDEX(tblStock[StockMax],'91_KPIS'!$T177))</f>
        <v/>
      </c>
      <c r="J184" s="79" t="str">
        <f>IF($B184="","",INDEX(tblStock[Estado],'91_KPIS'!$T177))</f>
        <v/>
      </c>
      <c r="K184" s="80" t="str">
        <f t="shared" si="4"/>
        <v/>
      </c>
      <c r="L184" s="81" t="str">
        <f>IF($B184="","",INDEX(tblStock[CostoUnitario],'91_KPIS'!$T177))</f>
        <v/>
      </c>
      <c r="M184" s="82" t="str">
        <f t="shared" si="5"/>
        <v/>
      </c>
    </row>
    <row r="185" spans="2:13" ht="15.75" x14ac:dyDescent="0.25">
      <c r="B185" s="74" t="str">
        <f>IF('91_KPIS'!$T178="","",171)</f>
        <v/>
      </c>
      <c r="C185" s="75" t="str">
        <f>IF($B185="","",IF(INDEX(tblStock[Proveedor],'91_KPIS'!$T178)="","(Sin proveedor)",INDEX(tblStock[Proveedor],'91_KPIS'!$T178)))</f>
        <v/>
      </c>
      <c r="D185" s="76" t="str">
        <f>IF($B185="","",INDEX(tblStock[SKU],'91_KPIS'!$T178))</f>
        <v/>
      </c>
      <c r="E185" s="75" t="str">
        <f>IF($B185="","",INDEX(tblStock[Producto],'91_KPIS'!$T178))</f>
        <v/>
      </c>
      <c r="F185" s="76" t="str">
        <f>IF($B185="","",INDEX(tblStock[Unidad],'91_KPIS'!$T178))</f>
        <v/>
      </c>
      <c r="G185" s="77" t="str">
        <f>IF($B185="","",INDEX(tblStock[StockActual],'91_KPIS'!$T178))</f>
        <v/>
      </c>
      <c r="H185" s="78" t="str">
        <f>IF($B185="","",INDEX(tblStock[StockMin],'91_KPIS'!$T178))</f>
        <v/>
      </c>
      <c r="I185" s="78" t="str">
        <f>IF($B185="","",INDEX(tblStock[StockMax],'91_KPIS'!$T178))</f>
        <v/>
      </c>
      <c r="J185" s="79" t="str">
        <f>IF($B185="","",INDEX(tblStock[Estado],'91_KPIS'!$T178))</f>
        <v/>
      </c>
      <c r="K185" s="80" t="str">
        <f t="shared" si="4"/>
        <v/>
      </c>
      <c r="L185" s="81" t="str">
        <f>IF($B185="","",INDEX(tblStock[CostoUnitario],'91_KPIS'!$T178))</f>
        <v/>
      </c>
      <c r="M185" s="82" t="str">
        <f t="shared" si="5"/>
        <v/>
      </c>
    </row>
    <row r="186" spans="2:13" ht="15.75" x14ac:dyDescent="0.25">
      <c r="B186" s="74" t="str">
        <f>IF('91_KPIS'!$T179="","",172)</f>
        <v/>
      </c>
      <c r="C186" s="75" t="str">
        <f>IF($B186="","",IF(INDEX(tblStock[Proveedor],'91_KPIS'!$T179)="","(Sin proveedor)",INDEX(tblStock[Proveedor],'91_KPIS'!$T179)))</f>
        <v/>
      </c>
      <c r="D186" s="76" t="str">
        <f>IF($B186="","",INDEX(tblStock[SKU],'91_KPIS'!$T179))</f>
        <v/>
      </c>
      <c r="E186" s="75" t="str">
        <f>IF($B186="","",INDEX(tblStock[Producto],'91_KPIS'!$T179))</f>
        <v/>
      </c>
      <c r="F186" s="76" t="str">
        <f>IF($B186="","",INDEX(tblStock[Unidad],'91_KPIS'!$T179))</f>
        <v/>
      </c>
      <c r="G186" s="77" t="str">
        <f>IF($B186="","",INDEX(tblStock[StockActual],'91_KPIS'!$T179))</f>
        <v/>
      </c>
      <c r="H186" s="78" t="str">
        <f>IF($B186="","",INDEX(tblStock[StockMin],'91_KPIS'!$T179))</f>
        <v/>
      </c>
      <c r="I186" s="78" t="str">
        <f>IF($B186="","",INDEX(tblStock[StockMax],'91_KPIS'!$T179))</f>
        <v/>
      </c>
      <c r="J186" s="79" t="str">
        <f>IF($B186="","",INDEX(tblStock[Estado],'91_KPIS'!$T179))</f>
        <v/>
      </c>
      <c r="K186" s="80" t="str">
        <f t="shared" si="4"/>
        <v/>
      </c>
      <c r="L186" s="81" t="str">
        <f>IF($B186="","",INDEX(tblStock[CostoUnitario],'91_KPIS'!$T179))</f>
        <v/>
      </c>
      <c r="M186" s="82" t="str">
        <f t="shared" si="5"/>
        <v/>
      </c>
    </row>
    <row r="187" spans="2:13" ht="15.75" x14ac:dyDescent="0.25">
      <c r="B187" s="74" t="str">
        <f>IF('91_KPIS'!$T180="","",173)</f>
        <v/>
      </c>
      <c r="C187" s="75" t="str">
        <f>IF($B187="","",IF(INDEX(tblStock[Proveedor],'91_KPIS'!$T180)="","(Sin proveedor)",INDEX(tblStock[Proveedor],'91_KPIS'!$T180)))</f>
        <v/>
      </c>
      <c r="D187" s="76" t="str">
        <f>IF($B187="","",INDEX(tblStock[SKU],'91_KPIS'!$T180))</f>
        <v/>
      </c>
      <c r="E187" s="75" t="str">
        <f>IF($B187="","",INDEX(tblStock[Producto],'91_KPIS'!$T180))</f>
        <v/>
      </c>
      <c r="F187" s="76" t="str">
        <f>IF($B187="","",INDEX(tblStock[Unidad],'91_KPIS'!$T180))</f>
        <v/>
      </c>
      <c r="G187" s="77" t="str">
        <f>IF($B187="","",INDEX(tblStock[StockActual],'91_KPIS'!$T180))</f>
        <v/>
      </c>
      <c r="H187" s="78" t="str">
        <f>IF($B187="","",INDEX(tblStock[StockMin],'91_KPIS'!$T180))</f>
        <v/>
      </c>
      <c r="I187" s="78" t="str">
        <f>IF($B187="","",INDEX(tblStock[StockMax],'91_KPIS'!$T180))</f>
        <v/>
      </c>
      <c r="J187" s="79" t="str">
        <f>IF($B187="","",INDEX(tblStock[Estado],'91_KPIS'!$T180))</f>
        <v/>
      </c>
      <c r="K187" s="80" t="str">
        <f t="shared" si="4"/>
        <v/>
      </c>
      <c r="L187" s="81" t="str">
        <f>IF($B187="","",INDEX(tblStock[CostoUnitario],'91_KPIS'!$T180))</f>
        <v/>
      </c>
      <c r="M187" s="82" t="str">
        <f t="shared" si="5"/>
        <v/>
      </c>
    </row>
    <row r="188" spans="2:13" ht="15.75" x14ac:dyDescent="0.25">
      <c r="B188" s="74" t="str">
        <f>IF('91_KPIS'!$T181="","",174)</f>
        <v/>
      </c>
      <c r="C188" s="75" t="str">
        <f>IF($B188="","",IF(INDEX(tblStock[Proveedor],'91_KPIS'!$T181)="","(Sin proveedor)",INDEX(tblStock[Proveedor],'91_KPIS'!$T181)))</f>
        <v/>
      </c>
      <c r="D188" s="76" t="str">
        <f>IF($B188="","",INDEX(tblStock[SKU],'91_KPIS'!$T181))</f>
        <v/>
      </c>
      <c r="E188" s="75" t="str">
        <f>IF($B188="","",INDEX(tblStock[Producto],'91_KPIS'!$T181))</f>
        <v/>
      </c>
      <c r="F188" s="76" t="str">
        <f>IF($B188="","",INDEX(tblStock[Unidad],'91_KPIS'!$T181))</f>
        <v/>
      </c>
      <c r="G188" s="77" t="str">
        <f>IF($B188="","",INDEX(tblStock[StockActual],'91_KPIS'!$T181))</f>
        <v/>
      </c>
      <c r="H188" s="78" t="str">
        <f>IF($B188="","",INDEX(tblStock[StockMin],'91_KPIS'!$T181))</f>
        <v/>
      </c>
      <c r="I188" s="78" t="str">
        <f>IF($B188="","",INDEX(tblStock[StockMax],'91_KPIS'!$T181))</f>
        <v/>
      </c>
      <c r="J188" s="79" t="str">
        <f>IF($B188="","",INDEX(tblStock[Estado],'91_KPIS'!$T181))</f>
        <v/>
      </c>
      <c r="K188" s="80" t="str">
        <f t="shared" si="4"/>
        <v/>
      </c>
      <c r="L188" s="81" t="str">
        <f>IF($B188="","",INDEX(tblStock[CostoUnitario],'91_KPIS'!$T181))</f>
        <v/>
      </c>
      <c r="M188" s="82" t="str">
        <f t="shared" si="5"/>
        <v/>
      </c>
    </row>
    <row r="189" spans="2:13" ht="15.75" x14ac:dyDescent="0.25">
      <c r="B189" s="74" t="str">
        <f>IF('91_KPIS'!$T182="","",175)</f>
        <v/>
      </c>
      <c r="C189" s="75" t="str">
        <f>IF($B189="","",IF(INDEX(tblStock[Proveedor],'91_KPIS'!$T182)="","(Sin proveedor)",INDEX(tblStock[Proveedor],'91_KPIS'!$T182)))</f>
        <v/>
      </c>
      <c r="D189" s="76" t="str">
        <f>IF($B189="","",INDEX(tblStock[SKU],'91_KPIS'!$T182))</f>
        <v/>
      </c>
      <c r="E189" s="75" t="str">
        <f>IF($B189="","",INDEX(tblStock[Producto],'91_KPIS'!$T182))</f>
        <v/>
      </c>
      <c r="F189" s="76" t="str">
        <f>IF($B189="","",INDEX(tblStock[Unidad],'91_KPIS'!$T182))</f>
        <v/>
      </c>
      <c r="G189" s="77" t="str">
        <f>IF($B189="","",INDEX(tblStock[StockActual],'91_KPIS'!$T182))</f>
        <v/>
      </c>
      <c r="H189" s="78" t="str">
        <f>IF($B189="","",INDEX(tblStock[StockMin],'91_KPIS'!$T182))</f>
        <v/>
      </c>
      <c r="I189" s="78" t="str">
        <f>IF($B189="","",INDEX(tblStock[StockMax],'91_KPIS'!$T182))</f>
        <v/>
      </c>
      <c r="J189" s="79" t="str">
        <f>IF($B189="","",INDEX(tblStock[Estado],'91_KPIS'!$T182))</f>
        <v/>
      </c>
      <c r="K189" s="80" t="str">
        <f t="shared" si="4"/>
        <v/>
      </c>
      <c r="L189" s="81" t="str">
        <f>IF($B189="","",INDEX(tblStock[CostoUnitario],'91_KPIS'!$T182))</f>
        <v/>
      </c>
      <c r="M189" s="82" t="str">
        <f t="shared" si="5"/>
        <v/>
      </c>
    </row>
    <row r="190" spans="2:13" ht="15.75" x14ac:dyDescent="0.25">
      <c r="B190" s="74" t="str">
        <f>IF('91_KPIS'!$T183="","",176)</f>
        <v/>
      </c>
      <c r="C190" s="75" t="str">
        <f>IF($B190="","",IF(INDEX(tblStock[Proveedor],'91_KPIS'!$T183)="","(Sin proveedor)",INDEX(tblStock[Proveedor],'91_KPIS'!$T183)))</f>
        <v/>
      </c>
      <c r="D190" s="76" t="str">
        <f>IF($B190="","",INDEX(tblStock[SKU],'91_KPIS'!$T183))</f>
        <v/>
      </c>
      <c r="E190" s="75" t="str">
        <f>IF($B190="","",INDEX(tblStock[Producto],'91_KPIS'!$T183))</f>
        <v/>
      </c>
      <c r="F190" s="76" t="str">
        <f>IF($B190="","",INDEX(tblStock[Unidad],'91_KPIS'!$T183))</f>
        <v/>
      </c>
      <c r="G190" s="77" t="str">
        <f>IF($B190="","",INDEX(tblStock[StockActual],'91_KPIS'!$T183))</f>
        <v/>
      </c>
      <c r="H190" s="78" t="str">
        <f>IF($B190="","",INDEX(tblStock[StockMin],'91_KPIS'!$T183))</f>
        <v/>
      </c>
      <c r="I190" s="78" t="str">
        <f>IF($B190="","",INDEX(tblStock[StockMax],'91_KPIS'!$T183))</f>
        <v/>
      </c>
      <c r="J190" s="79" t="str">
        <f>IF($B190="","",INDEX(tblStock[Estado],'91_KPIS'!$T183))</f>
        <v/>
      </c>
      <c r="K190" s="80" t="str">
        <f t="shared" si="4"/>
        <v/>
      </c>
      <c r="L190" s="81" t="str">
        <f>IF($B190="","",INDEX(tblStock[CostoUnitario],'91_KPIS'!$T183))</f>
        <v/>
      </c>
      <c r="M190" s="82" t="str">
        <f t="shared" si="5"/>
        <v/>
      </c>
    </row>
    <row r="191" spans="2:13" ht="15.75" x14ac:dyDescent="0.25">
      <c r="B191" s="74" t="str">
        <f>IF('91_KPIS'!$T184="","",177)</f>
        <v/>
      </c>
      <c r="C191" s="75" t="str">
        <f>IF($B191="","",IF(INDEX(tblStock[Proveedor],'91_KPIS'!$T184)="","(Sin proveedor)",INDEX(tblStock[Proveedor],'91_KPIS'!$T184)))</f>
        <v/>
      </c>
      <c r="D191" s="76" t="str">
        <f>IF($B191="","",INDEX(tblStock[SKU],'91_KPIS'!$T184))</f>
        <v/>
      </c>
      <c r="E191" s="75" t="str">
        <f>IF($B191="","",INDEX(tblStock[Producto],'91_KPIS'!$T184))</f>
        <v/>
      </c>
      <c r="F191" s="76" t="str">
        <f>IF($B191="","",INDEX(tblStock[Unidad],'91_KPIS'!$T184))</f>
        <v/>
      </c>
      <c r="G191" s="77" t="str">
        <f>IF($B191="","",INDEX(tblStock[StockActual],'91_KPIS'!$T184))</f>
        <v/>
      </c>
      <c r="H191" s="78" t="str">
        <f>IF($B191="","",INDEX(tblStock[StockMin],'91_KPIS'!$T184))</f>
        <v/>
      </c>
      <c r="I191" s="78" t="str">
        <f>IF($B191="","",INDEX(tblStock[StockMax],'91_KPIS'!$T184))</f>
        <v/>
      </c>
      <c r="J191" s="79" t="str">
        <f>IF($B191="","",INDEX(tblStock[Estado],'91_KPIS'!$T184))</f>
        <v/>
      </c>
      <c r="K191" s="80" t="str">
        <f t="shared" si="4"/>
        <v/>
      </c>
      <c r="L191" s="81" t="str">
        <f>IF($B191="","",INDEX(tblStock[CostoUnitario],'91_KPIS'!$T184))</f>
        <v/>
      </c>
      <c r="M191" s="82" t="str">
        <f t="shared" si="5"/>
        <v/>
      </c>
    </row>
    <row r="192" spans="2:13" ht="15.75" x14ac:dyDescent="0.25">
      <c r="B192" s="74" t="str">
        <f>IF('91_KPIS'!$T185="","",178)</f>
        <v/>
      </c>
      <c r="C192" s="75" t="str">
        <f>IF($B192="","",IF(INDEX(tblStock[Proveedor],'91_KPIS'!$T185)="","(Sin proveedor)",INDEX(tblStock[Proveedor],'91_KPIS'!$T185)))</f>
        <v/>
      </c>
      <c r="D192" s="76" t="str">
        <f>IF($B192="","",INDEX(tblStock[SKU],'91_KPIS'!$T185))</f>
        <v/>
      </c>
      <c r="E192" s="75" t="str">
        <f>IF($B192="","",INDEX(tblStock[Producto],'91_KPIS'!$T185))</f>
        <v/>
      </c>
      <c r="F192" s="76" t="str">
        <f>IF($B192="","",INDEX(tblStock[Unidad],'91_KPIS'!$T185))</f>
        <v/>
      </c>
      <c r="G192" s="77" t="str">
        <f>IF($B192="","",INDEX(tblStock[StockActual],'91_KPIS'!$T185))</f>
        <v/>
      </c>
      <c r="H192" s="78" t="str">
        <f>IF($B192="","",INDEX(tblStock[StockMin],'91_KPIS'!$T185))</f>
        <v/>
      </c>
      <c r="I192" s="78" t="str">
        <f>IF($B192="","",INDEX(tblStock[StockMax],'91_KPIS'!$T185))</f>
        <v/>
      </c>
      <c r="J192" s="79" t="str">
        <f>IF($B192="","",INDEX(tblStock[Estado],'91_KPIS'!$T185))</f>
        <v/>
      </c>
      <c r="K192" s="80" t="str">
        <f t="shared" si="4"/>
        <v/>
      </c>
      <c r="L192" s="81" t="str">
        <f>IF($B192="","",INDEX(tblStock[CostoUnitario],'91_KPIS'!$T185))</f>
        <v/>
      </c>
      <c r="M192" s="82" t="str">
        <f t="shared" si="5"/>
        <v/>
      </c>
    </row>
    <row r="193" spans="2:13" ht="15.75" x14ac:dyDescent="0.25">
      <c r="B193" s="74" t="str">
        <f>IF('91_KPIS'!$T186="","",179)</f>
        <v/>
      </c>
      <c r="C193" s="75" t="str">
        <f>IF($B193="","",IF(INDEX(tblStock[Proveedor],'91_KPIS'!$T186)="","(Sin proveedor)",INDEX(tblStock[Proveedor],'91_KPIS'!$T186)))</f>
        <v/>
      </c>
      <c r="D193" s="76" t="str">
        <f>IF($B193="","",INDEX(tblStock[SKU],'91_KPIS'!$T186))</f>
        <v/>
      </c>
      <c r="E193" s="75" t="str">
        <f>IF($B193="","",INDEX(tblStock[Producto],'91_KPIS'!$T186))</f>
        <v/>
      </c>
      <c r="F193" s="76" t="str">
        <f>IF($B193="","",INDEX(tblStock[Unidad],'91_KPIS'!$T186))</f>
        <v/>
      </c>
      <c r="G193" s="77" t="str">
        <f>IF($B193="","",INDEX(tblStock[StockActual],'91_KPIS'!$T186))</f>
        <v/>
      </c>
      <c r="H193" s="78" t="str">
        <f>IF($B193="","",INDEX(tblStock[StockMin],'91_KPIS'!$T186))</f>
        <v/>
      </c>
      <c r="I193" s="78" t="str">
        <f>IF($B193="","",INDEX(tblStock[StockMax],'91_KPIS'!$T186))</f>
        <v/>
      </c>
      <c r="J193" s="79" t="str">
        <f>IF($B193="","",INDEX(tblStock[Estado],'91_KPIS'!$T186))</f>
        <v/>
      </c>
      <c r="K193" s="80" t="str">
        <f t="shared" si="4"/>
        <v/>
      </c>
      <c r="L193" s="81" t="str">
        <f>IF($B193="","",INDEX(tblStock[CostoUnitario],'91_KPIS'!$T186))</f>
        <v/>
      </c>
      <c r="M193" s="82" t="str">
        <f t="shared" si="5"/>
        <v/>
      </c>
    </row>
    <row r="194" spans="2:13" ht="15.75" x14ac:dyDescent="0.25">
      <c r="B194" s="74" t="str">
        <f>IF('91_KPIS'!$T187="","",180)</f>
        <v/>
      </c>
      <c r="C194" s="75" t="str">
        <f>IF($B194="","",IF(INDEX(tblStock[Proveedor],'91_KPIS'!$T187)="","(Sin proveedor)",INDEX(tblStock[Proveedor],'91_KPIS'!$T187)))</f>
        <v/>
      </c>
      <c r="D194" s="76" t="str">
        <f>IF($B194="","",INDEX(tblStock[SKU],'91_KPIS'!$T187))</f>
        <v/>
      </c>
      <c r="E194" s="75" t="str">
        <f>IF($B194="","",INDEX(tblStock[Producto],'91_KPIS'!$T187))</f>
        <v/>
      </c>
      <c r="F194" s="76" t="str">
        <f>IF($B194="","",INDEX(tblStock[Unidad],'91_KPIS'!$T187))</f>
        <v/>
      </c>
      <c r="G194" s="77" t="str">
        <f>IF($B194="","",INDEX(tblStock[StockActual],'91_KPIS'!$T187))</f>
        <v/>
      </c>
      <c r="H194" s="78" t="str">
        <f>IF($B194="","",INDEX(tblStock[StockMin],'91_KPIS'!$T187))</f>
        <v/>
      </c>
      <c r="I194" s="78" t="str">
        <f>IF($B194="","",INDEX(tblStock[StockMax],'91_KPIS'!$T187))</f>
        <v/>
      </c>
      <c r="J194" s="79" t="str">
        <f>IF($B194="","",INDEX(tblStock[Estado],'91_KPIS'!$T187))</f>
        <v/>
      </c>
      <c r="K194" s="80" t="str">
        <f t="shared" si="4"/>
        <v/>
      </c>
      <c r="L194" s="81" t="str">
        <f>IF($B194="","",INDEX(tblStock[CostoUnitario],'91_KPIS'!$T187))</f>
        <v/>
      </c>
      <c r="M194" s="82" t="str">
        <f t="shared" si="5"/>
        <v/>
      </c>
    </row>
    <row r="195" spans="2:13" ht="15.75" x14ac:dyDescent="0.25">
      <c r="B195" s="74" t="str">
        <f>IF('91_KPIS'!$T188="","",181)</f>
        <v/>
      </c>
      <c r="C195" s="75" t="str">
        <f>IF($B195="","",IF(INDEX(tblStock[Proveedor],'91_KPIS'!$T188)="","(Sin proveedor)",INDEX(tblStock[Proveedor],'91_KPIS'!$T188)))</f>
        <v/>
      </c>
      <c r="D195" s="76" t="str">
        <f>IF($B195="","",INDEX(tblStock[SKU],'91_KPIS'!$T188))</f>
        <v/>
      </c>
      <c r="E195" s="75" t="str">
        <f>IF($B195="","",INDEX(tblStock[Producto],'91_KPIS'!$T188))</f>
        <v/>
      </c>
      <c r="F195" s="76" t="str">
        <f>IF($B195="","",INDEX(tblStock[Unidad],'91_KPIS'!$T188))</f>
        <v/>
      </c>
      <c r="G195" s="77" t="str">
        <f>IF($B195="","",INDEX(tblStock[StockActual],'91_KPIS'!$T188))</f>
        <v/>
      </c>
      <c r="H195" s="78" t="str">
        <f>IF($B195="","",INDEX(tblStock[StockMin],'91_KPIS'!$T188))</f>
        <v/>
      </c>
      <c r="I195" s="78" t="str">
        <f>IF($B195="","",INDEX(tblStock[StockMax],'91_KPIS'!$T188))</f>
        <v/>
      </c>
      <c r="J195" s="79" t="str">
        <f>IF($B195="","",INDEX(tblStock[Estado],'91_KPIS'!$T188))</f>
        <v/>
      </c>
      <c r="K195" s="80" t="str">
        <f t="shared" si="4"/>
        <v/>
      </c>
      <c r="L195" s="81" t="str">
        <f>IF($B195="","",INDEX(tblStock[CostoUnitario],'91_KPIS'!$T188))</f>
        <v/>
      </c>
      <c r="M195" s="82" t="str">
        <f t="shared" si="5"/>
        <v/>
      </c>
    </row>
    <row r="196" spans="2:13" ht="15.75" x14ac:dyDescent="0.25">
      <c r="B196" s="74" t="str">
        <f>IF('91_KPIS'!$T189="","",182)</f>
        <v/>
      </c>
      <c r="C196" s="75" t="str">
        <f>IF($B196="","",IF(INDEX(tblStock[Proveedor],'91_KPIS'!$T189)="","(Sin proveedor)",INDEX(tblStock[Proveedor],'91_KPIS'!$T189)))</f>
        <v/>
      </c>
      <c r="D196" s="76" t="str">
        <f>IF($B196="","",INDEX(tblStock[SKU],'91_KPIS'!$T189))</f>
        <v/>
      </c>
      <c r="E196" s="75" t="str">
        <f>IF($B196="","",INDEX(tblStock[Producto],'91_KPIS'!$T189))</f>
        <v/>
      </c>
      <c r="F196" s="76" t="str">
        <f>IF($B196="","",INDEX(tblStock[Unidad],'91_KPIS'!$T189))</f>
        <v/>
      </c>
      <c r="G196" s="77" t="str">
        <f>IF($B196="","",INDEX(tblStock[StockActual],'91_KPIS'!$T189))</f>
        <v/>
      </c>
      <c r="H196" s="78" t="str">
        <f>IF($B196="","",INDEX(tblStock[StockMin],'91_KPIS'!$T189))</f>
        <v/>
      </c>
      <c r="I196" s="78" t="str">
        <f>IF($B196="","",INDEX(tblStock[StockMax],'91_KPIS'!$T189))</f>
        <v/>
      </c>
      <c r="J196" s="79" t="str">
        <f>IF($B196="","",INDEX(tblStock[Estado],'91_KPIS'!$T189))</f>
        <v/>
      </c>
      <c r="K196" s="80" t="str">
        <f t="shared" si="4"/>
        <v/>
      </c>
      <c r="L196" s="81" t="str">
        <f>IF($B196="","",INDEX(tblStock[CostoUnitario],'91_KPIS'!$T189))</f>
        <v/>
      </c>
      <c r="M196" s="82" t="str">
        <f t="shared" si="5"/>
        <v/>
      </c>
    </row>
    <row r="197" spans="2:13" ht="15.75" x14ac:dyDescent="0.25">
      <c r="B197" s="74" t="str">
        <f>IF('91_KPIS'!$T190="","",183)</f>
        <v/>
      </c>
      <c r="C197" s="75" t="str">
        <f>IF($B197="","",IF(INDEX(tblStock[Proveedor],'91_KPIS'!$T190)="","(Sin proveedor)",INDEX(tblStock[Proveedor],'91_KPIS'!$T190)))</f>
        <v/>
      </c>
      <c r="D197" s="76" t="str">
        <f>IF($B197="","",INDEX(tblStock[SKU],'91_KPIS'!$T190))</f>
        <v/>
      </c>
      <c r="E197" s="75" t="str">
        <f>IF($B197="","",INDEX(tblStock[Producto],'91_KPIS'!$T190))</f>
        <v/>
      </c>
      <c r="F197" s="76" t="str">
        <f>IF($B197="","",INDEX(tblStock[Unidad],'91_KPIS'!$T190))</f>
        <v/>
      </c>
      <c r="G197" s="77" t="str">
        <f>IF($B197="","",INDEX(tblStock[StockActual],'91_KPIS'!$T190))</f>
        <v/>
      </c>
      <c r="H197" s="78" t="str">
        <f>IF($B197="","",INDEX(tblStock[StockMin],'91_KPIS'!$T190))</f>
        <v/>
      </c>
      <c r="I197" s="78" t="str">
        <f>IF($B197="","",INDEX(tblStock[StockMax],'91_KPIS'!$T190))</f>
        <v/>
      </c>
      <c r="J197" s="79" t="str">
        <f>IF($B197="","",INDEX(tblStock[Estado],'91_KPIS'!$T190))</f>
        <v/>
      </c>
      <c r="K197" s="80" t="str">
        <f t="shared" si="4"/>
        <v/>
      </c>
      <c r="L197" s="81" t="str">
        <f>IF($B197="","",INDEX(tblStock[CostoUnitario],'91_KPIS'!$T190))</f>
        <v/>
      </c>
      <c r="M197" s="82" t="str">
        <f t="shared" si="5"/>
        <v/>
      </c>
    </row>
    <row r="198" spans="2:13" ht="15.75" x14ac:dyDescent="0.25">
      <c r="B198" s="74" t="str">
        <f>IF('91_KPIS'!$T191="","",184)</f>
        <v/>
      </c>
      <c r="C198" s="75" t="str">
        <f>IF($B198="","",IF(INDEX(tblStock[Proveedor],'91_KPIS'!$T191)="","(Sin proveedor)",INDEX(tblStock[Proveedor],'91_KPIS'!$T191)))</f>
        <v/>
      </c>
      <c r="D198" s="76" t="str">
        <f>IF($B198="","",INDEX(tblStock[SKU],'91_KPIS'!$T191))</f>
        <v/>
      </c>
      <c r="E198" s="75" t="str">
        <f>IF($B198="","",INDEX(tblStock[Producto],'91_KPIS'!$T191))</f>
        <v/>
      </c>
      <c r="F198" s="76" t="str">
        <f>IF($B198="","",INDEX(tblStock[Unidad],'91_KPIS'!$T191))</f>
        <v/>
      </c>
      <c r="G198" s="77" t="str">
        <f>IF($B198="","",INDEX(tblStock[StockActual],'91_KPIS'!$T191))</f>
        <v/>
      </c>
      <c r="H198" s="78" t="str">
        <f>IF($B198="","",INDEX(tblStock[StockMin],'91_KPIS'!$T191))</f>
        <v/>
      </c>
      <c r="I198" s="78" t="str">
        <f>IF($B198="","",INDEX(tblStock[StockMax],'91_KPIS'!$T191))</f>
        <v/>
      </c>
      <c r="J198" s="79" t="str">
        <f>IF($B198="","",INDEX(tblStock[Estado],'91_KPIS'!$T191))</f>
        <v/>
      </c>
      <c r="K198" s="80" t="str">
        <f t="shared" si="4"/>
        <v/>
      </c>
      <c r="L198" s="81" t="str">
        <f>IF($B198="","",INDEX(tblStock[CostoUnitario],'91_KPIS'!$T191))</f>
        <v/>
      </c>
      <c r="M198" s="82" t="str">
        <f t="shared" si="5"/>
        <v/>
      </c>
    </row>
    <row r="199" spans="2:13" ht="15.75" x14ac:dyDescent="0.25">
      <c r="B199" s="74" t="str">
        <f>IF('91_KPIS'!$T192="","",185)</f>
        <v/>
      </c>
      <c r="C199" s="75" t="str">
        <f>IF($B199="","",IF(INDEX(tblStock[Proveedor],'91_KPIS'!$T192)="","(Sin proveedor)",INDEX(tblStock[Proveedor],'91_KPIS'!$T192)))</f>
        <v/>
      </c>
      <c r="D199" s="76" t="str">
        <f>IF($B199="","",INDEX(tblStock[SKU],'91_KPIS'!$T192))</f>
        <v/>
      </c>
      <c r="E199" s="75" t="str">
        <f>IF($B199="","",INDEX(tblStock[Producto],'91_KPIS'!$T192))</f>
        <v/>
      </c>
      <c r="F199" s="76" t="str">
        <f>IF($B199="","",INDEX(tblStock[Unidad],'91_KPIS'!$T192))</f>
        <v/>
      </c>
      <c r="G199" s="77" t="str">
        <f>IF($B199="","",INDEX(tblStock[StockActual],'91_KPIS'!$T192))</f>
        <v/>
      </c>
      <c r="H199" s="78" t="str">
        <f>IF($B199="","",INDEX(tblStock[StockMin],'91_KPIS'!$T192))</f>
        <v/>
      </c>
      <c r="I199" s="78" t="str">
        <f>IF($B199="","",INDEX(tblStock[StockMax],'91_KPIS'!$T192))</f>
        <v/>
      </c>
      <c r="J199" s="79" t="str">
        <f>IF($B199="","",INDEX(tblStock[Estado],'91_KPIS'!$T192))</f>
        <v/>
      </c>
      <c r="K199" s="80" t="str">
        <f t="shared" si="4"/>
        <v/>
      </c>
      <c r="L199" s="81" t="str">
        <f>IF($B199="","",INDEX(tblStock[CostoUnitario],'91_KPIS'!$T192))</f>
        <v/>
      </c>
      <c r="M199" s="82" t="str">
        <f t="shared" si="5"/>
        <v/>
      </c>
    </row>
    <row r="200" spans="2:13" ht="15.75" x14ac:dyDescent="0.25">
      <c r="B200" s="74" t="str">
        <f>IF('91_KPIS'!$T193="","",186)</f>
        <v/>
      </c>
      <c r="C200" s="75" t="str">
        <f>IF($B200="","",IF(INDEX(tblStock[Proveedor],'91_KPIS'!$T193)="","(Sin proveedor)",INDEX(tblStock[Proveedor],'91_KPIS'!$T193)))</f>
        <v/>
      </c>
      <c r="D200" s="76" t="str">
        <f>IF($B200="","",INDEX(tblStock[SKU],'91_KPIS'!$T193))</f>
        <v/>
      </c>
      <c r="E200" s="75" t="str">
        <f>IF($B200="","",INDEX(tblStock[Producto],'91_KPIS'!$T193))</f>
        <v/>
      </c>
      <c r="F200" s="76" t="str">
        <f>IF($B200="","",INDEX(tblStock[Unidad],'91_KPIS'!$T193))</f>
        <v/>
      </c>
      <c r="G200" s="77" t="str">
        <f>IF($B200="","",INDEX(tblStock[StockActual],'91_KPIS'!$T193))</f>
        <v/>
      </c>
      <c r="H200" s="78" t="str">
        <f>IF($B200="","",INDEX(tblStock[StockMin],'91_KPIS'!$T193))</f>
        <v/>
      </c>
      <c r="I200" s="78" t="str">
        <f>IF($B200="","",INDEX(tblStock[StockMax],'91_KPIS'!$T193))</f>
        <v/>
      </c>
      <c r="J200" s="79" t="str">
        <f>IF($B200="","",INDEX(tblStock[Estado],'91_KPIS'!$T193))</f>
        <v/>
      </c>
      <c r="K200" s="80" t="str">
        <f t="shared" si="4"/>
        <v/>
      </c>
      <c r="L200" s="81" t="str">
        <f>IF($B200="","",INDEX(tblStock[CostoUnitario],'91_KPIS'!$T193))</f>
        <v/>
      </c>
      <c r="M200" s="82" t="str">
        <f t="shared" si="5"/>
        <v/>
      </c>
    </row>
    <row r="201" spans="2:13" ht="15.75" x14ac:dyDescent="0.25">
      <c r="B201" s="74" t="str">
        <f>IF('91_KPIS'!$T194="","",187)</f>
        <v/>
      </c>
      <c r="C201" s="75" t="str">
        <f>IF($B201="","",IF(INDEX(tblStock[Proveedor],'91_KPIS'!$T194)="","(Sin proveedor)",INDEX(tblStock[Proveedor],'91_KPIS'!$T194)))</f>
        <v/>
      </c>
      <c r="D201" s="76" t="str">
        <f>IF($B201="","",INDEX(tblStock[SKU],'91_KPIS'!$T194))</f>
        <v/>
      </c>
      <c r="E201" s="75" t="str">
        <f>IF($B201="","",INDEX(tblStock[Producto],'91_KPIS'!$T194))</f>
        <v/>
      </c>
      <c r="F201" s="76" t="str">
        <f>IF($B201="","",INDEX(tblStock[Unidad],'91_KPIS'!$T194))</f>
        <v/>
      </c>
      <c r="G201" s="77" t="str">
        <f>IF($B201="","",INDEX(tblStock[StockActual],'91_KPIS'!$T194))</f>
        <v/>
      </c>
      <c r="H201" s="78" t="str">
        <f>IF($B201="","",INDEX(tblStock[StockMin],'91_KPIS'!$T194))</f>
        <v/>
      </c>
      <c r="I201" s="78" t="str">
        <f>IF($B201="","",INDEX(tblStock[StockMax],'91_KPIS'!$T194))</f>
        <v/>
      </c>
      <c r="J201" s="79" t="str">
        <f>IF($B201="","",INDEX(tblStock[Estado],'91_KPIS'!$T194))</f>
        <v/>
      </c>
      <c r="K201" s="80" t="str">
        <f t="shared" si="4"/>
        <v/>
      </c>
      <c r="L201" s="81" t="str">
        <f>IF($B201="","",INDEX(tblStock[CostoUnitario],'91_KPIS'!$T194))</f>
        <v/>
      </c>
      <c r="M201" s="82" t="str">
        <f t="shared" si="5"/>
        <v/>
      </c>
    </row>
    <row r="202" spans="2:13" ht="15.75" x14ac:dyDescent="0.25">
      <c r="B202" s="74" t="str">
        <f>IF('91_KPIS'!$T195="","",188)</f>
        <v/>
      </c>
      <c r="C202" s="75" t="str">
        <f>IF($B202="","",IF(INDEX(tblStock[Proveedor],'91_KPIS'!$T195)="","(Sin proveedor)",INDEX(tblStock[Proveedor],'91_KPIS'!$T195)))</f>
        <v/>
      </c>
      <c r="D202" s="76" t="str">
        <f>IF($B202="","",INDEX(tblStock[SKU],'91_KPIS'!$T195))</f>
        <v/>
      </c>
      <c r="E202" s="75" t="str">
        <f>IF($B202="","",INDEX(tblStock[Producto],'91_KPIS'!$T195))</f>
        <v/>
      </c>
      <c r="F202" s="76" t="str">
        <f>IF($B202="","",INDEX(tblStock[Unidad],'91_KPIS'!$T195))</f>
        <v/>
      </c>
      <c r="G202" s="77" t="str">
        <f>IF($B202="","",INDEX(tblStock[StockActual],'91_KPIS'!$T195))</f>
        <v/>
      </c>
      <c r="H202" s="78" t="str">
        <f>IF($B202="","",INDEX(tblStock[StockMin],'91_KPIS'!$T195))</f>
        <v/>
      </c>
      <c r="I202" s="78" t="str">
        <f>IF($B202="","",INDEX(tblStock[StockMax],'91_KPIS'!$T195))</f>
        <v/>
      </c>
      <c r="J202" s="79" t="str">
        <f>IF($B202="","",INDEX(tblStock[Estado],'91_KPIS'!$T195))</f>
        <v/>
      </c>
      <c r="K202" s="80" t="str">
        <f t="shared" si="4"/>
        <v/>
      </c>
      <c r="L202" s="81" t="str">
        <f>IF($B202="","",INDEX(tblStock[CostoUnitario],'91_KPIS'!$T195))</f>
        <v/>
      </c>
      <c r="M202" s="82" t="str">
        <f t="shared" si="5"/>
        <v/>
      </c>
    </row>
    <row r="203" spans="2:13" ht="15.75" x14ac:dyDescent="0.25">
      <c r="B203" s="74" t="str">
        <f>IF('91_KPIS'!$T196="","",189)</f>
        <v/>
      </c>
      <c r="C203" s="75" t="str">
        <f>IF($B203="","",IF(INDEX(tblStock[Proveedor],'91_KPIS'!$T196)="","(Sin proveedor)",INDEX(tblStock[Proveedor],'91_KPIS'!$T196)))</f>
        <v/>
      </c>
      <c r="D203" s="76" t="str">
        <f>IF($B203="","",INDEX(tblStock[SKU],'91_KPIS'!$T196))</f>
        <v/>
      </c>
      <c r="E203" s="75" t="str">
        <f>IF($B203="","",INDEX(tblStock[Producto],'91_KPIS'!$T196))</f>
        <v/>
      </c>
      <c r="F203" s="76" t="str">
        <f>IF($B203="","",INDEX(tblStock[Unidad],'91_KPIS'!$T196))</f>
        <v/>
      </c>
      <c r="G203" s="77" t="str">
        <f>IF($B203="","",INDEX(tblStock[StockActual],'91_KPIS'!$T196))</f>
        <v/>
      </c>
      <c r="H203" s="78" t="str">
        <f>IF($B203="","",INDEX(tblStock[StockMin],'91_KPIS'!$T196))</f>
        <v/>
      </c>
      <c r="I203" s="78" t="str">
        <f>IF($B203="","",INDEX(tblStock[StockMax],'91_KPIS'!$T196))</f>
        <v/>
      </c>
      <c r="J203" s="79" t="str">
        <f>IF($B203="","",INDEX(tblStock[Estado],'91_KPIS'!$T196))</f>
        <v/>
      </c>
      <c r="K203" s="80" t="str">
        <f t="shared" si="4"/>
        <v/>
      </c>
      <c r="L203" s="81" t="str">
        <f>IF($B203="","",INDEX(tblStock[CostoUnitario],'91_KPIS'!$T196))</f>
        <v/>
      </c>
      <c r="M203" s="82" t="str">
        <f t="shared" si="5"/>
        <v/>
      </c>
    </row>
    <row r="204" spans="2:13" ht="15.75" x14ac:dyDescent="0.25">
      <c r="B204" s="74" t="str">
        <f>IF('91_KPIS'!$T197="","",190)</f>
        <v/>
      </c>
      <c r="C204" s="75" t="str">
        <f>IF($B204="","",IF(INDEX(tblStock[Proveedor],'91_KPIS'!$T197)="","(Sin proveedor)",INDEX(tblStock[Proveedor],'91_KPIS'!$T197)))</f>
        <v/>
      </c>
      <c r="D204" s="76" t="str">
        <f>IF($B204="","",INDEX(tblStock[SKU],'91_KPIS'!$T197))</f>
        <v/>
      </c>
      <c r="E204" s="75" t="str">
        <f>IF($B204="","",INDEX(tblStock[Producto],'91_KPIS'!$T197))</f>
        <v/>
      </c>
      <c r="F204" s="76" t="str">
        <f>IF($B204="","",INDEX(tblStock[Unidad],'91_KPIS'!$T197))</f>
        <v/>
      </c>
      <c r="G204" s="77" t="str">
        <f>IF($B204="","",INDEX(tblStock[StockActual],'91_KPIS'!$T197))</f>
        <v/>
      </c>
      <c r="H204" s="78" t="str">
        <f>IF($B204="","",INDEX(tblStock[StockMin],'91_KPIS'!$T197))</f>
        <v/>
      </c>
      <c r="I204" s="78" t="str">
        <f>IF($B204="","",INDEX(tblStock[StockMax],'91_KPIS'!$T197))</f>
        <v/>
      </c>
      <c r="J204" s="79" t="str">
        <f>IF($B204="","",INDEX(tblStock[Estado],'91_KPIS'!$T197))</f>
        <v/>
      </c>
      <c r="K204" s="80" t="str">
        <f t="shared" si="4"/>
        <v/>
      </c>
      <c r="L204" s="81" t="str">
        <f>IF($B204="","",INDEX(tblStock[CostoUnitario],'91_KPIS'!$T197))</f>
        <v/>
      </c>
      <c r="M204" s="82" t="str">
        <f t="shared" si="5"/>
        <v/>
      </c>
    </row>
    <row r="205" spans="2:13" ht="15.75" x14ac:dyDescent="0.25">
      <c r="B205" s="74" t="str">
        <f>IF('91_KPIS'!$T198="","",191)</f>
        <v/>
      </c>
      <c r="C205" s="75" t="str">
        <f>IF($B205="","",IF(INDEX(tblStock[Proveedor],'91_KPIS'!$T198)="","(Sin proveedor)",INDEX(tblStock[Proveedor],'91_KPIS'!$T198)))</f>
        <v/>
      </c>
      <c r="D205" s="76" t="str">
        <f>IF($B205="","",INDEX(tblStock[SKU],'91_KPIS'!$T198))</f>
        <v/>
      </c>
      <c r="E205" s="75" t="str">
        <f>IF($B205="","",INDEX(tblStock[Producto],'91_KPIS'!$T198))</f>
        <v/>
      </c>
      <c r="F205" s="76" t="str">
        <f>IF($B205="","",INDEX(tblStock[Unidad],'91_KPIS'!$T198))</f>
        <v/>
      </c>
      <c r="G205" s="77" t="str">
        <f>IF($B205="","",INDEX(tblStock[StockActual],'91_KPIS'!$T198))</f>
        <v/>
      </c>
      <c r="H205" s="78" t="str">
        <f>IF($B205="","",INDEX(tblStock[StockMin],'91_KPIS'!$T198))</f>
        <v/>
      </c>
      <c r="I205" s="78" t="str">
        <f>IF($B205="","",INDEX(tblStock[StockMax],'91_KPIS'!$T198))</f>
        <v/>
      </c>
      <c r="J205" s="79" t="str">
        <f>IF($B205="","",INDEX(tblStock[Estado],'91_KPIS'!$T198))</f>
        <v/>
      </c>
      <c r="K205" s="80" t="str">
        <f t="shared" si="4"/>
        <v/>
      </c>
      <c r="L205" s="81" t="str">
        <f>IF($B205="","",INDEX(tblStock[CostoUnitario],'91_KPIS'!$T198))</f>
        <v/>
      </c>
      <c r="M205" s="82" t="str">
        <f t="shared" si="5"/>
        <v/>
      </c>
    </row>
    <row r="206" spans="2:13" ht="15.75" x14ac:dyDescent="0.25">
      <c r="B206" s="74" t="str">
        <f>IF('91_KPIS'!$T199="","",192)</f>
        <v/>
      </c>
      <c r="C206" s="75" t="str">
        <f>IF($B206="","",IF(INDEX(tblStock[Proveedor],'91_KPIS'!$T199)="","(Sin proveedor)",INDEX(tblStock[Proveedor],'91_KPIS'!$T199)))</f>
        <v/>
      </c>
      <c r="D206" s="76" t="str">
        <f>IF($B206="","",INDEX(tblStock[SKU],'91_KPIS'!$T199))</f>
        <v/>
      </c>
      <c r="E206" s="75" t="str">
        <f>IF($B206="","",INDEX(tblStock[Producto],'91_KPIS'!$T199))</f>
        <v/>
      </c>
      <c r="F206" s="76" t="str">
        <f>IF($B206="","",INDEX(tblStock[Unidad],'91_KPIS'!$T199))</f>
        <v/>
      </c>
      <c r="G206" s="77" t="str">
        <f>IF($B206="","",INDEX(tblStock[StockActual],'91_KPIS'!$T199))</f>
        <v/>
      </c>
      <c r="H206" s="78" t="str">
        <f>IF($B206="","",INDEX(tblStock[StockMin],'91_KPIS'!$T199))</f>
        <v/>
      </c>
      <c r="I206" s="78" t="str">
        <f>IF($B206="","",INDEX(tblStock[StockMax],'91_KPIS'!$T199))</f>
        <v/>
      </c>
      <c r="J206" s="79" t="str">
        <f>IF($B206="","",INDEX(tblStock[Estado],'91_KPIS'!$T199))</f>
        <v/>
      </c>
      <c r="K206" s="80" t="str">
        <f t="shared" si="4"/>
        <v/>
      </c>
      <c r="L206" s="81" t="str">
        <f>IF($B206="","",INDEX(tblStock[CostoUnitario],'91_KPIS'!$T199))</f>
        <v/>
      </c>
      <c r="M206" s="82" t="str">
        <f t="shared" si="5"/>
        <v/>
      </c>
    </row>
    <row r="207" spans="2:13" ht="15.75" x14ac:dyDescent="0.25">
      <c r="B207" s="74" t="str">
        <f>IF('91_KPIS'!$T200="","",193)</f>
        <v/>
      </c>
      <c r="C207" s="75" t="str">
        <f>IF($B207="","",IF(INDEX(tblStock[Proveedor],'91_KPIS'!$T200)="","(Sin proveedor)",INDEX(tblStock[Proveedor],'91_KPIS'!$T200)))</f>
        <v/>
      </c>
      <c r="D207" s="76" t="str">
        <f>IF($B207="","",INDEX(tblStock[SKU],'91_KPIS'!$T200))</f>
        <v/>
      </c>
      <c r="E207" s="75" t="str">
        <f>IF($B207="","",INDEX(tblStock[Producto],'91_KPIS'!$T200))</f>
        <v/>
      </c>
      <c r="F207" s="76" t="str">
        <f>IF($B207="","",INDEX(tblStock[Unidad],'91_KPIS'!$T200))</f>
        <v/>
      </c>
      <c r="G207" s="77" t="str">
        <f>IF($B207="","",INDEX(tblStock[StockActual],'91_KPIS'!$T200))</f>
        <v/>
      </c>
      <c r="H207" s="78" t="str">
        <f>IF($B207="","",INDEX(tblStock[StockMin],'91_KPIS'!$T200))</f>
        <v/>
      </c>
      <c r="I207" s="78" t="str">
        <f>IF($B207="","",INDEX(tblStock[StockMax],'91_KPIS'!$T200))</f>
        <v/>
      </c>
      <c r="J207" s="79" t="str">
        <f>IF($B207="","",INDEX(tblStock[Estado],'91_KPIS'!$T200))</f>
        <v/>
      </c>
      <c r="K207" s="80" t="str">
        <f t="shared" ref="K207:K270" si="6">IF($B207="","",MAX(0,IF($I207&gt;0,$I207,2*$H207)-MAX(0,$G207)))</f>
        <v/>
      </c>
      <c r="L207" s="81" t="str">
        <f>IF($B207="","",INDEX(tblStock[CostoUnitario],'91_KPIS'!$T200))</f>
        <v/>
      </c>
      <c r="M207" s="82" t="str">
        <f t="shared" ref="M207:M270" si="7">IF($B207="","",$K207*$L207)</f>
        <v/>
      </c>
    </row>
    <row r="208" spans="2:13" ht="15.75" x14ac:dyDescent="0.25">
      <c r="B208" s="74" t="str">
        <f>IF('91_KPIS'!$T201="","",194)</f>
        <v/>
      </c>
      <c r="C208" s="75" t="str">
        <f>IF($B208="","",IF(INDEX(tblStock[Proveedor],'91_KPIS'!$T201)="","(Sin proveedor)",INDEX(tblStock[Proveedor],'91_KPIS'!$T201)))</f>
        <v/>
      </c>
      <c r="D208" s="76" t="str">
        <f>IF($B208="","",INDEX(tblStock[SKU],'91_KPIS'!$T201))</f>
        <v/>
      </c>
      <c r="E208" s="75" t="str">
        <f>IF($B208="","",INDEX(tblStock[Producto],'91_KPIS'!$T201))</f>
        <v/>
      </c>
      <c r="F208" s="76" t="str">
        <f>IF($B208="","",INDEX(tblStock[Unidad],'91_KPIS'!$T201))</f>
        <v/>
      </c>
      <c r="G208" s="77" t="str">
        <f>IF($B208="","",INDEX(tblStock[StockActual],'91_KPIS'!$T201))</f>
        <v/>
      </c>
      <c r="H208" s="78" t="str">
        <f>IF($B208="","",INDEX(tblStock[StockMin],'91_KPIS'!$T201))</f>
        <v/>
      </c>
      <c r="I208" s="78" t="str">
        <f>IF($B208="","",INDEX(tblStock[StockMax],'91_KPIS'!$T201))</f>
        <v/>
      </c>
      <c r="J208" s="79" t="str">
        <f>IF($B208="","",INDEX(tblStock[Estado],'91_KPIS'!$T201))</f>
        <v/>
      </c>
      <c r="K208" s="80" t="str">
        <f t="shared" si="6"/>
        <v/>
      </c>
      <c r="L208" s="81" t="str">
        <f>IF($B208="","",INDEX(tblStock[CostoUnitario],'91_KPIS'!$T201))</f>
        <v/>
      </c>
      <c r="M208" s="82" t="str">
        <f t="shared" si="7"/>
        <v/>
      </c>
    </row>
    <row r="209" spans="2:13" ht="15.75" x14ac:dyDescent="0.25">
      <c r="B209" s="74" t="str">
        <f>IF('91_KPIS'!$T202="","",195)</f>
        <v/>
      </c>
      <c r="C209" s="75" t="str">
        <f>IF($B209="","",IF(INDEX(tblStock[Proveedor],'91_KPIS'!$T202)="","(Sin proveedor)",INDEX(tblStock[Proveedor],'91_KPIS'!$T202)))</f>
        <v/>
      </c>
      <c r="D209" s="76" t="str">
        <f>IF($B209="","",INDEX(tblStock[SKU],'91_KPIS'!$T202))</f>
        <v/>
      </c>
      <c r="E209" s="75" t="str">
        <f>IF($B209="","",INDEX(tblStock[Producto],'91_KPIS'!$T202))</f>
        <v/>
      </c>
      <c r="F209" s="76" t="str">
        <f>IF($B209="","",INDEX(tblStock[Unidad],'91_KPIS'!$T202))</f>
        <v/>
      </c>
      <c r="G209" s="77" t="str">
        <f>IF($B209="","",INDEX(tblStock[StockActual],'91_KPIS'!$T202))</f>
        <v/>
      </c>
      <c r="H209" s="78" t="str">
        <f>IF($B209="","",INDEX(tblStock[StockMin],'91_KPIS'!$T202))</f>
        <v/>
      </c>
      <c r="I209" s="78" t="str">
        <f>IF($B209="","",INDEX(tblStock[StockMax],'91_KPIS'!$T202))</f>
        <v/>
      </c>
      <c r="J209" s="79" t="str">
        <f>IF($B209="","",INDEX(tblStock[Estado],'91_KPIS'!$T202))</f>
        <v/>
      </c>
      <c r="K209" s="80" t="str">
        <f t="shared" si="6"/>
        <v/>
      </c>
      <c r="L209" s="81" t="str">
        <f>IF($B209="","",INDEX(tblStock[CostoUnitario],'91_KPIS'!$T202))</f>
        <v/>
      </c>
      <c r="M209" s="82" t="str">
        <f t="shared" si="7"/>
        <v/>
      </c>
    </row>
    <row r="210" spans="2:13" ht="15.75" x14ac:dyDescent="0.25">
      <c r="B210" s="74" t="str">
        <f>IF('91_KPIS'!$T203="","",196)</f>
        <v/>
      </c>
      <c r="C210" s="75" t="str">
        <f>IF($B210="","",IF(INDEX(tblStock[Proveedor],'91_KPIS'!$T203)="","(Sin proveedor)",INDEX(tblStock[Proveedor],'91_KPIS'!$T203)))</f>
        <v/>
      </c>
      <c r="D210" s="76" t="str">
        <f>IF($B210="","",INDEX(tblStock[SKU],'91_KPIS'!$T203))</f>
        <v/>
      </c>
      <c r="E210" s="75" t="str">
        <f>IF($B210="","",INDEX(tblStock[Producto],'91_KPIS'!$T203))</f>
        <v/>
      </c>
      <c r="F210" s="76" t="str">
        <f>IF($B210="","",INDEX(tblStock[Unidad],'91_KPIS'!$T203))</f>
        <v/>
      </c>
      <c r="G210" s="77" t="str">
        <f>IF($B210="","",INDEX(tblStock[StockActual],'91_KPIS'!$T203))</f>
        <v/>
      </c>
      <c r="H210" s="78" t="str">
        <f>IF($B210="","",INDEX(tblStock[StockMin],'91_KPIS'!$T203))</f>
        <v/>
      </c>
      <c r="I210" s="78" t="str">
        <f>IF($B210="","",INDEX(tblStock[StockMax],'91_KPIS'!$T203))</f>
        <v/>
      </c>
      <c r="J210" s="79" t="str">
        <f>IF($B210="","",INDEX(tblStock[Estado],'91_KPIS'!$T203))</f>
        <v/>
      </c>
      <c r="K210" s="80" t="str">
        <f t="shared" si="6"/>
        <v/>
      </c>
      <c r="L210" s="81" t="str">
        <f>IF($B210="","",INDEX(tblStock[CostoUnitario],'91_KPIS'!$T203))</f>
        <v/>
      </c>
      <c r="M210" s="82" t="str">
        <f t="shared" si="7"/>
        <v/>
      </c>
    </row>
    <row r="211" spans="2:13" ht="15.75" x14ac:dyDescent="0.25">
      <c r="B211" s="74" t="str">
        <f>IF('91_KPIS'!$T204="","",197)</f>
        <v/>
      </c>
      <c r="C211" s="75" t="str">
        <f>IF($B211="","",IF(INDEX(tblStock[Proveedor],'91_KPIS'!$T204)="","(Sin proveedor)",INDEX(tblStock[Proveedor],'91_KPIS'!$T204)))</f>
        <v/>
      </c>
      <c r="D211" s="76" t="str">
        <f>IF($B211="","",INDEX(tblStock[SKU],'91_KPIS'!$T204))</f>
        <v/>
      </c>
      <c r="E211" s="75" t="str">
        <f>IF($B211="","",INDEX(tblStock[Producto],'91_KPIS'!$T204))</f>
        <v/>
      </c>
      <c r="F211" s="76" t="str">
        <f>IF($B211="","",INDEX(tblStock[Unidad],'91_KPIS'!$T204))</f>
        <v/>
      </c>
      <c r="G211" s="77" t="str">
        <f>IF($B211="","",INDEX(tblStock[StockActual],'91_KPIS'!$T204))</f>
        <v/>
      </c>
      <c r="H211" s="78" t="str">
        <f>IF($B211="","",INDEX(tblStock[StockMin],'91_KPIS'!$T204))</f>
        <v/>
      </c>
      <c r="I211" s="78" t="str">
        <f>IF($B211="","",INDEX(tblStock[StockMax],'91_KPIS'!$T204))</f>
        <v/>
      </c>
      <c r="J211" s="79" t="str">
        <f>IF($B211="","",INDEX(tblStock[Estado],'91_KPIS'!$T204))</f>
        <v/>
      </c>
      <c r="K211" s="80" t="str">
        <f t="shared" si="6"/>
        <v/>
      </c>
      <c r="L211" s="81" t="str">
        <f>IF($B211="","",INDEX(tblStock[CostoUnitario],'91_KPIS'!$T204))</f>
        <v/>
      </c>
      <c r="M211" s="82" t="str">
        <f t="shared" si="7"/>
        <v/>
      </c>
    </row>
    <row r="212" spans="2:13" ht="15.75" x14ac:dyDescent="0.25">
      <c r="B212" s="74" t="str">
        <f>IF('91_KPIS'!$T205="","",198)</f>
        <v/>
      </c>
      <c r="C212" s="75" t="str">
        <f>IF($B212="","",IF(INDEX(tblStock[Proveedor],'91_KPIS'!$T205)="","(Sin proveedor)",INDEX(tblStock[Proveedor],'91_KPIS'!$T205)))</f>
        <v/>
      </c>
      <c r="D212" s="76" t="str">
        <f>IF($B212="","",INDEX(tblStock[SKU],'91_KPIS'!$T205))</f>
        <v/>
      </c>
      <c r="E212" s="75" t="str">
        <f>IF($B212="","",INDEX(tblStock[Producto],'91_KPIS'!$T205))</f>
        <v/>
      </c>
      <c r="F212" s="76" t="str">
        <f>IF($B212="","",INDEX(tblStock[Unidad],'91_KPIS'!$T205))</f>
        <v/>
      </c>
      <c r="G212" s="77" t="str">
        <f>IF($B212="","",INDEX(tblStock[StockActual],'91_KPIS'!$T205))</f>
        <v/>
      </c>
      <c r="H212" s="78" t="str">
        <f>IF($B212="","",INDEX(tblStock[StockMin],'91_KPIS'!$T205))</f>
        <v/>
      </c>
      <c r="I212" s="78" t="str">
        <f>IF($B212="","",INDEX(tblStock[StockMax],'91_KPIS'!$T205))</f>
        <v/>
      </c>
      <c r="J212" s="79" t="str">
        <f>IF($B212="","",INDEX(tblStock[Estado],'91_KPIS'!$T205))</f>
        <v/>
      </c>
      <c r="K212" s="80" t="str">
        <f t="shared" si="6"/>
        <v/>
      </c>
      <c r="L212" s="81" t="str">
        <f>IF($B212="","",INDEX(tblStock[CostoUnitario],'91_KPIS'!$T205))</f>
        <v/>
      </c>
      <c r="M212" s="82" t="str">
        <f t="shared" si="7"/>
        <v/>
      </c>
    </row>
    <row r="213" spans="2:13" ht="15.75" x14ac:dyDescent="0.25">
      <c r="B213" s="74" t="str">
        <f>IF('91_KPIS'!$T206="","",199)</f>
        <v/>
      </c>
      <c r="C213" s="75" t="str">
        <f>IF($B213="","",IF(INDEX(tblStock[Proveedor],'91_KPIS'!$T206)="","(Sin proveedor)",INDEX(tblStock[Proveedor],'91_KPIS'!$T206)))</f>
        <v/>
      </c>
      <c r="D213" s="76" t="str">
        <f>IF($B213="","",INDEX(tblStock[SKU],'91_KPIS'!$T206))</f>
        <v/>
      </c>
      <c r="E213" s="75" t="str">
        <f>IF($B213="","",INDEX(tblStock[Producto],'91_KPIS'!$T206))</f>
        <v/>
      </c>
      <c r="F213" s="76" t="str">
        <f>IF($B213="","",INDEX(tblStock[Unidad],'91_KPIS'!$T206))</f>
        <v/>
      </c>
      <c r="G213" s="77" t="str">
        <f>IF($B213="","",INDEX(tblStock[StockActual],'91_KPIS'!$T206))</f>
        <v/>
      </c>
      <c r="H213" s="78" t="str">
        <f>IF($B213="","",INDEX(tblStock[StockMin],'91_KPIS'!$T206))</f>
        <v/>
      </c>
      <c r="I213" s="78" t="str">
        <f>IF($B213="","",INDEX(tblStock[StockMax],'91_KPIS'!$T206))</f>
        <v/>
      </c>
      <c r="J213" s="79" t="str">
        <f>IF($B213="","",INDEX(tblStock[Estado],'91_KPIS'!$T206))</f>
        <v/>
      </c>
      <c r="K213" s="80" t="str">
        <f t="shared" si="6"/>
        <v/>
      </c>
      <c r="L213" s="81" t="str">
        <f>IF($B213="","",INDEX(tblStock[CostoUnitario],'91_KPIS'!$T206))</f>
        <v/>
      </c>
      <c r="M213" s="82" t="str">
        <f t="shared" si="7"/>
        <v/>
      </c>
    </row>
    <row r="214" spans="2:13" ht="15.75" x14ac:dyDescent="0.25">
      <c r="B214" s="74" t="str">
        <f>IF('91_KPIS'!$T207="","",200)</f>
        <v/>
      </c>
      <c r="C214" s="75" t="str">
        <f>IF($B214="","",IF(INDEX(tblStock[Proveedor],'91_KPIS'!$T207)="","(Sin proveedor)",INDEX(tblStock[Proveedor],'91_KPIS'!$T207)))</f>
        <v/>
      </c>
      <c r="D214" s="76" t="str">
        <f>IF($B214="","",INDEX(tblStock[SKU],'91_KPIS'!$T207))</f>
        <v/>
      </c>
      <c r="E214" s="75" t="str">
        <f>IF($B214="","",INDEX(tblStock[Producto],'91_KPIS'!$T207))</f>
        <v/>
      </c>
      <c r="F214" s="76" t="str">
        <f>IF($B214="","",INDEX(tblStock[Unidad],'91_KPIS'!$T207))</f>
        <v/>
      </c>
      <c r="G214" s="77" t="str">
        <f>IF($B214="","",INDEX(tblStock[StockActual],'91_KPIS'!$T207))</f>
        <v/>
      </c>
      <c r="H214" s="78" t="str">
        <f>IF($B214="","",INDEX(tblStock[StockMin],'91_KPIS'!$T207))</f>
        <v/>
      </c>
      <c r="I214" s="78" t="str">
        <f>IF($B214="","",INDEX(tblStock[StockMax],'91_KPIS'!$T207))</f>
        <v/>
      </c>
      <c r="J214" s="79" t="str">
        <f>IF($B214="","",INDEX(tblStock[Estado],'91_KPIS'!$T207))</f>
        <v/>
      </c>
      <c r="K214" s="80" t="str">
        <f t="shared" si="6"/>
        <v/>
      </c>
      <c r="L214" s="81" t="str">
        <f>IF($B214="","",INDEX(tblStock[CostoUnitario],'91_KPIS'!$T207))</f>
        <v/>
      </c>
      <c r="M214" s="82" t="str">
        <f t="shared" si="7"/>
        <v/>
      </c>
    </row>
    <row r="215" spans="2:13" ht="15.75" x14ac:dyDescent="0.25">
      <c r="B215" s="74" t="str">
        <f>IF('91_KPIS'!$T208="","",201)</f>
        <v/>
      </c>
      <c r="C215" s="75" t="str">
        <f>IF($B215="","",IF(INDEX(tblStock[Proveedor],'91_KPIS'!$T208)="","(Sin proveedor)",INDEX(tblStock[Proveedor],'91_KPIS'!$T208)))</f>
        <v/>
      </c>
      <c r="D215" s="76" t="str">
        <f>IF($B215="","",INDEX(tblStock[SKU],'91_KPIS'!$T208))</f>
        <v/>
      </c>
      <c r="E215" s="75" t="str">
        <f>IF($B215="","",INDEX(tblStock[Producto],'91_KPIS'!$T208))</f>
        <v/>
      </c>
      <c r="F215" s="76" t="str">
        <f>IF($B215="","",INDEX(tblStock[Unidad],'91_KPIS'!$T208))</f>
        <v/>
      </c>
      <c r="G215" s="77" t="str">
        <f>IF($B215="","",INDEX(tblStock[StockActual],'91_KPIS'!$T208))</f>
        <v/>
      </c>
      <c r="H215" s="78" t="str">
        <f>IF($B215="","",INDEX(tblStock[StockMin],'91_KPIS'!$T208))</f>
        <v/>
      </c>
      <c r="I215" s="78" t="str">
        <f>IF($B215="","",INDEX(tblStock[StockMax],'91_KPIS'!$T208))</f>
        <v/>
      </c>
      <c r="J215" s="79" t="str">
        <f>IF($B215="","",INDEX(tblStock[Estado],'91_KPIS'!$T208))</f>
        <v/>
      </c>
      <c r="K215" s="80" t="str">
        <f t="shared" si="6"/>
        <v/>
      </c>
      <c r="L215" s="81" t="str">
        <f>IF($B215="","",INDEX(tblStock[CostoUnitario],'91_KPIS'!$T208))</f>
        <v/>
      </c>
      <c r="M215" s="82" t="str">
        <f t="shared" si="7"/>
        <v/>
      </c>
    </row>
    <row r="216" spans="2:13" ht="15.75" x14ac:dyDescent="0.25">
      <c r="B216" s="74" t="str">
        <f>IF('91_KPIS'!$T209="","",202)</f>
        <v/>
      </c>
      <c r="C216" s="75" t="str">
        <f>IF($B216="","",IF(INDEX(tblStock[Proveedor],'91_KPIS'!$T209)="","(Sin proveedor)",INDEX(tblStock[Proveedor],'91_KPIS'!$T209)))</f>
        <v/>
      </c>
      <c r="D216" s="76" t="str">
        <f>IF($B216="","",INDEX(tblStock[SKU],'91_KPIS'!$T209))</f>
        <v/>
      </c>
      <c r="E216" s="75" t="str">
        <f>IF($B216="","",INDEX(tblStock[Producto],'91_KPIS'!$T209))</f>
        <v/>
      </c>
      <c r="F216" s="76" t="str">
        <f>IF($B216="","",INDEX(tblStock[Unidad],'91_KPIS'!$T209))</f>
        <v/>
      </c>
      <c r="G216" s="77" t="str">
        <f>IF($B216="","",INDEX(tblStock[StockActual],'91_KPIS'!$T209))</f>
        <v/>
      </c>
      <c r="H216" s="78" t="str">
        <f>IF($B216="","",INDEX(tblStock[StockMin],'91_KPIS'!$T209))</f>
        <v/>
      </c>
      <c r="I216" s="78" t="str">
        <f>IF($B216="","",INDEX(tblStock[StockMax],'91_KPIS'!$T209))</f>
        <v/>
      </c>
      <c r="J216" s="79" t="str">
        <f>IF($B216="","",INDEX(tblStock[Estado],'91_KPIS'!$T209))</f>
        <v/>
      </c>
      <c r="K216" s="80" t="str">
        <f t="shared" si="6"/>
        <v/>
      </c>
      <c r="L216" s="81" t="str">
        <f>IF($B216="","",INDEX(tblStock[CostoUnitario],'91_KPIS'!$T209))</f>
        <v/>
      </c>
      <c r="M216" s="82" t="str">
        <f t="shared" si="7"/>
        <v/>
      </c>
    </row>
    <row r="217" spans="2:13" ht="15.75" x14ac:dyDescent="0.25">
      <c r="B217" s="74" t="str">
        <f>IF('91_KPIS'!$T210="","",203)</f>
        <v/>
      </c>
      <c r="C217" s="75" t="str">
        <f>IF($B217="","",IF(INDEX(tblStock[Proveedor],'91_KPIS'!$T210)="","(Sin proveedor)",INDEX(tblStock[Proveedor],'91_KPIS'!$T210)))</f>
        <v/>
      </c>
      <c r="D217" s="76" t="str">
        <f>IF($B217="","",INDEX(tblStock[SKU],'91_KPIS'!$T210))</f>
        <v/>
      </c>
      <c r="E217" s="75" t="str">
        <f>IF($B217="","",INDEX(tblStock[Producto],'91_KPIS'!$T210))</f>
        <v/>
      </c>
      <c r="F217" s="76" t="str">
        <f>IF($B217="","",INDEX(tblStock[Unidad],'91_KPIS'!$T210))</f>
        <v/>
      </c>
      <c r="G217" s="77" t="str">
        <f>IF($B217="","",INDEX(tblStock[StockActual],'91_KPIS'!$T210))</f>
        <v/>
      </c>
      <c r="H217" s="78" t="str">
        <f>IF($B217="","",INDEX(tblStock[StockMin],'91_KPIS'!$T210))</f>
        <v/>
      </c>
      <c r="I217" s="78" t="str">
        <f>IF($B217="","",INDEX(tblStock[StockMax],'91_KPIS'!$T210))</f>
        <v/>
      </c>
      <c r="J217" s="79" t="str">
        <f>IF($B217="","",INDEX(tblStock[Estado],'91_KPIS'!$T210))</f>
        <v/>
      </c>
      <c r="K217" s="80" t="str">
        <f t="shared" si="6"/>
        <v/>
      </c>
      <c r="L217" s="81" t="str">
        <f>IF($B217="","",INDEX(tblStock[CostoUnitario],'91_KPIS'!$T210))</f>
        <v/>
      </c>
      <c r="M217" s="82" t="str">
        <f t="shared" si="7"/>
        <v/>
      </c>
    </row>
    <row r="218" spans="2:13" ht="15.75" x14ac:dyDescent="0.25">
      <c r="B218" s="74" t="str">
        <f>IF('91_KPIS'!$T211="","",204)</f>
        <v/>
      </c>
      <c r="C218" s="75" t="str">
        <f>IF($B218="","",IF(INDEX(tblStock[Proveedor],'91_KPIS'!$T211)="","(Sin proveedor)",INDEX(tblStock[Proveedor],'91_KPIS'!$T211)))</f>
        <v/>
      </c>
      <c r="D218" s="76" t="str">
        <f>IF($B218="","",INDEX(tblStock[SKU],'91_KPIS'!$T211))</f>
        <v/>
      </c>
      <c r="E218" s="75" t="str">
        <f>IF($B218="","",INDEX(tblStock[Producto],'91_KPIS'!$T211))</f>
        <v/>
      </c>
      <c r="F218" s="76" t="str">
        <f>IF($B218="","",INDEX(tblStock[Unidad],'91_KPIS'!$T211))</f>
        <v/>
      </c>
      <c r="G218" s="77" t="str">
        <f>IF($B218="","",INDEX(tblStock[StockActual],'91_KPIS'!$T211))</f>
        <v/>
      </c>
      <c r="H218" s="78" t="str">
        <f>IF($B218="","",INDEX(tblStock[StockMin],'91_KPIS'!$T211))</f>
        <v/>
      </c>
      <c r="I218" s="78" t="str">
        <f>IF($B218="","",INDEX(tblStock[StockMax],'91_KPIS'!$T211))</f>
        <v/>
      </c>
      <c r="J218" s="79" t="str">
        <f>IF($B218="","",INDEX(tblStock[Estado],'91_KPIS'!$T211))</f>
        <v/>
      </c>
      <c r="K218" s="80" t="str">
        <f t="shared" si="6"/>
        <v/>
      </c>
      <c r="L218" s="81" t="str">
        <f>IF($B218="","",INDEX(tblStock[CostoUnitario],'91_KPIS'!$T211))</f>
        <v/>
      </c>
      <c r="M218" s="82" t="str">
        <f t="shared" si="7"/>
        <v/>
      </c>
    </row>
    <row r="219" spans="2:13" ht="15.75" x14ac:dyDescent="0.25">
      <c r="B219" s="74" t="str">
        <f>IF('91_KPIS'!$T212="","",205)</f>
        <v/>
      </c>
      <c r="C219" s="75" t="str">
        <f>IF($B219="","",IF(INDEX(tblStock[Proveedor],'91_KPIS'!$T212)="","(Sin proveedor)",INDEX(tblStock[Proveedor],'91_KPIS'!$T212)))</f>
        <v/>
      </c>
      <c r="D219" s="76" t="str">
        <f>IF($B219="","",INDEX(tblStock[SKU],'91_KPIS'!$T212))</f>
        <v/>
      </c>
      <c r="E219" s="75" t="str">
        <f>IF($B219="","",INDEX(tblStock[Producto],'91_KPIS'!$T212))</f>
        <v/>
      </c>
      <c r="F219" s="76" t="str">
        <f>IF($B219="","",INDEX(tblStock[Unidad],'91_KPIS'!$T212))</f>
        <v/>
      </c>
      <c r="G219" s="77" t="str">
        <f>IF($B219="","",INDEX(tblStock[StockActual],'91_KPIS'!$T212))</f>
        <v/>
      </c>
      <c r="H219" s="78" t="str">
        <f>IF($B219="","",INDEX(tblStock[StockMin],'91_KPIS'!$T212))</f>
        <v/>
      </c>
      <c r="I219" s="78" t="str">
        <f>IF($B219="","",INDEX(tblStock[StockMax],'91_KPIS'!$T212))</f>
        <v/>
      </c>
      <c r="J219" s="79" t="str">
        <f>IF($B219="","",INDEX(tblStock[Estado],'91_KPIS'!$T212))</f>
        <v/>
      </c>
      <c r="K219" s="80" t="str">
        <f t="shared" si="6"/>
        <v/>
      </c>
      <c r="L219" s="81" t="str">
        <f>IF($B219="","",INDEX(tblStock[CostoUnitario],'91_KPIS'!$T212))</f>
        <v/>
      </c>
      <c r="M219" s="82" t="str">
        <f t="shared" si="7"/>
        <v/>
      </c>
    </row>
    <row r="220" spans="2:13" ht="15.75" x14ac:dyDescent="0.25">
      <c r="B220" s="74" t="str">
        <f>IF('91_KPIS'!$T213="","",206)</f>
        <v/>
      </c>
      <c r="C220" s="75" t="str">
        <f>IF($B220="","",IF(INDEX(tblStock[Proveedor],'91_KPIS'!$T213)="","(Sin proveedor)",INDEX(tblStock[Proveedor],'91_KPIS'!$T213)))</f>
        <v/>
      </c>
      <c r="D220" s="76" t="str">
        <f>IF($B220="","",INDEX(tblStock[SKU],'91_KPIS'!$T213))</f>
        <v/>
      </c>
      <c r="E220" s="75" t="str">
        <f>IF($B220="","",INDEX(tblStock[Producto],'91_KPIS'!$T213))</f>
        <v/>
      </c>
      <c r="F220" s="76" t="str">
        <f>IF($B220="","",INDEX(tblStock[Unidad],'91_KPIS'!$T213))</f>
        <v/>
      </c>
      <c r="G220" s="77" t="str">
        <f>IF($B220="","",INDEX(tblStock[StockActual],'91_KPIS'!$T213))</f>
        <v/>
      </c>
      <c r="H220" s="78" t="str">
        <f>IF($B220="","",INDEX(tblStock[StockMin],'91_KPIS'!$T213))</f>
        <v/>
      </c>
      <c r="I220" s="78" t="str">
        <f>IF($B220="","",INDEX(tblStock[StockMax],'91_KPIS'!$T213))</f>
        <v/>
      </c>
      <c r="J220" s="79" t="str">
        <f>IF($B220="","",INDEX(tblStock[Estado],'91_KPIS'!$T213))</f>
        <v/>
      </c>
      <c r="K220" s="80" t="str">
        <f t="shared" si="6"/>
        <v/>
      </c>
      <c r="L220" s="81" t="str">
        <f>IF($B220="","",INDEX(tblStock[CostoUnitario],'91_KPIS'!$T213))</f>
        <v/>
      </c>
      <c r="M220" s="82" t="str">
        <f t="shared" si="7"/>
        <v/>
      </c>
    </row>
    <row r="221" spans="2:13" ht="15.75" x14ac:dyDescent="0.25">
      <c r="B221" s="74" t="str">
        <f>IF('91_KPIS'!$T214="","",207)</f>
        <v/>
      </c>
      <c r="C221" s="75" t="str">
        <f>IF($B221="","",IF(INDEX(tblStock[Proveedor],'91_KPIS'!$T214)="","(Sin proveedor)",INDEX(tblStock[Proveedor],'91_KPIS'!$T214)))</f>
        <v/>
      </c>
      <c r="D221" s="76" t="str">
        <f>IF($B221="","",INDEX(tblStock[SKU],'91_KPIS'!$T214))</f>
        <v/>
      </c>
      <c r="E221" s="75" t="str">
        <f>IF($B221="","",INDEX(tblStock[Producto],'91_KPIS'!$T214))</f>
        <v/>
      </c>
      <c r="F221" s="76" t="str">
        <f>IF($B221="","",INDEX(tblStock[Unidad],'91_KPIS'!$T214))</f>
        <v/>
      </c>
      <c r="G221" s="77" t="str">
        <f>IF($B221="","",INDEX(tblStock[StockActual],'91_KPIS'!$T214))</f>
        <v/>
      </c>
      <c r="H221" s="78" t="str">
        <f>IF($B221="","",INDEX(tblStock[StockMin],'91_KPIS'!$T214))</f>
        <v/>
      </c>
      <c r="I221" s="78" t="str">
        <f>IF($B221="","",INDEX(tblStock[StockMax],'91_KPIS'!$T214))</f>
        <v/>
      </c>
      <c r="J221" s="79" t="str">
        <f>IF($B221="","",INDEX(tblStock[Estado],'91_KPIS'!$T214))</f>
        <v/>
      </c>
      <c r="K221" s="80" t="str">
        <f t="shared" si="6"/>
        <v/>
      </c>
      <c r="L221" s="81" t="str">
        <f>IF($B221="","",INDEX(tblStock[CostoUnitario],'91_KPIS'!$T214))</f>
        <v/>
      </c>
      <c r="M221" s="82" t="str">
        <f t="shared" si="7"/>
        <v/>
      </c>
    </row>
    <row r="222" spans="2:13" ht="15.75" x14ac:dyDescent="0.25">
      <c r="B222" s="74" t="str">
        <f>IF('91_KPIS'!$T215="","",208)</f>
        <v/>
      </c>
      <c r="C222" s="75" t="str">
        <f>IF($B222="","",IF(INDEX(tblStock[Proveedor],'91_KPIS'!$T215)="","(Sin proveedor)",INDEX(tblStock[Proveedor],'91_KPIS'!$T215)))</f>
        <v/>
      </c>
      <c r="D222" s="76" t="str">
        <f>IF($B222="","",INDEX(tblStock[SKU],'91_KPIS'!$T215))</f>
        <v/>
      </c>
      <c r="E222" s="75" t="str">
        <f>IF($B222="","",INDEX(tblStock[Producto],'91_KPIS'!$T215))</f>
        <v/>
      </c>
      <c r="F222" s="76" t="str">
        <f>IF($B222="","",INDEX(tblStock[Unidad],'91_KPIS'!$T215))</f>
        <v/>
      </c>
      <c r="G222" s="77" t="str">
        <f>IF($B222="","",INDEX(tblStock[StockActual],'91_KPIS'!$T215))</f>
        <v/>
      </c>
      <c r="H222" s="78" t="str">
        <f>IF($B222="","",INDEX(tblStock[StockMin],'91_KPIS'!$T215))</f>
        <v/>
      </c>
      <c r="I222" s="78" t="str">
        <f>IF($B222="","",INDEX(tblStock[StockMax],'91_KPIS'!$T215))</f>
        <v/>
      </c>
      <c r="J222" s="79" t="str">
        <f>IF($B222="","",INDEX(tblStock[Estado],'91_KPIS'!$T215))</f>
        <v/>
      </c>
      <c r="K222" s="80" t="str">
        <f t="shared" si="6"/>
        <v/>
      </c>
      <c r="L222" s="81" t="str">
        <f>IF($B222="","",INDEX(tblStock[CostoUnitario],'91_KPIS'!$T215))</f>
        <v/>
      </c>
      <c r="M222" s="82" t="str">
        <f t="shared" si="7"/>
        <v/>
      </c>
    </row>
    <row r="223" spans="2:13" ht="15.75" x14ac:dyDescent="0.25">
      <c r="B223" s="74" t="str">
        <f>IF('91_KPIS'!$T216="","",209)</f>
        <v/>
      </c>
      <c r="C223" s="75" t="str">
        <f>IF($B223="","",IF(INDEX(tblStock[Proveedor],'91_KPIS'!$T216)="","(Sin proveedor)",INDEX(tblStock[Proveedor],'91_KPIS'!$T216)))</f>
        <v/>
      </c>
      <c r="D223" s="76" t="str">
        <f>IF($B223="","",INDEX(tblStock[SKU],'91_KPIS'!$T216))</f>
        <v/>
      </c>
      <c r="E223" s="75" t="str">
        <f>IF($B223="","",INDEX(tblStock[Producto],'91_KPIS'!$T216))</f>
        <v/>
      </c>
      <c r="F223" s="76" t="str">
        <f>IF($B223="","",INDEX(tblStock[Unidad],'91_KPIS'!$T216))</f>
        <v/>
      </c>
      <c r="G223" s="77" t="str">
        <f>IF($B223="","",INDEX(tblStock[StockActual],'91_KPIS'!$T216))</f>
        <v/>
      </c>
      <c r="H223" s="78" t="str">
        <f>IF($B223="","",INDEX(tblStock[StockMin],'91_KPIS'!$T216))</f>
        <v/>
      </c>
      <c r="I223" s="78" t="str">
        <f>IF($B223="","",INDEX(tblStock[StockMax],'91_KPIS'!$T216))</f>
        <v/>
      </c>
      <c r="J223" s="79" t="str">
        <f>IF($B223="","",INDEX(tblStock[Estado],'91_KPIS'!$T216))</f>
        <v/>
      </c>
      <c r="K223" s="80" t="str">
        <f t="shared" si="6"/>
        <v/>
      </c>
      <c r="L223" s="81" t="str">
        <f>IF($B223="","",INDEX(tblStock[CostoUnitario],'91_KPIS'!$T216))</f>
        <v/>
      </c>
      <c r="M223" s="82" t="str">
        <f t="shared" si="7"/>
        <v/>
      </c>
    </row>
    <row r="224" spans="2:13" ht="15.75" x14ac:dyDescent="0.25">
      <c r="B224" s="74" t="str">
        <f>IF('91_KPIS'!$T217="","",210)</f>
        <v/>
      </c>
      <c r="C224" s="75" t="str">
        <f>IF($B224="","",IF(INDEX(tblStock[Proveedor],'91_KPIS'!$T217)="","(Sin proveedor)",INDEX(tblStock[Proveedor],'91_KPIS'!$T217)))</f>
        <v/>
      </c>
      <c r="D224" s="76" t="str">
        <f>IF($B224="","",INDEX(tblStock[SKU],'91_KPIS'!$T217))</f>
        <v/>
      </c>
      <c r="E224" s="75" t="str">
        <f>IF($B224="","",INDEX(tblStock[Producto],'91_KPIS'!$T217))</f>
        <v/>
      </c>
      <c r="F224" s="76" t="str">
        <f>IF($B224="","",INDEX(tblStock[Unidad],'91_KPIS'!$T217))</f>
        <v/>
      </c>
      <c r="G224" s="77" t="str">
        <f>IF($B224="","",INDEX(tblStock[StockActual],'91_KPIS'!$T217))</f>
        <v/>
      </c>
      <c r="H224" s="78" t="str">
        <f>IF($B224="","",INDEX(tblStock[StockMin],'91_KPIS'!$T217))</f>
        <v/>
      </c>
      <c r="I224" s="78" t="str">
        <f>IF($B224="","",INDEX(tblStock[StockMax],'91_KPIS'!$T217))</f>
        <v/>
      </c>
      <c r="J224" s="79" t="str">
        <f>IF($B224="","",INDEX(tblStock[Estado],'91_KPIS'!$T217))</f>
        <v/>
      </c>
      <c r="K224" s="80" t="str">
        <f t="shared" si="6"/>
        <v/>
      </c>
      <c r="L224" s="81" t="str">
        <f>IF($B224="","",INDEX(tblStock[CostoUnitario],'91_KPIS'!$T217))</f>
        <v/>
      </c>
      <c r="M224" s="82" t="str">
        <f t="shared" si="7"/>
        <v/>
      </c>
    </row>
    <row r="225" spans="2:13" ht="15.75" x14ac:dyDescent="0.25">
      <c r="B225" s="74" t="str">
        <f>IF('91_KPIS'!$T218="","",211)</f>
        <v/>
      </c>
      <c r="C225" s="75" t="str">
        <f>IF($B225="","",IF(INDEX(tblStock[Proveedor],'91_KPIS'!$T218)="","(Sin proveedor)",INDEX(tblStock[Proveedor],'91_KPIS'!$T218)))</f>
        <v/>
      </c>
      <c r="D225" s="76" t="str">
        <f>IF($B225="","",INDEX(tblStock[SKU],'91_KPIS'!$T218))</f>
        <v/>
      </c>
      <c r="E225" s="75" t="str">
        <f>IF($B225="","",INDEX(tblStock[Producto],'91_KPIS'!$T218))</f>
        <v/>
      </c>
      <c r="F225" s="76" t="str">
        <f>IF($B225="","",INDEX(tblStock[Unidad],'91_KPIS'!$T218))</f>
        <v/>
      </c>
      <c r="G225" s="77" t="str">
        <f>IF($B225="","",INDEX(tblStock[StockActual],'91_KPIS'!$T218))</f>
        <v/>
      </c>
      <c r="H225" s="78" t="str">
        <f>IF($B225="","",INDEX(tblStock[StockMin],'91_KPIS'!$T218))</f>
        <v/>
      </c>
      <c r="I225" s="78" t="str">
        <f>IF($B225="","",INDEX(tblStock[StockMax],'91_KPIS'!$T218))</f>
        <v/>
      </c>
      <c r="J225" s="79" t="str">
        <f>IF($B225="","",INDEX(tblStock[Estado],'91_KPIS'!$T218))</f>
        <v/>
      </c>
      <c r="K225" s="80" t="str">
        <f t="shared" si="6"/>
        <v/>
      </c>
      <c r="L225" s="81" t="str">
        <f>IF($B225="","",INDEX(tblStock[CostoUnitario],'91_KPIS'!$T218))</f>
        <v/>
      </c>
      <c r="M225" s="82" t="str">
        <f t="shared" si="7"/>
        <v/>
      </c>
    </row>
    <row r="226" spans="2:13" ht="15.75" x14ac:dyDescent="0.25">
      <c r="B226" s="74" t="str">
        <f>IF('91_KPIS'!$T219="","",212)</f>
        <v/>
      </c>
      <c r="C226" s="75" t="str">
        <f>IF($B226="","",IF(INDEX(tblStock[Proveedor],'91_KPIS'!$T219)="","(Sin proveedor)",INDEX(tblStock[Proveedor],'91_KPIS'!$T219)))</f>
        <v/>
      </c>
      <c r="D226" s="76" t="str">
        <f>IF($B226="","",INDEX(tblStock[SKU],'91_KPIS'!$T219))</f>
        <v/>
      </c>
      <c r="E226" s="75" t="str">
        <f>IF($B226="","",INDEX(tblStock[Producto],'91_KPIS'!$T219))</f>
        <v/>
      </c>
      <c r="F226" s="76" t="str">
        <f>IF($B226="","",INDEX(tblStock[Unidad],'91_KPIS'!$T219))</f>
        <v/>
      </c>
      <c r="G226" s="77" t="str">
        <f>IF($B226="","",INDEX(tblStock[StockActual],'91_KPIS'!$T219))</f>
        <v/>
      </c>
      <c r="H226" s="78" t="str">
        <f>IF($B226="","",INDEX(tblStock[StockMin],'91_KPIS'!$T219))</f>
        <v/>
      </c>
      <c r="I226" s="78" t="str">
        <f>IF($B226="","",INDEX(tblStock[StockMax],'91_KPIS'!$T219))</f>
        <v/>
      </c>
      <c r="J226" s="79" t="str">
        <f>IF($B226="","",INDEX(tblStock[Estado],'91_KPIS'!$T219))</f>
        <v/>
      </c>
      <c r="K226" s="80" t="str">
        <f t="shared" si="6"/>
        <v/>
      </c>
      <c r="L226" s="81" t="str">
        <f>IF($B226="","",INDEX(tblStock[CostoUnitario],'91_KPIS'!$T219))</f>
        <v/>
      </c>
      <c r="M226" s="82" t="str">
        <f t="shared" si="7"/>
        <v/>
      </c>
    </row>
    <row r="227" spans="2:13" ht="15.75" x14ac:dyDescent="0.25">
      <c r="B227" s="74" t="str">
        <f>IF('91_KPIS'!$T220="","",213)</f>
        <v/>
      </c>
      <c r="C227" s="75" t="str">
        <f>IF($B227="","",IF(INDEX(tblStock[Proveedor],'91_KPIS'!$T220)="","(Sin proveedor)",INDEX(tblStock[Proveedor],'91_KPIS'!$T220)))</f>
        <v/>
      </c>
      <c r="D227" s="76" t="str">
        <f>IF($B227="","",INDEX(tblStock[SKU],'91_KPIS'!$T220))</f>
        <v/>
      </c>
      <c r="E227" s="75" t="str">
        <f>IF($B227="","",INDEX(tblStock[Producto],'91_KPIS'!$T220))</f>
        <v/>
      </c>
      <c r="F227" s="76" t="str">
        <f>IF($B227="","",INDEX(tblStock[Unidad],'91_KPIS'!$T220))</f>
        <v/>
      </c>
      <c r="G227" s="77" t="str">
        <f>IF($B227="","",INDEX(tblStock[StockActual],'91_KPIS'!$T220))</f>
        <v/>
      </c>
      <c r="H227" s="78" t="str">
        <f>IF($B227="","",INDEX(tblStock[StockMin],'91_KPIS'!$T220))</f>
        <v/>
      </c>
      <c r="I227" s="78" t="str">
        <f>IF($B227="","",INDEX(tblStock[StockMax],'91_KPIS'!$T220))</f>
        <v/>
      </c>
      <c r="J227" s="79" t="str">
        <f>IF($B227="","",INDEX(tblStock[Estado],'91_KPIS'!$T220))</f>
        <v/>
      </c>
      <c r="K227" s="80" t="str">
        <f t="shared" si="6"/>
        <v/>
      </c>
      <c r="L227" s="81" t="str">
        <f>IF($B227="","",INDEX(tblStock[CostoUnitario],'91_KPIS'!$T220))</f>
        <v/>
      </c>
      <c r="M227" s="82" t="str">
        <f t="shared" si="7"/>
        <v/>
      </c>
    </row>
    <row r="228" spans="2:13" ht="15.75" x14ac:dyDescent="0.25">
      <c r="B228" s="74" t="str">
        <f>IF('91_KPIS'!$T221="","",214)</f>
        <v/>
      </c>
      <c r="C228" s="75" t="str">
        <f>IF($B228="","",IF(INDEX(tblStock[Proveedor],'91_KPIS'!$T221)="","(Sin proveedor)",INDEX(tblStock[Proveedor],'91_KPIS'!$T221)))</f>
        <v/>
      </c>
      <c r="D228" s="76" t="str">
        <f>IF($B228="","",INDEX(tblStock[SKU],'91_KPIS'!$T221))</f>
        <v/>
      </c>
      <c r="E228" s="75" t="str">
        <f>IF($B228="","",INDEX(tblStock[Producto],'91_KPIS'!$T221))</f>
        <v/>
      </c>
      <c r="F228" s="76" t="str">
        <f>IF($B228="","",INDEX(tblStock[Unidad],'91_KPIS'!$T221))</f>
        <v/>
      </c>
      <c r="G228" s="77" t="str">
        <f>IF($B228="","",INDEX(tblStock[StockActual],'91_KPIS'!$T221))</f>
        <v/>
      </c>
      <c r="H228" s="78" t="str">
        <f>IF($B228="","",INDEX(tblStock[StockMin],'91_KPIS'!$T221))</f>
        <v/>
      </c>
      <c r="I228" s="78" t="str">
        <f>IF($B228="","",INDEX(tblStock[StockMax],'91_KPIS'!$T221))</f>
        <v/>
      </c>
      <c r="J228" s="79" t="str">
        <f>IF($B228="","",INDEX(tblStock[Estado],'91_KPIS'!$T221))</f>
        <v/>
      </c>
      <c r="K228" s="80" t="str">
        <f t="shared" si="6"/>
        <v/>
      </c>
      <c r="L228" s="81" t="str">
        <f>IF($B228="","",INDEX(tblStock[CostoUnitario],'91_KPIS'!$T221))</f>
        <v/>
      </c>
      <c r="M228" s="82" t="str">
        <f t="shared" si="7"/>
        <v/>
      </c>
    </row>
    <row r="229" spans="2:13" ht="15.75" x14ac:dyDescent="0.25">
      <c r="B229" s="74" t="str">
        <f>IF('91_KPIS'!$T222="","",215)</f>
        <v/>
      </c>
      <c r="C229" s="75" t="str">
        <f>IF($B229="","",IF(INDEX(tblStock[Proveedor],'91_KPIS'!$T222)="","(Sin proveedor)",INDEX(tblStock[Proveedor],'91_KPIS'!$T222)))</f>
        <v/>
      </c>
      <c r="D229" s="76" t="str">
        <f>IF($B229="","",INDEX(tblStock[SKU],'91_KPIS'!$T222))</f>
        <v/>
      </c>
      <c r="E229" s="75" t="str">
        <f>IF($B229="","",INDEX(tblStock[Producto],'91_KPIS'!$T222))</f>
        <v/>
      </c>
      <c r="F229" s="76" t="str">
        <f>IF($B229="","",INDEX(tblStock[Unidad],'91_KPIS'!$T222))</f>
        <v/>
      </c>
      <c r="G229" s="77" t="str">
        <f>IF($B229="","",INDEX(tblStock[StockActual],'91_KPIS'!$T222))</f>
        <v/>
      </c>
      <c r="H229" s="78" t="str">
        <f>IF($B229="","",INDEX(tblStock[StockMin],'91_KPIS'!$T222))</f>
        <v/>
      </c>
      <c r="I229" s="78" t="str">
        <f>IF($B229="","",INDEX(tblStock[StockMax],'91_KPIS'!$T222))</f>
        <v/>
      </c>
      <c r="J229" s="79" t="str">
        <f>IF($B229="","",INDEX(tblStock[Estado],'91_KPIS'!$T222))</f>
        <v/>
      </c>
      <c r="K229" s="80" t="str">
        <f t="shared" si="6"/>
        <v/>
      </c>
      <c r="L229" s="81" t="str">
        <f>IF($B229="","",INDEX(tblStock[CostoUnitario],'91_KPIS'!$T222))</f>
        <v/>
      </c>
      <c r="M229" s="82" t="str">
        <f t="shared" si="7"/>
        <v/>
      </c>
    </row>
    <row r="230" spans="2:13" ht="15.75" x14ac:dyDescent="0.25">
      <c r="B230" s="74" t="str">
        <f>IF('91_KPIS'!$T223="","",216)</f>
        <v/>
      </c>
      <c r="C230" s="75" t="str">
        <f>IF($B230="","",IF(INDEX(tblStock[Proveedor],'91_KPIS'!$T223)="","(Sin proveedor)",INDEX(tblStock[Proveedor],'91_KPIS'!$T223)))</f>
        <v/>
      </c>
      <c r="D230" s="76" t="str">
        <f>IF($B230="","",INDEX(tblStock[SKU],'91_KPIS'!$T223))</f>
        <v/>
      </c>
      <c r="E230" s="75" t="str">
        <f>IF($B230="","",INDEX(tblStock[Producto],'91_KPIS'!$T223))</f>
        <v/>
      </c>
      <c r="F230" s="76" t="str">
        <f>IF($B230="","",INDEX(tblStock[Unidad],'91_KPIS'!$T223))</f>
        <v/>
      </c>
      <c r="G230" s="77" t="str">
        <f>IF($B230="","",INDEX(tblStock[StockActual],'91_KPIS'!$T223))</f>
        <v/>
      </c>
      <c r="H230" s="78" t="str">
        <f>IF($B230="","",INDEX(tblStock[StockMin],'91_KPIS'!$T223))</f>
        <v/>
      </c>
      <c r="I230" s="78" t="str">
        <f>IF($B230="","",INDEX(tblStock[StockMax],'91_KPIS'!$T223))</f>
        <v/>
      </c>
      <c r="J230" s="79" t="str">
        <f>IF($B230="","",INDEX(tblStock[Estado],'91_KPIS'!$T223))</f>
        <v/>
      </c>
      <c r="K230" s="80" t="str">
        <f t="shared" si="6"/>
        <v/>
      </c>
      <c r="L230" s="81" t="str">
        <f>IF($B230="","",INDEX(tblStock[CostoUnitario],'91_KPIS'!$T223))</f>
        <v/>
      </c>
      <c r="M230" s="82" t="str">
        <f t="shared" si="7"/>
        <v/>
      </c>
    </row>
    <row r="231" spans="2:13" ht="15.75" x14ac:dyDescent="0.25">
      <c r="B231" s="74" t="str">
        <f>IF('91_KPIS'!$T224="","",217)</f>
        <v/>
      </c>
      <c r="C231" s="75" t="str">
        <f>IF($B231="","",IF(INDEX(tblStock[Proveedor],'91_KPIS'!$T224)="","(Sin proveedor)",INDEX(tblStock[Proveedor],'91_KPIS'!$T224)))</f>
        <v/>
      </c>
      <c r="D231" s="76" t="str">
        <f>IF($B231="","",INDEX(tblStock[SKU],'91_KPIS'!$T224))</f>
        <v/>
      </c>
      <c r="E231" s="75" t="str">
        <f>IF($B231="","",INDEX(tblStock[Producto],'91_KPIS'!$T224))</f>
        <v/>
      </c>
      <c r="F231" s="76" t="str">
        <f>IF($B231="","",INDEX(tblStock[Unidad],'91_KPIS'!$T224))</f>
        <v/>
      </c>
      <c r="G231" s="77" t="str">
        <f>IF($B231="","",INDEX(tblStock[StockActual],'91_KPIS'!$T224))</f>
        <v/>
      </c>
      <c r="H231" s="78" t="str">
        <f>IF($B231="","",INDEX(tblStock[StockMin],'91_KPIS'!$T224))</f>
        <v/>
      </c>
      <c r="I231" s="78" t="str">
        <f>IF($B231="","",INDEX(tblStock[StockMax],'91_KPIS'!$T224))</f>
        <v/>
      </c>
      <c r="J231" s="79" t="str">
        <f>IF($B231="","",INDEX(tblStock[Estado],'91_KPIS'!$T224))</f>
        <v/>
      </c>
      <c r="K231" s="80" t="str">
        <f t="shared" si="6"/>
        <v/>
      </c>
      <c r="L231" s="81" t="str">
        <f>IF($B231="","",INDEX(tblStock[CostoUnitario],'91_KPIS'!$T224))</f>
        <v/>
      </c>
      <c r="M231" s="82" t="str">
        <f t="shared" si="7"/>
        <v/>
      </c>
    </row>
    <row r="232" spans="2:13" ht="15.75" x14ac:dyDescent="0.25">
      <c r="B232" s="74" t="str">
        <f>IF('91_KPIS'!$T225="","",218)</f>
        <v/>
      </c>
      <c r="C232" s="75" t="str">
        <f>IF($B232="","",IF(INDEX(tblStock[Proveedor],'91_KPIS'!$T225)="","(Sin proveedor)",INDEX(tblStock[Proveedor],'91_KPIS'!$T225)))</f>
        <v/>
      </c>
      <c r="D232" s="76" t="str">
        <f>IF($B232="","",INDEX(tblStock[SKU],'91_KPIS'!$T225))</f>
        <v/>
      </c>
      <c r="E232" s="75" t="str">
        <f>IF($B232="","",INDEX(tblStock[Producto],'91_KPIS'!$T225))</f>
        <v/>
      </c>
      <c r="F232" s="76" t="str">
        <f>IF($B232="","",INDEX(tblStock[Unidad],'91_KPIS'!$T225))</f>
        <v/>
      </c>
      <c r="G232" s="77" t="str">
        <f>IF($B232="","",INDEX(tblStock[StockActual],'91_KPIS'!$T225))</f>
        <v/>
      </c>
      <c r="H232" s="78" t="str">
        <f>IF($B232="","",INDEX(tblStock[StockMin],'91_KPIS'!$T225))</f>
        <v/>
      </c>
      <c r="I232" s="78" t="str">
        <f>IF($B232="","",INDEX(tblStock[StockMax],'91_KPIS'!$T225))</f>
        <v/>
      </c>
      <c r="J232" s="79" t="str">
        <f>IF($B232="","",INDEX(tblStock[Estado],'91_KPIS'!$T225))</f>
        <v/>
      </c>
      <c r="K232" s="80" t="str">
        <f t="shared" si="6"/>
        <v/>
      </c>
      <c r="L232" s="81" t="str">
        <f>IF($B232="","",INDEX(tblStock[CostoUnitario],'91_KPIS'!$T225))</f>
        <v/>
      </c>
      <c r="M232" s="82" t="str">
        <f t="shared" si="7"/>
        <v/>
      </c>
    </row>
    <row r="233" spans="2:13" ht="15.75" x14ac:dyDescent="0.25">
      <c r="B233" s="74" t="str">
        <f>IF('91_KPIS'!$T226="","",219)</f>
        <v/>
      </c>
      <c r="C233" s="75" t="str">
        <f>IF($B233="","",IF(INDEX(tblStock[Proveedor],'91_KPIS'!$T226)="","(Sin proveedor)",INDEX(tblStock[Proveedor],'91_KPIS'!$T226)))</f>
        <v/>
      </c>
      <c r="D233" s="76" t="str">
        <f>IF($B233="","",INDEX(tblStock[SKU],'91_KPIS'!$T226))</f>
        <v/>
      </c>
      <c r="E233" s="75" t="str">
        <f>IF($B233="","",INDEX(tblStock[Producto],'91_KPIS'!$T226))</f>
        <v/>
      </c>
      <c r="F233" s="76" t="str">
        <f>IF($B233="","",INDEX(tblStock[Unidad],'91_KPIS'!$T226))</f>
        <v/>
      </c>
      <c r="G233" s="77" t="str">
        <f>IF($B233="","",INDEX(tblStock[StockActual],'91_KPIS'!$T226))</f>
        <v/>
      </c>
      <c r="H233" s="78" t="str">
        <f>IF($B233="","",INDEX(tblStock[StockMin],'91_KPIS'!$T226))</f>
        <v/>
      </c>
      <c r="I233" s="78" t="str">
        <f>IF($B233="","",INDEX(tblStock[StockMax],'91_KPIS'!$T226))</f>
        <v/>
      </c>
      <c r="J233" s="79" t="str">
        <f>IF($B233="","",INDEX(tblStock[Estado],'91_KPIS'!$T226))</f>
        <v/>
      </c>
      <c r="K233" s="80" t="str">
        <f t="shared" si="6"/>
        <v/>
      </c>
      <c r="L233" s="81" t="str">
        <f>IF($B233="","",INDEX(tblStock[CostoUnitario],'91_KPIS'!$T226))</f>
        <v/>
      </c>
      <c r="M233" s="82" t="str">
        <f t="shared" si="7"/>
        <v/>
      </c>
    </row>
    <row r="234" spans="2:13" ht="15.75" x14ac:dyDescent="0.25">
      <c r="B234" s="74" t="str">
        <f>IF('91_KPIS'!$T227="","",220)</f>
        <v/>
      </c>
      <c r="C234" s="75" t="str">
        <f>IF($B234="","",IF(INDEX(tblStock[Proveedor],'91_KPIS'!$T227)="","(Sin proveedor)",INDEX(tblStock[Proveedor],'91_KPIS'!$T227)))</f>
        <v/>
      </c>
      <c r="D234" s="76" t="str">
        <f>IF($B234="","",INDEX(tblStock[SKU],'91_KPIS'!$T227))</f>
        <v/>
      </c>
      <c r="E234" s="75" t="str">
        <f>IF($B234="","",INDEX(tblStock[Producto],'91_KPIS'!$T227))</f>
        <v/>
      </c>
      <c r="F234" s="76" t="str">
        <f>IF($B234="","",INDEX(tblStock[Unidad],'91_KPIS'!$T227))</f>
        <v/>
      </c>
      <c r="G234" s="77" t="str">
        <f>IF($B234="","",INDEX(tblStock[StockActual],'91_KPIS'!$T227))</f>
        <v/>
      </c>
      <c r="H234" s="78" t="str">
        <f>IF($B234="","",INDEX(tblStock[StockMin],'91_KPIS'!$T227))</f>
        <v/>
      </c>
      <c r="I234" s="78" t="str">
        <f>IF($B234="","",INDEX(tblStock[StockMax],'91_KPIS'!$T227))</f>
        <v/>
      </c>
      <c r="J234" s="79" t="str">
        <f>IF($B234="","",INDEX(tblStock[Estado],'91_KPIS'!$T227))</f>
        <v/>
      </c>
      <c r="K234" s="80" t="str">
        <f t="shared" si="6"/>
        <v/>
      </c>
      <c r="L234" s="81" t="str">
        <f>IF($B234="","",INDEX(tblStock[CostoUnitario],'91_KPIS'!$T227))</f>
        <v/>
      </c>
      <c r="M234" s="82" t="str">
        <f t="shared" si="7"/>
        <v/>
      </c>
    </row>
    <row r="235" spans="2:13" ht="15.75" x14ac:dyDescent="0.25">
      <c r="B235" s="74" t="str">
        <f>IF('91_KPIS'!$T228="","",221)</f>
        <v/>
      </c>
      <c r="C235" s="75" t="str">
        <f>IF($B235="","",IF(INDEX(tblStock[Proveedor],'91_KPIS'!$T228)="","(Sin proveedor)",INDEX(tblStock[Proveedor],'91_KPIS'!$T228)))</f>
        <v/>
      </c>
      <c r="D235" s="76" t="str">
        <f>IF($B235="","",INDEX(tblStock[SKU],'91_KPIS'!$T228))</f>
        <v/>
      </c>
      <c r="E235" s="75" t="str">
        <f>IF($B235="","",INDEX(tblStock[Producto],'91_KPIS'!$T228))</f>
        <v/>
      </c>
      <c r="F235" s="76" t="str">
        <f>IF($B235="","",INDEX(tblStock[Unidad],'91_KPIS'!$T228))</f>
        <v/>
      </c>
      <c r="G235" s="77" t="str">
        <f>IF($B235="","",INDEX(tblStock[StockActual],'91_KPIS'!$T228))</f>
        <v/>
      </c>
      <c r="H235" s="78" t="str">
        <f>IF($B235="","",INDEX(tblStock[StockMin],'91_KPIS'!$T228))</f>
        <v/>
      </c>
      <c r="I235" s="78" t="str">
        <f>IF($B235="","",INDEX(tblStock[StockMax],'91_KPIS'!$T228))</f>
        <v/>
      </c>
      <c r="J235" s="79" t="str">
        <f>IF($B235="","",INDEX(tblStock[Estado],'91_KPIS'!$T228))</f>
        <v/>
      </c>
      <c r="K235" s="80" t="str">
        <f t="shared" si="6"/>
        <v/>
      </c>
      <c r="L235" s="81" t="str">
        <f>IF($B235="","",INDEX(tblStock[CostoUnitario],'91_KPIS'!$T228))</f>
        <v/>
      </c>
      <c r="M235" s="82" t="str">
        <f t="shared" si="7"/>
        <v/>
      </c>
    </row>
    <row r="236" spans="2:13" ht="15.75" x14ac:dyDescent="0.25">
      <c r="B236" s="74" t="str">
        <f>IF('91_KPIS'!$T229="","",222)</f>
        <v/>
      </c>
      <c r="C236" s="75" t="str">
        <f>IF($B236="","",IF(INDEX(tblStock[Proveedor],'91_KPIS'!$T229)="","(Sin proveedor)",INDEX(tblStock[Proveedor],'91_KPIS'!$T229)))</f>
        <v/>
      </c>
      <c r="D236" s="76" t="str">
        <f>IF($B236="","",INDEX(tblStock[SKU],'91_KPIS'!$T229))</f>
        <v/>
      </c>
      <c r="E236" s="75" t="str">
        <f>IF($B236="","",INDEX(tblStock[Producto],'91_KPIS'!$T229))</f>
        <v/>
      </c>
      <c r="F236" s="76" t="str">
        <f>IF($B236="","",INDEX(tblStock[Unidad],'91_KPIS'!$T229))</f>
        <v/>
      </c>
      <c r="G236" s="77" t="str">
        <f>IF($B236="","",INDEX(tblStock[StockActual],'91_KPIS'!$T229))</f>
        <v/>
      </c>
      <c r="H236" s="78" t="str">
        <f>IF($B236="","",INDEX(tblStock[StockMin],'91_KPIS'!$T229))</f>
        <v/>
      </c>
      <c r="I236" s="78" t="str">
        <f>IF($B236="","",INDEX(tblStock[StockMax],'91_KPIS'!$T229))</f>
        <v/>
      </c>
      <c r="J236" s="79" t="str">
        <f>IF($B236="","",INDEX(tblStock[Estado],'91_KPIS'!$T229))</f>
        <v/>
      </c>
      <c r="K236" s="80" t="str">
        <f t="shared" si="6"/>
        <v/>
      </c>
      <c r="L236" s="81" t="str">
        <f>IF($B236="","",INDEX(tblStock[CostoUnitario],'91_KPIS'!$T229))</f>
        <v/>
      </c>
      <c r="M236" s="82" t="str">
        <f t="shared" si="7"/>
        <v/>
      </c>
    </row>
    <row r="237" spans="2:13" ht="15.75" x14ac:dyDescent="0.25">
      <c r="B237" s="74" t="str">
        <f>IF('91_KPIS'!$T230="","",223)</f>
        <v/>
      </c>
      <c r="C237" s="75" t="str">
        <f>IF($B237="","",IF(INDEX(tblStock[Proveedor],'91_KPIS'!$T230)="","(Sin proveedor)",INDEX(tblStock[Proveedor],'91_KPIS'!$T230)))</f>
        <v/>
      </c>
      <c r="D237" s="76" t="str">
        <f>IF($B237="","",INDEX(tblStock[SKU],'91_KPIS'!$T230))</f>
        <v/>
      </c>
      <c r="E237" s="75" t="str">
        <f>IF($B237="","",INDEX(tblStock[Producto],'91_KPIS'!$T230))</f>
        <v/>
      </c>
      <c r="F237" s="76" t="str">
        <f>IF($B237="","",INDEX(tblStock[Unidad],'91_KPIS'!$T230))</f>
        <v/>
      </c>
      <c r="G237" s="77" t="str">
        <f>IF($B237="","",INDEX(tblStock[StockActual],'91_KPIS'!$T230))</f>
        <v/>
      </c>
      <c r="H237" s="78" t="str">
        <f>IF($B237="","",INDEX(tblStock[StockMin],'91_KPIS'!$T230))</f>
        <v/>
      </c>
      <c r="I237" s="78" t="str">
        <f>IF($B237="","",INDEX(tblStock[StockMax],'91_KPIS'!$T230))</f>
        <v/>
      </c>
      <c r="J237" s="79" t="str">
        <f>IF($B237="","",INDEX(tblStock[Estado],'91_KPIS'!$T230))</f>
        <v/>
      </c>
      <c r="K237" s="80" t="str">
        <f t="shared" si="6"/>
        <v/>
      </c>
      <c r="L237" s="81" t="str">
        <f>IF($B237="","",INDEX(tblStock[CostoUnitario],'91_KPIS'!$T230))</f>
        <v/>
      </c>
      <c r="M237" s="82" t="str">
        <f t="shared" si="7"/>
        <v/>
      </c>
    </row>
    <row r="238" spans="2:13" ht="15.75" x14ac:dyDescent="0.25">
      <c r="B238" s="74" t="str">
        <f>IF('91_KPIS'!$T231="","",224)</f>
        <v/>
      </c>
      <c r="C238" s="75" t="str">
        <f>IF($B238="","",IF(INDEX(tblStock[Proveedor],'91_KPIS'!$T231)="","(Sin proveedor)",INDEX(tblStock[Proveedor],'91_KPIS'!$T231)))</f>
        <v/>
      </c>
      <c r="D238" s="76" t="str">
        <f>IF($B238="","",INDEX(tblStock[SKU],'91_KPIS'!$T231))</f>
        <v/>
      </c>
      <c r="E238" s="75" t="str">
        <f>IF($B238="","",INDEX(tblStock[Producto],'91_KPIS'!$T231))</f>
        <v/>
      </c>
      <c r="F238" s="76" t="str">
        <f>IF($B238="","",INDEX(tblStock[Unidad],'91_KPIS'!$T231))</f>
        <v/>
      </c>
      <c r="G238" s="77" t="str">
        <f>IF($B238="","",INDEX(tblStock[StockActual],'91_KPIS'!$T231))</f>
        <v/>
      </c>
      <c r="H238" s="78" t="str">
        <f>IF($B238="","",INDEX(tblStock[StockMin],'91_KPIS'!$T231))</f>
        <v/>
      </c>
      <c r="I238" s="78" t="str">
        <f>IF($B238="","",INDEX(tblStock[StockMax],'91_KPIS'!$T231))</f>
        <v/>
      </c>
      <c r="J238" s="79" t="str">
        <f>IF($B238="","",INDEX(tblStock[Estado],'91_KPIS'!$T231))</f>
        <v/>
      </c>
      <c r="K238" s="80" t="str">
        <f t="shared" si="6"/>
        <v/>
      </c>
      <c r="L238" s="81" t="str">
        <f>IF($B238="","",INDEX(tblStock[CostoUnitario],'91_KPIS'!$T231))</f>
        <v/>
      </c>
      <c r="M238" s="82" t="str">
        <f t="shared" si="7"/>
        <v/>
      </c>
    </row>
    <row r="239" spans="2:13" ht="15.75" x14ac:dyDescent="0.25">
      <c r="B239" s="74" t="str">
        <f>IF('91_KPIS'!$T232="","",225)</f>
        <v/>
      </c>
      <c r="C239" s="75" t="str">
        <f>IF($B239="","",IF(INDEX(tblStock[Proveedor],'91_KPIS'!$T232)="","(Sin proveedor)",INDEX(tblStock[Proveedor],'91_KPIS'!$T232)))</f>
        <v/>
      </c>
      <c r="D239" s="76" t="str">
        <f>IF($B239="","",INDEX(tblStock[SKU],'91_KPIS'!$T232))</f>
        <v/>
      </c>
      <c r="E239" s="75" t="str">
        <f>IF($B239="","",INDEX(tblStock[Producto],'91_KPIS'!$T232))</f>
        <v/>
      </c>
      <c r="F239" s="76" t="str">
        <f>IF($B239="","",INDEX(tblStock[Unidad],'91_KPIS'!$T232))</f>
        <v/>
      </c>
      <c r="G239" s="77" t="str">
        <f>IF($B239="","",INDEX(tblStock[StockActual],'91_KPIS'!$T232))</f>
        <v/>
      </c>
      <c r="H239" s="78" t="str">
        <f>IF($B239="","",INDEX(tblStock[StockMin],'91_KPIS'!$T232))</f>
        <v/>
      </c>
      <c r="I239" s="78" t="str">
        <f>IF($B239="","",INDEX(tblStock[StockMax],'91_KPIS'!$T232))</f>
        <v/>
      </c>
      <c r="J239" s="79" t="str">
        <f>IF($B239="","",INDEX(tblStock[Estado],'91_KPIS'!$T232))</f>
        <v/>
      </c>
      <c r="K239" s="80" t="str">
        <f t="shared" si="6"/>
        <v/>
      </c>
      <c r="L239" s="81" t="str">
        <f>IF($B239="","",INDEX(tblStock[CostoUnitario],'91_KPIS'!$T232))</f>
        <v/>
      </c>
      <c r="M239" s="82" t="str">
        <f t="shared" si="7"/>
        <v/>
      </c>
    </row>
    <row r="240" spans="2:13" ht="15.75" x14ac:dyDescent="0.25">
      <c r="B240" s="74" t="str">
        <f>IF('91_KPIS'!$T233="","",226)</f>
        <v/>
      </c>
      <c r="C240" s="75" t="str">
        <f>IF($B240="","",IF(INDEX(tblStock[Proveedor],'91_KPIS'!$T233)="","(Sin proveedor)",INDEX(tblStock[Proveedor],'91_KPIS'!$T233)))</f>
        <v/>
      </c>
      <c r="D240" s="76" t="str">
        <f>IF($B240="","",INDEX(tblStock[SKU],'91_KPIS'!$T233))</f>
        <v/>
      </c>
      <c r="E240" s="75" t="str">
        <f>IF($B240="","",INDEX(tblStock[Producto],'91_KPIS'!$T233))</f>
        <v/>
      </c>
      <c r="F240" s="76" t="str">
        <f>IF($B240="","",INDEX(tblStock[Unidad],'91_KPIS'!$T233))</f>
        <v/>
      </c>
      <c r="G240" s="77" t="str">
        <f>IF($B240="","",INDEX(tblStock[StockActual],'91_KPIS'!$T233))</f>
        <v/>
      </c>
      <c r="H240" s="78" t="str">
        <f>IF($B240="","",INDEX(tblStock[StockMin],'91_KPIS'!$T233))</f>
        <v/>
      </c>
      <c r="I240" s="78" t="str">
        <f>IF($B240="","",INDEX(tblStock[StockMax],'91_KPIS'!$T233))</f>
        <v/>
      </c>
      <c r="J240" s="79" t="str">
        <f>IF($B240="","",INDEX(tblStock[Estado],'91_KPIS'!$T233))</f>
        <v/>
      </c>
      <c r="K240" s="80" t="str">
        <f t="shared" si="6"/>
        <v/>
      </c>
      <c r="L240" s="81" t="str">
        <f>IF($B240="","",INDEX(tblStock[CostoUnitario],'91_KPIS'!$T233))</f>
        <v/>
      </c>
      <c r="M240" s="82" t="str">
        <f t="shared" si="7"/>
        <v/>
      </c>
    </row>
    <row r="241" spans="2:13" ht="15.75" x14ac:dyDescent="0.25">
      <c r="B241" s="74" t="str">
        <f>IF('91_KPIS'!$T234="","",227)</f>
        <v/>
      </c>
      <c r="C241" s="75" t="str">
        <f>IF($B241="","",IF(INDEX(tblStock[Proveedor],'91_KPIS'!$T234)="","(Sin proveedor)",INDEX(tblStock[Proveedor],'91_KPIS'!$T234)))</f>
        <v/>
      </c>
      <c r="D241" s="76" t="str">
        <f>IF($B241="","",INDEX(tblStock[SKU],'91_KPIS'!$T234))</f>
        <v/>
      </c>
      <c r="E241" s="75" t="str">
        <f>IF($B241="","",INDEX(tblStock[Producto],'91_KPIS'!$T234))</f>
        <v/>
      </c>
      <c r="F241" s="76" t="str">
        <f>IF($B241="","",INDEX(tblStock[Unidad],'91_KPIS'!$T234))</f>
        <v/>
      </c>
      <c r="G241" s="77" t="str">
        <f>IF($B241="","",INDEX(tblStock[StockActual],'91_KPIS'!$T234))</f>
        <v/>
      </c>
      <c r="H241" s="78" t="str">
        <f>IF($B241="","",INDEX(tblStock[StockMin],'91_KPIS'!$T234))</f>
        <v/>
      </c>
      <c r="I241" s="78" t="str">
        <f>IF($B241="","",INDEX(tblStock[StockMax],'91_KPIS'!$T234))</f>
        <v/>
      </c>
      <c r="J241" s="79" t="str">
        <f>IF($B241="","",INDEX(tblStock[Estado],'91_KPIS'!$T234))</f>
        <v/>
      </c>
      <c r="K241" s="80" t="str">
        <f t="shared" si="6"/>
        <v/>
      </c>
      <c r="L241" s="81" t="str">
        <f>IF($B241="","",INDEX(tblStock[CostoUnitario],'91_KPIS'!$T234))</f>
        <v/>
      </c>
      <c r="M241" s="82" t="str">
        <f t="shared" si="7"/>
        <v/>
      </c>
    </row>
    <row r="242" spans="2:13" ht="15.75" x14ac:dyDescent="0.25">
      <c r="B242" s="74" t="str">
        <f>IF('91_KPIS'!$T235="","",228)</f>
        <v/>
      </c>
      <c r="C242" s="75" t="str">
        <f>IF($B242="","",IF(INDEX(tblStock[Proveedor],'91_KPIS'!$T235)="","(Sin proveedor)",INDEX(tblStock[Proveedor],'91_KPIS'!$T235)))</f>
        <v/>
      </c>
      <c r="D242" s="76" t="str">
        <f>IF($B242="","",INDEX(tblStock[SKU],'91_KPIS'!$T235))</f>
        <v/>
      </c>
      <c r="E242" s="75" t="str">
        <f>IF($B242="","",INDEX(tblStock[Producto],'91_KPIS'!$T235))</f>
        <v/>
      </c>
      <c r="F242" s="76" t="str">
        <f>IF($B242="","",INDEX(tblStock[Unidad],'91_KPIS'!$T235))</f>
        <v/>
      </c>
      <c r="G242" s="77" t="str">
        <f>IF($B242="","",INDEX(tblStock[StockActual],'91_KPIS'!$T235))</f>
        <v/>
      </c>
      <c r="H242" s="78" t="str">
        <f>IF($B242="","",INDEX(tblStock[StockMin],'91_KPIS'!$T235))</f>
        <v/>
      </c>
      <c r="I242" s="78" t="str">
        <f>IF($B242="","",INDEX(tblStock[StockMax],'91_KPIS'!$T235))</f>
        <v/>
      </c>
      <c r="J242" s="79" t="str">
        <f>IF($B242="","",INDEX(tblStock[Estado],'91_KPIS'!$T235))</f>
        <v/>
      </c>
      <c r="K242" s="80" t="str">
        <f t="shared" si="6"/>
        <v/>
      </c>
      <c r="L242" s="81" t="str">
        <f>IF($B242="","",INDEX(tblStock[CostoUnitario],'91_KPIS'!$T235))</f>
        <v/>
      </c>
      <c r="M242" s="82" t="str">
        <f t="shared" si="7"/>
        <v/>
      </c>
    </row>
    <row r="243" spans="2:13" ht="15.75" x14ac:dyDescent="0.25">
      <c r="B243" s="74" t="str">
        <f>IF('91_KPIS'!$T236="","",229)</f>
        <v/>
      </c>
      <c r="C243" s="75" t="str">
        <f>IF($B243="","",IF(INDEX(tblStock[Proveedor],'91_KPIS'!$T236)="","(Sin proveedor)",INDEX(tblStock[Proveedor],'91_KPIS'!$T236)))</f>
        <v/>
      </c>
      <c r="D243" s="76" t="str">
        <f>IF($B243="","",INDEX(tblStock[SKU],'91_KPIS'!$T236))</f>
        <v/>
      </c>
      <c r="E243" s="75" t="str">
        <f>IF($B243="","",INDEX(tblStock[Producto],'91_KPIS'!$T236))</f>
        <v/>
      </c>
      <c r="F243" s="76" t="str">
        <f>IF($B243="","",INDEX(tblStock[Unidad],'91_KPIS'!$T236))</f>
        <v/>
      </c>
      <c r="G243" s="77" t="str">
        <f>IF($B243="","",INDEX(tblStock[StockActual],'91_KPIS'!$T236))</f>
        <v/>
      </c>
      <c r="H243" s="78" t="str">
        <f>IF($B243="","",INDEX(tblStock[StockMin],'91_KPIS'!$T236))</f>
        <v/>
      </c>
      <c r="I243" s="78" t="str">
        <f>IF($B243="","",INDEX(tblStock[StockMax],'91_KPIS'!$T236))</f>
        <v/>
      </c>
      <c r="J243" s="79" t="str">
        <f>IF($B243="","",INDEX(tblStock[Estado],'91_KPIS'!$T236))</f>
        <v/>
      </c>
      <c r="K243" s="80" t="str">
        <f t="shared" si="6"/>
        <v/>
      </c>
      <c r="L243" s="81" t="str">
        <f>IF($B243="","",INDEX(tblStock[CostoUnitario],'91_KPIS'!$T236))</f>
        <v/>
      </c>
      <c r="M243" s="82" t="str">
        <f t="shared" si="7"/>
        <v/>
      </c>
    </row>
    <row r="244" spans="2:13" ht="15.75" x14ac:dyDescent="0.25">
      <c r="B244" s="74" t="str">
        <f>IF('91_KPIS'!$T237="","",230)</f>
        <v/>
      </c>
      <c r="C244" s="75" t="str">
        <f>IF($B244="","",IF(INDEX(tblStock[Proveedor],'91_KPIS'!$T237)="","(Sin proveedor)",INDEX(tblStock[Proveedor],'91_KPIS'!$T237)))</f>
        <v/>
      </c>
      <c r="D244" s="76" t="str">
        <f>IF($B244="","",INDEX(tblStock[SKU],'91_KPIS'!$T237))</f>
        <v/>
      </c>
      <c r="E244" s="75" t="str">
        <f>IF($B244="","",INDEX(tblStock[Producto],'91_KPIS'!$T237))</f>
        <v/>
      </c>
      <c r="F244" s="76" t="str">
        <f>IF($B244="","",INDEX(tblStock[Unidad],'91_KPIS'!$T237))</f>
        <v/>
      </c>
      <c r="G244" s="77" t="str">
        <f>IF($B244="","",INDEX(tblStock[StockActual],'91_KPIS'!$T237))</f>
        <v/>
      </c>
      <c r="H244" s="78" t="str">
        <f>IF($B244="","",INDEX(tblStock[StockMin],'91_KPIS'!$T237))</f>
        <v/>
      </c>
      <c r="I244" s="78" t="str">
        <f>IF($B244="","",INDEX(tblStock[StockMax],'91_KPIS'!$T237))</f>
        <v/>
      </c>
      <c r="J244" s="79" t="str">
        <f>IF($B244="","",INDEX(tblStock[Estado],'91_KPIS'!$T237))</f>
        <v/>
      </c>
      <c r="K244" s="80" t="str">
        <f t="shared" si="6"/>
        <v/>
      </c>
      <c r="L244" s="81" t="str">
        <f>IF($B244="","",INDEX(tblStock[CostoUnitario],'91_KPIS'!$T237))</f>
        <v/>
      </c>
      <c r="M244" s="82" t="str">
        <f t="shared" si="7"/>
        <v/>
      </c>
    </row>
    <row r="245" spans="2:13" ht="15.75" x14ac:dyDescent="0.25">
      <c r="B245" s="74" t="str">
        <f>IF('91_KPIS'!$T238="","",231)</f>
        <v/>
      </c>
      <c r="C245" s="75" t="str">
        <f>IF($B245="","",IF(INDEX(tblStock[Proveedor],'91_KPIS'!$T238)="","(Sin proveedor)",INDEX(tblStock[Proveedor],'91_KPIS'!$T238)))</f>
        <v/>
      </c>
      <c r="D245" s="76" t="str">
        <f>IF($B245="","",INDEX(tblStock[SKU],'91_KPIS'!$T238))</f>
        <v/>
      </c>
      <c r="E245" s="75" t="str">
        <f>IF($B245="","",INDEX(tblStock[Producto],'91_KPIS'!$T238))</f>
        <v/>
      </c>
      <c r="F245" s="76" t="str">
        <f>IF($B245="","",INDEX(tblStock[Unidad],'91_KPIS'!$T238))</f>
        <v/>
      </c>
      <c r="G245" s="77" t="str">
        <f>IF($B245="","",INDEX(tblStock[StockActual],'91_KPIS'!$T238))</f>
        <v/>
      </c>
      <c r="H245" s="78" t="str">
        <f>IF($B245="","",INDEX(tblStock[StockMin],'91_KPIS'!$T238))</f>
        <v/>
      </c>
      <c r="I245" s="78" t="str">
        <f>IF($B245="","",INDEX(tblStock[StockMax],'91_KPIS'!$T238))</f>
        <v/>
      </c>
      <c r="J245" s="79" t="str">
        <f>IF($B245="","",INDEX(tblStock[Estado],'91_KPIS'!$T238))</f>
        <v/>
      </c>
      <c r="K245" s="80" t="str">
        <f t="shared" si="6"/>
        <v/>
      </c>
      <c r="L245" s="81" t="str">
        <f>IF($B245="","",INDEX(tblStock[CostoUnitario],'91_KPIS'!$T238))</f>
        <v/>
      </c>
      <c r="M245" s="82" t="str">
        <f t="shared" si="7"/>
        <v/>
      </c>
    </row>
    <row r="246" spans="2:13" ht="15.75" x14ac:dyDescent="0.25">
      <c r="B246" s="74" t="str">
        <f>IF('91_KPIS'!$T239="","",232)</f>
        <v/>
      </c>
      <c r="C246" s="75" t="str">
        <f>IF($B246="","",IF(INDEX(tblStock[Proveedor],'91_KPIS'!$T239)="","(Sin proveedor)",INDEX(tblStock[Proveedor],'91_KPIS'!$T239)))</f>
        <v/>
      </c>
      <c r="D246" s="76" t="str">
        <f>IF($B246="","",INDEX(tblStock[SKU],'91_KPIS'!$T239))</f>
        <v/>
      </c>
      <c r="E246" s="75" t="str">
        <f>IF($B246="","",INDEX(tblStock[Producto],'91_KPIS'!$T239))</f>
        <v/>
      </c>
      <c r="F246" s="76" t="str">
        <f>IF($B246="","",INDEX(tblStock[Unidad],'91_KPIS'!$T239))</f>
        <v/>
      </c>
      <c r="G246" s="77" t="str">
        <f>IF($B246="","",INDEX(tblStock[StockActual],'91_KPIS'!$T239))</f>
        <v/>
      </c>
      <c r="H246" s="78" t="str">
        <f>IF($B246="","",INDEX(tblStock[StockMin],'91_KPIS'!$T239))</f>
        <v/>
      </c>
      <c r="I246" s="78" t="str">
        <f>IF($B246="","",INDEX(tblStock[StockMax],'91_KPIS'!$T239))</f>
        <v/>
      </c>
      <c r="J246" s="79" t="str">
        <f>IF($B246="","",INDEX(tblStock[Estado],'91_KPIS'!$T239))</f>
        <v/>
      </c>
      <c r="K246" s="80" t="str">
        <f t="shared" si="6"/>
        <v/>
      </c>
      <c r="L246" s="81" t="str">
        <f>IF($B246="","",INDEX(tblStock[CostoUnitario],'91_KPIS'!$T239))</f>
        <v/>
      </c>
      <c r="M246" s="82" t="str">
        <f t="shared" si="7"/>
        <v/>
      </c>
    </row>
    <row r="247" spans="2:13" ht="15.75" x14ac:dyDescent="0.25">
      <c r="B247" s="74" t="str">
        <f>IF('91_KPIS'!$T240="","",233)</f>
        <v/>
      </c>
      <c r="C247" s="75" t="str">
        <f>IF($B247="","",IF(INDEX(tblStock[Proveedor],'91_KPIS'!$T240)="","(Sin proveedor)",INDEX(tblStock[Proveedor],'91_KPIS'!$T240)))</f>
        <v/>
      </c>
      <c r="D247" s="76" t="str">
        <f>IF($B247="","",INDEX(tblStock[SKU],'91_KPIS'!$T240))</f>
        <v/>
      </c>
      <c r="E247" s="75" t="str">
        <f>IF($B247="","",INDEX(tblStock[Producto],'91_KPIS'!$T240))</f>
        <v/>
      </c>
      <c r="F247" s="76" t="str">
        <f>IF($B247="","",INDEX(tblStock[Unidad],'91_KPIS'!$T240))</f>
        <v/>
      </c>
      <c r="G247" s="77" t="str">
        <f>IF($B247="","",INDEX(tblStock[StockActual],'91_KPIS'!$T240))</f>
        <v/>
      </c>
      <c r="H247" s="78" t="str">
        <f>IF($B247="","",INDEX(tblStock[StockMin],'91_KPIS'!$T240))</f>
        <v/>
      </c>
      <c r="I247" s="78" t="str">
        <f>IF($B247="","",INDEX(tblStock[StockMax],'91_KPIS'!$T240))</f>
        <v/>
      </c>
      <c r="J247" s="79" t="str">
        <f>IF($B247="","",INDEX(tblStock[Estado],'91_KPIS'!$T240))</f>
        <v/>
      </c>
      <c r="K247" s="80" t="str">
        <f t="shared" si="6"/>
        <v/>
      </c>
      <c r="L247" s="81" t="str">
        <f>IF($B247="","",INDEX(tblStock[CostoUnitario],'91_KPIS'!$T240))</f>
        <v/>
      </c>
      <c r="M247" s="82" t="str">
        <f t="shared" si="7"/>
        <v/>
      </c>
    </row>
    <row r="248" spans="2:13" ht="15.75" x14ac:dyDescent="0.25">
      <c r="B248" s="74" t="str">
        <f>IF('91_KPIS'!$T241="","",234)</f>
        <v/>
      </c>
      <c r="C248" s="75" t="str">
        <f>IF($B248="","",IF(INDEX(tblStock[Proveedor],'91_KPIS'!$T241)="","(Sin proveedor)",INDEX(tblStock[Proveedor],'91_KPIS'!$T241)))</f>
        <v/>
      </c>
      <c r="D248" s="76" t="str">
        <f>IF($B248="","",INDEX(tblStock[SKU],'91_KPIS'!$T241))</f>
        <v/>
      </c>
      <c r="E248" s="75" t="str">
        <f>IF($B248="","",INDEX(tblStock[Producto],'91_KPIS'!$T241))</f>
        <v/>
      </c>
      <c r="F248" s="76" t="str">
        <f>IF($B248="","",INDEX(tblStock[Unidad],'91_KPIS'!$T241))</f>
        <v/>
      </c>
      <c r="G248" s="77" t="str">
        <f>IF($B248="","",INDEX(tblStock[StockActual],'91_KPIS'!$T241))</f>
        <v/>
      </c>
      <c r="H248" s="78" t="str">
        <f>IF($B248="","",INDEX(tblStock[StockMin],'91_KPIS'!$T241))</f>
        <v/>
      </c>
      <c r="I248" s="78" t="str">
        <f>IF($B248="","",INDEX(tblStock[StockMax],'91_KPIS'!$T241))</f>
        <v/>
      </c>
      <c r="J248" s="79" t="str">
        <f>IF($B248="","",INDEX(tblStock[Estado],'91_KPIS'!$T241))</f>
        <v/>
      </c>
      <c r="K248" s="80" t="str">
        <f t="shared" si="6"/>
        <v/>
      </c>
      <c r="L248" s="81" t="str">
        <f>IF($B248="","",INDEX(tblStock[CostoUnitario],'91_KPIS'!$T241))</f>
        <v/>
      </c>
      <c r="M248" s="82" t="str">
        <f t="shared" si="7"/>
        <v/>
      </c>
    </row>
    <row r="249" spans="2:13" ht="15.75" x14ac:dyDescent="0.25">
      <c r="B249" s="74" t="str">
        <f>IF('91_KPIS'!$T242="","",235)</f>
        <v/>
      </c>
      <c r="C249" s="75" t="str">
        <f>IF($B249="","",IF(INDEX(tblStock[Proveedor],'91_KPIS'!$T242)="","(Sin proveedor)",INDEX(tblStock[Proveedor],'91_KPIS'!$T242)))</f>
        <v/>
      </c>
      <c r="D249" s="76" t="str">
        <f>IF($B249="","",INDEX(tblStock[SKU],'91_KPIS'!$T242))</f>
        <v/>
      </c>
      <c r="E249" s="75" t="str">
        <f>IF($B249="","",INDEX(tblStock[Producto],'91_KPIS'!$T242))</f>
        <v/>
      </c>
      <c r="F249" s="76" t="str">
        <f>IF($B249="","",INDEX(tblStock[Unidad],'91_KPIS'!$T242))</f>
        <v/>
      </c>
      <c r="G249" s="77" t="str">
        <f>IF($B249="","",INDEX(tblStock[StockActual],'91_KPIS'!$T242))</f>
        <v/>
      </c>
      <c r="H249" s="78" t="str">
        <f>IF($B249="","",INDEX(tblStock[StockMin],'91_KPIS'!$T242))</f>
        <v/>
      </c>
      <c r="I249" s="78" t="str">
        <f>IF($B249="","",INDEX(tblStock[StockMax],'91_KPIS'!$T242))</f>
        <v/>
      </c>
      <c r="J249" s="79" t="str">
        <f>IF($B249="","",INDEX(tblStock[Estado],'91_KPIS'!$T242))</f>
        <v/>
      </c>
      <c r="K249" s="80" t="str">
        <f t="shared" si="6"/>
        <v/>
      </c>
      <c r="L249" s="81" t="str">
        <f>IF($B249="","",INDEX(tblStock[CostoUnitario],'91_KPIS'!$T242))</f>
        <v/>
      </c>
      <c r="M249" s="82" t="str">
        <f t="shared" si="7"/>
        <v/>
      </c>
    </row>
    <row r="250" spans="2:13" ht="15.75" x14ac:dyDescent="0.25">
      <c r="B250" s="74" t="str">
        <f>IF('91_KPIS'!$T243="","",236)</f>
        <v/>
      </c>
      <c r="C250" s="75" t="str">
        <f>IF($B250="","",IF(INDEX(tblStock[Proveedor],'91_KPIS'!$T243)="","(Sin proveedor)",INDEX(tblStock[Proveedor],'91_KPIS'!$T243)))</f>
        <v/>
      </c>
      <c r="D250" s="76" t="str">
        <f>IF($B250="","",INDEX(tblStock[SKU],'91_KPIS'!$T243))</f>
        <v/>
      </c>
      <c r="E250" s="75" t="str">
        <f>IF($B250="","",INDEX(tblStock[Producto],'91_KPIS'!$T243))</f>
        <v/>
      </c>
      <c r="F250" s="76" t="str">
        <f>IF($B250="","",INDEX(tblStock[Unidad],'91_KPIS'!$T243))</f>
        <v/>
      </c>
      <c r="G250" s="77" t="str">
        <f>IF($B250="","",INDEX(tblStock[StockActual],'91_KPIS'!$T243))</f>
        <v/>
      </c>
      <c r="H250" s="78" t="str">
        <f>IF($B250="","",INDEX(tblStock[StockMin],'91_KPIS'!$T243))</f>
        <v/>
      </c>
      <c r="I250" s="78" t="str">
        <f>IF($B250="","",INDEX(tblStock[StockMax],'91_KPIS'!$T243))</f>
        <v/>
      </c>
      <c r="J250" s="79" t="str">
        <f>IF($B250="","",INDEX(tblStock[Estado],'91_KPIS'!$T243))</f>
        <v/>
      </c>
      <c r="K250" s="80" t="str">
        <f t="shared" si="6"/>
        <v/>
      </c>
      <c r="L250" s="81" t="str">
        <f>IF($B250="","",INDEX(tblStock[CostoUnitario],'91_KPIS'!$T243))</f>
        <v/>
      </c>
      <c r="M250" s="82" t="str">
        <f t="shared" si="7"/>
        <v/>
      </c>
    </row>
    <row r="251" spans="2:13" ht="15.75" x14ac:dyDescent="0.25">
      <c r="B251" s="74" t="str">
        <f>IF('91_KPIS'!$T244="","",237)</f>
        <v/>
      </c>
      <c r="C251" s="75" t="str">
        <f>IF($B251="","",IF(INDEX(tblStock[Proveedor],'91_KPIS'!$T244)="","(Sin proveedor)",INDEX(tblStock[Proveedor],'91_KPIS'!$T244)))</f>
        <v/>
      </c>
      <c r="D251" s="76" t="str">
        <f>IF($B251="","",INDEX(tblStock[SKU],'91_KPIS'!$T244))</f>
        <v/>
      </c>
      <c r="E251" s="75" t="str">
        <f>IF($B251="","",INDEX(tblStock[Producto],'91_KPIS'!$T244))</f>
        <v/>
      </c>
      <c r="F251" s="76" t="str">
        <f>IF($B251="","",INDEX(tblStock[Unidad],'91_KPIS'!$T244))</f>
        <v/>
      </c>
      <c r="G251" s="77" t="str">
        <f>IF($B251="","",INDEX(tblStock[StockActual],'91_KPIS'!$T244))</f>
        <v/>
      </c>
      <c r="H251" s="78" t="str">
        <f>IF($B251="","",INDEX(tblStock[StockMin],'91_KPIS'!$T244))</f>
        <v/>
      </c>
      <c r="I251" s="78" t="str">
        <f>IF($B251="","",INDEX(tblStock[StockMax],'91_KPIS'!$T244))</f>
        <v/>
      </c>
      <c r="J251" s="79" t="str">
        <f>IF($B251="","",INDEX(tblStock[Estado],'91_KPIS'!$T244))</f>
        <v/>
      </c>
      <c r="K251" s="80" t="str">
        <f t="shared" si="6"/>
        <v/>
      </c>
      <c r="L251" s="81" t="str">
        <f>IF($B251="","",INDEX(tblStock[CostoUnitario],'91_KPIS'!$T244))</f>
        <v/>
      </c>
      <c r="M251" s="82" t="str">
        <f t="shared" si="7"/>
        <v/>
      </c>
    </row>
    <row r="252" spans="2:13" ht="15.75" x14ac:dyDescent="0.25">
      <c r="B252" s="74" t="str">
        <f>IF('91_KPIS'!$T245="","",238)</f>
        <v/>
      </c>
      <c r="C252" s="75" t="str">
        <f>IF($B252="","",IF(INDEX(tblStock[Proveedor],'91_KPIS'!$T245)="","(Sin proveedor)",INDEX(tblStock[Proveedor],'91_KPIS'!$T245)))</f>
        <v/>
      </c>
      <c r="D252" s="76" t="str">
        <f>IF($B252="","",INDEX(tblStock[SKU],'91_KPIS'!$T245))</f>
        <v/>
      </c>
      <c r="E252" s="75" t="str">
        <f>IF($B252="","",INDEX(tblStock[Producto],'91_KPIS'!$T245))</f>
        <v/>
      </c>
      <c r="F252" s="76" t="str">
        <f>IF($B252="","",INDEX(tblStock[Unidad],'91_KPIS'!$T245))</f>
        <v/>
      </c>
      <c r="G252" s="77" t="str">
        <f>IF($B252="","",INDEX(tblStock[StockActual],'91_KPIS'!$T245))</f>
        <v/>
      </c>
      <c r="H252" s="78" t="str">
        <f>IF($B252="","",INDEX(tblStock[StockMin],'91_KPIS'!$T245))</f>
        <v/>
      </c>
      <c r="I252" s="78" t="str">
        <f>IF($B252="","",INDEX(tblStock[StockMax],'91_KPIS'!$T245))</f>
        <v/>
      </c>
      <c r="J252" s="79" t="str">
        <f>IF($B252="","",INDEX(tblStock[Estado],'91_KPIS'!$T245))</f>
        <v/>
      </c>
      <c r="K252" s="80" t="str">
        <f t="shared" si="6"/>
        <v/>
      </c>
      <c r="L252" s="81" t="str">
        <f>IF($B252="","",INDEX(tblStock[CostoUnitario],'91_KPIS'!$T245))</f>
        <v/>
      </c>
      <c r="M252" s="82" t="str">
        <f t="shared" si="7"/>
        <v/>
      </c>
    </row>
    <row r="253" spans="2:13" ht="15.75" x14ac:dyDescent="0.25">
      <c r="B253" s="74" t="str">
        <f>IF('91_KPIS'!$T246="","",239)</f>
        <v/>
      </c>
      <c r="C253" s="75" t="str">
        <f>IF($B253="","",IF(INDEX(tblStock[Proveedor],'91_KPIS'!$T246)="","(Sin proveedor)",INDEX(tblStock[Proveedor],'91_KPIS'!$T246)))</f>
        <v/>
      </c>
      <c r="D253" s="76" t="str">
        <f>IF($B253="","",INDEX(tblStock[SKU],'91_KPIS'!$T246))</f>
        <v/>
      </c>
      <c r="E253" s="75" t="str">
        <f>IF($B253="","",INDEX(tblStock[Producto],'91_KPIS'!$T246))</f>
        <v/>
      </c>
      <c r="F253" s="76" t="str">
        <f>IF($B253="","",INDEX(tblStock[Unidad],'91_KPIS'!$T246))</f>
        <v/>
      </c>
      <c r="G253" s="77" t="str">
        <f>IF($B253="","",INDEX(tblStock[StockActual],'91_KPIS'!$T246))</f>
        <v/>
      </c>
      <c r="H253" s="78" t="str">
        <f>IF($B253="","",INDEX(tblStock[StockMin],'91_KPIS'!$T246))</f>
        <v/>
      </c>
      <c r="I253" s="78" t="str">
        <f>IF($B253="","",INDEX(tblStock[StockMax],'91_KPIS'!$T246))</f>
        <v/>
      </c>
      <c r="J253" s="79" t="str">
        <f>IF($B253="","",INDEX(tblStock[Estado],'91_KPIS'!$T246))</f>
        <v/>
      </c>
      <c r="K253" s="80" t="str">
        <f t="shared" si="6"/>
        <v/>
      </c>
      <c r="L253" s="81" t="str">
        <f>IF($B253="","",INDEX(tblStock[CostoUnitario],'91_KPIS'!$T246))</f>
        <v/>
      </c>
      <c r="M253" s="82" t="str">
        <f t="shared" si="7"/>
        <v/>
      </c>
    </row>
    <row r="254" spans="2:13" ht="15.75" x14ac:dyDescent="0.25">
      <c r="B254" s="74" t="str">
        <f>IF('91_KPIS'!$T247="","",240)</f>
        <v/>
      </c>
      <c r="C254" s="75" t="str">
        <f>IF($B254="","",IF(INDEX(tblStock[Proveedor],'91_KPIS'!$T247)="","(Sin proveedor)",INDEX(tblStock[Proveedor],'91_KPIS'!$T247)))</f>
        <v/>
      </c>
      <c r="D254" s="76" t="str">
        <f>IF($B254="","",INDEX(tblStock[SKU],'91_KPIS'!$T247))</f>
        <v/>
      </c>
      <c r="E254" s="75" t="str">
        <f>IF($B254="","",INDEX(tblStock[Producto],'91_KPIS'!$T247))</f>
        <v/>
      </c>
      <c r="F254" s="76" t="str">
        <f>IF($B254="","",INDEX(tblStock[Unidad],'91_KPIS'!$T247))</f>
        <v/>
      </c>
      <c r="G254" s="77" t="str">
        <f>IF($B254="","",INDEX(tblStock[StockActual],'91_KPIS'!$T247))</f>
        <v/>
      </c>
      <c r="H254" s="78" t="str">
        <f>IF($B254="","",INDEX(tblStock[StockMin],'91_KPIS'!$T247))</f>
        <v/>
      </c>
      <c r="I254" s="78" t="str">
        <f>IF($B254="","",INDEX(tblStock[StockMax],'91_KPIS'!$T247))</f>
        <v/>
      </c>
      <c r="J254" s="79" t="str">
        <f>IF($B254="","",INDEX(tblStock[Estado],'91_KPIS'!$T247))</f>
        <v/>
      </c>
      <c r="K254" s="80" t="str">
        <f t="shared" si="6"/>
        <v/>
      </c>
      <c r="L254" s="81" t="str">
        <f>IF($B254="","",INDEX(tblStock[CostoUnitario],'91_KPIS'!$T247))</f>
        <v/>
      </c>
      <c r="M254" s="82" t="str">
        <f t="shared" si="7"/>
        <v/>
      </c>
    </row>
    <row r="255" spans="2:13" ht="15.75" x14ac:dyDescent="0.25">
      <c r="B255" s="74" t="str">
        <f>IF('91_KPIS'!$T248="","",241)</f>
        <v/>
      </c>
      <c r="C255" s="75" t="str">
        <f>IF($B255="","",IF(INDEX(tblStock[Proveedor],'91_KPIS'!$T248)="","(Sin proveedor)",INDEX(tblStock[Proveedor],'91_KPIS'!$T248)))</f>
        <v/>
      </c>
      <c r="D255" s="76" t="str">
        <f>IF($B255="","",INDEX(tblStock[SKU],'91_KPIS'!$T248))</f>
        <v/>
      </c>
      <c r="E255" s="75" t="str">
        <f>IF($B255="","",INDEX(tblStock[Producto],'91_KPIS'!$T248))</f>
        <v/>
      </c>
      <c r="F255" s="76" t="str">
        <f>IF($B255="","",INDEX(tblStock[Unidad],'91_KPIS'!$T248))</f>
        <v/>
      </c>
      <c r="G255" s="77" t="str">
        <f>IF($B255="","",INDEX(tblStock[StockActual],'91_KPIS'!$T248))</f>
        <v/>
      </c>
      <c r="H255" s="78" t="str">
        <f>IF($B255="","",INDEX(tblStock[StockMin],'91_KPIS'!$T248))</f>
        <v/>
      </c>
      <c r="I255" s="78" t="str">
        <f>IF($B255="","",INDEX(tblStock[StockMax],'91_KPIS'!$T248))</f>
        <v/>
      </c>
      <c r="J255" s="79" t="str">
        <f>IF($B255="","",INDEX(tblStock[Estado],'91_KPIS'!$T248))</f>
        <v/>
      </c>
      <c r="K255" s="80" t="str">
        <f t="shared" si="6"/>
        <v/>
      </c>
      <c r="L255" s="81" t="str">
        <f>IF($B255="","",INDEX(tblStock[CostoUnitario],'91_KPIS'!$T248))</f>
        <v/>
      </c>
      <c r="M255" s="82" t="str">
        <f t="shared" si="7"/>
        <v/>
      </c>
    </row>
    <row r="256" spans="2:13" ht="15.75" x14ac:dyDescent="0.25">
      <c r="B256" s="74" t="str">
        <f>IF('91_KPIS'!$T249="","",242)</f>
        <v/>
      </c>
      <c r="C256" s="75" t="str">
        <f>IF($B256="","",IF(INDEX(tblStock[Proveedor],'91_KPIS'!$T249)="","(Sin proveedor)",INDEX(tblStock[Proveedor],'91_KPIS'!$T249)))</f>
        <v/>
      </c>
      <c r="D256" s="76" t="str">
        <f>IF($B256="","",INDEX(tblStock[SKU],'91_KPIS'!$T249))</f>
        <v/>
      </c>
      <c r="E256" s="75" t="str">
        <f>IF($B256="","",INDEX(tblStock[Producto],'91_KPIS'!$T249))</f>
        <v/>
      </c>
      <c r="F256" s="76" t="str">
        <f>IF($B256="","",INDEX(tblStock[Unidad],'91_KPIS'!$T249))</f>
        <v/>
      </c>
      <c r="G256" s="77" t="str">
        <f>IF($B256="","",INDEX(tblStock[StockActual],'91_KPIS'!$T249))</f>
        <v/>
      </c>
      <c r="H256" s="78" t="str">
        <f>IF($B256="","",INDEX(tblStock[StockMin],'91_KPIS'!$T249))</f>
        <v/>
      </c>
      <c r="I256" s="78" t="str">
        <f>IF($B256="","",INDEX(tblStock[StockMax],'91_KPIS'!$T249))</f>
        <v/>
      </c>
      <c r="J256" s="79" t="str">
        <f>IF($B256="","",INDEX(tblStock[Estado],'91_KPIS'!$T249))</f>
        <v/>
      </c>
      <c r="K256" s="80" t="str">
        <f t="shared" si="6"/>
        <v/>
      </c>
      <c r="L256" s="81" t="str">
        <f>IF($B256="","",INDEX(tblStock[CostoUnitario],'91_KPIS'!$T249))</f>
        <v/>
      </c>
      <c r="M256" s="82" t="str">
        <f t="shared" si="7"/>
        <v/>
      </c>
    </row>
    <row r="257" spans="2:13" ht="15.75" x14ac:dyDescent="0.25">
      <c r="B257" s="74" t="str">
        <f>IF('91_KPIS'!$T250="","",243)</f>
        <v/>
      </c>
      <c r="C257" s="75" t="str">
        <f>IF($B257="","",IF(INDEX(tblStock[Proveedor],'91_KPIS'!$T250)="","(Sin proveedor)",INDEX(tblStock[Proveedor],'91_KPIS'!$T250)))</f>
        <v/>
      </c>
      <c r="D257" s="76" t="str">
        <f>IF($B257="","",INDEX(tblStock[SKU],'91_KPIS'!$T250))</f>
        <v/>
      </c>
      <c r="E257" s="75" t="str">
        <f>IF($B257="","",INDEX(tblStock[Producto],'91_KPIS'!$T250))</f>
        <v/>
      </c>
      <c r="F257" s="76" t="str">
        <f>IF($B257="","",INDEX(tblStock[Unidad],'91_KPIS'!$T250))</f>
        <v/>
      </c>
      <c r="G257" s="77" t="str">
        <f>IF($B257="","",INDEX(tblStock[StockActual],'91_KPIS'!$T250))</f>
        <v/>
      </c>
      <c r="H257" s="78" t="str">
        <f>IF($B257="","",INDEX(tblStock[StockMin],'91_KPIS'!$T250))</f>
        <v/>
      </c>
      <c r="I257" s="78" t="str">
        <f>IF($B257="","",INDEX(tblStock[StockMax],'91_KPIS'!$T250))</f>
        <v/>
      </c>
      <c r="J257" s="79" t="str">
        <f>IF($B257="","",INDEX(tblStock[Estado],'91_KPIS'!$T250))</f>
        <v/>
      </c>
      <c r="K257" s="80" t="str">
        <f t="shared" si="6"/>
        <v/>
      </c>
      <c r="L257" s="81" t="str">
        <f>IF($B257="","",INDEX(tblStock[CostoUnitario],'91_KPIS'!$T250))</f>
        <v/>
      </c>
      <c r="M257" s="82" t="str">
        <f t="shared" si="7"/>
        <v/>
      </c>
    </row>
    <row r="258" spans="2:13" ht="15.75" x14ac:dyDescent="0.25">
      <c r="B258" s="74" t="str">
        <f>IF('91_KPIS'!$T251="","",244)</f>
        <v/>
      </c>
      <c r="C258" s="75" t="str">
        <f>IF($B258="","",IF(INDEX(tblStock[Proveedor],'91_KPIS'!$T251)="","(Sin proveedor)",INDEX(tblStock[Proveedor],'91_KPIS'!$T251)))</f>
        <v/>
      </c>
      <c r="D258" s="76" t="str">
        <f>IF($B258="","",INDEX(tblStock[SKU],'91_KPIS'!$T251))</f>
        <v/>
      </c>
      <c r="E258" s="75" t="str">
        <f>IF($B258="","",INDEX(tblStock[Producto],'91_KPIS'!$T251))</f>
        <v/>
      </c>
      <c r="F258" s="76" t="str">
        <f>IF($B258="","",INDEX(tblStock[Unidad],'91_KPIS'!$T251))</f>
        <v/>
      </c>
      <c r="G258" s="77" t="str">
        <f>IF($B258="","",INDEX(tblStock[StockActual],'91_KPIS'!$T251))</f>
        <v/>
      </c>
      <c r="H258" s="78" t="str">
        <f>IF($B258="","",INDEX(tblStock[StockMin],'91_KPIS'!$T251))</f>
        <v/>
      </c>
      <c r="I258" s="78" t="str">
        <f>IF($B258="","",INDEX(tblStock[StockMax],'91_KPIS'!$T251))</f>
        <v/>
      </c>
      <c r="J258" s="79" t="str">
        <f>IF($B258="","",INDEX(tblStock[Estado],'91_KPIS'!$T251))</f>
        <v/>
      </c>
      <c r="K258" s="80" t="str">
        <f t="shared" si="6"/>
        <v/>
      </c>
      <c r="L258" s="81" t="str">
        <f>IF($B258="","",INDEX(tblStock[CostoUnitario],'91_KPIS'!$T251))</f>
        <v/>
      </c>
      <c r="M258" s="82" t="str">
        <f t="shared" si="7"/>
        <v/>
      </c>
    </row>
    <row r="259" spans="2:13" ht="15.75" x14ac:dyDescent="0.25">
      <c r="B259" s="74" t="str">
        <f>IF('91_KPIS'!$T252="","",245)</f>
        <v/>
      </c>
      <c r="C259" s="75" t="str">
        <f>IF($B259="","",IF(INDEX(tblStock[Proveedor],'91_KPIS'!$T252)="","(Sin proveedor)",INDEX(tblStock[Proveedor],'91_KPIS'!$T252)))</f>
        <v/>
      </c>
      <c r="D259" s="76" t="str">
        <f>IF($B259="","",INDEX(tblStock[SKU],'91_KPIS'!$T252))</f>
        <v/>
      </c>
      <c r="E259" s="75" t="str">
        <f>IF($B259="","",INDEX(tblStock[Producto],'91_KPIS'!$T252))</f>
        <v/>
      </c>
      <c r="F259" s="76" t="str">
        <f>IF($B259="","",INDEX(tblStock[Unidad],'91_KPIS'!$T252))</f>
        <v/>
      </c>
      <c r="G259" s="77" t="str">
        <f>IF($B259="","",INDEX(tblStock[StockActual],'91_KPIS'!$T252))</f>
        <v/>
      </c>
      <c r="H259" s="78" t="str">
        <f>IF($B259="","",INDEX(tblStock[StockMin],'91_KPIS'!$T252))</f>
        <v/>
      </c>
      <c r="I259" s="78" t="str">
        <f>IF($B259="","",INDEX(tblStock[StockMax],'91_KPIS'!$T252))</f>
        <v/>
      </c>
      <c r="J259" s="79" t="str">
        <f>IF($B259="","",INDEX(tblStock[Estado],'91_KPIS'!$T252))</f>
        <v/>
      </c>
      <c r="K259" s="80" t="str">
        <f t="shared" si="6"/>
        <v/>
      </c>
      <c r="L259" s="81" t="str">
        <f>IF($B259="","",INDEX(tblStock[CostoUnitario],'91_KPIS'!$T252))</f>
        <v/>
      </c>
      <c r="M259" s="82" t="str">
        <f t="shared" si="7"/>
        <v/>
      </c>
    </row>
    <row r="260" spans="2:13" ht="15.75" x14ac:dyDescent="0.25">
      <c r="B260" s="74" t="str">
        <f>IF('91_KPIS'!$T253="","",246)</f>
        <v/>
      </c>
      <c r="C260" s="75" t="str">
        <f>IF($B260="","",IF(INDEX(tblStock[Proveedor],'91_KPIS'!$T253)="","(Sin proveedor)",INDEX(tblStock[Proveedor],'91_KPIS'!$T253)))</f>
        <v/>
      </c>
      <c r="D260" s="76" t="str">
        <f>IF($B260="","",INDEX(tblStock[SKU],'91_KPIS'!$T253))</f>
        <v/>
      </c>
      <c r="E260" s="75" t="str">
        <f>IF($B260="","",INDEX(tblStock[Producto],'91_KPIS'!$T253))</f>
        <v/>
      </c>
      <c r="F260" s="76" t="str">
        <f>IF($B260="","",INDEX(tblStock[Unidad],'91_KPIS'!$T253))</f>
        <v/>
      </c>
      <c r="G260" s="77" t="str">
        <f>IF($B260="","",INDEX(tblStock[StockActual],'91_KPIS'!$T253))</f>
        <v/>
      </c>
      <c r="H260" s="78" t="str">
        <f>IF($B260="","",INDEX(tblStock[StockMin],'91_KPIS'!$T253))</f>
        <v/>
      </c>
      <c r="I260" s="78" t="str">
        <f>IF($B260="","",INDEX(tblStock[StockMax],'91_KPIS'!$T253))</f>
        <v/>
      </c>
      <c r="J260" s="79" t="str">
        <f>IF($B260="","",INDEX(tblStock[Estado],'91_KPIS'!$T253))</f>
        <v/>
      </c>
      <c r="K260" s="80" t="str">
        <f t="shared" si="6"/>
        <v/>
      </c>
      <c r="L260" s="81" t="str">
        <f>IF($B260="","",INDEX(tblStock[CostoUnitario],'91_KPIS'!$T253))</f>
        <v/>
      </c>
      <c r="M260" s="82" t="str">
        <f t="shared" si="7"/>
        <v/>
      </c>
    </row>
    <row r="261" spans="2:13" ht="15.75" x14ac:dyDescent="0.25">
      <c r="B261" s="74" t="str">
        <f>IF('91_KPIS'!$T254="","",247)</f>
        <v/>
      </c>
      <c r="C261" s="75" t="str">
        <f>IF($B261="","",IF(INDEX(tblStock[Proveedor],'91_KPIS'!$T254)="","(Sin proveedor)",INDEX(tblStock[Proveedor],'91_KPIS'!$T254)))</f>
        <v/>
      </c>
      <c r="D261" s="76" t="str">
        <f>IF($B261="","",INDEX(tblStock[SKU],'91_KPIS'!$T254))</f>
        <v/>
      </c>
      <c r="E261" s="75" t="str">
        <f>IF($B261="","",INDEX(tblStock[Producto],'91_KPIS'!$T254))</f>
        <v/>
      </c>
      <c r="F261" s="76" t="str">
        <f>IF($B261="","",INDEX(tblStock[Unidad],'91_KPIS'!$T254))</f>
        <v/>
      </c>
      <c r="G261" s="77" t="str">
        <f>IF($B261="","",INDEX(tblStock[StockActual],'91_KPIS'!$T254))</f>
        <v/>
      </c>
      <c r="H261" s="78" t="str">
        <f>IF($B261="","",INDEX(tblStock[StockMin],'91_KPIS'!$T254))</f>
        <v/>
      </c>
      <c r="I261" s="78" t="str">
        <f>IF($B261="","",INDEX(tblStock[StockMax],'91_KPIS'!$T254))</f>
        <v/>
      </c>
      <c r="J261" s="79" t="str">
        <f>IF($B261="","",INDEX(tblStock[Estado],'91_KPIS'!$T254))</f>
        <v/>
      </c>
      <c r="K261" s="80" t="str">
        <f t="shared" si="6"/>
        <v/>
      </c>
      <c r="L261" s="81" t="str">
        <f>IF($B261="","",INDEX(tblStock[CostoUnitario],'91_KPIS'!$T254))</f>
        <v/>
      </c>
      <c r="M261" s="82" t="str">
        <f t="shared" si="7"/>
        <v/>
      </c>
    </row>
    <row r="262" spans="2:13" ht="15.75" x14ac:dyDescent="0.25">
      <c r="B262" s="74" t="str">
        <f>IF('91_KPIS'!$T255="","",248)</f>
        <v/>
      </c>
      <c r="C262" s="75" t="str">
        <f>IF($B262="","",IF(INDEX(tblStock[Proveedor],'91_KPIS'!$T255)="","(Sin proveedor)",INDEX(tblStock[Proveedor],'91_KPIS'!$T255)))</f>
        <v/>
      </c>
      <c r="D262" s="76" t="str">
        <f>IF($B262="","",INDEX(tblStock[SKU],'91_KPIS'!$T255))</f>
        <v/>
      </c>
      <c r="E262" s="75" t="str">
        <f>IF($B262="","",INDEX(tblStock[Producto],'91_KPIS'!$T255))</f>
        <v/>
      </c>
      <c r="F262" s="76" t="str">
        <f>IF($B262="","",INDEX(tblStock[Unidad],'91_KPIS'!$T255))</f>
        <v/>
      </c>
      <c r="G262" s="77" t="str">
        <f>IF($B262="","",INDEX(tblStock[StockActual],'91_KPIS'!$T255))</f>
        <v/>
      </c>
      <c r="H262" s="78" t="str">
        <f>IF($B262="","",INDEX(tblStock[StockMin],'91_KPIS'!$T255))</f>
        <v/>
      </c>
      <c r="I262" s="78" t="str">
        <f>IF($B262="","",INDEX(tblStock[StockMax],'91_KPIS'!$T255))</f>
        <v/>
      </c>
      <c r="J262" s="79" t="str">
        <f>IF($B262="","",INDEX(tblStock[Estado],'91_KPIS'!$T255))</f>
        <v/>
      </c>
      <c r="K262" s="80" t="str">
        <f t="shared" si="6"/>
        <v/>
      </c>
      <c r="L262" s="81" t="str">
        <f>IF($B262="","",INDEX(tblStock[CostoUnitario],'91_KPIS'!$T255))</f>
        <v/>
      </c>
      <c r="M262" s="82" t="str">
        <f t="shared" si="7"/>
        <v/>
      </c>
    </row>
    <row r="263" spans="2:13" ht="15.75" x14ac:dyDescent="0.25">
      <c r="B263" s="74" t="str">
        <f>IF('91_KPIS'!$T256="","",249)</f>
        <v/>
      </c>
      <c r="C263" s="75" t="str">
        <f>IF($B263="","",IF(INDEX(tblStock[Proveedor],'91_KPIS'!$T256)="","(Sin proveedor)",INDEX(tblStock[Proveedor],'91_KPIS'!$T256)))</f>
        <v/>
      </c>
      <c r="D263" s="76" t="str">
        <f>IF($B263="","",INDEX(tblStock[SKU],'91_KPIS'!$T256))</f>
        <v/>
      </c>
      <c r="E263" s="75" t="str">
        <f>IF($B263="","",INDEX(tblStock[Producto],'91_KPIS'!$T256))</f>
        <v/>
      </c>
      <c r="F263" s="76" t="str">
        <f>IF($B263="","",INDEX(tblStock[Unidad],'91_KPIS'!$T256))</f>
        <v/>
      </c>
      <c r="G263" s="77" t="str">
        <f>IF($B263="","",INDEX(tblStock[StockActual],'91_KPIS'!$T256))</f>
        <v/>
      </c>
      <c r="H263" s="78" t="str">
        <f>IF($B263="","",INDEX(tblStock[StockMin],'91_KPIS'!$T256))</f>
        <v/>
      </c>
      <c r="I263" s="78" t="str">
        <f>IF($B263="","",INDEX(tblStock[StockMax],'91_KPIS'!$T256))</f>
        <v/>
      </c>
      <c r="J263" s="79" t="str">
        <f>IF($B263="","",INDEX(tblStock[Estado],'91_KPIS'!$T256))</f>
        <v/>
      </c>
      <c r="K263" s="80" t="str">
        <f t="shared" si="6"/>
        <v/>
      </c>
      <c r="L263" s="81" t="str">
        <f>IF($B263="","",INDEX(tblStock[CostoUnitario],'91_KPIS'!$T256))</f>
        <v/>
      </c>
      <c r="M263" s="82" t="str">
        <f t="shared" si="7"/>
        <v/>
      </c>
    </row>
    <row r="264" spans="2:13" ht="15.75" x14ac:dyDescent="0.25">
      <c r="B264" s="74" t="str">
        <f>IF('91_KPIS'!$T257="","",250)</f>
        <v/>
      </c>
      <c r="C264" s="75" t="str">
        <f>IF($B264="","",IF(INDEX(tblStock[Proveedor],'91_KPIS'!$T257)="","(Sin proveedor)",INDEX(tblStock[Proveedor],'91_KPIS'!$T257)))</f>
        <v/>
      </c>
      <c r="D264" s="76" t="str">
        <f>IF($B264="","",INDEX(tblStock[SKU],'91_KPIS'!$T257))</f>
        <v/>
      </c>
      <c r="E264" s="75" t="str">
        <f>IF($B264="","",INDEX(tblStock[Producto],'91_KPIS'!$T257))</f>
        <v/>
      </c>
      <c r="F264" s="76" t="str">
        <f>IF($B264="","",INDEX(tblStock[Unidad],'91_KPIS'!$T257))</f>
        <v/>
      </c>
      <c r="G264" s="77" t="str">
        <f>IF($B264="","",INDEX(tblStock[StockActual],'91_KPIS'!$T257))</f>
        <v/>
      </c>
      <c r="H264" s="78" t="str">
        <f>IF($B264="","",INDEX(tblStock[StockMin],'91_KPIS'!$T257))</f>
        <v/>
      </c>
      <c r="I264" s="78" t="str">
        <f>IF($B264="","",INDEX(tblStock[StockMax],'91_KPIS'!$T257))</f>
        <v/>
      </c>
      <c r="J264" s="79" t="str">
        <f>IF($B264="","",INDEX(tblStock[Estado],'91_KPIS'!$T257))</f>
        <v/>
      </c>
      <c r="K264" s="80" t="str">
        <f t="shared" si="6"/>
        <v/>
      </c>
      <c r="L264" s="81" t="str">
        <f>IF($B264="","",INDEX(tblStock[CostoUnitario],'91_KPIS'!$T257))</f>
        <v/>
      </c>
      <c r="M264" s="82" t="str">
        <f t="shared" si="7"/>
        <v/>
      </c>
    </row>
    <row r="265" spans="2:13" ht="15.75" x14ac:dyDescent="0.25">
      <c r="B265" s="74" t="str">
        <f>IF('91_KPIS'!$T258="","",251)</f>
        <v/>
      </c>
      <c r="C265" s="75" t="str">
        <f>IF($B265="","",IF(INDEX(tblStock[Proveedor],'91_KPIS'!$T258)="","(Sin proveedor)",INDEX(tblStock[Proveedor],'91_KPIS'!$T258)))</f>
        <v/>
      </c>
      <c r="D265" s="76" t="str">
        <f>IF($B265="","",INDEX(tblStock[SKU],'91_KPIS'!$T258))</f>
        <v/>
      </c>
      <c r="E265" s="75" t="str">
        <f>IF($B265="","",INDEX(tblStock[Producto],'91_KPIS'!$T258))</f>
        <v/>
      </c>
      <c r="F265" s="76" t="str">
        <f>IF($B265="","",INDEX(tblStock[Unidad],'91_KPIS'!$T258))</f>
        <v/>
      </c>
      <c r="G265" s="77" t="str">
        <f>IF($B265="","",INDEX(tblStock[StockActual],'91_KPIS'!$T258))</f>
        <v/>
      </c>
      <c r="H265" s="78" t="str">
        <f>IF($B265="","",INDEX(tblStock[StockMin],'91_KPIS'!$T258))</f>
        <v/>
      </c>
      <c r="I265" s="78" t="str">
        <f>IF($B265="","",INDEX(tblStock[StockMax],'91_KPIS'!$T258))</f>
        <v/>
      </c>
      <c r="J265" s="79" t="str">
        <f>IF($B265="","",INDEX(tblStock[Estado],'91_KPIS'!$T258))</f>
        <v/>
      </c>
      <c r="K265" s="80" t="str">
        <f t="shared" si="6"/>
        <v/>
      </c>
      <c r="L265" s="81" t="str">
        <f>IF($B265="","",INDEX(tblStock[CostoUnitario],'91_KPIS'!$T258))</f>
        <v/>
      </c>
      <c r="M265" s="82" t="str">
        <f t="shared" si="7"/>
        <v/>
      </c>
    </row>
    <row r="266" spans="2:13" ht="15.75" x14ac:dyDescent="0.25">
      <c r="B266" s="74" t="str">
        <f>IF('91_KPIS'!$T259="","",252)</f>
        <v/>
      </c>
      <c r="C266" s="75" t="str">
        <f>IF($B266="","",IF(INDEX(tblStock[Proveedor],'91_KPIS'!$T259)="","(Sin proveedor)",INDEX(tblStock[Proveedor],'91_KPIS'!$T259)))</f>
        <v/>
      </c>
      <c r="D266" s="76" t="str">
        <f>IF($B266="","",INDEX(tblStock[SKU],'91_KPIS'!$T259))</f>
        <v/>
      </c>
      <c r="E266" s="75" t="str">
        <f>IF($B266="","",INDEX(tblStock[Producto],'91_KPIS'!$T259))</f>
        <v/>
      </c>
      <c r="F266" s="76" t="str">
        <f>IF($B266="","",INDEX(tblStock[Unidad],'91_KPIS'!$T259))</f>
        <v/>
      </c>
      <c r="G266" s="77" t="str">
        <f>IF($B266="","",INDEX(tblStock[StockActual],'91_KPIS'!$T259))</f>
        <v/>
      </c>
      <c r="H266" s="78" t="str">
        <f>IF($B266="","",INDEX(tblStock[StockMin],'91_KPIS'!$T259))</f>
        <v/>
      </c>
      <c r="I266" s="78" t="str">
        <f>IF($B266="","",INDEX(tblStock[StockMax],'91_KPIS'!$T259))</f>
        <v/>
      </c>
      <c r="J266" s="79" t="str">
        <f>IF($B266="","",INDEX(tblStock[Estado],'91_KPIS'!$T259))</f>
        <v/>
      </c>
      <c r="K266" s="80" t="str">
        <f t="shared" si="6"/>
        <v/>
      </c>
      <c r="L266" s="81" t="str">
        <f>IF($B266="","",INDEX(tblStock[CostoUnitario],'91_KPIS'!$T259))</f>
        <v/>
      </c>
      <c r="M266" s="82" t="str">
        <f t="shared" si="7"/>
        <v/>
      </c>
    </row>
    <row r="267" spans="2:13" ht="15.75" x14ac:dyDescent="0.25">
      <c r="B267" s="74" t="str">
        <f>IF('91_KPIS'!$T260="","",253)</f>
        <v/>
      </c>
      <c r="C267" s="75" t="str">
        <f>IF($B267="","",IF(INDEX(tblStock[Proveedor],'91_KPIS'!$T260)="","(Sin proveedor)",INDEX(tblStock[Proveedor],'91_KPIS'!$T260)))</f>
        <v/>
      </c>
      <c r="D267" s="76" t="str">
        <f>IF($B267="","",INDEX(tblStock[SKU],'91_KPIS'!$T260))</f>
        <v/>
      </c>
      <c r="E267" s="75" t="str">
        <f>IF($B267="","",INDEX(tblStock[Producto],'91_KPIS'!$T260))</f>
        <v/>
      </c>
      <c r="F267" s="76" t="str">
        <f>IF($B267="","",INDEX(tblStock[Unidad],'91_KPIS'!$T260))</f>
        <v/>
      </c>
      <c r="G267" s="77" t="str">
        <f>IF($B267="","",INDEX(tblStock[StockActual],'91_KPIS'!$T260))</f>
        <v/>
      </c>
      <c r="H267" s="78" t="str">
        <f>IF($B267="","",INDEX(tblStock[StockMin],'91_KPIS'!$T260))</f>
        <v/>
      </c>
      <c r="I267" s="78" t="str">
        <f>IF($B267="","",INDEX(tblStock[StockMax],'91_KPIS'!$T260))</f>
        <v/>
      </c>
      <c r="J267" s="79" t="str">
        <f>IF($B267="","",INDEX(tblStock[Estado],'91_KPIS'!$T260))</f>
        <v/>
      </c>
      <c r="K267" s="80" t="str">
        <f t="shared" si="6"/>
        <v/>
      </c>
      <c r="L267" s="81" t="str">
        <f>IF($B267="","",INDEX(tblStock[CostoUnitario],'91_KPIS'!$T260))</f>
        <v/>
      </c>
      <c r="M267" s="82" t="str">
        <f t="shared" si="7"/>
        <v/>
      </c>
    </row>
    <row r="268" spans="2:13" ht="15.75" x14ac:dyDescent="0.25">
      <c r="B268" s="74" t="str">
        <f>IF('91_KPIS'!$T261="","",254)</f>
        <v/>
      </c>
      <c r="C268" s="75" t="str">
        <f>IF($B268="","",IF(INDEX(tblStock[Proveedor],'91_KPIS'!$T261)="","(Sin proveedor)",INDEX(tblStock[Proveedor],'91_KPIS'!$T261)))</f>
        <v/>
      </c>
      <c r="D268" s="76" t="str">
        <f>IF($B268="","",INDEX(tblStock[SKU],'91_KPIS'!$T261))</f>
        <v/>
      </c>
      <c r="E268" s="75" t="str">
        <f>IF($B268="","",INDEX(tblStock[Producto],'91_KPIS'!$T261))</f>
        <v/>
      </c>
      <c r="F268" s="76" t="str">
        <f>IF($B268="","",INDEX(tblStock[Unidad],'91_KPIS'!$T261))</f>
        <v/>
      </c>
      <c r="G268" s="77" t="str">
        <f>IF($B268="","",INDEX(tblStock[StockActual],'91_KPIS'!$T261))</f>
        <v/>
      </c>
      <c r="H268" s="78" t="str">
        <f>IF($B268="","",INDEX(tblStock[StockMin],'91_KPIS'!$T261))</f>
        <v/>
      </c>
      <c r="I268" s="78" t="str">
        <f>IF($B268="","",INDEX(tblStock[StockMax],'91_KPIS'!$T261))</f>
        <v/>
      </c>
      <c r="J268" s="79" t="str">
        <f>IF($B268="","",INDEX(tblStock[Estado],'91_KPIS'!$T261))</f>
        <v/>
      </c>
      <c r="K268" s="80" t="str">
        <f t="shared" si="6"/>
        <v/>
      </c>
      <c r="L268" s="81" t="str">
        <f>IF($B268="","",INDEX(tblStock[CostoUnitario],'91_KPIS'!$T261))</f>
        <v/>
      </c>
      <c r="M268" s="82" t="str">
        <f t="shared" si="7"/>
        <v/>
      </c>
    </row>
    <row r="269" spans="2:13" ht="15.75" x14ac:dyDescent="0.25">
      <c r="B269" s="74" t="str">
        <f>IF('91_KPIS'!$T262="","",255)</f>
        <v/>
      </c>
      <c r="C269" s="75" t="str">
        <f>IF($B269="","",IF(INDEX(tblStock[Proveedor],'91_KPIS'!$T262)="","(Sin proveedor)",INDEX(tblStock[Proveedor],'91_KPIS'!$T262)))</f>
        <v/>
      </c>
      <c r="D269" s="76" t="str">
        <f>IF($B269="","",INDEX(tblStock[SKU],'91_KPIS'!$T262))</f>
        <v/>
      </c>
      <c r="E269" s="75" t="str">
        <f>IF($B269="","",INDEX(tblStock[Producto],'91_KPIS'!$T262))</f>
        <v/>
      </c>
      <c r="F269" s="76" t="str">
        <f>IF($B269="","",INDEX(tblStock[Unidad],'91_KPIS'!$T262))</f>
        <v/>
      </c>
      <c r="G269" s="77" t="str">
        <f>IF($B269="","",INDEX(tblStock[StockActual],'91_KPIS'!$T262))</f>
        <v/>
      </c>
      <c r="H269" s="78" t="str">
        <f>IF($B269="","",INDEX(tblStock[StockMin],'91_KPIS'!$T262))</f>
        <v/>
      </c>
      <c r="I269" s="78" t="str">
        <f>IF($B269="","",INDEX(tblStock[StockMax],'91_KPIS'!$T262))</f>
        <v/>
      </c>
      <c r="J269" s="79" t="str">
        <f>IF($B269="","",INDEX(tblStock[Estado],'91_KPIS'!$T262))</f>
        <v/>
      </c>
      <c r="K269" s="80" t="str">
        <f t="shared" si="6"/>
        <v/>
      </c>
      <c r="L269" s="81" t="str">
        <f>IF($B269="","",INDEX(tblStock[CostoUnitario],'91_KPIS'!$T262))</f>
        <v/>
      </c>
      <c r="M269" s="82" t="str">
        <f t="shared" si="7"/>
        <v/>
      </c>
    </row>
    <row r="270" spans="2:13" ht="15.75" x14ac:dyDescent="0.25">
      <c r="B270" s="74" t="str">
        <f>IF('91_KPIS'!$T263="","",256)</f>
        <v/>
      </c>
      <c r="C270" s="75" t="str">
        <f>IF($B270="","",IF(INDEX(tblStock[Proveedor],'91_KPIS'!$T263)="","(Sin proveedor)",INDEX(tblStock[Proveedor],'91_KPIS'!$T263)))</f>
        <v/>
      </c>
      <c r="D270" s="76" t="str">
        <f>IF($B270="","",INDEX(tblStock[SKU],'91_KPIS'!$T263))</f>
        <v/>
      </c>
      <c r="E270" s="75" t="str">
        <f>IF($B270="","",INDEX(tblStock[Producto],'91_KPIS'!$T263))</f>
        <v/>
      </c>
      <c r="F270" s="76" t="str">
        <f>IF($B270="","",INDEX(tblStock[Unidad],'91_KPIS'!$T263))</f>
        <v/>
      </c>
      <c r="G270" s="77" t="str">
        <f>IF($B270="","",INDEX(tblStock[StockActual],'91_KPIS'!$T263))</f>
        <v/>
      </c>
      <c r="H270" s="78" t="str">
        <f>IF($B270="","",INDEX(tblStock[StockMin],'91_KPIS'!$T263))</f>
        <v/>
      </c>
      <c r="I270" s="78" t="str">
        <f>IF($B270="","",INDEX(tblStock[StockMax],'91_KPIS'!$T263))</f>
        <v/>
      </c>
      <c r="J270" s="79" t="str">
        <f>IF($B270="","",INDEX(tblStock[Estado],'91_KPIS'!$T263))</f>
        <v/>
      </c>
      <c r="K270" s="80" t="str">
        <f t="shared" si="6"/>
        <v/>
      </c>
      <c r="L270" s="81" t="str">
        <f>IF($B270="","",INDEX(tblStock[CostoUnitario],'91_KPIS'!$T263))</f>
        <v/>
      </c>
      <c r="M270" s="82" t="str">
        <f t="shared" si="7"/>
        <v/>
      </c>
    </row>
    <row r="271" spans="2:13" ht="15.75" x14ac:dyDescent="0.25">
      <c r="B271" s="74" t="str">
        <f>IF('91_KPIS'!$T264="","",257)</f>
        <v/>
      </c>
      <c r="C271" s="75" t="str">
        <f>IF($B271="","",IF(INDEX(tblStock[Proveedor],'91_KPIS'!$T264)="","(Sin proveedor)",INDEX(tblStock[Proveedor],'91_KPIS'!$T264)))</f>
        <v/>
      </c>
      <c r="D271" s="76" t="str">
        <f>IF($B271="","",INDEX(tblStock[SKU],'91_KPIS'!$T264))</f>
        <v/>
      </c>
      <c r="E271" s="75" t="str">
        <f>IF($B271="","",INDEX(tblStock[Producto],'91_KPIS'!$T264))</f>
        <v/>
      </c>
      <c r="F271" s="76" t="str">
        <f>IF($B271="","",INDEX(tblStock[Unidad],'91_KPIS'!$T264))</f>
        <v/>
      </c>
      <c r="G271" s="77" t="str">
        <f>IF($B271="","",INDEX(tblStock[StockActual],'91_KPIS'!$T264))</f>
        <v/>
      </c>
      <c r="H271" s="78" t="str">
        <f>IF($B271="","",INDEX(tblStock[StockMin],'91_KPIS'!$T264))</f>
        <v/>
      </c>
      <c r="I271" s="78" t="str">
        <f>IF($B271="","",INDEX(tblStock[StockMax],'91_KPIS'!$T264))</f>
        <v/>
      </c>
      <c r="J271" s="79" t="str">
        <f>IF($B271="","",INDEX(tblStock[Estado],'91_KPIS'!$T264))</f>
        <v/>
      </c>
      <c r="K271" s="80" t="str">
        <f t="shared" ref="K271:K334" si="8">IF($B271="","",MAX(0,IF($I271&gt;0,$I271,2*$H271)-MAX(0,$G271)))</f>
        <v/>
      </c>
      <c r="L271" s="81" t="str">
        <f>IF($B271="","",INDEX(tblStock[CostoUnitario],'91_KPIS'!$T264))</f>
        <v/>
      </c>
      <c r="M271" s="82" t="str">
        <f t="shared" ref="M271:M334" si="9">IF($B271="","",$K271*$L271)</f>
        <v/>
      </c>
    </row>
    <row r="272" spans="2:13" ht="15.75" x14ac:dyDescent="0.25">
      <c r="B272" s="74" t="str">
        <f>IF('91_KPIS'!$T265="","",258)</f>
        <v/>
      </c>
      <c r="C272" s="75" t="str">
        <f>IF($B272="","",IF(INDEX(tblStock[Proveedor],'91_KPIS'!$T265)="","(Sin proveedor)",INDEX(tblStock[Proveedor],'91_KPIS'!$T265)))</f>
        <v/>
      </c>
      <c r="D272" s="76" t="str">
        <f>IF($B272="","",INDEX(tblStock[SKU],'91_KPIS'!$T265))</f>
        <v/>
      </c>
      <c r="E272" s="75" t="str">
        <f>IF($B272="","",INDEX(tblStock[Producto],'91_KPIS'!$T265))</f>
        <v/>
      </c>
      <c r="F272" s="76" t="str">
        <f>IF($B272="","",INDEX(tblStock[Unidad],'91_KPIS'!$T265))</f>
        <v/>
      </c>
      <c r="G272" s="77" t="str">
        <f>IF($B272="","",INDEX(tblStock[StockActual],'91_KPIS'!$T265))</f>
        <v/>
      </c>
      <c r="H272" s="78" t="str">
        <f>IF($B272="","",INDEX(tblStock[StockMin],'91_KPIS'!$T265))</f>
        <v/>
      </c>
      <c r="I272" s="78" t="str">
        <f>IF($B272="","",INDEX(tblStock[StockMax],'91_KPIS'!$T265))</f>
        <v/>
      </c>
      <c r="J272" s="79" t="str">
        <f>IF($B272="","",INDEX(tblStock[Estado],'91_KPIS'!$T265))</f>
        <v/>
      </c>
      <c r="K272" s="80" t="str">
        <f t="shared" si="8"/>
        <v/>
      </c>
      <c r="L272" s="81" t="str">
        <f>IF($B272="","",INDEX(tblStock[CostoUnitario],'91_KPIS'!$T265))</f>
        <v/>
      </c>
      <c r="M272" s="82" t="str">
        <f t="shared" si="9"/>
        <v/>
      </c>
    </row>
    <row r="273" spans="2:13" ht="15.75" x14ac:dyDescent="0.25">
      <c r="B273" s="74" t="str">
        <f>IF('91_KPIS'!$T266="","",259)</f>
        <v/>
      </c>
      <c r="C273" s="75" t="str">
        <f>IF($B273="","",IF(INDEX(tblStock[Proveedor],'91_KPIS'!$T266)="","(Sin proveedor)",INDEX(tblStock[Proveedor],'91_KPIS'!$T266)))</f>
        <v/>
      </c>
      <c r="D273" s="76" t="str">
        <f>IF($B273="","",INDEX(tblStock[SKU],'91_KPIS'!$T266))</f>
        <v/>
      </c>
      <c r="E273" s="75" t="str">
        <f>IF($B273="","",INDEX(tblStock[Producto],'91_KPIS'!$T266))</f>
        <v/>
      </c>
      <c r="F273" s="76" t="str">
        <f>IF($B273="","",INDEX(tblStock[Unidad],'91_KPIS'!$T266))</f>
        <v/>
      </c>
      <c r="G273" s="77" t="str">
        <f>IF($B273="","",INDEX(tblStock[StockActual],'91_KPIS'!$T266))</f>
        <v/>
      </c>
      <c r="H273" s="78" t="str">
        <f>IF($B273="","",INDEX(tblStock[StockMin],'91_KPIS'!$T266))</f>
        <v/>
      </c>
      <c r="I273" s="78" t="str">
        <f>IF($B273="","",INDEX(tblStock[StockMax],'91_KPIS'!$T266))</f>
        <v/>
      </c>
      <c r="J273" s="79" t="str">
        <f>IF($B273="","",INDEX(tblStock[Estado],'91_KPIS'!$T266))</f>
        <v/>
      </c>
      <c r="K273" s="80" t="str">
        <f t="shared" si="8"/>
        <v/>
      </c>
      <c r="L273" s="81" t="str">
        <f>IF($B273="","",INDEX(tblStock[CostoUnitario],'91_KPIS'!$T266))</f>
        <v/>
      </c>
      <c r="M273" s="82" t="str">
        <f t="shared" si="9"/>
        <v/>
      </c>
    </row>
    <row r="274" spans="2:13" ht="15.75" x14ac:dyDescent="0.25">
      <c r="B274" s="74" t="str">
        <f>IF('91_KPIS'!$T267="","",260)</f>
        <v/>
      </c>
      <c r="C274" s="75" t="str">
        <f>IF($B274="","",IF(INDEX(tblStock[Proveedor],'91_KPIS'!$T267)="","(Sin proveedor)",INDEX(tblStock[Proveedor],'91_KPIS'!$T267)))</f>
        <v/>
      </c>
      <c r="D274" s="76" t="str">
        <f>IF($B274="","",INDEX(tblStock[SKU],'91_KPIS'!$T267))</f>
        <v/>
      </c>
      <c r="E274" s="75" t="str">
        <f>IF($B274="","",INDEX(tblStock[Producto],'91_KPIS'!$T267))</f>
        <v/>
      </c>
      <c r="F274" s="76" t="str">
        <f>IF($B274="","",INDEX(tblStock[Unidad],'91_KPIS'!$T267))</f>
        <v/>
      </c>
      <c r="G274" s="77" t="str">
        <f>IF($B274="","",INDEX(tblStock[StockActual],'91_KPIS'!$T267))</f>
        <v/>
      </c>
      <c r="H274" s="78" t="str">
        <f>IF($B274="","",INDEX(tblStock[StockMin],'91_KPIS'!$T267))</f>
        <v/>
      </c>
      <c r="I274" s="78" t="str">
        <f>IF($B274="","",INDEX(tblStock[StockMax],'91_KPIS'!$T267))</f>
        <v/>
      </c>
      <c r="J274" s="79" t="str">
        <f>IF($B274="","",INDEX(tblStock[Estado],'91_KPIS'!$T267))</f>
        <v/>
      </c>
      <c r="K274" s="80" t="str">
        <f t="shared" si="8"/>
        <v/>
      </c>
      <c r="L274" s="81" t="str">
        <f>IF($B274="","",INDEX(tblStock[CostoUnitario],'91_KPIS'!$T267))</f>
        <v/>
      </c>
      <c r="M274" s="82" t="str">
        <f t="shared" si="9"/>
        <v/>
      </c>
    </row>
    <row r="275" spans="2:13" ht="15.75" x14ac:dyDescent="0.25">
      <c r="B275" s="74" t="str">
        <f>IF('91_KPIS'!$T268="","",261)</f>
        <v/>
      </c>
      <c r="C275" s="75" t="str">
        <f>IF($B275="","",IF(INDEX(tblStock[Proveedor],'91_KPIS'!$T268)="","(Sin proveedor)",INDEX(tblStock[Proveedor],'91_KPIS'!$T268)))</f>
        <v/>
      </c>
      <c r="D275" s="76" t="str">
        <f>IF($B275="","",INDEX(tblStock[SKU],'91_KPIS'!$T268))</f>
        <v/>
      </c>
      <c r="E275" s="75" t="str">
        <f>IF($B275="","",INDEX(tblStock[Producto],'91_KPIS'!$T268))</f>
        <v/>
      </c>
      <c r="F275" s="76" t="str">
        <f>IF($B275="","",INDEX(tblStock[Unidad],'91_KPIS'!$T268))</f>
        <v/>
      </c>
      <c r="G275" s="77" t="str">
        <f>IF($B275="","",INDEX(tblStock[StockActual],'91_KPIS'!$T268))</f>
        <v/>
      </c>
      <c r="H275" s="78" t="str">
        <f>IF($B275="","",INDEX(tblStock[StockMin],'91_KPIS'!$T268))</f>
        <v/>
      </c>
      <c r="I275" s="78" t="str">
        <f>IF($B275="","",INDEX(tblStock[StockMax],'91_KPIS'!$T268))</f>
        <v/>
      </c>
      <c r="J275" s="79" t="str">
        <f>IF($B275="","",INDEX(tblStock[Estado],'91_KPIS'!$T268))</f>
        <v/>
      </c>
      <c r="K275" s="80" t="str">
        <f t="shared" si="8"/>
        <v/>
      </c>
      <c r="L275" s="81" t="str">
        <f>IF($B275="","",INDEX(tblStock[CostoUnitario],'91_KPIS'!$T268))</f>
        <v/>
      </c>
      <c r="M275" s="82" t="str">
        <f t="shared" si="9"/>
        <v/>
      </c>
    </row>
    <row r="276" spans="2:13" ht="15.75" x14ac:dyDescent="0.25">
      <c r="B276" s="74" t="str">
        <f>IF('91_KPIS'!$T269="","",262)</f>
        <v/>
      </c>
      <c r="C276" s="75" t="str">
        <f>IF($B276="","",IF(INDEX(tblStock[Proveedor],'91_KPIS'!$T269)="","(Sin proveedor)",INDEX(tblStock[Proveedor],'91_KPIS'!$T269)))</f>
        <v/>
      </c>
      <c r="D276" s="76" t="str">
        <f>IF($B276="","",INDEX(tblStock[SKU],'91_KPIS'!$T269))</f>
        <v/>
      </c>
      <c r="E276" s="75" t="str">
        <f>IF($B276="","",INDEX(tblStock[Producto],'91_KPIS'!$T269))</f>
        <v/>
      </c>
      <c r="F276" s="76" t="str">
        <f>IF($B276="","",INDEX(tblStock[Unidad],'91_KPIS'!$T269))</f>
        <v/>
      </c>
      <c r="G276" s="77" t="str">
        <f>IF($B276="","",INDEX(tblStock[StockActual],'91_KPIS'!$T269))</f>
        <v/>
      </c>
      <c r="H276" s="78" t="str">
        <f>IF($B276="","",INDEX(tblStock[StockMin],'91_KPIS'!$T269))</f>
        <v/>
      </c>
      <c r="I276" s="78" t="str">
        <f>IF($B276="","",INDEX(tblStock[StockMax],'91_KPIS'!$T269))</f>
        <v/>
      </c>
      <c r="J276" s="79" t="str">
        <f>IF($B276="","",INDEX(tblStock[Estado],'91_KPIS'!$T269))</f>
        <v/>
      </c>
      <c r="K276" s="80" t="str">
        <f t="shared" si="8"/>
        <v/>
      </c>
      <c r="L276" s="81" t="str">
        <f>IF($B276="","",INDEX(tblStock[CostoUnitario],'91_KPIS'!$T269))</f>
        <v/>
      </c>
      <c r="M276" s="82" t="str">
        <f t="shared" si="9"/>
        <v/>
      </c>
    </row>
    <row r="277" spans="2:13" ht="15.75" x14ac:dyDescent="0.25">
      <c r="B277" s="74" t="str">
        <f>IF('91_KPIS'!$T270="","",263)</f>
        <v/>
      </c>
      <c r="C277" s="75" t="str">
        <f>IF($B277="","",IF(INDEX(tblStock[Proveedor],'91_KPIS'!$T270)="","(Sin proveedor)",INDEX(tblStock[Proveedor],'91_KPIS'!$T270)))</f>
        <v/>
      </c>
      <c r="D277" s="76" t="str">
        <f>IF($B277="","",INDEX(tblStock[SKU],'91_KPIS'!$T270))</f>
        <v/>
      </c>
      <c r="E277" s="75" t="str">
        <f>IF($B277="","",INDEX(tblStock[Producto],'91_KPIS'!$T270))</f>
        <v/>
      </c>
      <c r="F277" s="76" t="str">
        <f>IF($B277="","",INDEX(tblStock[Unidad],'91_KPIS'!$T270))</f>
        <v/>
      </c>
      <c r="G277" s="77" t="str">
        <f>IF($B277="","",INDEX(tblStock[StockActual],'91_KPIS'!$T270))</f>
        <v/>
      </c>
      <c r="H277" s="78" t="str">
        <f>IF($B277="","",INDEX(tblStock[StockMin],'91_KPIS'!$T270))</f>
        <v/>
      </c>
      <c r="I277" s="78" t="str">
        <f>IF($B277="","",INDEX(tblStock[StockMax],'91_KPIS'!$T270))</f>
        <v/>
      </c>
      <c r="J277" s="79" t="str">
        <f>IF($B277="","",INDEX(tblStock[Estado],'91_KPIS'!$T270))</f>
        <v/>
      </c>
      <c r="K277" s="80" t="str">
        <f t="shared" si="8"/>
        <v/>
      </c>
      <c r="L277" s="81" t="str">
        <f>IF($B277="","",INDEX(tblStock[CostoUnitario],'91_KPIS'!$T270))</f>
        <v/>
      </c>
      <c r="M277" s="82" t="str">
        <f t="shared" si="9"/>
        <v/>
      </c>
    </row>
    <row r="278" spans="2:13" ht="15.75" x14ac:dyDescent="0.25">
      <c r="B278" s="74" t="str">
        <f>IF('91_KPIS'!$T271="","",264)</f>
        <v/>
      </c>
      <c r="C278" s="75" t="str">
        <f>IF($B278="","",IF(INDEX(tblStock[Proveedor],'91_KPIS'!$T271)="","(Sin proveedor)",INDEX(tblStock[Proveedor],'91_KPIS'!$T271)))</f>
        <v/>
      </c>
      <c r="D278" s="76" t="str">
        <f>IF($B278="","",INDEX(tblStock[SKU],'91_KPIS'!$T271))</f>
        <v/>
      </c>
      <c r="E278" s="75" t="str">
        <f>IF($B278="","",INDEX(tblStock[Producto],'91_KPIS'!$T271))</f>
        <v/>
      </c>
      <c r="F278" s="76" t="str">
        <f>IF($B278="","",INDEX(tblStock[Unidad],'91_KPIS'!$T271))</f>
        <v/>
      </c>
      <c r="G278" s="77" t="str">
        <f>IF($B278="","",INDEX(tblStock[StockActual],'91_KPIS'!$T271))</f>
        <v/>
      </c>
      <c r="H278" s="78" t="str">
        <f>IF($B278="","",INDEX(tblStock[StockMin],'91_KPIS'!$T271))</f>
        <v/>
      </c>
      <c r="I278" s="78" t="str">
        <f>IF($B278="","",INDEX(tblStock[StockMax],'91_KPIS'!$T271))</f>
        <v/>
      </c>
      <c r="J278" s="79" t="str">
        <f>IF($B278="","",INDEX(tblStock[Estado],'91_KPIS'!$T271))</f>
        <v/>
      </c>
      <c r="K278" s="80" t="str">
        <f t="shared" si="8"/>
        <v/>
      </c>
      <c r="L278" s="81" t="str">
        <f>IF($B278="","",INDEX(tblStock[CostoUnitario],'91_KPIS'!$T271))</f>
        <v/>
      </c>
      <c r="M278" s="82" t="str">
        <f t="shared" si="9"/>
        <v/>
      </c>
    </row>
    <row r="279" spans="2:13" ht="15.75" x14ac:dyDescent="0.25">
      <c r="B279" s="74" t="str">
        <f>IF('91_KPIS'!$T272="","",265)</f>
        <v/>
      </c>
      <c r="C279" s="75" t="str">
        <f>IF($B279="","",IF(INDEX(tblStock[Proveedor],'91_KPIS'!$T272)="","(Sin proveedor)",INDEX(tblStock[Proveedor],'91_KPIS'!$T272)))</f>
        <v/>
      </c>
      <c r="D279" s="76" t="str">
        <f>IF($B279="","",INDEX(tblStock[SKU],'91_KPIS'!$T272))</f>
        <v/>
      </c>
      <c r="E279" s="75" t="str">
        <f>IF($B279="","",INDEX(tblStock[Producto],'91_KPIS'!$T272))</f>
        <v/>
      </c>
      <c r="F279" s="76" t="str">
        <f>IF($B279="","",INDEX(tblStock[Unidad],'91_KPIS'!$T272))</f>
        <v/>
      </c>
      <c r="G279" s="77" t="str">
        <f>IF($B279="","",INDEX(tblStock[StockActual],'91_KPIS'!$T272))</f>
        <v/>
      </c>
      <c r="H279" s="78" t="str">
        <f>IF($B279="","",INDEX(tblStock[StockMin],'91_KPIS'!$T272))</f>
        <v/>
      </c>
      <c r="I279" s="78" t="str">
        <f>IF($B279="","",INDEX(tblStock[StockMax],'91_KPIS'!$T272))</f>
        <v/>
      </c>
      <c r="J279" s="79" t="str">
        <f>IF($B279="","",INDEX(tblStock[Estado],'91_KPIS'!$T272))</f>
        <v/>
      </c>
      <c r="K279" s="80" t="str">
        <f t="shared" si="8"/>
        <v/>
      </c>
      <c r="L279" s="81" t="str">
        <f>IF($B279="","",INDEX(tblStock[CostoUnitario],'91_KPIS'!$T272))</f>
        <v/>
      </c>
      <c r="M279" s="82" t="str">
        <f t="shared" si="9"/>
        <v/>
      </c>
    </row>
    <row r="280" spans="2:13" ht="15.75" x14ac:dyDescent="0.25">
      <c r="B280" s="74" t="str">
        <f>IF('91_KPIS'!$T273="","",266)</f>
        <v/>
      </c>
      <c r="C280" s="75" t="str">
        <f>IF($B280="","",IF(INDEX(tblStock[Proveedor],'91_KPIS'!$T273)="","(Sin proveedor)",INDEX(tblStock[Proveedor],'91_KPIS'!$T273)))</f>
        <v/>
      </c>
      <c r="D280" s="76" t="str">
        <f>IF($B280="","",INDEX(tblStock[SKU],'91_KPIS'!$T273))</f>
        <v/>
      </c>
      <c r="E280" s="75" t="str">
        <f>IF($B280="","",INDEX(tblStock[Producto],'91_KPIS'!$T273))</f>
        <v/>
      </c>
      <c r="F280" s="76" t="str">
        <f>IF($B280="","",INDEX(tblStock[Unidad],'91_KPIS'!$T273))</f>
        <v/>
      </c>
      <c r="G280" s="77" t="str">
        <f>IF($B280="","",INDEX(tblStock[StockActual],'91_KPIS'!$T273))</f>
        <v/>
      </c>
      <c r="H280" s="78" t="str">
        <f>IF($B280="","",INDEX(tblStock[StockMin],'91_KPIS'!$T273))</f>
        <v/>
      </c>
      <c r="I280" s="78" t="str">
        <f>IF($B280="","",INDEX(tblStock[StockMax],'91_KPIS'!$T273))</f>
        <v/>
      </c>
      <c r="J280" s="79" t="str">
        <f>IF($B280="","",INDEX(tblStock[Estado],'91_KPIS'!$T273))</f>
        <v/>
      </c>
      <c r="K280" s="80" t="str">
        <f t="shared" si="8"/>
        <v/>
      </c>
      <c r="L280" s="81" t="str">
        <f>IF($B280="","",INDEX(tblStock[CostoUnitario],'91_KPIS'!$T273))</f>
        <v/>
      </c>
      <c r="M280" s="82" t="str">
        <f t="shared" si="9"/>
        <v/>
      </c>
    </row>
    <row r="281" spans="2:13" ht="15.75" x14ac:dyDescent="0.25">
      <c r="B281" s="74" t="str">
        <f>IF('91_KPIS'!$T274="","",267)</f>
        <v/>
      </c>
      <c r="C281" s="75" t="str">
        <f>IF($B281="","",IF(INDEX(tblStock[Proveedor],'91_KPIS'!$T274)="","(Sin proveedor)",INDEX(tblStock[Proveedor],'91_KPIS'!$T274)))</f>
        <v/>
      </c>
      <c r="D281" s="76" t="str">
        <f>IF($B281="","",INDEX(tblStock[SKU],'91_KPIS'!$T274))</f>
        <v/>
      </c>
      <c r="E281" s="75" t="str">
        <f>IF($B281="","",INDEX(tblStock[Producto],'91_KPIS'!$T274))</f>
        <v/>
      </c>
      <c r="F281" s="76" t="str">
        <f>IF($B281="","",INDEX(tblStock[Unidad],'91_KPIS'!$T274))</f>
        <v/>
      </c>
      <c r="G281" s="77" t="str">
        <f>IF($B281="","",INDEX(tblStock[StockActual],'91_KPIS'!$T274))</f>
        <v/>
      </c>
      <c r="H281" s="78" t="str">
        <f>IF($B281="","",INDEX(tblStock[StockMin],'91_KPIS'!$T274))</f>
        <v/>
      </c>
      <c r="I281" s="78" t="str">
        <f>IF($B281="","",INDEX(tblStock[StockMax],'91_KPIS'!$T274))</f>
        <v/>
      </c>
      <c r="J281" s="79" t="str">
        <f>IF($B281="","",INDEX(tblStock[Estado],'91_KPIS'!$T274))</f>
        <v/>
      </c>
      <c r="K281" s="80" t="str">
        <f t="shared" si="8"/>
        <v/>
      </c>
      <c r="L281" s="81" t="str">
        <f>IF($B281="","",INDEX(tblStock[CostoUnitario],'91_KPIS'!$T274))</f>
        <v/>
      </c>
      <c r="M281" s="82" t="str">
        <f t="shared" si="9"/>
        <v/>
      </c>
    </row>
    <row r="282" spans="2:13" ht="15.75" x14ac:dyDescent="0.25">
      <c r="B282" s="74" t="str">
        <f>IF('91_KPIS'!$T275="","",268)</f>
        <v/>
      </c>
      <c r="C282" s="75" t="str">
        <f>IF($B282="","",IF(INDEX(tblStock[Proveedor],'91_KPIS'!$T275)="","(Sin proveedor)",INDEX(tblStock[Proveedor],'91_KPIS'!$T275)))</f>
        <v/>
      </c>
      <c r="D282" s="76" t="str">
        <f>IF($B282="","",INDEX(tblStock[SKU],'91_KPIS'!$T275))</f>
        <v/>
      </c>
      <c r="E282" s="75" t="str">
        <f>IF($B282="","",INDEX(tblStock[Producto],'91_KPIS'!$T275))</f>
        <v/>
      </c>
      <c r="F282" s="76" t="str">
        <f>IF($B282="","",INDEX(tblStock[Unidad],'91_KPIS'!$T275))</f>
        <v/>
      </c>
      <c r="G282" s="77" t="str">
        <f>IF($B282="","",INDEX(tblStock[StockActual],'91_KPIS'!$T275))</f>
        <v/>
      </c>
      <c r="H282" s="78" t="str">
        <f>IF($B282="","",INDEX(tblStock[StockMin],'91_KPIS'!$T275))</f>
        <v/>
      </c>
      <c r="I282" s="78" t="str">
        <f>IF($B282="","",INDEX(tblStock[StockMax],'91_KPIS'!$T275))</f>
        <v/>
      </c>
      <c r="J282" s="79" t="str">
        <f>IF($B282="","",INDEX(tblStock[Estado],'91_KPIS'!$T275))</f>
        <v/>
      </c>
      <c r="K282" s="80" t="str">
        <f t="shared" si="8"/>
        <v/>
      </c>
      <c r="L282" s="81" t="str">
        <f>IF($B282="","",INDEX(tblStock[CostoUnitario],'91_KPIS'!$T275))</f>
        <v/>
      </c>
      <c r="M282" s="82" t="str">
        <f t="shared" si="9"/>
        <v/>
      </c>
    </row>
    <row r="283" spans="2:13" ht="15.75" x14ac:dyDescent="0.25">
      <c r="B283" s="74" t="str">
        <f>IF('91_KPIS'!$T276="","",269)</f>
        <v/>
      </c>
      <c r="C283" s="75" t="str">
        <f>IF($B283="","",IF(INDEX(tblStock[Proveedor],'91_KPIS'!$T276)="","(Sin proveedor)",INDEX(tblStock[Proveedor],'91_KPIS'!$T276)))</f>
        <v/>
      </c>
      <c r="D283" s="76" t="str">
        <f>IF($B283="","",INDEX(tblStock[SKU],'91_KPIS'!$T276))</f>
        <v/>
      </c>
      <c r="E283" s="75" t="str">
        <f>IF($B283="","",INDEX(tblStock[Producto],'91_KPIS'!$T276))</f>
        <v/>
      </c>
      <c r="F283" s="76" t="str">
        <f>IF($B283="","",INDEX(tblStock[Unidad],'91_KPIS'!$T276))</f>
        <v/>
      </c>
      <c r="G283" s="77" t="str">
        <f>IF($B283="","",INDEX(tblStock[StockActual],'91_KPIS'!$T276))</f>
        <v/>
      </c>
      <c r="H283" s="78" t="str">
        <f>IF($B283="","",INDEX(tblStock[StockMin],'91_KPIS'!$T276))</f>
        <v/>
      </c>
      <c r="I283" s="78" t="str">
        <f>IF($B283="","",INDEX(tblStock[StockMax],'91_KPIS'!$T276))</f>
        <v/>
      </c>
      <c r="J283" s="79" t="str">
        <f>IF($B283="","",INDEX(tblStock[Estado],'91_KPIS'!$T276))</f>
        <v/>
      </c>
      <c r="K283" s="80" t="str">
        <f t="shared" si="8"/>
        <v/>
      </c>
      <c r="L283" s="81" t="str">
        <f>IF($B283="","",INDEX(tblStock[CostoUnitario],'91_KPIS'!$T276))</f>
        <v/>
      </c>
      <c r="M283" s="82" t="str">
        <f t="shared" si="9"/>
        <v/>
      </c>
    </row>
    <row r="284" spans="2:13" ht="15.75" x14ac:dyDescent="0.25">
      <c r="B284" s="74" t="str">
        <f>IF('91_KPIS'!$T277="","",270)</f>
        <v/>
      </c>
      <c r="C284" s="75" t="str">
        <f>IF($B284="","",IF(INDEX(tblStock[Proveedor],'91_KPIS'!$T277)="","(Sin proveedor)",INDEX(tblStock[Proveedor],'91_KPIS'!$T277)))</f>
        <v/>
      </c>
      <c r="D284" s="76" t="str">
        <f>IF($B284="","",INDEX(tblStock[SKU],'91_KPIS'!$T277))</f>
        <v/>
      </c>
      <c r="E284" s="75" t="str">
        <f>IF($B284="","",INDEX(tblStock[Producto],'91_KPIS'!$T277))</f>
        <v/>
      </c>
      <c r="F284" s="76" t="str">
        <f>IF($B284="","",INDEX(tblStock[Unidad],'91_KPIS'!$T277))</f>
        <v/>
      </c>
      <c r="G284" s="77" t="str">
        <f>IF($B284="","",INDEX(tblStock[StockActual],'91_KPIS'!$T277))</f>
        <v/>
      </c>
      <c r="H284" s="78" t="str">
        <f>IF($B284="","",INDEX(tblStock[StockMin],'91_KPIS'!$T277))</f>
        <v/>
      </c>
      <c r="I284" s="78" t="str">
        <f>IF($B284="","",INDEX(tblStock[StockMax],'91_KPIS'!$T277))</f>
        <v/>
      </c>
      <c r="J284" s="79" t="str">
        <f>IF($B284="","",INDEX(tblStock[Estado],'91_KPIS'!$T277))</f>
        <v/>
      </c>
      <c r="K284" s="80" t="str">
        <f t="shared" si="8"/>
        <v/>
      </c>
      <c r="L284" s="81" t="str">
        <f>IF($B284="","",INDEX(tblStock[CostoUnitario],'91_KPIS'!$T277))</f>
        <v/>
      </c>
      <c r="M284" s="82" t="str">
        <f t="shared" si="9"/>
        <v/>
      </c>
    </row>
    <row r="285" spans="2:13" ht="15.75" x14ac:dyDescent="0.25">
      <c r="B285" s="74" t="str">
        <f>IF('91_KPIS'!$T278="","",271)</f>
        <v/>
      </c>
      <c r="C285" s="75" t="str">
        <f>IF($B285="","",IF(INDEX(tblStock[Proveedor],'91_KPIS'!$T278)="","(Sin proveedor)",INDEX(tblStock[Proveedor],'91_KPIS'!$T278)))</f>
        <v/>
      </c>
      <c r="D285" s="76" t="str">
        <f>IF($B285="","",INDEX(tblStock[SKU],'91_KPIS'!$T278))</f>
        <v/>
      </c>
      <c r="E285" s="75" t="str">
        <f>IF($B285="","",INDEX(tblStock[Producto],'91_KPIS'!$T278))</f>
        <v/>
      </c>
      <c r="F285" s="76" t="str">
        <f>IF($B285="","",INDEX(tblStock[Unidad],'91_KPIS'!$T278))</f>
        <v/>
      </c>
      <c r="G285" s="77" t="str">
        <f>IF($B285="","",INDEX(tblStock[StockActual],'91_KPIS'!$T278))</f>
        <v/>
      </c>
      <c r="H285" s="78" t="str">
        <f>IF($B285="","",INDEX(tblStock[StockMin],'91_KPIS'!$T278))</f>
        <v/>
      </c>
      <c r="I285" s="78" t="str">
        <f>IF($B285="","",INDEX(tblStock[StockMax],'91_KPIS'!$T278))</f>
        <v/>
      </c>
      <c r="J285" s="79" t="str">
        <f>IF($B285="","",INDEX(tblStock[Estado],'91_KPIS'!$T278))</f>
        <v/>
      </c>
      <c r="K285" s="80" t="str">
        <f t="shared" si="8"/>
        <v/>
      </c>
      <c r="L285" s="81" t="str">
        <f>IF($B285="","",INDEX(tblStock[CostoUnitario],'91_KPIS'!$T278))</f>
        <v/>
      </c>
      <c r="M285" s="82" t="str">
        <f t="shared" si="9"/>
        <v/>
      </c>
    </row>
    <row r="286" spans="2:13" ht="15.75" x14ac:dyDescent="0.25">
      <c r="B286" s="74" t="str">
        <f>IF('91_KPIS'!$T279="","",272)</f>
        <v/>
      </c>
      <c r="C286" s="75" t="str">
        <f>IF($B286="","",IF(INDEX(tblStock[Proveedor],'91_KPIS'!$T279)="","(Sin proveedor)",INDEX(tblStock[Proveedor],'91_KPIS'!$T279)))</f>
        <v/>
      </c>
      <c r="D286" s="76" t="str">
        <f>IF($B286="","",INDEX(tblStock[SKU],'91_KPIS'!$T279))</f>
        <v/>
      </c>
      <c r="E286" s="75" t="str">
        <f>IF($B286="","",INDEX(tblStock[Producto],'91_KPIS'!$T279))</f>
        <v/>
      </c>
      <c r="F286" s="76" t="str">
        <f>IF($B286="","",INDEX(tblStock[Unidad],'91_KPIS'!$T279))</f>
        <v/>
      </c>
      <c r="G286" s="77" t="str">
        <f>IF($B286="","",INDEX(tblStock[StockActual],'91_KPIS'!$T279))</f>
        <v/>
      </c>
      <c r="H286" s="78" t="str">
        <f>IF($B286="","",INDEX(tblStock[StockMin],'91_KPIS'!$T279))</f>
        <v/>
      </c>
      <c r="I286" s="78" t="str">
        <f>IF($B286="","",INDEX(tblStock[StockMax],'91_KPIS'!$T279))</f>
        <v/>
      </c>
      <c r="J286" s="79" t="str">
        <f>IF($B286="","",INDEX(tblStock[Estado],'91_KPIS'!$T279))</f>
        <v/>
      </c>
      <c r="K286" s="80" t="str">
        <f t="shared" si="8"/>
        <v/>
      </c>
      <c r="L286" s="81" t="str">
        <f>IF($B286="","",INDEX(tblStock[CostoUnitario],'91_KPIS'!$T279))</f>
        <v/>
      </c>
      <c r="M286" s="82" t="str">
        <f t="shared" si="9"/>
        <v/>
      </c>
    </row>
    <row r="287" spans="2:13" ht="15.75" x14ac:dyDescent="0.25">
      <c r="B287" s="74" t="str">
        <f>IF('91_KPIS'!$T280="","",273)</f>
        <v/>
      </c>
      <c r="C287" s="75" t="str">
        <f>IF($B287="","",IF(INDEX(tblStock[Proveedor],'91_KPIS'!$T280)="","(Sin proveedor)",INDEX(tblStock[Proveedor],'91_KPIS'!$T280)))</f>
        <v/>
      </c>
      <c r="D287" s="76" t="str">
        <f>IF($B287="","",INDEX(tblStock[SKU],'91_KPIS'!$T280))</f>
        <v/>
      </c>
      <c r="E287" s="75" t="str">
        <f>IF($B287="","",INDEX(tblStock[Producto],'91_KPIS'!$T280))</f>
        <v/>
      </c>
      <c r="F287" s="76" t="str">
        <f>IF($B287="","",INDEX(tblStock[Unidad],'91_KPIS'!$T280))</f>
        <v/>
      </c>
      <c r="G287" s="77" t="str">
        <f>IF($B287="","",INDEX(tblStock[StockActual],'91_KPIS'!$T280))</f>
        <v/>
      </c>
      <c r="H287" s="78" t="str">
        <f>IF($B287="","",INDEX(tblStock[StockMin],'91_KPIS'!$T280))</f>
        <v/>
      </c>
      <c r="I287" s="78" t="str">
        <f>IF($B287="","",INDEX(tblStock[StockMax],'91_KPIS'!$T280))</f>
        <v/>
      </c>
      <c r="J287" s="79" t="str">
        <f>IF($B287="","",INDEX(tblStock[Estado],'91_KPIS'!$T280))</f>
        <v/>
      </c>
      <c r="K287" s="80" t="str">
        <f t="shared" si="8"/>
        <v/>
      </c>
      <c r="L287" s="81" t="str">
        <f>IF($B287="","",INDEX(tblStock[CostoUnitario],'91_KPIS'!$T280))</f>
        <v/>
      </c>
      <c r="M287" s="82" t="str">
        <f t="shared" si="9"/>
        <v/>
      </c>
    </row>
    <row r="288" spans="2:13" ht="15.75" x14ac:dyDescent="0.25">
      <c r="B288" s="74" t="str">
        <f>IF('91_KPIS'!$T281="","",274)</f>
        <v/>
      </c>
      <c r="C288" s="75" t="str">
        <f>IF($B288="","",IF(INDEX(tblStock[Proveedor],'91_KPIS'!$T281)="","(Sin proveedor)",INDEX(tblStock[Proveedor],'91_KPIS'!$T281)))</f>
        <v/>
      </c>
      <c r="D288" s="76" t="str">
        <f>IF($B288="","",INDEX(tblStock[SKU],'91_KPIS'!$T281))</f>
        <v/>
      </c>
      <c r="E288" s="75" t="str">
        <f>IF($B288="","",INDEX(tblStock[Producto],'91_KPIS'!$T281))</f>
        <v/>
      </c>
      <c r="F288" s="76" t="str">
        <f>IF($B288="","",INDEX(tblStock[Unidad],'91_KPIS'!$T281))</f>
        <v/>
      </c>
      <c r="G288" s="77" t="str">
        <f>IF($B288="","",INDEX(tblStock[StockActual],'91_KPIS'!$T281))</f>
        <v/>
      </c>
      <c r="H288" s="78" t="str">
        <f>IF($B288="","",INDEX(tblStock[StockMin],'91_KPIS'!$T281))</f>
        <v/>
      </c>
      <c r="I288" s="78" t="str">
        <f>IF($B288="","",INDEX(tblStock[StockMax],'91_KPIS'!$T281))</f>
        <v/>
      </c>
      <c r="J288" s="79" t="str">
        <f>IF($B288="","",INDEX(tblStock[Estado],'91_KPIS'!$T281))</f>
        <v/>
      </c>
      <c r="K288" s="80" t="str">
        <f t="shared" si="8"/>
        <v/>
      </c>
      <c r="L288" s="81" t="str">
        <f>IF($B288="","",INDEX(tblStock[CostoUnitario],'91_KPIS'!$T281))</f>
        <v/>
      </c>
      <c r="M288" s="82" t="str">
        <f t="shared" si="9"/>
        <v/>
      </c>
    </row>
    <row r="289" spans="2:13" ht="15.75" x14ac:dyDescent="0.25">
      <c r="B289" s="74" t="str">
        <f>IF('91_KPIS'!$T282="","",275)</f>
        <v/>
      </c>
      <c r="C289" s="75" t="str">
        <f>IF($B289="","",IF(INDEX(tblStock[Proveedor],'91_KPIS'!$T282)="","(Sin proveedor)",INDEX(tblStock[Proveedor],'91_KPIS'!$T282)))</f>
        <v/>
      </c>
      <c r="D289" s="76" t="str">
        <f>IF($B289="","",INDEX(tblStock[SKU],'91_KPIS'!$T282))</f>
        <v/>
      </c>
      <c r="E289" s="75" t="str">
        <f>IF($B289="","",INDEX(tblStock[Producto],'91_KPIS'!$T282))</f>
        <v/>
      </c>
      <c r="F289" s="76" t="str">
        <f>IF($B289="","",INDEX(tblStock[Unidad],'91_KPIS'!$T282))</f>
        <v/>
      </c>
      <c r="G289" s="77" t="str">
        <f>IF($B289="","",INDEX(tblStock[StockActual],'91_KPIS'!$T282))</f>
        <v/>
      </c>
      <c r="H289" s="78" t="str">
        <f>IF($B289="","",INDEX(tblStock[StockMin],'91_KPIS'!$T282))</f>
        <v/>
      </c>
      <c r="I289" s="78" t="str">
        <f>IF($B289="","",INDEX(tblStock[StockMax],'91_KPIS'!$T282))</f>
        <v/>
      </c>
      <c r="J289" s="79" t="str">
        <f>IF($B289="","",INDEX(tblStock[Estado],'91_KPIS'!$T282))</f>
        <v/>
      </c>
      <c r="K289" s="80" t="str">
        <f t="shared" si="8"/>
        <v/>
      </c>
      <c r="L289" s="81" t="str">
        <f>IF($B289="","",INDEX(tblStock[CostoUnitario],'91_KPIS'!$T282))</f>
        <v/>
      </c>
      <c r="M289" s="82" t="str">
        <f t="shared" si="9"/>
        <v/>
      </c>
    </row>
    <row r="290" spans="2:13" ht="15.75" x14ac:dyDescent="0.25">
      <c r="B290" s="74" t="str">
        <f>IF('91_KPIS'!$T283="","",276)</f>
        <v/>
      </c>
      <c r="C290" s="75" t="str">
        <f>IF($B290="","",IF(INDEX(tblStock[Proveedor],'91_KPIS'!$T283)="","(Sin proveedor)",INDEX(tblStock[Proveedor],'91_KPIS'!$T283)))</f>
        <v/>
      </c>
      <c r="D290" s="76" t="str">
        <f>IF($B290="","",INDEX(tblStock[SKU],'91_KPIS'!$T283))</f>
        <v/>
      </c>
      <c r="E290" s="75" t="str">
        <f>IF($B290="","",INDEX(tblStock[Producto],'91_KPIS'!$T283))</f>
        <v/>
      </c>
      <c r="F290" s="76" t="str">
        <f>IF($B290="","",INDEX(tblStock[Unidad],'91_KPIS'!$T283))</f>
        <v/>
      </c>
      <c r="G290" s="77" t="str">
        <f>IF($B290="","",INDEX(tblStock[StockActual],'91_KPIS'!$T283))</f>
        <v/>
      </c>
      <c r="H290" s="78" t="str">
        <f>IF($B290="","",INDEX(tblStock[StockMin],'91_KPIS'!$T283))</f>
        <v/>
      </c>
      <c r="I290" s="78" t="str">
        <f>IF($B290="","",INDEX(tblStock[StockMax],'91_KPIS'!$T283))</f>
        <v/>
      </c>
      <c r="J290" s="79" t="str">
        <f>IF($B290="","",INDEX(tblStock[Estado],'91_KPIS'!$T283))</f>
        <v/>
      </c>
      <c r="K290" s="80" t="str">
        <f t="shared" si="8"/>
        <v/>
      </c>
      <c r="L290" s="81" t="str">
        <f>IF($B290="","",INDEX(tblStock[CostoUnitario],'91_KPIS'!$T283))</f>
        <v/>
      </c>
      <c r="M290" s="82" t="str">
        <f t="shared" si="9"/>
        <v/>
      </c>
    </row>
    <row r="291" spans="2:13" ht="15.75" x14ac:dyDescent="0.25">
      <c r="B291" s="74" t="str">
        <f>IF('91_KPIS'!$T284="","",277)</f>
        <v/>
      </c>
      <c r="C291" s="75" t="str">
        <f>IF($B291="","",IF(INDEX(tblStock[Proveedor],'91_KPIS'!$T284)="","(Sin proveedor)",INDEX(tblStock[Proveedor],'91_KPIS'!$T284)))</f>
        <v/>
      </c>
      <c r="D291" s="76" t="str">
        <f>IF($B291="","",INDEX(tblStock[SKU],'91_KPIS'!$T284))</f>
        <v/>
      </c>
      <c r="E291" s="75" t="str">
        <f>IF($B291="","",INDEX(tblStock[Producto],'91_KPIS'!$T284))</f>
        <v/>
      </c>
      <c r="F291" s="76" t="str">
        <f>IF($B291="","",INDEX(tblStock[Unidad],'91_KPIS'!$T284))</f>
        <v/>
      </c>
      <c r="G291" s="77" t="str">
        <f>IF($B291="","",INDEX(tblStock[StockActual],'91_KPIS'!$T284))</f>
        <v/>
      </c>
      <c r="H291" s="78" t="str">
        <f>IF($B291="","",INDEX(tblStock[StockMin],'91_KPIS'!$T284))</f>
        <v/>
      </c>
      <c r="I291" s="78" t="str">
        <f>IF($B291="","",INDEX(tblStock[StockMax],'91_KPIS'!$T284))</f>
        <v/>
      </c>
      <c r="J291" s="79" t="str">
        <f>IF($B291="","",INDEX(tblStock[Estado],'91_KPIS'!$T284))</f>
        <v/>
      </c>
      <c r="K291" s="80" t="str">
        <f t="shared" si="8"/>
        <v/>
      </c>
      <c r="L291" s="81" t="str">
        <f>IF($B291="","",INDEX(tblStock[CostoUnitario],'91_KPIS'!$T284))</f>
        <v/>
      </c>
      <c r="M291" s="82" t="str">
        <f t="shared" si="9"/>
        <v/>
      </c>
    </row>
    <row r="292" spans="2:13" ht="15.75" x14ac:dyDescent="0.25">
      <c r="B292" s="74" t="str">
        <f>IF('91_KPIS'!$T285="","",278)</f>
        <v/>
      </c>
      <c r="C292" s="75" t="str">
        <f>IF($B292="","",IF(INDEX(tblStock[Proveedor],'91_KPIS'!$T285)="","(Sin proveedor)",INDEX(tblStock[Proveedor],'91_KPIS'!$T285)))</f>
        <v/>
      </c>
      <c r="D292" s="76" t="str">
        <f>IF($B292="","",INDEX(tblStock[SKU],'91_KPIS'!$T285))</f>
        <v/>
      </c>
      <c r="E292" s="75" t="str">
        <f>IF($B292="","",INDEX(tblStock[Producto],'91_KPIS'!$T285))</f>
        <v/>
      </c>
      <c r="F292" s="76" t="str">
        <f>IF($B292="","",INDEX(tblStock[Unidad],'91_KPIS'!$T285))</f>
        <v/>
      </c>
      <c r="G292" s="77" t="str">
        <f>IF($B292="","",INDEX(tblStock[StockActual],'91_KPIS'!$T285))</f>
        <v/>
      </c>
      <c r="H292" s="78" t="str">
        <f>IF($B292="","",INDEX(tblStock[StockMin],'91_KPIS'!$T285))</f>
        <v/>
      </c>
      <c r="I292" s="78" t="str">
        <f>IF($B292="","",INDEX(tblStock[StockMax],'91_KPIS'!$T285))</f>
        <v/>
      </c>
      <c r="J292" s="79" t="str">
        <f>IF($B292="","",INDEX(tblStock[Estado],'91_KPIS'!$T285))</f>
        <v/>
      </c>
      <c r="K292" s="80" t="str">
        <f t="shared" si="8"/>
        <v/>
      </c>
      <c r="L292" s="81" t="str">
        <f>IF($B292="","",INDEX(tblStock[CostoUnitario],'91_KPIS'!$T285))</f>
        <v/>
      </c>
      <c r="M292" s="82" t="str">
        <f t="shared" si="9"/>
        <v/>
      </c>
    </row>
    <row r="293" spans="2:13" ht="15.75" x14ac:dyDescent="0.25">
      <c r="B293" s="74" t="str">
        <f>IF('91_KPIS'!$T286="","",279)</f>
        <v/>
      </c>
      <c r="C293" s="75" t="str">
        <f>IF($B293="","",IF(INDEX(tblStock[Proveedor],'91_KPIS'!$T286)="","(Sin proveedor)",INDEX(tblStock[Proveedor],'91_KPIS'!$T286)))</f>
        <v/>
      </c>
      <c r="D293" s="76" t="str">
        <f>IF($B293="","",INDEX(tblStock[SKU],'91_KPIS'!$T286))</f>
        <v/>
      </c>
      <c r="E293" s="75" t="str">
        <f>IF($B293="","",INDEX(tblStock[Producto],'91_KPIS'!$T286))</f>
        <v/>
      </c>
      <c r="F293" s="76" t="str">
        <f>IF($B293="","",INDEX(tblStock[Unidad],'91_KPIS'!$T286))</f>
        <v/>
      </c>
      <c r="G293" s="77" t="str">
        <f>IF($B293="","",INDEX(tblStock[StockActual],'91_KPIS'!$T286))</f>
        <v/>
      </c>
      <c r="H293" s="78" t="str">
        <f>IF($B293="","",INDEX(tblStock[StockMin],'91_KPIS'!$T286))</f>
        <v/>
      </c>
      <c r="I293" s="78" t="str">
        <f>IF($B293="","",INDEX(tblStock[StockMax],'91_KPIS'!$T286))</f>
        <v/>
      </c>
      <c r="J293" s="79" t="str">
        <f>IF($B293="","",INDEX(tblStock[Estado],'91_KPIS'!$T286))</f>
        <v/>
      </c>
      <c r="K293" s="80" t="str">
        <f t="shared" si="8"/>
        <v/>
      </c>
      <c r="L293" s="81" t="str">
        <f>IF($B293="","",INDEX(tblStock[CostoUnitario],'91_KPIS'!$T286))</f>
        <v/>
      </c>
      <c r="M293" s="82" t="str">
        <f t="shared" si="9"/>
        <v/>
      </c>
    </row>
    <row r="294" spans="2:13" ht="15.75" x14ac:dyDescent="0.25">
      <c r="B294" s="74" t="str">
        <f>IF('91_KPIS'!$T287="","",280)</f>
        <v/>
      </c>
      <c r="C294" s="75" t="str">
        <f>IF($B294="","",IF(INDEX(tblStock[Proveedor],'91_KPIS'!$T287)="","(Sin proveedor)",INDEX(tblStock[Proveedor],'91_KPIS'!$T287)))</f>
        <v/>
      </c>
      <c r="D294" s="76" t="str">
        <f>IF($B294="","",INDEX(tblStock[SKU],'91_KPIS'!$T287))</f>
        <v/>
      </c>
      <c r="E294" s="75" t="str">
        <f>IF($B294="","",INDEX(tblStock[Producto],'91_KPIS'!$T287))</f>
        <v/>
      </c>
      <c r="F294" s="76" t="str">
        <f>IF($B294="","",INDEX(tblStock[Unidad],'91_KPIS'!$T287))</f>
        <v/>
      </c>
      <c r="G294" s="77" t="str">
        <f>IF($B294="","",INDEX(tblStock[StockActual],'91_KPIS'!$T287))</f>
        <v/>
      </c>
      <c r="H294" s="78" t="str">
        <f>IF($B294="","",INDEX(tblStock[StockMin],'91_KPIS'!$T287))</f>
        <v/>
      </c>
      <c r="I294" s="78" t="str">
        <f>IF($B294="","",INDEX(tblStock[StockMax],'91_KPIS'!$T287))</f>
        <v/>
      </c>
      <c r="J294" s="79" t="str">
        <f>IF($B294="","",INDEX(tblStock[Estado],'91_KPIS'!$T287))</f>
        <v/>
      </c>
      <c r="K294" s="80" t="str">
        <f t="shared" si="8"/>
        <v/>
      </c>
      <c r="L294" s="81" t="str">
        <f>IF($B294="","",INDEX(tblStock[CostoUnitario],'91_KPIS'!$T287))</f>
        <v/>
      </c>
      <c r="M294" s="82" t="str">
        <f t="shared" si="9"/>
        <v/>
      </c>
    </row>
    <row r="295" spans="2:13" ht="15.75" x14ac:dyDescent="0.25">
      <c r="B295" s="74" t="str">
        <f>IF('91_KPIS'!$T288="","",281)</f>
        <v/>
      </c>
      <c r="C295" s="75" t="str">
        <f>IF($B295="","",IF(INDEX(tblStock[Proveedor],'91_KPIS'!$T288)="","(Sin proveedor)",INDEX(tblStock[Proveedor],'91_KPIS'!$T288)))</f>
        <v/>
      </c>
      <c r="D295" s="76" t="str">
        <f>IF($B295="","",INDEX(tblStock[SKU],'91_KPIS'!$T288))</f>
        <v/>
      </c>
      <c r="E295" s="75" t="str">
        <f>IF($B295="","",INDEX(tblStock[Producto],'91_KPIS'!$T288))</f>
        <v/>
      </c>
      <c r="F295" s="76" t="str">
        <f>IF($B295="","",INDEX(tblStock[Unidad],'91_KPIS'!$T288))</f>
        <v/>
      </c>
      <c r="G295" s="77" t="str">
        <f>IF($B295="","",INDEX(tblStock[StockActual],'91_KPIS'!$T288))</f>
        <v/>
      </c>
      <c r="H295" s="78" t="str">
        <f>IF($B295="","",INDEX(tblStock[StockMin],'91_KPIS'!$T288))</f>
        <v/>
      </c>
      <c r="I295" s="78" t="str">
        <f>IF($B295="","",INDEX(tblStock[StockMax],'91_KPIS'!$T288))</f>
        <v/>
      </c>
      <c r="J295" s="79" t="str">
        <f>IF($B295="","",INDEX(tblStock[Estado],'91_KPIS'!$T288))</f>
        <v/>
      </c>
      <c r="K295" s="80" t="str">
        <f t="shared" si="8"/>
        <v/>
      </c>
      <c r="L295" s="81" t="str">
        <f>IF($B295="","",INDEX(tblStock[CostoUnitario],'91_KPIS'!$T288))</f>
        <v/>
      </c>
      <c r="M295" s="82" t="str">
        <f t="shared" si="9"/>
        <v/>
      </c>
    </row>
    <row r="296" spans="2:13" ht="15.75" x14ac:dyDescent="0.25">
      <c r="B296" s="74" t="str">
        <f>IF('91_KPIS'!$T289="","",282)</f>
        <v/>
      </c>
      <c r="C296" s="75" t="str">
        <f>IF($B296="","",IF(INDEX(tblStock[Proveedor],'91_KPIS'!$T289)="","(Sin proveedor)",INDEX(tblStock[Proveedor],'91_KPIS'!$T289)))</f>
        <v/>
      </c>
      <c r="D296" s="76" t="str">
        <f>IF($B296="","",INDEX(tblStock[SKU],'91_KPIS'!$T289))</f>
        <v/>
      </c>
      <c r="E296" s="75" t="str">
        <f>IF($B296="","",INDEX(tblStock[Producto],'91_KPIS'!$T289))</f>
        <v/>
      </c>
      <c r="F296" s="76" t="str">
        <f>IF($B296="","",INDEX(tblStock[Unidad],'91_KPIS'!$T289))</f>
        <v/>
      </c>
      <c r="G296" s="77" t="str">
        <f>IF($B296="","",INDEX(tblStock[StockActual],'91_KPIS'!$T289))</f>
        <v/>
      </c>
      <c r="H296" s="78" t="str">
        <f>IF($B296="","",INDEX(tblStock[StockMin],'91_KPIS'!$T289))</f>
        <v/>
      </c>
      <c r="I296" s="78" t="str">
        <f>IF($B296="","",INDEX(tblStock[StockMax],'91_KPIS'!$T289))</f>
        <v/>
      </c>
      <c r="J296" s="79" t="str">
        <f>IF($B296="","",INDEX(tblStock[Estado],'91_KPIS'!$T289))</f>
        <v/>
      </c>
      <c r="K296" s="80" t="str">
        <f t="shared" si="8"/>
        <v/>
      </c>
      <c r="L296" s="81" t="str">
        <f>IF($B296="","",INDEX(tblStock[CostoUnitario],'91_KPIS'!$T289))</f>
        <v/>
      </c>
      <c r="M296" s="82" t="str">
        <f t="shared" si="9"/>
        <v/>
      </c>
    </row>
    <row r="297" spans="2:13" ht="15.75" x14ac:dyDescent="0.25">
      <c r="B297" s="74" t="str">
        <f>IF('91_KPIS'!$T290="","",283)</f>
        <v/>
      </c>
      <c r="C297" s="75" t="str">
        <f>IF($B297="","",IF(INDEX(tblStock[Proveedor],'91_KPIS'!$T290)="","(Sin proveedor)",INDEX(tblStock[Proveedor],'91_KPIS'!$T290)))</f>
        <v/>
      </c>
      <c r="D297" s="76" t="str">
        <f>IF($B297="","",INDEX(tblStock[SKU],'91_KPIS'!$T290))</f>
        <v/>
      </c>
      <c r="E297" s="75" t="str">
        <f>IF($B297="","",INDEX(tblStock[Producto],'91_KPIS'!$T290))</f>
        <v/>
      </c>
      <c r="F297" s="76" t="str">
        <f>IF($B297="","",INDEX(tblStock[Unidad],'91_KPIS'!$T290))</f>
        <v/>
      </c>
      <c r="G297" s="77" t="str">
        <f>IF($B297="","",INDEX(tblStock[StockActual],'91_KPIS'!$T290))</f>
        <v/>
      </c>
      <c r="H297" s="78" t="str">
        <f>IF($B297="","",INDEX(tblStock[StockMin],'91_KPIS'!$T290))</f>
        <v/>
      </c>
      <c r="I297" s="78" t="str">
        <f>IF($B297="","",INDEX(tblStock[StockMax],'91_KPIS'!$T290))</f>
        <v/>
      </c>
      <c r="J297" s="79" t="str">
        <f>IF($B297="","",INDEX(tblStock[Estado],'91_KPIS'!$T290))</f>
        <v/>
      </c>
      <c r="K297" s="80" t="str">
        <f t="shared" si="8"/>
        <v/>
      </c>
      <c r="L297" s="81" t="str">
        <f>IF($B297="","",INDEX(tblStock[CostoUnitario],'91_KPIS'!$T290))</f>
        <v/>
      </c>
      <c r="M297" s="82" t="str">
        <f t="shared" si="9"/>
        <v/>
      </c>
    </row>
    <row r="298" spans="2:13" ht="15.75" x14ac:dyDescent="0.25">
      <c r="B298" s="74" t="str">
        <f>IF('91_KPIS'!$T291="","",284)</f>
        <v/>
      </c>
      <c r="C298" s="75" t="str">
        <f>IF($B298="","",IF(INDEX(tblStock[Proveedor],'91_KPIS'!$T291)="","(Sin proveedor)",INDEX(tblStock[Proveedor],'91_KPIS'!$T291)))</f>
        <v/>
      </c>
      <c r="D298" s="76" t="str">
        <f>IF($B298="","",INDEX(tblStock[SKU],'91_KPIS'!$T291))</f>
        <v/>
      </c>
      <c r="E298" s="75" t="str">
        <f>IF($B298="","",INDEX(tblStock[Producto],'91_KPIS'!$T291))</f>
        <v/>
      </c>
      <c r="F298" s="76" t="str">
        <f>IF($B298="","",INDEX(tblStock[Unidad],'91_KPIS'!$T291))</f>
        <v/>
      </c>
      <c r="G298" s="77" t="str">
        <f>IF($B298="","",INDEX(tblStock[StockActual],'91_KPIS'!$T291))</f>
        <v/>
      </c>
      <c r="H298" s="78" t="str">
        <f>IF($B298="","",INDEX(tblStock[StockMin],'91_KPIS'!$T291))</f>
        <v/>
      </c>
      <c r="I298" s="78" t="str">
        <f>IF($B298="","",INDEX(tblStock[StockMax],'91_KPIS'!$T291))</f>
        <v/>
      </c>
      <c r="J298" s="79" t="str">
        <f>IF($B298="","",INDEX(tblStock[Estado],'91_KPIS'!$T291))</f>
        <v/>
      </c>
      <c r="K298" s="80" t="str">
        <f t="shared" si="8"/>
        <v/>
      </c>
      <c r="L298" s="81" t="str">
        <f>IF($B298="","",INDEX(tblStock[CostoUnitario],'91_KPIS'!$T291))</f>
        <v/>
      </c>
      <c r="M298" s="82" t="str">
        <f t="shared" si="9"/>
        <v/>
      </c>
    </row>
    <row r="299" spans="2:13" ht="15.75" x14ac:dyDescent="0.25">
      <c r="B299" s="74" t="str">
        <f>IF('91_KPIS'!$T292="","",285)</f>
        <v/>
      </c>
      <c r="C299" s="75" t="str">
        <f>IF($B299="","",IF(INDEX(tblStock[Proveedor],'91_KPIS'!$T292)="","(Sin proveedor)",INDEX(tblStock[Proveedor],'91_KPIS'!$T292)))</f>
        <v/>
      </c>
      <c r="D299" s="76" t="str">
        <f>IF($B299="","",INDEX(tblStock[SKU],'91_KPIS'!$T292))</f>
        <v/>
      </c>
      <c r="E299" s="75" t="str">
        <f>IF($B299="","",INDEX(tblStock[Producto],'91_KPIS'!$T292))</f>
        <v/>
      </c>
      <c r="F299" s="76" t="str">
        <f>IF($B299="","",INDEX(tblStock[Unidad],'91_KPIS'!$T292))</f>
        <v/>
      </c>
      <c r="G299" s="77" t="str">
        <f>IF($B299="","",INDEX(tblStock[StockActual],'91_KPIS'!$T292))</f>
        <v/>
      </c>
      <c r="H299" s="78" t="str">
        <f>IF($B299="","",INDEX(tblStock[StockMin],'91_KPIS'!$T292))</f>
        <v/>
      </c>
      <c r="I299" s="78" t="str">
        <f>IF($B299="","",INDEX(tblStock[StockMax],'91_KPIS'!$T292))</f>
        <v/>
      </c>
      <c r="J299" s="79" t="str">
        <f>IF($B299="","",INDEX(tblStock[Estado],'91_KPIS'!$T292))</f>
        <v/>
      </c>
      <c r="K299" s="80" t="str">
        <f t="shared" si="8"/>
        <v/>
      </c>
      <c r="L299" s="81" t="str">
        <f>IF($B299="","",INDEX(tblStock[CostoUnitario],'91_KPIS'!$T292))</f>
        <v/>
      </c>
      <c r="M299" s="82" t="str">
        <f t="shared" si="9"/>
        <v/>
      </c>
    </row>
    <row r="300" spans="2:13" ht="15.75" x14ac:dyDescent="0.25">
      <c r="B300" s="74" t="str">
        <f>IF('91_KPIS'!$T293="","",286)</f>
        <v/>
      </c>
      <c r="C300" s="75" t="str">
        <f>IF($B300="","",IF(INDEX(tblStock[Proveedor],'91_KPIS'!$T293)="","(Sin proveedor)",INDEX(tblStock[Proveedor],'91_KPIS'!$T293)))</f>
        <v/>
      </c>
      <c r="D300" s="76" t="str">
        <f>IF($B300="","",INDEX(tblStock[SKU],'91_KPIS'!$T293))</f>
        <v/>
      </c>
      <c r="E300" s="75" t="str">
        <f>IF($B300="","",INDEX(tblStock[Producto],'91_KPIS'!$T293))</f>
        <v/>
      </c>
      <c r="F300" s="76" t="str">
        <f>IF($B300="","",INDEX(tblStock[Unidad],'91_KPIS'!$T293))</f>
        <v/>
      </c>
      <c r="G300" s="77" t="str">
        <f>IF($B300="","",INDEX(tblStock[StockActual],'91_KPIS'!$T293))</f>
        <v/>
      </c>
      <c r="H300" s="78" t="str">
        <f>IF($B300="","",INDEX(tblStock[StockMin],'91_KPIS'!$T293))</f>
        <v/>
      </c>
      <c r="I300" s="78" t="str">
        <f>IF($B300="","",INDEX(tblStock[StockMax],'91_KPIS'!$T293))</f>
        <v/>
      </c>
      <c r="J300" s="79" t="str">
        <f>IF($B300="","",INDEX(tblStock[Estado],'91_KPIS'!$T293))</f>
        <v/>
      </c>
      <c r="K300" s="80" t="str">
        <f t="shared" si="8"/>
        <v/>
      </c>
      <c r="L300" s="81" t="str">
        <f>IF($B300="","",INDEX(tblStock[CostoUnitario],'91_KPIS'!$T293))</f>
        <v/>
      </c>
      <c r="M300" s="82" t="str">
        <f t="shared" si="9"/>
        <v/>
      </c>
    </row>
    <row r="301" spans="2:13" ht="15.75" x14ac:dyDescent="0.25">
      <c r="B301" s="74" t="str">
        <f>IF('91_KPIS'!$T294="","",287)</f>
        <v/>
      </c>
      <c r="C301" s="75" t="str">
        <f>IF($B301="","",IF(INDEX(tblStock[Proveedor],'91_KPIS'!$T294)="","(Sin proveedor)",INDEX(tblStock[Proveedor],'91_KPIS'!$T294)))</f>
        <v/>
      </c>
      <c r="D301" s="76" t="str">
        <f>IF($B301="","",INDEX(tblStock[SKU],'91_KPIS'!$T294))</f>
        <v/>
      </c>
      <c r="E301" s="75" t="str">
        <f>IF($B301="","",INDEX(tblStock[Producto],'91_KPIS'!$T294))</f>
        <v/>
      </c>
      <c r="F301" s="76" t="str">
        <f>IF($B301="","",INDEX(tblStock[Unidad],'91_KPIS'!$T294))</f>
        <v/>
      </c>
      <c r="G301" s="77" t="str">
        <f>IF($B301="","",INDEX(tblStock[StockActual],'91_KPIS'!$T294))</f>
        <v/>
      </c>
      <c r="H301" s="78" t="str">
        <f>IF($B301="","",INDEX(tblStock[StockMin],'91_KPIS'!$T294))</f>
        <v/>
      </c>
      <c r="I301" s="78" t="str">
        <f>IF($B301="","",INDEX(tblStock[StockMax],'91_KPIS'!$T294))</f>
        <v/>
      </c>
      <c r="J301" s="79" t="str">
        <f>IF($B301="","",INDEX(tblStock[Estado],'91_KPIS'!$T294))</f>
        <v/>
      </c>
      <c r="K301" s="80" t="str">
        <f t="shared" si="8"/>
        <v/>
      </c>
      <c r="L301" s="81" t="str">
        <f>IF($B301="","",INDEX(tblStock[CostoUnitario],'91_KPIS'!$T294))</f>
        <v/>
      </c>
      <c r="M301" s="82" t="str">
        <f t="shared" si="9"/>
        <v/>
      </c>
    </row>
    <row r="302" spans="2:13" ht="15.75" x14ac:dyDescent="0.25">
      <c r="B302" s="74" t="str">
        <f>IF('91_KPIS'!$T295="","",288)</f>
        <v/>
      </c>
      <c r="C302" s="75" t="str">
        <f>IF($B302="","",IF(INDEX(tblStock[Proveedor],'91_KPIS'!$T295)="","(Sin proveedor)",INDEX(tblStock[Proveedor],'91_KPIS'!$T295)))</f>
        <v/>
      </c>
      <c r="D302" s="76" t="str">
        <f>IF($B302="","",INDEX(tblStock[SKU],'91_KPIS'!$T295))</f>
        <v/>
      </c>
      <c r="E302" s="75" t="str">
        <f>IF($B302="","",INDEX(tblStock[Producto],'91_KPIS'!$T295))</f>
        <v/>
      </c>
      <c r="F302" s="76" t="str">
        <f>IF($B302="","",INDEX(tblStock[Unidad],'91_KPIS'!$T295))</f>
        <v/>
      </c>
      <c r="G302" s="77" t="str">
        <f>IF($B302="","",INDEX(tblStock[StockActual],'91_KPIS'!$T295))</f>
        <v/>
      </c>
      <c r="H302" s="78" t="str">
        <f>IF($B302="","",INDEX(tblStock[StockMin],'91_KPIS'!$T295))</f>
        <v/>
      </c>
      <c r="I302" s="78" t="str">
        <f>IF($B302="","",INDEX(tblStock[StockMax],'91_KPIS'!$T295))</f>
        <v/>
      </c>
      <c r="J302" s="79" t="str">
        <f>IF($B302="","",INDEX(tblStock[Estado],'91_KPIS'!$T295))</f>
        <v/>
      </c>
      <c r="K302" s="80" t="str">
        <f t="shared" si="8"/>
        <v/>
      </c>
      <c r="L302" s="81" t="str">
        <f>IF($B302="","",INDEX(tblStock[CostoUnitario],'91_KPIS'!$T295))</f>
        <v/>
      </c>
      <c r="M302" s="82" t="str">
        <f t="shared" si="9"/>
        <v/>
      </c>
    </row>
    <row r="303" spans="2:13" ht="15.75" x14ac:dyDescent="0.25">
      <c r="B303" s="74" t="str">
        <f>IF('91_KPIS'!$T296="","",289)</f>
        <v/>
      </c>
      <c r="C303" s="75" t="str">
        <f>IF($B303="","",IF(INDEX(tblStock[Proveedor],'91_KPIS'!$T296)="","(Sin proveedor)",INDEX(tblStock[Proveedor],'91_KPIS'!$T296)))</f>
        <v/>
      </c>
      <c r="D303" s="76" t="str">
        <f>IF($B303="","",INDEX(tblStock[SKU],'91_KPIS'!$T296))</f>
        <v/>
      </c>
      <c r="E303" s="75" t="str">
        <f>IF($B303="","",INDEX(tblStock[Producto],'91_KPIS'!$T296))</f>
        <v/>
      </c>
      <c r="F303" s="76" t="str">
        <f>IF($B303="","",INDEX(tblStock[Unidad],'91_KPIS'!$T296))</f>
        <v/>
      </c>
      <c r="G303" s="77" t="str">
        <f>IF($B303="","",INDEX(tblStock[StockActual],'91_KPIS'!$T296))</f>
        <v/>
      </c>
      <c r="H303" s="78" t="str">
        <f>IF($B303="","",INDEX(tblStock[StockMin],'91_KPIS'!$T296))</f>
        <v/>
      </c>
      <c r="I303" s="78" t="str">
        <f>IF($B303="","",INDEX(tblStock[StockMax],'91_KPIS'!$T296))</f>
        <v/>
      </c>
      <c r="J303" s="79" t="str">
        <f>IF($B303="","",INDEX(tblStock[Estado],'91_KPIS'!$T296))</f>
        <v/>
      </c>
      <c r="K303" s="80" t="str">
        <f t="shared" si="8"/>
        <v/>
      </c>
      <c r="L303" s="81" t="str">
        <f>IF($B303="","",INDEX(tblStock[CostoUnitario],'91_KPIS'!$T296))</f>
        <v/>
      </c>
      <c r="M303" s="82" t="str">
        <f t="shared" si="9"/>
        <v/>
      </c>
    </row>
    <row r="304" spans="2:13" ht="15.75" x14ac:dyDescent="0.25">
      <c r="B304" s="74" t="str">
        <f>IF('91_KPIS'!$T297="","",290)</f>
        <v/>
      </c>
      <c r="C304" s="75" t="str">
        <f>IF($B304="","",IF(INDEX(tblStock[Proveedor],'91_KPIS'!$T297)="","(Sin proveedor)",INDEX(tblStock[Proveedor],'91_KPIS'!$T297)))</f>
        <v/>
      </c>
      <c r="D304" s="76" t="str">
        <f>IF($B304="","",INDEX(tblStock[SKU],'91_KPIS'!$T297))</f>
        <v/>
      </c>
      <c r="E304" s="75" t="str">
        <f>IF($B304="","",INDEX(tblStock[Producto],'91_KPIS'!$T297))</f>
        <v/>
      </c>
      <c r="F304" s="76" t="str">
        <f>IF($B304="","",INDEX(tblStock[Unidad],'91_KPIS'!$T297))</f>
        <v/>
      </c>
      <c r="G304" s="77" t="str">
        <f>IF($B304="","",INDEX(tblStock[StockActual],'91_KPIS'!$T297))</f>
        <v/>
      </c>
      <c r="H304" s="78" t="str">
        <f>IF($B304="","",INDEX(tblStock[StockMin],'91_KPIS'!$T297))</f>
        <v/>
      </c>
      <c r="I304" s="78" t="str">
        <f>IF($B304="","",INDEX(tblStock[StockMax],'91_KPIS'!$T297))</f>
        <v/>
      </c>
      <c r="J304" s="79" t="str">
        <f>IF($B304="","",INDEX(tblStock[Estado],'91_KPIS'!$T297))</f>
        <v/>
      </c>
      <c r="K304" s="80" t="str">
        <f t="shared" si="8"/>
        <v/>
      </c>
      <c r="L304" s="81" t="str">
        <f>IF($B304="","",INDEX(tblStock[CostoUnitario],'91_KPIS'!$T297))</f>
        <v/>
      </c>
      <c r="M304" s="82" t="str">
        <f t="shared" si="9"/>
        <v/>
      </c>
    </row>
    <row r="305" spans="2:13" ht="15.75" x14ac:dyDescent="0.25">
      <c r="B305" s="74" t="str">
        <f>IF('91_KPIS'!$T298="","",291)</f>
        <v/>
      </c>
      <c r="C305" s="75" t="str">
        <f>IF($B305="","",IF(INDEX(tblStock[Proveedor],'91_KPIS'!$T298)="","(Sin proveedor)",INDEX(tblStock[Proveedor],'91_KPIS'!$T298)))</f>
        <v/>
      </c>
      <c r="D305" s="76" t="str">
        <f>IF($B305="","",INDEX(tblStock[SKU],'91_KPIS'!$T298))</f>
        <v/>
      </c>
      <c r="E305" s="75" t="str">
        <f>IF($B305="","",INDEX(tblStock[Producto],'91_KPIS'!$T298))</f>
        <v/>
      </c>
      <c r="F305" s="76" t="str">
        <f>IF($B305="","",INDEX(tblStock[Unidad],'91_KPIS'!$T298))</f>
        <v/>
      </c>
      <c r="G305" s="77" t="str">
        <f>IF($B305="","",INDEX(tblStock[StockActual],'91_KPIS'!$T298))</f>
        <v/>
      </c>
      <c r="H305" s="78" t="str">
        <f>IF($B305="","",INDEX(tblStock[StockMin],'91_KPIS'!$T298))</f>
        <v/>
      </c>
      <c r="I305" s="78" t="str">
        <f>IF($B305="","",INDEX(tblStock[StockMax],'91_KPIS'!$T298))</f>
        <v/>
      </c>
      <c r="J305" s="79" t="str">
        <f>IF($B305="","",INDEX(tblStock[Estado],'91_KPIS'!$T298))</f>
        <v/>
      </c>
      <c r="K305" s="80" t="str">
        <f t="shared" si="8"/>
        <v/>
      </c>
      <c r="L305" s="81" t="str">
        <f>IF($B305="","",INDEX(tblStock[CostoUnitario],'91_KPIS'!$T298))</f>
        <v/>
      </c>
      <c r="M305" s="82" t="str">
        <f t="shared" si="9"/>
        <v/>
      </c>
    </row>
    <row r="306" spans="2:13" ht="15.75" x14ac:dyDescent="0.25">
      <c r="B306" s="74" t="str">
        <f>IF('91_KPIS'!$T299="","",292)</f>
        <v/>
      </c>
      <c r="C306" s="75" t="str">
        <f>IF($B306="","",IF(INDEX(tblStock[Proveedor],'91_KPIS'!$T299)="","(Sin proveedor)",INDEX(tblStock[Proveedor],'91_KPIS'!$T299)))</f>
        <v/>
      </c>
      <c r="D306" s="76" t="str">
        <f>IF($B306="","",INDEX(tblStock[SKU],'91_KPIS'!$T299))</f>
        <v/>
      </c>
      <c r="E306" s="75" t="str">
        <f>IF($B306="","",INDEX(tblStock[Producto],'91_KPIS'!$T299))</f>
        <v/>
      </c>
      <c r="F306" s="76" t="str">
        <f>IF($B306="","",INDEX(tblStock[Unidad],'91_KPIS'!$T299))</f>
        <v/>
      </c>
      <c r="G306" s="77" t="str">
        <f>IF($B306="","",INDEX(tblStock[StockActual],'91_KPIS'!$T299))</f>
        <v/>
      </c>
      <c r="H306" s="78" t="str">
        <f>IF($B306="","",INDEX(tblStock[StockMin],'91_KPIS'!$T299))</f>
        <v/>
      </c>
      <c r="I306" s="78" t="str">
        <f>IF($B306="","",INDEX(tblStock[StockMax],'91_KPIS'!$T299))</f>
        <v/>
      </c>
      <c r="J306" s="79" t="str">
        <f>IF($B306="","",INDEX(tblStock[Estado],'91_KPIS'!$T299))</f>
        <v/>
      </c>
      <c r="K306" s="80" t="str">
        <f t="shared" si="8"/>
        <v/>
      </c>
      <c r="L306" s="81" t="str">
        <f>IF($B306="","",INDEX(tblStock[CostoUnitario],'91_KPIS'!$T299))</f>
        <v/>
      </c>
      <c r="M306" s="82" t="str">
        <f t="shared" si="9"/>
        <v/>
      </c>
    </row>
    <row r="307" spans="2:13" ht="15.75" x14ac:dyDescent="0.25">
      <c r="B307" s="74" t="str">
        <f>IF('91_KPIS'!$T300="","",293)</f>
        <v/>
      </c>
      <c r="C307" s="75" t="str">
        <f>IF($B307="","",IF(INDEX(tblStock[Proveedor],'91_KPIS'!$T300)="","(Sin proveedor)",INDEX(tblStock[Proveedor],'91_KPIS'!$T300)))</f>
        <v/>
      </c>
      <c r="D307" s="76" t="str">
        <f>IF($B307="","",INDEX(tblStock[SKU],'91_KPIS'!$T300))</f>
        <v/>
      </c>
      <c r="E307" s="75" t="str">
        <f>IF($B307="","",INDEX(tblStock[Producto],'91_KPIS'!$T300))</f>
        <v/>
      </c>
      <c r="F307" s="76" t="str">
        <f>IF($B307="","",INDEX(tblStock[Unidad],'91_KPIS'!$T300))</f>
        <v/>
      </c>
      <c r="G307" s="77" t="str">
        <f>IF($B307="","",INDEX(tblStock[StockActual],'91_KPIS'!$T300))</f>
        <v/>
      </c>
      <c r="H307" s="78" t="str">
        <f>IF($B307="","",INDEX(tblStock[StockMin],'91_KPIS'!$T300))</f>
        <v/>
      </c>
      <c r="I307" s="78" t="str">
        <f>IF($B307="","",INDEX(tblStock[StockMax],'91_KPIS'!$T300))</f>
        <v/>
      </c>
      <c r="J307" s="79" t="str">
        <f>IF($B307="","",INDEX(tblStock[Estado],'91_KPIS'!$T300))</f>
        <v/>
      </c>
      <c r="K307" s="80" t="str">
        <f t="shared" si="8"/>
        <v/>
      </c>
      <c r="L307" s="81" t="str">
        <f>IF($B307="","",INDEX(tblStock[CostoUnitario],'91_KPIS'!$T300))</f>
        <v/>
      </c>
      <c r="M307" s="82" t="str">
        <f t="shared" si="9"/>
        <v/>
      </c>
    </row>
    <row r="308" spans="2:13" ht="15.75" x14ac:dyDescent="0.25">
      <c r="B308" s="74" t="str">
        <f>IF('91_KPIS'!$T301="","",294)</f>
        <v/>
      </c>
      <c r="C308" s="75" t="str">
        <f>IF($B308="","",IF(INDEX(tblStock[Proveedor],'91_KPIS'!$T301)="","(Sin proveedor)",INDEX(tblStock[Proveedor],'91_KPIS'!$T301)))</f>
        <v/>
      </c>
      <c r="D308" s="76" t="str">
        <f>IF($B308="","",INDEX(tblStock[SKU],'91_KPIS'!$T301))</f>
        <v/>
      </c>
      <c r="E308" s="75" t="str">
        <f>IF($B308="","",INDEX(tblStock[Producto],'91_KPIS'!$T301))</f>
        <v/>
      </c>
      <c r="F308" s="76" t="str">
        <f>IF($B308="","",INDEX(tblStock[Unidad],'91_KPIS'!$T301))</f>
        <v/>
      </c>
      <c r="G308" s="77" t="str">
        <f>IF($B308="","",INDEX(tblStock[StockActual],'91_KPIS'!$T301))</f>
        <v/>
      </c>
      <c r="H308" s="78" t="str">
        <f>IF($B308="","",INDEX(tblStock[StockMin],'91_KPIS'!$T301))</f>
        <v/>
      </c>
      <c r="I308" s="78" t="str">
        <f>IF($B308="","",INDEX(tblStock[StockMax],'91_KPIS'!$T301))</f>
        <v/>
      </c>
      <c r="J308" s="79" t="str">
        <f>IF($B308="","",INDEX(tblStock[Estado],'91_KPIS'!$T301))</f>
        <v/>
      </c>
      <c r="K308" s="80" t="str">
        <f t="shared" si="8"/>
        <v/>
      </c>
      <c r="L308" s="81" t="str">
        <f>IF($B308="","",INDEX(tblStock[CostoUnitario],'91_KPIS'!$T301))</f>
        <v/>
      </c>
      <c r="M308" s="82" t="str">
        <f t="shared" si="9"/>
        <v/>
      </c>
    </row>
    <row r="309" spans="2:13" ht="15.75" x14ac:dyDescent="0.25">
      <c r="B309" s="74" t="str">
        <f>IF('91_KPIS'!$T302="","",295)</f>
        <v/>
      </c>
      <c r="C309" s="75" t="str">
        <f>IF($B309="","",IF(INDEX(tblStock[Proveedor],'91_KPIS'!$T302)="","(Sin proveedor)",INDEX(tblStock[Proveedor],'91_KPIS'!$T302)))</f>
        <v/>
      </c>
      <c r="D309" s="76" t="str">
        <f>IF($B309="","",INDEX(tblStock[SKU],'91_KPIS'!$T302))</f>
        <v/>
      </c>
      <c r="E309" s="75" t="str">
        <f>IF($B309="","",INDEX(tblStock[Producto],'91_KPIS'!$T302))</f>
        <v/>
      </c>
      <c r="F309" s="76" t="str">
        <f>IF($B309="","",INDEX(tblStock[Unidad],'91_KPIS'!$T302))</f>
        <v/>
      </c>
      <c r="G309" s="77" t="str">
        <f>IF($B309="","",INDEX(tblStock[StockActual],'91_KPIS'!$T302))</f>
        <v/>
      </c>
      <c r="H309" s="78" t="str">
        <f>IF($B309="","",INDEX(tblStock[StockMin],'91_KPIS'!$T302))</f>
        <v/>
      </c>
      <c r="I309" s="78" t="str">
        <f>IF($B309="","",INDEX(tblStock[StockMax],'91_KPIS'!$T302))</f>
        <v/>
      </c>
      <c r="J309" s="79" t="str">
        <f>IF($B309="","",INDEX(tblStock[Estado],'91_KPIS'!$T302))</f>
        <v/>
      </c>
      <c r="K309" s="80" t="str">
        <f t="shared" si="8"/>
        <v/>
      </c>
      <c r="L309" s="81" t="str">
        <f>IF($B309="","",INDEX(tblStock[CostoUnitario],'91_KPIS'!$T302))</f>
        <v/>
      </c>
      <c r="M309" s="82" t="str">
        <f t="shared" si="9"/>
        <v/>
      </c>
    </row>
    <row r="310" spans="2:13" ht="15.75" x14ac:dyDescent="0.25">
      <c r="B310" s="74" t="str">
        <f>IF('91_KPIS'!$T303="","",296)</f>
        <v/>
      </c>
      <c r="C310" s="75" t="str">
        <f>IF($B310="","",IF(INDEX(tblStock[Proveedor],'91_KPIS'!$T303)="","(Sin proveedor)",INDEX(tblStock[Proveedor],'91_KPIS'!$T303)))</f>
        <v/>
      </c>
      <c r="D310" s="76" t="str">
        <f>IF($B310="","",INDEX(tblStock[SKU],'91_KPIS'!$T303))</f>
        <v/>
      </c>
      <c r="E310" s="75" t="str">
        <f>IF($B310="","",INDEX(tblStock[Producto],'91_KPIS'!$T303))</f>
        <v/>
      </c>
      <c r="F310" s="76" t="str">
        <f>IF($B310="","",INDEX(tblStock[Unidad],'91_KPIS'!$T303))</f>
        <v/>
      </c>
      <c r="G310" s="77" t="str">
        <f>IF($B310="","",INDEX(tblStock[StockActual],'91_KPIS'!$T303))</f>
        <v/>
      </c>
      <c r="H310" s="78" t="str">
        <f>IF($B310="","",INDEX(tblStock[StockMin],'91_KPIS'!$T303))</f>
        <v/>
      </c>
      <c r="I310" s="78" t="str">
        <f>IF($B310="","",INDEX(tblStock[StockMax],'91_KPIS'!$T303))</f>
        <v/>
      </c>
      <c r="J310" s="79" t="str">
        <f>IF($B310="","",INDEX(tblStock[Estado],'91_KPIS'!$T303))</f>
        <v/>
      </c>
      <c r="K310" s="80" t="str">
        <f t="shared" si="8"/>
        <v/>
      </c>
      <c r="L310" s="81" t="str">
        <f>IF($B310="","",INDEX(tblStock[CostoUnitario],'91_KPIS'!$T303))</f>
        <v/>
      </c>
      <c r="M310" s="82" t="str">
        <f t="shared" si="9"/>
        <v/>
      </c>
    </row>
    <row r="311" spans="2:13" ht="15.75" x14ac:dyDescent="0.25">
      <c r="B311" s="74" t="str">
        <f>IF('91_KPIS'!$T304="","",297)</f>
        <v/>
      </c>
      <c r="C311" s="75" t="str">
        <f>IF($B311="","",IF(INDEX(tblStock[Proveedor],'91_KPIS'!$T304)="","(Sin proveedor)",INDEX(tblStock[Proveedor],'91_KPIS'!$T304)))</f>
        <v/>
      </c>
      <c r="D311" s="76" t="str">
        <f>IF($B311="","",INDEX(tblStock[SKU],'91_KPIS'!$T304))</f>
        <v/>
      </c>
      <c r="E311" s="75" t="str">
        <f>IF($B311="","",INDEX(tblStock[Producto],'91_KPIS'!$T304))</f>
        <v/>
      </c>
      <c r="F311" s="76" t="str">
        <f>IF($B311="","",INDEX(tblStock[Unidad],'91_KPIS'!$T304))</f>
        <v/>
      </c>
      <c r="G311" s="77" t="str">
        <f>IF($B311="","",INDEX(tblStock[StockActual],'91_KPIS'!$T304))</f>
        <v/>
      </c>
      <c r="H311" s="78" t="str">
        <f>IF($B311="","",INDEX(tblStock[StockMin],'91_KPIS'!$T304))</f>
        <v/>
      </c>
      <c r="I311" s="78" t="str">
        <f>IF($B311="","",INDEX(tblStock[StockMax],'91_KPIS'!$T304))</f>
        <v/>
      </c>
      <c r="J311" s="79" t="str">
        <f>IF($B311="","",INDEX(tblStock[Estado],'91_KPIS'!$T304))</f>
        <v/>
      </c>
      <c r="K311" s="80" t="str">
        <f t="shared" si="8"/>
        <v/>
      </c>
      <c r="L311" s="81" t="str">
        <f>IF($B311="","",INDEX(tblStock[CostoUnitario],'91_KPIS'!$T304))</f>
        <v/>
      </c>
      <c r="M311" s="82" t="str">
        <f t="shared" si="9"/>
        <v/>
      </c>
    </row>
    <row r="312" spans="2:13" ht="15.75" x14ac:dyDescent="0.25">
      <c r="B312" s="74" t="str">
        <f>IF('91_KPIS'!$T305="","",298)</f>
        <v/>
      </c>
      <c r="C312" s="75" t="str">
        <f>IF($B312="","",IF(INDEX(tblStock[Proveedor],'91_KPIS'!$T305)="","(Sin proveedor)",INDEX(tblStock[Proveedor],'91_KPIS'!$T305)))</f>
        <v/>
      </c>
      <c r="D312" s="76" t="str">
        <f>IF($B312="","",INDEX(tblStock[SKU],'91_KPIS'!$T305))</f>
        <v/>
      </c>
      <c r="E312" s="75" t="str">
        <f>IF($B312="","",INDEX(tblStock[Producto],'91_KPIS'!$T305))</f>
        <v/>
      </c>
      <c r="F312" s="76" t="str">
        <f>IF($B312="","",INDEX(tblStock[Unidad],'91_KPIS'!$T305))</f>
        <v/>
      </c>
      <c r="G312" s="77" t="str">
        <f>IF($B312="","",INDEX(tblStock[StockActual],'91_KPIS'!$T305))</f>
        <v/>
      </c>
      <c r="H312" s="78" t="str">
        <f>IF($B312="","",INDEX(tblStock[StockMin],'91_KPIS'!$T305))</f>
        <v/>
      </c>
      <c r="I312" s="78" t="str">
        <f>IF($B312="","",INDEX(tblStock[StockMax],'91_KPIS'!$T305))</f>
        <v/>
      </c>
      <c r="J312" s="79" t="str">
        <f>IF($B312="","",INDEX(tblStock[Estado],'91_KPIS'!$T305))</f>
        <v/>
      </c>
      <c r="K312" s="80" t="str">
        <f t="shared" si="8"/>
        <v/>
      </c>
      <c r="L312" s="81" t="str">
        <f>IF($B312="","",INDEX(tblStock[CostoUnitario],'91_KPIS'!$T305))</f>
        <v/>
      </c>
      <c r="M312" s="82" t="str">
        <f t="shared" si="9"/>
        <v/>
      </c>
    </row>
    <row r="313" spans="2:13" ht="15.75" x14ac:dyDescent="0.25">
      <c r="B313" s="74" t="str">
        <f>IF('91_KPIS'!$T306="","",299)</f>
        <v/>
      </c>
      <c r="C313" s="75" t="str">
        <f>IF($B313="","",IF(INDEX(tblStock[Proveedor],'91_KPIS'!$T306)="","(Sin proveedor)",INDEX(tblStock[Proveedor],'91_KPIS'!$T306)))</f>
        <v/>
      </c>
      <c r="D313" s="76" t="str">
        <f>IF($B313="","",INDEX(tblStock[SKU],'91_KPIS'!$T306))</f>
        <v/>
      </c>
      <c r="E313" s="75" t="str">
        <f>IF($B313="","",INDEX(tblStock[Producto],'91_KPIS'!$T306))</f>
        <v/>
      </c>
      <c r="F313" s="76" t="str">
        <f>IF($B313="","",INDEX(tblStock[Unidad],'91_KPIS'!$T306))</f>
        <v/>
      </c>
      <c r="G313" s="77" t="str">
        <f>IF($B313="","",INDEX(tblStock[StockActual],'91_KPIS'!$T306))</f>
        <v/>
      </c>
      <c r="H313" s="78" t="str">
        <f>IF($B313="","",INDEX(tblStock[StockMin],'91_KPIS'!$T306))</f>
        <v/>
      </c>
      <c r="I313" s="78" t="str">
        <f>IF($B313="","",INDEX(tblStock[StockMax],'91_KPIS'!$T306))</f>
        <v/>
      </c>
      <c r="J313" s="79" t="str">
        <f>IF($B313="","",INDEX(tblStock[Estado],'91_KPIS'!$T306))</f>
        <v/>
      </c>
      <c r="K313" s="80" t="str">
        <f t="shared" si="8"/>
        <v/>
      </c>
      <c r="L313" s="81" t="str">
        <f>IF($B313="","",INDEX(tblStock[CostoUnitario],'91_KPIS'!$T306))</f>
        <v/>
      </c>
      <c r="M313" s="82" t="str">
        <f t="shared" si="9"/>
        <v/>
      </c>
    </row>
    <row r="314" spans="2:13" ht="15.75" x14ac:dyDescent="0.25">
      <c r="B314" s="74" t="str">
        <f>IF('91_KPIS'!$T307="","",300)</f>
        <v/>
      </c>
      <c r="C314" s="75" t="str">
        <f>IF($B314="","",IF(INDEX(tblStock[Proveedor],'91_KPIS'!$T307)="","(Sin proveedor)",INDEX(tblStock[Proveedor],'91_KPIS'!$T307)))</f>
        <v/>
      </c>
      <c r="D314" s="76" t="str">
        <f>IF($B314="","",INDEX(tblStock[SKU],'91_KPIS'!$T307))</f>
        <v/>
      </c>
      <c r="E314" s="75" t="str">
        <f>IF($B314="","",INDEX(tblStock[Producto],'91_KPIS'!$T307))</f>
        <v/>
      </c>
      <c r="F314" s="76" t="str">
        <f>IF($B314="","",INDEX(tblStock[Unidad],'91_KPIS'!$T307))</f>
        <v/>
      </c>
      <c r="G314" s="77" t="str">
        <f>IF($B314="","",INDEX(tblStock[StockActual],'91_KPIS'!$T307))</f>
        <v/>
      </c>
      <c r="H314" s="78" t="str">
        <f>IF($B314="","",INDEX(tblStock[StockMin],'91_KPIS'!$T307))</f>
        <v/>
      </c>
      <c r="I314" s="78" t="str">
        <f>IF($B314="","",INDEX(tblStock[StockMax],'91_KPIS'!$T307))</f>
        <v/>
      </c>
      <c r="J314" s="79" t="str">
        <f>IF($B314="","",INDEX(tblStock[Estado],'91_KPIS'!$T307))</f>
        <v/>
      </c>
      <c r="K314" s="80" t="str">
        <f t="shared" si="8"/>
        <v/>
      </c>
      <c r="L314" s="81" t="str">
        <f>IF($B314="","",INDEX(tblStock[CostoUnitario],'91_KPIS'!$T307))</f>
        <v/>
      </c>
      <c r="M314" s="82" t="str">
        <f t="shared" si="9"/>
        <v/>
      </c>
    </row>
    <row r="315" spans="2:13" ht="15.75" x14ac:dyDescent="0.25">
      <c r="B315" s="74" t="str">
        <f>IF('91_KPIS'!$T308="","",301)</f>
        <v/>
      </c>
      <c r="C315" s="75" t="str">
        <f>IF($B315="","",IF(INDEX(tblStock[Proveedor],'91_KPIS'!$T308)="","(Sin proveedor)",INDEX(tblStock[Proveedor],'91_KPIS'!$T308)))</f>
        <v/>
      </c>
      <c r="D315" s="76" t="str">
        <f>IF($B315="","",INDEX(tblStock[SKU],'91_KPIS'!$T308))</f>
        <v/>
      </c>
      <c r="E315" s="75" t="str">
        <f>IF($B315="","",INDEX(tblStock[Producto],'91_KPIS'!$T308))</f>
        <v/>
      </c>
      <c r="F315" s="76" t="str">
        <f>IF($B315="","",INDEX(tblStock[Unidad],'91_KPIS'!$T308))</f>
        <v/>
      </c>
      <c r="G315" s="77" t="str">
        <f>IF($B315="","",INDEX(tblStock[StockActual],'91_KPIS'!$T308))</f>
        <v/>
      </c>
      <c r="H315" s="78" t="str">
        <f>IF($B315="","",INDEX(tblStock[StockMin],'91_KPIS'!$T308))</f>
        <v/>
      </c>
      <c r="I315" s="78" t="str">
        <f>IF($B315="","",INDEX(tblStock[StockMax],'91_KPIS'!$T308))</f>
        <v/>
      </c>
      <c r="J315" s="79" t="str">
        <f>IF($B315="","",INDEX(tblStock[Estado],'91_KPIS'!$T308))</f>
        <v/>
      </c>
      <c r="K315" s="80" t="str">
        <f t="shared" si="8"/>
        <v/>
      </c>
      <c r="L315" s="81" t="str">
        <f>IF($B315="","",INDEX(tblStock[CostoUnitario],'91_KPIS'!$T308))</f>
        <v/>
      </c>
      <c r="M315" s="82" t="str">
        <f t="shared" si="9"/>
        <v/>
      </c>
    </row>
    <row r="316" spans="2:13" ht="15.75" x14ac:dyDescent="0.25">
      <c r="B316" s="74" t="str">
        <f>IF('91_KPIS'!$T309="","",302)</f>
        <v/>
      </c>
      <c r="C316" s="75" t="str">
        <f>IF($B316="","",IF(INDEX(tblStock[Proveedor],'91_KPIS'!$T309)="","(Sin proveedor)",INDEX(tblStock[Proveedor],'91_KPIS'!$T309)))</f>
        <v/>
      </c>
      <c r="D316" s="76" t="str">
        <f>IF($B316="","",INDEX(tblStock[SKU],'91_KPIS'!$T309))</f>
        <v/>
      </c>
      <c r="E316" s="75" t="str">
        <f>IF($B316="","",INDEX(tblStock[Producto],'91_KPIS'!$T309))</f>
        <v/>
      </c>
      <c r="F316" s="76" t="str">
        <f>IF($B316="","",INDEX(tblStock[Unidad],'91_KPIS'!$T309))</f>
        <v/>
      </c>
      <c r="G316" s="77" t="str">
        <f>IF($B316="","",INDEX(tblStock[StockActual],'91_KPIS'!$T309))</f>
        <v/>
      </c>
      <c r="H316" s="78" t="str">
        <f>IF($B316="","",INDEX(tblStock[StockMin],'91_KPIS'!$T309))</f>
        <v/>
      </c>
      <c r="I316" s="78" t="str">
        <f>IF($B316="","",INDEX(tblStock[StockMax],'91_KPIS'!$T309))</f>
        <v/>
      </c>
      <c r="J316" s="79" t="str">
        <f>IF($B316="","",INDEX(tblStock[Estado],'91_KPIS'!$T309))</f>
        <v/>
      </c>
      <c r="K316" s="80" t="str">
        <f t="shared" si="8"/>
        <v/>
      </c>
      <c r="L316" s="81" t="str">
        <f>IF($B316="","",INDEX(tblStock[CostoUnitario],'91_KPIS'!$T309))</f>
        <v/>
      </c>
      <c r="M316" s="82" t="str">
        <f t="shared" si="9"/>
        <v/>
      </c>
    </row>
    <row r="317" spans="2:13" ht="15.75" x14ac:dyDescent="0.25">
      <c r="B317" s="74" t="str">
        <f>IF('91_KPIS'!$T310="","",303)</f>
        <v/>
      </c>
      <c r="C317" s="75" t="str">
        <f>IF($B317="","",IF(INDEX(tblStock[Proveedor],'91_KPIS'!$T310)="","(Sin proveedor)",INDEX(tblStock[Proveedor],'91_KPIS'!$T310)))</f>
        <v/>
      </c>
      <c r="D317" s="76" t="str">
        <f>IF($B317="","",INDEX(tblStock[SKU],'91_KPIS'!$T310))</f>
        <v/>
      </c>
      <c r="E317" s="75" t="str">
        <f>IF($B317="","",INDEX(tblStock[Producto],'91_KPIS'!$T310))</f>
        <v/>
      </c>
      <c r="F317" s="76" t="str">
        <f>IF($B317="","",INDEX(tblStock[Unidad],'91_KPIS'!$T310))</f>
        <v/>
      </c>
      <c r="G317" s="77" t="str">
        <f>IF($B317="","",INDEX(tblStock[StockActual],'91_KPIS'!$T310))</f>
        <v/>
      </c>
      <c r="H317" s="78" t="str">
        <f>IF($B317="","",INDEX(tblStock[StockMin],'91_KPIS'!$T310))</f>
        <v/>
      </c>
      <c r="I317" s="78" t="str">
        <f>IF($B317="","",INDEX(tblStock[StockMax],'91_KPIS'!$T310))</f>
        <v/>
      </c>
      <c r="J317" s="79" t="str">
        <f>IF($B317="","",INDEX(tblStock[Estado],'91_KPIS'!$T310))</f>
        <v/>
      </c>
      <c r="K317" s="80" t="str">
        <f t="shared" si="8"/>
        <v/>
      </c>
      <c r="L317" s="81" t="str">
        <f>IF($B317="","",INDEX(tblStock[CostoUnitario],'91_KPIS'!$T310))</f>
        <v/>
      </c>
      <c r="M317" s="82" t="str">
        <f t="shared" si="9"/>
        <v/>
      </c>
    </row>
    <row r="318" spans="2:13" ht="15.75" x14ac:dyDescent="0.25">
      <c r="B318" s="74" t="str">
        <f>IF('91_KPIS'!$T311="","",304)</f>
        <v/>
      </c>
      <c r="C318" s="75" t="str">
        <f>IF($B318="","",IF(INDEX(tblStock[Proveedor],'91_KPIS'!$T311)="","(Sin proveedor)",INDEX(tblStock[Proveedor],'91_KPIS'!$T311)))</f>
        <v/>
      </c>
      <c r="D318" s="76" t="str">
        <f>IF($B318="","",INDEX(tblStock[SKU],'91_KPIS'!$T311))</f>
        <v/>
      </c>
      <c r="E318" s="75" t="str">
        <f>IF($B318="","",INDEX(tblStock[Producto],'91_KPIS'!$T311))</f>
        <v/>
      </c>
      <c r="F318" s="76" t="str">
        <f>IF($B318="","",INDEX(tblStock[Unidad],'91_KPIS'!$T311))</f>
        <v/>
      </c>
      <c r="G318" s="77" t="str">
        <f>IF($B318="","",INDEX(tblStock[StockActual],'91_KPIS'!$T311))</f>
        <v/>
      </c>
      <c r="H318" s="78" t="str">
        <f>IF($B318="","",INDEX(tblStock[StockMin],'91_KPIS'!$T311))</f>
        <v/>
      </c>
      <c r="I318" s="78" t="str">
        <f>IF($B318="","",INDEX(tblStock[StockMax],'91_KPIS'!$T311))</f>
        <v/>
      </c>
      <c r="J318" s="79" t="str">
        <f>IF($B318="","",INDEX(tblStock[Estado],'91_KPIS'!$T311))</f>
        <v/>
      </c>
      <c r="K318" s="80" t="str">
        <f t="shared" si="8"/>
        <v/>
      </c>
      <c r="L318" s="81" t="str">
        <f>IF($B318="","",INDEX(tblStock[CostoUnitario],'91_KPIS'!$T311))</f>
        <v/>
      </c>
      <c r="M318" s="82" t="str">
        <f t="shared" si="9"/>
        <v/>
      </c>
    </row>
    <row r="319" spans="2:13" ht="15.75" x14ac:dyDescent="0.25">
      <c r="B319" s="74" t="str">
        <f>IF('91_KPIS'!$T312="","",305)</f>
        <v/>
      </c>
      <c r="C319" s="75" t="str">
        <f>IF($B319="","",IF(INDEX(tblStock[Proveedor],'91_KPIS'!$T312)="","(Sin proveedor)",INDEX(tblStock[Proveedor],'91_KPIS'!$T312)))</f>
        <v/>
      </c>
      <c r="D319" s="76" t="str">
        <f>IF($B319="","",INDEX(tblStock[SKU],'91_KPIS'!$T312))</f>
        <v/>
      </c>
      <c r="E319" s="75" t="str">
        <f>IF($B319="","",INDEX(tblStock[Producto],'91_KPIS'!$T312))</f>
        <v/>
      </c>
      <c r="F319" s="76" t="str">
        <f>IF($B319="","",INDEX(tblStock[Unidad],'91_KPIS'!$T312))</f>
        <v/>
      </c>
      <c r="G319" s="77" t="str">
        <f>IF($B319="","",INDEX(tblStock[StockActual],'91_KPIS'!$T312))</f>
        <v/>
      </c>
      <c r="H319" s="78" t="str">
        <f>IF($B319="","",INDEX(tblStock[StockMin],'91_KPIS'!$T312))</f>
        <v/>
      </c>
      <c r="I319" s="78" t="str">
        <f>IF($B319="","",INDEX(tblStock[StockMax],'91_KPIS'!$T312))</f>
        <v/>
      </c>
      <c r="J319" s="79" t="str">
        <f>IF($B319="","",INDEX(tblStock[Estado],'91_KPIS'!$T312))</f>
        <v/>
      </c>
      <c r="K319" s="80" t="str">
        <f t="shared" si="8"/>
        <v/>
      </c>
      <c r="L319" s="81" t="str">
        <f>IF($B319="","",INDEX(tblStock[CostoUnitario],'91_KPIS'!$T312))</f>
        <v/>
      </c>
      <c r="M319" s="82" t="str">
        <f t="shared" si="9"/>
        <v/>
      </c>
    </row>
    <row r="320" spans="2:13" ht="15.75" x14ac:dyDescent="0.25">
      <c r="B320" s="74" t="str">
        <f>IF('91_KPIS'!$T313="","",306)</f>
        <v/>
      </c>
      <c r="C320" s="75" t="str">
        <f>IF($B320="","",IF(INDEX(tblStock[Proveedor],'91_KPIS'!$T313)="","(Sin proveedor)",INDEX(tblStock[Proveedor],'91_KPIS'!$T313)))</f>
        <v/>
      </c>
      <c r="D320" s="76" t="str">
        <f>IF($B320="","",INDEX(tblStock[SKU],'91_KPIS'!$T313))</f>
        <v/>
      </c>
      <c r="E320" s="75" t="str">
        <f>IF($B320="","",INDEX(tblStock[Producto],'91_KPIS'!$T313))</f>
        <v/>
      </c>
      <c r="F320" s="76" t="str">
        <f>IF($B320="","",INDEX(tblStock[Unidad],'91_KPIS'!$T313))</f>
        <v/>
      </c>
      <c r="G320" s="77" t="str">
        <f>IF($B320="","",INDEX(tblStock[StockActual],'91_KPIS'!$T313))</f>
        <v/>
      </c>
      <c r="H320" s="78" t="str">
        <f>IF($B320="","",INDEX(tblStock[StockMin],'91_KPIS'!$T313))</f>
        <v/>
      </c>
      <c r="I320" s="78" t="str">
        <f>IF($B320="","",INDEX(tblStock[StockMax],'91_KPIS'!$T313))</f>
        <v/>
      </c>
      <c r="J320" s="79" t="str">
        <f>IF($B320="","",INDEX(tblStock[Estado],'91_KPIS'!$T313))</f>
        <v/>
      </c>
      <c r="K320" s="80" t="str">
        <f t="shared" si="8"/>
        <v/>
      </c>
      <c r="L320" s="81" t="str">
        <f>IF($B320="","",INDEX(tblStock[CostoUnitario],'91_KPIS'!$T313))</f>
        <v/>
      </c>
      <c r="M320" s="82" t="str">
        <f t="shared" si="9"/>
        <v/>
      </c>
    </row>
    <row r="321" spans="2:13" ht="15.75" x14ac:dyDescent="0.25">
      <c r="B321" s="74" t="str">
        <f>IF('91_KPIS'!$T314="","",307)</f>
        <v/>
      </c>
      <c r="C321" s="75" t="str">
        <f>IF($B321="","",IF(INDEX(tblStock[Proveedor],'91_KPIS'!$T314)="","(Sin proveedor)",INDEX(tblStock[Proveedor],'91_KPIS'!$T314)))</f>
        <v/>
      </c>
      <c r="D321" s="76" t="str">
        <f>IF($B321="","",INDEX(tblStock[SKU],'91_KPIS'!$T314))</f>
        <v/>
      </c>
      <c r="E321" s="75" t="str">
        <f>IF($B321="","",INDEX(tblStock[Producto],'91_KPIS'!$T314))</f>
        <v/>
      </c>
      <c r="F321" s="76" t="str">
        <f>IF($B321="","",INDEX(tblStock[Unidad],'91_KPIS'!$T314))</f>
        <v/>
      </c>
      <c r="G321" s="77" t="str">
        <f>IF($B321="","",INDEX(tblStock[StockActual],'91_KPIS'!$T314))</f>
        <v/>
      </c>
      <c r="H321" s="78" t="str">
        <f>IF($B321="","",INDEX(tblStock[StockMin],'91_KPIS'!$T314))</f>
        <v/>
      </c>
      <c r="I321" s="78" t="str">
        <f>IF($B321="","",INDEX(tblStock[StockMax],'91_KPIS'!$T314))</f>
        <v/>
      </c>
      <c r="J321" s="79" t="str">
        <f>IF($B321="","",INDEX(tblStock[Estado],'91_KPIS'!$T314))</f>
        <v/>
      </c>
      <c r="K321" s="80" t="str">
        <f t="shared" si="8"/>
        <v/>
      </c>
      <c r="L321" s="81" t="str">
        <f>IF($B321="","",INDEX(tblStock[CostoUnitario],'91_KPIS'!$T314))</f>
        <v/>
      </c>
      <c r="M321" s="82" t="str">
        <f t="shared" si="9"/>
        <v/>
      </c>
    </row>
    <row r="322" spans="2:13" ht="15.75" x14ac:dyDescent="0.25">
      <c r="B322" s="74" t="str">
        <f>IF('91_KPIS'!$T315="","",308)</f>
        <v/>
      </c>
      <c r="C322" s="75" t="str">
        <f>IF($B322="","",IF(INDEX(tblStock[Proveedor],'91_KPIS'!$T315)="","(Sin proveedor)",INDEX(tblStock[Proveedor],'91_KPIS'!$T315)))</f>
        <v/>
      </c>
      <c r="D322" s="76" t="str">
        <f>IF($B322="","",INDEX(tblStock[SKU],'91_KPIS'!$T315))</f>
        <v/>
      </c>
      <c r="E322" s="75" t="str">
        <f>IF($B322="","",INDEX(tblStock[Producto],'91_KPIS'!$T315))</f>
        <v/>
      </c>
      <c r="F322" s="76" t="str">
        <f>IF($B322="","",INDEX(tblStock[Unidad],'91_KPIS'!$T315))</f>
        <v/>
      </c>
      <c r="G322" s="77" t="str">
        <f>IF($B322="","",INDEX(tblStock[StockActual],'91_KPIS'!$T315))</f>
        <v/>
      </c>
      <c r="H322" s="78" t="str">
        <f>IF($B322="","",INDEX(tblStock[StockMin],'91_KPIS'!$T315))</f>
        <v/>
      </c>
      <c r="I322" s="78" t="str">
        <f>IF($B322="","",INDEX(tblStock[StockMax],'91_KPIS'!$T315))</f>
        <v/>
      </c>
      <c r="J322" s="79" t="str">
        <f>IF($B322="","",INDEX(tblStock[Estado],'91_KPIS'!$T315))</f>
        <v/>
      </c>
      <c r="K322" s="80" t="str">
        <f t="shared" si="8"/>
        <v/>
      </c>
      <c r="L322" s="81" t="str">
        <f>IF($B322="","",INDEX(tblStock[CostoUnitario],'91_KPIS'!$T315))</f>
        <v/>
      </c>
      <c r="M322" s="82" t="str">
        <f t="shared" si="9"/>
        <v/>
      </c>
    </row>
    <row r="323" spans="2:13" ht="15.75" x14ac:dyDescent="0.25">
      <c r="B323" s="74" t="str">
        <f>IF('91_KPIS'!$T316="","",309)</f>
        <v/>
      </c>
      <c r="C323" s="75" t="str">
        <f>IF($B323="","",IF(INDEX(tblStock[Proveedor],'91_KPIS'!$T316)="","(Sin proveedor)",INDEX(tblStock[Proveedor],'91_KPIS'!$T316)))</f>
        <v/>
      </c>
      <c r="D323" s="76" t="str">
        <f>IF($B323="","",INDEX(tblStock[SKU],'91_KPIS'!$T316))</f>
        <v/>
      </c>
      <c r="E323" s="75" t="str">
        <f>IF($B323="","",INDEX(tblStock[Producto],'91_KPIS'!$T316))</f>
        <v/>
      </c>
      <c r="F323" s="76" t="str">
        <f>IF($B323="","",INDEX(tblStock[Unidad],'91_KPIS'!$T316))</f>
        <v/>
      </c>
      <c r="G323" s="77" t="str">
        <f>IF($B323="","",INDEX(tblStock[StockActual],'91_KPIS'!$T316))</f>
        <v/>
      </c>
      <c r="H323" s="78" t="str">
        <f>IF($B323="","",INDEX(tblStock[StockMin],'91_KPIS'!$T316))</f>
        <v/>
      </c>
      <c r="I323" s="78" t="str">
        <f>IF($B323="","",INDEX(tblStock[StockMax],'91_KPIS'!$T316))</f>
        <v/>
      </c>
      <c r="J323" s="79" t="str">
        <f>IF($B323="","",INDEX(tblStock[Estado],'91_KPIS'!$T316))</f>
        <v/>
      </c>
      <c r="K323" s="80" t="str">
        <f t="shared" si="8"/>
        <v/>
      </c>
      <c r="L323" s="81" t="str">
        <f>IF($B323="","",INDEX(tblStock[CostoUnitario],'91_KPIS'!$T316))</f>
        <v/>
      </c>
      <c r="M323" s="82" t="str">
        <f t="shared" si="9"/>
        <v/>
      </c>
    </row>
    <row r="324" spans="2:13" ht="15.75" x14ac:dyDescent="0.25">
      <c r="B324" s="74" t="str">
        <f>IF('91_KPIS'!$T317="","",310)</f>
        <v/>
      </c>
      <c r="C324" s="75" t="str">
        <f>IF($B324="","",IF(INDEX(tblStock[Proveedor],'91_KPIS'!$T317)="","(Sin proveedor)",INDEX(tblStock[Proveedor],'91_KPIS'!$T317)))</f>
        <v/>
      </c>
      <c r="D324" s="76" t="str">
        <f>IF($B324="","",INDEX(tblStock[SKU],'91_KPIS'!$T317))</f>
        <v/>
      </c>
      <c r="E324" s="75" t="str">
        <f>IF($B324="","",INDEX(tblStock[Producto],'91_KPIS'!$T317))</f>
        <v/>
      </c>
      <c r="F324" s="76" t="str">
        <f>IF($B324="","",INDEX(tblStock[Unidad],'91_KPIS'!$T317))</f>
        <v/>
      </c>
      <c r="G324" s="77" t="str">
        <f>IF($B324="","",INDEX(tblStock[StockActual],'91_KPIS'!$T317))</f>
        <v/>
      </c>
      <c r="H324" s="78" t="str">
        <f>IF($B324="","",INDEX(tblStock[StockMin],'91_KPIS'!$T317))</f>
        <v/>
      </c>
      <c r="I324" s="78" t="str">
        <f>IF($B324="","",INDEX(tblStock[StockMax],'91_KPIS'!$T317))</f>
        <v/>
      </c>
      <c r="J324" s="79" t="str">
        <f>IF($B324="","",INDEX(tblStock[Estado],'91_KPIS'!$T317))</f>
        <v/>
      </c>
      <c r="K324" s="80" t="str">
        <f t="shared" si="8"/>
        <v/>
      </c>
      <c r="L324" s="81" t="str">
        <f>IF($B324="","",INDEX(tblStock[CostoUnitario],'91_KPIS'!$T317))</f>
        <v/>
      </c>
      <c r="M324" s="82" t="str">
        <f t="shared" si="9"/>
        <v/>
      </c>
    </row>
    <row r="325" spans="2:13" ht="15.75" x14ac:dyDescent="0.25">
      <c r="B325" s="74" t="str">
        <f>IF('91_KPIS'!$T318="","",311)</f>
        <v/>
      </c>
      <c r="C325" s="75" t="str">
        <f>IF($B325="","",IF(INDEX(tblStock[Proveedor],'91_KPIS'!$T318)="","(Sin proveedor)",INDEX(tblStock[Proveedor],'91_KPIS'!$T318)))</f>
        <v/>
      </c>
      <c r="D325" s="76" t="str">
        <f>IF($B325="","",INDEX(tblStock[SKU],'91_KPIS'!$T318))</f>
        <v/>
      </c>
      <c r="E325" s="75" t="str">
        <f>IF($B325="","",INDEX(tblStock[Producto],'91_KPIS'!$T318))</f>
        <v/>
      </c>
      <c r="F325" s="76" t="str">
        <f>IF($B325="","",INDEX(tblStock[Unidad],'91_KPIS'!$T318))</f>
        <v/>
      </c>
      <c r="G325" s="77" t="str">
        <f>IF($B325="","",INDEX(tblStock[StockActual],'91_KPIS'!$T318))</f>
        <v/>
      </c>
      <c r="H325" s="78" t="str">
        <f>IF($B325="","",INDEX(tblStock[StockMin],'91_KPIS'!$T318))</f>
        <v/>
      </c>
      <c r="I325" s="78" t="str">
        <f>IF($B325="","",INDEX(tblStock[StockMax],'91_KPIS'!$T318))</f>
        <v/>
      </c>
      <c r="J325" s="79" t="str">
        <f>IF($B325="","",INDEX(tblStock[Estado],'91_KPIS'!$T318))</f>
        <v/>
      </c>
      <c r="K325" s="80" t="str">
        <f t="shared" si="8"/>
        <v/>
      </c>
      <c r="L325" s="81" t="str">
        <f>IF($B325="","",INDEX(tblStock[CostoUnitario],'91_KPIS'!$T318))</f>
        <v/>
      </c>
      <c r="M325" s="82" t="str">
        <f t="shared" si="9"/>
        <v/>
      </c>
    </row>
    <row r="326" spans="2:13" ht="15.75" x14ac:dyDescent="0.25">
      <c r="B326" s="74" t="str">
        <f>IF('91_KPIS'!$T319="","",312)</f>
        <v/>
      </c>
      <c r="C326" s="75" t="str">
        <f>IF($B326="","",IF(INDEX(tblStock[Proveedor],'91_KPIS'!$T319)="","(Sin proveedor)",INDEX(tblStock[Proveedor],'91_KPIS'!$T319)))</f>
        <v/>
      </c>
      <c r="D326" s="76" t="str">
        <f>IF($B326="","",INDEX(tblStock[SKU],'91_KPIS'!$T319))</f>
        <v/>
      </c>
      <c r="E326" s="75" t="str">
        <f>IF($B326="","",INDEX(tblStock[Producto],'91_KPIS'!$T319))</f>
        <v/>
      </c>
      <c r="F326" s="76" t="str">
        <f>IF($B326="","",INDEX(tblStock[Unidad],'91_KPIS'!$T319))</f>
        <v/>
      </c>
      <c r="G326" s="77" t="str">
        <f>IF($B326="","",INDEX(tblStock[StockActual],'91_KPIS'!$T319))</f>
        <v/>
      </c>
      <c r="H326" s="78" t="str">
        <f>IF($B326="","",INDEX(tblStock[StockMin],'91_KPIS'!$T319))</f>
        <v/>
      </c>
      <c r="I326" s="78" t="str">
        <f>IF($B326="","",INDEX(tblStock[StockMax],'91_KPIS'!$T319))</f>
        <v/>
      </c>
      <c r="J326" s="79" t="str">
        <f>IF($B326="","",INDEX(tblStock[Estado],'91_KPIS'!$T319))</f>
        <v/>
      </c>
      <c r="K326" s="80" t="str">
        <f t="shared" si="8"/>
        <v/>
      </c>
      <c r="L326" s="81" t="str">
        <f>IF($B326="","",INDEX(tblStock[CostoUnitario],'91_KPIS'!$T319))</f>
        <v/>
      </c>
      <c r="M326" s="82" t="str">
        <f t="shared" si="9"/>
        <v/>
      </c>
    </row>
    <row r="327" spans="2:13" ht="15.75" x14ac:dyDescent="0.25">
      <c r="B327" s="74" t="str">
        <f>IF('91_KPIS'!$T320="","",313)</f>
        <v/>
      </c>
      <c r="C327" s="75" t="str">
        <f>IF($B327="","",IF(INDEX(tblStock[Proveedor],'91_KPIS'!$T320)="","(Sin proveedor)",INDEX(tblStock[Proveedor],'91_KPIS'!$T320)))</f>
        <v/>
      </c>
      <c r="D327" s="76" t="str">
        <f>IF($B327="","",INDEX(tblStock[SKU],'91_KPIS'!$T320))</f>
        <v/>
      </c>
      <c r="E327" s="75" t="str">
        <f>IF($B327="","",INDEX(tblStock[Producto],'91_KPIS'!$T320))</f>
        <v/>
      </c>
      <c r="F327" s="76" t="str">
        <f>IF($B327="","",INDEX(tblStock[Unidad],'91_KPIS'!$T320))</f>
        <v/>
      </c>
      <c r="G327" s="77" t="str">
        <f>IF($B327="","",INDEX(tblStock[StockActual],'91_KPIS'!$T320))</f>
        <v/>
      </c>
      <c r="H327" s="78" t="str">
        <f>IF($B327="","",INDEX(tblStock[StockMin],'91_KPIS'!$T320))</f>
        <v/>
      </c>
      <c r="I327" s="78" t="str">
        <f>IF($B327="","",INDEX(tblStock[StockMax],'91_KPIS'!$T320))</f>
        <v/>
      </c>
      <c r="J327" s="79" t="str">
        <f>IF($B327="","",INDEX(tblStock[Estado],'91_KPIS'!$T320))</f>
        <v/>
      </c>
      <c r="K327" s="80" t="str">
        <f t="shared" si="8"/>
        <v/>
      </c>
      <c r="L327" s="81" t="str">
        <f>IF($B327="","",INDEX(tblStock[CostoUnitario],'91_KPIS'!$T320))</f>
        <v/>
      </c>
      <c r="M327" s="82" t="str">
        <f t="shared" si="9"/>
        <v/>
      </c>
    </row>
    <row r="328" spans="2:13" ht="15.75" x14ac:dyDescent="0.25">
      <c r="B328" s="74" t="str">
        <f>IF('91_KPIS'!$T321="","",314)</f>
        <v/>
      </c>
      <c r="C328" s="75" t="str">
        <f>IF($B328="","",IF(INDEX(tblStock[Proveedor],'91_KPIS'!$T321)="","(Sin proveedor)",INDEX(tblStock[Proveedor],'91_KPIS'!$T321)))</f>
        <v/>
      </c>
      <c r="D328" s="76" t="str">
        <f>IF($B328="","",INDEX(tblStock[SKU],'91_KPIS'!$T321))</f>
        <v/>
      </c>
      <c r="E328" s="75" t="str">
        <f>IF($B328="","",INDEX(tblStock[Producto],'91_KPIS'!$T321))</f>
        <v/>
      </c>
      <c r="F328" s="76" t="str">
        <f>IF($B328="","",INDEX(tblStock[Unidad],'91_KPIS'!$T321))</f>
        <v/>
      </c>
      <c r="G328" s="77" t="str">
        <f>IF($B328="","",INDEX(tblStock[StockActual],'91_KPIS'!$T321))</f>
        <v/>
      </c>
      <c r="H328" s="78" t="str">
        <f>IF($B328="","",INDEX(tblStock[StockMin],'91_KPIS'!$T321))</f>
        <v/>
      </c>
      <c r="I328" s="78" t="str">
        <f>IF($B328="","",INDEX(tblStock[StockMax],'91_KPIS'!$T321))</f>
        <v/>
      </c>
      <c r="J328" s="79" t="str">
        <f>IF($B328="","",INDEX(tblStock[Estado],'91_KPIS'!$T321))</f>
        <v/>
      </c>
      <c r="K328" s="80" t="str">
        <f t="shared" si="8"/>
        <v/>
      </c>
      <c r="L328" s="81" t="str">
        <f>IF($B328="","",INDEX(tblStock[CostoUnitario],'91_KPIS'!$T321))</f>
        <v/>
      </c>
      <c r="M328" s="82" t="str">
        <f t="shared" si="9"/>
        <v/>
      </c>
    </row>
    <row r="329" spans="2:13" ht="15.75" x14ac:dyDescent="0.25">
      <c r="B329" s="74" t="str">
        <f>IF('91_KPIS'!$T322="","",315)</f>
        <v/>
      </c>
      <c r="C329" s="75" t="str">
        <f>IF($B329="","",IF(INDEX(tblStock[Proveedor],'91_KPIS'!$T322)="","(Sin proveedor)",INDEX(tblStock[Proveedor],'91_KPIS'!$T322)))</f>
        <v/>
      </c>
      <c r="D329" s="76" t="str">
        <f>IF($B329="","",INDEX(tblStock[SKU],'91_KPIS'!$T322))</f>
        <v/>
      </c>
      <c r="E329" s="75" t="str">
        <f>IF($B329="","",INDEX(tblStock[Producto],'91_KPIS'!$T322))</f>
        <v/>
      </c>
      <c r="F329" s="76" t="str">
        <f>IF($B329="","",INDEX(tblStock[Unidad],'91_KPIS'!$T322))</f>
        <v/>
      </c>
      <c r="G329" s="77" t="str">
        <f>IF($B329="","",INDEX(tblStock[StockActual],'91_KPIS'!$T322))</f>
        <v/>
      </c>
      <c r="H329" s="78" t="str">
        <f>IF($B329="","",INDEX(tblStock[StockMin],'91_KPIS'!$T322))</f>
        <v/>
      </c>
      <c r="I329" s="78" t="str">
        <f>IF($B329="","",INDEX(tblStock[StockMax],'91_KPIS'!$T322))</f>
        <v/>
      </c>
      <c r="J329" s="79" t="str">
        <f>IF($B329="","",INDEX(tblStock[Estado],'91_KPIS'!$T322))</f>
        <v/>
      </c>
      <c r="K329" s="80" t="str">
        <f t="shared" si="8"/>
        <v/>
      </c>
      <c r="L329" s="81" t="str">
        <f>IF($B329="","",INDEX(tblStock[CostoUnitario],'91_KPIS'!$T322))</f>
        <v/>
      </c>
      <c r="M329" s="82" t="str">
        <f t="shared" si="9"/>
        <v/>
      </c>
    </row>
    <row r="330" spans="2:13" ht="15.75" x14ac:dyDescent="0.25">
      <c r="B330" s="74" t="str">
        <f>IF('91_KPIS'!$T323="","",316)</f>
        <v/>
      </c>
      <c r="C330" s="75" t="str">
        <f>IF($B330="","",IF(INDEX(tblStock[Proveedor],'91_KPIS'!$T323)="","(Sin proveedor)",INDEX(tblStock[Proveedor],'91_KPIS'!$T323)))</f>
        <v/>
      </c>
      <c r="D330" s="76" t="str">
        <f>IF($B330="","",INDEX(tblStock[SKU],'91_KPIS'!$T323))</f>
        <v/>
      </c>
      <c r="E330" s="75" t="str">
        <f>IF($B330="","",INDEX(tblStock[Producto],'91_KPIS'!$T323))</f>
        <v/>
      </c>
      <c r="F330" s="76" t="str">
        <f>IF($B330="","",INDEX(tblStock[Unidad],'91_KPIS'!$T323))</f>
        <v/>
      </c>
      <c r="G330" s="77" t="str">
        <f>IF($B330="","",INDEX(tblStock[StockActual],'91_KPIS'!$T323))</f>
        <v/>
      </c>
      <c r="H330" s="78" t="str">
        <f>IF($B330="","",INDEX(tblStock[StockMin],'91_KPIS'!$T323))</f>
        <v/>
      </c>
      <c r="I330" s="78" t="str">
        <f>IF($B330="","",INDEX(tblStock[StockMax],'91_KPIS'!$T323))</f>
        <v/>
      </c>
      <c r="J330" s="79" t="str">
        <f>IF($B330="","",INDEX(tblStock[Estado],'91_KPIS'!$T323))</f>
        <v/>
      </c>
      <c r="K330" s="80" t="str">
        <f t="shared" si="8"/>
        <v/>
      </c>
      <c r="L330" s="81" t="str">
        <f>IF($B330="","",INDEX(tblStock[CostoUnitario],'91_KPIS'!$T323))</f>
        <v/>
      </c>
      <c r="M330" s="82" t="str">
        <f t="shared" si="9"/>
        <v/>
      </c>
    </row>
    <row r="331" spans="2:13" ht="15.75" x14ac:dyDescent="0.25">
      <c r="B331" s="74" t="str">
        <f>IF('91_KPIS'!$T324="","",317)</f>
        <v/>
      </c>
      <c r="C331" s="75" t="str">
        <f>IF($B331="","",IF(INDEX(tblStock[Proveedor],'91_KPIS'!$T324)="","(Sin proveedor)",INDEX(tblStock[Proveedor],'91_KPIS'!$T324)))</f>
        <v/>
      </c>
      <c r="D331" s="76" t="str">
        <f>IF($B331="","",INDEX(tblStock[SKU],'91_KPIS'!$T324))</f>
        <v/>
      </c>
      <c r="E331" s="75" t="str">
        <f>IF($B331="","",INDEX(tblStock[Producto],'91_KPIS'!$T324))</f>
        <v/>
      </c>
      <c r="F331" s="76" t="str">
        <f>IF($B331="","",INDEX(tblStock[Unidad],'91_KPIS'!$T324))</f>
        <v/>
      </c>
      <c r="G331" s="77" t="str">
        <f>IF($B331="","",INDEX(tblStock[StockActual],'91_KPIS'!$T324))</f>
        <v/>
      </c>
      <c r="H331" s="78" t="str">
        <f>IF($B331="","",INDEX(tblStock[StockMin],'91_KPIS'!$T324))</f>
        <v/>
      </c>
      <c r="I331" s="78" t="str">
        <f>IF($B331="","",INDEX(tblStock[StockMax],'91_KPIS'!$T324))</f>
        <v/>
      </c>
      <c r="J331" s="79" t="str">
        <f>IF($B331="","",INDEX(tblStock[Estado],'91_KPIS'!$T324))</f>
        <v/>
      </c>
      <c r="K331" s="80" t="str">
        <f t="shared" si="8"/>
        <v/>
      </c>
      <c r="L331" s="81" t="str">
        <f>IF($B331="","",INDEX(tblStock[CostoUnitario],'91_KPIS'!$T324))</f>
        <v/>
      </c>
      <c r="M331" s="82" t="str">
        <f t="shared" si="9"/>
        <v/>
      </c>
    </row>
    <row r="332" spans="2:13" ht="15.75" x14ac:dyDescent="0.25">
      <c r="B332" s="74" t="str">
        <f>IF('91_KPIS'!$T325="","",318)</f>
        <v/>
      </c>
      <c r="C332" s="75" t="str">
        <f>IF($B332="","",IF(INDEX(tblStock[Proveedor],'91_KPIS'!$T325)="","(Sin proveedor)",INDEX(tblStock[Proveedor],'91_KPIS'!$T325)))</f>
        <v/>
      </c>
      <c r="D332" s="76" t="str">
        <f>IF($B332="","",INDEX(tblStock[SKU],'91_KPIS'!$T325))</f>
        <v/>
      </c>
      <c r="E332" s="75" t="str">
        <f>IF($B332="","",INDEX(tblStock[Producto],'91_KPIS'!$T325))</f>
        <v/>
      </c>
      <c r="F332" s="76" t="str">
        <f>IF($B332="","",INDEX(tblStock[Unidad],'91_KPIS'!$T325))</f>
        <v/>
      </c>
      <c r="G332" s="77" t="str">
        <f>IF($B332="","",INDEX(tblStock[StockActual],'91_KPIS'!$T325))</f>
        <v/>
      </c>
      <c r="H332" s="78" t="str">
        <f>IF($B332="","",INDEX(tblStock[StockMin],'91_KPIS'!$T325))</f>
        <v/>
      </c>
      <c r="I332" s="78" t="str">
        <f>IF($B332="","",INDEX(tblStock[StockMax],'91_KPIS'!$T325))</f>
        <v/>
      </c>
      <c r="J332" s="79" t="str">
        <f>IF($B332="","",INDEX(tblStock[Estado],'91_KPIS'!$T325))</f>
        <v/>
      </c>
      <c r="K332" s="80" t="str">
        <f t="shared" si="8"/>
        <v/>
      </c>
      <c r="L332" s="81" t="str">
        <f>IF($B332="","",INDEX(tblStock[CostoUnitario],'91_KPIS'!$T325))</f>
        <v/>
      </c>
      <c r="M332" s="82" t="str">
        <f t="shared" si="9"/>
        <v/>
      </c>
    </row>
    <row r="333" spans="2:13" ht="15.75" x14ac:dyDescent="0.25">
      <c r="B333" s="74" t="str">
        <f>IF('91_KPIS'!$T326="","",319)</f>
        <v/>
      </c>
      <c r="C333" s="75" t="str">
        <f>IF($B333="","",IF(INDEX(tblStock[Proveedor],'91_KPIS'!$T326)="","(Sin proveedor)",INDEX(tblStock[Proveedor],'91_KPIS'!$T326)))</f>
        <v/>
      </c>
      <c r="D333" s="76" t="str">
        <f>IF($B333="","",INDEX(tblStock[SKU],'91_KPIS'!$T326))</f>
        <v/>
      </c>
      <c r="E333" s="75" t="str">
        <f>IF($B333="","",INDEX(tblStock[Producto],'91_KPIS'!$T326))</f>
        <v/>
      </c>
      <c r="F333" s="76" t="str">
        <f>IF($B333="","",INDEX(tblStock[Unidad],'91_KPIS'!$T326))</f>
        <v/>
      </c>
      <c r="G333" s="77" t="str">
        <f>IF($B333="","",INDEX(tblStock[StockActual],'91_KPIS'!$T326))</f>
        <v/>
      </c>
      <c r="H333" s="78" t="str">
        <f>IF($B333="","",INDEX(tblStock[StockMin],'91_KPIS'!$T326))</f>
        <v/>
      </c>
      <c r="I333" s="78" t="str">
        <f>IF($B333="","",INDEX(tblStock[StockMax],'91_KPIS'!$T326))</f>
        <v/>
      </c>
      <c r="J333" s="79" t="str">
        <f>IF($B333="","",INDEX(tblStock[Estado],'91_KPIS'!$T326))</f>
        <v/>
      </c>
      <c r="K333" s="80" t="str">
        <f t="shared" si="8"/>
        <v/>
      </c>
      <c r="L333" s="81" t="str">
        <f>IF($B333="","",INDEX(tblStock[CostoUnitario],'91_KPIS'!$T326))</f>
        <v/>
      </c>
      <c r="M333" s="82" t="str">
        <f t="shared" si="9"/>
        <v/>
      </c>
    </row>
    <row r="334" spans="2:13" ht="15.75" x14ac:dyDescent="0.25">
      <c r="B334" s="74" t="str">
        <f>IF('91_KPIS'!$T327="","",320)</f>
        <v/>
      </c>
      <c r="C334" s="75" t="str">
        <f>IF($B334="","",IF(INDEX(tblStock[Proveedor],'91_KPIS'!$T327)="","(Sin proveedor)",INDEX(tblStock[Proveedor],'91_KPIS'!$T327)))</f>
        <v/>
      </c>
      <c r="D334" s="76" t="str">
        <f>IF($B334="","",INDEX(tblStock[SKU],'91_KPIS'!$T327))</f>
        <v/>
      </c>
      <c r="E334" s="75" t="str">
        <f>IF($B334="","",INDEX(tblStock[Producto],'91_KPIS'!$T327))</f>
        <v/>
      </c>
      <c r="F334" s="76" t="str">
        <f>IF($B334="","",INDEX(tblStock[Unidad],'91_KPIS'!$T327))</f>
        <v/>
      </c>
      <c r="G334" s="77" t="str">
        <f>IF($B334="","",INDEX(tblStock[StockActual],'91_KPIS'!$T327))</f>
        <v/>
      </c>
      <c r="H334" s="78" t="str">
        <f>IF($B334="","",INDEX(tblStock[StockMin],'91_KPIS'!$T327))</f>
        <v/>
      </c>
      <c r="I334" s="78" t="str">
        <f>IF($B334="","",INDEX(tblStock[StockMax],'91_KPIS'!$T327))</f>
        <v/>
      </c>
      <c r="J334" s="79" t="str">
        <f>IF($B334="","",INDEX(tblStock[Estado],'91_KPIS'!$T327))</f>
        <v/>
      </c>
      <c r="K334" s="80" t="str">
        <f t="shared" si="8"/>
        <v/>
      </c>
      <c r="L334" s="81" t="str">
        <f>IF($B334="","",INDEX(tblStock[CostoUnitario],'91_KPIS'!$T327))</f>
        <v/>
      </c>
      <c r="M334" s="82" t="str">
        <f t="shared" si="9"/>
        <v/>
      </c>
    </row>
    <row r="335" spans="2:13" ht="15.75" x14ac:dyDescent="0.25">
      <c r="B335" s="74" t="str">
        <f>IF('91_KPIS'!$T328="","",321)</f>
        <v/>
      </c>
      <c r="C335" s="75" t="str">
        <f>IF($B335="","",IF(INDEX(tblStock[Proveedor],'91_KPIS'!$T328)="","(Sin proveedor)",INDEX(tblStock[Proveedor],'91_KPIS'!$T328)))</f>
        <v/>
      </c>
      <c r="D335" s="76" t="str">
        <f>IF($B335="","",INDEX(tblStock[SKU],'91_KPIS'!$T328))</f>
        <v/>
      </c>
      <c r="E335" s="75" t="str">
        <f>IF($B335="","",INDEX(tblStock[Producto],'91_KPIS'!$T328))</f>
        <v/>
      </c>
      <c r="F335" s="76" t="str">
        <f>IF($B335="","",INDEX(tblStock[Unidad],'91_KPIS'!$T328))</f>
        <v/>
      </c>
      <c r="G335" s="77" t="str">
        <f>IF($B335="","",INDEX(tblStock[StockActual],'91_KPIS'!$T328))</f>
        <v/>
      </c>
      <c r="H335" s="78" t="str">
        <f>IF($B335="","",INDEX(tblStock[StockMin],'91_KPIS'!$T328))</f>
        <v/>
      </c>
      <c r="I335" s="78" t="str">
        <f>IF($B335="","",INDEX(tblStock[StockMax],'91_KPIS'!$T328))</f>
        <v/>
      </c>
      <c r="J335" s="79" t="str">
        <f>IF($B335="","",INDEX(tblStock[Estado],'91_KPIS'!$T328))</f>
        <v/>
      </c>
      <c r="K335" s="80" t="str">
        <f t="shared" ref="K335:K398" si="10">IF($B335="","",MAX(0,IF($I335&gt;0,$I335,2*$H335)-MAX(0,$G335)))</f>
        <v/>
      </c>
      <c r="L335" s="81" t="str">
        <f>IF($B335="","",INDEX(tblStock[CostoUnitario],'91_KPIS'!$T328))</f>
        <v/>
      </c>
      <c r="M335" s="82" t="str">
        <f t="shared" ref="M335:M398" si="11">IF($B335="","",$K335*$L335)</f>
        <v/>
      </c>
    </row>
    <row r="336" spans="2:13" ht="15.75" x14ac:dyDescent="0.25">
      <c r="B336" s="74" t="str">
        <f>IF('91_KPIS'!$T329="","",322)</f>
        <v/>
      </c>
      <c r="C336" s="75" t="str">
        <f>IF($B336="","",IF(INDEX(tblStock[Proveedor],'91_KPIS'!$T329)="","(Sin proveedor)",INDEX(tblStock[Proveedor],'91_KPIS'!$T329)))</f>
        <v/>
      </c>
      <c r="D336" s="76" t="str">
        <f>IF($B336="","",INDEX(tblStock[SKU],'91_KPIS'!$T329))</f>
        <v/>
      </c>
      <c r="E336" s="75" t="str">
        <f>IF($B336="","",INDEX(tblStock[Producto],'91_KPIS'!$T329))</f>
        <v/>
      </c>
      <c r="F336" s="76" t="str">
        <f>IF($B336="","",INDEX(tblStock[Unidad],'91_KPIS'!$T329))</f>
        <v/>
      </c>
      <c r="G336" s="77" t="str">
        <f>IF($B336="","",INDEX(tblStock[StockActual],'91_KPIS'!$T329))</f>
        <v/>
      </c>
      <c r="H336" s="78" t="str">
        <f>IF($B336="","",INDEX(tblStock[StockMin],'91_KPIS'!$T329))</f>
        <v/>
      </c>
      <c r="I336" s="78" t="str">
        <f>IF($B336="","",INDEX(tblStock[StockMax],'91_KPIS'!$T329))</f>
        <v/>
      </c>
      <c r="J336" s="79" t="str">
        <f>IF($B336="","",INDEX(tblStock[Estado],'91_KPIS'!$T329))</f>
        <v/>
      </c>
      <c r="K336" s="80" t="str">
        <f t="shared" si="10"/>
        <v/>
      </c>
      <c r="L336" s="81" t="str">
        <f>IF($B336="","",INDEX(tblStock[CostoUnitario],'91_KPIS'!$T329))</f>
        <v/>
      </c>
      <c r="M336" s="82" t="str">
        <f t="shared" si="11"/>
        <v/>
      </c>
    </row>
    <row r="337" spans="2:13" ht="15.75" x14ac:dyDescent="0.25">
      <c r="B337" s="74" t="str">
        <f>IF('91_KPIS'!$T330="","",323)</f>
        <v/>
      </c>
      <c r="C337" s="75" t="str">
        <f>IF($B337="","",IF(INDEX(tblStock[Proveedor],'91_KPIS'!$T330)="","(Sin proveedor)",INDEX(tblStock[Proveedor],'91_KPIS'!$T330)))</f>
        <v/>
      </c>
      <c r="D337" s="76" t="str">
        <f>IF($B337="","",INDEX(tblStock[SKU],'91_KPIS'!$T330))</f>
        <v/>
      </c>
      <c r="E337" s="75" t="str">
        <f>IF($B337="","",INDEX(tblStock[Producto],'91_KPIS'!$T330))</f>
        <v/>
      </c>
      <c r="F337" s="76" t="str">
        <f>IF($B337="","",INDEX(tblStock[Unidad],'91_KPIS'!$T330))</f>
        <v/>
      </c>
      <c r="G337" s="77" t="str">
        <f>IF($B337="","",INDEX(tblStock[StockActual],'91_KPIS'!$T330))</f>
        <v/>
      </c>
      <c r="H337" s="78" t="str">
        <f>IF($B337="","",INDEX(tblStock[StockMin],'91_KPIS'!$T330))</f>
        <v/>
      </c>
      <c r="I337" s="78" t="str">
        <f>IF($B337="","",INDEX(tblStock[StockMax],'91_KPIS'!$T330))</f>
        <v/>
      </c>
      <c r="J337" s="79" t="str">
        <f>IF($B337="","",INDEX(tblStock[Estado],'91_KPIS'!$T330))</f>
        <v/>
      </c>
      <c r="K337" s="80" t="str">
        <f t="shared" si="10"/>
        <v/>
      </c>
      <c r="L337" s="81" t="str">
        <f>IF($B337="","",INDEX(tblStock[CostoUnitario],'91_KPIS'!$T330))</f>
        <v/>
      </c>
      <c r="M337" s="82" t="str">
        <f t="shared" si="11"/>
        <v/>
      </c>
    </row>
    <row r="338" spans="2:13" ht="15.75" x14ac:dyDescent="0.25">
      <c r="B338" s="74" t="str">
        <f>IF('91_KPIS'!$T331="","",324)</f>
        <v/>
      </c>
      <c r="C338" s="75" t="str">
        <f>IF($B338="","",IF(INDEX(tblStock[Proveedor],'91_KPIS'!$T331)="","(Sin proveedor)",INDEX(tblStock[Proveedor],'91_KPIS'!$T331)))</f>
        <v/>
      </c>
      <c r="D338" s="76" t="str">
        <f>IF($B338="","",INDEX(tblStock[SKU],'91_KPIS'!$T331))</f>
        <v/>
      </c>
      <c r="E338" s="75" t="str">
        <f>IF($B338="","",INDEX(tblStock[Producto],'91_KPIS'!$T331))</f>
        <v/>
      </c>
      <c r="F338" s="76" t="str">
        <f>IF($B338="","",INDEX(tblStock[Unidad],'91_KPIS'!$T331))</f>
        <v/>
      </c>
      <c r="G338" s="77" t="str">
        <f>IF($B338="","",INDEX(tblStock[StockActual],'91_KPIS'!$T331))</f>
        <v/>
      </c>
      <c r="H338" s="78" t="str">
        <f>IF($B338="","",INDEX(tblStock[StockMin],'91_KPIS'!$T331))</f>
        <v/>
      </c>
      <c r="I338" s="78" t="str">
        <f>IF($B338="","",INDEX(tblStock[StockMax],'91_KPIS'!$T331))</f>
        <v/>
      </c>
      <c r="J338" s="79" t="str">
        <f>IF($B338="","",INDEX(tblStock[Estado],'91_KPIS'!$T331))</f>
        <v/>
      </c>
      <c r="K338" s="80" t="str">
        <f t="shared" si="10"/>
        <v/>
      </c>
      <c r="L338" s="81" t="str">
        <f>IF($B338="","",INDEX(tblStock[CostoUnitario],'91_KPIS'!$T331))</f>
        <v/>
      </c>
      <c r="M338" s="82" t="str">
        <f t="shared" si="11"/>
        <v/>
      </c>
    </row>
    <row r="339" spans="2:13" ht="15.75" x14ac:dyDescent="0.25">
      <c r="B339" s="74" t="str">
        <f>IF('91_KPIS'!$T332="","",325)</f>
        <v/>
      </c>
      <c r="C339" s="75" t="str">
        <f>IF($B339="","",IF(INDEX(tblStock[Proveedor],'91_KPIS'!$T332)="","(Sin proveedor)",INDEX(tblStock[Proveedor],'91_KPIS'!$T332)))</f>
        <v/>
      </c>
      <c r="D339" s="76" t="str">
        <f>IF($B339="","",INDEX(tblStock[SKU],'91_KPIS'!$T332))</f>
        <v/>
      </c>
      <c r="E339" s="75" t="str">
        <f>IF($B339="","",INDEX(tblStock[Producto],'91_KPIS'!$T332))</f>
        <v/>
      </c>
      <c r="F339" s="76" t="str">
        <f>IF($B339="","",INDEX(tblStock[Unidad],'91_KPIS'!$T332))</f>
        <v/>
      </c>
      <c r="G339" s="77" t="str">
        <f>IF($B339="","",INDEX(tblStock[StockActual],'91_KPIS'!$T332))</f>
        <v/>
      </c>
      <c r="H339" s="78" t="str">
        <f>IF($B339="","",INDEX(tblStock[StockMin],'91_KPIS'!$T332))</f>
        <v/>
      </c>
      <c r="I339" s="78" t="str">
        <f>IF($B339="","",INDEX(tblStock[StockMax],'91_KPIS'!$T332))</f>
        <v/>
      </c>
      <c r="J339" s="79" t="str">
        <f>IF($B339="","",INDEX(tblStock[Estado],'91_KPIS'!$T332))</f>
        <v/>
      </c>
      <c r="K339" s="80" t="str">
        <f t="shared" si="10"/>
        <v/>
      </c>
      <c r="L339" s="81" t="str">
        <f>IF($B339="","",INDEX(tblStock[CostoUnitario],'91_KPIS'!$T332))</f>
        <v/>
      </c>
      <c r="M339" s="82" t="str">
        <f t="shared" si="11"/>
        <v/>
      </c>
    </row>
    <row r="340" spans="2:13" ht="15.75" x14ac:dyDescent="0.25">
      <c r="B340" s="74" t="str">
        <f>IF('91_KPIS'!$T333="","",326)</f>
        <v/>
      </c>
      <c r="C340" s="75" t="str">
        <f>IF($B340="","",IF(INDEX(tblStock[Proveedor],'91_KPIS'!$T333)="","(Sin proveedor)",INDEX(tblStock[Proveedor],'91_KPIS'!$T333)))</f>
        <v/>
      </c>
      <c r="D340" s="76" t="str">
        <f>IF($B340="","",INDEX(tblStock[SKU],'91_KPIS'!$T333))</f>
        <v/>
      </c>
      <c r="E340" s="75" t="str">
        <f>IF($B340="","",INDEX(tblStock[Producto],'91_KPIS'!$T333))</f>
        <v/>
      </c>
      <c r="F340" s="76" t="str">
        <f>IF($B340="","",INDEX(tblStock[Unidad],'91_KPIS'!$T333))</f>
        <v/>
      </c>
      <c r="G340" s="77" t="str">
        <f>IF($B340="","",INDEX(tblStock[StockActual],'91_KPIS'!$T333))</f>
        <v/>
      </c>
      <c r="H340" s="78" t="str">
        <f>IF($B340="","",INDEX(tblStock[StockMin],'91_KPIS'!$T333))</f>
        <v/>
      </c>
      <c r="I340" s="78" t="str">
        <f>IF($B340="","",INDEX(tblStock[StockMax],'91_KPIS'!$T333))</f>
        <v/>
      </c>
      <c r="J340" s="79" t="str">
        <f>IF($B340="","",INDEX(tblStock[Estado],'91_KPIS'!$T333))</f>
        <v/>
      </c>
      <c r="K340" s="80" t="str">
        <f t="shared" si="10"/>
        <v/>
      </c>
      <c r="L340" s="81" t="str">
        <f>IF($B340="","",INDEX(tblStock[CostoUnitario],'91_KPIS'!$T333))</f>
        <v/>
      </c>
      <c r="M340" s="82" t="str">
        <f t="shared" si="11"/>
        <v/>
      </c>
    </row>
    <row r="341" spans="2:13" ht="15.75" x14ac:dyDescent="0.25">
      <c r="B341" s="74" t="str">
        <f>IF('91_KPIS'!$T334="","",327)</f>
        <v/>
      </c>
      <c r="C341" s="75" t="str">
        <f>IF($B341="","",IF(INDEX(tblStock[Proveedor],'91_KPIS'!$T334)="","(Sin proveedor)",INDEX(tblStock[Proveedor],'91_KPIS'!$T334)))</f>
        <v/>
      </c>
      <c r="D341" s="76" t="str">
        <f>IF($B341="","",INDEX(tblStock[SKU],'91_KPIS'!$T334))</f>
        <v/>
      </c>
      <c r="E341" s="75" t="str">
        <f>IF($B341="","",INDEX(tblStock[Producto],'91_KPIS'!$T334))</f>
        <v/>
      </c>
      <c r="F341" s="76" t="str">
        <f>IF($B341="","",INDEX(tblStock[Unidad],'91_KPIS'!$T334))</f>
        <v/>
      </c>
      <c r="G341" s="77" t="str">
        <f>IF($B341="","",INDEX(tblStock[StockActual],'91_KPIS'!$T334))</f>
        <v/>
      </c>
      <c r="H341" s="78" t="str">
        <f>IF($B341="","",INDEX(tblStock[StockMin],'91_KPIS'!$T334))</f>
        <v/>
      </c>
      <c r="I341" s="78" t="str">
        <f>IF($B341="","",INDEX(tblStock[StockMax],'91_KPIS'!$T334))</f>
        <v/>
      </c>
      <c r="J341" s="79" t="str">
        <f>IF($B341="","",INDEX(tblStock[Estado],'91_KPIS'!$T334))</f>
        <v/>
      </c>
      <c r="K341" s="80" t="str">
        <f t="shared" si="10"/>
        <v/>
      </c>
      <c r="L341" s="81" t="str">
        <f>IF($B341="","",INDEX(tblStock[CostoUnitario],'91_KPIS'!$T334))</f>
        <v/>
      </c>
      <c r="M341" s="82" t="str">
        <f t="shared" si="11"/>
        <v/>
      </c>
    </row>
    <row r="342" spans="2:13" ht="15.75" x14ac:dyDescent="0.25">
      <c r="B342" s="74" t="str">
        <f>IF('91_KPIS'!$T335="","",328)</f>
        <v/>
      </c>
      <c r="C342" s="75" t="str">
        <f>IF($B342="","",IF(INDEX(tblStock[Proveedor],'91_KPIS'!$T335)="","(Sin proveedor)",INDEX(tblStock[Proveedor],'91_KPIS'!$T335)))</f>
        <v/>
      </c>
      <c r="D342" s="76" t="str">
        <f>IF($B342="","",INDEX(tblStock[SKU],'91_KPIS'!$T335))</f>
        <v/>
      </c>
      <c r="E342" s="75" t="str">
        <f>IF($B342="","",INDEX(tblStock[Producto],'91_KPIS'!$T335))</f>
        <v/>
      </c>
      <c r="F342" s="76" t="str">
        <f>IF($B342="","",INDEX(tblStock[Unidad],'91_KPIS'!$T335))</f>
        <v/>
      </c>
      <c r="G342" s="77" t="str">
        <f>IF($B342="","",INDEX(tblStock[StockActual],'91_KPIS'!$T335))</f>
        <v/>
      </c>
      <c r="H342" s="78" t="str">
        <f>IF($B342="","",INDEX(tblStock[StockMin],'91_KPIS'!$T335))</f>
        <v/>
      </c>
      <c r="I342" s="78" t="str">
        <f>IF($B342="","",INDEX(tblStock[StockMax],'91_KPIS'!$T335))</f>
        <v/>
      </c>
      <c r="J342" s="79" t="str">
        <f>IF($B342="","",INDEX(tblStock[Estado],'91_KPIS'!$T335))</f>
        <v/>
      </c>
      <c r="K342" s="80" t="str">
        <f t="shared" si="10"/>
        <v/>
      </c>
      <c r="L342" s="81" t="str">
        <f>IF($B342="","",INDEX(tblStock[CostoUnitario],'91_KPIS'!$T335))</f>
        <v/>
      </c>
      <c r="M342" s="82" t="str">
        <f t="shared" si="11"/>
        <v/>
      </c>
    </row>
    <row r="343" spans="2:13" ht="15.75" x14ac:dyDescent="0.25">
      <c r="B343" s="74" t="str">
        <f>IF('91_KPIS'!$T336="","",329)</f>
        <v/>
      </c>
      <c r="C343" s="75" t="str">
        <f>IF($B343="","",IF(INDEX(tblStock[Proveedor],'91_KPIS'!$T336)="","(Sin proveedor)",INDEX(tblStock[Proveedor],'91_KPIS'!$T336)))</f>
        <v/>
      </c>
      <c r="D343" s="76" t="str">
        <f>IF($B343="","",INDEX(tblStock[SKU],'91_KPIS'!$T336))</f>
        <v/>
      </c>
      <c r="E343" s="75" t="str">
        <f>IF($B343="","",INDEX(tblStock[Producto],'91_KPIS'!$T336))</f>
        <v/>
      </c>
      <c r="F343" s="76" t="str">
        <f>IF($B343="","",INDEX(tblStock[Unidad],'91_KPIS'!$T336))</f>
        <v/>
      </c>
      <c r="G343" s="77" t="str">
        <f>IF($B343="","",INDEX(tblStock[StockActual],'91_KPIS'!$T336))</f>
        <v/>
      </c>
      <c r="H343" s="78" t="str">
        <f>IF($B343="","",INDEX(tblStock[StockMin],'91_KPIS'!$T336))</f>
        <v/>
      </c>
      <c r="I343" s="78" t="str">
        <f>IF($B343="","",INDEX(tblStock[StockMax],'91_KPIS'!$T336))</f>
        <v/>
      </c>
      <c r="J343" s="79" t="str">
        <f>IF($B343="","",INDEX(tblStock[Estado],'91_KPIS'!$T336))</f>
        <v/>
      </c>
      <c r="K343" s="80" t="str">
        <f t="shared" si="10"/>
        <v/>
      </c>
      <c r="L343" s="81" t="str">
        <f>IF($B343="","",INDEX(tblStock[CostoUnitario],'91_KPIS'!$T336))</f>
        <v/>
      </c>
      <c r="M343" s="82" t="str">
        <f t="shared" si="11"/>
        <v/>
      </c>
    </row>
    <row r="344" spans="2:13" ht="15.75" x14ac:dyDescent="0.25">
      <c r="B344" s="74" t="str">
        <f>IF('91_KPIS'!$T337="","",330)</f>
        <v/>
      </c>
      <c r="C344" s="75" t="str">
        <f>IF($B344="","",IF(INDEX(tblStock[Proveedor],'91_KPIS'!$T337)="","(Sin proveedor)",INDEX(tblStock[Proveedor],'91_KPIS'!$T337)))</f>
        <v/>
      </c>
      <c r="D344" s="76" t="str">
        <f>IF($B344="","",INDEX(tblStock[SKU],'91_KPIS'!$T337))</f>
        <v/>
      </c>
      <c r="E344" s="75" t="str">
        <f>IF($B344="","",INDEX(tblStock[Producto],'91_KPIS'!$T337))</f>
        <v/>
      </c>
      <c r="F344" s="76" t="str">
        <f>IF($B344="","",INDEX(tblStock[Unidad],'91_KPIS'!$T337))</f>
        <v/>
      </c>
      <c r="G344" s="77" t="str">
        <f>IF($B344="","",INDEX(tblStock[StockActual],'91_KPIS'!$T337))</f>
        <v/>
      </c>
      <c r="H344" s="78" t="str">
        <f>IF($B344="","",INDEX(tblStock[StockMin],'91_KPIS'!$T337))</f>
        <v/>
      </c>
      <c r="I344" s="78" t="str">
        <f>IF($B344="","",INDEX(tblStock[StockMax],'91_KPIS'!$T337))</f>
        <v/>
      </c>
      <c r="J344" s="79" t="str">
        <f>IF($B344="","",INDEX(tblStock[Estado],'91_KPIS'!$T337))</f>
        <v/>
      </c>
      <c r="K344" s="80" t="str">
        <f t="shared" si="10"/>
        <v/>
      </c>
      <c r="L344" s="81" t="str">
        <f>IF($B344="","",INDEX(tblStock[CostoUnitario],'91_KPIS'!$T337))</f>
        <v/>
      </c>
      <c r="M344" s="82" t="str">
        <f t="shared" si="11"/>
        <v/>
      </c>
    </row>
    <row r="345" spans="2:13" ht="15.75" x14ac:dyDescent="0.25">
      <c r="B345" s="74" t="str">
        <f>IF('91_KPIS'!$T338="","",331)</f>
        <v/>
      </c>
      <c r="C345" s="75" t="str">
        <f>IF($B345="","",IF(INDEX(tblStock[Proveedor],'91_KPIS'!$T338)="","(Sin proveedor)",INDEX(tblStock[Proveedor],'91_KPIS'!$T338)))</f>
        <v/>
      </c>
      <c r="D345" s="76" t="str">
        <f>IF($B345="","",INDEX(tblStock[SKU],'91_KPIS'!$T338))</f>
        <v/>
      </c>
      <c r="E345" s="75" t="str">
        <f>IF($B345="","",INDEX(tblStock[Producto],'91_KPIS'!$T338))</f>
        <v/>
      </c>
      <c r="F345" s="76" t="str">
        <f>IF($B345="","",INDEX(tblStock[Unidad],'91_KPIS'!$T338))</f>
        <v/>
      </c>
      <c r="G345" s="77" t="str">
        <f>IF($B345="","",INDEX(tblStock[StockActual],'91_KPIS'!$T338))</f>
        <v/>
      </c>
      <c r="H345" s="78" t="str">
        <f>IF($B345="","",INDEX(tblStock[StockMin],'91_KPIS'!$T338))</f>
        <v/>
      </c>
      <c r="I345" s="78" t="str">
        <f>IF($B345="","",INDEX(tblStock[StockMax],'91_KPIS'!$T338))</f>
        <v/>
      </c>
      <c r="J345" s="79" t="str">
        <f>IF($B345="","",INDEX(tblStock[Estado],'91_KPIS'!$T338))</f>
        <v/>
      </c>
      <c r="K345" s="80" t="str">
        <f t="shared" si="10"/>
        <v/>
      </c>
      <c r="L345" s="81" t="str">
        <f>IF($B345="","",INDEX(tblStock[CostoUnitario],'91_KPIS'!$T338))</f>
        <v/>
      </c>
      <c r="M345" s="82" t="str">
        <f t="shared" si="11"/>
        <v/>
      </c>
    </row>
    <row r="346" spans="2:13" ht="15.75" x14ac:dyDescent="0.25">
      <c r="B346" s="74" t="str">
        <f>IF('91_KPIS'!$T339="","",332)</f>
        <v/>
      </c>
      <c r="C346" s="75" t="str">
        <f>IF($B346="","",IF(INDEX(tblStock[Proveedor],'91_KPIS'!$T339)="","(Sin proveedor)",INDEX(tblStock[Proveedor],'91_KPIS'!$T339)))</f>
        <v/>
      </c>
      <c r="D346" s="76" t="str">
        <f>IF($B346="","",INDEX(tblStock[SKU],'91_KPIS'!$T339))</f>
        <v/>
      </c>
      <c r="E346" s="75" t="str">
        <f>IF($B346="","",INDEX(tblStock[Producto],'91_KPIS'!$T339))</f>
        <v/>
      </c>
      <c r="F346" s="76" t="str">
        <f>IF($B346="","",INDEX(tblStock[Unidad],'91_KPIS'!$T339))</f>
        <v/>
      </c>
      <c r="G346" s="77" t="str">
        <f>IF($B346="","",INDEX(tblStock[StockActual],'91_KPIS'!$T339))</f>
        <v/>
      </c>
      <c r="H346" s="78" t="str">
        <f>IF($B346="","",INDEX(tblStock[StockMin],'91_KPIS'!$T339))</f>
        <v/>
      </c>
      <c r="I346" s="78" t="str">
        <f>IF($B346="","",INDEX(tblStock[StockMax],'91_KPIS'!$T339))</f>
        <v/>
      </c>
      <c r="J346" s="79" t="str">
        <f>IF($B346="","",INDEX(tblStock[Estado],'91_KPIS'!$T339))</f>
        <v/>
      </c>
      <c r="K346" s="80" t="str">
        <f t="shared" si="10"/>
        <v/>
      </c>
      <c r="L346" s="81" t="str">
        <f>IF($B346="","",INDEX(tblStock[CostoUnitario],'91_KPIS'!$T339))</f>
        <v/>
      </c>
      <c r="M346" s="82" t="str">
        <f t="shared" si="11"/>
        <v/>
      </c>
    </row>
    <row r="347" spans="2:13" ht="15.75" x14ac:dyDescent="0.25">
      <c r="B347" s="74" t="str">
        <f>IF('91_KPIS'!$T340="","",333)</f>
        <v/>
      </c>
      <c r="C347" s="75" t="str">
        <f>IF($B347="","",IF(INDEX(tblStock[Proveedor],'91_KPIS'!$T340)="","(Sin proveedor)",INDEX(tblStock[Proveedor],'91_KPIS'!$T340)))</f>
        <v/>
      </c>
      <c r="D347" s="76" t="str">
        <f>IF($B347="","",INDEX(tblStock[SKU],'91_KPIS'!$T340))</f>
        <v/>
      </c>
      <c r="E347" s="75" t="str">
        <f>IF($B347="","",INDEX(tblStock[Producto],'91_KPIS'!$T340))</f>
        <v/>
      </c>
      <c r="F347" s="76" t="str">
        <f>IF($B347="","",INDEX(tblStock[Unidad],'91_KPIS'!$T340))</f>
        <v/>
      </c>
      <c r="G347" s="77" t="str">
        <f>IF($B347="","",INDEX(tblStock[StockActual],'91_KPIS'!$T340))</f>
        <v/>
      </c>
      <c r="H347" s="78" t="str">
        <f>IF($B347="","",INDEX(tblStock[StockMin],'91_KPIS'!$T340))</f>
        <v/>
      </c>
      <c r="I347" s="78" t="str">
        <f>IF($B347="","",INDEX(tblStock[StockMax],'91_KPIS'!$T340))</f>
        <v/>
      </c>
      <c r="J347" s="79" t="str">
        <f>IF($B347="","",INDEX(tblStock[Estado],'91_KPIS'!$T340))</f>
        <v/>
      </c>
      <c r="K347" s="80" t="str">
        <f t="shared" si="10"/>
        <v/>
      </c>
      <c r="L347" s="81" t="str">
        <f>IF($B347="","",INDEX(tblStock[CostoUnitario],'91_KPIS'!$T340))</f>
        <v/>
      </c>
      <c r="M347" s="82" t="str">
        <f t="shared" si="11"/>
        <v/>
      </c>
    </row>
    <row r="348" spans="2:13" ht="15.75" x14ac:dyDescent="0.25">
      <c r="B348" s="74" t="str">
        <f>IF('91_KPIS'!$T341="","",334)</f>
        <v/>
      </c>
      <c r="C348" s="75" t="str">
        <f>IF($B348="","",IF(INDEX(tblStock[Proveedor],'91_KPIS'!$T341)="","(Sin proveedor)",INDEX(tblStock[Proveedor],'91_KPIS'!$T341)))</f>
        <v/>
      </c>
      <c r="D348" s="76" t="str">
        <f>IF($B348="","",INDEX(tblStock[SKU],'91_KPIS'!$T341))</f>
        <v/>
      </c>
      <c r="E348" s="75" t="str">
        <f>IF($B348="","",INDEX(tblStock[Producto],'91_KPIS'!$T341))</f>
        <v/>
      </c>
      <c r="F348" s="76" t="str">
        <f>IF($B348="","",INDEX(tblStock[Unidad],'91_KPIS'!$T341))</f>
        <v/>
      </c>
      <c r="G348" s="77" t="str">
        <f>IF($B348="","",INDEX(tblStock[StockActual],'91_KPIS'!$T341))</f>
        <v/>
      </c>
      <c r="H348" s="78" t="str">
        <f>IF($B348="","",INDEX(tblStock[StockMin],'91_KPIS'!$T341))</f>
        <v/>
      </c>
      <c r="I348" s="78" t="str">
        <f>IF($B348="","",INDEX(tblStock[StockMax],'91_KPIS'!$T341))</f>
        <v/>
      </c>
      <c r="J348" s="79" t="str">
        <f>IF($B348="","",INDEX(tblStock[Estado],'91_KPIS'!$T341))</f>
        <v/>
      </c>
      <c r="K348" s="80" t="str">
        <f t="shared" si="10"/>
        <v/>
      </c>
      <c r="L348" s="81" t="str">
        <f>IF($B348="","",INDEX(tblStock[CostoUnitario],'91_KPIS'!$T341))</f>
        <v/>
      </c>
      <c r="M348" s="82" t="str">
        <f t="shared" si="11"/>
        <v/>
      </c>
    </row>
    <row r="349" spans="2:13" ht="15.75" x14ac:dyDescent="0.25">
      <c r="B349" s="74" t="str">
        <f>IF('91_KPIS'!$T342="","",335)</f>
        <v/>
      </c>
      <c r="C349" s="75" t="str">
        <f>IF($B349="","",IF(INDEX(tblStock[Proveedor],'91_KPIS'!$T342)="","(Sin proveedor)",INDEX(tblStock[Proveedor],'91_KPIS'!$T342)))</f>
        <v/>
      </c>
      <c r="D349" s="76" t="str">
        <f>IF($B349="","",INDEX(tblStock[SKU],'91_KPIS'!$T342))</f>
        <v/>
      </c>
      <c r="E349" s="75" t="str">
        <f>IF($B349="","",INDEX(tblStock[Producto],'91_KPIS'!$T342))</f>
        <v/>
      </c>
      <c r="F349" s="76" t="str">
        <f>IF($B349="","",INDEX(tblStock[Unidad],'91_KPIS'!$T342))</f>
        <v/>
      </c>
      <c r="G349" s="77" t="str">
        <f>IF($B349="","",INDEX(tblStock[StockActual],'91_KPIS'!$T342))</f>
        <v/>
      </c>
      <c r="H349" s="78" t="str">
        <f>IF($B349="","",INDEX(tblStock[StockMin],'91_KPIS'!$T342))</f>
        <v/>
      </c>
      <c r="I349" s="78" t="str">
        <f>IF($B349="","",INDEX(tblStock[StockMax],'91_KPIS'!$T342))</f>
        <v/>
      </c>
      <c r="J349" s="79" t="str">
        <f>IF($B349="","",INDEX(tblStock[Estado],'91_KPIS'!$T342))</f>
        <v/>
      </c>
      <c r="K349" s="80" t="str">
        <f t="shared" si="10"/>
        <v/>
      </c>
      <c r="L349" s="81" t="str">
        <f>IF($B349="","",INDEX(tblStock[CostoUnitario],'91_KPIS'!$T342))</f>
        <v/>
      </c>
      <c r="M349" s="82" t="str">
        <f t="shared" si="11"/>
        <v/>
      </c>
    </row>
    <row r="350" spans="2:13" ht="15.75" x14ac:dyDescent="0.25">
      <c r="B350" s="74" t="str">
        <f>IF('91_KPIS'!$T343="","",336)</f>
        <v/>
      </c>
      <c r="C350" s="75" t="str">
        <f>IF($B350="","",IF(INDEX(tblStock[Proveedor],'91_KPIS'!$T343)="","(Sin proveedor)",INDEX(tblStock[Proveedor],'91_KPIS'!$T343)))</f>
        <v/>
      </c>
      <c r="D350" s="76" t="str">
        <f>IF($B350="","",INDEX(tblStock[SKU],'91_KPIS'!$T343))</f>
        <v/>
      </c>
      <c r="E350" s="75" t="str">
        <f>IF($B350="","",INDEX(tblStock[Producto],'91_KPIS'!$T343))</f>
        <v/>
      </c>
      <c r="F350" s="76" t="str">
        <f>IF($B350="","",INDEX(tblStock[Unidad],'91_KPIS'!$T343))</f>
        <v/>
      </c>
      <c r="G350" s="77" t="str">
        <f>IF($B350="","",INDEX(tblStock[StockActual],'91_KPIS'!$T343))</f>
        <v/>
      </c>
      <c r="H350" s="78" t="str">
        <f>IF($B350="","",INDEX(tblStock[StockMin],'91_KPIS'!$T343))</f>
        <v/>
      </c>
      <c r="I350" s="78" t="str">
        <f>IF($B350="","",INDEX(tblStock[StockMax],'91_KPIS'!$T343))</f>
        <v/>
      </c>
      <c r="J350" s="79" t="str">
        <f>IF($B350="","",INDEX(tblStock[Estado],'91_KPIS'!$T343))</f>
        <v/>
      </c>
      <c r="K350" s="80" t="str">
        <f t="shared" si="10"/>
        <v/>
      </c>
      <c r="L350" s="81" t="str">
        <f>IF($B350="","",INDEX(tblStock[CostoUnitario],'91_KPIS'!$T343))</f>
        <v/>
      </c>
      <c r="M350" s="82" t="str">
        <f t="shared" si="11"/>
        <v/>
      </c>
    </row>
    <row r="351" spans="2:13" ht="15.75" x14ac:dyDescent="0.25">
      <c r="B351" s="74" t="str">
        <f>IF('91_KPIS'!$T344="","",337)</f>
        <v/>
      </c>
      <c r="C351" s="75" t="str">
        <f>IF($B351="","",IF(INDEX(tblStock[Proveedor],'91_KPIS'!$T344)="","(Sin proveedor)",INDEX(tblStock[Proveedor],'91_KPIS'!$T344)))</f>
        <v/>
      </c>
      <c r="D351" s="76" t="str">
        <f>IF($B351="","",INDEX(tblStock[SKU],'91_KPIS'!$T344))</f>
        <v/>
      </c>
      <c r="E351" s="75" t="str">
        <f>IF($B351="","",INDEX(tblStock[Producto],'91_KPIS'!$T344))</f>
        <v/>
      </c>
      <c r="F351" s="76" t="str">
        <f>IF($B351="","",INDEX(tblStock[Unidad],'91_KPIS'!$T344))</f>
        <v/>
      </c>
      <c r="G351" s="77" t="str">
        <f>IF($B351="","",INDEX(tblStock[StockActual],'91_KPIS'!$T344))</f>
        <v/>
      </c>
      <c r="H351" s="78" t="str">
        <f>IF($B351="","",INDEX(tblStock[StockMin],'91_KPIS'!$T344))</f>
        <v/>
      </c>
      <c r="I351" s="78" t="str">
        <f>IF($B351="","",INDEX(tblStock[StockMax],'91_KPIS'!$T344))</f>
        <v/>
      </c>
      <c r="J351" s="79" t="str">
        <f>IF($B351="","",INDEX(tblStock[Estado],'91_KPIS'!$T344))</f>
        <v/>
      </c>
      <c r="K351" s="80" t="str">
        <f t="shared" si="10"/>
        <v/>
      </c>
      <c r="L351" s="81" t="str">
        <f>IF($B351="","",INDEX(tblStock[CostoUnitario],'91_KPIS'!$T344))</f>
        <v/>
      </c>
      <c r="M351" s="82" t="str">
        <f t="shared" si="11"/>
        <v/>
      </c>
    </row>
    <row r="352" spans="2:13" ht="15.75" x14ac:dyDescent="0.25">
      <c r="B352" s="74" t="str">
        <f>IF('91_KPIS'!$T345="","",338)</f>
        <v/>
      </c>
      <c r="C352" s="75" t="str">
        <f>IF($B352="","",IF(INDEX(tblStock[Proveedor],'91_KPIS'!$T345)="","(Sin proveedor)",INDEX(tblStock[Proveedor],'91_KPIS'!$T345)))</f>
        <v/>
      </c>
      <c r="D352" s="76" t="str">
        <f>IF($B352="","",INDEX(tblStock[SKU],'91_KPIS'!$T345))</f>
        <v/>
      </c>
      <c r="E352" s="75" t="str">
        <f>IF($B352="","",INDEX(tblStock[Producto],'91_KPIS'!$T345))</f>
        <v/>
      </c>
      <c r="F352" s="76" t="str">
        <f>IF($B352="","",INDEX(tblStock[Unidad],'91_KPIS'!$T345))</f>
        <v/>
      </c>
      <c r="G352" s="77" t="str">
        <f>IF($B352="","",INDEX(tblStock[StockActual],'91_KPIS'!$T345))</f>
        <v/>
      </c>
      <c r="H352" s="78" t="str">
        <f>IF($B352="","",INDEX(tblStock[StockMin],'91_KPIS'!$T345))</f>
        <v/>
      </c>
      <c r="I352" s="78" t="str">
        <f>IF($B352="","",INDEX(tblStock[StockMax],'91_KPIS'!$T345))</f>
        <v/>
      </c>
      <c r="J352" s="79" t="str">
        <f>IF($B352="","",INDEX(tblStock[Estado],'91_KPIS'!$T345))</f>
        <v/>
      </c>
      <c r="K352" s="80" t="str">
        <f t="shared" si="10"/>
        <v/>
      </c>
      <c r="L352" s="81" t="str">
        <f>IF($B352="","",INDEX(tblStock[CostoUnitario],'91_KPIS'!$T345))</f>
        <v/>
      </c>
      <c r="M352" s="82" t="str">
        <f t="shared" si="11"/>
        <v/>
      </c>
    </row>
    <row r="353" spans="2:13" ht="15.75" x14ac:dyDescent="0.25">
      <c r="B353" s="74" t="str">
        <f>IF('91_KPIS'!$T346="","",339)</f>
        <v/>
      </c>
      <c r="C353" s="75" t="str">
        <f>IF($B353="","",IF(INDEX(tblStock[Proveedor],'91_KPIS'!$T346)="","(Sin proveedor)",INDEX(tblStock[Proveedor],'91_KPIS'!$T346)))</f>
        <v/>
      </c>
      <c r="D353" s="76" t="str">
        <f>IF($B353="","",INDEX(tblStock[SKU],'91_KPIS'!$T346))</f>
        <v/>
      </c>
      <c r="E353" s="75" t="str">
        <f>IF($B353="","",INDEX(tblStock[Producto],'91_KPIS'!$T346))</f>
        <v/>
      </c>
      <c r="F353" s="76" t="str">
        <f>IF($B353="","",INDEX(tblStock[Unidad],'91_KPIS'!$T346))</f>
        <v/>
      </c>
      <c r="G353" s="77" t="str">
        <f>IF($B353="","",INDEX(tblStock[StockActual],'91_KPIS'!$T346))</f>
        <v/>
      </c>
      <c r="H353" s="78" t="str">
        <f>IF($B353="","",INDEX(tblStock[StockMin],'91_KPIS'!$T346))</f>
        <v/>
      </c>
      <c r="I353" s="78" t="str">
        <f>IF($B353="","",INDEX(tblStock[StockMax],'91_KPIS'!$T346))</f>
        <v/>
      </c>
      <c r="J353" s="79" t="str">
        <f>IF($B353="","",INDEX(tblStock[Estado],'91_KPIS'!$T346))</f>
        <v/>
      </c>
      <c r="K353" s="80" t="str">
        <f t="shared" si="10"/>
        <v/>
      </c>
      <c r="L353" s="81" t="str">
        <f>IF($B353="","",INDEX(tblStock[CostoUnitario],'91_KPIS'!$T346))</f>
        <v/>
      </c>
      <c r="M353" s="82" t="str">
        <f t="shared" si="11"/>
        <v/>
      </c>
    </row>
    <row r="354" spans="2:13" ht="15.75" x14ac:dyDescent="0.25">
      <c r="B354" s="74" t="str">
        <f>IF('91_KPIS'!$T347="","",340)</f>
        <v/>
      </c>
      <c r="C354" s="75" t="str">
        <f>IF($B354="","",IF(INDEX(tblStock[Proveedor],'91_KPIS'!$T347)="","(Sin proveedor)",INDEX(tblStock[Proveedor],'91_KPIS'!$T347)))</f>
        <v/>
      </c>
      <c r="D354" s="76" t="str">
        <f>IF($B354="","",INDEX(tblStock[SKU],'91_KPIS'!$T347))</f>
        <v/>
      </c>
      <c r="E354" s="75" t="str">
        <f>IF($B354="","",INDEX(tblStock[Producto],'91_KPIS'!$T347))</f>
        <v/>
      </c>
      <c r="F354" s="76" t="str">
        <f>IF($B354="","",INDEX(tblStock[Unidad],'91_KPIS'!$T347))</f>
        <v/>
      </c>
      <c r="G354" s="77" t="str">
        <f>IF($B354="","",INDEX(tblStock[StockActual],'91_KPIS'!$T347))</f>
        <v/>
      </c>
      <c r="H354" s="78" t="str">
        <f>IF($B354="","",INDEX(tblStock[StockMin],'91_KPIS'!$T347))</f>
        <v/>
      </c>
      <c r="I354" s="78" t="str">
        <f>IF($B354="","",INDEX(tblStock[StockMax],'91_KPIS'!$T347))</f>
        <v/>
      </c>
      <c r="J354" s="79" t="str">
        <f>IF($B354="","",INDEX(tblStock[Estado],'91_KPIS'!$T347))</f>
        <v/>
      </c>
      <c r="K354" s="80" t="str">
        <f t="shared" si="10"/>
        <v/>
      </c>
      <c r="L354" s="81" t="str">
        <f>IF($B354="","",INDEX(tblStock[CostoUnitario],'91_KPIS'!$T347))</f>
        <v/>
      </c>
      <c r="M354" s="82" t="str">
        <f t="shared" si="11"/>
        <v/>
      </c>
    </row>
    <row r="355" spans="2:13" ht="15.75" x14ac:dyDescent="0.25">
      <c r="B355" s="74" t="str">
        <f>IF('91_KPIS'!$T348="","",341)</f>
        <v/>
      </c>
      <c r="C355" s="75" t="str">
        <f>IF($B355="","",IF(INDEX(tblStock[Proveedor],'91_KPIS'!$T348)="","(Sin proveedor)",INDEX(tblStock[Proveedor],'91_KPIS'!$T348)))</f>
        <v/>
      </c>
      <c r="D355" s="76" t="str">
        <f>IF($B355="","",INDEX(tblStock[SKU],'91_KPIS'!$T348))</f>
        <v/>
      </c>
      <c r="E355" s="75" t="str">
        <f>IF($B355="","",INDEX(tblStock[Producto],'91_KPIS'!$T348))</f>
        <v/>
      </c>
      <c r="F355" s="76" t="str">
        <f>IF($B355="","",INDEX(tblStock[Unidad],'91_KPIS'!$T348))</f>
        <v/>
      </c>
      <c r="G355" s="77" t="str">
        <f>IF($B355="","",INDEX(tblStock[StockActual],'91_KPIS'!$T348))</f>
        <v/>
      </c>
      <c r="H355" s="78" t="str">
        <f>IF($B355="","",INDEX(tblStock[StockMin],'91_KPIS'!$T348))</f>
        <v/>
      </c>
      <c r="I355" s="78" t="str">
        <f>IF($B355="","",INDEX(tblStock[StockMax],'91_KPIS'!$T348))</f>
        <v/>
      </c>
      <c r="J355" s="79" t="str">
        <f>IF($B355="","",INDEX(tblStock[Estado],'91_KPIS'!$T348))</f>
        <v/>
      </c>
      <c r="K355" s="80" t="str">
        <f t="shared" si="10"/>
        <v/>
      </c>
      <c r="L355" s="81" t="str">
        <f>IF($B355="","",INDEX(tblStock[CostoUnitario],'91_KPIS'!$T348))</f>
        <v/>
      </c>
      <c r="M355" s="82" t="str">
        <f t="shared" si="11"/>
        <v/>
      </c>
    </row>
    <row r="356" spans="2:13" ht="15.75" x14ac:dyDescent="0.25">
      <c r="B356" s="74" t="str">
        <f>IF('91_KPIS'!$T349="","",342)</f>
        <v/>
      </c>
      <c r="C356" s="75" t="str">
        <f>IF($B356="","",IF(INDEX(tblStock[Proveedor],'91_KPIS'!$T349)="","(Sin proveedor)",INDEX(tblStock[Proveedor],'91_KPIS'!$T349)))</f>
        <v/>
      </c>
      <c r="D356" s="76" t="str">
        <f>IF($B356="","",INDEX(tblStock[SKU],'91_KPIS'!$T349))</f>
        <v/>
      </c>
      <c r="E356" s="75" t="str">
        <f>IF($B356="","",INDEX(tblStock[Producto],'91_KPIS'!$T349))</f>
        <v/>
      </c>
      <c r="F356" s="76" t="str">
        <f>IF($B356="","",INDEX(tblStock[Unidad],'91_KPIS'!$T349))</f>
        <v/>
      </c>
      <c r="G356" s="77" t="str">
        <f>IF($B356="","",INDEX(tblStock[StockActual],'91_KPIS'!$T349))</f>
        <v/>
      </c>
      <c r="H356" s="78" t="str">
        <f>IF($B356="","",INDEX(tblStock[StockMin],'91_KPIS'!$T349))</f>
        <v/>
      </c>
      <c r="I356" s="78" t="str">
        <f>IF($B356="","",INDEX(tblStock[StockMax],'91_KPIS'!$T349))</f>
        <v/>
      </c>
      <c r="J356" s="79" t="str">
        <f>IF($B356="","",INDEX(tblStock[Estado],'91_KPIS'!$T349))</f>
        <v/>
      </c>
      <c r="K356" s="80" t="str">
        <f t="shared" si="10"/>
        <v/>
      </c>
      <c r="L356" s="81" t="str">
        <f>IF($B356="","",INDEX(tblStock[CostoUnitario],'91_KPIS'!$T349))</f>
        <v/>
      </c>
      <c r="M356" s="82" t="str">
        <f t="shared" si="11"/>
        <v/>
      </c>
    </row>
    <row r="357" spans="2:13" ht="15.75" x14ac:dyDescent="0.25">
      <c r="B357" s="74" t="str">
        <f>IF('91_KPIS'!$T350="","",343)</f>
        <v/>
      </c>
      <c r="C357" s="75" t="str">
        <f>IF($B357="","",IF(INDEX(tblStock[Proveedor],'91_KPIS'!$T350)="","(Sin proveedor)",INDEX(tblStock[Proveedor],'91_KPIS'!$T350)))</f>
        <v/>
      </c>
      <c r="D357" s="76" t="str">
        <f>IF($B357="","",INDEX(tblStock[SKU],'91_KPIS'!$T350))</f>
        <v/>
      </c>
      <c r="E357" s="75" t="str">
        <f>IF($B357="","",INDEX(tblStock[Producto],'91_KPIS'!$T350))</f>
        <v/>
      </c>
      <c r="F357" s="76" t="str">
        <f>IF($B357="","",INDEX(tblStock[Unidad],'91_KPIS'!$T350))</f>
        <v/>
      </c>
      <c r="G357" s="77" t="str">
        <f>IF($B357="","",INDEX(tblStock[StockActual],'91_KPIS'!$T350))</f>
        <v/>
      </c>
      <c r="H357" s="78" t="str">
        <f>IF($B357="","",INDEX(tblStock[StockMin],'91_KPIS'!$T350))</f>
        <v/>
      </c>
      <c r="I357" s="78" t="str">
        <f>IF($B357="","",INDEX(tblStock[StockMax],'91_KPIS'!$T350))</f>
        <v/>
      </c>
      <c r="J357" s="79" t="str">
        <f>IF($B357="","",INDEX(tblStock[Estado],'91_KPIS'!$T350))</f>
        <v/>
      </c>
      <c r="K357" s="80" t="str">
        <f t="shared" si="10"/>
        <v/>
      </c>
      <c r="L357" s="81" t="str">
        <f>IF($B357="","",INDEX(tblStock[CostoUnitario],'91_KPIS'!$T350))</f>
        <v/>
      </c>
      <c r="M357" s="82" t="str">
        <f t="shared" si="11"/>
        <v/>
      </c>
    </row>
    <row r="358" spans="2:13" ht="15.75" x14ac:dyDescent="0.25">
      <c r="B358" s="74" t="str">
        <f>IF('91_KPIS'!$T351="","",344)</f>
        <v/>
      </c>
      <c r="C358" s="75" t="str">
        <f>IF($B358="","",IF(INDEX(tblStock[Proveedor],'91_KPIS'!$T351)="","(Sin proveedor)",INDEX(tblStock[Proveedor],'91_KPIS'!$T351)))</f>
        <v/>
      </c>
      <c r="D358" s="76" t="str">
        <f>IF($B358="","",INDEX(tblStock[SKU],'91_KPIS'!$T351))</f>
        <v/>
      </c>
      <c r="E358" s="75" t="str">
        <f>IF($B358="","",INDEX(tblStock[Producto],'91_KPIS'!$T351))</f>
        <v/>
      </c>
      <c r="F358" s="76" t="str">
        <f>IF($B358="","",INDEX(tblStock[Unidad],'91_KPIS'!$T351))</f>
        <v/>
      </c>
      <c r="G358" s="77" t="str">
        <f>IF($B358="","",INDEX(tblStock[StockActual],'91_KPIS'!$T351))</f>
        <v/>
      </c>
      <c r="H358" s="78" t="str">
        <f>IF($B358="","",INDEX(tblStock[StockMin],'91_KPIS'!$T351))</f>
        <v/>
      </c>
      <c r="I358" s="78" t="str">
        <f>IF($B358="","",INDEX(tblStock[StockMax],'91_KPIS'!$T351))</f>
        <v/>
      </c>
      <c r="J358" s="79" t="str">
        <f>IF($B358="","",INDEX(tblStock[Estado],'91_KPIS'!$T351))</f>
        <v/>
      </c>
      <c r="K358" s="80" t="str">
        <f t="shared" si="10"/>
        <v/>
      </c>
      <c r="L358" s="81" t="str">
        <f>IF($B358="","",INDEX(tblStock[CostoUnitario],'91_KPIS'!$T351))</f>
        <v/>
      </c>
      <c r="M358" s="82" t="str">
        <f t="shared" si="11"/>
        <v/>
      </c>
    </row>
    <row r="359" spans="2:13" ht="15.75" x14ac:dyDescent="0.25">
      <c r="B359" s="74" t="str">
        <f>IF('91_KPIS'!$T352="","",345)</f>
        <v/>
      </c>
      <c r="C359" s="75" t="str">
        <f>IF($B359="","",IF(INDEX(tblStock[Proveedor],'91_KPIS'!$T352)="","(Sin proveedor)",INDEX(tblStock[Proveedor],'91_KPIS'!$T352)))</f>
        <v/>
      </c>
      <c r="D359" s="76" t="str">
        <f>IF($B359="","",INDEX(tblStock[SKU],'91_KPIS'!$T352))</f>
        <v/>
      </c>
      <c r="E359" s="75" t="str">
        <f>IF($B359="","",INDEX(tblStock[Producto],'91_KPIS'!$T352))</f>
        <v/>
      </c>
      <c r="F359" s="76" t="str">
        <f>IF($B359="","",INDEX(tblStock[Unidad],'91_KPIS'!$T352))</f>
        <v/>
      </c>
      <c r="G359" s="77" t="str">
        <f>IF($B359="","",INDEX(tblStock[StockActual],'91_KPIS'!$T352))</f>
        <v/>
      </c>
      <c r="H359" s="78" t="str">
        <f>IF($B359="","",INDEX(tblStock[StockMin],'91_KPIS'!$T352))</f>
        <v/>
      </c>
      <c r="I359" s="78" t="str">
        <f>IF($B359="","",INDEX(tblStock[StockMax],'91_KPIS'!$T352))</f>
        <v/>
      </c>
      <c r="J359" s="79" t="str">
        <f>IF($B359="","",INDEX(tblStock[Estado],'91_KPIS'!$T352))</f>
        <v/>
      </c>
      <c r="K359" s="80" t="str">
        <f t="shared" si="10"/>
        <v/>
      </c>
      <c r="L359" s="81" t="str">
        <f>IF($B359="","",INDEX(tblStock[CostoUnitario],'91_KPIS'!$T352))</f>
        <v/>
      </c>
      <c r="M359" s="82" t="str">
        <f t="shared" si="11"/>
        <v/>
      </c>
    </row>
    <row r="360" spans="2:13" ht="15.75" x14ac:dyDescent="0.25">
      <c r="B360" s="74" t="str">
        <f>IF('91_KPIS'!$T353="","",346)</f>
        <v/>
      </c>
      <c r="C360" s="75" t="str">
        <f>IF($B360="","",IF(INDEX(tblStock[Proveedor],'91_KPIS'!$T353)="","(Sin proveedor)",INDEX(tblStock[Proveedor],'91_KPIS'!$T353)))</f>
        <v/>
      </c>
      <c r="D360" s="76" t="str">
        <f>IF($B360="","",INDEX(tblStock[SKU],'91_KPIS'!$T353))</f>
        <v/>
      </c>
      <c r="E360" s="75" t="str">
        <f>IF($B360="","",INDEX(tblStock[Producto],'91_KPIS'!$T353))</f>
        <v/>
      </c>
      <c r="F360" s="76" t="str">
        <f>IF($B360="","",INDEX(tblStock[Unidad],'91_KPIS'!$T353))</f>
        <v/>
      </c>
      <c r="G360" s="77" t="str">
        <f>IF($B360="","",INDEX(tblStock[StockActual],'91_KPIS'!$T353))</f>
        <v/>
      </c>
      <c r="H360" s="78" t="str">
        <f>IF($B360="","",INDEX(tblStock[StockMin],'91_KPIS'!$T353))</f>
        <v/>
      </c>
      <c r="I360" s="78" t="str">
        <f>IF($B360="","",INDEX(tblStock[StockMax],'91_KPIS'!$T353))</f>
        <v/>
      </c>
      <c r="J360" s="79" t="str">
        <f>IF($B360="","",INDEX(tblStock[Estado],'91_KPIS'!$T353))</f>
        <v/>
      </c>
      <c r="K360" s="80" t="str">
        <f t="shared" si="10"/>
        <v/>
      </c>
      <c r="L360" s="81" t="str">
        <f>IF($B360="","",INDEX(tblStock[CostoUnitario],'91_KPIS'!$T353))</f>
        <v/>
      </c>
      <c r="M360" s="82" t="str">
        <f t="shared" si="11"/>
        <v/>
      </c>
    </row>
    <row r="361" spans="2:13" ht="15.75" x14ac:dyDescent="0.25">
      <c r="B361" s="74" t="str">
        <f>IF('91_KPIS'!$T354="","",347)</f>
        <v/>
      </c>
      <c r="C361" s="75" t="str">
        <f>IF($B361="","",IF(INDEX(tblStock[Proveedor],'91_KPIS'!$T354)="","(Sin proveedor)",INDEX(tblStock[Proveedor],'91_KPIS'!$T354)))</f>
        <v/>
      </c>
      <c r="D361" s="76" t="str">
        <f>IF($B361="","",INDEX(tblStock[SKU],'91_KPIS'!$T354))</f>
        <v/>
      </c>
      <c r="E361" s="75" t="str">
        <f>IF($B361="","",INDEX(tblStock[Producto],'91_KPIS'!$T354))</f>
        <v/>
      </c>
      <c r="F361" s="76" t="str">
        <f>IF($B361="","",INDEX(tblStock[Unidad],'91_KPIS'!$T354))</f>
        <v/>
      </c>
      <c r="G361" s="77" t="str">
        <f>IF($B361="","",INDEX(tblStock[StockActual],'91_KPIS'!$T354))</f>
        <v/>
      </c>
      <c r="H361" s="78" t="str">
        <f>IF($B361="","",INDEX(tblStock[StockMin],'91_KPIS'!$T354))</f>
        <v/>
      </c>
      <c r="I361" s="78" t="str">
        <f>IF($B361="","",INDEX(tblStock[StockMax],'91_KPIS'!$T354))</f>
        <v/>
      </c>
      <c r="J361" s="79" t="str">
        <f>IF($B361="","",INDEX(tblStock[Estado],'91_KPIS'!$T354))</f>
        <v/>
      </c>
      <c r="K361" s="80" t="str">
        <f t="shared" si="10"/>
        <v/>
      </c>
      <c r="L361" s="81" t="str">
        <f>IF($B361="","",INDEX(tblStock[CostoUnitario],'91_KPIS'!$T354))</f>
        <v/>
      </c>
      <c r="M361" s="82" t="str">
        <f t="shared" si="11"/>
        <v/>
      </c>
    </row>
    <row r="362" spans="2:13" ht="15.75" x14ac:dyDescent="0.25">
      <c r="B362" s="74" t="str">
        <f>IF('91_KPIS'!$T355="","",348)</f>
        <v/>
      </c>
      <c r="C362" s="75" t="str">
        <f>IF($B362="","",IF(INDEX(tblStock[Proveedor],'91_KPIS'!$T355)="","(Sin proveedor)",INDEX(tblStock[Proveedor],'91_KPIS'!$T355)))</f>
        <v/>
      </c>
      <c r="D362" s="76" t="str">
        <f>IF($B362="","",INDEX(tblStock[SKU],'91_KPIS'!$T355))</f>
        <v/>
      </c>
      <c r="E362" s="75" t="str">
        <f>IF($B362="","",INDEX(tblStock[Producto],'91_KPIS'!$T355))</f>
        <v/>
      </c>
      <c r="F362" s="76" t="str">
        <f>IF($B362="","",INDEX(tblStock[Unidad],'91_KPIS'!$T355))</f>
        <v/>
      </c>
      <c r="G362" s="77" t="str">
        <f>IF($B362="","",INDEX(tblStock[StockActual],'91_KPIS'!$T355))</f>
        <v/>
      </c>
      <c r="H362" s="78" t="str">
        <f>IF($B362="","",INDEX(tblStock[StockMin],'91_KPIS'!$T355))</f>
        <v/>
      </c>
      <c r="I362" s="78" t="str">
        <f>IF($B362="","",INDEX(tblStock[StockMax],'91_KPIS'!$T355))</f>
        <v/>
      </c>
      <c r="J362" s="79" t="str">
        <f>IF($B362="","",INDEX(tblStock[Estado],'91_KPIS'!$T355))</f>
        <v/>
      </c>
      <c r="K362" s="80" t="str">
        <f t="shared" si="10"/>
        <v/>
      </c>
      <c r="L362" s="81" t="str">
        <f>IF($B362="","",INDEX(tblStock[CostoUnitario],'91_KPIS'!$T355))</f>
        <v/>
      </c>
      <c r="M362" s="82" t="str">
        <f t="shared" si="11"/>
        <v/>
      </c>
    </row>
    <row r="363" spans="2:13" ht="15.75" x14ac:dyDescent="0.25">
      <c r="B363" s="74" t="str">
        <f>IF('91_KPIS'!$T356="","",349)</f>
        <v/>
      </c>
      <c r="C363" s="75" t="str">
        <f>IF($B363="","",IF(INDEX(tblStock[Proveedor],'91_KPIS'!$T356)="","(Sin proveedor)",INDEX(tblStock[Proveedor],'91_KPIS'!$T356)))</f>
        <v/>
      </c>
      <c r="D363" s="76" t="str">
        <f>IF($B363="","",INDEX(tblStock[SKU],'91_KPIS'!$T356))</f>
        <v/>
      </c>
      <c r="E363" s="75" t="str">
        <f>IF($B363="","",INDEX(tblStock[Producto],'91_KPIS'!$T356))</f>
        <v/>
      </c>
      <c r="F363" s="76" t="str">
        <f>IF($B363="","",INDEX(tblStock[Unidad],'91_KPIS'!$T356))</f>
        <v/>
      </c>
      <c r="G363" s="77" t="str">
        <f>IF($B363="","",INDEX(tblStock[StockActual],'91_KPIS'!$T356))</f>
        <v/>
      </c>
      <c r="H363" s="78" t="str">
        <f>IF($B363="","",INDEX(tblStock[StockMin],'91_KPIS'!$T356))</f>
        <v/>
      </c>
      <c r="I363" s="78" t="str">
        <f>IF($B363="","",INDEX(tblStock[StockMax],'91_KPIS'!$T356))</f>
        <v/>
      </c>
      <c r="J363" s="79" t="str">
        <f>IF($B363="","",INDEX(tblStock[Estado],'91_KPIS'!$T356))</f>
        <v/>
      </c>
      <c r="K363" s="80" t="str">
        <f t="shared" si="10"/>
        <v/>
      </c>
      <c r="L363" s="81" t="str">
        <f>IF($B363="","",INDEX(tblStock[CostoUnitario],'91_KPIS'!$T356))</f>
        <v/>
      </c>
      <c r="M363" s="82" t="str">
        <f t="shared" si="11"/>
        <v/>
      </c>
    </row>
    <row r="364" spans="2:13" ht="15.75" x14ac:dyDescent="0.25">
      <c r="B364" s="74" t="str">
        <f>IF('91_KPIS'!$T357="","",350)</f>
        <v/>
      </c>
      <c r="C364" s="75" t="str">
        <f>IF($B364="","",IF(INDEX(tblStock[Proveedor],'91_KPIS'!$T357)="","(Sin proveedor)",INDEX(tblStock[Proveedor],'91_KPIS'!$T357)))</f>
        <v/>
      </c>
      <c r="D364" s="76" t="str">
        <f>IF($B364="","",INDEX(tblStock[SKU],'91_KPIS'!$T357))</f>
        <v/>
      </c>
      <c r="E364" s="75" t="str">
        <f>IF($B364="","",INDEX(tblStock[Producto],'91_KPIS'!$T357))</f>
        <v/>
      </c>
      <c r="F364" s="76" t="str">
        <f>IF($B364="","",INDEX(tblStock[Unidad],'91_KPIS'!$T357))</f>
        <v/>
      </c>
      <c r="G364" s="77" t="str">
        <f>IF($B364="","",INDEX(tblStock[StockActual],'91_KPIS'!$T357))</f>
        <v/>
      </c>
      <c r="H364" s="78" t="str">
        <f>IF($B364="","",INDEX(tblStock[StockMin],'91_KPIS'!$T357))</f>
        <v/>
      </c>
      <c r="I364" s="78" t="str">
        <f>IF($B364="","",INDEX(tblStock[StockMax],'91_KPIS'!$T357))</f>
        <v/>
      </c>
      <c r="J364" s="79" t="str">
        <f>IF($B364="","",INDEX(tblStock[Estado],'91_KPIS'!$T357))</f>
        <v/>
      </c>
      <c r="K364" s="80" t="str">
        <f t="shared" si="10"/>
        <v/>
      </c>
      <c r="L364" s="81" t="str">
        <f>IF($B364="","",INDEX(tblStock[CostoUnitario],'91_KPIS'!$T357))</f>
        <v/>
      </c>
      <c r="M364" s="82" t="str">
        <f t="shared" si="11"/>
        <v/>
      </c>
    </row>
    <row r="365" spans="2:13" ht="15.75" x14ac:dyDescent="0.25">
      <c r="B365" s="74" t="str">
        <f>IF('91_KPIS'!$T358="","",351)</f>
        <v/>
      </c>
      <c r="C365" s="75" t="str">
        <f>IF($B365="","",IF(INDEX(tblStock[Proveedor],'91_KPIS'!$T358)="","(Sin proveedor)",INDEX(tblStock[Proveedor],'91_KPIS'!$T358)))</f>
        <v/>
      </c>
      <c r="D365" s="76" t="str">
        <f>IF($B365="","",INDEX(tblStock[SKU],'91_KPIS'!$T358))</f>
        <v/>
      </c>
      <c r="E365" s="75" t="str">
        <f>IF($B365="","",INDEX(tblStock[Producto],'91_KPIS'!$T358))</f>
        <v/>
      </c>
      <c r="F365" s="76" t="str">
        <f>IF($B365="","",INDEX(tblStock[Unidad],'91_KPIS'!$T358))</f>
        <v/>
      </c>
      <c r="G365" s="77" t="str">
        <f>IF($B365="","",INDEX(tblStock[StockActual],'91_KPIS'!$T358))</f>
        <v/>
      </c>
      <c r="H365" s="78" t="str">
        <f>IF($B365="","",INDEX(tblStock[StockMin],'91_KPIS'!$T358))</f>
        <v/>
      </c>
      <c r="I365" s="78" t="str">
        <f>IF($B365="","",INDEX(tblStock[StockMax],'91_KPIS'!$T358))</f>
        <v/>
      </c>
      <c r="J365" s="79" t="str">
        <f>IF($B365="","",INDEX(tblStock[Estado],'91_KPIS'!$T358))</f>
        <v/>
      </c>
      <c r="K365" s="80" t="str">
        <f t="shared" si="10"/>
        <v/>
      </c>
      <c r="L365" s="81" t="str">
        <f>IF($B365="","",INDEX(tblStock[CostoUnitario],'91_KPIS'!$T358))</f>
        <v/>
      </c>
      <c r="M365" s="82" t="str">
        <f t="shared" si="11"/>
        <v/>
      </c>
    </row>
    <row r="366" spans="2:13" ht="15.75" x14ac:dyDescent="0.25">
      <c r="B366" s="74" t="str">
        <f>IF('91_KPIS'!$T359="","",352)</f>
        <v/>
      </c>
      <c r="C366" s="75" t="str">
        <f>IF($B366="","",IF(INDEX(tblStock[Proveedor],'91_KPIS'!$T359)="","(Sin proveedor)",INDEX(tblStock[Proveedor],'91_KPIS'!$T359)))</f>
        <v/>
      </c>
      <c r="D366" s="76" t="str">
        <f>IF($B366="","",INDEX(tblStock[SKU],'91_KPIS'!$T359))</f>
        <v/>
      </c>
      <c r="E366" s="75" t="str">
        <f>IF($B366="","",INDEX(tblStock[Producto],'91_KPIS'!$T359))</f>
        <v/>
      </c>
      <c r="F366" s="76" t="str">
        <f>IF($B366="","",INDEX(tblStock[Unidad],'91_KPIS'!$T359))</f>
        <v/>
      </c>
      <c r="G366" s="77" t="str">
        <f>IF($B366="","",INDEX(tblStock[StockActual],'91_KPIS'!$T359))</f>
        <v/>
      </c>
      <c r="H366" s="78" t="str">
        <f>IF($B366="","",INDEX(tblStock[StockMin],'91_KPIS'!$T359))</f>
        <v/>
      </c>
      <c r="I366" s="78" t="str">
        <f>IF($B366="","",INDEX(tblStock[StockMax],'91_KPIS'!$T359))</f>
        <v/>
      </c>
      <c r="J366" s="79" t="str">
        <f>IF($B366="","",INDEX(tblStock[Estado],'91_KPIS'!$T359))</f>
        <v/>
      </c>
      <c r="K366" s="80" t="str">
        <f t="shared" si="10"/>
        <v/>
      </c>
      <c r="L366" s="81" t="str">
        <f>IF($B366="","",INDEX(tblStock[CostoUnitario],'91_KPIS'!$T359))</f>
        <v/>
      </c>
      <c r="M366" s="82" t="str">
        <f t="shared" si="11"/>
        <v/>
      </c>
    </row>
    <row r="367" spans="2:13" ht="15.75" x14ac:dyDescent="0.25">
      <c r="B367" s="74" t="str">
        <f>IF('91_KPIS'!$T360="","",353)</f>
        <v/>
      </c>
      <c r="C367" s="75" t="str">
        <f>IF($B367="","",IF(INDEX(tblStock[Proveedor],'91_KPIS'!$T360)="","(Sin proveedor)",INDEX(tblStock[Proveedor],'91_KPIS'!$T360)))</f>
        <v/>
      </c>
      <c r="D367" s="76" t="str">
        <f>IF($B367="","",INDEX(tblStock[SKU],'91_KPIS'!$T360))</f>
        <v/>
      </c>
      <c r="E367" s="75" t="str">
        <f>IF($B367="","",INDEX(tblStock[Producto],'91_KPIS'!$T360))</f>
        <v/>
      </c>
      <c r="F367" s="76" t="str">
        <f>IF($B367="","",INDEX(tblStock[Unidad],'91_KPIS'!$T360))</f>
        <v/>
      </c>
      <c r="G367" s="77" t="str">
        <f>IF($B367="","",INDEX(tblStock[StockActual],'91_KPIS'!$T360))</f>
        <v/>
      </c>
      <c r="H367" s="78" t="str">
        <f>IF($B367="","",INDEX(tblStock[StockMin],'91_KPIS'!$T360))</f>
        <v/>
      </c>
      <c r="I367" s="78" t="str">
        <f>IF($B367="","",INDEX(tblStock[StockMax],'91_KPIS'!$T360))</f>
        <v/>
      </c>
      <c r="J367" s="79" t="str">
        <f>IF($B367="","",INDEX(tblStock[Estado],'91_KPIS'!$T360))</f>
        <v/>
      </c>
      <c r="K367" s="80" t="str">
        <f t="shared" si="10"/>
        <v/>
      </c>
      <c r="L367" s="81" t="str">
        <f>IF($B367="","",INDEX(tblStock[CostoUnitario],'91_KPIS'!$T360))</f>
        <v/>
      </c>
      <c r="M367" s="82" t="str">
        <f t="shared" si="11"/>
        <v/>
      </c>
    </row>
    <row r="368" spans="2:13" ht="15.75" x14ac:dyDescent="0.25">
      <c r="B368" s="74" t="str">
        <f>IF('91_KPIS'!$T361="","",354)</f>
        <v/>
      </c>
      <c r="C368" s="75" t="str">
        <f>IF($B368="","",IF(INDEX(tblStock[Proveedor],'91_KPIS'!$T361)="","(Sin proveedor)",INDEX(tblStock[Proveedor],'91_KPIS'!$T361)))</f>
        <v/>
      </c>
      <c r="D368" s="76" t="str">
        <f>IF($B368="","",INDEX(tblStock[SKU],'91_KPIS'!$T361))</f>
        <v/>
      </c>
      <c r="E368" s="75" t="str">
        <f>IF($B368="","",INDEX(tblStock[Producto],'91_KPIS'!$T361))</f>
        <v/>
      </c>
      <c r="F368" s="76" t="str">
        <f>IF($B368="","",INDEX(tblStock[Unidad],'91_KPIS'!$T361))</f>
        <v/>
      </c>
      <c r="G368" s="77" t="str">
        <f>IF($B368="","",INDEX(tblStock[StockActual],'91_KPIS'!$T361))</f>
        <v/>
      </c>
      <c r="H368" s="78" t="str">
        <f>IF($B368="","",INDEX(tblStock[StockMin],'91_KPIS'!$T361))</f>
        <v/>
      </c>
      <c r="I368" s="78" t="str">
        <f>IF($B368="","",INDEX(tblStock[StockMax],'91_KPIS'!$T361))</f>
        <v/>
      </c>
      <c r="J368" s="79" t="str">
        <f>IF($B368="","",INDEX(tblStock[Estado],'91_KPIS'!$T361))</f>
        <v/>
      </c>
      <c r="K368" s="80" t="str">
        <f t="shared" si="10"/>
        <v/>
      </c>
      <c r="L368" s="81" t="str">
        <f>IF($B368="","",INDEX(tblStock[CostoUnitario],'91_KPIS'!$T361))</f>
        <v/>
      </c>
      <c r="M368" s="82" t="str">
        <f t="shared" si="11"/>
        <v/>
      </c>
    </row>
    <row r="369" spans="2:13" ht="15.75" x14ac:dyDescent="0.25">
      <c r="B369" s="74" t="str">
        <f>IF('91_KPIS'!$T362="","",355)</f>
        <v/>
      </c>
      <c r="C369" s="75" t="str">
        <f>IF($B369="","",IF(INDEX(tblStock[Proveedor],'91_KPIS'!$T362)="","(Sin proveedor)",INDEX(tblStock[Proveedor],'91_KPIS'!$T362)))</f>
        <v/>
      </c>
      <c r="D369" s="76" t="str">
        <f>IF($B369="","",INDEX(tblStock[SKU],'91_KPIS'!$T362))</f>
        <v/>
      </c>
      <c r="E369" s="75" t="str">
        <f>IF($B369="","",INDEX(tblStock[Producto],'91_KPIS'!$T362))</f>
        <v/>
      </c>
      <c r="F369" s="76" t="str">
        <f>IF($B369="","",INDEX(tblStock[Unidad],'91_KPIS'!$T362))</f>
        <v/>
      </c>
      <c r="G369" s="77" t="str">
        <f>IF($B369="","",INDEX(tblStock[StockActual],'91_KPIS'!$T362))</f>
        <v/>
      </c>
      <c r="H369" s="78" t="str">
        <f>IF($B369="","",INDEX(tblStock[StockMin],'91_KPIS'!$T362))</f>
        <v/>
      </c>
      <c r="I369" s="78" t="str">
        <f>IF($B369="","",INDEX(tblStock[StockMax],'91_KPIS'!$T362))</f>
        <v/>
      </c>
      <c r="J369" s="79" t="str">
        <f>IF($B369="","",INDEX(tblStock[Estado],'91_KPIS'!$T362))</f>
        <v/>
      </c>
      <c r="K369" s="80" t="str">
        <f t="shared" si="10"/>
        <v/>
      </c>
      <c r="L369" s="81" t="str">
        <f>IF($B369="","",INDEX(tblStock[CostoUnitario],'91_KPIS'!$T362))</f>
        <v/>
      </c>
      <c r="M369" s="82" t="str">
        <f t="shared" si="11"/>
        <v/>
      </c>
    </row>
    <row r="370" spans="2:13" ht="15.75" x14ac:dyDescent="0.25">
      <c r="B370" s="74" t="str">
        <f>IF('91_KPIS'!$T363="","",356)</f>
        <v/>
      </c>
      <c r="C370" s="75" t="str">
        <f>IF($B370="","",IF(INDEX(tblStock[Proveedor],'91_KPIS'!$T363)="","(Sin proveedor)",INDEX(tblStock[Proveedor],'91_KPIS'!$T363)))</f>
        <v/>
      </c>
      <c r="D370" s="76" t="str">
        <f>IF($B370="","",INDEX(tblStock[SKU],'91_KPIS'!$T363))</f>
        <v/>
      </c>
      <c r="E370" s="75" t="str">
        <f>IF($B370="","",INDEX(tblStock[Producto],'91_KPIS'!$T363))</f>
        <v/>
      </c>
      <c r="F370" s="76" t="str">
        <f>IF($B370="","",INDEX(tblStock[Unidad],'91_KPIS'!$T363))</f>
        <v/>
      </c>
      <c r="G370" s="77" t="str">
        <f>IF($B370="","",INDEX(tblStock[StockActual],'91_KPIS'!$T363))</f>
        <v/>
      </c>
      <c r="H370" s="78" t="str">
        <f>IF($B370="","",INDEX(tblStock[StockMin],'91_KPIS'!$T363))</f>
        <v/>
      </c>
      <c r="I370" s="78" t="str">
        <f>IF($B370="","",INDEX(tblStock[StockMax],'91_KPIS'!$T363))</f>
        <v/>
      </c>
      <c r="J370" s="79" t="str">
        <f>IF($B370="","",INDEX(tblStock[Estado],'91_KPIS'!$T363))</f>
        <v/>
      </c>
      <c r="K370" s="80" t="str">
        <f t="shared" si="10"/>
        <v/>
      </c>
      <c r="L370" s="81" t="str">
        <f>IF($B370="","",INDEX(tblStock[CostoUnitario],'91_KPIS'!$T363))</f>
        <v/>
      </c>
      <c r="M370" s="82" t="str">
        <f t="shared" si="11"/>
        <v/>
      </c>
    </row>
    <row r="371" spans="2:13" ht="15.75" x14ac:dyDescent="0.25">
      <c r="B371" s="74" t="str">
        <f>IF('91_KPIS'!$T364="","",357)</f>
        <v/>
      </c>
      <c r="C371" s="75" t="str">
        <f>IF($B371="","",IF(INDEX(tblStock[Proveedor],'91_KPIS'!$T364)="","(Sin proveedor)",INDEX(tblStock[Proveedor],'91_KPIS'!$T364)))</f>
        <v/>
      </c>
      <c r="D371" s="76" t="str">
        <f>IF($B371="","",INDEX(tblStock[SKU],'91_KPIS'!$T364))</f>
        <v/>
      </c>
      <c r="E371" s="75" t="str">
        <f>IF($B371="","",INDEX(tblStock[Producto],'91_KPIS'!$T364))</f>
        <v/>
      </c>
      <c r="F371" s="76" t="str">
        <f>IF($B371="","",INDEX(tblStock[Unidad],'91_KPIS'!$T364))</f>
        <v/>
      </c>
      <c r="G371" s="77" t="str">
        <f>IF($B371="","",INDEX(tblStock[StockActual],'91_KPIS'!$T364))</f>
        <v/>
      </c>
      <c r="H371" s="78" t="str">
        <f>IF($B371="","",INDEX(tblStock[StockMin],'91_KPIS'!$T364))</f>
        <v/>
      </c>
      <c r="I371" s="78" t="str">
        <f>IF($B371="","",INDEX(tblStock[StockMax],'91_KPIS'!$T364))</f>
        <v/>
      </c>
      <c r="J371" s="79" t="str">
        <f>IF($B371="","",INDEX(tblStock[Estado],'91_KPIS'!$T364))</f>
        <v/>
      </c>
      <c r="K371" s="80" t="str">
        <f t="shared" si="10"/>
        <v/>
      </c>
      <c r="L371" s="81" t="str">
        <f>IF($B371="","",INDEX(tblStock[CostoUnitario],'91_KPIS'!$T364))</f>
        <v/>
      </c>
      <c r="M371" s="82" t="str">
        <f t="shared" si="11"/>
        <v/>
      </c>
    </row>
    <row r="372" spans="2:13" ht="15.75" x14ac:dyDescent="0.25">
      <c r="B372" s="74" t="str">
        <f>IF('91_KPIS'!$T365="","",358)</f>
        <v/>
      </c>
      <c r="C372" s="75" t="str">
        <f>IF($B372="","",IF(INDEX(tblStock[Proveedor],'91_KPIS'!$T365)="","(Sin proveedor)",INDEX(tblStock[Proveedor],'91_KPIS'!$T365)))</f>
        <v/>
      </c>
      <c r="D372" s="76" t="str">
        <f>IF($B372="","",INDEX(tblStock[SKU],'91_KPIS'!$T365))</f>
        <v/>
      </c>
      <c r="E372" s="75" t="str">
        <f>IF($B372="","",INDEX(tblStock[Producto],'91_KPIS'!$T365))</f>
        <v/>
      </c>
      <c r="F372" s="76" t="str">
        <f>IF($B372="","",INDEX(tblStock[Unidad],'91_KPIS'!$T365))</f>
        <v/>
      </c>
      <c r="G372" s="77" t="str">
        <f>IF($B372="","",INDEX(tblStock[StockActual],'91_KPIS'!$T365))</f>
        <v/>
      </c>
      <c r="H372" s="78" t="str">
        <f>IF($B372="","",INDEX(tblStock[StockMin],'91_KPIS'!$T365))</f>
        <v/>
      </c>
      <c r="I372" s="78" t="str">
        <f>IF($B372="","",INDEX(tblStock[StockMax],'91_KPIS'!$T365))</f>
        <v/>
      </c>
      <c r="J372" s="79" t="str">
        <f>IF($B372="","",INDEX(tblStock[Estado],'91_KPIS'!$T365))</f>
        <v/>
      </c>
      <c r="K372" s="80" t="str">
        <f t="shared" si="10"/>
        <v/>
      </c>
      <c r="L372" s="81" t="str">
        <f>IF($B372="","",INDEX(tblStock[CostoUnitario],'91_KPIS'!$T365))</f>
        <v/>
      </c>
      <c r="M372" s="82" t="str">
        <f t="shared" si="11"/>
        <v/>
      </c>
    </row>
    <row r="373" spans="2:13" ht="15.75" x14ac:dyDescent="0.25">
      <c r="B373" s="74" t="str">
        <f>IF('91_KPIS'!$T366="","",359)</f>
        <v/>
      </c>
      <c r="C373" s="75" t="str">
        <f>IF($B373="","",IF(INDEX(tblStock[Proveedor],'91_KPIS'!$T366)="","(Sin proveedor)",INDEX(tblStock[Proveedor],'91_KPIS'!$T366)))</f>
        <v/>
      </c>
      <c r="D373" s="76" t="str">
        <f>IF($B373="","",INDEX(tblStock[SKU],'91_KPIS'!$T366))</f>
        <v/>
      </c>
      <c r="E373" s="75" t="str">
        <f>IF($B373="","",INDEX(tblStock[Producto],'91_KPIS'!$T366))</f>
        <v/>
      </c>
      <c r="F373" s="76" t="str">
        <f>IF($B373="","",INDEX(tblStock[Unidad],'91_KPIS'!$T366))</f>
        <v/>
      </c>
      <c r="G373" s="77" t="str">
        <f>IF($B373="","",INDEX(tblStock[StockActual],'91_KPIS'!$T366))</f>
        <v/>
      </c>
      <c r="H373" s="78" t="str">
        <f>IF($B373="","",INDEX(tblStock[StockMin],'91_KPIS'!$T366))</f>
        <v/>
      </c>
      <c r="I373" s="78" t="str">
        <f>IF($B373="","",INDEX(tblStock[StockMax],'91_KPIS'!$T366))</f>
        <v/>
      </c>
      <c r="J373" s="79" t="str">
        <f>IF($B373="","",INDEX(tblStock[Estado],'91_KPIS'!$T366))</f>
        <v/>
      </c>
      <c r="K373" s="80" t="str">
        <f t="shared" si="10"/>
        <v/>
      </c>
      <c r="L373" s="81" t="str">
        <f>IF($B373="","",INDEX(tblStock[CostoUnitario],'91_KPIS'!$T366))</f>
        <v/>
      </c>
      <c r="M373" s="82" t="str">
        <f t="shared" si="11"/>
        <v/>
      </c>
    </row>
    <row r="374" spans="2:13" ht="15.75" x14ac:dyDescent="0.25">
      <c r="B374" s="74" t="str">
        <f>IF('91_KPIS'!$T367="","",360)</f>
        <v/>
      </c>
      <c r="C374" s="75" t="str">
        <f>IF($B374="","",IF(INDEX(tblStock[Proveedor],'91_KPIS'!$T367)="","(Sin proveedor)",INDEX(tblStock[Proveedor],'91_KPIS'!$T367)))</f>
        <v/>
      </c>
      <c r="D374" s="76" t="str">
        <f>IF($B374="","",INDEX(tblStock[SKU],'91_KPIS'!$T367))</f>
        <v/>
      </c>
      <c r="E374" s="75" t="str">
        <f>IF($B374="","",INDEX(tblStock[Producto],'91_KPIS'!$T367))</f>
        <v/>
      </c>
      <c r="F374" s="76" t="str">
        <f>IF($B374="","",INDEX(tblStock[Unidad],'91_KPIS'!$T367))</f>
        <v/>
      </c>
      <c r="G374" s="77" t="str">
        <f>IF($B374="","",INDEX(tblStock[StockActual],'91_KPIS'!$T367))</f>
        <v/>
      </c>
      <c r="H374" s="78" t="str">
        <f>IF($B374="","",INDEX(tblStock[StockMin],'91_KPIS'!$T367))</f>
        <v/>
      </c>
      <c r="I374" s="78" t="str">
        <f>IF($B374="","",INDEX(tblStock[StockMax],'91_KPIS'!$T367))</f>
        <v/>
      </c>
      <c r="J374" s="79" t="str">
        <f>IF($B374="","",INDEX(tblStock[Estado],'91_KPIS'!$T367))</f>
        <v/>
      </c>
      <c r="K374" s="80" t="str">
        <f t="shared" si="10"/>
        <v/>
      </c>
      <c r="L374" s="81" t="str">
        <f>IF($B374="","",INDEX(tblStock[CostoUnitario],'91_KPIS'!$T367))</f>
        <v/>
      </c>
      <c r="M374" s="82" t="str">
        <f t="shared" si="11"/>
        <v/>
      </c>
    </row>
    <row r="375" spans="2:13" ht="15.75" x14ac:dyDescent="0.25">
      <c r="B375" s="74" t="str">
        <f>IF('91_KPIS'!$T368="","",361)</f>
        <v/>
      </c>
      <c r="C375" s="75" t="str">
        <f>IF($B375="","",IF(INDEX(tblStock[Proveedor],'91_KPIS'!$T368)="","(Sin proveedor)",INDEX(tblStock[Proveedor],'91_KPIS'!$T368)))</f>
        <v/>
      </c>
      <c r="D375" s="76" t="str">
        <f>IF($B375="","",INDEX(tblStock[SKU],'91_KPIS'!$T368))</f>
        <v/>
      </c>
      <c r="E375" s="75" t="str">
        <f>IF($B375="","",INDEX(tblStock[Producto],'91_KPIS'!$T368))</f>
        <v/>
      </c>
      <c r="F375" s="76" t="str">
        <f>IF($B375="","",INDEX(tblStock[Unidad],'91_KPIS'!$T368))</f>
        <v/>
      </c>
      <c r="G375" s="77" t="str">
        <f>IF($B375="","",INDEX(tblStock[StockActual],'91_KPIS'!$T368))</f>
        <v/>
      </c>
      <c r="H375" s="78" t="str">
        <f>IF($B375="","",INDEX(tblStock[StockMin],'91_KPIS'!$T368))</f>
        <v/>
      </c>
      <c r="I375" s="78" t="str">
        <f>IF($B375="","",INDEX(tblStock[StockMax],'91_KPIS'!$T368))</f>
        <v/>
      </c>
      <c r="J375" s="79" t="str">
        <f>IF($B375="","",INDEX(tblStock[Estado],'91_KPIS'!$T368))</f>
        <v/>
      </c>
      <c r="K375" s="80" t="str">
        <f t="shared" si="10"/>
        <v/>
      </c>
      <c r="L375" s="81" t="str">
        <f>IF($B375="","",INDEX(tblStock[CostoUnitario],'91_KPIS'!$T368))</f>
        <v/>
      </c>
      <c r="M375" s="82" t="str">
        <f t="shared" si="11"/>
        <v/>
      </c>
    </row>
    <row r="376" spans="2:13" ht="15.75" x14ac:dyDescent="0.25">
      <c r="B376" s="74" t="str">
        <f>IF('91_KPIS'!$T369="","",362)</f>
        <v/>
      </c>
      <c r="C376" s="75" t="str">
        <f>IF($B376="","",IF(INDEX(tblStock[Proveedor],'91_KPIS'!$T369)="","(Sin proveedor)",INDEX(tblStock[Proveedor],'91_KPIS'!$T369)))</f>
        <v/>
      </c>
      <c r="D376" s="76" t="str">
        <f>IF($B376="","",INDEX(tblStock[SKU],'91_KPIS'!$T369))</f>
        <v/>
      </c>
      <c r="E376" s="75" t="str">
        <f>IF($B376="","",INDEX(tblStock[Producto],'91_KPIS'!$T369))</f>
        <v/>
      </c>
      <c r="F376" s="76" t="str">
        <f>IF($B376="","",INDEX(tblStock[Unidad],'91_KPIS'!$T369))</f>
        <v/>
      </c>
      <c r="G376" s="77" t="str">
        <f>IF($B376="","",INDEX(tblStock[StockActual],'91_KPIS'!$T369))</f>
        <v/>
      </c>
      <c r="H376" s="78" t="str">
        <f>IF($B376="","",INDEX(tblStock[StockMin],'91_KPIS'!$T369))</f>
        <v/>
      </c>
      <c r="I376" s="78" t="str">
        <f>IF($B376="","",INDEX(tblStock[StockMax],'91_KPIS'!$T369))</f>
        <v/>
      </c>
      <c r="J376" s="79" t="str">
        <f>IF($B376="","",INDEX(tblStock[Estado],'91_KPIS'!$T369))</f>
        <v/>
      </c>
      <c r="K376" s="80" t="str">
        <f t="shared" si="10"/>
        <v/>
      </c>
      <c r="L376" s="81" t="str">
        <f>IF($B376="","",INDEX(tblStock[CostoUnitario],'91_KPIS'!$T369))</f>
        <v/>
      </c>
      <c r="M376" s="82" t="str">
        <f t="shared" si="11"/>
        <v/>
      </c>
    </row>
    <row r="377" spans="2:13" ht="15.75" x14ac:dyDescent="0.25">
      <c r="B377" s="74" t="str">
        <f>IF('91_KPIS'!$T370="","",363)</f>
        <v/>
      </c>
      <c r="C377" s="75" t="str">
        <f>IF($B377="","",IF(INDEX(tblStock[Proveedor],'91_KPIS'!$T370)="","(Sin proveedor)",INDEX(tblStock[Proveedor],'91_KPIS'!$T370)))</f>
        <v/>
      </c>
      <c r="D377" s="76" t="str">
        <f>IF($B377="","",INDEX(tblStock[SKU],'91_KPIS'!$T370))</f>
        <v/>
      </c>
      <c r="E377" s="75" t="str">
        <f>IF($B377="","",INDEX(tblStock[Producto],'91_KPIS'!$T370))</f>
        <v/>
      </c>
      <c r="F377" s="76" t="str">
        <f>IF($B377="","",INDEX(tblStock[Unidad],'91_KPIS'!$T370))</f>
        <v/>
      </c>
      <c r="G377" s="77" t="str">
        <f>IF($B377="","",INDEX(tblStock[StockActual],'91_KPIS'!$T370))</f>
        <v/>
      </c>
      <c r="H377" s="78" t="str">
        <f>IF($B377="","",INDEX(tblStock[StockMin],'91_KPIS'!$T370))</f>
        <v/>
      </c>
      <c r="I377" s="78" t="str">
        <f>IF($B377="","",INDEX(tblStock[StockMax],'91_KPIS'!$T370))</f>
        <v/>
      </c>
      <c r="J377" s="79" t="str">
        <f>IF($B377="","",INDEX(tblStock[Estado],'91_KPIS'!$T370))</f>
        <v/>
      </c>
      <c r="K377" s="80" t="str">
        <f t="shared" si="10"/>
        <v/>
      </c>
      <c r="L377" s="81" t="str">
        <f>IF($B377="","",INDEX(tblStock[CostoUnitario],'91_KPIS'!$T370))</f>
        <v/>
      </c>
      <c r="M377" s="82" t="str">
        <f t="shared" si="11"/>
        <v/>
      </c>
    </row>
    <row r="378" spans="2:13" ht="15.75" x14ac:dyDescent="0.25">
      <c r="B378" s="74" t="str">
        <f>IF('91_KPIS'!$T371="","",364)</f>
        <v/>
      </c>
      <c r="C378" s="75" t="str">
        <f>IF($B378="","",IF(INDEX(tblStock[Proveedor],'91_KPIS'!$T371)="","(Sin proveedor)",INDEX(tblStock[Proveedor],'91_KPIS'!$T371)))</f>
        <v/>
      </c>
      <c r="D378" s="76" t="str">
        <f>IF($B378="","",INDEX(tblStock[SKU],'91_KPIS'!$T371))</f>
        <v/>
      </c>
      <c r="E378" s="75" t="str">
        <f>IF($B378="","",INDEX(tblStock[Producto],'91_KPIS'!$T371))</f>
        <v/>
      </c>
      <c r="F378" s="76" t="str">
        <f>IF($B378="","",INDEX(tblStock[Unidad],'91_KPIS'!$T371))</f>
        <v/>
      </c>
      <c r="G378" s="77" t="str">
        <f>IF($B378="","",INDEX(tblStock[StockActual],'91_KPIS'!$T371))</f>
        <v/>
      </c>
      <c r="H378" s="78" t="str">
        <f>IF($B378="","",INDEX(tblStock[StockMin],'91_KPIS'!$T371))</f>
        <v/>
      </c>
      <c r="I378" s="78" t="str">
        <f>IF($B378="","",INDEX(tblStock[StockMax],'91_KPIS'!$T371))</f>
        <v/>
      </c>
      <c r="J378" s="79" t="str">
        <f>IF($B378="","",INDEX(tblStock[Estado],'91_KPIS'!$T371))</f>
        <v/>
      </c>
      <c r="K378" s="80" t="str">
        <f t="shared" si="10"/>
        <v/>
      </c>
      <c r="L378" s="81" t="str">
        <f>IF($B378="","",INDEX(tblStock[CostoUnitario],'91_KPIS'!$T371))</f>
        <v/>
      </c>
      <c r="M378" s="82" t="str">
        <f t="shared" si="11"/>
        <v/>
      </c>
    </row>
    <row r="379" spans="2:13" ht="15.75" x14ac:dyDescent="0.25">
      <c r="B379" s="74" t="str">
        <f>IF('91_KPIS'!$T372="","",365)</f>
        <v/>
      </c>
      <c r="C379" s="75" t="str">
        <f>IF($B379="","",IF(INDEX(tblStock[Proveedor],'91_KPIS'!$T372)="","(Sin proveedor)",INDEX(tblStock[Proveedor],'91_KPIS'!$T372)))</f>
        <v/>
      </c>
      <c r="D379" s="76" t="str">
        <f>IF($B379="","",INDEX(tblStock[SKU],'91_KPIS'!$T372))</f>
        <v/>
      </c>
      <c r="E379" s="75" t="str">
        <f>IF($B379="","",INDEX(tblStock[Producto],'91_KPIS'!$T372))</f>
        <v/>
      </c>
      <c r="F379" s="76" t="str">
        <f>IF($B379="","",INDEX(tblStock[Unidad],'91_KPIS'!$T372))</f>
        <v/>
      </c>
      <c r="G379" s="77" t="str">
        <f>IF($B379="","",INDEX(tblStock[StockActual],'91_KPIS'!$T372))</f>
        <v/>
      </c>
      <c r="H379" s="78" t="str">
        <f>IF($B379="","",INDEX(tblStock[StockMin],'91_KPIS'!$T372))</f>
        <v/>
      </c>
      <c r="I379" s="78" t="str">
        <f>IF($B379="","",INDEX(tblStock[StockMax],'91_KPIS'!$T372))</f>
        <v/>
      </c>
      <c r="J379" s="79" t="str">
        <f>IF($B379="","",INDEX(tblStock[Estado],'91_KPIS'!$T372))</f>
        <v/>
      </c>
      <c r="K379" s="80" t="str">
        <f t="shared" si="10"/>
        <v/>
      </c>
      <c r="L379" s="81" t="str">
        <f>IF($B379="","",INDEX(tblStock[CostoUnitario],'91_KPIS'!$T372))</f>
        <v/>
      </c>
      <c r="M379" s="82" t="str">
        <f t="shared" si="11"/>
        <v/>
      </c>
    </row>
    <row r="380" spans="2:13" ht="15.75" x14ac:dyDescent="0.25">
      <c r="B380" s="74" t="str">
        <f>IF('91_KPIS'!$T373="","",366)</f>
        <v/>
      </c>
      <c r="C380" s="75" t="str">
        <f>IF($B380="","",IF(INDEX(tblStock[Proveedor],'91_KPIS'!$T373)="","(Sin proveedor)",INDEX(tblStock[Proveedor],'91_KPIS'!$T373)))</f>
        <v/>
      </c>
      <c r="D380" s="76" t="str">
        <f>IF($B380="","",INDEX(tblStock[SKU],'91_KPIS'!$T373))</f>
        <v/>
      </c>
      <c r="E380" s="75" t="str">
        <f>IF($B380="","",INDEX(tblStock[Producto],'91_KPIS'!$T373))</f>
        <v/>
      </c>
      <c r="F380" s="76" t="str">
        <f>IF($B380="","",INDEX(tblStock[Unidad],'91_KPIS'!$T373))</f>
        <v/>
      </c>
      <c r="G380" s="77" t="str">
        <f>IF($B380="","",INDEX(tblStock[StockActual],'91_KPIS'!$T373))</f>
        <v/>
      </c>
      <c r="H380" s="78" t="str">
        <f>IF($B380="","",INDEX(tblStock[StockMin],'91_KPIS'!$T373))</f>
        <v/>
      </c>
      <c r="I380" s="78" t="str">
        <f>IF($B380="","",INDEX(tblStock[StockMax],'91_KPIS'!$T373))</f>
        <v/>
      </c>
      <c r="J380" s="79" t="str">
        <f>IF($B380="","",INDEX(tblStock[Estado],'91_KPIS'!$T373))</f>
        <v/>
      </c>
      <c r="K380" s="80" t="str">
        <f t="shared" si="10"/>
        <v/>
      </c>
      <c r="L380" s="81" t="str">
        <f>IF($B380="","",INDEX(tblStock[CostoUnitario],'91_KPIS'!$T373))</f>
        <v/>
      </c>
      <c r="M380" s="82" t="str">
        <f t="shared" si="11"/>
        <v/>
      </c>
    </row>
    <row r="381" spans="2:13" ht="15.75" x14ac:dyDescent="0.25">
      <c r="B381" s="74" t="str">
        <f>IF('91_KPIS'!$T374="","",367)</f>
        <v/>
      </c>
      <c r="C381" s="75" t="str">
        <f>IF($B381="","",IF(INDEX(tblStock[Proveedor],'91_KPIS'!$T374)="","(Sin proveedor)",INDEX(tblStock[Proveedor],'91_KPIS'!$T374)))</f>
        <v/>
      </c>
      <c r="D381" s="76" t="str">
        <f>IF($B381="","",INDEX(tblStock[SKU],'91_KPIS'!$T374))</f>
        <v/>
      </c>
      <c r="E381" s="75" t="str">
        <f>IF($B381="","",INDEX(tblStock[Producto],'91_KPIS'!$T374))</f>
        <v/>
      </c>
      <c r="F381" s="76" t="str">
        <f>IF($B381="","",INDEX(tblStock[Unidad],'91_KPIS'!$T374))</f>
        <v/>
      </c>
      <c r="G381" s="77" t="str">
        <f>IF($B381="","",INDEX(tblStock[StockActual],'91_KPIS'!$T374))</f>
        <v/>
      </c>
      <c r="H381" s="78" t="str">
        <f>IF($B381="","",INDEX(tblStock[StockMin],'91_KPIS'!$T374))</f>
        <v/>
      </c>
      <c r="I381" s="78" t="str">
        <f>IF($B381="","",INDEX(tblStock[StockMax],'91_KPIS'!$T374))</f>
        <v/>
      </c>
      <c r="J381" s="79" t="str">
        <f>IF($B381="","",INDEX(tblStock[Estado],'91_KPIS'!$T374))</f>
        <v/>
      </c>
      <c r="K381" s="80" t="str">
        <f t="shared" si="10"/>
        <v/>
      </c>
      <c r="L381" s="81" t="str">
        <f>IF($B381="","",INDEX(tblStock[CostoUnitario],'91_KPIS'!$T374))</f>
        <v/>
      </c>
      <c r="M381" s="82" t="str">
        <f t="shared" si="11"/>
        <v/>
      </c>
    </row>
    <row r="382" spans="2:13" ht="15.75" x14ac:dyDescent="0.25">
      <c r="B382" s="74" t="str">
        <f>IF('91_KPIS'!$T375="","",368)</f>
        <v/>
      </c>
      <c r="C382" s="75" t="str">
        <f>IF($B382="","",IF(INDEX(tblStock[Proveedor],'91_KPIS'!$T375)="","(Sin proveedor)",INDEX(tblStock[Proveedor],'91_KPIS'!$T375)))</f>
        <v/>
      </c>
      <c r="D382" s="76" t="str">
        <f>IF($B382="","",INDEX(tblStock[SKU],'91_KPIS'!$T375))</f>
        <v/>
      </c>
      <c r="E382" s="75" t="str">
        <f>IF($B382="","",INDEX(tblStock[Producto],'91_KPIS'!$T375))</f>
        <v/>
      </c>
      <c r="F382" s="76" t="str">
        <f>IF($B382="","",INDEX(tblStock[Unidad],'91_KPIS'!$T375))</f>
        <v/>
      </c>
      <c r="G382" s="77" t="str">
        <f>IF($B382="","",INDEX(tblStock[StockActual],'91_KPIS'!$T375))</f>
        <v/>
      </c>
      <c r="H382" s="78" t="str">
        <f>IF($B382="","",INDEX(tblStock[StockMin],'91_KPIS'!$T375))</f>
        <v/>
      </c>
      <c r="I382" s="78" t="str">
        <f>IF($B382="","",INDEX(tblStock[StockMax],'91_KPIS'!$T375))</f>
        <v/>
      </c>
      <c r="J382" s="79" t="str">
        <f>IF($B382="","",INDEX(tblStock[Estado],'91_KPIS'!$T375))</f>
        <v/>
      </c>
      <c r="K382" s="80" t="str">
        <f t="shared" si="10"/>
        <v/>
      </c>
      <c r="L382" s="81" t="str">
        <f>IF($B382="","",INDEX(tblStock[CostoUnitario],'91_KPIS'!$T375))</f>
        <v/>
      </c>
      <c r="M382" s="82" t="str">
        <f t="shared" si="11"/>
        <v/>
      </c>
    </row>
    <row r="383" spans="2:13" ht="15.75" x14ac:dyDescent="0.25">
      <c r="B383" s="74" t="str">
        <f>IF('91_KPIS'!$T376="","",369)</f>
        <v/>
      </c>
      <c r="C383" s="75" t="str">
        <f>IF($B383="","",IF(INDEX(tblStock[Proveedor],'91_KPIS'!$T376)="","(Sin proveedor)",INDEX(tblStock[Proveedor],'91_KPIS'!$T376)))</f>
        <v/>
      </c>
      <c r="D383" s="76" t="str">
        <f>IF($B383="","",INDEX(tblStock[SKU],'91_KPIS'!$T376))</f>
        <v/>
      </c>
      <c r="E383" s="75" t="str">
        <f>IF($B383="","",INDEX(tblStock[Producto],'91_KPIS'!$T376))</f>
        <v/>
      </c>
      <c r="F383" s="76" t="str">
        <f>IF($B383="","",INDEX(tblStock[Unidad],'91_KPIS'!$T376))</f>
        <v/>
      </c>
      <c r="G383" s="77" t="str">
        <f>IF($B383="","",INDEX(tblStock[StockActual],'91_KPIS'!$T376))</f>
        <v/>
      </c>
      <c r="H383" s="78" t="str">
        <f>IF($B383="","",INDEX(tblStock[StockMin],'91_KPIS'!$T376))</f>
        <v/>
      </c>
      <c r="I383" s="78" t="str">
        <f>IF($B383="","",INDEX(tblStock[StockMax],'91_KPIS'!$T376))</f>
        <v/>
      </c>
      <c r="J383" s="79" t="str">
        <f>IF($B383="","",INDEX(tblStock[Estado],'91_KPIS'!$T376))</f>
        <v/>
      </c>
      <c r="K383" s="80" t="str">
        <f t="shared" si="10"/>
        <v/>
      </c>
      <c r="L383" s="81" t="str">
        <f>IF($B383="","",INDEX(tblStock[CostoUnitario],'91_KPIS'!$T376))</f>
        <v/>
      </c>
      <c r="M383" s="82" t="str">
        <f t="shared" si="11"/>
        <v/>
      </c>
    </row>
    <row r="384" spans="2:13" ht="15.75" x14ac:dyDescent="0.25">
      <c r="B384" s="74" t="str">
        <f>IF('91_KPIS'!$T377="","",370)</f>
        <v/>
      </c>
      <c r="C384" s="75" t="str">
        <f>IF($B384="","",IF(INDEX(tblStock[Proveedor],'91_KPIS'!$T377)="","(Sin proveedor)",INDEX(tblStock[Proveedor],'91_KPIS'!$T377)))</f>
        <v/>
      </c>
      <c r="D384" s="76" t="str">
        <f>IF($B384="","",INDEX(tblStock[SKU],'91_KPIS'!$T377))</f>
        <v/>
      </c>
      <c r="E384" s="75" t="str">
        <f>IF($B384="","",INDEX(tblStock[Producto],'91_KPIS'!$T377))</f>
        <v/>
      </c>
      <c r="F384" s="76" t="str">
        <f>IF($B384="","",INDEX(tblStock[Unidad],'91_KPIS'!$T377))</f>
        <v/>
      </c>
      <c r="G384" s="77" t="str">
        <f>IF($B384="","",INDEX(tblStock[StockActual],'91_KPIS'!$T377))</f>
        <v/>
      </c>
      <c r="H384" s="78" t="str">
        <f>IF($B384="","",INDEX(tblStock[StockMin],'91_KPIS'!$T377))</f>
        <v/>
      </c>
      <c r="I384" s="78" t="str">
        <f>IF($B384="","",INDEX(tblStock[StockMax],'91_KPIS'!$T377))</f>
        <v/>
      </c>
      <c r="J384" s="79" t="str">
        <f>IF($B384="","",INDEX(tblStock[Estado],'91_KPIS'!$T377))</f>
        <v/>
      </c>
      <c r="K384" s="80" t="str">
        <f t="shared" si="10"/>
        <v/>
      </c>
      <c r="L384" s="81" t="str">
        <f>IF($B384="","",INDEX(tblStock[CostoUnitario],'91_KPIS'!$T377))</f>
        <v/>
      </c>
      <c r="M384" s="82" t="str">
        <f t="shared" si="11"/>
        <v/>
      </c>
    </row>
    <row r="385" spans="2:13" ht="15.75" x14ac:dyDescent="0.25">
      <c r="B385" s="74" t="str">
        <f>IF('91_KPIS'!$T378="","",371)</f>
        <v/>
      </c>
      <c r="C385" s="75" t="str">
        <f>IF($B385="","",IF(INDEX(tblStock[Proveedor],'91_KPIS'!$T378)="","(Sin proveedor)",INDEX(tblStock[Proveedor],'91_KPIS'!$T378)))</f>
        <v/>
      </c>
      <c r="D385" s="76" t="str">
        <f>IF($B385="","",INDEX(tblStock[SKU],'91_KPIS'!$T378))</f>
        <v/>
      </c>
      <c r="E385" s="75" t="str">
        <f>IF($B385="","",INDEX(tblStock[Producto],'91_KPIS'!$T378))</f>
        <v/>
      </c>
      <c r="F385" s="76" t="str">
        <f>IF($B385="","",INDEX(tblStock[Unidad],'91_KPIS'!$T378))</f>
        <v/>
      </c>
      <c r="G385" s="77" t="str">
        <f>IF($B385="","",INDEX(tblStock[StockActual],'91_KPIS'!$T378))</f>
        <v/>
      </c>
      <c r="H385" s="78" t="str">
        <f>IF($B385="","",INDEX(tblStock[StockMin],'91_KPIS'!$T378))</f>
        <v/>
      </c>
      <c r="I385" s="78" t="str">
        <f>IF($B385="","",INDEX(tblStock[StockMax],'91_KPIS'!$T378))</f>
        <v/>
      </c>
      <c r="J385" s="79" t="str">
        <f>IF($B385="","",INDEX(tblStock[Estado],'91_KPIS'!$T378))</f>
        <v/>
      </c>
      <c r="K385" s="80" t="str">
        <f t="shared" si="10"/>
        <v/>
      </c>
      <c r="L385" s="81" t="str">
        <f>IF($B385="","",INDEX(tblStock[CostoUnitario],'91_KPIS'!$T378))</f>
        <v/>
      </c>
      <c r="M385" s="82" t="str">
        <f t="shared" si="11"/>
        <v/>
      </c>
    </row>
    <row r="386" spans="2:13" ht="15.75" x14ac:dyDescent="0.25">
      <c r="B386" s="74" t="str">
        <f>IF('91_KPIS'!$T379="","",372)</f>
        <v/>
      </c>
      <c r="C386" s="75" t="str">
        <f>IF($B386="","",IF(INDEX(tblStock[Proveedor],'91_KPIS'!$T379)="","(Sin proveedor)",INDEX(tblStock[Proveedor],'91_KPIS'!$T379)))</f>
        <v/>
      </c>
      <c r="D386" s="76" t="str">
        <f>IF($B386="","",INDEX(tblStock[SKU],'91_KPIS'!$T379))</f>
        <v/>
      </c>
      <c r="E386" s="75" t="str">
        <f>IF($B386="","",INDEX(tblStock[Producto],'91_KPIS'!$T379))</f>
        <v/>
      </c>
      <c r="F386" s="76" t="str">
        <f>IF($B386="","",INDEX(tblStock[Unidad],'91_KPIS'!$T379))</f>
        <v/>
      </c>
      <c r="G386" s="77" t="str">
        <f>IF($B386="","",INDEX(tblStock[StockActual],'91_KPIS'!$T379))</f>
        <v/>
      </c>
      <c r="H386" s="78" t="str">
        <f>IF($B386="","",INDEX(tblStock[StockMin],'91_KPIS'!$T379))</f>
        <v/>
      </c>
      <c r="I386" s="78" t="str">
        <f>IF($B386="","",INDEX(tblStock[StockMax],'91_KPIS'!$T379))</f>
        <v/>
      </c>
      <c r="J386" s="79" t="str">
        <f>IF($B386="","",INDEX(tblStock[Estado],'91_KPIS'!$T379))</f>
        <v/>
      </c>
      <c r="K386" s="80" t="str">
        <f t="shared" si="10"/>
        <v/>
      </c>
      <c r="L386" s="81" t="str">
        <f>IF($B386="","",INDEX(tblStock[CostoUnitario],'91_KPIS'!$T379))</f>
        <v/>
      </c>
      <c r="M386" s="82" t="str">
        <f t="shared" si="11"/>
        <v/>
      </c>
    </row>
    <row r="387" spans="2:13" ht="15.75" x14ac:dyDescent="0.25">
      <c r="B387" s="74" t="str">
        <f>IF('91_KPIS'!$T380="","",373)</f>
        <v/>
      </c>
      <c r="C387" s="75" t="str">
        <f>IF($B387="","",IF(INDEX(tblStock[Proveedor],'91_KPIS'!$T380)="","(Sin proveedor)",INDEX(tblStock[Proveedor],'91_KPIS'!$T380)))</f>
        <v/>
      </c>
      <c r="D387" s="76" t="str">
        <f>IF($B387="","",INDEX(tblStock[SKU],'91_KPIS'!$T380))</f>
        <v/>
      </c>
      <c r="E387" s="75" t="str">
        <f>IF($B387="","",INDEX(tblStock[Producto],'91_KPIS'!$T380))</f>
        <v/>
      </c>
      <c r="F387" s="76" t="str">
        <f>IF($B387="","",INDEX(tblStock[Unidad],'91_KPIS'!$T380))</f>
        <v/>
      </c>
      <c r="G387" s="77" t="str">
        <f>IF($B387="","",INDEX(tblStock[StockActual],'91_KPIS'!$T380))</f>
        <v/>
      </c>
      <c r="H387" s="78" t="str">
        <f>IF($B387="","",INDEX(tblStock[StockMin],'91_KPIS'!$T380))</f>
        <v/>
      </c>
      <c r="I387" s="78" t="str">
        <f>IF($B387="","",INDEX(tblStock[StockMax],'91_KPIS'!$T380))</f>
        <v/>
      </c>
      <c r="J387" s="79" t="str">
        <f>IF($B387="","",INDEX(tblStock[Estado],'91_KPIS'!$T380))</f>
        <v/>
      </c>
      <c r="K387" s="80" t="str">
        <f t="shared" si="10"/>
        <v/>
      </c>
      <c r="L387" s="81" t="str">
        <f>IF($B387="","",INDEX(tblStock[CostoUnitario],'91_KPIS'!$T380))</f>
        <v/>
      </c>
      <c r="M387" s="82" t="str">
        <f t="shared" si="11"/>
        <v/>
      </c>
    </row>
    <row r="388" spans="2:13" ht="15.75" x14ac:dyDescent="0.25">
      <c r="B388" s="74" t="str">
        <f>IF('91_KPIS'!$T381="","",374)</f>
        <v/>
      </c>
      <c r="C388" s="75" t="str">
        <f>IF($B388="","",IF(INDEX(tblStock[Proveedor],'91_KPIS'!$T381)="","(Sin proveedor)",INDEX(tblStock[Proveedor],'91_KPIS'!$T381)))</f>
        <v/>
      </c>
      <c r="D388" s="76" t="str">
        <f>IF($B388="","",INDEX(tblStock[SKU],'91_KPIS'!$T381))</f>
        <v/>
      </c>
      <c r="E388" s="75" t="str">
        <f>IF($B388="","",INDEX(tblStock[Producto],'91_KPIS'!$T381))</f>
        <v/>
      </c>
      <c r="F388" s="76" t="str">
        <f>IF($B388="","",INDEX(tblStock[Unidad],'91_KPIS'!$T381))</f>
        <v/>
      </c>
      <c r="G388" s="77" t="str">
        <f>IF($B388="","",INDEX(tblStock[StockActual],'91_KPIS'!$T381))</f>
        <v/>
      </c>
      <c r="H388" s="78" t="str">
        <f>IF($B388="","",INDEX(tblStock[StockMin],'91_KPIS'!$T381))</f>
        <v/>
      </c>
      <c r="I388" s="78" t="str">
        <f>IF($B388="","",INDEX(tblStock[StockMax],'91_KPIS'!$T381))</f>
        <v/>
      </c>
      <c r="J388" s="79" t="str">
        <f>IF($B388="","",INDEX(tblStock[Estado],'91_KPIS'!$T381))</f>
        <v/>
      </c>
      <c r="K388" s="80" t="str">
        <f t="shared" si="10"/>
        <v/>
      </c>
      <c r="L388" s="81" t="str">
        <f>IF($B388="","",INDEX(tblStock[CostoUnitario],'91_KPIS'!$T381))</f>
        <v/>
      </c>
      <c r="M388" s="82" t="str">
        <f t="shared" si="11"/>
        <v/>
      </c>
    </row>
    <row r="389" spans="2:13" ht="15.75" x14ac:dyDescent="0.25">
      <c r="B389" s="74" t="str">
        <f>IF('91_KPIS'!$T382="","",375)</f>
        <v/>
      </c>
      <c r="C389" s="75" t="str">
        <f>IF($B389="","",IF(INDEX(tblStock[Proveedor],'91_KPIS'!$T382)="","(Sin proveedor)",INDEX(tblStock[Proveedor],'91_KPIS'!$T382)))</f>
        <v/>
      </c>
      <c r="D389" s="76" t="str">
        <f>IF($B389="","",INDEX(tblStock[SKU],'91_KPIS'!$T382))</f>
        <v/>
      </c>
      <c r="E389" s="75" t="str">
        <f>IF($B389="","",INDEX(tblStock[Producto],'91_KPIS'!$T382))</f>
        <v/>
      </c>
      <c r="F389" s="76" t="str">
        <f>IF($B389="","",INDEX(tblStock[Unidad],'91_KPIS'!$T382))</f>
        <v/>
      </c>
      <c r="G389" s="77" t="str">
        <f>IF($B389="","",INDEX(tblStock[StockActual],'91_KPIS'!$T382))</f>
        <v/>
      </c>
      <c r="H389" s="78" t="str">
        <f>IF($B389="","",INDEX(tblStock[StockMin],'91_KPIS'!$T382))</f>
        <v/>
      </c>
      <c r="I389" s="78" t="str">
        <f>IF($B389="","",INDEX(tblStock[StockMax],'91_KPIS'!$T382))</f>
        <v/>
      </c>
      <c r="J389" s="79" t="str">
        <f>IF($B389="","",INDEX(tblStock[Estado],'91_KPIS'!$T382))</f>
        <v/>
      </c>
      <c r="K389" s="80" t="str">
        <f t="shared" si="10"/>
        <v/>
      </c>
      <c r="L389" s="81" t="str">
        <f>IF($B389="","",INDEX(tblStock[CostoUnitario],'91_KPIS'!$T382))</f>
        <v/>
      </c>
      <c r="M389" s="82" t="str">
        <f t="shared" si="11"/>
        <v/>
      </c>
    </row>
    <row r="390" spans="2:13" ht="15.75" x14ac:dyDescent="0.25">
      <c r="B390" s="74" t="str">
        <f>IF('91_KPIS'!$T383="","",376)</f>
        <v/>
      </c>
      <c r="C390" s="75" t="str">
        <f>IF($B390="","",IF(INDEX(tblStock[Proveedor],'91_KPIS'!$T383)="","(Sin proveedor)",INDEX(tblStock[Proveedor],'91_KPIS'!$T383)))</f>
        <v/>
      </c>
      <c r="D390" s="76" t="str">
        <f>IF($B390="","",INDEX(tblStock[SKU],'91_KPIS'!$T383))</f>
        <v/>
      </c>
      <c r="E390" s="75" t="str">
        <f>IF($B390="","",INDEX(tblStock[Producto],'91_KPIS'!$T383))</f>
        <v/>
      </c>
      <c r="F390" s="76" t="str">
        <f>IF($B390="","",INDEX(tblStock[Unidad],'91_KPIS'!$T383))</f>
        <v/>
      </c>
      <c r="G390" s="77" t="str">
        <f>IF($B390="","",INDEX(tblStock[StockActual],'91_KPIS'!$T383))</f>
        <v/>
      </c>
      <c r="H390" s="78" t="str">
        <f>IF($B390="","",INDEX(tblStock[StockMin],'91_KPIS'!$T383))</f>
        <v/>
      </c>
      <c r="I390" s="78" t="str">
        <f>IF($B390="","",INDEX(tblStock[StockMax],'91_KPIS'!$T383))</f>
        <v/>
      </c>
      <c r="J390" s="79" t="str">
        <f>IF($B390="","",INDEX(tblStock[Estado],'91_KPIS'!$T383))</f>
        <v/>
      </c>
      <c r="K390" s="80" t="str">
        <f t="shared" si="10"/>
        <v/>
      </c>
      <c r="L390" s="81" t="str">
        <f>IF($B390="","",INDEX(tblStock[CostoUnitario],'91_KPIS'!$T383))</f>
        <v/>
      </c>
      <c r="M390" s="82" t="str">
        <f t="shared" si="11"/>
        <v/>
      </c>
    </row>
    <row r="391" spans="2:13" ht="15.75" x14ac:dyDescent="0.25">
      <c r="B391" s="74" t="str">
        <f>IF('91_KPIS'!$T384="","",377)</f>
        <v/>
      </c>
      <c r="C391" s="75" t="str">
        <f>IF($B391="","",IF(INDEX(tblStock[Proveedor],'91_KPIS'!$T384)="","(Sin proveedor)",INDEX(tblStock[Proveedor],'91_KPIS'!$T384)))</f>
        <v/>
      </c>
      <c r="D391" s="76" t="str">
        <f>IF($B391="","",INDEX(tblStock[SKU],'91_KPIS'!$T384))</f>
        <v/>
      </c>
      <c r="E391" s="75" t="str">
        <f>IF($B391="","",INDEX(tblStock[Producto],'91_KPIS'!$T384))</f>
        <v/>
      </c>
      <c r="F391" s="76" t="str">
        <f>IF($B391="","",INDEX(tblStock[Unidad],'91_KPIS'!$T384))</f>
        <v/>
      </c>
      <c r="G391" s="77" t="str">
        <f>IF($B391="","",INDEX(tblStock[StockActual],'91_KPIS'!$T384))</f>
        <v/>
      </c>
      <c r="H391" s="78" t="str">
        <f>IF($B391="","",INDEX(tblStock[StockMin],'91_KPIS'!$T384))</f>
        <v/>
      </c>
      <c r="I391" s="78" t="str">
        <f>IF($B391="","",INDEX(tblStock[StockMax],'91_KPIS'!$T384))</f>
        <v/>
      </c>
      <c r="J391" s="79" t="str">
        <f>IF($B391="","",INDEX(tblStock[Estado],'91_KPIS'!$T384))</f>
        <v/>
      </c>
      <c r="K391" s="80" t="str">
        <f t="shared" si="10"/>
        <v/>
      </c>
      <c r="L391" s="81" t="str">
        <f>IF($B391="","",INDEX(tblStock[CostoUnitario],'91_KPIS'!$T384))</f>
        <v/>
      </c>
      <c r="M391" s="82" t="str">
        <f t="shared" si="11"/>
        <v/>
      </c>
    </row>
    <row r="392" spans="2:13" ht="15.75" x14ac:dyDescent="0.25">
      <c r="B392" s="74" t="str">
        <f>IF('91_KPIS'!$T385="","",378)</f>
        <v/>
      </c>
      <c r="C392" s="75" t="str">
        <f>IF($B392="","",IF(INDEX(tblStock[Proveedor],'91_KPIS'!$T385)="","(Sin proveedor)",INDEX(tblStock[Proveedor],'91_KPIS'!$T385)))</f>
        <v/>
      </c>
      <c r="D392" s="76" t="str">
        <f>IF($B392="","",INDEX(tblStock[SKU],'91_KPIS'!$T385))</f>
        <v/>
      </c>
      <c r="E392" s="75" t="str">
        <f>IF($B392="","",INDEX(tblStock[Producto],'91_KPIS'!$T385))</f>
        <v/>
      </c>
      <c r="F392" s="76" t="str">
        <f>IF($B392="","",INDEX(tblStock[Unidad],'91_KPIS'!$T385))</f>
        <v/>
      </c>
      <c r="G392" s="77" t="str">
        <f>IF($B392="","",INDEX(tblStock[StockActual],'91_KPIS'!$T385))</f>
        <v/>
      </c>
      <c r="H392" s="78" t="str">
        <f>IF($B392="","",INDEX(tblStock[StockMin],'91_KPIS'!$T385))</f>
        <v/>
      </c>
      <c r="I392" s="78" t="str">
        <f>IF($B392="","",INDEX(tblStock[StockMax],'91_KPIS'!$T385))</f>
        <v/>
      </c>
      <c r="J392" s="79" t="str">
        <f>IF($B392="","",INDEX(tblStock[Estado],'91_KPIS'!$T385))</f>
        <v/>
      </c>
      <c r="K392" s="80" t="str">
        <f t="shared" si="10"/>
        <v/>
      </c>
      <c r="L392" s="81" t="str">
        <f>IF($B392="","",INDEX(tblStock[CostoUnitario],'91_KPIS'!$T385))</f>
        <v/>
      </c>
      <c r="M392" s="82" t="str">
        <f t="shared" si="11"/>
        <v/>
      </c>
    </row>
    <row r="393" spans="2:13" ht="15.75" x14ac:dyDescent="0.25">
      <c r="B393" s="74" t="str">
        <f>IF('91_KPIS'!$T386="","",379)</f>
        <v/>
      </c>
      <c r="C393" s="75" t="str">
        <f>IF($B393="","",IF(INDEX(tblStock[Proveedor],'91_KPIS'!$T386)="","(Sin proveedor)",INDEX(tblStock[Proveedor],'91_KPIS'!$T386)))</f>
        <v/>
      </c>
      <c r="D393" s="76" t="str">
        <f>IF($B393="","",INDEX(tblStock[SKU],'91_KPIS'!$T386))</f>
        <v/>
      </c>
      <c r="E393" s="75" t="str">
        <f>IF($B393="","",INDEX(tblStock[Producto],'91_KPIS'!$T386))</f>
        <v/>
      </c>
      <c r="F393" s="76" t="str">
        <f>IF($B393="","",INDEX(tblStock[Unidad],'91_KPIS'!$T386))</f>
        <v/>
      </c>
      <c r="G393" s="77" t="str">
        <f>IF($B393="","",INDEX(tblStock[StockActual],'91_KPIS'!$T386))</f>
        <v/>
      </c>
      <c r="H393" s="78" t="str">
        <f>IF($B393="","",INDEX(tblStock[StockMin],'91_KPIS'!$T386))</f>
        <v/>
      </c>
      <c r="I393" s="78" t="str">
        <f>IF($B393="","",INDEX(tblStock[StockMax],'91_KPIS'!$T386))</f>
        <v/>
      </c>
      <c r="J393" s="79" t="str">
        <f>IF($B393="","",INDEX(tblStock[Estado],'91_KPIS'!$T386))</f>
        <v/>
      </c>
      <c r="K393" s="80" t="str">
        <f t="shared" si="10"/>
        <v/>
      </c>
      <c r="L393" s="81" t="str">
        <f>IF($B393="","",INDEX(tblStock[CostoUnitario],'91_KPIS'!$T386))</f>
        <v/>
      </c>
      <c r="M393" s="82" t="str">
        <f t="shared" si="11"/>
        <v/>
      </c>
    </row>
    <row r="394" spans="2:13" ht="15.75" x14ac:dyDescent="0.25">
      <c r="B394" s="74" t="str">
        <f>IF('91_KPIS'!$T387="","",380)</f>
        <v/>
      </c>
      <c r="C394" s="75" t="str">
        <f>IF($B394="","",IF(INDEX(tblStock[Proveedor],'91_KPIS'!$T387)="","(Sin proveedor)",INDEX(tblStock[Proveedor],'91_KPIS'!$T387)))</f>
        <v/>
      </c>
      <c r="D394" s="76" t="str">
        <f>IF($B394="","",INDEX(tblStock[SKU],'91_KPIS'!$T387))</f>
        <v/>
      </c>
      <c r="E394" s="75" t="str">
        <f>IF($B394="","",INDEX(tblStock[Producto],'91_KPIS'!$T387))</f>
        <v/>
      </c>
      <c r="F394" s="76" t="str">
        <f>IF($B394="","",INDEX(tblStock[Unidad],'91_KPIS'!$T387))</f>
        <v/>
      </c>
      <c r="G394" s="77" t="str">
        <f>IF($B394="","",INDEX(tblStock[StockActual],'91_KPIS'!$T387))</f>
        <v/>
      </c>
      <c r="H394" s="78" t="str">
        <f>IF($B394="","",INDEX(tblStock[StockMin],'91_KPIS'!$T387))</f>
        <v/>
      </c>
      <c r="I394" s="78" t="str">
        <f>IF($B394="","",INDEX(tblStock[StockMax],'91_KPIS'!$T387))</f>
        <v/>
      </c>
      <c r="J394" s="79" t="str">
        <f>IF($B394="","",INDEX(tblStock[Estado],'91_KPIS'!$T387))</f>
        <v/>
      </c>
      <c r="K394" s="80" t="str">
        <f t="shared" si="10"/>
        <v/>
      </c>
      <c r="L394" s="81" t="str">
        <f>IF($B394="","",INDEX(tblStock[CostoUnitario],'91_KPIS'!$T387))</f>
        <v/>
      </c>
      <c r="M394" s="82" t="str">
        <f t="shared" si="11"/>
        <v/>
      </c>
    </row>
    <row r="395" spans="2:13" ht="15.75" x14ac:dyDescent="0.25">
      <c r="B395" s="74" t="str">
        <f>IF('91_KPIS'!$T388="","",381)</f>
        <v/>
      </c>
      <c r="C395" s="75" t="str">
        <f>IF($B395="","",IF(INDEX(tblStock[Proveedor],'91_KPIS'!$T388)="","(Sin proveedor)",INDEX(tblStock[Proveedor],'91_KPIS'!$T388)))</f>
        <v/>
      </c>
      <c r="D395" s="76" t="str">
        <f>IF($B395="","",INDEX(tblStock[SKU],'91_KPIS'!$T388))</f>
        <v/>
      </c>
      <c r="E395" s="75" t="str">
        <f>IF($B395="","",INDEX(tblStock[Producto],'91_KPIS'!$T388))</f>
        <v/>
      </c>
      <c r="F395" s="76" t="str">
        <f>IF($B395="","",INDEX(tblStock[Unidad],'91_KPIS'!$T388))</f>
        <v/>
      </c>
      <c r="G395" s="77" t="str">
        <f>IF($B395="","",INDEX(tblStock[StockActual],'91_KPIS'!$T388))</f>
        <v/>
      </c>
      <c r="H395" s="78" t="str">
        <f>IF($B395="","",INDEX(tblStock[StockMin],'91_KPIS'!$T388))</f>
        <v/>
      </c>
      <c r="I395" s="78" t="str">
        <f>IF($B395="","",INDEX(tblStock[StockMax],'91_KPIS'!$T388))</f>
        <v/>
      </c>
      <c r="J395" s="79" t="str">
        <f>IF($B395="","",INDEX(tblStock[Estado],'91_KPIS'!$T388))</f>
        <v/>
      </c>
      <c r="K395" s="80" t="str">
        <f t="shared" si="10"/>
        <v/>
      </c>
      <c r="L395" s="81" t="str">
        <f>IF($B395="","",INDEX(tblStock[CostoUnitario],'91_KPIS'!$T388))</f>
        <v/>
      </c>
      <c r="M395" s="82" t="str">
        <f t="shared" si="11"/>
        <v/>
      </c>
    </row>
    <row r="396" spans="2:13" ht="15.75" x14ac:dyDescent="0.25">
      <c r="B396" s="74" t="str">
        <f>IF('91_KPIS'!$T389="","",382)</f>
        <v/>
      </c>
      <c r="C396" s="75" t="str">
        <f>IF($B396="","",IF(INDEX(tblStock[Proveedor],'91_KPIS'!$T389)="","(Sin proveedor)",INDEX(tblStock[Proveedor],'91_KPIS'!$T389)))</f>
        <v/>
      </c>
      <c r="D396" s="76" t="str">
        <f>IF($B396="","",INDEX(tblStock[SKU],'91_KPIS'!$T389))</f>
        <v/>
      </c>
      <c r="E396" s="75" t="str">
        <f>IF($B396="","",INDEX(tblStock[Producto],'91_KPIS'!$T389))</f>
        <v/>
      </c>
      <c r="F396" s="76" t="str">
        <f>IF($B396="","",INDEX(tblStock[Unidad],'91_KPIS'!$T389))</f>
        <v/>
      </c>
      <c r="G396" s="77" t="str">
        <f>IF($B396="","",INDEX(tblStock[StockActual],'91_KPIS'!$T389))</f>
        <v/>
      </c>
      <c r="H396" s="78" t="str">
        <f>IF($B396="","",INDEX(tblStock[StockMin],'91_KPIS'!$T389))</f>
        <v/>
      </c>
      <c r="I396" s="78" t="str">
        <f>IF($B396="","",INDEX(tblStock[StockMax],'91_KPIS'!$T389))</f>
        <v/>
      </c>
      <c r="J396" s="79" t="str">
        <f>IF($B396="","",INDEX(tblStock[Estado],'91_KPIS'!$T389))</f>
        <v/>
      </c>
      <c r="K396" s="80" t="str">
        <f t="shared" si="10"/>
        <v/>
      </c>
      <c r="L396" s="81" t="str">
        <f>IF($B396="","",INDEX(tblStock[CostoUnitario],'91_KPIS'!$T389))</f>
        <v/>
      </c>
      <c r="M396" s="82" t="str">
        <f t="shared" si="11"/>
        <v/>
      </c>
    </row>
    <row r="397" spans="2:13" ht="15.75" x14ac:dyDescent="0.25">
      <c r="B397" s="74" t="str">
        <f>IF('91_KPIS'!$T390="","",383)</f>
        <v/>
      </c>
      <c r="C397" s="75" t="str">
        <f>IF($B397="","",IF(INDEX(tblStock[Proveedor],'91_KPIS'!$T390)="","(Sin proveedor)",INDEX(tblStock[Proveedor],'91_KPIS'!$T390)))</f>
        <v/>
      </c>
      <c r="D397" s="76" t="str">
        <f>IF($B397="","",INDEX(tblStock[SKU],'91_KPIS'!$T390))</f>
        <v/>
      </c>
      <c r="E397" s="75" t="str">
        <f>IF($B397="","",INDEX(tblStock[Producto],'91_KPIS'!$T390))</f>
        <v/>
      </c>
      <c r="F397" s="76" t="str">
        <f>IF($B397="","",INDEX(tblStock[Unidad],'91_KPIS'!$T390))</f>
        <v/>
      </c>
      <c r="G397" s="77" t="str">
        <f>IF($B397="","",INDEX(tblStock[StockActual],'91_KPIS'!$T390))</f>
        <v/>
      </c>
      <c r="H397" s="78" t="str">
        <f>IF($B397="","",INDEX(tblStock[StockMin],'91_KPIS'!$T390))</f>
        <v/>
      </c>
      <c r="I397" s="78" t="str">
        <f>IF($B397="","",INDEX(tblStock[StockMax],'91_KPIS'!$T390))</f>
        <v/>
      </c>
      <c r="J397" s="79" t="str">
        <f>IF($B397="","",INDEX(tblStock[Estado],'91_KPIS'!$T390))</f>
        <v/>
      </c>
      <c r="K397" s="80" t="str">
        <f t="shared" si="10"/>
        <v/>
      </c>
      <c r="L397" s="81" t="str">
        <f>IF($B397="","",INDEX(tblStock[CostoUnitario],'91_KPIS'!$T390))</f>
        <v/>
      </c>
      <c r="M397" s="82" t="str">
        <f t="shared" si="11"/>
        <v/>
      </c>
    </row>
    <row r="398" spans="2:13" ht="15.75" x14ac:dyDescent="0.25">
      <c r="B398" s="74" t="str">
        <f>IF('91_KPIS'!$T391="","",384)</f>
        <v/>
      </c>
      <c r="C398" s="75" t="str">
        <f>IF($B398="","",IF(INDEX(tblStock[Proveedor],'91_KPIS'!$T391)="","(Sin proveedor)",INDEX(tblStock[Proveedor],'91_KPIS'!$T391)))</f>
        <v/>
      </c>
      <c r="D398" s="76" t="str">
        <f>IF($B398="","",INDEX(tblStock[SKU],'91_KPIS'!$T391))</f>
        <v/>
      </c>
      <c r="E398" s="75" t="str">
        <f>IF($B398="","",INDEX(tblStock[Producto],'91_KPIS'!$T391))</f>
        <v/>
      </c>
      <c r="F398" s="76" t="str">
        <f>IF($B398="","",INDEX(tblStock[Unidad],'91_KPIS'!$T391))</f>
        <v/>
      </c>
      <c r="G398" s="77" t="str">
        <f>IF($B398="","",INDEX(tblStock[StockActual],'91_KPIS'!$T391))</f>
        <v/>
      </c>
      <c r="H398" s="78" t="str">
        <f>IF($B398="","",INDEX(tblStock[StockMin],'91_KPIS'!$T391))</f>
        <v/>
      </c>
      <c r="I398" s="78" t="str">
        <f>IF($B398="","",INDEX(tblStock[StockMax],'91_KPIS'!$T391))</f>
        <v/>
      </c>
      <c r="J398" s="79" t="str">
        <f>IF($B398="","",INDEX(tblStock[Estado],'91_KPIS'!$T391))</f>
        <v/>
      </c>
      <c r="K398" s="80" t="str">
        <f t="shared" si="10"/>
        <v/>
      </c>
      <c r="L398" s="81" t="str">
        <f>IF($B398="","",INDEX(tblStock[CostoUnitario],'91_KPIS'!$T391))</f>
        <v/>
      </c>
      <c r="M398" s="82" t="str">
        <f t="shared" si="11"/>
        <v/>
      </c>
    </row>
    <row r="399" spans="2:13" ht="15.75" x14ac:dyDescent="0.25">
      <c r="B399" s="74" t="str">
        <f>IF('91_KPIS'!$T392="","",385)</f>
        <v/>
      </c>
      <c r="C399" s="75" t="str">
        <f>IF($B399="","",IF(INDEX(tblStock[Proveedor],'91_KPIS'!$T392)="","(Sin proveedor)",INDEX(tblStock[Proveedor],'91_KPIS'!$T392)))</f>
        <v/>
      </c>
      <c r="D399" s="76" t="str">
        <f>IF($B399="","",INDEX(tblStock[SKU],'91_KPIS'!$T392))</f>
        <v/>
      </c>
      <c r="E399" s="75" t="str">
        <f>IF($B399="","",INDEX(tblStock[Producto],'91_KPIS'!$T392))</f>
        <v/>
      </c>
      <c r="F399" s="76" t="str">
        <f>IF($B399="","",INDEX(tblStock[Unidad],'91_KPIS'!$T392))</f>
        <v/>
      </c>
      <c r="G399" s="77" t="str">
        <f>IF($B399="","",INDEX(tblStock[StockActual],'91_KPIS'!$T392))</f>
        <v/>
      </c>
      <c r="H399" s="78" t="str">
        <f>IF($B399="","",INDEX(tblStock[StockMin],'91_KPIS'!$T392))</f>
        <v/>
      </c>
      <c r="I399" s="78" t="str">
        <f>IF($B399="","",INDEX(tblStock[StockMax],'91_KPIS'!$T392))</f>
        <v/>
      </c>
      <c r="J399" s="79" t="str">
        <f>IF($B399="","",INDEX(tblStock[Estado],'91_KPIS'!$T392))</f>
        <v/>
      </c>
      <c r="K399" s="80" t="str">
        <f t="shared" ref="K399:K462" si="12">IF($B399="","",MAX(0,IF($I399&gt;0,$I399,2*$H399)-MAX(0,$G399)))</f>
        <v/>
      </c>
      <c r="L399" s="81" t="str">
        <f>IF($B399="","",INDEX(tblStock[CostoUnitario],'91_KPIS'!$T392))</f>
        <v/>
      </c>
      <c r="M399" s="82" t="str">
        <f t="shared" ref="M399:M462" si="13">IF($B399="","",$K399*$L399)</f>
        <v/>
      </c>
    </row>
    <row r="400" spans="2:13" ht="15.75" x14ac:dyDescent="0.25">
      <c r="B400" s="74" t="str">
        <f>IF('91_KPIS'!$T393="","",386)</f>
        <v/>
      </c>
      <c r="C400" s="75" t="str">
        <f>IF($B400="","",IF(INDEX(tblStock[Proveedor],'91_KPIS'!$T393)="","(Sin proveedor)",INDEX(tblStock[Proveedor],'91_KPIS'!$T393)))</f>
        <v/>
      </c>
      <c r="D400" s="76" t="str">
        <f>IF($B400="","",INDEX(tblStock[SKU],'91_KPIS'!$T393))</f>
        <v/>
      </c>
      <c r="E400" s="75" t="str">
        <f>IF($B400="","",INDEX(tblStock[Producto],'91_KPIS'!$T393))</f>
        <v/>
      </c>
      <c r="F400" s="76" t="str">
        <f>IF($B400="","",INDEX(tblStock[Unidad],'91_KPIS'!$T393))</f>
        <v/>
      </c>
      <c r="G400" s="77" t="str">
        <f>IF($B400="","",INDEX(tblStock[StockActual],'91_KPIS'!$T393))</f>
        <v/>
      </c>
      <c r="H400" s="78" t="str">
        <f>IF($B400="","",INDEX(tblStock[StockMin],'91_KPIS'!$T393))</f>
        <v/>
      </c>
      <c r="I400" s="78" t="str">
        <f>IF($B400="","",INDEX(tblStock[StockMax],'91_KPIS'!$T393))</f>
        <v/>
      </c>
      <c r="J400" s="79" t="str">
        <f>IF($B400="","",INDEX(tblStock[Estado],'91_KPIS'!$T393))</f>
        <v/>
      </c>
      <c r="K400" s="80" t="str">
        <f t="shared" si="12"/>
        <v/>
      </c>
      <c r="L400" s="81" t="str">
        <f>IF($B400="","",INDEX(tblStock[CostoUnitario],'91_KPIS'!$T393))</f>
        <v/>
      </c>
      <c r="M400" s="82" t="str">
        <f t="shared" si="13"/>
        <v/>
      </c>
    </row>
    <row r="401" spans="2:13" ht="15.75" x14ac:dyDescent="0.25">
      <c r="B401" s="74" t="str">
        <f>IF('91_KPIS'!$T394="","",387)</f>
        <v/>
      </c>
      <c r="C401" s="75" t="str">
        <f>IF($B401="","",IF(INDEX(tblStock[Proveedor],'91_KPIS'!$T394)="","(Sin proveedor)",INDEX(tblStock[Proveedor],'91_KPIS'!$T394)))</f>
        <v/>
      </c>
      <c r="D401" s="76" t="str">
        <f>IF($B401="","",INDEX(tblStock[SKU],'91_KPIS'!$T394))</f>
        <v/>
      </c>
      <c r="E401" s="75" t="str">
        <f>IF($B401="","",INDEX(tblStock[Producto],'91_KPIS'!$T394))</f>
        <v/>
      </c>
      <c r="F401" s="76" t="str">
        <f>IF($B401="","",INDEX(tblStock[Unidad],'91_KPIS'!$T394))</f>
        <v/>
      </c>
      <c r="G401" s="77" t="str">
        <f>IF($B401="","",INDEX(tblStock[StockActual],'91_KPIS'!$T394))</f>
        <v/>
      </c>
      <c r="H401" s="78" t="str">
        <f>IF($B401="","",INDEX(tblStock[StockMin],'91_KPIS'!$T394))</f>
        <v/>
      </c>
      <c r="I401" s="78" t="str">
        <f>IF($B401="","",INDEX(tblStock[StockMax],'91_KPIS'!$T394))</f>
        <v/>
      </c>
      <c r="J401" s="79" t="str">
        <f>IF($B401="","",INDEX(tblStock[Estado],'91_KPIS'!$T394))</f>
        <v/>
      </c>
      <c r="K401" s="80" t="str">
        <f t="shared" si="12"/>
        <v/>
      </c>
      <c r="L401" s="81" t="str">
        <f>IF($B401="","",INDEX(tblStock[CostoUnitario],'91_KPIS'!$T394))</f>
        <v/>
      </c>
      <c r="M401" s="82" t="str">
        <f t="shared" si="13"/>
        <v/>
      </c>
    </row>
    <row r="402" spans="2:13" ht="15.75" x14ac:dyDescent="0.25">
      <c r="B402" s="74" t="str">
        <f>IF('91_KPIS'!$T395="","",388)</f>
        <v/>
      </c>
      <c r="C402" s="75" t="str">
        <f>IF($B402="","",IF(INDEX(tblStock[Proveedor],'91_KPIS'!$T395)="","(Sin proveedor)",INDEX(tblStock[Proveedor],'91_KPIS'!$T395)))</f>
        <v/>
      </c>
      <c r="D402" s="76" t="str">
        <f>IF($B402="","",INDEX(tblStock[SKU],'91_KPIS'!$T395))</f>
        <v/>
      </c>
      <c r="E402" s="75" t="str">
        <f>IF($B402="","",INDEX(tblStock[Producto],'91_KPIS'!$T395))</f>
        <v/>
      </c>
      <c r="F402" s="76" t="str">
        <f>IF($B402="","",INDEX(tblStock[Unidad],'91_KPIS'!$T395))</f>
        <v/>
      </c>
      <c r="G402" s="77" t="str">
        <f>IF($B402="","",INDEX(tblStock[StockActual],'91_KPIS'!$T395))</f>
        <v/>
      </c>
      <c r="H402" s="78" t="str">
        <f>IF($B402="","",INDEX(tblStock[StockMin],'91_KPIS'!$T395))</f>
        <v/>
      </c>
      <c r="I402" s="78" t="str">
        <f>IF($B402="","",INDEX(tblStock[StockMax],'91_KPIS'!$T395))</f>
        <v/>
      </c>
      <c r="J402" s="79" t="str">
        <f>IF($B402="","",INDEX(tblStock[Estado],'91_KPIS'!$T395))</f>
        <v/>
      </c>
      <c r="K402" s="80" t="str">
        <f t="shared" si="12"/>
        <v/>
      </c>
      <c r="L402" s="81" t="str">
        <f>IF($B402="","",INDEX(tblStock[CostoUnitario],'91_KPIS'!$T395))</f>
        <v/>
      </c>
      <c r="M402" s="82" t="str">
        <f t="shared" si="13"/>
        <v/>
      </c>
    </row>
    <row r="403" spans="2:13" ht="15.75" x14ac:dyDescent="0.25">
      <c r="B403" s="74" t="str">
        <f>IF('91_KPIS'!$T396="","",389)</f>
        <v/>
      </c>
      <c r="C403" s="75" t="str">
        <f>IF($B403="","",IF(INDEX(tblStock[Proveedor],'91_KPIS'!$T396)="","(Sin proveedor)",INDEX(tblStock[Proveedor],'91_KPIS'!$T396)))</f>
        <v/>
      </c>
      <c r="D403" s="76" t="str">
        <f>IF($B403="","",INDEX(tblStock[SKU],'91_KPIS'!$T396))</f>
        <v/>
      </c>
      <c r="E403" s="75" t="str">
        <f>IF($B403="","",INDEX(tblStock[Producto],'91_KPIS'!$T396))</f>
        <v/>
      </c>
      <c r="F403" s="76" t="str">
        <f>IF($B403="","",INDEX(tblStock[Unidad],'91_KPIS'!$T396))</f>
        <v/>
      </c>
      <c r="G403" s="77" t="str">
        <f>IF($B403="","",INDEX(tblStock[StockActual],'91_KPIS'!$T396))</f>
        <v/>
      </c>
      <c r="H403" s="78" t="str">
        <f>IF($B403="","",INDEX(tblStock[StockMin],'91_KPIS'!$T396))</f>
        <v/>
      </c>
      <c r="I403" s="78" t="str">
        <f>IF($B403="","",INDEX(tblStock[StockMax],'91_KPIS'!$T396))</f>
        <v/>
      </c>
      <c r="J403" s="79" t="str">
        <f>IF($B403="","",INDEX(tblStock[Estado],'91_KPIS'!$T396))</f>
        <v/>
      </c>
      <c r="K403" s="80" t="str">
        <f t="shared" si="12"/>
        <v/>
      </c>
      <c r="L403" s="81" t="str">
        <f>IF($B403="","",INDEX(tblStock[CostoUnitario],'91_KPIS'!$T396))</f>
        <v/>
      </c>
      <c r="M403" s="82" t="str">
        <f t="shared" si="13"/>
        <v/>
      </c>
    </row>
    <row r="404" spans="2:13" ht="15.75" x14ac:dyDescent="0.25">
      <c r="B404" s="74" t="str">
        <f>IF('91_KPIS'!$T397="","",390)</f>
        <v/>
      </c>
      <c r="C404" s="75" t="str">
        <f>IF($B404="","",IF(INDEX(tblStock[Proveedor],'91_KPIS'!$T397)="","(Sin proveedor)",INDEX(tblStock[Proveedor],'91_KPIS'!$T397)))</f>
        <v/>
      </c>
      <c r="D404" s="76" t="str">
        <f>IF($B404="","",INDEX(tblStock[SKU],'91_KPIS'!$T397))</f>
        <v/>
      </c>
      <c r="E404" s="75" t="str">
        <f>IF($B404="","",INDEX(tblStock[Producto],'91_KPIS'!$T397))</f>
        <v/>
      </c>
      <c r="F404" s="76" t="str">
        <f>IF($B404="","",INDEX(tblStock[Unidad],'91_KPIS'!$T397))</f>
        <v/>
      </c>
      <c r="G404" s="77" t="str">
        <f>IF($B404="","",INDEX(tblStock[StockActual],'91_KPIS'!$T397))</f>
        <v/>
      </c>
      <c r="H404" s="78" t="str">
        <f>IF($B404="","",INDEX(tblStock[StockMin],'91_KPIS'!$T397))</f>
        <v/>
      </c>
      <c r="I404" s="78" t="str">
        <f>IF($B404="","",INDEX(tblStock[StockMax],'91_KPIS'!$T397))</f>
        <v/>
      </c>
      <c r="J404" s="79" t="str">
        <f>IF($B404="","",INDEX(tblStock[Estado],'91_KPIS'!$T397))</f>
        <v/>
      </c>
      <c r="K404" s="80" t="str">
        <f t="shared" si="12"/>
        <v/>
      </c>
      <c r="L404" s="81" t="str">
        <f>IF($B404="","",INDEX(tblStock[CostoUnitario],'91_KPIS'!$T397))</f>
        <v/>
      </c>
      <c r="M404" s="82" t="str">
        <f t="shared" si="13"/>
        <v/>
      </c>
    </row>
    <row r="405" spans="2:13" ht="15.75" x14ac:dyDescent="0.25">
      <c r="B405" s="74" t="str">
        <f>IF('91_KPIS'!$T398="","",391)</f>
        <v/>
      </c>
      <c r="C405" s="75" t="str">
        <f>IF($B405="","",IF(INDEX(tblStock[Proveedor],'91_KPIS'!$T398)="","(Sin proveedor)",INDEX(tblStock[Proveedor],'91_KPIS'!$T398)))</f>
        <v/>
      </c>
      <c r="D405" s="76" t="str">
        <f>IF($B405="","",INDEX(tblStock[SKU],'91_KPIS'!$T398))</f>
        <v/>
      </c>
      <c r="E405" s="75" t="str">
        <f>IF($B405="","",INDEX(tblStock[Producto],'91_KPIS'!$T398))</f>
        <v/>
      </c>
      <c r="F405" s="76" t="str">
        <f>IF($B405="","",INDEX(tblStock[Unidad],'91_KPIS'!$T398))</f>
        <v/>
      </c>
      <c r="G405" s="77" t="str">
        <f>IF($B405="","",INDEX(tblStock[StockActual],'91_KPIS'!$T398))</f>
        <v/>
      </c>
      <c r="H405" s="78" t="str">
        <f>IF($B405="","",INDEX(tblStock[StockMin],'91_KPIS'!$T398))</f>
        <v/>
      </c>
      <c r="I405" s="78" t="str">
        <f>IF($B405="","",INDEX(tblStock[StockMax],'91_KPIS'!$T398))</f>
        <v/>
      </c>
      <c r="J405" s="79" t="str">
        <f>IF($B405="","",INDEX(tblStock[Estado],'91_KPIS'!$T398))</f>
        <v/>
      </c>
      <c r="K405" s="80" t="str">
        <f t="shared" si="12"/>
        <v/>
      </c>
      <c r="L405" s="81" t="str">
        <f>IF($B405="","",INDEX(tblStock[CostoUnitario],'91_KPIS'!$T398))</f>
        <v/>
      </c>
      <c r="M405" s="82" t="str">
        <f t="shared" si="13"/>
        <v/>
      </c>
    </row>
    <row r="406" spans="2:13" ht="15.75" x14ac:dyDescent="0.25">
      <c r="B406" s="74" t="str">
        <f>IF('91_KPIS'!$T399="","",392)</f>
        <v/>
      </c>
      <c r="C406" s="75" t="str">
        <f>IF($B406="","",IF(INDEX(tblStock[Proveedor],'91_KPIS'!$T399)="","(Sin proveedor)",INDEX(tblStock[Proveedor],'91_KPIS'!$T399)))</f>
        <v/>
      </c>
      <c r="D406" s="76" t="str">
        <f>IF($B406="","",INDEX(tblStock[SKU],'91_KPIS'!$T399))</f>
        <v/>
      </c>
      <c r="E406" s="75" t="str">
        <f>IF($B406="","",INDEX(tblStock[Producto],'91_KPIS'!$T399))</f>
        <v/>
      </c>
      <c r="F406" s="76" t="str">
        <f>IF($B406="","",INDEX(tblStock[Unidad],'91_KPIS'!$T399))</f>
        <v/>
      </c>
      <c r="G406" s="77" t="str">
        <f>IF($B406="","",INDEX(tblStock[StockActual],'91_KPIS'!$T399))</f>
        <v/>
      </c>
      <c r="H406" s="78" t="str">
        <f>IF($B406="","",INDEX(tblStock[StockMin],'91_KPIS'!$T399))</f>
        <v/>
      </c>
      <c r="I406" s="78" t="str">
        <f>IF($B406="","",INDEX(tblStock[StockMax],'91_KPIS'!$T399))</f>
        <v/>
      </c>
      <c r="J406" s="79" t="str">
        <f>IF($B406="","",INDEX(tblStock[Estado],'91_KPIS'!$T399))</f>
        <v/>
      </c>
      <c r="K406" s="80" t="str">
        <f t="shared" si="12"/>
        <v/>
      </c>
      <c r="L406" s="81" t="str">
        <f>IF($B406="","",INDEX(tblStock[CostoUnitario],'91_KPIS'!$T399))</f>
        <v/>
      </c>
      <c r="M406" s="82" t="str">
        <f t="shared" si="13"/>
        <v/>
      </c>
    </row>
    <row r="407" spans="2:13" ht="15.75" x14ac:dyDescent="0.25">
      <c r="B407" s="74" t="str">
        <f>IF('91_KPIS'!$T400="","",393)</f>
        <v/>
      </c>
      <c r="C407" s="75" t="str">
        <f>IF($B407="","",IF(INDEX(tblStock[Proveedor],'91_KPIS'!$T400)="","(Sin proveedor)",INDEX(tblStock[Proveedor],'91_KPIS'!$T400)))</f>
        <v/>
      </c>
      <c r="D407" s="76" t="str">
        <f>IF($B407="","",INDEX(tblStock[SKU],'91_KPIS'!$T400))</f>
        <v/>
      </c>
      <c r="E407" s="75" t="str">
        <f>IF($B407="","",INDEX(tblStock[Producto],'91_KPIS'!$T400))</f>
        <v/>
      </c>
      <c r="F407" s="76" t="str">
        <f>IF($B407="","",INDEX(tblStock[Unidad],'91_KPIS'!$T400))</f>
        <v/>
      </c>
      <c r="G407" s="77" t="str">
        <f>IF($B407="","",INDEX(tblStock[StockActual],'91_KPIS'!$T400))</f>
        <v/>
      </c>
      <c r="H407" s="78" t="str">
        <f>IF($B407="","",INDEX(tblStock[StockMin],'91_KPIS'!$T400))</f>
        <v/>
      </c>
      <c r="I407" s="78" t="str">
        <f>IF($B407="","",INDEX(tblStock[StockMax],'91_KPIS'!$T400))</f>
        <v/>
      </c>
      <c r="J407" s="79" t="str">
        <f>IF($B407="","",INDEX(tblStock[Estado],'91_KPIS'!$T400))</f>
        <v/>
      </c>
      <c r="K407" s="80" t="str">
        <f t="shared" si="12"/>
        <v/>
      </c>
      <c r="L407" s="81" t="str">
        <f>IF($B407="","",INDEX(tblStock[CostoUnitario],'91_KPIS'!$T400))</f>
        <v/>
      </c>
      <c r="M407" s="82" t="str">
        <f t="shared" si="13"/>
        <v/>
      </c>
    </row>
    <row r="408" spans="2:13" ht="15.75" x14ac:dyDescent="0.25">
      <c r="B408" s="74" t="str">
        <f>IF('91_KPIS'!$T401="","",394)</f>
        <v/>
      </c>
      <c r="C408" s="75" t="str">
        <f>IF($B408="","",IF(INDEX(tblStock[Proveedor],'91_KPIS'!$T401)="","(Sin proveedor)",INDEX(tblStock[Proveedor],'91_KPIS'!$T401)))</f>
        <v/>
      </c>
      <c r="D408" s="76" t="str">
        <f>IF($B408="","",INDEX(tblStock[SKU],'91_KPIS'!$T401))</f>
        <v/>
      </c>
      <c r="E408" s="75" t="str">
        <f>IF($B408="","",INDEX(tblStock[Producto],'91_KPIS'!$T401))</f>
        <v/>
      </c>
      <c r="F408" s="76" t="str">
        <f>IF($B408="","",INDEX(tblStock[Unidad],'91_KPIS'!$T401))</f>
        <v/>
      </c>
      <c r="G408" s="77" t="str">
        <f>IF($B408="","",INDEX(tblStock[StockActual],'91_KPIS'!$T401))</f>
        <v/>
      </c>
      <c r="H408" s="78" t="str">
        <f>IF($B408="","",INDEX(tblStock[StockMin],'91_KPIS'!$T401))</f>
        <v/>
      </c>
      <c r="I408" s="78" t="str">
        <f>IF($B408="","",INDEX(tblStock[StockMax],'91_KPIS'!$T401))</f>
        <v/>
      </c>
      <c r="J408" s="79" t="str">
        <f>IF($B408="","",INDEX(tblStock[Estado],'91_KPIS'!$T401))</f>
        <v/>
      </c>
      <c r="K408" s="80" t="str">
        <f t="shared" si="12"/>
        <v/>
      </c>
      <c r="L408" s="81" t="str">
        <f>IF($B408="","",INDEX(tblStock[CostoUnitario],'91_KPIS'!$T401))</f>
        <v/>
      </c>
      <c r="M408" s="82" t="str">
        <f t="shared" si="13"/>
        <v/>
      </c>
    </row>
    <row r="409" spans="2:13" ht="15.75" x14ac:dyDescent="0.25">
      <c r="B409" s="74" t="str">
        <f>IF('91_KPIS'!$T402="","",395)</f>
        <v/>
      </c>
      <c r="C409" s="75" t="str">
        <f>IF($B409="","",IF(INDEX(tblStock[Proveedor],'91_KPIS'!$T402)="","(Sin proveedor)",INDEX(tblStock[Proveedor],'91_KPIS'!$T402)))</f>
        <v/>
      </c>
      <c r="D409" s="76" t="str">
        <f>IF($B409="","",INDEX(tblStock[SKU],'91_KPIS'!$T402))</f>
        <v/>
      </c>
      <c r="E409" s="75" t="str">
        <f>IF($B409="","",INDEX(tblStock[Producto],'91_KPIS'!$T402))</f>
        <v/>
      </c>
      <c r="F409" s="76" t="str">
        <f>IF($B409="","",INDEX(tblStock[Unidad],'91_KPIS'!$T402))</f>
        <v/>
      </c>
      <c r="G409" s="77" t="str">
        <f>IF($B409="","",INDEX(tblStock[StockActual],'91_KPIS'!$T402))</f>
        <v/>
      </c>
      <c r="H409" s="78" t="str">
        <f>IF($B409="","",INDEX(tblStock[StockMin],'91_KPIS'!$T402))</f>
        <v/>
      </c>
      <c r="I409" s="78" t="str">
        <f>IF($B409="","",INDEX(tblStock[StockMax],'91_KPIS'!$T402))</f>
        <v/>
      </c>
      <c r="J409" s="79" t="str">
        <f>IF($B409="","",INDEX(tblStock[Estado],'91_KPIS'!$T402))</f>
        <v/>
      </c>
      <c r="K409" s="80" t="str">
        <f t="shared" si="12"/>
        <v/>
      </c>
      <c r="L409" s="81" t="str">
        <f>IF($B409="","",INDEX(tblStock[CostoUnitario],'91_KPIS'!$T402))</f>
        <v/>
      </c>
      <c r="M409" s="82" t="str">
        <f t="shared" si="13"/>
        <v/>
      </c>
    </row>
    <row r="410" spans="2:13" ht="15.75" x14ac:dyDescent="0.25">
      <c r="B410" s="74" t="str">
        <f>IF('91_KPIS'!$T403="","",396)</f>
        <v/>
      </c>
      <c r="C410" s="75" t="str">
        <f>IF($B410="","",IF(INDEX(tblStock[Proveedor],'91_KPIS'!$T403)="","(Sin proveedor)",INDEX(tblStock[Proveedor],'91_KPIS'!$T403)))</f>
        <v/>
      </c>
      <c r="D410" s="76" t="str">
        <f>IF($B410="","",INDEX(tblStock[SKU],'91_KPIS'!$T403))</f>
        <v/>
      </c>
      <c r="E410" s="75" t="str">
        <f>IF($B410="","",INDEX(tblStock[Producto],'91_KPIS'!$T403))</f>
        <v/>
      </c>
      <c r="F410" s="76" t="str">
        <f>IF($B410="","",INDEX(tblStock[Unidad],'91_KPIS'!$T403))</f>
        <v/>
      </c>
      <c r="G410" s="77" t="str">
        <f>IF($B410="","",INDEX(tblStock[StockActual],'91_KPIS'!$T403))</f>
        <v/>
      </c>
      <c r="H410" s="78" t="str">
        <f>IF($B410="","",INDEX(tblStock[StockMin],'91_KPIS'!$T403))</f>
        <v/>
      </c>
      <c r="I410" s="78" t="str">
        <f>IF($B410="","",INDEX(tblStock[StockMax],'91_KPIS'!$T403))</f>
        <v/>
      </c>
      <c r="J410" s="79" t="str">
        <f>IF($B410="","",INDEX(tblStock[Estado],'91_KPIS'!$T403))</f>
        <v/>
      </c>
      <c r="K410" s="80" t="str">
        <f t="shared" si="12"/>
        <v/>
      </c>
      <c r="L410" s="81" t="str">
        <f>IF($B410="","",INDEX(tblStock[CostoUnitario],'91_KPIS'!$T403))</f>
        <v/>
      </c>
      <c r="M410" s="82" t="str">
        <f t="shared" si="13"/>
        <v/>
      </c>
    </row>
    <row r="411" spans="2:13" ht="15.75" x14ac:dyDescent="0.25">
      <c r="B411" s="74" t="str">
        <f>IF('91_KPIS'!$T404="","",397)</f>
        <v/>
      </c>
      <c r="C411" s="75" t="str">
        <f>IF($B411="","",IF(INDEX(tblStock[Proveedor],'91_KPIS'!$T404)="","(Sin proveedor)",INDEX(tblStock[Proveedor],'91_KPIS'!$T404)))</f>
        <v/>
      </c>
      <c r="D411" s="76" t="str">
        <f>IF($B411="","",INDEX(tblStock[SKU],'91_KPIS'!$T404))</f>
        <v/>
      </c>
      <c r="E411" s="75" t="str">
        <f>IF($B411="","",INDEX(tblStock[Producto],'91_KPIS'!$T404))</f>
        <v/>
      </c>
      <c r="F411" s="76" t="str">
        <f>IF($B411="","",INDEX(tblStock[Unidad],'91_KPIS'!$T404))</f>
        <v/>
      </c>
      <c r="G411" s="77" t="str">
        <f>IF($B411="","",INDEX(tblStock[StockActual],'91_KPIS'!$T404))</f>
        <v/>
      </c>
      <c r="H411" s="78" t="str">
        <f>IF($B411="","",INDEX(tblStock[StockMin],'91_KPIS'!$T404))</f>
        <v/>
      </c>
      <c r="I411" s="78" t="str">
        <f>IF($B411="","",INDEX(tblStock[StockMax],'91_KPIS'!$T404))</f>
        <v/>
      </c>
      <c r="J411" s="79" t="str">
        <f>IF($B411="","",INDEX(tblStock[Estado],'91_KPIS'!$T404))</f>
        <v/>
      </c>
      <c r="K411" s="80" t="str">
        <f t="shared" si="12"/>
        <v/>
      </c>
      <c r="L411" s="81" t="str">
        <f>IF($B411="","",INDEX(tblStock[CostoUnitario],'91_KPIS'!$T404))</f>
        <v/>
      </c>
      <c r="M411" s="82" t="str">
        <f t="shared" si="13"/>
        <v/>
      </c>
    </row>
    <row r="412" spans="2:13" ht="15.75" x14ac:dyDescent="0.25">
      <c r="B412" s="74" t="str">
        <f>IF('91_KPIS'!$T405="","",398)</f>
        <v/>
      </c>
      <c r="C412" s="75" t="str">
        <f>IF($B412="","",IF(INDEX(tblStock[Proveedor],'91_KPIS'!$T405)="","(Sin proveedor)",INDEX(tblStock[Proveedor],'91_KPIS'!$T405)))</f>
        <v/>
      </c>
      <c r="D412" s="76" t="str">
        <f>IF($B412="","",INDEX(tblStock[SKU],'91_KPIS'!$T405))</f>
        <v/>
      </c>
      <c r="E412" s="75" t="str">
        <f>IF($B412="","",INDEX(tblStock[Producto],'91_KPIS'!$T405))</f>
        <v/>
      </c>
      <c r="F412" s="76" t="str">
        <f>IF($B412="","",INDEX(tblStock[Unidad],'91_KPIS'!$T405))</f>
        <v/>
      </c>
      <c r="G412" s="77" t="str">
        <f>IF($B412="","",INDEX(tblStock[StockActual],'91_KPIS'!$T405))</f>
        <v/>
      </c>
      <c r="H412" s="78" t="str">
        <f>IF($B412="","",INDEX(tblStock[StockMin],'91_KPIS'!$T405))</f>
        <v/>
      </c>
      <c r="I412" s="78" t="str">
        <f>IF($B412="","",INDEX(tblStock[StockMax],'91_KPIS'!$T405))</f>
        <v/>
      </c>
      <c r="J412" s="79" t="str">
        <f>IF($B412="","",INDEX(tblStock[Estado],'91_KPIS'!$T405))</f>
        <v/>
      </c>
      <c r="K412" s="80" t="str">
        <f t="shared" si="12"/>
        <v/>
      </c>
      <c r="L412" s="81" t="str">
        <f>IF($B412="","",INDEX(tblStock[CostoUnitario],'91_KPIS'!$T405))</f>
        <v/>
      </c>
      <c r="M412" s="82" t="str">
        <f t="shared" si="13"/>
        <v/>
      </c>
    </row>
    <row r="413" spans="2:13" ht="15.75" x14ac:dyDescent="0.25">
      <c r="B413" s="74" t="str">
        <f>IF('91_KPIS'!$T406="","",399)</f>
        <v/>
      </c>
      <c r="C413" s="75" t="str">
        <f>IF($B413="","",IF(INDEX(tblStock[Proveedor],'91_KPIS'!$T406)="","(Sin proveedor)",INDEX(tblStock[Proveedor],'91_KPIS'!$T406)))</f>
        <v/>
      </c>
      <c r="D413" s="76" t="str">
        <f>IF($B413="","",INDEX(tblStock[SKU],'91_KPIS'!$T406))</f>
        <v/>
      </c>
      <c r="E413" s="75" t="str">
        <f>IF($B413="","",INDEX(tblStock[Producto],'91_KPIS'!$T406))</f>
        <v/>
      </c>
      <c r="F413" s="76" t="str">
        <f>IF($B413="","",INDEX(tblStock[Unidad],'91_KPIS'!$T406))</f>
        <v/>
      </c>
      <c r="G413" s="77" t="str">
        <f>IF($B413="","",INDEX(tblStock[StockActual],'91_KPIS'!$T406))</f>
        <v/>
      </c>
      <c r="H413" s="78" t="str">
        <f>IF($B413="","",INDEX(tblStock[StockMin],'91_KPIS'!$T406))</f>
        <v/>
      </c>
      <c r="I413" s="78" t="str">
        <f>IF($B413="","",INDEX(tblStock[StockMax],'91_KPIS'!$T406))</f>
        <v/>
      </c>
      <c r="J413" s="79" t="str">
        <f>IF($B413="","",INDEX(tblStock[Estado],'91_KPIS'!$T406))</f>
        <v/>
      </c>
      <c r="K413" s="80" t="str">
        <f t="shared" si="12"/>
        <v/>
      </c>
      <c r="L413" s="81" t="str">
        <f>IF($B413="","",INDEX(tblStock[CostoUnitario],'91_KPIS'!$T406))</f>
        <v/>
      </c>
      <c r="M413" s="82" t="str">
        <f t="shared" si="13"/>
        <v/>
      </c>
    </row>
    <row r="414" spans="2:13" ht="15.75" x14ac:dyDescent="0.25">
      <c r="B414" s="74" t="str">
        <f>IF('91_KPIS'!$T407="","",400)</f>
        <v/>
      </c>
      <c r="C414" s="75" t="str">
        <f>IF($B414="","",IF(INDEX(tblStock[Proveedor],'91_KPIS'!$T407)="","(Sin proveedor)",INDEX(tblStock[Proveedor],'91_KPIS'!$T407)))</f>
        <v/>
      </c>
      <c r="D414" s="76" t="str">
        <f>IF($B414="","",INDEX(tblStock[SKU],'91_KPIS'!$T407))</f>
        <v/>
      </c>
      <c r="E414" s="75" t="str">
        <f>IF($B414="","",INDEX(tblStock[Producto],'91_KPIS'!$T407))</f>
        <v/>
      </c>
      <c r="F414" s="76" t="str">
        <f>IF($B414="","",INDEX(tblStock[Unidad],'91_KPIS'!$T407))</f>
        <v/>
      </c>
      <c r="G414" s="77" t="str">
        <f>IF($B414="","",INDEX(tblStock[StockActual],'91_KPIS'!$T407))</f>
        <v/>
      </c>
      <c r="H414" s="78" t="str">
        <f>IF($B414="","",INDEX(tblStock[StockMin],'91_KPIS'!$T407))</f>
        <v/>
      </c>
      <c r="I414" s="78" t="str">
        <f>IF($B414="","",INDEX(tblStock[StockMax],'91_KPIS'!$T407))</f>
        <v/>
      </c>
      <c r="J414" s="79" t="str">
        <f>IF($B414="","",INDEX(tblStock[Estado],'91_KPIS'!$T407))</f>
        <v/>
      </c>
      <c r="K414" s="80" t="str">
        <f t="shared" si="12"/>
        <v/>
      </c>
      <c r="L414" s="81" t="str">
        <f>IF($B414="","",INDEX(tblStock[CostoUnitario],'91_KPIS'!$T407))</f>
        <v/>
      </c>
      <c r="M414" s="82" t="str">
        <f t="shared" si="13"/>
        <v/>
      </c>
    </row>
    <row r="415" spans="2:13" ht="15.75" x14ac:dyDescent="0.25">
      <c r="B415" s="74" t="str">
        <f>IF('91_KPIS'!$T408="","",401)</f>
        <v/>
      </c>
      <c r="C415" s="75" t="str">
        <f>IF($B415="","",IF(INDEX(tblStock[Proveedor],'91_KPIS'!$T408)="","(Sin proveedor)",INDEX(tblStock[Proveedor],'91_KPIS'!$T408)))</f>
        <v/>
      </c>
      <c r="D415" s="76" t="str">
        <f>IF($B415="","",INDEX(tblStock[SKU],'91_KPIS'!$T408))</f>
        <v/>
      </c>
      <c r="E415" s="75" t="str">
        <f>IF($B415="","",INDEX(tblStock[Producto],'91_KPIS'!$T408))</f>
        <v/>
      </c>
      <c r="F415" s="76" t="str">
        <f>IF($B415="","",INDEX(tblStock[Unidad],'91_KPIS'!$T408))</f>
        <v/>
      </c>
      <c r="G415" s="77" t="str">
        <f>IF($B415="","",INDEX(tblStock[StockActual],'91_KPIS'!$T408))</f>
        <v/>
      </c>
      <c r="H415" s="78" t="str">
        <f>IF($B415="","",INDEX(tblStock[StockMin],'91_KPIS'!$T408))</f>
        <v/>
      </c>
      <c r="I415" s="78" t="str">
        <f>IF($B415="","",INDEX(tblStock[StockMax],'91_KPIS'!$T408))</f>
        <v/>
      </c>
      <c r="J415" s="79" t="str">
        <f>IF($B415="","",INDEX(tblStock[Estado],'91_KPIS'!$T408))</f>
        <v/>
      </c>
      <c r="K415" s="80" t="str">
        <f t="shared" si="12"/>
        <v/>
      </c>
      <c r="L415" s="81" t="str">
        <f>IF($B415="","",INDEX(tblStock[CostoUnitario],'91_KPIS'!$T408))</f>
        <v/>
      </c>
      <c r="M415" s="82" t="str">
        <f t="shared" si="13"/>
        <v/>
      </c>
    </row>
    <row r="416" spans="2:13" ht="15.75" x14ac:dyDescent="0.25">
      <c r="B416" s="74" t="str">
        <f>IF('91_KPIS'!$T409="","",402)</f>
        <v/>
      </c>
      <c r="C416" s="75" t="str">
        <f>IF($B416="","",IF(INDEX(tblStock[Proveedor],'91_KPIS'!$T409)="","(Sin proveedor)",INDEX(tblStock[Proveedor],'91_KPIS'!$T409)))</f>
        <v/>
      </c>
      <c r="D416" s="76" t="str">
        <f>IF($B416="","",INDEX(tblStock[SKU],'91_KPIS'!$T409))</f>
        <v/>
      </c>
      <c r="E416" s="75" t="str">
        <f>IF($B416="","",INDEX(tblStock[Producto],'91_KPIS'!$T409))</f>
        <v/>
      </c>
      <c r="F416" s="76" t="str">
        <f>IF($B416="","",INDEX(tblStock[Unidad],'91_KPIS'!$T409))</f>
        <v/>
      </c>
      <c r="G416" s="77" t="str">
        <f>IF($B416="","",INDEX(tblStock[StockActual],'91_KPIS'!$T409))</f>
        <v/>
      </c>
      <c r="H416" s="78" t="str">
        <f>IF($B416="","",INDEX(tblStock[StockMin],'91_KPIS'!$T409))</f>
        <v/>
      </c>
      <c r="I416" s="78" t="str">
        <f>IF($B416="","",INDEX(tblStock[StockMax],'91_KPIS'!$T409))</f>
        <v/>
      </c>
      <c r="J416" s="79" t="str">
        <f>IF($B416="","",INDEX(tblStock[Estado],'91_KPIS'!$T409))</f>
        <v/>
      </c>
      <c r="K416" s="80" t="str">
        <f t="shared" si="12"/>
        <v/>
      </c>
      <c r="L416" s="81" t="str">
        <f>IF($B416="","",INDEX(tblStock[CostoUnitario],'91_KPIS'!$T409))</f>
        <v/>
      </c>
      <c r="M416" s="82" t="str">
        <f t="shared" si="13"/>
        <v/>
      </c>
    </row>
    <row r="417" spans="2:13" ht="15.75" x14ac:dyDescent="0.25">
      <c r="B417" s="74" t="str">
        <f>IF('91_KPIS'!$T410="","",403)</f>
        <v/>
      </c>
      <c r="C417" s="75" t="str">
        <f>IF($B417="","",IF(INDEX(tblStock[Proveedor],'91_KPIS'!$T410)="","(Sin proveedor)",INDEX(tblStock[Proveedor],'91_KPIS'!$T410)))</f>
        <v/>
      </c>
      <c r="D417" s="76" t="str">
        <f>IF($B417="","",INDEX(tblStock[SKU],'91_KPIS'!$T410))</f>
        <v/>
      </c>
      <c r="E417" s="75" t="str">
        <f>IF($B417="","",INDEX(tblStock[Producto],'91_KPIS'!$T410))</f>
        <v/>
      </c>
      <c r="F417" s="76" t="str">
        <f>IF($B417="","",INDEX(tblStock[Unidad],'91_KPIS'!$T410))</f>
        <v/>
      </c>
      <c r="G417" s="77" t="str">
        <f>IF($B417="","",INDEX(tblStock[StockActual],'91_KPIS'!$T410))</f>
        <v/>
      </c>
      <c r="H417" s="78" t="str">
        <f>IF($B417="","",INDEX(tblStock[StockMin],'91_KPIS'!$T410))</f>
        <v/>
      </c>
      <c r="I417" s="78" t="str">
        <f>IF($B417="","",INDEX(tblStock[StockMax],'91_KPIS'!$T410))</f>
        <v/>
      </c>
      <c r="J417" s="79" t="str">
        <f>IF($B417="","",INDEX(tblStock[Estado],'91_KPIS'!$T410))</f>
        <v/>
      </c>
      <c r="K417" s="80" t="str">
        <f t="shared" si="12"/>
        <v/>
      </c>
      <c r="L417" s="81" t="str">
        <f>IF($B417="","",INDEX(tblStock[CostoUnitario],'91_KPIS'!$T410))</f>
        <v/>
      </c>
      <c r="M417" s="82" t="str">
        <f t="shared" si="13"/>
        <v/>
      </c>
    </row>
    <row r="418" spans="2:13" ht="15.75" x14ac:dyDescent="0.25">
      <c r="B418" s="74" t="str">
        <f>IF('91_KPIS'!$T411="","",404)</f>
        <v/>
      </c>
      <c r="C418" s="75" t="str">
        <f>IF($B418="","",IF(INDEX(tblStock[Proveedor],'91_KPIS'!$T411)="","(Sin proveedor)",INDEX(tblStock[Proveedor],'91_KPIS'!$T411)))</f>
        <v/>
      </c>
      <c r="D418" s="76" t="str">
        <f>IF($B418="","",INDEX(tblStock[SKU],'91_KPIS'!$T411))</f>
        <v/>
      </c>
      <c r="E418" s="75" t="str">
        <f>IF($B418="","",INDEX(tblStock[Producto],'91_KPIS'!$T411))</f>
        <v/>
      </c>
      <c r="F418" s="76" t="str">
        <f>IF($B418="","",INDEX(tblStock[Unidad],'91_KPIS'!$T411))</f>
        <v/>
      </c>
      <c r="G418" s="77" t="str">
        <f>IF($B418="","",INDEX(tblStock[StockActual],'91_KPIS'!$T411))</f>
        <v/>
      </c>
      <c r="H418" s="78" t="str">
        <f>IF($B418="","",INDEX(tblStock[StockMin],'91_KPIS'!$T411))</f>
        <v/>
      </c>
      <c r="I418" s="78" t="str">
        <f>IF($B418="","",INDEX(tblStock[StockMax],'91_KPIS'!$T411))</f>
        <v/>
      </c>
      <c r="J418" s="79" t="str">
        <f>IF($B418="","",INDEX(tblStock[Estado],'91_KPIS'!$T411))</f>
        <v/>
      </c>
      <c r="K418" s="80" t="str">
        <f t="shared" si="12"/>
        <v/>
      </c>
      <c r="L418" s="81" t="str">
        <f>IF($B418="","",INDEX(tblStock[CostoUnitario],'91_KPIS'!$T411))</f>
        <v/>
      </c>
      <c r="M418" s="82" t="str">
        <f t="shared" si="13"/>
        <v/>
      </c>
    </row>
    <row r="419" spans="2:13" ht="15.75" x14ac:dyDescent="0.25">
      <c r="B419" s="74" t="str">
        <f>IF('91_KPIS'!$T412="","",405)</f>
        <v/>
      </c>
      <c r="C419" s="75" t="str">
        <f>IF($B419="","",IF(INDEX(tblStock[Proveedor],'91_KPIS'!$T412)="","(Sin proveedor)",INDEX(tblStock[Proveedor],'91_KPIS'!$T412)))</f>
        <v/>
      </c>
      <c r="D419" s="76" t="str">
        <f>IF($B419="","",INDEX(tblStock[SKU],'91_KPIS'!$T412))</f>
        <v/>
      </c>
      <c r="E419" s="75" t="str">
        <f>IF($B419="","",INDEX(tblStock[Producto],'91_KPIS'!$T412))</f>
        <v/>
      </c>
      <c r="F419" s="76" t="str">
        <f>IF($B419="","",INDEX(tblStock[Unidad],'91_KPIS'!$T412))</f>
        <v/>
      </c>
      <c r="G419" s="77" t="str">
        <f>IF($B419="","",INDEX(tblStock[StockActual],'91_KPIS'!$T412))</f>
        <v/>
      </c>
      <c r="H419" s="78" t="str">
        <f>IF($B419="","",INDEX(tblStock[StockMin],'91_KPIS'!$T412))</f>
        <v/>
      </c>
      <c r="I419" s="78" t="str">
        <f>IF($B419="","",INDEX(tblStock[StockMax],'91_KPIS'!$T412))</f>
        <v/>
      </c>
      <c r="J419" s="79" t="str">
        <f>IF($B419="","",INDEX(tblStock[Estado],'91_KPIS'!$T412))</f>
        <v/>
      </c>
      <c r="K419" s="80" t="str">
        <f t="shared" si="12"/>
        <v/>
      </c>
      <c r="L419" s="81" t="str">
        <f>IF($B419="","",INDEX(tblStock[CostoUnitario],'91_KPIS'!$T412))</f>
        <v/>
      </c>
      <c r="M419" s="82" t="str">
        <f t="shared" si="13"/>
        <v/>
      </c>
    </row>
    <row r="420" spans="2:13" ht="15.75" x14ac:dyDescent="0.25">
      <c r="B420" s="74" t="str">
        <f>IF('91_KPIS'!$T413="","",406)</f>
        <v/>
      </c>
      <c r="C420" s="75" t="str">
        <f>IF($B420="","",IF(INDEX(tblStock[Proveedor],'91_KPIS'!$T413)="","(Sin proveedor)",INDEX(tblStock[Proveedor],'91_KPIS'!$T413)))</f>
        <v/>
      </c>
      <c r="D420" s="76" t="str">
        <f>IF($B420="","",INDEX(tblStock[SKU],'91_KPIS'!$T413))</f>
        <v/>
      </c>
      <c r="E420" s="75" t="str">
        <f>IF($B420="","",INDEX(tblStock[Producto],'91_KPIS'!$T413))</f>
        <v/>
      </c>
      <c r="F420" s="76" t="str">
        <f>IF($B420="","",INDEX(tblStock[Unidad],'91_KPIS'!$T413))</f>
        <v/>
      </c>
      <c r="G420" s="77" t="str">
        <f>IF($B420="","",INDEX(tblStock[StockActual],'91_KPIS'!$T413))</f>
        <v/>
      </c>
      <c r="H420" s="78" t="str">
        <f>IF($B420="","",INDEX(tblStock[StockMin],'91_KPIS'!$T413))</f>
        <v/>
      </c>
      <c r="I420" s="78" t="str">
        <f>IF($B420="","",INDEX(tblStock[StockMax],'91_KPIS'!$T413))</f>
        <v/>
      </c>
      <c r="J420" s="79" t="str">
        <f>IF($B420="","",INDEX(tblStock[Estado],'91_KPIS'!$T413))</f>
        <v/>
      </c>
      <c r="K420" s="80" t="str">
        <f t="shared" si="12"/>
        <v/>
      </c>
      <c r="L420" s="81" t="str">
        <f>IF($B420="","",INDEX(tblStock[CostoUnitario],'91_KPIS'!$T413))</f>
        <v/>
      </c>
      <c r="M420" s="82" t="str">
        <f t="shared" si="13"/>
        <v/>
      </c>
    </row>
    <row r="421" spans="2:13" ht="15.75" x14ac:dyDescent="0.25">
      <c r="B421" s="74" t="str">
        <f>IF('91_KPIS'!$T414="","",407)</f>
        <v/>
      </c>
      <c r="C421" s="75" t="str">
        <f>IF($B421="","",IF(INDEX(tblStock[Proveedor],'91_KPIS'!$T414)="","(Sin proveedor)",INDEX(tblStock[Proveedor],'91_KPIS'!$T414)))</f>
        <v/>
      </c>
      <c r="D421" s="76" t="str">
        <f>IF($B421="","",INDEX(tblStock[SKU],'91_KPIS'!$T414))</f>
        <v/>
      </c>
      <c r="E421" s="75" t="str">
        <f>IF($B421="","",INDEX(tblStock[Producto],'91_KPIS'!$T414))</f>
        <v/>
      </c>
      <c r="F421" s="76" t="str">
        <f>IF($B421="","",INDEX(tblStock[Unidad],'91_KPIS'!$T414))</f>
        <v/>
      </c>
      <c r="G421" s="77" t="str">
        <f>IF($B421="","",INDEX(tblStock[StockActual],'91_KPIS'!$T414))</f>
        <v/>
      </c>
      <c r="H421" s="78" t="str">
        <f>IF($B421="","",INDEX(tblStock[StockMin],'91_KPIS'!$T414))</f>
        <v/>
      </c>
      <c r="I421" s="78" t="str">
        <f>IF($B421="","",INDEX(tblStock[StockMax],'91_KPIS'!$T414))</f>
        <v/>
      </c>
      <c r="J421" s="79" t="str">
        <f>IF($B421="","",INDEX(tblStock[Estado],'91_KPIS'!$T414))</f>
        <v/>
      </c>
      <c r="K421" s="80" t="str">
        <f t="shared" si="12"/>
        <v/>
      </c>
      <c r="L421" s="81" t="str">
        <f>IF($B421="","",INDEX(tblStock[CostoUnitario],'91_KPIS'!$T414))</f>
        <v/>
      </c>
      <c r="M421" s="82" t="str">
        <f t="shared" si="13"/>
        <v/>
      </c>
    </row>
    <row r="422" spans="2:13" ht="15.75" x14ac:dyDescent="0.25">
      <c r="B422" s="74" t="str">
        <f>IF('91_KPIS'!$T415="","",408)</f>
        <v/>
      </c>
      <c r="C422" s="75" t="str">
        <f>IF($B422="","",IF(INDEX(tblStock[Proveedor],'91_KPIS'!$T415)="","(Sin proveedor)",INDEX(tblStock[Proveedor],'91_KPIS'!$T415)))</f>
        <v/>
      </c>
      <c r="D422" s="76" t="str">
        <f>IF($B422="","",INDEX(tblStock[SKU],'91_KPIS'!$T415))</f>
        <v/>
      </c>
      <c r="E422" s="75" t="str">
        <f>IF($B422="","",INDEX(tblStock[Producto],'91_KPIS'!$T415))</f>
        <v/>
      </c>
      <c r="F422" s="76" t="str">
        <f>IF($B422="","",INDEX(tblStock[Unidad],'91_KPIS'!$T415))</f>
        <v/>
      </c>
      <c r="G422" s="77" t="str">
        <f>IF($B422="","",INDEX(tblStock[StockActual],'91_KPIS'!$T415))</f>
        <v/>
      </c>
      <c r="H422" s="78" t="str">
        <f>IF($B422="","",INDEX(tblStock[StockMin],'91_KPIS'!$T415))</f>
        <v/>
      </c>
      <c r="I422" s="78" t="str">
        <f>IF($B422="","",INDEX(tblStock[StockMax],'91_KPIS'!$T415))</f>
        <v/>
      </c>
      <c r="J422" s="79" t="str">
        <f>IF($B422="","",INDEX(tblStock[Estado],'91_KPIS'!$T415))</f>
        <v/>
      </c>
      <c r="K422" s="80" t="str">
        <f t="shared" si="12"/>
        <v/>
      </c>
      <c r="L422" s="81" t="str">
        <f>IF($B422="","",INDEX(tblStock[CostoUnitario],'91_KPIS'!$T415))</f>
        <v/>
      </c>
      <c r="M422" s="82" t="str">
        <f t="shared" si="13"/>
        <v/>
      </c>
    </row>
    <row r="423" spans="2:13" ht="15.75" x14ac:dyDescent="0.25">
      <c r="B423" s="74" t="str">
        <f>IF('91_KPIS'!$T416="","",409)</f>
        <v/>
      </c>
      <c r="C423" s="75" t="str">
        <f>IF($B423="","",IF(INDEX(tblStock[Proveedor],'91_KPIS'!$T416)="","(Sin proveedor)",INDEX(tblStock[Proveedor],'91_KPIS'!$T416)))</f>
        <v/>
      </c>
      <c r="D423" s="76" t="str">
        <f>IF($B423="","",INDEX(tblStock[SKU],'91_KPIS'!$T416))</f>
        <v/>
      </c>
      <c r="E423" s="75" t="str">
        <f>IF($B423="","",INDEX(tblStock[Producto],'91_KPIS'!$T416))</f>
        <v/>
      </c>
      <c r="F423" s="76" t="str">
        <f>IF($B423="","",INDEX(tblStock[Unidad],'91_KPIS'!$T416))</f>
        <v/>
      </c>
      <c r="G423" s="77" t="str">
        <f>IF($B423="","",INDEX(tblStock[StockActual],'91_KPIS'!$T416))</f>
        <v/>
      </c>
      <c r="H423" s="78" t="str">
        <f>IF($B423="","",INDEX(tblStock[StockMin],'91_KPIS'!$T416))</f>
        <v/>
      </c>
      <c r="I423" s="78" t="str">
        <f>IF($B423="","",INDEX(tblStock[StockMax],'91_KPIS'!$T416))</f>
        <v/>
      </c>
      <c r="J423" s="79" t="str">
        <f>IF($B423="","",INDEX(tblStock[Estado],'91_KPIS'!$T416))</f>
        <v/>
      </c>
      <c r="K423" s="80" t="str">
        <f t="shared" si="12"/>
        <v/>
      </c>
      <c r="L423" s="81" t="str">
        <f>IF($B423="","",INDEX(tblStock[CostoUnitario],'91_KPIS'!$T416))</f>
        <v/>
      </c>
      <c r="M423" s="82" t="str">
        <f t="shared" si="13"/>
        <v/>
      </c>
    </row>
    <row r="424" spans="2:13" ht="15.75" x14ac:dyDescent="0.25">
      <c r="B424" s="74" t="str">
        <f>IF('91_KPIS'!$T417="","",410)</f>
        <v/>
      </c>
      <c r="C424" s="75" t="str">
        <f>IF($B424="","",IF(INDEX(tblStock[Proveedor],'91_KPIS'!$T417)="","(Sin proveedor)",INDEX(tblStock[Proveedor],'91_KPIS'!$T417)))</f>
        <v/>
      </c>
      <c r="D424" s="76" t="str">
        <f>IF($B424="","",INDEX(tblStock[SKU],'91_KPIS'!$T417))</f>
        <v/>
      </c>
      <c r="E424" s="75" t="str">
        <f>IF($B424="","",INDEX(tblStock[Producto],'91_KPIS'!$T417))</f>
        <v/>
      </c>
      <c r="F424" s="76" t="str">
        <f>IF($B424="","",INDEX(tblStock[Unidad],'91_KPIS'!$T417))</f>
        <v/>
      </c>
      <c r="G424" s="77" t="str">
        <f>IF($B424="","",INDEX(tblStock[StockActual],'91_KPIS'!$T417))</f>
        <v/>
      </c>
      <c r="H424" s="78" t="str">
        <f>IF($B424="","",INDEX(tblStock[StockMin],'91_KPIS'!$T417))</f>
        <v/>
      </c>
      <c r="I424" s="78" t="str">
        <f>IF($B424="","",INDEX(tblStock[StockMax],'91_KPIS'!$T417))</f>
        <v/>
      </c>
      <c r="J424" s="79" t="str">
        <f>IF($B424="","",INDEX(tblStock[Estado],'91_KPIS'!$T417))</f>
        <v/>
      </c>
      <c r="K424" s="80" t="str">
        <f t="shared" si="12"/>
        <v/>
      </c>
      <c r="L424" s="81" t="str">
        <f>IF($B424="","",INDEX(tblStock[CostoUnitario],'91_KPIS'!$T417))</f>
        <v/>
      </c>
      <c r="M424" s="82" t="str">
        <f t="shared" si="13"/>
        <v/>
      </c>
    </row>
    <row r="425" spans="2:13" ht="15.75" x14ac:dyDescent="0.25">
      <c r="B425" s="74" t="str">
        <f>IF('91_KPIS'!$T418="","",411)</f>
        <v/>
      </c>
      <c r="C425" s="75" t="str">
        <f>IF($B425="","",IF(INDEX(tblStock[Proveedor],'91_KPIS'!$T418)="","(Sin proveedor)",INDEX(tblStock[Proveedor],'91_KPIS'!$T418)))</f>
        <v/>
      </c>
      <c r="D425" s="76" t="str">
        <f>IF($B425="","",INDEX(tblStock[SKU],'91_KPIS'!$T418))</f>
        <v/>
      </c>
      <c r="E425" s="75" t="str">
        <f>IF($B425="","",INDEX(tblStock[Producto],'91_KPIS'!$T418))</f>
        <v/>
      </c>
      <c r="F425" s="76" t="str">
        <f>IF($B425="","",INDEX(tblStock[Unidad],'91_KPIS'!$T418))</f>
        <v/>
      </c>
      <c r="G425" s="77" t="str">
        <f>IF($B425="","",INDEX(tblStock[StockActual],'91_KPIS'!$T418))</f>
        <v/>
      </c>
      <c r="H425" s="78" t="str">
        <f>IF($B425="","",INDEX(tblStock[StockMin],'91_KPIS'!$T418))</f>
        <v/>
      </c>
      <c r="I425" s="78" t="str">
        <f>IF($B425="","",INDEX(tblStock[StockMax],'91_KPIS'!$T418))</f>
        <v/>
      </c>
      <c r="J425" s="79" t="str">
        <f>IF($B425="","",INDEX(tblStock[Estado],'91_KPIS'!$T418))</f>
        <v/>
      </c>
      <c r="K425" s="80" t="str">
        <f t="shared" si="12"/>
        <v/>
      </c>
      <c r="L425" s="81" t="str">
        <f>IF($B425="","",INDEX(tblStock[CostoUnitario],'91_KPIS'!$T418))</f>
        <v/>
      </c>
      <c r="M425" s="82" t="str">
        <f t="shared" si="13"/>
        <v/>
      </c>
    </row>
    <row r="426" spans="2:13" ht="15.75" x14ac:dyDescent="0.25">
      <c r="B426" s="74" t="str">
        <f>IF('91_KPIS'!$T419="","",412)</f>
        <v/>
      </c>
      <c r="C426" s="75" t="str">
        <f>IF($B426="","",IF(INDEX(tblStock[Proveedor],'91_KPIS'!$T419)="","(Sin proveedor)",INDEX(tblStock[Proveedor],'91_KPIS'!$T419)))</f>
        <v/>
      </c>
      <c r="D426" s="76" t="str">
        <f>IF($B426="","",INDEX(tblStock[SKU],'91_KPIS'!$T419))</f>
        <v/>
      </c>
      <c r="E426" s="75" t="str">
        <f>IF($B426="","",INDEX(tblStock[Producto],'91_KPIS'!$T419))</f>
        <v/>
      </c>
      <c r="F426" s="76" t="str">
        <f>IF($B426="","",INDEX(tblStock[Unidad],'91_KPIS'!$T419))</f>
        <v/>
      </c>
      <c r="G426" s="77" t="str">
        <f>IF($B426="","",INDEX(tblStock[StockActual],'91_KPIS'!$T419))</f>
        <v/>
      </c>
      <c r="H426" s="78" t="str">
        <f>IF($B426="","",INDEX(tblStock[StockMin],'91_KPIS'!$T419))</f>
        <v/>
      </c>
      <c r="I426" s="78" t="str">
        <f>IF($B426="","",INDEX(tblStock[StockMax],'91_KPIS'!$T419))</f>
        <v/>
      </c>
      <c r="J426" s="79" t="str">
        <f>IF($B426="","",INDEX(tblStock[Estado],'91_KPIS'!$T419))</f>
        <v/>
      </c>
      <c r="K426" s="80" t="str">
        <f t="shared" si="12"/>
        <v/>
      </c>
      <c r="L426" s="81" t="str">
        <f>IF($B426="","",INDEX(tblStock[CostoUnitario],'91_KPIS'!$T419))</f>
        <v/>
      </c>
      <c r="M426" s="82" t="str">
        <f t="shared" si="13"/>
        <v/>
      </c>
    </row>
    <row r="427" spans="2:13" ht="15.75" x14ac:dyDescent="0.25">
      <c r="B427" s="74" t="str">
        <f>IF('91_KPIS'!$T420="","",413)</f>
        <v/>
      </c>
      <c r="C427" s="75" t="str">
        <f>IF($B427="","",IF(INDEX(tblStock[Proveedor],'91_KPIS'!$T420)="","(Sin proveedor)",INDEX(tblStock[Proveedor],'91_KPIS'!$T420)))</f>
        <v/>
      </c>
      <c r="D427" s="76" t="str">
        <f>IF($B427="","",INDEX(tblStock[SKU],'91_KPIS'!$T420))</f>
        <v/>
      </c>
      <c r="E427" s="75" t="str">
        <f>IF($B427="","",INDEX(tblStock[Producto],'91_KPIS'!$T420))</f>
        <v/>
      </c>
      <c r="F427" s="76" t="str">
        <f>IF($B427="","",INDEX(tblStock[Unidad],'91_KPIS'!$T420))</f>
        <v/>
      </c>
      <c r="G427" s="77" t="str">
        <f>IF($B427="","",INDEX(tblStock[StockActual],'91_KPIS'!$T420))</f>
        <v/>
      </c>
      <c r="H427" s="78" t="str">
        <f>IF($B427="","",INDEX(tblStock[StockMin],'91_KPIS'!$T420))</f>
        <v/>
      </c>
      <c r="I427" s="78" t="str">
        <f>IF($B427="","",INDEX(tblStock[StockMax],'91_KPIS'!$T420))</f>
        <v/>
      </c>
      <c r="J427" s="79" t="str">
        <f>IF($B427="","",INDEX(tblStock[Estado],'91_KPIS'!$T420))</f>
        <v/>
      </c>
      <c r="K427" s="80" t="str">
        <f t="shared" si="12"/>
        <v/>
      </c>
      <c r="L427" s="81" t="str">
        <f>IF($B427="","",INDEX(tblStock[CostoUnitario],'91_KPIS'!$T420))</f>
        <v/>
      </c>
      <c r="M427" s="82" t="str">
        <f t="shared" si="13"/>
        <v/>
      </c>
    </row>
    <row r="428" spans="2:13" ht="15.75" x14ac:dyDescent="0.25">
      <c r="B428" s="74" t="str">
        <f>IF('91_KPIS'!$T421="","",414)</f>
        <v/>
      </c>
      <c r="C428" s="75" t="str">
        <f>IF($B428="","",IF(INDEX(tblStock[Proveedor],'91_KPIS'!$T421)="","(Sin proveedor)",INDEX(tblStock[Proveedor],'91_KPIS'!$T421)))</f>
        <v/>
      </c>
      <c r="D428" s="76" t="str">
        <f>IF($B428="","",INDEX(tblStock[SKU],'91_KPIS'!$T421))</f>
        <v/>
      </c>
      <c r="E428" s="75" t="str">
        <f>IF($B428="","",INDEX(tblStock[Producto],'91_KPIS'!$T421))</f>
        <v/>
      </c>
      <c r="F428" s="76" t="str">
        <f>IF($B428="","",INDEX(tblStock[Unidad],'91_KPIS'!$T421))</f>
        <v/>
      </c>
      <c r="G428" s="77" t="str">
        <f>IF($B428="","",INDEX(tblStock[StockActual],'91_KPIS'!$T421))</f>
        <v/>
      </c>
      <c r="H428" s="78" t="str">
        <f>IF($B428="","",INDEX(tblStock[StockMin],'91_KPIS'!$T421))</f>
        <v/>
      </c>
      <c r="I428" s="78" t="str">
        <f>IF($B428="","",INDEX(tblStock[StockMax],'91_KPIS'!$T421))</f>
        <v/>
      </c>
      <c r="J428" s="79" t="str">
        <f>IF($B428="","",INDEX(tblStock[Estado],'91_KPIS'!$T421))</f>
        <v/>
      </c>
      <c r="K428" s="80" t="str">
        <f t="shared" si="12"/>
        <v/>
      </c>
      <c r="L428" s="81" t="str">
        <f>IF($B428="","",INDEX(tblStock[CostoUnitario],'91_KPIS'!$T421))</f>
        <v/>
      </c>
      <c r="M428" s="82" t="str">
        <f t="shared" si="13"/>
        <v/>
      </c>
    </row>
    <row r="429" spans="2:13" ht="15.75" x14ac:dyDescent="0.25">
      <c r="B429" s="74" t="str">
        <f>IF('91_KPIS'!$T422="","",415)</f>
        <v/>
      </c>
      <c r="C429" s="75" t="str">
        <f>IF($B429="","",IF(INDEX(tblStock[Proveedor],'91_KPIS'!$T422)="","(Sin proveedor)",INDEX(tblStock[Proveedor],'91_KPIS'!$T422)))</f>
        <v/>
      </c>
      <c r="D429" s="76" t="str">
        <f>IF($B429="","",INDEX(tblStock[SKU],'91_KPIS'!$T422))</f>
        <v/>
      </c>
      <c r="E429" s="75" t="str">
        <f>IF($B429="","",INDEX(tblStock[Producto],'91_KPIS'!$T422))</f>
        <v/>
      </c>
      <c r="F429" s="76" t="str">
        <f>IF($B429="","",INDEX(tblStock[Unidad],'91_KPIS'!$T422))</f>
        <v/>
      </c>
      <c r="G429" s="77" t="str">
        <f>IF($B429="","",INDEX(tblStock[StockActual],'91_KPIS'!$T422))</f>
        <v/>
      </c>
      <c r="H429" s="78" t="str">
        <f>IF($B429="","",INDEX(tblStock[StockMin],'91_KPIS'!$T422))</f>
        <v/>
      </c>
      <c r="I429" s="78" t="str">
        <f>IF($B429="","",INDEX(tblStock[StockMax],'91_KPIS'!$T422))</f>
        <v/>
      </c>
      <c r="J429" s="79" t="str">
        <f>IF($B429="","",INDEX(tblStock[Estado],'91_KPIS'!$T422))</f>
        <v/>
      </c>
      <c r="K429" s="80" t="str">
        <f t="shared" si="12"/>
        <v/>
      </c>
      <c r="L429" s="81" t="str">
        <f>IF($B429="","",INDEX(tblStock[CostoUnitario],'91_KPIS'!$T422))</f>
        <v/>
      </c>
      <c r="M429" s="82" t="str">
        <f t="shared" si="13"/>
        <v/>
      </c>
    </row>
    <row r="430" spans="2:13" ht="15.75" x14ac:dyDescent="0.25">
      <c r="B430" s="74" t="str">
        <f>IF('91_KPIS'!$T423="","",416)</f>
        <v/>
      </c>
      <c r="C430" s="75" t="str">
        <f>IF($B430="","",IF(INDEX(tblStock[Proveedor],'91_KPIS'!$T423)="","(Sin proveedor)",INDEX(tblStock[Proveedor],'91_KPIS'!$T423)))</f>
        <v/>
      </c>
      <c r="D430" s="76" t="str">
        <f>IF($B430="","",INDEX(tblStock[SKU],'91_KPIS'!$T423))</f>
        <v/>
      </c>
      <c r="E430" s="75" t="str">
        <f>IF($B430="","",INDEX(tblStock[Producto],'91_KPIS'!$T423))</f>
        <v/>
      </c>
      <c r="F430" s="76" t="str">
        <f>IF($B430="","",INDEX(tblStock[Unidad],'91_KPIS'!$T423))</f>
        <v/>
      </c>
      <c r="G430" s="77" t="str">
        <f>IF($B430="","",INDEX(tblStock[StockActual],'91_KPIS'!$T423))</f>
        <v/>
      </c>
      <c r="H430" s="78" t="str">
        <f>IF($B430="","",INDEX(tblStock[StockMin],'91_KPIS'!$T423))</f>
        <v/>
      </c>
      <c r="I430" s="78" t="str">
        <f>IF($B430="","",INDEX(tblStock[StockMax],'91_KPIS'!$T423))</f>
        <v/>
      </c>
      <c r="J430" s="79" t="str">
        <f>IF($B430="","",INDEX(tblStock[Estado],'91_KPIS'!$T423))</f>
        <v/>
      </c>
      <c r="K430" s="80" t="str">
        <f t="shared" si="12"/>
        <v/>
      </c>
      <c r="L430" s="81" t="str">
        <f>IF($B430="","",INDEX(tblStock[CostoUnitario],'91_KPIS'!$T423))</f>
        <v/>
      </c>
      <c r="M430" s="82" t="str">
        <f t="shared" si="13"/>
        <v/>
      </c>
    </row>
    <row r="431" spans="2:13" ht="15.75" x14ac:dyDescent="0.25">
      <c r="B431" s="74" t="str">
        <f>IF('91_KPIS'!$T424="","",417)</f>
        <v/>
      </c>
      <c r="C431" s="75" t="str">
        <f>IF($B431="","",IF(INDEX(tblStock[Proveedor],'91_KPIS'!$T424)="","(Sin proveedor)",INDEX(tblStock[Proveedor],'91_KPIS'!$T424)))</f>
        <v/>
      </c>
      <c r="D431" s="76" t="str">
        <f>IF($B431="","",INDEX(tblStock[SKU],'91_KPIS'!$T424))</f>
        <v/>
      </c>
      <c r="E431" s="75" t="str">
        <f>IF($B431="","",INDEX(tblStock[Producto],'91_KPIS'!$T424))</f>
        <v/>
      </c>
      <c r="F431" s="76" t="str">
        <f>IF($B431="","",INDEX(tblStock[Unidad],'91_KPIS'!$T424))</f>
        <v/>
      </c>
      <c r="G431" s="77" t="str">
        <f>IF($B431="","",INDEX(tblStock[StockActual],'91_KPIS'!$T424))</f>
        <v/>
      </c>
      <c r="H431" s="78" t="str">
        <f>IF($B431="","",INDEX(tblStock[StockMin],'91_KPIS'!$T424))</f>
        <v/>
      </c>
      <c r="I431" s="78" t="str">
        <f>IF($B431="","",INDEX(tblStock[StockMax],'91_KPIS'!$T424))</f>
        <v/>
      </c>
      <c r="J431" s="79" t="str">
        <f>IF($B431="","",INDEX(tblStock[Estado],'91_KPIS'!$T424))</f>
        <v/>
      </c>
      <c r="K431" s="80" t="str">
        <f t="shared" si="12"/>
        <v/>
      </c>
      <c r="L431" s="81" t="str">
        <f>IF($B431="","",INDEX(tblStock[CostoUnitario],'91_KPIS'!$T424))</f>
        <v/>
      </c>
      <c r="M431" s="82" t="str">
        <f t="shared" si="13"/>
        <v/>
      </c>
    </row>
    <row r="432" spans="2:13" ht="15.75" x14ac:dyDescent="0.25">
      <c r="B432" s="74" t="str">
        <f>IF('91_KPIS'!$T425="","",418)</f>
        <v/>
      </c>
      <c r="C432" s="75" t="str">
        <f>IF($B432="","",IF(INDEX(tblStock[Proveedor],'91_KPIS'!$T425)="","(Sin proveedor)",INDEX(tblStock[Proveedor],'91_KPIS'!$T425)))</f>
        <v/>
      </c>
      <c r="D432" s="76" t="str">
        <f>IF($B432="","",INDEX(tblStock[SKU],'91_KPIS'!$T425))</f>
        <v/>
      </c>
      <c r="E432" s="75" t="str">
        <f>IF($B432="","",INDEX(tblStock[Producto],'91_KPIS'!$T425))</f>
        <v/>
      </c>
      <c r="F432" s="76" t="str">
        <f>IF($B432="","",INDEX(tblStock[Unidad],'91_KPIS'!$T425))</f>
        <v/>
      </c>
      <c r="G432" s="77" t="str">
        <f>IF($B432="","",INDEX(tblStock[StockActual],'91_KPIS'!$T425))</f>
        <v/>
      </c>
      <c r="H432" s="78" t="str">
        <f>IF($B432="","",INDEX(tblStock[StockMin],'91_KPIS'!$T425))</f>
        <v/>
      </c>
      <c r="I432" s="78" t="str">
        <f>IF($B432="","",INDEX(tblStock[StockMax],'91_KPIS'!$T425))</f>
        <v/>
      </c>
      <c r="J432" s="79" t="str">
        <f>IF($B432="","",INDEX(tblStock[Estado],'91_KPIS'!$T425))</f>
        <v/>
      </c>
      <c r="K432" s="80" t="str">
        <f t="shared" si="12"/>
        <v/>
      </c>
      <c r="L432" s="81" t="str">
        <f>IF($B432="","",INDEX(tblStock[CostoUnitario],'91_KPIS'!$T425))</f>
        <v/>
      </c>
      <c r="M432" s="82" t="str">
        <f t="shared" si="13"/>
        <v/>
      </c>
    </row>
    <row r="433" spans="2:13" ht="15.75" x14ac:dyDescent="0.25">
      <c r="B433" s="74" t="str">
        <f>IF('91_KPIS'!$T426="","",419)</f>
        <v/>
      </c>
      <c r="C433" s="75" t="str">
        <f>IF($B433="","",IF(INDEX(tblStock[Proveedor],'91_KPIS'!$T426)="","(Sin proveedor)",INDEX(tblStock[Proveedor],'91_KPIS'!$T426)))</f>
        <v/>
      </c>
      <c r="D433" s="76" t="str">
        <f>IF($B433="","",INDEX(tblStock[SKU],'91_KPIS'!$T426))</f>
        <v/>
      </c>
      <c r="E433" s="75" t="str">
        <f>IF($B433="","",INDEX(tblStock[Producto],'91_KPIS'!$T426))</f>
        <v/>
      </c>
      <c r="F433" s="76" t="str">
        <f>IF($B433="","",INDEX(tblStock[Unidad],'91_KPIS'!$T426))</f>
        <v/>
      </c>
      <c r="G433" s="77" t="str">
        <f>IF($B433="","",INDEX(tblStock[StockActual],'91_KPIS'!$T426))</f>
        <v/>
      </c>
      <c r="H433" s="78" t="str">
        <f>IF($B433="","",INDEX(tblStock[StockMin],'91_KPIS'!$T426))</f>
        <v/>
      </c>
      <c r="I433" s="78" t="str">
        <f>IF($B433="","",INDEX(tblStock[StockMax],'91_KPIS'!$T426))</f>
        <v/>
      </c>
      <c r="J433" s="79" t="str">
        <f>IF($B433="","",INDEX(tblStock[Estado],'91_KPIS'!$T426))</f>
        <v/>
      </c>
      <c r="K433" s="80" t="str">
        <f t="shared" si="12"/>
        <v/>
      </c>
      <c r="L433" s="81" t="str">
        <f>IF($B433="","",INDEX(tblStock[CostoUnitario],'91_KPIS'!$T426))</f>
        <v/>
      </c>
      <c r="M433" s="82" t="str">
        <f t="shared" si="13"/>
        <v/>
      </c>
    </row>
    <row r="434" spans="2:13" ht="15.75" x14ac:dyDescent="0.25">
      <c r="B434" s="74" t="str">
        <f>IF('91_KPIS'!$T427="","",420)</f>
        <v/>
      </c>
      <c r="C434" s="75" t="str">
        <f>IF($B434="","",IF(INDEX(tblStock[Proveedor],'91_KPIS'!$T427)="","(Sin proveedor)",INDEX(tblStock[Proveedor],'91_KPIS'!$T427)))</f>
        <v/>
      </c>
      <c r="D434" s="76" t="str">
        <f>IF($B434="","",INDEX(tblStock[SKU],'91_KPIS'!$T427))</f>
        <v/>
      </c>
      <c r="E434" s="75" t="str">
        <f>IF($B434="","",INDEX(tblStock[Producto],'91_KPIS'!$T427))</f>
        <v/>
      </c>
      <c r="F434" s="76" t="str">
        <f>IF($B434="","",INDEX(tblStock[Unidad],'91_KPIS'!$T427))</f>
        <v/>
      </c>
      <c r="G434" s="77" t="str">
        <f>IF($B434="","",INDEX(tblStock[StockActual],'91_KPIS'!$T427))</f>
        <v/>
      </c>
      <c r="H434" s="78" t="str">
        <f>IF($B434="","",INDEX(tblStock[StockMin],'91_KPIS'!$T427))</f>
        <v/>
      </c>
      <c r="I434" s="78" t="str">
        <f>IF($B434="","",INDEX(tblStock[StockMax],'91_KPIS'!$T427))</f>
        <v/>
      </c>
      <c r="J434" s="79" t="str">
        <f>IF($B434="","",INDEX(tblStock[Estado],'91_KPIS'!$T427))</f>
        <v/>
      </c>
      <c r="K434" s="80" t="str">
        <f t="shared" si="12"/>
        <v/>
      </c>
      <c r="L434" s="81" t="str">
        <f>IF($B434="","",INDEX(tblStock[CostoUnitario],'91_KPIS'!$T427))</f>
        <v/>
      </c>
      <c r="M434" s="82" t="str">
        <f t="shared" si="13"/>
        <v/>
      </c>
    </row>
    <row r="435" spans="2:13" ht="15.75" x14ac:dyDescent="0.25">
      <c r="B435" s="74" t="str">
        <f>IF('91_KPIS'!$T428="","",421)</f>
        <v/>
      </c>
      <c r="C435" s="75" t="str">
        <f>IF($B435="","",IF(INDEX(tblStock[Proveedor],'91_KPIS'!$T428)="","(Sin proveedor)",INDEX(tblStock[Proveedor],'91_KPIS'!$T428)))</f>
        <v/>
      </c>
      <c r="D435" s="76" t="str">
        <f>IF($B435="","",INDEX(tblStock[SKU],'91_KPIS'!$T428))</f>
        <v/>
      </c>
      <c r="E435" s="75" t="str">
        <f>IF($B435="","",INDEX(tblStock[Producto],'91_KPIS'!$T428))</f>
        <v/>
      </c>
      <c r="F435" s="76" t="str">
        <f>IF($B435="","",INDEX(tblStock[Unidad],'91_KPIS'!$T428))</f>
        <v/>
      </c>
      <c r="G435" s="77" t="str">
        <f>IF($B435="","",INDEX(tblStock[StockActual],'91_KPIS'!$T428))</f>
        <v/>
      </c>
      <c r="H435" s="78" t="str">
        <f>IF($B435="","",INDEX(tblStock[StockMin],'91_KPIS'!$T428))</f>
        <v/>
      </c>
      <c r="I435" s="78" t="str">
        <f>IF($B435="","",INDEX(tblStock[StockMax],'91_KPIS'!$T428))</f>
        <v/>
      </c>
      <c r="J435" s="79" t="str">
        <f>IF($B435="","",INDEX(tblStock[Estado],'91_KPIS'!$T428))</f>
        <v/>
      </c>
      <c r="K435" s="80" t="str">
        <f t="shared" si="12"/>
        <v/>
      </c>
      <c r="L435" s="81" t="str">
        <f>IF($B435="","",INDEX(tblStock[CostoUnitario],'91_KPIS'!$T428))</f>
        <v/>
      </c>
      <c r="M435" s="82" t="str">
        <f t="shared" si="13"/>
        <v/>
      </c>
    </row>
    <row r="436" spans="2:13" ht="15.75" x14ac:dyDescent="0.25">
      <c r="B436" s="74" t="str">
        <f>IF('91_KPIS'!$T429="","",422)</f>
        <v/>
      </c>
      <c r="C436" s="75" t="str">
        <f>IF($B436="","",IF(INDEX(tblStock[Proveedor],'91_KPIS'!$T429)="","(Sin proveedor)",INDEX(tblStock[Proveedor],'91_KPIS'!$T429)))</f>
        <v/>
      </c>
      <c r="D436" s="76" t="str">
        <f>IF($B436="","",INDEX(tblStock[SKU],'91_KPIS'!$T429))</f>
        <v/>
      </c>
      <c r="E436" s="75" t="str">
        <f>IF($B436="","",INDEX(tblStock[Producto],'91_KPIS'!$T429))</f>
        <v/>
      </c>
      <c r="F436" s="76" t="str">
        <f>IF($B436="","",INDEX(tblStock[Unidad],'91_KPIS'!$T429))</f>
        <v/>
      </c>
      <c r="G436" s="77" t="str">
        <f>IF($B436="","",INDEX(tblStock[StockActual],'91_KPIS'!$T429))</f>
        <v/>
      </c>
      <c r="H436" s="78" t="str">
        <f>IF($B436="","",INDEX(tblStock[StockMin],'91_KPIS'!$T429))</f>
        <v/>
      </c>
      <c r="I436" s="78" t="str">
        <f>IF($B436="","",INDEX(tblStock[StockMax],'91_KPIS'!$T429))</f>
        <v/>
      </c>
      <c r="J436" s="79" t="str">
        <f>IF($B436="","",INDEX(tblStock[Estado],'91_KPIS'!$T429))</f>
        <v/>
      </c>
      <c r="K436" s="80" t="str">
        <f t="shared" si="12"/>
        <v/>
      </c>
      <c r="L436" s="81" t="str">
        <f>IF($B436="","",INDEX(tblStock[CostoUnitario],'91_KPIS'!$T429))</f>
        <v/>
      </c>
      <c r="M436" s="82" t="str">
        <f t="shared" si="13"/>
        <v/>
      </c>
    </row>
    <row r="437" spans="2:13" ht="15.75" x14ac:dyDescent="0.25">
      <c r="B437" s="74" t="str">
        <f>IF('91_KPIS'!$T430="","",423)</f>
        <v/>
      </c>
      <c r="C437" s="75" t="str">
        <f>IF($B437="","",IF(INDEX(tblStock[Proveedor],'91_KPIS'!$T430)="","(Sin proveedor)",INDEX(tblStock[Proveedor],'91_KPIS'!$T430)))</f>
        <v/>
      </c>
      <c r="D437" s="76" t="str">
        <f>IF($B437="","",INDEX(tblStock[SKU],'91_KPIS'!$T430))</f>
        <v/>
      </c>
      <c r="E437" s="75" t="str">
        <f>IF($B437="","",INDEX(tblStock[Producto],'91_KPIS'!$T430))</f>
        <v/>
      </c>
      <c r="F437" s="76" t="str">
        <f>IF($B437="","",INDEX(tblStock[Unidad],'91_KPIS'!$T430))</f>
        <v/>
      </c>
      <c r="G437" s="77" t="str">
        <f>IF($B437="","",INDEX(tblStock[StockActual],'91_KPIS'!$T430))</f>
        <v/>
      </c>
      <c r="H437" s="78" t="str">
        <f>IF($B437="","",INDEX(tblStock[StockMin],'91_KPIS'!$T430))</f>
        <v/>
      </c>
      <c r="I437" s="78" t="str">
        <f>IF($B437="","",INDEX(tblStock[StockMax],'91_KPIS'!$T430))</f>
        <v/>
      </c>
      <c r="J437" s="79" t="str">
        <f>IF($B437="","",INDEX(tblStock[Estado],'91_KPIS'!$T430))</f>
        <v/>
      </c>
      <c r="K437" s="80" t="str">
        <f t="shared" si="12"/>
        <v/>
      </c>
      <c r="L437" s="81" t="str">
        <f>IF($B437="","",INDEX(tblStock[CostoUnitario],'91_KPIS'!$T430))</f>
        <v/>
      </c>
      <c r="M437" s="82" t="str">
        <f t="shared" si="13"/>
        <v/>
      </c>
    </row>
    <row r="438" spans="2:13" ht="15.75" x14ac:dyDescent="0.25">
      <c r="B438" s="74" t="str">
        <f>IF('91_KPIS'!$T431="","",424)</f>
        <v/>
      </c>
      <c r="C438" s="75" t="str">
        <f>IF($B438="","",IF(INDEX(tblStock[Proveedor],'91_KPIS'!$T431)="","(Sin proveedor)",INDEX(tblStock[Proveedor],'91_KPIS'!$T431)))</f>
        <v/>
      </c>
      <c r="D438" s="76" t="str">
        <f>IF($B438="","",INDEX(tblStock[SKU],'91_KPIS'!$T431))</f>
        <v/>
      </c>
      <c r="E438" s="75" t="str">
        <f>IF($B438="","",INDEX(tblStock[Producto],'91_KPIS'!$T431))</f>
        <v/>
      </c>
      <c r="F438" s="76" t="str">
        <f>IF($B438="","",INDEX(tblStock[Unidad],'91_KPIS'!$T431))</f>
        <v/>
      </c>
      <c r="G438" s="77" t="str">
        <f>IF($B438="","",INDEX(tblStock[StockActual],'91_KPIS'!$T431))</f>
        <v/>
      </c>
      <c r="H438" s="78" t="str">
        <f>IF($B438="","",INDEX(tblStock[StockMin],'91_KPIS'!$T431))</f>
        <v/>
      </c>
      <c r="I438" s="78" t="str">
        <f>IF($B438="","",INDEX(tblStock[StockMax],'91_KPIS'!$T431))</f>
        <v/>
      </c>
      <c r="J438" s="79" t="str">
        <f>IF($B438="","",INDEX(tblStock[Estado],'91_KPIS'!$T431))</f>
        <v/>
      </c>
      <c r="K438" s="80" t="str">
        <f t="shared" si="12"/>
        <v/>
      </c>
      <c r="L438" s="81" t="str">
        <f>IF($B438="","",INDEX(tblStock[CostoUnitario],'91_KPIS'!$T431))</f>
        <v/>
      </c>
      <c r="M438" s="82" t="str">
        <f t="shared" si="13"/>
        <v/>
      </c>
    </row>
    <row r="439" spans="2:13" ht="15.75" x14ac:dyDescent="0.25">
      <c r="B439" s="74" t="str">
        <f>IF('91_KPIS'!$T432="","",425)</f>
        <v/>
      </c>
      <c r="C439" s="75" t="str">
        <f>IF($B439="","",IF(INDEX(tblStock[Proveedor],'91_KPIS'!$T432)="","(Sin proveedor)",INDEX(tblStock[Proveedor],'91_KPIS'!$T432)))</f>
        <v/>
      </c>
      <c r="D439" s="76" t="str">
        <f>IF($B439="","",INDEX(tblStock[SKU],'91_KPIS'!$T432))</f>
        <v/>
      </c>
      <c r="E439" s="75" t="str">
        <f>IF($B439="","",INDEX(tblStock[Producto],'91_KPIS'!$T432))</f>
        <v/>
      </c>
      <c r="F439" s="76" t="str">
        <f>IF($B439="","",INDEX(tblStock[Unidad],'91_KPIS'!$T432))</f>
        <v/>
      </c>
      <c r="G439" s="77" t="str">
        <f>IF($B439="","",INDEX(tblStock[StockActual],'91_KPIS'!$T432))</f>
        <v/>
      </c>
      <c r="H439" s="78" t="str">
        <f>IF($B439="","",INDEX(tblStock[StockMin],'91_KPIS'!$T432))</f>
        <v/>
      </c>
      <c r="I439" s="78" t="str">
        <f>IF($B439="","",INDEX(tblStock[StockMax],'91_KPIS'!$T432))</f>
        <v/>
      </c>
      <c r="J439" s="79" t="str">
        <f>IF($B439="","",INDEX(tblStock[Estado],'91_KPIS'!$T432))</f>
        <v/>
      </c>
      <c r="K439" s="80" t="str">
        <f t="shared" si="12"/>
        <v/>
      </c>
      <c r="L439" s="81" t="str">
        <f>IF($B439="","",INDEX(tblStock[CostoUnitario],'91_KPIS'!$T432))</f>
        <v/>
      </c>
      <c r="M439" s="82" t="str">
        <f t="shared" si="13"/>
        <v/>
      </c>
    </row>
    <row r="440" spans="2:13" ht="15.75" x14ac:dyDescent="0.25">
      <c r="B440" s="74" t="str">
        <f>IF('91_KPIS'!$T433="","",426)</f>
        <v/>
      </c>
      <c r="C440" s="75" t="str">
        <f>IF($B440="","",IF(INDEX(tblStock[Proveedor],'91_KPIS'!$T433)="","(Sin proveedor)",INDEX(tblStock[Proveedor],'91_KPIS'!$T433)))</f>
        <v/>
      </c>
      <c r="D440" s="76" t="str">
        <f>IF($B440="","",INDEX(tblStock[SKU],'91_KPIS'!$T433))</f>
        <v/>
      </c>
      <c r="E440" s="75" t="str">
        <f>IF($B440="","",INDEX(tblStock[Producto],'91_KPIS'!$T433))</f>
        <v/>
      </c>
      <c r="F440" s="76" t="str">
        <f>IF($B440="","",INDEX(tblStock[Unidad],'91_KPIS'!$T433))</f>
        <v/>
      </c>
      <c r="G440" s="77" t="str">
        <f>IF($B440="","",INDEX(tblStock[StockActual],'91_KPIS'!$T433))</f>
        <v/>
      </c>
      <c r="H440" s="78" t="str">
        <f>IF($B440="","",INDEX(tblStock[StockMin],'91_KPIS'!$T433))</f>
        <v/>
      </c>
      <c r="I440" s="78" t="str">
        <f>IF($B440="","",INDEX(tblStock[StockMax],'91_KPIS'!$T433))</f>
        <v/>
      </c>
      <c r="J440" s="79" t="str">
        <f>IF($B440="","",INDEX(tblStock[Estado],'91_KPIS'!$T433))</f>
        <v/>
      </c>
      <c r="K440" s="80" t="str">
        <f t="shared" si="12"/>
        <v/>
      </c>
      <c r="L440" s="81" t="str">
        <f>IF($B440="","",INDEX(tblStock[CostoUnitario],'91_KPIS'!$T433))</f>
        <v/>
      </c>
      <c r="M440" s="82" t="str">
        <f t="shared" si="13"/>
        <v/>
      </c>
    </row>
    <row r="441" spans="2:13" ht="15.75" x14ac:dyDescent="0.25">
      <c r="B441" s="74" t="str">
        <f>IF('91_KPIS'!$T434="","",427)</f>
        <v/>
      </c>
      <c r="C441" s="75" t="str">
        <f>IF($B441="","",IF(INDEX(tblStock[Proveedor],'91_KPIS'!$T434)="","(Sin proveedor)",INDEX(tblStock[Proveedor],'91_KPIS'!$T434)))</f>
        <v/>
      </c>
      <c r="D441" s="76" t="str">
        <f>IF($B441="","",INDEX(tblStock[SKU],'91_KPIS'!$T434))</f>
        <v/>
      </c>
      <c r="E441" s="75" t="str">
        <f>IF($B441="","",INDEX(tblStock[Producto],'91_KPIS'!$T434))</f>
        <v/>
      </c>
      <c r="F441" s="76" t="str">
        <f>IF($B441="","",INDEX(tblStock[Unidad],'91_KPIS'!$T434))</f>
        <v/>
      </c>
      <c r="G441" s="77" t="str">
        <f>IF($B441="","",INDEX(tblStock[StockActual],'91_KPIS'!$T434))</f>
        <v/>
      </c>
      <c r="H441" s="78" t="str">
        <f>IF($B441="","",INDEX(tblStock[StockMin],'91_KPIS'!$T434))</f>
        <v/>
      </c>
      <c r="I441" s="78" t="str">
        <f>IF($B441="","",INDEX(tblStock[StockMax],'91_KPIS'!$T434))</f>
        <v/>
      </c>
      <c r="J441" s="79" t="str">
        <f>IF($B441="","",INDEX(tblStock[Estado],'91_KPIS'!$T434))</f>
        <v/>
      </c>
      <c r="K441" s="80" t="str">
        <f t="shared" si="12"/>
        <v/>
      </c>
      <c r="L441" s="81" t="str">
        <f>IF($B441="","",INDEX(tblStock[CostoUnitario],'91_KPIS'!$T434))</f>
        <v/>
      </c>
      <c r="M441" s="82" t="str">
        <f t="shared" si="13"/>
        <v/>
      </c>
    </row>
    <row r="442" spans="2:13" ht="15.75" x14ac:dyDescent="0.25">
      <c r="B442" s="74" t="str">
        <f>IF('91_KPIS'!$T435="","",428)</f>
        <v/>
      </c>
      <c r="C442" s="75" t="str">
        <f>IF($B442="","",IF(INDEX(tblStock[Proveedor],'91_KPIS'!$T435)="","(Sin proveedor)",INDEX(tblStock[Proveedor],'91_KPIS'!$T435)))</f>
        <v/>
      </c>
      <c r="D442" s="76" t="str">
        <f>IF($B442="","",INDEX(tblStock[SKU],'91_KPIS'!$T435))</f>
        <v/>
      </c>
      <c r="E442" s="75" t="str">
        <f>IF($B442="","",INDEX(tblStock[Producto],'91_KPIS'!$T435))</f>
        <v/>
      </c>
      <c r="F442" s="76" t="str">
        <f>IF($B442="","",INDEX(tblStock[Unidad],'91_KPIS'!$T435))</f>
        <v/>
      </c>
      <c r="G442" s="77" t="str">
        <f>IF($B442="","",INDEX(tblStock[StockActual],'91_KPIS'!$T435))</f>
        <v/>
      </c>
      <c r="H442" s="78" t="str">
        <f>IF($B442="","",INDEX(tblStock[StockMin],'91_KPIS'!$T435))</f>
        <v/>
      </c>
      <c r="I442" s="78" t="str">
        <f>IF($B442="","",INDEX(tblStock[StockMax],'91_KPIS'!$T435))</f>
        <v/>
      </c>
      <c r="J442" s="79" t="str">
        <f>IF($B442="","",INDEX(tblStock[Estado],'91_KPIS'!$T435))</f>
        <v/>
      </c>
      <c r="K442" s="80" t="str">
        <f t="shared" si="12"/>
        <v/>
      </c>
      <c r="L442" s="81" t="str">
        <f>IF($B442="","",INDEX(tblStock[CostoUnitario],'91_KPIS'!$T435))</f>
        <v/>
      </c>
      <c r="M442" s="82" t="str">
        <f t="shared" si="13"/>
        <v/>
      </c>
    </row>
    <row r="443" spans="2:13" ht="15.75" x14ac:dyDescent="0.25">
      <c r="B443" s="74" t="str">
        <f>IF('91_KPIS'!$T436="","",429)</f>
        <v/>
      </c>
      <c r="C443" s="75" t="str">
        <f>IF($B443="","",IF(INDEX(tblStock[Proveedor],'91_KPIS'!$T436)="","(Sin proveedor)",INDEX(tblStock[Proveedor],'91_KPIS'!$T436)))</f>
        <v/>
      </c>
      <c r="D443" s="76" t="str">
        <f>IF($B443="","",INDEX(tblStock[SKU],'91_KPIS'!$T436))</f>
        <v/>
      </c>
      <c r="E443" s="75" t="str">
        <f>IF($B443="","",INDEX(tblStock[Producto],'91_KPIS'!$T436))</f>
        <v/>
      </c>
      <c r="F443" s="76" t="str">
        <f>IF($B443="","",INDEX(tblStock[Unidad],'91_KPIS'!$T436))</f>
        <v/>
      </c>
      <c r="G443" s="77" t="str">
        <f>IF($B443="","",INDEX(tblStock[StockActual],'91_KPIS'!$T436))</f>
        <v/>
      </c>
      <c r="H443" s="78" t="str">
        <f>IF($B443="","",INDEX(tblStock[StockMin],'91_KPIS'!$T436))</f>
        <v/>
      </c>
      <c r="I443" s="78" t="str">
        <f>IF($B443="","",INDEX(tblStock[StockMax],'91_KPIS'!$T436))</f>
        <v/>
      </c>
      <c r="J443" s="79" t="str">
        <f>IF($B443="","",INDEX(tblStock[Estado],'91_KPIS'!$T436))</f>
        <v/>
      </c>
      <c r="K443" s="80" t="str">
        <f t="shared" si="12"/>
        <v/>
      </c>
      <c r="L443" s="81" t="str">
        <f>IF($B443="","",INDEX(tblStock[CostoUnitario],'91_KPIS'!$T436))</f>
        <v/>
      </c>
      <c r="M443" s="82" t="str">
        <f t="shared" si="13"/>
        <v/>
      </c>
    </row>
    <row r="444" spans="2:13" ht="15.75" x14ac:dyDescent="0.25">
      <c r="B444" s="74" t="str">
        <f>IF('91_KPIS'!$T437="","",430)</f>
        <v/>
      </c>
      <c r="C444" s="75" t="str">
        <f>IF($B444="","",IF(INDEX(tblStock[Proveedor],'91_KPIS'!$T437)="","(Sin proveedor)",INDEX(tblStock[Proveedor],'91_KPIS'!$T437)))</f>
        <v/>
      </c>
      <c r="D444" s="76" t="str">
        <f>IF($B444="","",INDEX(tblStock[SKU],'91_KPIS'!$T437))</f>
        <v/>
      </c>
      <c r="E444" s="75" t="str">
        <f>IF($B444="","",INDEX(tblStock[Producto],'91_KPIS'!$T437))</f>
        <v/>
      </c>
      <c r="F444" s="76" t="str">
        <f>IF($B444="","",INDEX(tblStock[Unidad],'91_KPIS'!$T437))</f>
        <v/>
      </c>
      <c r="G444" s="77" t="str">
        <f>IF($B444="","",INDEX(tblStock[StockActual],'91_KPIS'!$T437))</f>
        <v/>
      </c>
      <c r="H444" s="78" t="str">
        <f>IF($B444="","",INDEX(tblStock[StockMin],'91_KPIS'!$T437))</f>
        <v/>
      </c>
      <c r="I444" s="78" t="str">
        <f>IF($B444="","",INDEX(tblStock[StockMax],'91_KPIS'!$T437))</f>
        <v/>
      </c>
      <c r="J444" s="79" t="str">
        <f>IF($B444="","",INDEX(tblStock[Estado],'91_KPIS'!$T437))</f>
        <v/>
      </c>
      <c r="K444" s="80" t="str">
        <f t="shared" si="12"/>
        <v/>
      </c>
      <c r="L444" s="81" t="str">
        <f>IF($B444="","",INDEX(tblStock[CostoUnitario],'91_KPIS'!$T437))</f>
        <v/>
      </c>
      <c r="M444" s="82" t="str">
        <f t="shared" si="13"/>
        <v/>
      </c>
    </row>
    <row r="445" spans="2:13" ht="15.75" x14ac:dyDescent="0.25">
      <c r="B445" s="74" t="str">
        <f>IF('91_KPIS'!$T438="","",431)</f>
        <v/>
      </c>
      <c r="C445" s="75" t="str">
        <f>IF($B445="","",IF(INDEX(tblStock[Proveedor],'91_KPIS'!$T438)="","(Sin proveedor)",INDEX(tblStock[Proveedor],'91_KPIS'!$T438)))</f>
        <v/>
      </c>
      <c r="D445" s="76" t="str">
        <f>IF($B445="","",INDEX(tblStock[SKU],'91_KPIS'!$T438))</f>
        <v/>
      </c>
      <c r="E445" s="75" t="str">
        <f>IF($B445="","",INDEX(tblStock[Producto],'91_KPIS'!$T438))</f>
        <v/>
      </c>
      <c r="F445" s="76" t="str">
        <f>IF($B445="","",INDEX(tblStock[Unidad],'91_KPIS'!$T438))</f>
        <v/>
      </c>
      <c r="G445" s="77" t="str">
        <f>IF($B445="","",INDEX(tblStock[StockActual],'91_KPIS'!$T438))</f>
        <v/>
      </c>
      <c r="H445" s="78" t="str">
        <f>IF($B445="","",INDEX(tblStock[StockMin],'91_KPIS'!$T438))</f>
        <v/>
      </c>
      <c r="I445" s="78" t="str">
        <f>IF($B445="","",INDEX(tblStock[StockMax],'91_KPIS'!$T438))</f>
        <v/>
      </c>
      <c r="J445" s="79" t="str">
        <f>IF($B445="","",INDEX(tblStock[Estado],'91_KPIS'!$T438))</f>
        <v/>
      </c>
      <c r="K445" s="80" t="str">
        <f t="shared" si="12"/>
        <v/>
      </c>
      <c r="L445" s="81" t="str">
        <f>IF($B445="","",INDEX(tblStock[CostoUnitario],'91_KPIS'!$T438))</f>
        <v/>
      </c>
      <c r="M445" s="82" t="str">
        <f t="shared" si="13"/>
        <v/>
      </c>
    </row>
    <row r="446" spans="2:13" ht="15.75" x14ac:dyDescent="0.25">
      <c r="B446" s="74" t="str">
        <f>IF('91_KPIS'!$T439="","",432)</f>
        <v/>
      </c>
      <c r="C446" s="75" t="str">
        <f>IF($B446="","",IF(INDEX(tblStock[Proveedor],'91_KPIS'!$T439)="","(Sin proveedor)",INDEX(tblStock[Proveedor],'91_KPIS'!$T439)))</f>
        <v/>
      </c>
      <c r="D446" s="76" t="str">
        <f>IF($B446="","",INDEX(tblStock[SKU],'91_KPIS'!$T439))</f>
        <v/>
      </c>
      <c r="E446" s="75" t="str">
        <f>IF($B446="","",INDEX(tblStock[Producto],'91_KPIS'!$T439))</f>
        <v/>
      </c>
      <c r="F446" s="76" t="str">
        <f>IF($B446="","",INDEX(tblStock[Unidad],'91_KPIS'!$T439))</f>
        <v/>
      </c>
      <c r="G446" s="77" t="str">
        <f>IF($B446="","",INDEX(tblStock[StockActual],'91_KPIS'!$T439))</f>
        <v/>
      </c>
      <c r="H446" s="78" t="str">
        <f>IF($B446="","",INDEX(tblStock[StockMin],'91_KPIS'!$T439))</f>
        <v/>
      </c>
      <c r="I446" s="78" t="str">
        <f>IF($B446="","",INDEX(tblStock[StockMax],'91_KPIS'!$T439))</f>
        <v/>
      </c>
      <c r="J446" s="79" t="str">
        <f>IF($B446="","",INDEX(tblStock[Estado],'91_KPIS'!$T439))</f>
        <v/>
      </c>
      <c r="K446" s="80" t="str">
        <f t="shared" si="12"/>
        <v/>
      </c>
      <c r="L446" s="81" t="str">
        <f>IF($B446="","",INDEX(tblStock[CostoUnitario],'91_KPIS'!$T439))</f>
        <v/>
      </c>
      <c r="M446" s="82" t="str">
        <f t="shared" si="13"/>
        <v/>
      </c>
    </row>
    <row r="447" spans="2:13" ht="15.75" x14ac:dyDescent="0.25">
      <c r="B447" s="74" t="str">
        <f>IF('91_KPIS'!$T440="","",433)</f>
        <v/>
      </c>
      <c r="C447" s="75" t="str">
        <f>IF($B447="","",IF(INDEX(tblStock[Proveedor],'91_KPIS'!$T440)="","(Sin proveedor)",INDEX(tblStock[Proveedor],'91_KPIS'!$T440)))</f>
        <v/>
      </c>
      <c r="D447" s="76" t="str">
        <f>IF($B447="","",INDEX(tblStock[SKU],'91_KPIS'!$T440))</f>
        <v/>
      </c>
      <c r="E447" s="75" t="str">
        <f>IF($B447="","",INDEX(tblStock[Producto],'91_KPIS'!$T440))</f>
        <v/>
      </c>
      <c r="F447" s="76" t="str">
        <f>IF($B447="","",INDEX(tblStock[Unidad],'91_KPIS'!$T440))</f>
        <v/>
      </c>
      <c r="G447" s="77" t="str">
        <f>IF($B447="","",INDEX(tblStock[StockActual],'91_KPIS'!$T440))</f>
        <v/>
      </c>
      <c r="H447" s="78" t="str">
        <f>IF($B447="","",INDEX(tblStock[StockMin],'91_KPIS'!$T440))</f>
        <v/>
      </c>
      <c r="I447" s="78" t="str">
        <f>IF($B447="","",INDEX(tblStock[StockMax],'91_KPIS'!$T440))</f>
        <v/>
      </c>
      <c r="J447" s="79" t="str">
        <f>IF($B447="","",INDEX(tblStock[Estado],'91_KPIS'!$T440))</f>
        <v/>
      </c>
      <c r="K447" s="80" t="str">
        <f t="shared" si="12"/>
        <v/>
      </c>
      <c r="L447" s="81" t="str">
        <f>IF($B447="","",INDEX(tblStock[CostoUnitario],'91_KPIS'!$T440))</f>
        <v/>
      </c>
      <c r="M447" s="82" t="str">
        <f t="shared" si="13"/>
        <v/>
      </c>
    </row>
    <row r="448" spans="2:13" ht="15.75" x14ac:dyDescent="0.25">
      <c r="B448" s="74" t="str">
        <f>IF('91_KPIS'!$T441="","",434)</f>
        <v/>
      </c>
      <c r="C448" s="75" t="str">
        <f>IF($B448="","",IF(INDEX(tblStock[Proveedor],'91_KPIS'!$T441)="","(Sin proveedor)",INDEX(tblStock[Proveedor],'91_KPIS'!$T441)))</f>
        <v/>
      </c>
      <c r="D448" s="76" t="str">
        <f>IF($B448="","",INDEX(tblStock[SKU],'91_KPIS'!$T441))</f>
        <v/>
      </c>
      <c r="E448" s="75" t="str">
        <f>IF($B448="","",INDEX(tblStock[Producto],'91_KPIS'!$T441))</f>
        <v/>
      </c>
      <c r="F448" s="76" t="str">
        <f>IF($B448="","",INDEX(tblStock[Unidad],'91_KPIS'!$T441))</f>
        <v/>
      </c>
      <c r="G448" s="77" t="str">
        <f>IF($B448="","",INDEX(tblStock[StockActual],'91_KPIS'!$T441))</f>
        <v/>
      </c>
      <c r="H448" s="78" t="str">
        <f>IF($B448="","",INDEX(tblStock[StockMin],'91_KPIS'!$T441))</f>
        <v/>
      </c>
      <c r="I448" s="78" t="str">
        <f>IF($B448="","",INDEX(tblStock[StockMax],'91_KPIS'!$T441))</f>
        <v/>
      </c>
      <c r="J448" s="79" t="str">
        <f>IF($B448="","",INDEX(tblStock[Estado],'91_KPIS'!$T441))</f>
        <v/>
      </c>
      <c r="K448" s="80" t="str">
        <f t="shared" si="12"/>
        <v/>
      </c>
      <c r="L448" s="81" t="str">
        <f>IF($B448="","",INDEX(tblStock[CostoUnitario],'91_KPIS'!$T441))</f>
        <v/>
      </c>
      <c r="M448" s="82" t="str">
        <f t="shared" si="13"/>
        <v/>
      </c>
    </row>
    <row r="449" spans="2:13" ht="15.75" x14ac:dyDescent="0.25">
      <c r="B449" s="74" t="str">
        <f>IF('91_KPIS'!$T442="","",435)</f>
        <v/>
      </c>
      <c r="C449" s="75" t="str">
        <f>IF($B449="","",IF(INDEX(tblStock[Proveedor],'91_KPIS'!$T442)="","(Sin proveedor)",INDEX(tblStock[Proveedor],'91_KPIS'!$T442)))</f>
        <v/>
      </c>
      <c r="D449" s="76" t="str">
        <f>IF($B449="","",INDEX(tblStock[SKU],'91_KPIS'!$T442))</f>
        <v/>
      </c>
      <c r="E449" s="75" t="str">
        <f>IF($B449="","",INDEX(tblStock[Producto],'91_KPIS'!$T442))</f>
        <v/>
      </c>
      <c r="F449" s="76" t="str">
        <f>IF($B449="","",INDEX(tblStock[Unidad],'91_KPIS'!$T442))</f>
        <v/>
      </c>
      <c r="G449" s="77" t="str">
        <f>IF($B449="","",INDEX(tblStock[StockActual],'91_KPIS'!$T442))</f>
        <v/>
      </c>
      <c r="H449" s="78" t="str">
        <f>IF($B449="","",INDEX(tblStock[StockMin],'91_KPIS'!$T442))</f>
        <v/>
      </c>
      <c r="I449" s="78" t="str">
        <f>IF($B449="","",INDEX(tblStock[StockMax],'91_KPIS'!$T442))</f>
        <v/>
      </c>
      <c r="J449" s="79" t="str">
        <f>IF($B449="","",INDEX(tblStock[Estado],'91_KPIS'!$T442))</f>
        <v/>
      </c>
      <c r="K449" s="80" t="str">
        <f t="shared" si="12"/>
        <v/>
      </c>
      <c r="L449" s="81" t="str">
        <f>IF($B449="","",INDEX(tblStock[CostoUnitario],'91_KPIS'!$T442))</f>
        <v/>
      </c>
      <c r="M449" s="82" t="str">
        <f t="shared" si="13"/>
        <v/>
      </c>
    </row>
    <row r="450" spans="2:13" ht="15.75" x14ac:dyDescent="0.25">
      <c r="B450" s="74" t="str">
        <f>IF('91_KPIS'!$T443="","",436)</f>
        <v/>
      </c>
      <c r="C450" s="75" t="str">
        <f>IF($B450="","",IF(INDEX(tblStock[Proveedor],'91_KPIS'!$T443)="","(Sin proveedor)",INDEX(tblStock[Proveedor],'91_KPIS'!$T443)))</f>
        <v/>
      </c>
      <c r="D450" s="76" t="str">
        <f>IF($B450="","",INDEX(tblStock[SKU],'91_KPIS'!$T443))</f>
        <v/>
      </c>
      <c r="E450" s="75" t="str">
        <f>IF($B450="","",INDEX(tblStock[Producto],'91_KPIS'!$T443))</f>
        <v/>
      </c>
      <c r="F450" s="76" t="str">
        <f>IF($B450="","",INDEX(tblStock[Unidad],'91_KPIS'!$T443))</f>
        <v/>
      </c>
      <c r="G450" s="77" t="str">
        <f>IF($B450="","",INDEX(tblStock[StockActual],'91_KPIS'!$T443))</f>
        <v/>
      </c>
      <c r="H450" s="78" t="str">
        <f>IF($B450="","",INDEX(tblStock[StockMin],'91_KPIS'!$T443))</f>
        <v/>
      </c>
      <c r="I450" s="78" t="str">
        <f>IF($B450="","",INDEX(tblStock[StockMax],'91_KPIS'!$T443))</f>
        <v/>
      </c>
      <c r="J450" s="79" t="str">
        <f>IF($B450="","",INDEX(tblStock[Estado],'91_KPIS'!$T443))</f>
        <v/>
      </c>
      <c r="K450" s="80" t="str">
        <f t="shared" si="12"/>
        <v/>
      </c>
      <c r="L450" s="81" t="str">
        <f>IF($B450="","",INDEX(tblStock[CostoUnitario],'91_KPIS'!$T443))</f>
        <v/>
      </c>
      <c r="M450" s="82" t="str">
        <f t="shared" si="13"/>
        <v/>
      </c>
    </row>
    <row r="451" spans="2:13" ht="15.75" x14ac:dyDescent="0.25">
      <c r="B451" s="74" t="str">
        <f>IF('91_KPIS'!$T444="","",437)</f>
        <v/>
      </c>
      <c r="C451" s="75" t="str">
        <f>IF($B451="","",IF(INDEX(tblStock[Proveedor],'91_KPIS'!$T444)="","(Sin proveedor)",INDEX(tblStock[Proveedor],'91_KPIS'!$T444)))</f>
        <v/>
      </c>
      <c r="D451" s="76" t="str">
        <f>IF($B451="","",INDEX(tblStock[SKU],'91_KPIS'!$T444))</f>
        <v/>
      </c>
      <c r="E451" s="75" t="str">
        <f>IF($B451="","",INDEX(tblStock[Producto],'91_KPIS'!$T444))</f>
        <v/>
      </c>
      <c r="F451" s="76" t="str">
        <f>IF($B451="","",INDEX(tblStock[Unidad],'91_KPIS'!$T444))</f>
        <v/>
      </c>
      <c r="G451" s="77" t="str">
        <f>IF($B451="","",INDEX(tblStock[StockActual],'91_KPIS'!$T444))</f>
        <v/>
      </c>
      <c r="H451" s="78" t="str">
        <f>IF($B451="","",INDEX(tblStock[StockMin],'91_KPIS'!$T444))</f>
        <v/>
      </c>
      <c r="I451" s="78" t="str">
        <f>IF($B451="","",INDEX(tblStock[StockMax],'91_KPIS'!$T444))</f>
        <v/>
      </c>
      <c r="J451" s="79" t="str">
        <f>IF($B451="","",INDEX(tblStock[Estado],'91_KPIS'!$T444))</f>
        <v/>
      </c>
      <c r="K451" s="80" t="str">
        <f t="shared" si="12"/>
        <v/>
      </c>
      <c r="L451" s="81" t="str">
        <f>IF($B451="","",INDEX(tblStock[CostoUnitario],'91_KPIS'!$T444))</f>
        <v/>
      </c>
      <c r="M451" s="82" t="str">
        <f t="shared" si="13"/>
        <v/>
      </c>
    </row>
    <row r="452" spans="2:13" ht="15.75" x14ac:dyDescent="0.25">
      <c r="B452" s="74" t="str">
        <f>IF('91_KPIS'!$T445="","",438)</f>
        <v/>
      </c>
      <c r="C452" s="75" t="str">
        <f>IF($B452="","",IF(INDEX(tblStock[Proveedor],'91_KPIS'!$T445)="","(Sin proveedor)",INDEX(tblStock[Proveedor],'91_KPIS'!$T445)))</f>
        <v/>
      </c>
      <c r="D452" s="76" t="str">
        <f>IF($B452="","",INDEX(tblStock[SKU],'91_KPIS'!$T445))</f>
        <v/>
      </c>
      <c r="E452" s="75" t="str">
        <f>IF($B452="","",INDEX(tblStock[Producto],'91_KPIS'!$T445))</f>
        <v/>
      </c>
      <c r="F452" s="76" t="str">
        <f>IF($B452="","",INDEX(tblStock[Unidad],'91_KPIS'!$T445))</f>
        <v/>
      </c>
      <c r="G452" s="77" t="str">
        <f>IF($B452="","",INDEX(tblStock[StockActual],'91_KPIS'!$T445))</f>
        <v/>
      </c>
      <c r="H452" s="78" t="str">
        <f>IF($B452="","",INDEX(tblStock[StockMin],'91_KPIS'!$T445))</f>
        <v/>
      </c>
      <c r="I452" s="78" t="str">
        <f>IF($B452="","",INDEX(tblStock[StockMax],'91_KPIS'!$T445))</f>
        <v/>
      </c>
      <c r="J452" s="79" t="str">
        <f>IF($B452="","",INDEX(tblStock[Estado],'91_KPIS'!$T445))</f>
        <v/>
      </c>
      <c r="K452" s="80" t="str">
        <f t="shared" si="12"/>
        <v/>
      </c>
      <c r="L452" s="81" t="str">
        <f>IF($B452="","",INDEX(tblStock[CostoUnitario],'91_KPIS'!$T445))</f>
        <v/>
      </c>
      <c r="M452" s="82" t="str">
        <f t="shared" si="13"/>
        <v/>
      </c>
    </row>
    <row r="453" spans="2:13" ht="15.75" x14ac:dyDescent="0.25">
      <c r="B453" s="74" t="str">
        <f>IF('91_KPIS'!$T446="","",439)</f>
        <v/>
      </c>
      <c r="C453" s="75" t="str">
        <f>IF($B453="","",IF(INDEX(tblStock[Proveedor],'91_KPIS'!$T446)="","(Sin proveedor)",INDEX(tblStock[Proveedor],'91_KPIS'!$T446)))</f>
        <v/>
      </c>
      <c r="D453" s="76" t="str">
        <f>IF($B453="","",INDEX(tblStock[SKU],'91_KPIS'!$T446))</f>
        <v/>
      </c>
      <c r="E453" s="75" t="str">
        <f>IF($B453="","",INDEX(tblStock[Producto],'91_KPIS'!$T446))</f>
        <v/>
      </c>
      <c r="F453" s="76" t="str">
        <f>IF($B453="","",INDEX(tblStock[Unidad],'91_KPIS'!$T446))</f>
        <v/>
      </c>
      <c r="G453" s="77" t="str">
        <f>IF($B453="","",INDEX(tblStock[StockActual],'91_KPIS'!$T446))</f>
        <v/>
      </c>
      <c r="H453" s="78" t="str">
        <f>IF($B453="","",INDEX(tblStock[StockMin],'91_KPIS'!$T446))</f>
        <v/>
      </c>
      <c r="I453" s="78" t="str">
        <f>IF($B453="","",INDEX(tblStock[StockMax],'91_KPIS'!$T446))</f>
        <v/>
      </c>
      <c r="J453" s="79" t="str">
        <f>IF($B453="","",INDEX(tblStock[Estado],'91_KPIS'!$T446))</f>
        <v/>
      </c>
      <c r="K453" s="80" t="str">
        <f t="shared" si="12"/>
        <v/>
      </c>
      <c r="L453" s="81" t="str">
        <f>IF($B453="","",INDEX(tblStock[CostoUnitario],'91_KPIS'!$T446))</f>
        <v/>
      </c>
      <c r="M453" s="82" t="str">
        <f t="shared" si="13"/>
        <v/>
      </c>
    </row>
    <row r="454" spans="2:13" ht="15.75" x14ac:dyDescent="0.25">
      <c r="B454" s="74" t="str">
        <f>IF('91_KPIS'!$T447="","",440)</f>
        <v/>
      </c>
      <c r="C454" s="75" t="str">
        <f>IF($B454="","",IF(INDEX(tblStock[Proveedor],'91_KPIS'!$T447)="","(Sin proveedor)",INDEX(tblStock[Proveedor],'91_KPIS'!$T447)))</f>
        <v/>
      </c>
      <c r="D454" s="76" t="str">
        <f>IF($B454="","",INDEX(tblStock[SKU],'91_KPIS'!$T447))</f>
        <v/>
      </c>
      <c r="E454" s="75" t="str">
        <f>IF($B454="","",INDEX(tblStock[Producto],'91_KPIS'!$T447))</f>
        <v/>
      </c>
      <c r="F454" s="76" t="str">
        <f>IF($B454="","",INDEX(tblStock[Unidad],'91_KPIS'!$T447))</f>
        <v/>
      </c>
      <c r="G454" s="77" t="str">
        <f>IF($B454="","",INDEX(tblStock[StockActual],'91_KPIS'!$T447))</f>
        <v/>
      </c>
      <c r="H454" s="78" t="str">
        <f>IF($B454="","",INDEX(tblStock[StockMin],'91_KPIS'!$T447))</f>
        <v/>
      </c>
      <c r="I454" s="78" t="str">
        <f>IF($B454="","",INDEX(tblStock[StockMax],'91_KPIS'!$T447))</f>
        <v/>
      </c>
      <c r="J454" s="79" t="str">
        <f>IF($B454="","",INDEX(tblStock[Estado],'91_KPIS'!$T447))</f>
        <v/>
      </c>
      <c r="K454" s="80" t="str">
        <f t="shared" si="12"/>
        <v/>
      </c>
      <c r="L454" s="81" t="str">
        <f>IF($B454="","",INDEX(tblStock[CostoUnitario],'91_KPIS'!$T447))</f>
        <v/>
      </c>
      <c r="M454" s="82" t="str">
        <f t="shared" si="13"/>
        <v/>
      </c>
    </row>
    <row r="455" spans="2:13" ht="15.75" x14ac:dyDescent="0.25">
      <c r="B455" s="74" t="str">
        <f>IF('91_KPIS'!$T448="","",441)</f>
        <v/>
      </c>
      <c r="C455" s="75" t="str">
        <f>IF($B455="","",IF(INDEX(tblStock[Proveedor],'91_KPIS'!$T448)="","(Sin proveedor)",INDEX(tblStock[Proveedor],'91_KPIS'!$T448)))</f>
        <v/>
      </c>
      <c r="D455" s="76" t="str">
        <f>IF($B455="","",INDEX(tblStock[SKU],'91_KPIS'!$T448))</f>
        <v/>
      </c>
      <c r="E455" s="75" t="str">
        <f>IF($B455="","",INDEX(tblStock[Producto],'91_KPIS'!$T448))</f>
        <v/>
      </c>
      <c r="F455" s="76" t="str">
        <f>IF($B455="","",INDEX(tblStock[Unidad],'91_KPIS'!$T448))</f>
        <v/>
      </c>
      <c r="G455" s="77" t="str">
        <f>IF($B455="","",INDEX(tblStock[StockActual],'91_KPIS'!$T448))</f>
        <v/>
      </c>
      <c r="H455" s="78" t="str">
        <f>IF($B455="","",INDEX(tblStock[StockMin],'91_KPIS'!$T448))</f>
        <v/>
      </c>
      <c r="I455" s="78" t="str">
        <f>IF($B455="","",INDEX(tblStock[StockMax],'91_KPIS'!$T448))</f>
        <v/>
      </c>
      <c r="J455" s="79" t="str">
        <f>IF($B455="","",INDEX(tblStock[Estado],'91_KPIS'!$T448))</f>
        <v/>
      </c>
      <c r="K455" s="80" t="str">
        <f t="shared" si="12"/>
        <v/>
      </c>
      <c r="L455" s="81" t="str">
        <f>IF($B455="","",INDEX(tblStock[CostoUnitario],'91_KPIS'!$T448))</f>
        <v/>
      </c>
      <c r="M455" s="82" t="str">
        <f t="shared" si="13"/>
        <v/>
      </c>
    </row>
    <row r="456" spans="2:13" ht="15.75" x14ac:dyDescent="0.25">
      <c r="B456" s="74" t="str">
        <f>IF('91_KPIS'!$T449="","",442)</f>
        <v/>
      </c>
      <c r="C456" s="75" t="str">
        <f>IF($B456="","",IF(INDEX(tblStock[Proveedor],'91_KPIS'!$T449)="","(Sin proveedor)",INDEX(tblStock[Proveedor],'91_KPIS'!$T449)))</f>
        <v/>
      </c>
      <c r="D456" s="76" t="str">
        <f>IF($B456="","",INDEX(tblStock[SKU],'91_KPIS'!$T449))</f>
        <v/>
      </c>
      <c r="E456" s="75" t="str">
        <f>IF($B456="","",INDEX(tblStock[Producto],'91_KPIS'!$T449))</f>
        <v/>
      </c>
      <c r="F456" s="76" t="str">
        <f>IF($B456="","",INDEX(tblStock[Unidad],'91_KPIS'!$T449))</f>
        <v/>
      </c>
      <c r="G456" s="77" t="str">
        <f>IF($B456="","",INDEX(tblStock[StockActual],'91_KPIS'!$T449))</f>
        <v/>
      </c>
      <c r="H456" s="78" t="str">
        <f>IF($B456="","",INDEX(tblStock[StockMin],'91_KPIS'!$T449))</f>
        <v/>
      </c>
      <c r="I456" s="78" t="str">
        <f>IF($B456="","",INDEX(tblStock[StockMax],'91_KPIS'!$T449))</f>
        <v/>
      </c>
      <c r="J456" s="79" t="str">
        <f>IF($B456="","",INDEX(tblStock[Estado],'91_KPIS'!$T449))</f>
        <v/>
      </c>
      <c r="K456" s="80" t="str">
        <f t="shared" si="12"/>
        <v/>
      </c>
      <c r="L456" s="81" t="str">
        <f>IF($B456="","",INDEX(tblStock[CostoUnitario],'91_KPIS'!$T449))</f>
        <v/>
      </c>
      <c r="M456" s="82" t="str">
        <f t="shared" si="13"/>
        <v/>
      </c>
    </row>
    <row r="457" spans="2:13" ht="15.75" x14ac:dyDescent="0.25">
      <c r="B457" s="74" t="str">
        <f>IF('91_KPIS'!$T450="","",443)</f>
        <v/>
      </c>
      <c r="C457" s="75" t="str">
        <f>IF($B457="","",IF(INDEX(tblStock[Proveedor],'91_KPIS'!$T450)="","(Sin proveedor)",INDEX(tblStock[Proveedor],'91_KPIS'!$T450)))</f>
        <v/>
      </c>
      <c r="D457" s="76" t="str">
        <f>IF($B457="","",INDEX(tblStock[SKU],'91_KPIS'!$T450))</f>
        <v/>
      </c>
      <c r="E457" s="75" t="str">
        <f>IF($B457="","",INDEX(tblStock[Producto],'91_KPIS'!$T450))</f>
        <v/>
      </c>
      <c r="F457" s="76" t="str">
        <f>IF($B457="","",INDEX(tblStock[Unidad],'91_KPIS'!$T450))</f>
        <v/>
      </c>
      <c r="G457" s="77" t="str">
        <f>IF($B457="","",INDEX(tblStock[StockActual],'91_KPIS'!$T450))</f>
        <v/>
      </c>
      <c r="H457" s="78" t="str">
        <f>IF($B457="","",INDEX(tblStock[StockMin],'91_KPIS'!$T450))</f>
        <v/>
      </c>
      <c r="I457" s="78" t="str">
        <f>IF($B457="","",INDEX(tblStock[StockMax],'91_KPIS'!$T450))</f>
        <v/>
      </c>
      <c r="J457" s="79" t="str">
        <f>IF($B457="","",INDEX(tblStock[Estado],'91_KPIS'!$T450))</f>
        <v/>
      </c>
      <c r="K457" s="80" t="str">
        <f t="shared" si="12"/>
        <v/>
      </c>
      <c r="L457" s="81" t="str">
        <f>IF($B457="","",INDEX(tblStock[CostoUnitario],'91_KPIS'!$T450))</f>
        <v/>
      </c>
      <c r="M457" s="82" t="str">
        <f t="shared" si="13"/>
        <v/>
      </c>
    </row>
    <row r="458" spans="2:13" ht="15.75" x14ac:dyDescent="0.25">
      <c r="B458" s="74" t="str">
        <f>IF('91_KPIS'!$T451="","",444)</f>
        <v/>
      </c>
      <c r="C458" s="75" t="str">
        <f>IF($B458="","",IF(INDEX(tblStock[Proveedor],'91_KPIS'!$T451)="","(Sin proveedor)",INDEX(tblStock[Proveedor],'91_KPIS'!$T451)))</f>
        <v/>
      </c>
      <c r="D458" s="76" t="str">
        <f>IF($B458="","",INDEX(tblStock[SKU],'91_KPIS'!$T451))</f>
        <v/>
      </c>
      <c r="E458" s="75" t="str">
        <f>IF($B458="","",INDEX(tblStock[Producto],'91_KPIS'!$T451))</f>
        <v/>
      </c>
      <c r="F458" s="76" t="str">
        <f>IF($B458="","",INDEX(tblStock[Unidad],'91_KPIS'!$T451))</f>
        <v/>
      </c>
      <c r="G458" s="77" t="str">
        <f>IF($B458="","",INDEX(tblStock[StockActual],'91_KPIS'!$T451))</f>
        <v/>
      </c>
      <c r="H458" s="78" t="str">
        <f>IF($B458="","",INDEX(tblStock[StockMin],'91_KPIS'!$T451))</f>
        <v/>
      </c>
      <c r="I458" s="78" t="str">
        <f>IF($B458="","",INDEX(tblStock[StockMax],'91_KPIS'!$T451))</f>
        <v/>
      </c>
      <c r="J458" s="79" t="str">
        <f>IF($B458="","",INDEX(tblStock[Estado],'91_KPIS'!$T451))</f>
        <v/>
      </c>
      <c r="K458" s="80" t="str">
        <f t="shared" si="12"/>
        <v/>
      </c>
      <c r="L458" s="81" t="str">
        <f>IF($B458="","",INDEX(tblStock[CostoUnitario],'91_KPIS'!$T451))</f>
        <v/>
      </c>
      <c r="M458" s="82" t="str">
        <f t="shared" si="13"/>
        <v/>
      </c>
    </row>
    <row r="459" spans="2:13" ht="15.75" x14ac:dyDescent="0.25">
      <c r="B459" s="74" t="str">
        <f>IF('91_KPIS'!$T452="","",445)</f>
        <v/>
      </c>
      <c r="C459" s="75" t="str">
        <f>IF($B459="","",IF(INDEX(tblStock[Proveedor],'91_KPIS'!$T452)="","(Sin proveedor)",INDEX(tblStock[Proveedor],'91_KPIS'!$T452)))</f>
        <v/>
      </c>
      <c r="D459" s="76" t="str">
        <f>IF($B459="","",INDEX(tblStock[SKU],'91_KPIS'!$T452))</f>
        <v/>
      </c>
      <c r="E459" s="75" t="str">
        <f>IF($B459="","",INDEX(tblStock[Producto],'91_KPIS'!$T452))</f>
        <v/>
      </c>
      <c r="F459" s="76" t="str">
        <f>IF($B459="","",INDEX(tblStock[Unidad],'91_KPIS'!$T452))</f>
        <v/>
      </c>
      <c r="G459" s="77" t="str">
        <f>IF($B459="","",INDEX(tblStock[StockActual],'91_KPIS'!$T452))</f>
        <v/>
      </c>
      <c r="H459" s="78" t="str">
        <f>IF($B459="","",INDEX(tblStock[StockMin],'91_KPIS'!$T452))</f>
        <v/>
      </c>
      <c r="I459" s="78" t="str">
        <f>IF($B459="","",INDEX(tblStock[StockMax],'91_KPIS'!$T452))</f>
        <v/>
      </c>
      <c r="J459" s="79" t="str">
        <f>IF($B459="","",INDEX(tblStock[Estado],'91_KPIS'!$T452))</f>
        <v/>
      </c>
      <c r="K459" s="80" t="str">
        <f t="shared" si="12"/>
        <v/>
      </c>
      <c r="L459" s="81" t="str">
        <f>IF($B459="","",INDEX(tblStock[CostoUnitario],'91_KPIS'!$T452))</f>
        <v/>
      </c>
      <c r="M459" s="82" t="str">
        <f t="shared" si="13"/>
        <v/>
      </c>
    </row>
    <row r="460" spans="2:13" ht="15.75" x14ac:dyDescent="0.25">
      <c r="B460" s="74" t="str">
        <f>IF('91_KPIS'!$T453="","",446)</f>
        <v/>
      </c>
      <c r="C460" s="75" t="str">
        <f>IF($B460="","",IF(INDEX(tblStock[Proveedor],'91_KPIS'!$T453)="","(Sin proveedor)",INDEX(tblStock[Proveedor],'91_KPIS'!$T453)))</f>
        <v/>
      </c>
      <c r="D460" s="76" t="str">
        <f>IF($B460="","",INDEX(tblStock[SKU],'91_KPIS'!$T453))</f>
        <v/>
      </c>
      <c r="E460" s="75" t="str">
        <f>IF($B460="","",INDEX(tblStock[Producto],'91_KPIS'!$T453))</f>
        <v/>
      </c>
      <c r="F460" s="76" t="str">
        <f>IF($B460="","",INDEX(tblStock[Unidad],'91_KPIS'!$T453))</f>
        <v/>
      </c>
      <c r="G460" s="77" t="str">
        <f>IF($B460="","",INDEX(tblStock[StockActual],'91_KPIS'!$T453))</f>
        <v/>
      </c>
      <c r="H460" s="78" t="str">
        <f>IF($B460="","",INDEX(tblStock[StockMin],'91_KPIS'!$T453))</f>
        <v/>
      </c>
      <c r="I460" s="78" t="str">
        <f>IF($B460="","",INDEX(tblStock[StockMax],'91_KPIS'!$T453))</f>
        <v/>
      </c>
      <c r="J460" s="79" t="str">
        <f>IF($B460="","",INDEX(tblStock[Estado],'91_KPIS'!$T453))</f>
        <v/>
      </c>
      <c r="K460" s="80" t="str">
        <f t="shared" si="12"/>
        <v/>
      </c>
      <c r="L460" s="81" t="str">
        <f>IF($B460="","",INDEX(tblStock[CostoUnitario],'91_KPIS'!$T453))</f>
        <v/>
      </c>
      <c r="M460" s="82" t="str">
        <f t="shared" si="13"/>
        <v/>
      </c>
    </row>
    <row r="461" spans="2:13" ht="15.75" x14ac:dyDescent="0.25">
      <c r="B461" s="74" t="str">
        <f>IF('91_KPIS'!$T454="","",447)</f>
        <v/>
      </c>
      <c r="C461" s="75" t="str">
        <f>IF($B461="","",IF(INDEX(tblStock[Proveedor],'91_KPIS'!$T454)="","(Sin proveedor)",INDEX(tblStock[Proveedor],'91_KPIS'!$T454)))</f>
        <v/>
      </c>
      <c r="D461" s="76" t="str">
        <f>IF($B461="","",INDEX(tblStock[SKU],'91_KPIS'!$T454))</f>
        <v/>
      </c>
      <c r="E461" s="75" t="str">
        <f>IF($B461="","",INDEX(tblStock[Producto],'91_KPIS'!$T454))</f>
        <v/>
      </c>
      <c r="F461" s="76" t="str">
        <f>IF($B461="","",INDEX(tblStock[Unidad],'91_KPIS'!$T454))</f>
        <v/>
      </c>
      <c r="G461" s="77" t="str">
        <f>IF($B461="","",INDEX(tblStock[StockActual],'91_KPIS'!$T454))</f>
        <v/>
      </c>
      <c r="H461" s="78" t="str">
        <f>IF($B461="","",INDEX(tblStock[StockMin],'91_KPIS'!$T454))</f>
        <v/>
      </c>
      <c r="I461" s="78" t="str">
        <f>IF($B461="","",INDEX(tblStock[StockMax],'91_KPIS'!$T454))</f>
        <v/>
      </c>
      <c r="J461" s="79" t="str">
        <f>IF($B461="","",INDEX(tblStock[Estado],'91_KPIS'!$T454))</f>
        <v/>
      </c>
      <c r="K461" s="80" t="str">
        <f t="shared" si="12"/>
        <v/>
      </c>
      <c r="L461" s="81" t="str">
        <f>IF($B461="","",INDEX(tblStock[CostoUnitario],'91_KPIS'!$T454))</f>
        <v/>
      </c>
      <c r="M461" s="82" t="str">
        <f t="shared" si="13"/>
        <v/>
      </c>
    </row>
    <row r="462" spans="2:13" ht="15.75" x14ac:dyDescent="0.25">
      <c r="B462" s="74" t="str">
        <f>IF('91_KPIS'!$T455="","",448)</f>
        <v/>
      </c>
      <c r="C462" s="75" t="str">
        <f>IF($B462="","",IF(INDEX(tblStock[Proveedor],'91_KPIS'!$T455)="","(Sin proveedor)",INDEX(tblStock[Proveedor],'91_KPIS'!$T455)))</f>
        <v/>
      </c>
      <c r="D462" s="76" t="str">
        <f>IF($B462="","",INDEX(tblStock[SKU],'91_KPIS'!$T455))</f>
        <v/>
      </c>
      <c r="E462" s="75" t="str">
        <f>IF($B462="","",INDEX(tblStock[Producto],'91_KPIS'!$T455))</f>
        <v/>
      </c>
      <c r="F462" s="76" t="str">
        <f>IF($B462="","",INDEX(tblStock[Unidad],'91_KPIS'!$T455))</f>
        <v/>
      </c>
      <c r="G462" s="77" t="str">
        <f>IF($B462="","",INDEX(tblStock[StockActual],'91_KPIS'!$T455))</f>
        <v/>
      </c>
      <c r="H462" s="78" t="str">
        <f>IF($B462="","",INDEX(tblStock[StockMin],'91_KPIS'!$T455))</f>
        <v/>
      </c>
      <c r="I462" s="78" t="str">
        <f>IF($B462="","",INDEX(tblStock[StockMax],'91_KPIS'!$T455))</f>
        <v/>
      </c>
      <c r="J462" s="79" t="str">
        <f>IF($B462="","",INDEX(tblStock[Estado],'91_KPIS'!$T455))</f>
        <v/>
      </c>
      <c r="K462" s="80" t="str">
        <f t="shared" si="12"/>
        <v/>
      </c>
      <c r="L462" s="81" t="str">
        <f>IF($B462="","",INDEX(tblStock[CostoUnitario],'91_KPIS'!$T455))</f>
        <v/>
      </c>
      <c r="M462" s="82" t="str">
        <f t="shared" si="13"/>
        <v/>
      </c>
    </row>
    <row r="463" spans="2:13" ht="15.75" x14ac:dyDescent="0.25">
      <c r="B463" s="74" t="str">
        <f>IF('91_KPIS'!$T456="","",449)</f>
        <v/>
      </c>
      <c r="C463" s="75" t="str">
        <f>IF($B463="","",IF(INDEX(tblStock[Proveedor],'91_KPIS'!$T456)="","(Sin proveedor)",INDEX(tblStock[Proveedor],'91_KPIS'!$T456)))</f>
        <v/>
      </c>
      <c r="D463" s="76" t="str">
        <f>IF($B463="","",INDEX(tblStock[SKU],'91_KPIS'!$T456))</f>
        <v/>
      </c>
      <c r="E463" s="75" t="str">
        <f>IF($B463="","",INDEX(tblStock[Producto],'91_KPIS'!$T456))</f>
        <v/>
      </c>
      <c r="F463" s="76" t="str">
        <f>IF($B463="","",INDEX(tblStock[Unidad],'91_KPIS'!$T456))</f>
        <v/>
      </c>
      <c r="G463" s="77" t="str">
        <f>IF($B463="","",INDEX(tblStock[StockActual],'91_KPIS'!$T456))</f>
        <v/>
      </c>
      <c r="H463" s="78" t="str">
        <f>IF($B463="","",INDEX(tblStock[StockMin],'91_KPIS'!$T456))</f>
        <v/>
      </c>
      <c r="I463" s="78" t="str">
        <f>IF($B463="","",INDEX(tblStock[StockMax],'91_KPIS'!$T456))</f>
        <v/>
      </c>
      <c r="J463" s="79" t="str">
        <f>IF($B463="","",INDEX(tblStock[Estado],'91_KPIS'!$T456))</f>
        <v/>
      </c>
      <c r="K463" s="80" t="str">
        <f t="shared" ref="K463:K514" si="14">IF($B463="","",MAX(0,IF($I463&gt;0,$I463,2*$H463)-MAX(0,$G463)))</f>
        <v/>
      </c>
      <c r="L463" s="81" t="str">
        <f>IF($B463="","",INDEX(tblStock[CostoUnitario],'91_KPIS'!$T456))</f>
        <v/>
      </c>
      <c r="M463" s="82" t="str">
        <f t="shared" ref="M463:M514" si="15">IF($B463="","",$K463*$L463)</f>
        <v/>
      </c>
    </row>
    <row r="464" spans="2:13" ht="15.75" x14ac:dyDescent="0.25">
      <c r="B464" s="74" t="str">
        <f>IF('91_KPIS'!$T457="","",450)</f>
        <v/>
      </c>
      <c r="C464" s="75" t="str">
        <f>IF($B464="","",IF(INDEX(tblStock[Proveedor],'91_KPIS'!$T457)="","(Sin proveedor)",INDEX(tblStock[Proveedor],'91_KPIS'!$T457)))</f>
        <v/>
      </c>
      <c r="D464" s="76" t="str">
        <f>IF($B464="","",INDEX(tblStock[SKU],'91_KPIS'!$T457))</f>
        <v/>
      </c>
      <c r="E464" s="75" t="str">
        <f>IF($B464="","",INDEX(tblStock[Producto],'91_KPIS'!$T457))</f>
        <v/>
      </c>
      <c r="F464" s="76" t="str">
        <f>IF($B464="","",INDEX(tblStock[Unidad],'91_KPIS'!$T457))</f>
        <v/>
      </c>
      <c r="G464" s="77" t="str">
        <f>IF($B464="","",INDEX(tblStock[StockActual],'91_KPIS'!$T457))</f>
        <v/>
      </c>
      <c r="H464" s="78" t="str">
        <f>IF($B464="","",INDEX(tblStock[StockMin],'91_KPIS'!$T457))</f>
        <v/>
      </c>
      <c r="I464" s="78" t="str">
        <f>IF($B464="","",INDEX(tblStock[StockMax],'91_KPIS'!$T457))</f>
        <v/>
      </c>
      <c r="J464" s="79" t="str">
        <f>IF($B464="","",INDEX(tblStock[Estado],'91_KPIS'!$T457))</f>
        <v/>
      </c>
      <c r="K464" s="80" t="str">
        <f t="shared" si="14"/>
        <v/>
      </c>
      <c r="L464" s="81" t="str">
        <f>IF($B464="","",INDEX(tblStock[CostoUnitario],'91_KPIS'!$T457))</f>
        <v/>
      </c>
      <c r="M464" s="82" t="str">
        <f t="shared" si="15"/>
        <v/>
      </c>
    </row>
    <row r="465" spans="2:13" ht="15.75" x14ac:dyDescent="0.25">
      <c r="B465" s="74" t="str">
        <f>IF('91_KPIS'!$T458="","",451)</f>
        <v/>
      </c>
      <c r="C465" s="75" t="str">
        <f>IF($B465="","",IF(INDEX(tblStock[Proveedor],'91_KPIS'!$T458)="","(Sin proveedor)",INDEX(tblStock[Proveedor],'91_KPIS'!$T458)))</f>
        <v/>
      </c>
      <c r="D465" s="76" t="str">
        <f>IF($B465="","",INDEX(tblStock[SKU],'91_KPIS'!$T458))</f>
        <v/>
      </c>
      <c r="E465" s="75" t="str">
        <f>IF($B465="","",INDEX(tblStock[Producto],'91_KPIS'!$T458))</f>
        <v/>
      </c>
      <c r="F465" s="76" t="str">
        <f>IF($B465="","",INDEX(tblStock[Unidad],'91_KPIS'!$T458))</f>
        <v/>
      </c>
      <c r="G465" s="77" t="str">
        <f>IF($B465="","",INDEX(tblStock[StockActual],'91_KPIS'!$T458))</f>
        <v/>
      </c>
      <c r="H465" s="78" t="str">
        <f>IF($B465="","",INDEX(tblStock[StockMin],'91_KPIS'!$T458))</f>
        <v/>
      </c>
      <c r="I465" s="78" t="str">
        <f>IF($B465="","",INDEX(tblStock[StockMax],'91_KPIS'!$T458))</f>
        <v/>
      </c>
      <c r="J465" s="79" t="str">
        <f>IF($B465="","",INDEX(tblStock[Estado],'91_KPIS'!$T458))</f>
        <v/>
      </c>
      <c r="K465" s="80" t="str">
        <f t="shared" si="14"/>
        <v/>
      </c>
      <c r="L465" s="81" t="str">
        <f>IF($B465="","",INDEX(tblStock[CostoUnitario],'91_KPIS'!$T458))</f>
        <v/>
      </c>
      <c r="M465" s="82" t="str">
        <f t="shared" si="15"/>
        <v/>
      </c>
    </row>
    <row r="466" spans="2:13" ht="15.75" x14ac:dyDescent="0.25">
      <c r="B466" s="74" t="str">
        <f>IF('91_KPIS'!$T459="","",452)</f>
        <v/>
      </c>
      <c r="C466" s="75" t="str">
        <f>IF($B466="","",IF(INDEX(tblStock[Proveedor],'91_KPIS'!$T459)="","(Sin proveedor)",INDEX(tblStock[Proveedor],'91_KPIS'!$T459)))</f>
        <v/>
      </c>
      <c r="D466" s="76" t="str">
        <f>IF($B466="","",INDEX(tblStock[SKU],'91_KPIS'!$T459))</f>
        <v/>
      </c>
      <c r="E466" s="75" t="str">
        <f>IF($B466="","",INDEX(tblStock[Producto],'91_KPIS'!$T459))</f>
        <v/>
      </c>
      <c r="F466" s="76" t="str">
        <f>IF($B466="","",INDEX(tblStock[Unidad],'91_KPIS'!$T459))</f>
        <v/>
      </c>
      <c r="G466" s="77" t="str">
        <f>IF($B466="","",INDEX(tblStock[StockActual],'91_KPIS'!$T459))</f>
        <v/>
      </c>
      <c r="H466" s="78" t="str">
        <f>IF($B466="","",INDEX(tblStock[StockMin],'91_KPIS'!$T459))</f>
        <v/>
      </c>
      <c r="I466" s="78" t="str">
        <f>IF($B466="","",INDEX(tblStock[StockMax],'91_KPIS'!$T459))</f>
        <v/>
      </c>
      <c r="J466" s="79" t="str">
        <f>IF($B466="","",INDEX(tblStock[Estado],'91_KPIS'!$T459))</f>
        <v/>
      </c>
      <c r="K466" s="80" t="str">
        <f t="shared" si="14"/>
        <v/>
      </c>
      <c r="L466" s="81" t="str">
        <f>IF($B466="","",INDEX(tblStock[CostoUnitario],'91_KPIS'!$T459))</f>
        <v/>
      </c>
      <c r="M466" s="82" t="str">
        <f t="shared" si="15"/>
        <v/>
      </c>
    </row>
    <row r="467" spans="2:13" ht="15.75" x14ac:dyDescent="0.25">
      <c r="B467" s="74" t="str">
        <f>IF('91_KPIS'!$T460="","",453)</f>
        <v/>
      </c>
      <c r="C467" s="75" t="str">
        <f>IF($B467="","",IF(INDEX(tblStock[Proveedor],'91_KPIS'!$T460)="","(Sin proveedor)",INDEX(tblStock[Proveedor],'91_KPIS'!$T460)))</f>
        <v/>
      </c>
      <c r="D467" s="76" t="str">
        <f>IF($B467="","",INDEX(tblStock[SKU],'91_KPIS'!$T460))</f>
        <v/>
      </c>
      <c r="E467" s="75" t="str">
        <f>IF($B467="","",INDEX(tblStock[Producto],'91_KPIS'!$T460))</f>
        <v/>
      </c>
      <c r="F467" s="76" t="str">
        <f>IF($B467="","",INDEX(tblStock[Unidad],'91_KPIS'!$T460))</f>
        <v/>
      </c>
      <c r="G467" s="77" t="str">
        <f>IF($B467="","",INDEX(tblStock[StockActual],'91_KPIS'!$T460))</f>
        <v/>
      </c>
      <c r="H467" s="78" t="str">
        <f>IF($B467="","",INDEX(tblStock[StockMin],'91_KPIS'!$T460))</f>
        <v/>
      </c>
      <c r="I467" s="78" t="str">
        <f>IF($B467="","",INDEX(tblStock[StockMax],'91_KPIS'!$T460))</f>
        <v/>
      </c>
      <c r="J467" s="79" t="str">
        <f>IF($B467="","",INDEX(tblStock[Estado],'91_KPIS'!$T460))</f>
        <v/>
      </c>
      <c r="K467" s="80" t="str">
        <f t="shared" si="14"/>
        <v/>
      </c>
      <c r="L467" s="81" t="str">
        <f>IF($B467="","",INDEX(tblStock[CostoUnitario],'91_KPIS'!$T460))</f>
        <v/>
      </c>
      <c r="M467" s="82" t="str">
        <f t="shared" si="15"/>
        <v/>
      </c>
    </row>
    <row r="468" spans="2:13" ht="15.75" x14ac:dyDescent="0.25">
      <c r="B468" s="74" t="str">
        <f>IF('91_KPIS'!$T461="","",454)</f>
        <v/>
      </c>
      <c r="C468" s="75" t="str">
        <f>IF($B468="","",IF(INDEX(tblStock[Proveedor],'91_KPIS'!$T461)="","(Sin proveedor)",INDEX(tblStock[Proveedor],'91_KPIS'!$T461)))</f>
        <v/>
      </c>
      <c r="D468" s="76" t="str">
        <f>IF($B468="","",INDEX(tblStock[SKU],'91_KPIS'!$T461))</f>
        <v/>
      </c>
      <c r="E468" s="75" t="str">
        <f>IF($B468="","",INDEX(tblStock[Producto],'91_KPIS'!$T461))</f>
        <v/>
      </c>
      <c r="F468" s="76" t="str">
        <f>IF($B468="","",INDEX(tblStock[Unidad],'91_KPIS'!$T461))</f>
        <v/>
      </c>
      <c r="G468" s="77" t="str">
        <f>IF($B468="","",INDEX(tblStock[StockActual],'91_KPIS'!$T461))</f>
        <v/>
      </c>
      <c r="H468" s="78" t="str">
        <f>IF($B468="","",INDEX(tblStock[StockMin],'91_KPIS'!$T461))</f>
        <v/>
      </c>
      <c r="I468" s="78" t="str">
        <f>IF($B468="","",INDEX(tblStock[StockMax],'91_KPIS'!$T461))</f>
        <v/>
      </c>
      <c r="J468" s="79" t="str">
        <f>IF($B468="","",INDEX(tblStock[Estado],'91_KPIS'!$T461))</f>
        <v/>
      </c>
      <c r="K468" s="80" t="str">
        <f t="shared" si="14"/>
        <v/>
      </c>
      <c r="L468" s="81" t="str">
        <f>IF($B468="","",INDEX(tblStock[CostoUnitario],'91_KPIS'!$T461))</f>
        <v/>
      </c>
      <c r="M468" s="82" t="str">
        <f t="shared" si="15"/>
        <v/>
      </c>
    </row>
    <row r="469" spans="2:13" ht="15.75" x14ac:dyDescent="0.25">
      <c r="B469" s="74" t="str">
        <f>IF('91_KPIS'!$T462="","",455)</f>
        <v/>
      </c>
      <c r="C469" s="75" t="str">
        <f>IF($B469="","",IF(INDEX(tblStock[Proveedor],'91_KPIS'!$T462)="","(Sin proveedor)",INDEX(tblStock[Proveedor],'91_KPIS'!$T462)))</f>
        <v/>
      </c>
      <c r="D469" s="76" t="str">
        <f>IF($B469="","",INDEX(tblStock[SKU],'91_KPIS'!$T462))</f>
        <v/>
      </c>
      <c r="E469" s="75" t="str">
        <f>IF($B469="","",INDEX(tblStock[Producto],'91_KPIS'!$T462))</f>
        <v/>
      </c>
      <c r="F469" s="76" t="str">
        <f>IF($B469="","",INDEX(tblStock[Unidad],'91_KPIS'!$T462))</f>
        <v/>
      </c>
      <c r="G469" s="77" t="str">
        <f>IF($B469="","",INDEX(tblStock[StockActual],'91_KPIS'!$T462))</f>
        <v/>
      </c>
      <c r="H469" s="78" t="str">
        <f>IF($B469="","",INDEX(tblStock[StockMin],'91_KPIS'!$T462))</f>
        <v/>
      </c>
      <c r="I469" s="78" t="str">
        <f>IF($B469="","",INDEX(tblStock[StockMax],'91_KPIS'!$T462))</f>
        <v/>
      </c>
      <c r="J469" s="79" t="str">
        <f>IF($B469="","",INDEX(tblStock[Estado],'91_KPIS'!$T462))</f>
        <v/>
      </c>
      <c r="K469" s="80" t="str">
        <f t="shared" si="14"/>
        <v/>
      </c>
      <c r="L469" s="81" t="str">
        <f>IF($B469="","",INDEX(tblStock[CostoUnitario],'91_KPIS'!$T462))</f>
        <v/>
      </c>
      <c r="M469" s="82" t="str">
        <f t="shared" si="15"/>
        <v/>
      </c>
    </row>
    <row r="470" spans="2:13" ht="15.75" x14ac:dyDescent="0.25">
      <c r="B470" s="74" t="str">
        <f>IF('91_KPIS'!$T463="","",456)</f>
        <v/>
      </c>
      <c r="C470" s="75" t="str">
        <f>IF($B470="","",IF(INDEX(tblStock[Proveedor],'91_KPIS'!$T463)="","(Sin proveedor)",INDEX(tblStock[Proveedor],'91_KPIS'!$T463)))</f>
        <v/>
      </c>
      <c r="D470" s="76" t="str">
        <f>IF($B470="","",INDEX(tblStock[SKU],'91_KPIS'!$T463))</f>
        <v/>
      </c>
      <c r="E470" s="75" t="str">
        <f>IF($B470="","",INDEX(tblStock[Producto],'91_KPIS'!$T463))</f>
        <v/>
      </c>
      <c r="F470" s="76" t="str">
        <f>IF($B470="","",INDEX(tblStock[Unidad],'91_KPIS'!$T463))</f>
        <v/>
      </c>
      <c r="G470" s="77" t="str">
        <f>IF($B470="","",INDEX(tblStock[StockActual],'91_KPIS'!$T463))</f>
        <v/>
      </c>
      <c r="H470" s="78" t="str">
        <f>IF($B470="","",INDEX(tblStock[StockMin],'91_KPIS'!$T463))</f>
        <v/>
      </c>
      <c r="I470" s="78" t="str">
        <f>IF($B470="","",INDEX(tblStock[StockMax],'91_KPIS'!$T463))</f>
        <v/>
      </c>
      <c r="J470" s="79" t="str">
        <f>IF($B470="","",INDEX(tblStock[Estado],'91_KPIS'!$T463))</f>
        <v/>
      </c>
      <c r="K470" s="80" t="str">
        <f t="shared" si="14"/>
        <v/>
      </c>
      <c r="L470" s="81" t="str">
        <f>IF($B470="","",INDEX(tblStock[CostoUnitario],'91_KPIS'!$T463))</f>
        <v/>
      </c>
      <c r="M470" s="82" t="str">
        <f t="shared" si="15"/>
        <v/>
      </c>
    </row>
    <row r="471" spans="2:13" ht="15.75" x14ac:dyDescent="0.25">
      <c r="B471" s="74" t="str">
        <f>IF('91_KPIS'!$T464="","",457)</f>
        <v/>
      </c>
      <c r="C471" s="75" t="str">
        <f>IF($B471="","",IF(INDEX(tblStock[Proveedor],'91_KPIS'!$T464)="","(Sin proveedor)",INDEX(tblStock[Proveedor],'91_KPIS'!$T464)))</f>
        <v/>
      </c>
      <c r="D471" s="76" t="str">
        <f>IF($B471="","",INDEX(tblStock[SKU],'91_KPIS'!$T464))</f>
        <v/>
      </c>
      <c r="E471" s="75" t="str">
        <f>IF($B471="","",INDEX(tblStock[Producto],'91_KPIS'!$T464))</f>
        <v/>
      </c>
      <c r="F471" s="76" t="str">
        <f>IF($B471="","",INDEX(tblStock[Unidad],'91_KPIS'!$T464))</f>
        <v/>
      </c>
      <c r="G471" s="77" t="str">
        <f>IF($B471="","",INDEX(tblStock[StockActual],'91_KPIS'!$T464))</f>
        <v/>
      </c>
      <c r="H471" s="78" t="str">
        <f>IF($B471="","",INDEX(tblStock[StockMin],'91_KPIS'!$T464))</f>
        <v/>
      </c>
      <c r="I471" s="78" t="str">
        <f>IF($B471="","",INDEX(tblStock[StockMax],'91_KPIS'!$T464))</f>
        <v/>
      </c>
      <c r="J471" s="79" t="str">
        <f>IF($B471="","",INDEX(tblStock[Estado],'91_KPIS'!$T464))</f>
        <v/>
      </c>
      <c r="K471" s="80" t="str">
        <f t="shared" si="14"/>
        <v/>
      </c>
      <c r="L471" s="81" t="str">
        <f>IF($B471="","",INDEX(tblStock[CostoUnitario],'91_KPIS'!$T464))</f>
        <v/>
      </c>
      <c r="M471" s="82" t="str">
        <f t="shared" si="15"/>
        <v/>
      </c>
    </row>
    <row r="472" spans="2:13" ht="15.75" x14ac:dyDescent="0.25">
      <c r="B472" s="74" t="str">
        <f>IF('91_KPIS'!$T465="","",458)</f>
        <v/>
      </c>
      <c r="C472" s="75" t="str">
        <f>IF($B472="","",IF(INDEX(tblStock[Proveedor],'91_KPIS'!$T465)="","(Sin proveedor)",INDEX(tblStock[Proveedor],'91_KPIS'!$T465)))</f>
        <v/>
      </c>
      <c r="D472" s="76" t="str">
        <f>IF($B472="","",INDEX(tblStock[SKU],'91_KPIS'!$T465))</f>
        <v/>
      </c>
      <c r="E472" s="75" t="str">
        <f>IF($B472="","",INDEX(tblStock[Producto],'91_KPIS'!$T465))</f>
        <v/>
      </c>
      <c r="F472" s="76" t="str">
        <f>IF($B472="","",INDEX(tblStock[Unidad],'91_KPIS'!$T465))</f>
        <v/>
      </c>
      <c r="G472" s="77" t="str">
        <f>IF($B472="","",INDEX(tblStock[StockActual],'91_KPIS'!$T465))</f>
        <v/>
      </c>
      <c r="H472" s="78" t="str">
        <f>IF($B472="","",INDEX(tblStock[StockMin],'91_KPIS'!$T465))</f>
        <v/>
      </c>
      <c r="I472" s="78" t="str">
        <f>IF($B472="","",INDEX(tblStock[StockMax],'91_KPIS'!$T465))</f>
        <v/>
      </c>
      <c r="J472" s="79" t="str">
        <f>IF($B472="","",INDEX(tblStock[Estado],'91_KPIS'!$T465))</f>
        <v/>
      </c>
      <c r="K472" s="80" t="str">
        <f t="shared" si="14"/>
        <v/>
      </c>
      <c r="L472" s="81" t="str">
        <f>IF($B472="","",INDEX(tblStock[CostoUnitario],'91_KPIS'!$T465))</f>
        <v/>
      </c>
      <c r="M472" s="82" t="str">
        <f t="shared" si="15"/>
        <v/>
      </c>
    </row>
    <row r="473" spans="2:13" ht="15.75" x14ac:dyDescent="0.25">
      <c r="B473" s="74" t="str">
        <f>IF('91_KPIS'!$T466="","",459)</f>
        <v/>
      </c>
      <c r="C473" s="75" t="str">
        <f>IF($B473="","",IF(INDEX(tblStock[Proveedor],'91_KPIS'!$T466)="","(Sin proveedor)",INDEX(tblStock[Proveedor],'91_KPIS'!$T466)))</f>
        <v/>
      </c>
      <c r="D473" s="76" t="str">
        <f>IF($B473="","",INDEX(tblStock[SKU],'91_KPIS'!$T466))</f>
        <v/>
      </c>
      <c r="E473" s="75" t="str">
        <f>IF($B473="","",INDEX(tblStock[Producto],'91_KPIS'!$T466))</f>
        <v/>
      </c>
      <c r="F473" s="76" t="str">
        <f>IF($B473="","",INDEX(tblStock[Unidad],'91_KPIS'!$T466))</f>
        <v/>
      </c>
      <c r="G473" s="77" t="str">
        <f>IF($B473="","",INDEX(tblStock[StockActual],'91_KPIS'!$T466))</f>
        <v/>
      </c>
      <c r="H473" s="78" t="str">
        <f>IF($B473="","",INDEX(tblStock[StockMin],'91_KPIS'!$T466))</f>
        <v/>
      </c>
      <c r="I473" s="78" t="str">
        <f>IF($B473="","",INDEX(tblStock[StockMax],'91_KPIS'!$T466))</f>
        <v/>
      </c>
      <c r="J473" s="79" t="str">
        <f>IF($B473="","",INDEX(tblStock[Estado],'91_KPIS'!$T466))</f>
        <v/>
      </c>
      <c r="K473" s="80" t="str">
        <f t="shared" si="14"/>
        <v/>
      </c>
      <c r="L473" s="81" t="str">
        <f>IF($B473="","",INDEX(tblStock[CostoUnitario],'91_KPIS'!$T466))</f>
        <v/>
      </c>
      <c r="M473" s="82" t="str">
        <f t="shared" si="15"/>
        <v/>
      </c>
    </row>
    <row r="474" spans="2:13" ht="15.75" x14ac:dyDescent="0.25">
      <c r="B474" s="74" t="str">
        <f>IF('91_KPIS'!$T467="","",460)</f>
        <v/>
      </c>
      <c r="C474" s="75" t="str">
        <f>IF($B474="","",IF(INDEX(tblStock[Proveedor],'91_KPIS'!$T467)="","(Sin proveedor)",INDEX(tblStock[Proveedor],'91_KPIS'!$T467)))</f>
        <v/>
      </c>
      <c r="D474" s="76" t="str">
        <f>IF($B474="","",INDEX(tblStock[SKU],'91_KPIS'!$T467))</f>
        <v/>
      </c>
      <c r="E474" s="75" t="str">
        <f>IF($B474="","",INDEX(tblStock[Producto],'91_KPIS'!$T467))</f>
        <v/>
      </c>
      <c r="F474" s="76" t="str">
        <f>IF($B474="","",INDEX(tblStock[Unidad],'91_KPIS'!$T467))</f>
        <v/>
      </c>
      <c r="G474" s="77" t="str">
        <f>IF($B474="","",INDEX(tblStock[StockActual],'91_KPIS'!$T467))</f>
        <v/>
      </c>
      <c r="H474" s="78" t="str">
        <f>IF($B474="","",INDEX(tblStock[StockMin],'91_KPIS'!$T467))</f>
        <v/>
      </c>
      <c r="I474" s="78" t="str">
        <f>IF($B474="","",INDEX(tblStock[StockMax],'91_KPIS'!$T467))</f>
        <v/>
      </c>
      <c r="J474" s="79" t="str">
        <f>IF($B474="","",INDEX(tblStock[Estado],'91_KPIS'!$T467))</f>
        <v/>
      </c>
      <c r="K474" s="80" t="str">
        <f t="shared" si="14"/>
        <v/>
      </c>
      <c r="L474" s="81" t="str">
        <f>IF($B474="","",INDEX(tblStock[CostoUnitario],'91_KPIS'!$T467))</f>
        <v/>
      </c>
      <c r="M474" s="82" t="str">
        <f t="shared" si="15"/>
        <v/>
      </c>
    </row>
    <row r="475" spans="2:13" ht="15.75" x14ac:dyDescent="0.25">
      <c r="B475" s="74" t="str">
        <f>IF('91_KPIS'!$T468="","",461)</f>
        <v/>
      </c>
      <c r="C475" s="75" t="str">
        <f>IF($B475="","",IF(INDEX(tblStock[Proveedor],'91_KPIS'!$T468)="","(Sin proveedor)",INDEX(tblStock[Proveedor],'91_KPIS'!$T468)))</f>
        <v/>
      </c>
      <c r="D475" s="76" t="str">
        <f>IF($B475="","",INDEX(tblStock[SKU],'91_KPIS'!$T468))</f>
        <v/>
      </c>
      <c r="E475" s="75" t="str">
        <f>IF($B475="","",INDEX(tblStock[Producto],'91_KPIS'!$T468))</f>
        <v/>
      </c>
      <c r="F475" s="76" t="str">
        <f>IF($B475="","",INDEX(tblStock[Unidad],'91_KPIS'!$T468))</f>
        <v/>
      </c>
      <c r="G475" s="77" t="str">
        <f>IF($B475="","",INDEX(tblStock[StockActual],'91_KPIS'!$T468))</f>
        <v/>
      </c>
      <c r="H475" s="78" t="str">
        <f>IF($B475="","",INDEX(tblStock[StockMin],'91_KPIS'!$T468))</f>
        <v/>
      </c>
      <c r="I475" s="78" t="str">
        <f>IF($B475="","",INDEX(tblStock[StockMax],'91_KPIS'!$T468))</f>
        <v/>
      </c>
      <c r="J475" s="79" t="str">
        <f>IF($B475="","",INDEX(tblStock[Estado],'91_KPIS'!$T468))</f>
        <v/>
      </c>
      <c r="K475" s="80" t="str">
        <f t="shared" si="14"/>
        <v/>
      </c>
      <c r="L475" s="81" t="str">
        <f>IF($B475="","",INDEX(tblStock[CostoUnitario],'91_KPIS'!$T468))</f>
        <v/>
      </c>
      <c r="M475" s="82" t="str">
        <f t="shared" si="15"/>
        <v/>
      </c>
    </row>
    <row r="476" spans="2:13" ht="15.75" x14ac:dyDescent="0.25">
      <c r="B476" s="74" t="str">
        <f>IF('91_KPIS'!$T469="","",462)</f>
        <v/>
      </c>
      <c r="C476" s="75" t="str">
        <f>IF($B476="","",IF(INDEX(tblStock[Proveedor],'91_KPIS'!$T469)="","(Sin proveedor)",INDEX(tblStock[Proveedor],'91_KPIS'!$T469)))</f>
        <v/>
      </c>
      <c r="D476" s="76" t="str">
        <f>IF($B476="","",INDEX(tblStock[SKU],'91_KPIS'!$T469))</f>
        <v/>
      </c>
      <c r="E476" s="75" t="str">
        <f>IF($B476="","",INDEX(tblStock[Producto],'91_KPIS'!$T469))</f>
        <v/>
      </c>
      <c r="F476" s="76" t="str">
        <f>IF($B476="","",INDEX(tblStock[Unidad],'91_KPIS'!$T469))</f>
        <v/>
      </c>
      <c r="G476" s="77" t="str">
        <f>IF($B476="","",INDEX(tblStock[StockActual],'91_KPIS'!$T469))</f>
        <v/>
      </c>
      <c r="H476" s="78" t="str">
        <f>IF($B476="","",INDEX(tblStock[StockMin],'91_KPIS'!$T469))</f>
        <v/>
      </c>
      <c r="I476" s="78" t="str">
        <f>IF($B476="","",INDEX(tblStock[StockMax],'91_KPIS'!$T469))</f>
        <v/>
      </c>
      <c r="J476" s="79" t="str">
        <f>IF($B476="","",INDEX(tblStock[Estado],'91_KPIS'!$T469))</f>
        <v/>
      </c>
      <c r="K476" s="80" t="str">
        <f t="shared" si="14"/>
        <v/>
      </c>
      <c r="L476" s="81" t="str">
        <f>IF($B476="","",INDEX(tblStock[CostoUnitario],'91_KPIS'!$T469))</f>
        <v/>
      </c>
      <c r="M476" s="82" t="str">
        <f t="shared" si="15"/>
        <v/>
      </c>
    </row>
    <row r="477" spans="2:13" ht="15.75" x14ac:dyDescent="0.25">
      <c r="B477" s="74" t="str">
        <f>IF('91_KPIS'!$T470="","",463)</f>
        <v/>
      </c>
      <c r="C477" s="75" t="str">
        <f>IF($B477="","",IF(INDEX(tblStock[Proveedor],'91_KPIS'!$T470)="","(Sin proveedor)",INDEX(tblStock[Proveedor],'91_KPIS'!$T470)))</f>
        <v/>
      </c>
      <c r="D477" s="76" t="str">
        <f>IF($B477="","",INDEX(tblStock[SKU],'91_KPIS'!$T470))</f>
        <v/>
      </c>
      <c r="E477" s="75" t="str">
        <f>IF($B477="","",INDEX(tblStock[Producto],'91_KPIS'!$T470))</f>
        <v/>
      </c>
      <c r="F477" s="76" t="str">
        <f>IF($B477="","",INDEX(tblStock[Unidad],'91_KPIS'!$T470))</f>
        <v/>
      </c>
      <c r="G477" s="77" t="str">
        <f>IF($B477="","",INDEX(tblStock[StockActual],'91_KPIS'!$T470))</f>
        <v/>
      </c>
      <c r="H477" s="78" t="str">
        <f>IF($B477="","",INDEX(tblStock[StockMin],'91_KPIS'!$T470))</f>
        <v/>
      </c>
      <c r="I477" s="78" t="str">
        <f>IF($B477="","",INDEX(tblStock[StockMax],'91_KPIS'!$T470))</f>
        <v/>
      </c>
      <c r="J477" s="79" t="str">
        <f>IF($B477="","",INDEX(tblStock[Estado],'91_KPIS'!$T470))</f>
        <v/>
      </c>
      <c r="K477" s="80" t="str">
        <f t="shared" si="14"/>
        <v/>
      </c>
      <c r="L477" s="81" t="str">
        <f>IF($B477="","",INDEX(tblStock[CostoUnitario],'91_KPIS'!$T470))</f>
        <v/>
      </c>
      <c r="M477" s="82" t="str">
        <f t="shared" si="15"/>
        <v/>
      </c>
    </row>
    <row r="478" spans="2:13" ht="15.75" x14ac:dyDescent="0.25">
      <c r="B478" s="74" t="str">
        <f>IF('91_KPIS'!$T471="","",464)</f>
        <v/>
      </c>
      <c r="C478" s="75" t="str">
        <f>IF($B478="","",IF(INDEX(tblStock[Proveedor],'91_KPIS'!$T471)="","(Sin proveedor)",INDEX(tblStock[Proveedor],'91_KPIS'!$T471)))</f>
        <v/>
      </c>
      <c r="D478" s="76" t="str">
        <f>IF($B478="","",INDEX(tblStock[SKU],'91_KPIS'!$T471))</f>
        <v/>
      </c>
      <c r="E478" s="75" t="str">
        <f>IF($B478="","",INDEX(tblStock[Producto],'91_KPIS'!$T471))</f>
        <v/>
      </c>
      <c r="F478" s="76" t="str">
        <f>IF($B478="","",INDEX(tblStock[Unidad],'91_KPIS'!$T471))</f>
        <v/>
      </c>
      <c r="G478" s="77" t="str">
        <f>IF($B478="","",INDEX(tblStock[StockActual],'91_KPIS'!$T471))</f>
        <v/>
      </c>
      <c r="H478" s="78" t="str">
        <f>IF($B478="","",INDEX(tblStock[StockMin],'91_KPIS'!$T471))</f>
        <v/>
      </c>
      <c r="I478" s="78" t="str">
        <f>IF($B478="","",INDEX(tblStock[StockMax],'91_KPIS'!$T471))</f>
        <v/>
      </c>
      <c r="J478" s="79" t="str">
        <f>IF($B478="","",INDEX(tblStock[Estado],'91_KPIS'!$T471))</f>
        <v/>
      </c>
      <c r="K478" s="80" t="str">
        <f t="shared" si="14"/>
        <v/>
      </c>
      <c r="L478" s="81" t="str">
        <f>IF($B478="","",INDEX(tblStock[CostoUnitario],'91_KPIS'!$T471))</f>
        <v/>
      </c>
      <c r="M478" s="82" t="str">
        <f t="shared" si="15"/>
        <v/>
      </c>
    </row>
    <row r="479" spans="2:13" ht="15.75" x14ac:dyDescent="0.25">
      <c r="B479" s="74" t="str">
        <f>IF('91_KPIS'!$T472="","",465)</f>
        <v/>
      </c>
      <c r="C479" s="75" t="str">
        <f>IF($B479="","",IF(INDEX(tblStock[Proveedor],'91_KPIS'!$T472)="","(Sin proveedor)",INDEX(tblStock[Proveedor],'91_KPIS'!$T472)))</f>
        <v/>
      </c>
      <c r="D479" s="76" t="str">
        <f>IF($B479="","",INDEX(tblStock[SKU],'91_KPIS'!$T472))</f>
        <v/>
      </c>
      <c r="E479" s="75" t="str">
        <f>IF($B479="","",INDEX(tblStock[Producto],'91_KPIS'!$T472))</f>
        <v/>
      </c>
      <c r="F479" s="76" t="str">
        <f>IF($B479="","",INDEX(tblStock[Unidad],'91_KPIS'!$T472))</f>
        <v/>
      </c>
      <c r="G479" s="77" t="str">
        <f>IF($B479="","",INDEX(tblStock[StockActual],'91_KPIS'!$T472))</f>
        <v/>
      </c>
      <c r="H479" s="78" t="str">
        <f>IF($B479="","",INDEX(tblStock[StockMin],'91_KPIS'!$T472))</f>
        <v/>
      </c>
      <c r="I479" s="78" t="str">
        <f>IF($B479="","",INDEX(tblStock[StockMax],'91_KPIS'!$T472))</f>
        <v/>
      </c>
      <c r="J479" s="79" t="str">
        <f>IF($B479="","",INDEX(tblStock[Estado],'91_KPIS'!$T472))</f>
        <v/>
      </c>
      <c r="K479" s="80" t="str">
        <f t="shared" si="14"/>
        <v/>
      </c>
      <c r="L479" s="81" t="str">
        <f>IF($B479="","",INDEX(tblStock[CostoUnitario],'91_KPIS'!$T472))</f>
        <v/>
      </c>
      <c r="M479" s="82" t="str">
        <f t="shared" si="15"/>
        <v/>
      </c>
    </row>
    <row r="480" spans="2:13" ht="15.75" x14ac:dyDescent="0.25">
      <c r="B480" s="74" t="str">
        <f>IF('91_KPIS'!$T473="","",466)</f>
        <v/>
      </c>
      <c r="C480" s="75" t="str">
        <f>IF($B480="","",IF(INDEX(tblStock[Proveedor],'91_KPIS'!$T473)="","(Sin proveedor)",INDEX(tblStock[Proveedor],'91_KPIS'!$T473)))</f>
        <v/>
      </c>
      <c r="D480" s="76" t="str">
        <f>IF($B480="","",INDEX(tblStock[SKU],'91_KPIS'!$T473))</f>
        <v/>
      </c>
      <c r="E480" s="75" t="str">
        <f>IF($B480="","",INDEX(tblStock[Producto],'91_KPIS'!$T473))</f>
        <v/>
      </c>
      <c r="F480" s="76" t="str">
        <f>IF($B480="","",INDEX(tblStock[Unidad],'91_KPIS'!$T473))</f>
        <v/>
      </c>
      <c r="G480" s="77" t="str">
        <f>IF($B480="","",INDEX(tblStock[StockActual],'91_KPIS'!$T473))</f>
        <v/>
      </c>
      <c r="H480" s="78" t="str">
        <f>IF($B480="","",INDEX(tblStock[StockMin],'91_KPIS'!$T473))</f>
        <v/>
      </c>
      <c r="I480" s="78" t="str">
        <f>IF($B480="","",INDEX(tblStock[StockMax],'91_KPIS'!$T473))</f>
        <v/>
      </c>
      <c r="J480" s="79" t="str">
        <f>IF($B480="","",INDEX(tblStock[Estado],'91_KPIS'!$T473))</f>
        <v/>
      </c>
      <c r="K480" s="80" t="str">
        <f t="shared" si="14"/>
        <v/>
      </c>
      <c r="L480" s="81" t="str">
        <f>IF($B480="","",INDEX(tblStock[CostoUnitario],'91_KPIS'!$T473))</f>
        <v/>
      </c>
      <c r="M480" s="82" t="str">
        <f t="shared" si="15"/>
        <v/>
      </c>
    </row>
    <row r="481" spans="2:13" ht="15.75" x14ac:dyDescent="0.25">
      <c r="B481" s="74" t="str">
        <f>IF('91_KPIS'!$T474="","",467)</f>
        <v/>
      </c>
      <c r="C481" s="75" t="str">
        <f>IF($B481="","",IF(INDEX(tblStock[Proveedor],'91_KPIS'!$T474)="","(Sin proveedor)",INDEX(tblStock[Proveedor],'91_KPIS'!$T474)))</f>
        <v/>
      </c>
      <c r="D481" s="76" t="str">
        <f>IF($B481="","",INDEX(tblStock[SKU],'91_KPIS'!$T474))</f>
        <v/>
      </c>
      <c r="E481" s="75" t="str">
        <f>IF($B481="","",INDEX(tblStock[Producto],'91_KPIS'!$T474))</f>
        <v/>
      </c>
      <c r="F481" s="76" t="str">
        <f>IF($B481="","",INDEX(tblStock[Unidad],'91_KPIS'!$T474))</f>
        <v/>
      </c>
      <c r="G481" s="77" t="str">
        <f>IF($B481="","",INDEX(tblStock[StockActual],'91_KPIS'!$T474))</f>
        <v/>
      </c>
      <c r="H481" s="78" t="str">
        <f>IF($B481="","",INDEX(tblStock[StockMin],'91_KPIS'!$T474))</f>
        <v/>
      </c>
      <c r="I481" s="78" t="str">
        <f>IF($B481="","",INDEX(tblStock[StockMax],'91_KPIS'!$T474))</f>
        <v/>
      </c>
      <c r="J481" s="79" t="str">
        <f>IF($B481="","",INDEX(tblStock[Estado],'91_KPIS'!$T474))</f>
        <v/>
      </c>
      <c r="K481" s="80" t="str">
        <f t="shared" si="14"/>
        <v/>
      </c>
      <c r="L481" s="81" t="str">
        <f>IF($B481="","",INDEX(tblStock[CostoUnitario],'91_KPIS'!$T474))</f>
        <v/>
      </c>
      <c r="M481" s="82" t="str">
        <f t="shared" si="15"/>
        <v/>
      </c>
    </row>
    <row r="482" spans="2:13" ht="15.75" x14ac:dyDescent="0.25">
      <c r="B482" s="74" t="str">
        <f>IF('91_KPIS'!$T475="","",468)</f>
        <v/>
      </c>
      <c r="C482" s="75" t="str">
        <f>IF($B482="","",IF(INDEX(tblStock[Proveedor],'91_KPIS'!$T475)="","(Sin proveedor)",INDEX(tblStock[Proveedor],'91_KPIS'!$T475)))</f>
        <v/>
      </c>
      <c r="D482" s="76" t="str">
        <f>IF($B482="","",INDEX(tblStock[SKU],'91_KPIS'!$T475))</f>
        <v/>
      </c>
      <c r="E482" s="75" t="str">
        <f>IF($B482="","",INDEX(tblStock[Producto],'91_KPIS'!$T475))</f>
        <v/>
      </c>
      <c r="F482" s="76" t="str">
        <f>IF($B482="","",INDEX(tblStock[Unidad],'91_KPIS'!$T475))</f>
        <v/>
      </c>
      <c r="G482" s="77" t="str">
        <f>IF($B482="","",INDEX(tblStock[StockActual],'91_KPIS'!$T475))</f>
        <v/>
      </c>
      <c r="H482" s="78" t="str">
        <f>IF($B482="","",INDEX(tblStock[StockMin],'91_KPIS'!$T475))</f>
        <v/>
      </c>
      <c r="I482" s="78" t="str">
        <f>IF($B482="","",INDEX(tblStock[StockMax],'91_KPIS'!$T475))</f>
        <v/>
      </c>
      <c r="J482" s="79" t="str">
        <f>IF($B482="","",INDEX(tblStock[Estado],'91_KPIS'!$T475))</f>
        <v/>
      </c>
      <c r="K482" s="80" t="str">
        <f t="shared" si="14"/>
        <v/>
      </c>
      <c r="L482" s="81" t="str">
        <f>IF($B482="","",INDEX(tblStock[CostoUnitario],'91_KPIS'!$T475))</f>
        <v/>
      </c>
      <c r="M482" s="82" t="str">
        <f t="shared" si="15"/>
        <v/>
      </c>
    </row>
    <row r="483" spans="2:13" ht="15.75" x14ac:dyDescent="0.25">
      <c r="B483" s="74" t="str">
        <f>IF('91_KPIS'!$T476="","",469)</f>
        <v/>
      </c>
      <c r="C483" s="75" t="str">
        <f>IF($B483="","",IF(INDEX(tblStock[Proveedor],'91_KPIS'!$T476)="","(Sin proveedor)",INDEX(tblStock[Proveedor],'91_KPIS'!$T476)))</f>
        <v/>
      </c>
      <c r="D483" s="76" t="str">
        <f>IF($B483="","",INDEX(tblStock[SKU],'91_KPIS'!$T476))</f>
        <v/>
      </c>
      <c r="E483" s="75" t="str">
        <f>IF($B483="","",INDEX(tblStock[Producto],'91_KPIS'!$T476))</f>
        <v/>
      </c>
      <c r="F483" s="76" t="str">
        <f>IF($B483="","",INDEX(tblStock[Unidad],'91_KPIS'!$T476))</f>
        <v/>
      </c>
      <c r="G483" s="77" t="str">
        <f>IF($B483="","",INDEX(tblStock[StockActual],'91_KPIS'!$T476))</f>
        <v/>
      </c>
      <c r="H483" s="78" t="str">
        <f>IF($B483="","",INDEX(tblStock[StockMin],'91_KPIS'!$T476))</f>
        <v/>
      </c>
      <c r="I483" s="78" t="str">
        <f>IF($B483="","",INDEX(tblStock[StockMax],'91_KPIS'!$T476))</f>
        <v/>
      </c>
      <c r="J483" s="79" t="str">
        <f>IF($B483="","",INDEX(tblStock[Estado],'91_KPIS'!$T476))</f>
        <v/>
      </c>
      <c r="K483" s="80" t="str">
        <f t="shared" si="14"/>
        <v/>
      </c>
      <c r="L483" s="81" t="str">
        <f>IF($B483="","",INDEX(tblStock[CostoUnitario],'91_KPIS'!$T476))</f>
        <v/>
      </c>
      <c r="M483" s="82" t="str">
        <f t="shared" si="15"/>
        <v/>
      </c>
    </row>
    <row r="484" spans="2:13" ht="15.75" x14ac:dyDescent="0.25">
      <c r="B484" s="74" t="str">
        <f>IF('91_KPIS'!$T477="","",470)</f>
        <v/>
      </c>
      <c r="C484" s="75" t="str">
        <f>IF($B484="","",IF(INDEX(tblStock[Proveedor],'91_KPIS'!$T477)="","(Sin proveedor)",INDEX(tblStock[Proveedor],'91_KPIS'!$T477)))</f>
        <v/>
      </c>
      <c r="D484" s="76" t="str">
        <f>IF($B484="","",INDEX(tblStock[SKU],'91_KPIS'!$T477))</f>
        <v/>
      </c>
      <c r="E484" s="75" t="str">
        <f>IF($B484="","",INDEX(tblStock[Producto],'91_KPIS'!$T477))</f>
        <v/>
      </c>
      <c r="F484" s="76" t="str">
        <f>IF($B484="","",INDEX(tblStock[Unidad],'91_KPIS'!$T477))</f>
        <v/>
      </c>
      <c r="G484" s="77" t="str">
        <f>IF($B484="","",INDEX(tblStock[StockActual],'91_KPIS'!$T477))</f>
        <v/>
      </c>
      <c r="H484" s="78" t="str">
        <f>IF($B484="","",INDEX(tblStock[StockMin],'91_KPIS'!$T477))</f>
        <v/>
      </c>
      <c r="I484" s="78" t="str">
        <f>IF($B484="","",INDEX(tblStock[StockMax],'91_KPIS'!$T477))</f>
        <v/>
      </c>
      <c r="J484" s="79" t="str">
        <f>IF($B484="","",INDEX(tblStock[Estado],'91_KPIS'!$T477))</f>
        <v/>
      </c>
      <c r="K484" s="80" t="str">
        <f t="shared" si="14"/>
        <v/>
      </c>
      <c r="L484" s="81" t="str">
        <f>IF($B484="","",INDEX(tblStock[CostoUnitario],'91_KPIS'!$T477))</f>
        <v/>
      </c>
      <c r="M484" s="82" t="str">
        <f t="shared" si="15"/>
        <v/>
      </c>
    </row>
    <row r="485" spans="2:13" ht="15.75" x14ac:dyDescent="0.25">
      <c r="B485" s="74" t="str">
        <f>IF('91_KPIS'!$T478="","",471)</f>
        <v/>
      </c>
      <c r="C485" s="75" t="str">
        <f>IF($B485="","",IF(INDEX(tblStock[Proveedor],'91_KPIS'!$T478)="","(Sin proveedor)",INDEX(tblStock[Proveedor],'91_KPIS'!$T478)))</f>
        <v/>
      </c>
      <c r="D485" s="76" t="str">
        <f>IF($B485="","",INDEX(tblStock[SKU],'91_KPIS'!$T478))</f>
        <v/>
      </c>
      <c r="E485" s="75" t="str">
        <f>IF($B485="","",INDEX(tblStock[Producto],'91_KPIS'!$T478))</f>
        <v/>
      </c>
      <c r="F485" s="76" t="str">
        <f>IF($B485="","",INDEX(tblStock[Unidad],'91_KPIS'!$T478))</f>
        <v/>
      </c>
      <c r="G485" s="77" t="str">
        <f>IF($B485="","",INDEX(tblStock[StockActual],'91_KPIS'!$T478))</f>
        <v/>
      </c>
      <c r="H485" s="78" t="str">
        <f>IF($B485="","",INDEX(tblStock[StockMin],'91_KPIS'!$T478))</f>
        <v/>
      </c>
      <c r="I485" s="78" t="str">
        <f>IF($B485="","",INDEX(tblStock[StockMax],'91_KPIS'!$T478))</f>
        <v/>
      </c>
      <c r="J485" s="79" t="str">
        <f>IF($B485="","",INDEX(tblStock[Estado],'91_KPIS'!$T478))</f>
        <v/>
      </c>
      <c r="K485" s="80" t="str">
        <f t="shared" si="14"/>
        <v/>
      </c>
      <c r="L485" s="81" t="str">
        <f>IF($B485="","",INDEX(tblStock[CostoUnitario],'91_KPIS'!$T478))</f>
        <v/>
      </c>
      <c r="M485" s="82" t="str">
        <f t="shared" si="15"/>
        <v/>
      </c>
    </row>
    <row r="486" spans="2:13" ht="15.75" x14ac:dyDescent="0.25">
      <c r="B486" s="74" t="str">
        <f>IF('91_KPIS'!$T479="","",472)</f>
        <v/>
      </c>
      <c r="C486" s="75" t="str">
        <f>IF($B486="","",IF(INDEX(tblStock[Proveedor],'91_KPIS'!$T479)="","(Sin proveedor)",INDEX(tblStock[Proveedor],'91_KPIS'!$T479)))</f>
        <v/>
      </c>
      <c r="D486" s="76" t="str">
        <f>IF($B486="","",INDEX(tblStock[SKU],'91_KPIS'!$T479))</f>
        <v/>
      </c>
      <c r="E486" s="75" t="str">
        <f>IF($B486="","",INDEX(tblStock[Producto],'91_KPIS'!$T479))</f>
        <v/>
      </c>
      <c r="F486" s="76" t="str">
        <f>IF($B486="","",INDEX(tblStock[Unidad],'91_KPIS'!$T479))</f>
        <v/>
      </c>
      <c r="G486" s="77" t="str">
        <f>IF($B486="","",INDEX(tblStock[StockActual],'91_KPIS'!$T479))</f>
        <v/>
      </c>
      <c r="H486" s="78" t="str">
        <f>IF($B486="","",INDEX(tblStock[StockMin],'91_KPIS'!$T479))</f>
        <v/>
      </c>
      <c r="I486" s="78" t="str">
        <f>IF($B486="","",INDEX(tblStock[StockMax],'91_KPIS'!$T479))</f>
        <v/>
      </c>
      <c r="J486" s="79" t="str">
        <f>IF($B486="","",INDEX(tblStock[Estado],'91_KPIS'!$T479))</f>
        <v/>
      </c>
      <c r="K486" s="80" t="str">
        <f t="shared" si="14"/>
        <v/>
      </c>
      <c r="L486" s="81" t="str">
        <f>IF($B486="","",INDEX(tblStock[CostoUnitario],'91_KPIS'!$T479))</f>
        <v/>
      </c>
      <c r="M486" s="82" t="str">
        <f t="shared" si="15"/>
        <v/>
      </c>
    </row>
    <row r="487" spans="2:13" ht="15.75" x14ac:dyDescent="0.25">
      <c r="B487" s="74" t="str">
        <f>IF('91_KPIS'!$T480="","",473)</f>
        <v/>
      </c>
      <c r="C487" s="75" t="str">
        <f>IF($B487="","",IF(INDEX(tblStock[Proveedor],'91_KPIS'!$T480)="","(Sin proveedor)",INDEX(tblStock[Proveedor],'91_KPIS'!$T480)))</f>
        <v/>
      </c>
      <c r="D487" s="76" t="str">
        <f>IF($B487="","",INDEX(tblStock[SKU],'91_KPIS'!$T480))</f>
        <v/>
      </c>
      <c r="E487" s="75" t="str">
        <f>IF($B487="","",INDEX(tblStock[Producto],'91_KPIS'!$T480))</f>
        <v/>
      </c>
      <c r="F487" s="76" t="str">
        <f>IF($B487="","",INDEX(tblStock[Unidad],'91_KPIS'!$T480))</f>
        <v/>
      </c>
      <c r="G487" s="77" t="str">
        <f>IF($B487="","",INDEX(tblStock[StockActual],'91_KPIS'!$T480))</f>
        <v/>
      </c>
      <c r="H487" s="78" t="str">
        <f>IF($B487="","",INDEX(tblStock[StockMin],'91_KPIS'!$T480))</f>
        <v/>
      </c>
      <c r="I487" s="78" t="str">
        <f>IF($B487="","",INDEX(tblStock[StockMax],'91_KPIS'!$T480))</f>
        <v/>
      </c>
      <c r="J487" s="79" t="str">
        <f>IF($B487="","",INDEX(tblStock[Estado],'91_KPIS'!$T480))</f>
        <v/>
      </c>
      <c r="K487" s="80" t="str">
        <f t="shared" si="14"/>
        <v/>
      </c>
      <c r="L487" s="81" t="str">
        <f>IF($B487="","",INDEX(tblStock[CostoUnitario],'91_KPIS'!$T480))</f>
        <v/>
      </c>
      <c r="M487" s="82" t="str">
        <f t="shared" si="15"/>
        <v/>
      </c>
    </row>
    <row r="488" spans="2:13" ht="15.75" x14ac:dyDescent="0.25">
      <c r="B488" s="74" t="str">
        <f>IF('91_KPIS'!$T481="","",474)</f>
        <v/>
      </c>
      <c r="C488" s="75" t="str">
        <f>IF($B488="","",IF(INDEX(tblStock[Proveedor],'91_KPIS'!$T481)="","(Sin proveedor)",INDEX(tblStock[Proveedor],'91_KPIS'!$T481)))</f>
        <v/>
      </c>
      <c r="D488" s="76" t="str">
        <f>IF($B488="","",INDEX(tblStock[SKU],'91_KPIS'!$T481))</f>
        <v/>
      </c>
      <c r="E488" s="75" t="str">
        <f>IF($B488="","",INDEX(tblStock[Producto],'91_KPIS'!$T481))</f>
        <v/>
      </c>
      <c r="F488" s="76" t="str">
        <f>IF($B488="","",INDEX(tblStock[Unidad],'91_KPIS'!$T481))</f>
        <v/>
      </c>
      <c r="G488" s="77" t="str">
        <f>IF($B488="","",INDEX(tblStock[StockActual],'91_KPIS'!$T481))</f>
        <v/>
      </c>
      <c r="H488" s="78" t="str">
        <f>IF($B488="","",INDEX(tblStock[StockMin],'91_KPIS'!$T481))</f>
        <v/>
      </c>
      <c r="I488" s="78" t="str">
        <f>IF($B488="","",INDEX(tblStock[StockMax],'91_KPIS'!$T481))</f>
        <v/>
      </c>
      <c r="J488" s="79" t="str">
        <f>IF($B488="","",INDEX(tblStock[Estado],'91_KPIS'!$T481))</f>
        <v/>
      </c>
      <c r="K488" s="80" t="str">
        <f t="shared" si="14"/>
        <v/>
      </c>
      <c r="L488" s="81" t="str">
        <f>IF($B488="","",INDEX(tblStock[CostoUnitario],'91_KPIS'!$T481))</f>
        <v/>
      </c>
      <c r="M488" s="82" t="str">
        <f t="shared" si="15"/>
        <v/>
      </c>
    </row>
    <row r="489" spans="2:13" ht="15.75" x14ac:dyDescent="0.25">
      <c r="B489" s="74" t="str">
        <f>IF('91_KPIS'!$T482="","",475)</f>
        <v/>
      </c>
      <c r="C489" s="75" t="str">
        <f>IF($B489="","",IF(INDEX(tblStock[Proveedor],'91_KPIS'!$T482)="","(Sin proveedor)",INDEX(tblStock[Proveedor],'91_KPIS'!$T482)))</f>
        <v/>
      </c>
      <c r="D489" s="76" t="str">
        <f>IF($B489="","",INDEX(tblStock[SKU],'91_KPIS'!$T482))</f>
        <v/>
      </c>
      <c r="E489" s="75" t="str">
        <f>IF($B489="","",INDEX(tblStock[Producto],'91_KPIS'!$T482))</f>
        <v/>
      </c>
      <c r="F489" s="76" t="str">
        <f>IF($B489="","",INDEX(tblStock[Unidad],'91_KPIS'!$T482))</f>
        <v/>
      </c>
      <c r="G489" s="77" t="str">
        <f>IF($B489="","",INDEX(tblStock[StockActual],'91_KPIS'!$T482))</f>
        <v/>
      </c>
      <c r="H489" s="78" t="str">
        <f>IF($B489="","",INDEX(tblStock[StockMin],'91_KPIS'!$T482))</f>
        <v/>
      </c>
      <c r="I489" s="78" t="str">
        <f>IF($B489="","",INDEX(tblStock[StockMax],'91_KPIS'!$T482))</f>
        <v/>
      </c>
      <c r="J489" s="79" t="str">
        <f>IF($B489="","",INDEX(tblStock[Estado],'91_KPIS'!$T482))</f>
        <v/>
      </c>
      <c r="K489" s="80" t="str">
        <f t="shared" si="14"/>
        <v/>
      </c>
      <c r="L489" s="81" t="str">
        <f>IF($B489="","",INDEX(tblStock[CostoUnitario],'91_KPIS'!$T482))</f>
        <v/>
      </c>
      <c r="M489" s="82" t="str">
        <f t="shared" si="15"/>
        <v/>
      </c>
    </row>
    <row r="490" spans="2:13" ht="15.75" x14ac:dyDescent="0.25">
      <c r="B490" s="74" t="str">
        <f>IF('91_KPIS'!$T483="","",476)</f>
        <v/>
      </c>
      <c r="C490" s="75" t="str">
        <f>IF($B490="","",IF(INDEX(tblStock[Proveedor],'91_KPIS'!$T483)="","(Sin proveedor)",INDEX(tblStock[Proveedor],'91_KPIS'!$T483)))</f>
        <v/>
      </c>
      <c r="D490" s="76" t="str">
        <f>IF($B490="","",INDEX(tblStock[SKU],'91_KPIS'!$T483))</f>
        <v/>
      </c>
      <c r="E490" s="75" t="str">
        <f>IF($B490="","",INDEX(tblStock[Producto],'91_KPIS'!$T483))</f>
        <v/>
      </c>
      <c r="F490" s="76" t="str">
        <f>IF($B490="","",INDEX(tblStock[Unidad],'91_KPIS'!$T483))</f>
        <v/>
      </c>
      <c r="G490" s="77" t="str">
        <f>IF($B490="","",INDEX(tblStock[StockActual],'91_KPIS'!$T483))</f>
        <v/>
      </c>
      <c r="H490" s="78" t="str">
        <f>IF($B490="","",INDEX(tblStock[StockMin],'91_KPIS'!$T483))</f>
        <v/>
      </c>
      <c r="I490" s="78" t="str">
        <f>IF($B490="","",INDEX(tblStock[StockMax],'91_KPIS'!$T483))</f>
        <v/>
      </c>
      <c r="J490" s="79" t="str">
        <f>IF($B490="","",INDEX(tblStock[Estado],'91_KPIS'!$T483))</f>
        <v/>
      </c>
      <c r="K490" s="80" t="str">
        <f t="shared" si="14"/>
        <v/>
      </c>
      <c r="L490" s="81" t="str">
        <f>IF($B490="","",INDEX(tblStock[CostoUnitario],'91_KPIS'!$T483))</f>
        <v/>
      </c>
      <c r="M490" s="82" t="str">
        <f t="shared" si="15"/>
        <v/>
      </c>
    </row>
    <row r="491" spans="2:13" ht="15.75" x14ac:dyDescent="0.25">
      <c r="B491" s="74" t="str">
        <f>IF('91_KPIS'!$T484="","",477)</f>
        <v/>
      </c>
      <c r="C491" s="75" t="str">
        <f>IF($B491="","",IF(INDEX(tblStock[Proveedor],'91_KPIS'!$T484)="","(Sin proveedor)",INDEX(tblStock[Proveedor],'91_KPIS'!$T484)))</f>
        <v/>
      </c>
      <c r="D491" s="76" t="str">
        <f>IF($B491="","",INDEX(tblStock[SKU],'91_KPIS'!$T484))</f>
        <v/>
      </c>
      <c r="E491" s="75" t="str">
        <f>IF($B491="","",INDEX(tblStock[Producto],'91_KPIS'!$T484))</f>
        <v/>
      </c>
      <c r="F491" s="76" t="str">
        <f>IF($B491="","",INDEX(tblStock[Unidad],'91_KPIS'!$T484))</f>
        <v/>
      </c>
      <c r="G491" s="77" t="str">
        <f>IF($B491="","",INDEX(tblStock[StockActual],'91_KPIS'!$T484))</f>
        <v/>
      </c>
      <c r="H491" s="78" t="str">
        <f>IF($B491="","",INDEX(tblStock[StockMin],'91_KPIS'!$T484))</f>
        <v/>
      </c>
      <c r="I491" s="78" t="str">
        <f>IF($B491="","",INDEX(tblStock[StockMax],'91_KPIS'!$T484))</f>
        <v/>
      </c>
      <c r="J491" s="79" t="str">
        <f>IF($B491="","",INDEX(tblStock[Estado],'91_KPIS'!$T484))</f>
        <v/>
      </c>
      <c r="K491" s="80" t="str">
        <f t="shared" si="14"/>
        <v/>
      </c>
      <c r="L491" s="81" t="str">
        <f>IF($B491="","",INDEX(tblStock[CostoUnitario],'91_KPIS'!$T484))</f>
        <v/>
      </c>
      <c r="M491" s="82" t="str">
        <f t="shared" si="15"/>
        <v/>
      </c>
    </row>
    <row r="492" spans="2:13" ht="15.75" x14ac:dyDescent="0.25">
      <c r="B492" s="74" t="str">
        <f>IF('91_KPIS'!$T485="","",478)</f>
        <v/>
      </c>
      <c r="C492" s="75" t="str">
        <f>IF($B492="","",IF(INDEX(tblStock[Proveedor],'91_KPIS'!$T485)="","(Sin proveedor)",INDEX(tblStock[Proveedor],'91_KPIS'!$T485)))</f>
        <v/>
      </c>
      <c r="D492" s="76" t="str">
        <f>IF($B492="","",INDEX(tblStock[SKU],'91_KPIS'!$T485))</f>
        <v/>
      </c>
      <c r="E492" s="75" t="str">
        <f>IF($B492="","",INDEX(tblStock[Producto],'91_KPIS'!$T485))</f>
        <v/>
      </c>
      <c r="F492" s="76" t="str">
        <f>IF($B492="","",INDEX(tblStock[Unidad],'91_KPIS'!$T485))</f>
        <v/>
      </c>
      <c r="G492" s="77" t="str">
        <f>IF($B492="","",INDEX(tblStock[StockActual],'91_KPIS'!$T485))</f>
        <v/>
      </c>
      <c r="H492" s="78" t="str">
        <f>IF($B492="","",INDEX(tblStock[StockMin],'91_KPIS'!$T485))</f>
        <v/>
      </c>
      <c r="I492" s="78" t="str">
        <f>IF($B492="","",INDEX(tblStock[StockMax],'91_KPIS'!$T485))</f>
        <v/>
      </c>
      <c r="J492" s="79" t="str">
        <f>IF($B492="","",INDEX(tblStock[Estado],'91_KPIS'!$T485))</f>
        <v/>
      </c>
      <c r="K492" s="80" t="str">
        <f t="shared" si="14"/>
        <v/>
      </c>
      <c r="L492" s="81" t="str">
        <f>IF($B492="","",INDEX(tblStock[CostoUnitario],'91_KPIS'!$T485))</f>
        <v/>
      </c>
      <c r="M492" s="82" t="str">
        <f t="shared" si="15"/>
        <v/>
      </c>
    </row>
    <row r="493" spans="2:13" ht="15.75" x14ac:dyDescent="0.25">
      <c r="B493" s="74" t="str">
        <f>IF('91_KPIS'!$T486="","",479)</f>
        <v/>
      </c>
      <c r="C493" s="75" t="str">
        <f>IF($B493="","",IF(INDEX(tblStock[Proveedor],'91_KPIS'!$T486)="","(Sin proveedor)",INDEX(tblStock[Proveedor],'91_KPIS'!$T486)))</f>
        <v/>
      </c>
      <c r="D493" s="76" t="str">
        <f>IF($B493="","",INDEX(tblStock[SKU],'91_KPIS'!$T486))</f>
        <v/>
      </c>
      <c r="E493" s="75" t="str">
        <f>IF($B493="","",INDEX(tblStock[Producto],'91_KPIS'!$T486))</f>
        <v/>
      </c>
      <c r="F493" s="76" t="str">
        <f>IF($B493="","",INDEX(tblStock[Unidad],'91_KPIS'!$T486))</f>
        <v/>
      </c>
      <c r="G493" s="77" t="str">
        <f>IF($B493="","",INDEX(tblStock[StockActual],'91_KPIS'!$T486))</f>
        <v/>
      </c>
      <c r="H493" s="78" t="str">
        <f>IF($B493="","",INDEX(tblStock[StockMin],'91_KPIS'!$T486))</f>
        <v/>
      </c>
      <c r="I493" s="78" t="str">
        <f>IF($B493="","",INDEX(tblStock[StockMax],'91_KPIS'!$T486))</f>
        <v/>
      </c>
      <c r="J493" s="79" t="str">
        <f>IF($B493="","",INDEX(tblStock[Estado],'91_KPIS'!$T486))</f>
        <v/>
      </c>
      <c r="K493" s="80" t="str">
        <f t="shared" si="14"/>
        <v/>
      </c>
      <c r="L493" s="81" t="str">
        <f>IF($B493="","",INDEX(tblStock[CostoUnitario],'91_KPIS'!$T486))</f>
        <v/>
      </c>
      <c r="M493" s="82" t="str">
        <f t="shared" si="15"/>
        <v/>
      </c>
    </row>
    <row r="494" spans="2:13" ht="15.75" x14ac:dyDescent="0.25">
      <c r="B494" s="74" t="str">
        <f>IF('91_KPIS'!$T487="","",480)</f>
        <v/>
      </c>
      <c r="C494" s="75" t="str">
        <f>IF($B494="","",IF(INDEX(tblStock[Proveedor],'91_KPIS'!$T487)="","(Sin proveedor)",INDEX(tblStock[Proveedor],'91_KPIS'!$T487)))</f>
        <v/>
      </c>
      <c r="D494" s="76" t="str">
        <f>IF($B494="","",INDEX(tblStock[SKU],'91_KPIS'!$T487))</f>
        <v/>
      </c>
      <c r="E494" s="75" t="str">
        <f>IF($B494="","",INDEX(tblStock[Producto],'91_KPIS'!$T487))</f>
        <v/>
      </c>
      <c r="F494" s="76" t="str">
        <f>IF($B494="","",INDEX(tblStock[Unidad],'91_KPIS'!$T487))</f>
        <v/>
      </c>
      <c r="G494" s="77" t="str">
        <f>IF($B494="","",INDEX(tblStock[StockActual],'91_KPIS'!$T487))</f>
        <v/>
      </c>
      <c r="H494" s="78" t="str">
        <f>IF($B494="","",INDEX(tblStock[StockMin],'91_KPIS'!$T487))</f>
        <v/>
      </c>
      <c r="I494" s="78" t="str">
        <f>IF($B494="","",INDEX(tblStock[StockMax],'91_KPIS'!$T487))</f>
        <v/>
      </c>
      <c r="J494" s="79" t="str">
        <f>IF($B494="","",INDEX(tblStock[Estado],'91_KPIS'!$T487))</f>
        <v/>
      </c>
      <c r="K494" s="80" t="str">
        <f t="shared" si="14"/>
        <v/>
      </c>
      <c r="L494" s="81" t="str">
        <f>IF($B494="","",INDEX(tblStock[CostoUnitario],'91_KPIS'!$T487))</f>
        <v/>
      </c>
      <c r="M494" s="82" t="str">
        <f t="shared" si="15"/>
        <v/>
      </c>
    </row>
    <row r="495" spans="2:13" ht="15.75" x14ac:dyDescent="0.25">
      <c r="B495" s="74" t="str">
        <f>IF('91_KPIS'!$T488="","",481)</f>
        <v/>
      </c>
      <c r="C495" s="75" t="str">
        <f>IF($B495="","",IF(INDEX(tblStock[Proveedor],'91_KPIS'!$T488)="","(Sin proveedor)",INDEX(tblStock[Proveedor],'91_KPIS'!$T488)))</f>
        <v/>
      </c>
      <c r="D495" s="76" t="str">
        <f>IF($B495="","",INDEX(tblStock[SKU],'91_KPIS'!$T488))</f>
        <v/>
      </c>
      <c r="E495" s="75" t="str">
        <f>IF($B495="","",INDEX(tblStock[Producto],'91_KPIS'!$T488))</f>
        <v/>
      </c>
      <c r="F495" s="76" t="str">
        <f>IF($B495="","",INDEX(tblStock[Unidad],'91_KPIS'!$T488))</f>
        <v/>
      </c>
      <c r="G495" s="77" t="str">
        <f>IF($B495="","",INDEX(tblStock[StockActual],'91_KPIS'!$T488))</f>
        <v/>
      </c>
      <c r="H495" s="78" t="str">
        <f>IF($B495="","",INDEX(tblStock[StockMin],'91_KPIS'!$T488))</f>
        <v/>
      </c>
      <c r="I495" s="78" t="str">
        <f>IF($B495="","",INDEX(tblStock[StockMax],'91_KPIS'!$T488))</f>
        <v/>
      </c>
      <c r="J495" s="79" t="str">
        <f>IF($B495="","",INDEX(tblStock[Estado],'91_KPIS'!$T488))</f>
        <v/>
      </c>
      <c r="K495" s="80" t="str">
        <f t="shared" si="14"/>
        <v/>
      </c>
      <c r="L495" s="81" t="str">
        <f>IF($B495="","",INDEX(tblStock[CostoUnitario],'91_KPIS'!$T488))</f>
        <v/>
      </c>
      <c r="M495" s="82" t="str">
        <f t="shared" si="15"/>
        <v/>
      </c>
    </row>
    <row r="496" spans="2:13" ht="15.75" x14ac:dyDescent="0.25">
      <c r="B496" s="74" t="str">
        <f>IF('91_KPIS'!$T489="","",482)</f>
        <v/>
      </c>
      <c r="C496" s="75" t="str">
        <f>IF($B496="","",IF(INDEX(tblStock[Proveedor],'91_KPIS'!$T489)="","(Sin proveedor)",INDEX(tblStock[Proveedor],'91_KPIS'!$T489)))</f>
        <v/>
      </c>
      <c r="D496" s="76" t="str">
        <f>IF($B496="","",INDEX(tblStock[SKU],'91_KPIS'!$T489))</f>
        <v/>
      </c>
      <c r="E496" s="75" t="str">
        <f>IF($B496="","",INDEX(tblStock[Producto],'91_KPIS'!$T489))</f>
        <v/>
      </c>
      <c r="F496" s="76" t="str">
        <f>IF($B496="","",INDEX(tblStock[Unidad],'91_KPIS'!$T489))</f>
        <v/>
      </c>
      <c r="G496" s="77" t="str">
        <f>IF($B496="","",INDEX(tblStock[StockActual],'91_KPIS'!$T489))</f>
        <v/>
      </c>
      <c r="H496" s="78" t="str">
        <f>IF($B496="","",INDEX(tblStock[StockMin],'91_KPIS'!$T489))</f>
        <v/>
      </c>
      <c r="I496" s="78" t="str">
        <f>IF($B496="","",INDEX(tblStock[StockMax],'91_KPIS'!$T489))</f>
        <v/>
      </c>
      <c r="J496" s="79" t="str">
        <f>IF($B496="","",INDEX(tblStock[Estado],'91_KPIS'!$T489))</f>
        <v/>
      </c>
      <c r="K496" s="80" t="str">
        <f t="shared" si="14"/>
        <v/>
      </c>
      <c r="L496" s="81" t="str">
        <f>IF($B496="","",INDEX(tblStock[CostoUnitario],'91_KPIS'!$T489))</f>
        <v/>
      </c>
      <c r="M496" s="82" t="str">
        <f t="shared" si="15"/>
        <v/>
      </c>
    </row>
    <row r="497" spans="2:13" ht="15.75" x14ac:dyDescent="0.25">
      <c r="B497" s="74" t="str">
        <f>IF('91_KPIS'!$T490="","",483)</f>
        <v/>
      </c>
      <c r="C497" s="75" t="str">
        <f>IF($B497="","",IF(INDEX(tblStock[Proveedor],'91_KPIS'!$T490)="","(Sin proveedor)",INDEX(tblStock[Proveedor],'91_KPIS'!$T490)))</f>
        <v/>
      </c>
      <c r="D497" s="76" t="str">
        <f>IF($B497="","",INDEX(tblStock[SKU],'91_KPIS'!$T490))</f>
        <v/>
      </c>
      <c r="E497" s="75" t="str">
        <f>IF($B497="","",INDEX(tblStock[Producto],'91_KPIS'!$T490))</f>
        <v/>
      </c>
      <c r="F497" s="76" t="str">
        <f>IF($B497="","",INDEX(tblStock[Unidad],'91_KPIS'!$T490))</f>
        <v/>
      </c>
      <c r="G497" s="77" t="str">
        <f>IF($B497="","",INDEX(tblStock[StockActual],'91_KPIS'!$T490))</f>
        <v/>
      </c>
      <c r="H497" s="78" t="str">
        <f>IF($B497="","",INDEX(tblStock[StockMin],'91_KPIS'!$T490))</f>
        <v/>
      </c>
      <c r="I497" s="78" t="str">
        <f>IF($B497="","",INDEX(tblStock[StockMax],'91_KPIS'!$T490))</f>
        <v/>
      </c>
      <c r="J497" s="79" t="str">
        <f>IF($B497="","",INDEX(tblStock[Estado],'91_KPIS'!$T490))</f>
        <v/>
      </c>
      <c r="K497" s="80" t="str">
        <f t="shared" si="14"/>
        <v/>
      </c>
      <c r="L497" s="81" t="str">
        <f>IF($B497="","",INDEX(tblStock[CostoUnitario],'91_KPIS'!$T490))</f>
        <v/>
      </c>
      <c r="M497" s="82" t="str">
        <f t="shared" si="15"/>
        <v/>
      </c>
    </row>
    <row r="498" spans="2:13" ht="15.75" x14ac:dyDescent="0.25">
      <c r="B498" s="74" t="str">
        <f>IF('91_KPIS'!$T491="","",484)</f>
        <v/>
      </c>
      <c r="C498" s="75" t="str">
        <f>IF($B498="","",IF(INDEX(tblStock[Proveedor],'91_KPIS'!$T491)="","(Sin proveedor)",INDEX(tblStock[Proveedor],'91_KPIS'!$T491)))</f>
        <v/>
      </c>
      <c r="D498" s="76" t="str">
        <f>IF($B498="","",INDEX(tblStock[SKU],'91_KPIS'!$T491))</f>
        <v/>
      </c>
      <c r="E498" s="75" t="str">
        <f>IF($B498="","",INDEX(tblStock[Producto],'91_KPIS'!$T491))</f>
        <v/>
      </c>
      <c r="F498" s="76" t="str">
        <f>IF($B498="","",INDEX(tblStock[Unidad],'91_KPIS'!$T491))</f>
        <v/>
      </c>
      <c r="G498" s="77" t="str">
        <f>IF($B498="","",INDEX(tblStock[StockActual],'91_KPIS'!$T491))</f>
        <v/>
      </c>
      <c r="H498" s="78" t="str">
        <f>IF($B498="","",INDEX(tblStock[StockMin],'91_KPIS'!$T491))</f>
        <v/>
      </c>
      <c r="I498" s="78" t="str">
        <f>IF($B498="","",INDEX(tblStock[StockMax],'91_KPIS'!$T491))</f>
        <v/>
      </c>
      <c r="J498" s="79" t="str">
        <f>IF($B498="","",INDEX(tblStock[Estado],'91_KPIS'!$T491))</f>
        <v/>
      </c>
      <c r="K498" s="80" t="str">
        <f t="shared" si="14"/>
        <v/>
      </c>
      <c r="L498" s="81" t="str">
        <f>IF($B498="","",INDEX(tblStock[CostoUnitario],'91_KPIS'!$T491))</f>
        <v/>
      </c>
      <c r="M498" s="82" t="str">
        <f t="shared" si="15"/>
        <v/>
      </c>
    </row>
    <row r="499" spans="2:13" ht="15.75" x14ac:dyDescent="0.25">
      <c r="B499" s="74" t="str">
        <f>IF('91_KPIS'!$T492="","",485)</f>
        <v/>
      </c>
      <c r="C499" s="75" t="str">
        <f>IF($B499="","",IF(INDEX(tblStock[Proveedor],'91_KPIS'!$T492)="","(Sin proveedor)",INDEX(tblStock[Proveedor],'91_KPIS'!$T492)))</f>
        <v/>
      </c>
      <c r="D499" s="76" t="str">
        <f>IF($B499="","",INDEX(tblStock[SKU],'91_KPIS'!$T492))</f>
        <v/>
      </c>
      <c r="E499" s="75" t="str">
        <f>IF($B499="","",INDEX(tblStock[Producto],'91_KPIS'!$T492))</f>
        <v/>
      </c>
      <c r="F499" s="76" t="str">
        <f>IF($B499="","",INDEX(tblStock[Unidad],'91_KPIS'!$T492))</f>
        <v/>
      </c>
      <c r="G499" s="77" t="str">
        <f>IF($B499="","",INDEX(tblStock[StockActual],'91_KPIS'!$T492))</f>
        <v/>
      </c>
      <c r="H499" s="78" t="str">
        <f>IF($B499="","",INDEX(tblStock[StockMin],'91_KPIS'!$T492))</f>
        <v/>
      </c>
      <c r="I499" s="78" t="str">
        <f>IF($B499="","",INDEX(tblStock[StockMax],'91_KPIS'!$T492))</f>
        <v/>
      </c>
      <c r="J499" s="79" t="str">
        <f>IF($B499="","",INDEX(tblStock[Estado],'91_KPIS'!$T492))</f>
        <v/>
      </c>
      <c r="K499" s="80" t="str">
        <f t="shared" si="14"/>
        <v/>
      </c>
      <c r="L499" s="81" t="str">
        <f>IF($B499="","",INDEX(tblStock[CostoUnitario],'91_KPIS'!$T492))</f>
        <v/>
      </c>
      <c r="M499" s="82" t="str">
        <f t="shared" si="15"/>
        <v/>
      </c>
    </row>
    <row r="500" spans="2:13" ht="15.75" x14ac:dyDescent="0.25">
      <c r="B500" s="74" t="str">
        <f>IF('91_KPIS'!$T493="","",486)</f>
        <v/>
      </c>
      <c r="C500" s="75" t="str">
        <f>IF($B500="","",IF(INDEX(tblStock[Proveedor],'91_KPIS'!$T493)="","(Sin proveedor)",INDEX(tblStock[Proveedor],'91_KPIS'!$T493)))</f>
        <v/>
      </c>
      <c r="D500" s="76" t="str">
        <f>IF($B500="","",INDEX(tblStock[SKU],'91_KPIS'!$T493))</f>
        <v/>
      </c>
      <c r="E500" s="75" t="str">
        <f>IF($B500="","",INDEX(tblStock[Producto],'91_KPIS'!$T493))</f>
        <v/>
      </c>
      <c r="F500" s="76" t="str">
        <f>IF($B500="","",INDEX(tblStock[Unidad],'91_KPIS'!$T493))</f>
        <v/>
      </c>
      <c r="G500" s="77" t="str">
        <f>IF($B500="","",INDEX(tblStock[StockActual],'91_KPIS'!$T493))</f>
        <v/>
      </c>
      <c r="H500" s="78" t="str">
        <f>IF($B500="","",INDEX(tblStock[StockMin],'91_KPIS'!$T493))</f>
        <v/>
      </c>
      <c r="I500" s="78" t="str">
        <f>IF($B500="","",INDEX(tblStock[StockMax],'91_KPIS'!$T493))</f>
        <v/>
      </c>
      <c r="J500" s="79" t="str">
        <f>IF($B500="","",INDEX(tblStock[Estado],'91_KPIS'!$T493))</f>
        <v/>
      </c>
      <c r="K500" s="80" t="str">
        <f t="shared" si="14"/>
        <v/>
      </c>
      <c r="L500" s="81" t="str">
        <f>IF($B500="","",INDEX(tblStock[CostoUnitario],'91_KPIS'!$T493))</f>
        <v/>
      </c>
      <c r="M500" s="82" t="str">
        <f t="shared" si="15"/>
        <v/>
      </c>
    </row>
    <row r="501" spans="2:13" ht="15.75" x14ac:dyDescent="0.25">
      <c r="B501" s="74" t="str">
        <f>IF('91_KPIS'!$T494="","",487)</f>
        <v/>
      </c>
      <c r="C501" s="75" t="str">
        <f>IF($B501="","",IF(INDEX(tblStock[Proveedor],'91_KPIS'!$T494)="","(Sin proveedor)",INDEX(tblStock[Proveedor],'91_KPIS'!$T494)))</f>
        <v/>
      </c>
      <c r="D501" s="76" t="str">
        <f>IF($B501="","",INDEX(tblStock[SKU],'91_KPIS'!$T494))</f>
        <v/>
      </c>
      <c r="E501" s="75" t="str">
        <f>IF($B501="","",INDEX(tblStock[Producto],'91_KPIS'!$T494))</f>
        <v/>
      </c>
      <c r="F501" s="76" t="str">
        <f>IF($B501="","",INDEX(tblStock[Unidad],'91_KPIS'!$T494))</f>
        <v/>
      </c>
      <c r="G501" s="77" t="str">
        <f>IF($B501="","",INDEX(tblStock[StockActual],'91_KPIS'!$T494))</f>
        <v/>
      </c>
      <c r="H501" s="78" t="str">
        <f>IF($B501="","",INDEX(tblStock[StockMin],'91_KPIS'!$T494))</f>
        <v/>
      </c>
      <c r="I501" s="78" t="str">
        <f>IF($B501="","",INDEX(tblStock[StockMax],'91_KPIS'!$T494))</f>
        <v/>
      </c>
      <c r="J501" s="79" t="str">
        <f>IF($B501="","",INDEX(tblStock[Estado],'91_KPIS'!$T494))</f>
        <v/>
      </c>
      <c r="K501" s="80" t="str">
        <f t="shared" si="14"/>
        <v/>
      </c>
      <c r="L501" s="81" t="str">
        <f>IF($B501="","",INDEX(tblStock[CostoUnitario],'91_KPIS'!$T494))</f>
        <v/>
      </c>
      <c r="M501" s="82" t="str">
        <f t="shared" si="15"/>
        <v/>
      </c>
    </row>
    <row r="502" spans="2:13" ht="15.75" x14ac:dyDescent="0.25">
      <c r="B502" s="74" t="str">
        <f>IF('91_KPIS'!$T495="","",488)</f>
        <v/>
      </c>
      <c r="C502" s="75" t="str">
        <f>IF($B502="","",IF(INDEX(tblStock[Proveedor],'91_KPIS'!$T495)="","(Sin proveedor)",INDEX(tblStock[Proveedor],'91_KPIS'!$T495)))</f>
        <v/>
      </c>
      <c r="D502" s="76" t="str">
        <f>IF($B502="","",INDEX(tblStock[SKU],'91_KPIS'!$T495))</f>
        <v/>
      </c>
      <c r="E502" s="75" t="str">
        <f>IF($B502="","",INDEX(tblStock[Producto],'91_KPIS'!$T495))</f>
        <v/>
      </c>
      <c r="F502" s="76" t="str">
        <f>IF($B502="","",INDEX(tblStock[Unidad],'91_KPIS'!$T495))</f>
        <v/>
      </c>
      <c r="G502" s="77" t="str">
        <f>IF($B502="","",INDEX(tblStock[StockActual],'91_KPIS'!$T495))</f>
        <v/>
      </c>
      <c r="H502" s="78" t="str">
        <f>IF($B502="","",INDEX(tblStock[StockMin],'91_KPIS'!$T495))</f>
        <v/>
      </c>
      <c r="I502" s="78" t="str">
        <f>IF($B502="","",INDEX(tblStock[StockMax],'91_KPIS'!$T495))</f>
        <v/>
      </c>
      <c r="J502" s="79" t="str">
        <f>IF($B502="","",INDEX(tblStock[Estado],'91_KPIS'!$T495))</f>
        <v/>
      </c>
      <c r="K502" s="80" t="str">
        <f t="shared" si="14"/>
        <v/>
      </c>
      <c r="L502" s="81" t="str">
        <f>IF($B502="","",INDEX(tblStock[CostoUnitario],'91_KPIS'!$T495))</f>
        <v/>
      </c>
      <c r="M502" s="82" t="str">
        <f t="shared" si="15"/>
        <v/>
      </c>
    </row>
    <row r="503" spans="2:13" ht="15.75" x14ac:dyDescent="0.25">
      <c r="B503" s="74" t="str">
        <f>IF('91_KPIS'!$T496="","",489)</f>
        <v/>
      </c>
      <c r="C503" s="75" t="str">
        <f>IF($B503="","",IF(INDEX(tblStock[Proveedor],'91_KPIS'!$T496)="","(Sin proveedor)",INDEX(tblStock[Proveedor],'91_KPIS'!$T496)))</f>
        <v/>
      </c>
      <c r="D503" s="76" t="str">
        <f>IF($B503="","",INDEX(tblStock[SKU],'91_KPIS'!$T496))</f>
        <v/>
      </c>
      <c r="E503" s="75" t="str">
        <f>IF($B503="","",INDEX(tblStock[Producto],'91_KPIS'!$T496))</f>
        <v/>
      </c>
      <c r="F503" s="76" t="str">
        <f>IF($B503="","",INDEX(tblStock[Unidad],'91_KPIS'!$T496))</f>
        <v/>
      </c>
      <c r="G503" s="77" t="str">
        <f>IF($B503="","",INDEX(tblStock[StockActual],'91_KPIS'!$T496))</f>
        <v/>
      </c>
      <c r="H503" s="78" t="str">
        <f>IF($B503="","",INDEX(tblStock[StockMin],'91_KPIS'!$T496))</f>
        <v/>
      </c>
      <c r="I503" s="78" t="str">
        <f>IF($B503="","",INDEX(tblStock[StockMax],'91_KPIS'!$T496))</f>
        <v/>
      </c>
      <c r="J503" s="79" t="str">
        <f>IF($B503="","",INDEX(tblStock[Estado],'91_KPIS'!$T496))</f>
        <v/>
      </c>
      <c r="K503" s="80" t="str">
        <f t="shared" si="14"/>
        <v/>
      </c>
      <c r="L503" s="81" t="str">
        <f>IF($B503="","",INDEX(tblStock[CostoUnitario],'91_KPIS'!$T496))</f>
        <v/>
      </c>
      <c r="M503" s="82" t="str">
        <f t="shared" si="15"/>
        <v/>
      </c>
    </row>
    <row r="504" spans="2:13" ht="15.75" x14ac:dyDescent="0.25">
      <c r="B504" s="74" t="str">
        <f>IF('91_KPIS'!$T497="","",490)</f>
        <v/>
      </c>
      <c r="C504" s="75" t="str">
        <f>IF($B504="","",IF(INDEX(tblStock[Proveedor],'91_KPIS'!$T497)="","(Sin proveedor)",INDEX(tblStock[Proveedor],'91_KPIS'!$T497)))</f>
        <v/>
      </c>
      <c r="D504" s="76" t="str">
        <f>IF($B504="","",INDEX(tblStock[SKU],'91_KPIS'!$T497))</f>
        <v/>
      </c>
      <c r="E504" s="75" t="str">
        <f>IF($B504="","",INDEX(tblStock[Producto],'91_KPIS'!$T497))</f>
        <v/>
      </c>
      <c r="F504" s="76" t="str">
        <f>IF($B504="","",INDEX(tblStock[Unidad],'91_KPIS'!$T497))</f>
        <v/>
      </c>
      <c r="G504" s="77" t="str">
        <f>IF($B504="","",INDEX(tblStock[StockActual],'91_KPIS'!$T497))</f>
        <v/>
      </c>
      <c r="H504" s="78" t="str">
        <f>IF($B504="","",INDEX(tblStock[StockMin],'91_KPIS'!$T497))</f>
        <v/>
      </c>
      <c r="I504" s="78" t="str">
        <f>IF($B504="","",INDEX(tblStock[StockMax],'91_KPIS'!$T497))</f>
        <v/>
      </c>
      <c r="J504" s="79" t="str">
        <f>IF($B504="","",INDEX(tblStock[Estado],'91_KPIS'!$T497))</f>
        <v/>
      </c>
      <c r="K504" s="80" t="str">
        <f t="shared" si="14"/>
        <v/>
      </c>
      <c r="L504" s="81" t="str">
        <f>IF($B504="","",INDEX(tblStock[CostoUnitario],'91_KPIS'!$T497))</f>
        <v/>
      </c>
      <c r="M504" s="82" t="str">
        <f t="shared" si="15"/>
        <v/>
      </c>
    </row>
    <row r="505" spans="2:13" ht="15.75" x14ac:dyDescent="0.25">
      <c r="B505" s="74" t="str">
        <f>IF('91_KPIS'!$T498="","",491)</f>
        <v/>
      </c>
      <c r="C505" s="75" t="str">
        <f>IF($B505="","",IF(INDEX(tblStock[Proveedor],'91_KPIS'!$T498)="","(Sin proveedor)",INDEX(tblStock[Proveedor],'91_KPIS'!$T498)))</f>
        <v/>
      </c>
      <c r="D505" s="76" t="str">
        <f>IF($B505="","",INDEX(tblStock[SKU],'91_KPIS'!$T498))</f>
        <v/>
      </c>
      <c r="E505" s="75" t="str">
        <f>IF($B505="","",INDEX(tblStock[Producto],'91_KPIS'!$T498))</f>
        <v/>
      </c>
      <c r="F505" s="76" t="str">
        <f>IF($B505="","",INDEX(tblStock[Unidad],'91_KPIS'!$T498))</f>
        <v/>
      </c>
      <c r="G505" s="77" t="str">
        <f>IF($B505="","",INDEX(tblStock[StockActual],'91_KPIS'!$T498))</f>
        <v/>
      </c>
      <c r="H505" s="78" t="str">
        <f>IF($B505="","",INDEX(tblStock[StockMin],'91_KPIS'!$T498))</f>
        <v/>
      </c>
      <c r="I505" s="78" t="str">
        <f>IF($B505="","",INDEX(tblStock[StockMax],'91_KPIS'!$T498))</f>
        <v/>
      </c>
      <c r="J505" s="79" t="str">
        <f>IF($B505="","",INDEX(tblStock[Estado],'91_KPIS'!$T498))</f>
        <v/>
      </c>
      <c r="K505" s="80" t="str">
        <f t="shared" si="14"/>
        <v/>
      </c>
      <c r="L505" s="81" t="str">
        <f>IF($B505="","",INDEX(tblStock[CostoUnitario],'91_KPIS'!$T498))</f>
        <v/>
      </c>
      <c r="M505" s="82" t="str">
        <f t="shared" si="15"/>
        <v/>
      </c>
    </row>
    <row r="506" spans="2:13" ht="15.75" x14ac:dyDescent="0.25">
      <c r="B506" s="74" t="str">
        <f>IF('91_KPIS'!$T499="","",492)</f>
        <v/>
      </c>
      <c r="C506" s="75" t="str">
        <f>IF($B506="","",IF(INDEX(tblStock[Proveedor],'91_KPIS'!$T499)="","(Sin proveedor)",INDEX(tblStock[Proveedor],'91_KPIS'!$T499)))</f>
        <v/>
      </c>
      <c r="D506" s="76" t="str">
        <f>IF($B506="","",INDEX(tblStock[SKU],'91_KPIS'!$T499))</f>
        <v/>
      </c>
      <c r="E506" s="75" t="str">
        <f>IF($B506="","",INDEX(tblStock[Producto],'91_KPIS'!$T499))</f>
        <v/>
      </c>
      <c r="F506" s="76" t="str">
        <f>IF($B506="","",INDEX(tblStock[Unidad],'91_KPIS'!$T499))</f>
        <v/>
      </c>
      <c r="G506" s="77" t="str">
        <f>IF($B506="","",INDEX(tblStock[StockActual],'91_KPIS'!$T499))</f>
        <v/>
      </c>
      <c r="H506" s="78" t="str">
        <f>IF($B506="","",INDEX(tblStock[StockMin],'91_KPIS'!$T499))</f>
        <v/>
      </c>
      <c r="I506" s="78" t="str">
        <f>IF($B506="","",INDEX(tblStock[StockMax],'91_KPIS'!$T499))</f>
        <v/>
      </c>
      <c r="J506" s="79" t="str">
        <f>IF($B506="","",INDEX(tblStock[Estado],'91_KPIS'!$T499))</f>
        <v/>
      </c>
      <c r="K506" s="80" t="str">
        <f t="shared" si="14"/>
        <v/>
      </c>
      <c r="L506" s="81" t="str">
        <f>IF($B506="","",INDEX(tblStock[CostoUnitario],'91_KPIS'!$T499))</f>
        <v/>
      </c>
      <c r="M506" s="82" t="str">
        <f t="shared" si="15"/>
        <v/>
      </c>
    </row>
    <row r="507" spans="2:13" ht="15.75" x14ac:dyDescent="0.25">
      <c r="B507" s="74" t="str">
        <f>IF('91_KPIS'!$T500="","",493)</f>
        <v/>
      </c>
      <c r="C507" s="75" t="str">
        <f>IF($B507="","",IF(INDEX(tblStock[Proveedor],'91_KPIS'!$T500)="","(Sin proveedor)",INDEX(tblStock[Proveedor],'91_KPIS'!$T500)))</f>
        <v/>
      </c>
      <c r="D507" s="76" t="str">
        <f>IF($B507="","",INDEX(tblStock[SKU],'91_KPIS'!$T500))</f>
        <v/>
      </c>
      <c r="E507" s="75" t="str">
        <f>IF($B507="","",INDEX(tblStock[Producto],'91_KPIS'!$T500))</f>
        <v/>
      </c>
      <c r="F507" s="76" t="str">
        <f>IF($B507="","",INDEX(tblStock[Unidad],'91_KPIS'!$T500))</f>
        <v/>
      </c>
      <c r="G507" s="77" t="str">
        <f>IF($B507="","",INDEX(tblStock[StockActual],'91_KPIS'!$T500))</f>
        <v/>
      </c>
      <c r="H507" s="78" t="str">
        <f>IF($B507="","",INDEX(tblStock[StockMin],'91_KPIS'!$T500))</f>
        <v/>
      </c>
      <c r="I507" s="78" t="str">
        <f>IF($B507="","",INDEX(tblStock[StockMax],'91_KPIS'!$T500))</f>
        <v/>
      </c>
      <c r="J507" s="79" t="str">
        <f>IF($B507="","",INDEX(tblStock[Estado],'91_KPIS'!$T500))</f>
        <v/>
      </c>
      <c r="K507" s="80" t="str">
        <f t="shared" si="14"/>
        <v/>
      </c>
      <c r="L507" s="81" t="str">
        <f>IF($B507="","",INDEX(tblStock[CostoUnitario],'91_KPIS'!$T500))</f>
        <v/>
      </c>
      <c r="M507" s="82" t="str">
        <f t="shared" si="15"/>
        <v/>
      </c>
    </row>
    <row r="508" spans="2:13" ht="15.75" x14ac:dyDescent="0.25">
      <c r="B508" s="74" t="str">
        <f>IF('91_KPIS'!$T501="","",494)</f>
        <v/>
      </c>
      <c r="C508" s="75" t="str">
        <f>IF($B508="","",IF(INDEX(tblStock[Proveedor],'91_KPIS'!$T501)="","(Sin proveedor)",INDEX(tblStock[Proveedor],'91_KPIS'!$T501)))</f>
        <v/>
      </c>
      <c r="D508" s="76" t="str">
        <f>IF($B508="","",INDEX(tblStock[SKU],'91_KPIS'!$T501))</f>
        <v/>
      </c>
      <c r="E508" s="75" t="str">
        <f>IF($B508="","",INDEX(tblStock[Producto],'91_KPIS'!$T501))</f>
        <v/>
      </c>
      <c r="F508" s="76" t="str">
        <f>IF($B508="","",INDEX(tblStock[Unidad],'91_KPIS'!$T501))</f>
        <v/>
      </c>
      <c r="G508" s="77" t="str">
        <f>IF($B508="","",INDEX(tblStock[StockActual],'91_KPIS'!$T501))</f>
        <v/>
      </c>
      <c r="H508" s="78" t="str">
        <f>IF($B508="","",INDEX(tblStock[StockMin],'91_KPIS'!$T501))</f>
        <v/>
      </c>
      <c r="I508" s="78" t="str">
        <f>IF($B508="","",INDEX(tblStock[StockMax],'91_KPIS'!$T501))</f>
        <v/>
      </c>
      <c r="J508" s="79" t="str">
        <f>IF($B508="","",INDEX(tblStock[Estado],'91_KPIS'!$T501))</f>
        <v/>
      </c>
      <c r="K508" s="80" t="str">
        <f t="shared" si="14"/>
        <v/>
      </c>
      <c r="L508" s="81" t="str">
        <f>IF($B508="","",INDEX(tblStock[CostoUnitario],'91_KPIS'!$T501))</f>
        <v/>
      </c>
      <c r="M508" s="82" t="str">
        <f t="shared" si="15"/>
        <v/>
      </c>
    </row>
    <row r="509" spans="2:13" ht="15.75" x14ac:dyDescent="0.25">
      <c r="B509" s="74" t="str">
        <f>IF('91_KPIS'!$T502="","",495)</f>
        <v/>
      </c>
      <c r="C509" s="75" t="str">
        <f>IF($B509="","",IF(INDEX(tblStock[Proveedor],'91_KPIS'!$T502)="","(Sin proveedor)",INDEX(tblStock[Proveedor],'91_KPIS'!$T502)))</f>
        <v/>
      </c>
      <c r="D509" s="76" t="str">
        <f>IF($B509="","",INDEX(tblStock[SKU],'91_KPIS'!$T502))</f>
        <v/>
      </c>
      <c r="E509" s="75" t="str">
        <f>IF($B509="","",INDEX(tblStock[Producto],'91_KPIS'!$T502))</f>
        <v/>
      </c>
      <c r="F509" s="76" t="str">
        <f>IF($B509="","",INDEX(tblStock[Unidad],'91_KPIS'!$T502))</f>
        <v/>
      </c>
      <c r="G509" s="77" t="str">
        <f>IF($B509="","",INDEX(tblStock[StockActual],'91_KPIS'!$T502))</f>
        <v/>
      </c>
      <c r="H509" s="78" t="str">
        <f>IF($B509="","",INDEX(tblStock[StockMin],'91_KPIS'!$T502))</f>
        <v/>
      </c>
      <c r="I509" s="78" t="str">
        <f>IF($B509="","",INDEX(tblStock[StockMax],'91_KPIS'!$T502))</f>
        <v/>
      </c>
      <c r="J509" s="79" t="str">
        <f>IF($B509="","",INDEX(tblStock[Estado],'91_KPIS'!$T502))</f>
        <v/>
      </c>
      <c r="K509" s="80" t="str">
        <f t="shared" si="14"/>
        <v/>
      </c>
      <c r="L509" s="81" t="str">
        <f>IF($B509="","",INDEX(tblStock[CostoUnitario],'91_KPIS'!$T502))</f>
        <v/>
      </c>
      <c r="M509" s="82" t="str">
        <f t="shared" si="15"/>
        <v/>
      </c>
    </row>
    <row r="510" spans="2:13" ht="15.75" x14ac:dyDescent="0.25">
      <c r="B510" s="74" t="str">
        <f>IF('91_KPIS'!$T503="","",496)</f>
        <v/>
      </c>
      <c r="C510" s="75" t="str">
        <f>IF($B510="","",IF(INDEX(tblStock[Proveedor],'91_KPIS'!$T503)="","(Sin proveedor)",INDEX(tblStock[Proveedor],'91_KPIS'!$T503)))</f>
        <v/>
      </c>
      <c r="D510" s="76" t="str">
        <f>IF($B510="","",INDEX(tblStock[SKU],'91_KPIS'!$T503))</f>
        <v/>
      </c>
      <c r="E510" s="75" t="str">
        <f>IF($B510="","",INDEX(tblStock[Producto],'91_KPIS'!$T503))</f>
        <v/>
      </c>
      <c r="F510" s="76" t="str">
        <f>IF($B510="","",INDEX(tblStock[Unidad],'91_KPIS'!$T503))</f>
        <v/>
      </c>
      <c r="G510" s="77" t="str">
        <f>IF($B510="","",INDEX(tblStock[StockActual],'91_KPIS'!$T503))</f>
        <v/>
      </c>
      <c r="H510" s="78" t="str">
        <f>IF($B510="","",INDEX(tblStock[StockMin],'91_KPIS'!$T503))</f>
        <v/>
      </c>
      <c r="I510" s="78" t="str">
        <f>IF($B510="","",INDEX(tblStock[StockMax],'91_KPIS'!$T503))</f>
        <v/>
      </c>
      <c r="J510" s="79" t="str">
        <f>IF($B510="","",INDEX(tblStock[Estado],'91_KPIS'!$T503))</f>
        <v/>
      </c>
      <c r="K510" s="80" t="str">
        <f t="shared" si="14"/>
        <v/>
      </c>
      <c r="L510" s="81" t="str">
        <f>IF($B510="","",INDEX(tblStock[CostoUnitario],'91_KPIS'!$T503))</f>
        <v/>
      </c>
      <c r="M510" s="82" t="str">
        <f t="shared" si="15"/>
        <v/>
      </c>
    </row>
    <row r="511" spans="2:13" ht="15.75" x14ac:dyDescent="0.25">
      <c r="B511" s="74" t="str">
        <f>IF('91_KPIS'!$T504="","",497)</f>
        <v/>
      </c>
      <c r="C511" s="75" t="str">
        <f>IF($B511="","",IF(INDEX(tblStock[Proveedor],'91_KPIS'!$T504)="","(Sin proveedor)",INDEX(tblStock[Proveedor],'91_KPIS'!$T504)))</f>
        <v/>
      </c>
      <c r="D511" s="76" t="str">
        <f>IF($B511="","",INDEX(tblStock[SKU],'91_KPIS'!$T504))</f>
        <v/>
      </c>
      <c r="E511" s="75" t="str">
        <f>IF($B511="","",INDEX(tblStock[Producto],'91_KPIS'!$T504))</f>
        <v/>
      </c>
      <c r="F511" s="76" t="str">
        <f>IF($B511="","",INDEX(tblStock[Unidad],'91_KPIS'!$T504))</f>
        <v/>
      </c>
      <c r="G511" s="77" t="str">
        <f>IF($B511="","",INDEX(tblStock[StockActual],'91_KPIS'!$T504))</f>
        <v/>
      </c>
      <c r="H511" s="78" t="str">
        <f>IF($B511="","",INDEX(tblStock[StockMin],'91_KPIS'!$T504))</f>
        <v/>
      </c>
      <c r="I511" s="78" t="str">
        <f>IF($B511="","",INDEX(tblStock[StockMax],'91_KPIS'!$T504))</f>
        <v/>
      </c>
      <c r="J511" s="79" t="str">
        <f>IF($B511="","",INDEX(tblStock[Estado],'91_KPIS'!$T504))</f>
        <v/>
      </c>
      <c r="K511" s="80" t="str">
        <f t="shared" si="14"/>
        <v/>
      </c>
      <c r="L511" s="81" t="str">
        <f>IF($B511="","",INDEX(tblStock[CostoUnitario],'91_KPIS'!$T504))</f>
        <v/>
      </c>
      <c r="M511" s="82" t="str">
        <f t="shared" si="15"/>
        <v/>
      </c>
    </row>
    <row r="512" spans="2:13" ht="15.75" x14ac:dyDescent="0.25">
      <c r="B512" s="74" t="str">
        <f>IF('91_KPIS'!$T505="","",498)</f>
        <v/>
      </c>
      <c r="C512" s="75" t="str">
        <f>IF($B512="","",IF(INDEX(tblStock[Proveedor],'91_KPIS'!$T505)="","(Sin proveedor)",INDEX(tblStock[Proveedor],'91_KPIS'!$T505)))</f>
        <v/>
      </c>
      <c r="D512" s="76" t="str">
        <f>IF($B512="","",INDEX(tblStock[SKU],'91_KPIS'!$T505))</f>
        <v/>
      </c>
      <c r="E512" s="75" t="str">
        <f>IF($B512="","",INDEX(tblStock[Producto],'91_KPIS'!$T505))</f>
        <v/>
      </c>
      <c r="F512" s="76" t="str">
        <f>IF($B512="","",INDEX(tblStock[Unidad],'91_KPIS'!$T505))</f>
        <v/>
      </c>
      <c r="G512" s="77" t="str">
        <f>IF($B512="","",INDEX(tblStock[StockActual],'91_KPIS'!$T505))</f>
        <v/>
      </c>
      <c r="H512" s="78" t="str">
        <f>IF($B512="","",INDEX(tblStock[StockMin],'91_KPIS'!$T505))</f>
        <v/>
      </c>
      <c r="I512" s="78" t="str">
        <f>IF($B512="","",INDEX(tblStock[StockMax],'91_KPIS'!$T505))</f>
        <v/>
      </c>
      <c r="J512" s="79" t="str">
        <f>IF($B512="","",INDEX(tblStock[Estado],'91_KPIS'!$T505))</f>
        <v/>
      </c>
      <c r="K512" s="80" t="str">
        <f t="shared" si="14"/>
        <v/>
      </c>
      <c r="L512" s="81" t="str">
        <f>IF($B512="","",INDEX(tblStock[CostoUnitario],'91_KPIS'!$T505))</f>
        <v/>
      </c>
      <c r="M512" s="82" t="str">
        <f t="shared" si="15"/>
        <v/>
      </c>
    </row>
    <row r="513" spans="2:13" ht="15.75" x14ac:dyDescent="0.25">
      <c r="B513" s="74" t="str">
        <f>IF('91_KPIS'!$T506="","",499)</f>
        <v/>
      </c>
      <c r="C513" s="75" t="str">
        <f>IF($B513="","",IF(INDEX(tblStock[Proveedor],'91_KPIS'!$T506)="","(Sin proveedor)",INDEX(tblStock[Proveedor],'91_KPIS'!$T506)))</f>
        <v/>
      </c>
      <c r="D513" s="76" t="str">
        <f>IF($B513="","",INDEX(tblStock[SKU],'91_KPIS'!$T506))</f>
        <v/>
      </c>
      <c r="E513" s="75" t="str">
        <f>IF($B513="","",INDEX(tblStock[Producto],'91_KPIS'!$T506))</f>
        <v/>
      </c>
      <c r="F513" s="76" t="str">
        <f>IF($B513="","",INDEX(tblStock[Unidad],'91_KPIS'!$T506))</f>
        <v/>
      </c>
      <c r="G513" s="77" t="str">
        <f>IF($B513="","",INDEX(tblStock[StockActual],'91_KPIS'!$T506))</f>
        <v/>
      </c>
      <c r="H513" s="78" t="str">
        <f>IF($B513="","",INDEX(tblStock[StockMin],'91_KPIS'!$T506))</f>
        <v/>
      </c>
      <c r="I513" s="78" t="str">
        <f>IF($B513="","",INDEX(tblStock[StockMax],'91_KPIS'!$T506))</f>
        <v/>
      </c>
      <c r="J513" s="79" t="str">
        <f>IF($B513="","",INDEX(tblStock[Estado],'91_KPIS'!$T506))</f>
        <v/>
      </c>
      <c r="K513" s="80" t="str">
        <f t="shared" si="14"/>
        <v/>
      </c>
      <c r="L513" s="81" t="str">
        <f>IF($B513="","",INDEX(tblStock[CostoUnitario],'91_KPIS'!$T506))</f>
        <v/>
      </c>
      <c r="M513" s="82" t="str">
        <f t="shared" si="15"/>
        <v/>
      </c>
    </row>
    <row r="514" spans="2:13" ht="15.75" x14ac:dyDescent="0.25">
      <c r="B514" s="74" t="str">
        <f>IF('91_KPIS'!$T507="","",500)</f>
        <v/>
      </c>
      <c r="C514" s="75" t="str">
        <f>IF($B514="","",IF(INDEX(tblStock[Proveedor],'91_KPIS'!$T507)="","(Sin proveedor)",INDEX(tblStock[Proveedor],'91_KPIS'!$T507)))</f>
        <v/>
      </c>
      <c r="D514" s="76" t="str">
        <f>IF($B514="","",INDEX(tblStock[SKU],'91_KPIS'!$T507))</f>
        <v/>
      </c>
      <c r="E514" s="75" t="str">
        <f>IF($B514="","",INDEX(tblStock[Producto],'91_KPIS'!$T507))</f>
        <v/>
      </c>
      <c r="F514" s="76" t="str">
        <f>IF($B514="","",INDEX(tblStock[Unidad],'91_KPIS'!$T507))</f>
        <v/>
      </c>
      <c r="G514" s="77" t="str">
        <f>IF($B514="","",INDEX(tblStock[StockActual],'91_KPIS'!$T507))</f>
        <v/>
      </c>
      <c r="H514" s="78" t="str">
        <f>IF($B514="","",INDEX(tblStock[StockMin],'91_KPIS'!$T507))</f>
        <v/>
      </c>
      <c r="I514" s="78" t="str">
        <f>IF($B514="","",INDEX(tblStock[StockMax],'91_KPIS'!$T507))</f>
        <v/>
      </c>
      <c r="J514" s="79" t="str">
        <f>IF($B514="","",INDEX(tblStock[Estado],'91_KPIS'!$T507))</f>
        <v/>
      </c>
      <c r="K514" s="80" t="str">
        <f t="shared" si="14"/>
        <v/>
      </c>
      <c r="L514" s="81" t="str">
        <f>IF($B514="","",INDEX(tblStock[CostoUnitario],'91_KPIS'!$T507))</f>
        <v/>
      </c>
      <c r="M514" s="82" t="str">
        <f t="shared" si="15"/>
        <v/>
      </c>
    </row>
  </sheetData>
  <sheetProtection password="930D" sheet="1" objects="1" scenarios="1" formatColumns="0" autoFilter="0"/>
  <autoFilter ref="B14:M514" xr:uid="{00000000-0009-0000-0000-00000B000000}"/>
  <mergeCells count="13">
    <mergeCell ref="B11:E11"/>
    <mergeCell ref="B12:E12"/>
    <mergeCell ref="J7:M7"/>
    <mergeCell ref="J8:M8"/>
    <mergeCell ref="J9:M9"/>
    <mergeCell ref="J10:M10"/>
    <mergeCell ref="J11:M11"/>
    <mergeCell ref="J12:M12"/>
    <mergeCell ref="B7:E7"/>
    <mergeCell ref="B8:E8"/>
    <mergeCell ref="B9:E9"/>
    <mergeCell ref="B10:C10"/>
    <mergeCell ref="D10:E10"/>
  </mergeCells>
  <conditionalFormatting sqref="B15:M514">
    <cfRule type="expression" dxfId="15" priority="8">
      <formula>AND($B15&lt;&gt;"",$C15&lt;&gt;$C14)</formula>
    </cfRule>
    <cfRule type="expression" dxfId="14" priority="14">
      <formula>AND($B15&lt;&gt;"",MOD(ROW(),2)=0)</formula>
    </cfRule>
    <cfRule type="expression" dxfId="13" priority="15">
      <formula>$B15&lt;&gt;""</formula>
    </cfRule>
  </conditionalFormatting>
  <conditionalFormatting sqref="C15:C514">
    <cfRule type="expression" dxfId="12" priority="9">
      <formula>AND($B15&lt;&gt;"",$C15&lt;&gt;$C14)</formula>
    </cfRule>
  </conditionalFormatting>
  <conditionalFormatting sqref="G15:I514">
    <cfRule type="expression" dxfId="11" priority="10">
      <formula>AND(ISNUMBER(G15),G15&lt;&gt;INT(G15))</formula>
    </cfRule>
  </conditionalFormatting>
  <conditionalFormatting sqref="J15:J514">
    <cfRule type="expression" dxfId="10" priority="1">
      <formula>$J15="INCONSISTENTE"</formula>
    </cfRule>
    <cfRule type="expression" dxfId="9" priority="2">
      <formula>$J15="AGOTADO"</formula>
    </cfRule>
    <cfRule type="expression" dxfId="8" priority="3">
      <formula>$J15="CRÍTICO"</formula>
    </cfRule>
    <cfRule type="expression" dxfId="7" priority="4">
      <formula>$J15="BAJO"</formula>
    </cfRule>
    <cfRule type="expression" dxfId="6" priority="5">
      <formula>$J15="ÓPTIMO"</formula>
    </cfRule>
    <cfRule type="expression" dxfId="5" priority="6">
      <formula>$J15="SOBRESTOCK"</formula>
    </cfRule>
    <cfRule type="expression" dxfId="4" priority="7">
      <formula>$J15="INACTIVO"</formula>
    </cfRule>
  </conditionalFormatting>
  <conditionalFormatting sqref="K15:K514">
    <cfRule type="expression" dxfId="3" priority="13">
      <formula>AND(ISNUMBER(K15),K15&lt;&gt;INT(K15))</formula>
    </cfRule>
  </conditionalFormatting>
  <dataValidations count="1">
    <dataValidation type="list" allowBlank="1" showInputMessage="1" showErrorMessage="1" errorTitle="Proveedor no válido" error="Elija (Todos) o un proveedor de la lista." promptTitle="Filtrar por proveedor" prompt="(Todos) o un proveedor. Imprima un pedido por proveedor." sqref="D10" xr:uid="{00000000-0002-0000-0B00-000000000000}">
      <formula1>lstFiltroProv</formula1>
    </dataValidation>
  </dataValidations>
  <pageMargins left="0.4" right="0.4" top="0.6" bottom="0.6" header="0.3" footer="0.3"/>
  <pageSetup fitToHeight="0" orientation="landscape"/>
  <headerFooter>
    <oddFooter>&amp;L&amp;"Segoe UI,Regular"&amp;8M-INV · Pedido sugerido&amp;R&amp;"Segoe UI,Regular"&amp;8Página &amp;P de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4A3B8"/>
  </sheetPr>
  <dimension ref="B1:T507"/>
  <sheetViews>
    <sheetView showGridLines="0" workbookViewId="0"/>
  </sheetViews>
  <sheetFormatPr baseColWidth="10" defaultColWidth="9.140625" defaultRowHeight="15" x14ac:dyDescent="0.25"/>
  <cols>
    <col min="1" max="2" width="3.42578125" customWidth="1"/>
    <col min="3" max="3" width="24.28515625" customWidth="1"/>
    <col min="4" max="4" width="42.85546875" customWidth="1"/>
    <col min="5" max="5" width="17.140625" customWidth="1"/>
    <col min="6" max="6" width="3.42578125" customWidth="1"/>
    <col min="7" max="7" width="8.5703125" customWidth="1"/>
    <col min="8" max="8" width="17.140625" customWidth="1"/>
    <col min="9" max="9" width="24.28515625" customWidth="1"/>
    <col min="10" max="10" width="42.85546875" customWidth="1"/>
    <col min="11" max="11" width="3.42578125" customWidth="1"/>
    <col min="12" max="12" width="8.5703125" customWidth="1"/>
    <col min="13" max="13" width="42.85546875" customWidth="1"/>
    <col min="14" max="14" width="3.42578125" customWidth="1"/>
    <col min="15" max="15" width="8.5703125" customWidth="1"/>
    <col min="16" max="16" width="42.85546875" customWidth="1"/>
    <col min="17" max="17" width="3.42578125" customWidth="1"/>
    <col min="18" max="18" width="28.5703125" customWidth="1"/>
    <col min="19" max="19" width="8.5703125" customWidth="1"/>
    <col min="20" max="20" width="31.42578125" customWidth="1"/>
    <col min="21" max="21" width="3.42578125" customWidth="1"/>
  </cols>
  <sheetData>
    <row r="1" spans="2:20" s="1" customFormat="1" ht="6" customHeight="1" x14ac:dyDescent="0.25"/>
    <row r="2" spans="2:20" s="1" customFormat="1" ht="24" customHeight="1" x14ac:dyDescent="0.25">
      <c r="B2" s="12" t="s">
        <v>222</v>
      </c>
    </row>
    <row r="3" spans="2:20" s="1" customFormat="1" ht="14.25" x14ac:dyDescent="0.25">
      <c r="B3" s="13" t="s">
        <v>223</v>
      </c>
    </row>
    <row r="4" spans="2:20" s="1" customFormat="1" ht="7.5" customHeight="1" x14ac:dyDescent="0.25">
      <c r="J4" s="83" t="s">
        <v>236</v>
      </c>
      <c r="M4" s="83" t="s">
        <v>237</v>
      </c>
      <c r="P4" s="83" t="s">
        <v>237</v>
      </c>
      <c r="T4" s="83" t="s">
        <v>238</v>
      </c>
    </row>
    <row r="5" spans="2:20" s="4" customFormat="1" ht="18" customHeight="1" x14ac:dyDescent="0.25"/>
    <row r="6" spans="2:20" s="4" customFormat="1" ht="12" customHeight="1" x14ac:dyDescent="0.25"/>
    <row r="7" spans="2:20" ht="42.75" x14ac:dyDescent="0.25">
      <c r="C7" s="15" t="s">
        <v>224</v>
      </c>
      <c r="D7" s="15" t="s">
        <v>159</v>
      </c>
      <c r="E7" s="15" t="s">
        <v>225</v>
      </c>
      <c r="G7" s="15" t="s">
        <v>226</v>
      </c>
      <c r="H7" s="15" t="s">
        <v>227</v>
      </c>
      <c r="I7" s="15" t="s">
        <v>228</v>
      </c>
      <c r="J7" s="15" t="s">
        <v>229</v>
      </c>
      <c r="L7" s="15" t="s">
        <v>230</v>
      </c>
      <c r="M7" s="15" t="s">
        <v>231</v>
      </c>
      <c r="O7" s="15" t="s">
        <v>232</v>
      </c>
      <c r="P7" s="15" t="s">
        <v>233</v>
      </c>
      <c r="R7" s="15" t="s">
        <v>234</v>
      </c>
      <c r="S7" s="15" t="s">
        <v>235</v>
      </c>
      <c r="T7" s="15" t="s">
        <v>137</v>
      </c>
    </row>
    <row r="8" spans="2:20" x14ac:dyDescent="0.25">
      <c r="C8" s="84" t="str">
        <f>IF(AND('05_PRODUCTOS'!$B8&lt;&gt;"",'05_PRODUCTOS'!$C8&lt;&gt;"",'05_PRODUCTOS'!$K8&lt;&gt;"NO",ISNUMBER(MATCH('05_PRODUCTOS'!$D8,lstCategorias,0))),'05_PRODUCTOS'!$D8,"")</f>
        <v/>
      </c>
      <c r="D8" s="84" t="str">
        <f>IF($C8="","",'05_PRODUCTOS'!$L8)</f>
        <v/>
      </c>
      <c r="E8" s="84" t="str">
        <f t="shared" ref="E8:E71" si="0">IF($C8="","",MATCH($C8,lstCategorias,0)*1000+COUNTIFS($C$8:$C$507,$C8,$D$8:$D$507,"&lt;"&amp;$D8)+1+ROW()/100000)</f>
        <v/>
      </c>
      <c r="G8" s="85">
        <v>1</v>
      </c>
      <c r="H8" s="84" t="str">
        <f t="shared" ref="H8:H71" si="1">IFERROR(SMALL($E$8:$E$507,$G8),"")</f>
        <v/>
      </c>
      <c r="I8" s="84" t="str">
        <f t="shared" ref="I8:I71" si="2">IF($H8="","",INDEX($C$8:$C$507,MATCH($H8,$E$8:$E$507,0)))</f>
        <v/>
      </c>
      <c r="J8" s="84" t="str">
        <f t="shared" ref="J8:J71" si="3">IF($H8="","",INDEX($D$8:$D$507,MATCH($H8,$E$8:$E$507,0)))</f>
        <v/>
      </c>
      <c r="O8" s="84" t="str">
        <f>IF('05_PRODUCTOS'!$L8="","",IF(AND(OR(kxCategoria="",'05_PRODUCTOS'!$D8=kxCategoria),OR(kxBuscar="",ISNUMBER(SEARCH(kxBuscar,'05_PRODUCTOS'!$L8)))),ROW()-7,""))</f>
        <v/>
      </c>
      <c r="P8" s="84" t="str">
        <f>IFERROR(INDEX('05_PRODUCTOS'!$L$8:$L$507,SMALL($O$8:$O$507,ROW()-7)),"")</f>
        <v/>
      </c>
      <c r="R8" s="86" t="s">
        <v>216</v>
      </c>
      <c r="S8" s="84" t="str">
        <f>IF(INDEX(tblProveedores[Proveedor],1)="","",1)</f>
        <v/>
      </c>
      <c r="T8" s="84" t="str">
        <f>IFERROR(INDEX(tblProveedores[Proveedor],SMALL($S$8:$S$107,1)),"")</f>
        <v/>
      </c>
    </row>
    <row r="9" spans="2:20" x14ac:dyDescent="0.25">
      <c r="C9" s="84" t="str">
        <f>IF(AND('05_PRODUCTOS'!$B9&lt;&gt;"",'05_PRODUCTOS'!$C9&lt;&gt;"",'05_PRODUCTOS'!$K9&lt;&gt;"NO",ISNUMBER(MATCH('05_PRODUCTOS'!$D9,lstCategorias,0))),'05_PRODUCTOS'!$D9,"")</f>
        <v/>
      </c>
      <c r="D9" s="84" t="str">
        <f>IF($C9="","",'05_PRODUCTOS'!$L9)</f>
        <v/>
      </c>
      <c r="E9" s="84" t="str">
        <f t="shared" si="0"/>
        <v/>
      </c>
      <c r="G9" s="85">
        <v>2</v>
      </c>
      <c r="H9" s="84" t="str">
        <f t="shared" si="1"/>
        <v/>
      </c>
      <c r="I9" s="84" t="str">
        <f t="shared" si="2"/>
        <v/>
      </c>
      <c r="J9" s="84" t="str">
        <f t="shared" si="3"/>
        <v/>
      </c>
      <c r="O9" s="84" t="str">
        <f>IF('05_PRODUCTOS'!$L9="","",IF(AND(OR(kxCategoria="",'05_PRODUCTOS'!$D9=kxCategoria),OR(kxBuscar="",ISNUMBER(SEARCH(kxBuscar,'05_PRODUCTOS'!$L9)))),ROW()-7,""))</f>
        <v/>
      </c>
      <c r="P9" s="84" t="str">
        <f>IFERROR(INDEX('05_PRODUCTOS'!$L$8:$L$507,SMALL($O$8:$O$507,ROW()-7)),"")</f>
        <v/>
      </c>
      <c r="R9" s="84" t="str">
        <f t="shared" ref="R9:R40" si="4">$T8</f>
        <v/>
      </c>
      <c r="S9" s="84" t="str">
        <f>IF(INDEX(tblProveedores[Proveedor],2)="","",2)</f>
        <v/>
      </c>
      <c r="T9" s="84" t="str">
        <f>IFERROR(INDEX(tblProveedores[Proveedor],SMALL($S$8:$S$107,2)),"")</f>
        <v/>
      </c>
    </row>
    <row r="10" spans="2:20" x14ac:dyDescent="0.25">
      <c r="C10" s="84" t="str">
        <f>IF(AND('05_PRODUCTOS'!$B10&lt;&gt;"",'05_PRODUCTOS'!$C10&lt;&gt;"",'05_PRODUCTOS'!$K10&lt;&gt;"NO",ISNUMBER(MATCH('05_PRODUCTOS'!$D10,lstCategorias,0))),'05_PRODUCTOS'!$D10,"")</f>
        <v/>
      </c>
      <c r="D10" s="84" t="str">
        <f>IF($C10="","",'05_PRODUCTOS'!$L10)</f>
        <v/>
      </c>
      <c r="E10" s="84" t="str">
        <f t="shared" si="0"/>
        <v/>
      </c>
      <c r="G10" s="85">
        <v>3</v>
      </c>
      <c r="H10" s="84" t="str">
        <f t="shared" si="1"/>
        <v/>
      </c>
      <c r="I10" s="84" t="str">
        <f t="shared" si="2"/>
        <v/>
      </c>
      <c r="J10" s="84" t="str">
        <f t="shared" si="3"/>
        <v/>
      </c>
      <c r="O10" s="84" t="str">
        <f>IF('05_PRODUCTOS'!$L10="","",IF(AND(OR(kxCategoria="",'05_PRODUCTOS'!$D10=kxCategoria),OR(kxBuscar="",ISNUMBER(SEARCH(kxBuscar,'05_PRODUCTOS'!$L10)))),ROW()-7,""))</f>
        <v/>
      </c>
      <c r="P10" s="84" t="str">
        <f>IFERROR(INDEX('05_PRODUCTOS'!$L$8:$L$507,SMALL($O$8:$O$507,ROW()-7)),"")</f>
        <v/>
      </c>
      <c r="R10" s="84" t="str">
        <f t="shared" si="4"/>
        <v/>
      </c>
      <c r="S10" s="84" t="str">
        <f>IF(INDEX(tblProveedores[Proveedor],3)="","",3)</f>
        <v/>
      </c>
      <c r="T10" s="84" t="str">
        <f>IFERROR(INDEX(tblProveedores[Proveedor],SMALL($S$8:$S$107,3)),"")</f>
        <v/>
      </c>
    </row>
    <row r="11" spans="2:20" x14ac:dyDescent="0.25">
      <c r="C11" s="84" t="str">
        <f>IF(AND('05_PRODUCTOS'!$B11&lt;&gt;"",'05_PRODUCTOS'!$C11&lt;&gt;"",'05_PRODUCTOS'!$K11&lt;&gt;"NO",ISNUMBER(MATCH('05_PRODUCTOS'!$D11,lstCategorias,0))),'05_PRODUCTOS'!$D11,"")</f>
        <v/>
      </c>
      <c r="D11" s="84" t="str">
        <f>IF($C11="","",'05_PRODUCTOS'!$L11)</f>
        <v/>
      </c>
      <c r="E11" s="84" t="str">
        <f t="shared" si="0"/>
        <v/>
      </c>
      <c r="G11" s="85">
        <v>4</v>
      </c>
      <c r="H11" s="84" t="str">
        <f t="shared" si="1"/>
        <v/>
      </c>
      <c r="I11" s="84" t="str">
        <f t="shared" si="2"/>
        <v/>
      </c>
      <c r="J11" s="84" t="str">
        <f t="shared" si="3"/>
        <v/>
      </c>
      <c r="O11" s="84" t="str">
        <f>IF('05_PRODUCTOS'!$L11="","",IF(AND(OR(kxCategoria="",'05_PRODUCTOS'!$D11=kxCategoria),OR(kxBuscar="",ISNUMBER(SEARCH(kxBuscar,'05_PRODUCTOS'!$L11)))),ROW()-7,""))</f>
        <v/>
      </c>
      <c r="P11" s="84" t="str">
        <f>IFERROR(INDEX('05_PRODUCTOS'!$L$8:$L$507,SMALL($O$8:$O$507,ROW()-7)),"")</f>
        <v/>
      </c>
      <c r="R11" s="84" t="str">
        <f t="shared" si="4"/>
        <v/>
      </c>
      <c r="S11" s="84" t="str">
        <f>IF(INDEX(tblProveedores[Proveedor],4)="","",4)</f>
        <v/>
      </c>
      <c r="T11" s="84" t="str">
        <f>IFERROR(INDEX(tblProveedores[Proveedor],SMALL($S$8:$S$107,4)),"")</f>
        <v/>
      </c>
    </row>
    <row r="12" spans="2:20" x14ac:dyDescent="0.25">
      <c r="C12" s="84" t="str">
        <f>IF(AND('05_PRODUCTOS'!$B12&lt;&gt;"",'05_PRODUCTOS'!$C12&lt;&gt;"",'05_PRODUCTOS'!$K12&lt;&gt;"NO",ISNUMBER(MATCH('05_PRODUCTOS'!$D12,lstCategorias,0))),'05_PRODUCTOS'!$D12,"")</f>
        <v/>
      </c>
      <c r="D12" s="84" t="str">
        <f>IF($C12="","",'05_PRODUCTOS'!$L12)</f>
        <v/>
      </c>
      <c r="E12" s="84" t="str">
        <f t="shared" si="0"/>
        <v/>
      </c>
      <c r="G12" s="85">
        <v>5</v>
      </c>
      <c r="H12" s="84" t="str">
        <f t="shared" si="1"/>
        <v/>
      </c>
      <c r="I12" s="84" t="str">
        <f t="shared" si="2"/>
        <v/>
      </c>
      <c r="J12" s="84" t="str">
        <f t="shared" si="3"/>
        <v/>
      </c>
      <c r="O12" s="84" t="str">
        <f>IF('05_PRODUCTOS'!$L12="","",IF(AND(OR(kxCategoria="",'05_PRODUCTOS'!$D12=kxCategoria),OR(kxBuscar="",ISNUMBER(SEARCH(kxBuscar,'05_PRODUCTOS'!$L12)))),ROW()-7,""))</f>
        <v/>
      </c>
      <c r="P12" s="84" t="str">
        <f>IFERROR(INDEX('05_PRODUCTOS'!$L$8:$L$507,SMALL($O$8:$O$507,ROW()-7)),"")</f>
        <v/>
      </c>
      <c r="R12" s="84" t="str">
        <f t="shared" si="4"/>
        <v/>
      </c>
      <c r="S12" s="84" t="str">
        <f>IF(INDEX(tblProveedores[Proveedor],5)="","",5)</f>
        <v/>
      </c>
      <c r="T12" s="84" t="str">
        <f>IFERROR(INDEX(tblProveedores[Proveedor],SMALL($S$8:$S$107,5)),"")</f>
        <v/>
      </c>
    </row>
    <row r="13" spans="2:20" x14ac:dyDescent="0.25">
      <c r="C13" s="84" t="str">
        <f>IF(AND('05_PRODUCTOS'!$B13&lt;&gt;"",'05_PRODUCTOS'!$C13&lt;&gt;"",'05_PRODUCTOS'!$K13&lt;&gt;"NO",ISNUMBER(MATCH('05_PRODUCTOS'!$D13,lstCategorias,0))),'05_PRODUCTOS'!$D13,"")</f>
        <v/>
      </c>
      <c r="D13" s="84" t="str">
        <f>IF($C13="","",'05_PRODUCTOS'!$L13)</f>
        <v/>
      </c>
      <c r="E13" s="84" t="str">
        <f t="shared" si="0"/>
        <v/>
      </c>
      <c r="G13" s="85">
        <v>6</v>
      </c>
      <c r="H13" s="84" t="str">
        <f t="shared" si="1"/>
        <v/>
      </c>
      <c r="I13" s="84" t="str">
        <f t="shared" si="2"/>
        <v/>
      </c>
      <c r="J13" s="84" t="str">
        <f t="shared" si="3"/>
        <v/>
      </c>
      <c r="O13" s="84" t="str">
        <f>IF('05_PRODUCTOS'!$L13="","",IF(AND(OR(kxCategoria="",'05_PRODUCTOS'!$D13=kxCategoria),OR(kxBuscar="",ISNUMBER(SEARCH(kxBuscar,'05_PRODUCTOS'!$L13)))),ROW()-7,""))</f>
        <v/>
      </c>
      <c r="P13" s="84" t="str">
        <f>IFERROR(INDEX('05_PRODUCTOS'!$L$8:$L$507,SMALL($O$8:$O$507,ROW()-7)),"")</f>
        <v/>
      </c>
      <c r="R13" s="84" t="str">
        <f t="shared" si="4"/>
        <v/>
      </c>
      <c r="S13" s="84" t="str">
        <f>IF(INDEX(tblProveedores[Proveedor],6)="","",6)</f>
        <v/>
      </c>
      <c r="T13" s="84" t="str">
        <f>IFERROR(INDEX(tblProveedores[Proveedor],SMALL($S$8:$S$107,6)),"")</f>
        <v/>
      </c>
    </row>
    <row r="14" spans="2:20" x14ac:dyDescent="0.25">
      <c r="C14" s="84" t="str">
        <f>IF(AND('05_PRODUCTOS'!$B14&lt;&gt;"",'05_PRODUCTOS'!$C14&lt;&gt;"",'05_PRODUCTOS'!$K14&lt;&gt;"NO",ISNUMBER(MATCH('05_PRODUCTOS'!$D14,lstCategorias,0))),'05_PRODUCTOS'!$D14,"")</f>
        <v/>
      </c>
      <c r="D14" s="84" t="str">
        <f>IF($C14="","",'05_PRODUCTOS'!$L14)</f>
        <v/>
      </c>
      <c r="E14" s="84" t="str">
        <f t="shared" si="0"/>
        <v/>
      </c>
      <c r="G14" s="85">
        <v>7</v>
      </c>
      <c r="H14" s="84" t="str">
        <f t="shared" si="1"/>
        <v/>
      </c>
      <c r="I14" s="84" t="str">
        <f t="shared" si="2"/>
        <v/>
      </c>
      <c r="J14" s="84" t="str">
        <f t="shared" si="3"/>
        <v/>
      </c>
      <c r="O14" s="84" t="str">
        <f>IF('05_PRODUCTOS'!$L14="","",IF(AND(OR(kxCategoria="",'05_PRODUCTOS'!$D14=kxCategoria),OR(kxBuscar="",ISNUMBER(SEARCH(kxBuscar,'05_PRODUCTOS'!$L14)))),ROW()-7,""))</f>
        <v/>
      </c>
      <c r="P14" s="84" t="str">
        <f>IFERROR(INDEX('05_PRODUCTOS'!$L$8:$L$507,SMALL($O$8:$O$507,ROW()-7)),"")</f>
        <v/>
      </c>
      <c r="R14" s="84" t="str">
        <f t="shared" si="4"/>
        <v/>
      </c>
      <c r="S14" s="84" t="str">
        <f>IF(INDEX(tblProveedores[Proveedor],7)="","",7)</f>
        <v/>
      </c>
      <c r="T14" s="84" t="str">
        <f>IFERROR(INDEX(tblProveedores[Proveedor],SMALL($S$8:$S$107,7)),"")</f>
        <v/>
      </c>
    </row>
    <row r="15" spans="2:20" x14ac:dyDescent="0.25">
      <c r="C15" s="84" t="str">
        <f>IF(AND('05_PRODUCTOS'!$B15&lt;&gt;"",'05_PRODUCTOS'!$C15&lt;&gt;"",'05_PRODUCTOS'!$K15&lt;&gt;"NO",ISNUMBER(MATCH('05_PRODUCTOS'!$D15,lstCategorias,0))),'05_PRODUCTOS'!$D15,"")</f>
        <v/>
      </c>
      <c r="D15" s="84" t="str">
        <f>IF($C15="","",'05_PRODUCTOS'!$L15)</f>
        <v/>
      </c>
      <c r="E15" s="84" t="str">
        <f t="shared" si="0"/>
        <v/>
      </c>
      <c r="G15" s="85">
        <v>8</v>
      </c>
      <c r="H15" s="84" t="str">
        <f t="shared" si="1"/>
        <v/>
      </c>
      <c r="I15" s="84" t="str">
        <f t="shared" si="2"/>
        <v/>
      </c>
      <c r="J15" s="84" t="str">
        <f t="shared" si="3"/>
        <v/>
      </c>
      <c r="O15" s="84" t="str">
        <f>IF('05_PRODUCTOS'!$L15="","",IF(AND(OR(kxCategoria="",'05_PRODUCTOS'!$D15=kxCategoria),OR(kxBuscar="",ISNUMBER(SEARCH(kxBuscar,'05_PRODUCTOS'!$L15)))),ROW()-7,""))</f>
        <v/>
      </c>
      <c r="P15" s="84" t="str">
        <f>IFERROR(INDEX('05_PRODUCTOS'!$L$8:$L$507,SMALL($O$8:$O$507,ROW()-7)),"")</f>
        <v/>
      </c>
      <c r="R15" s="84" t="str">
        <f t="shared" si="4"/>
        <v/>
      </c>
      <c r="S15" s="84" t="str">
        <f>IF(INDEX(tblProveedores[Proveedor],8)="","",8)</f>
        <v/>
      </c>
      <c r="T15" s="84" t="str">
        <f>IFERROR(INDEX(tblProveedores[Proveedor],SMALL($S$8:$S$107,8)),"")</f>
        <v/>
      </c>
    </row>
    <row r="16" spans="2:20" x14ac:dyDescent="0.25">
      <c r="C16" s="84" t="str">
        <f>IF(AND('05_PRODUCTOS'!$B16&lt;&gt;"",'05_PRODUCTOS'!$C16&lt;&gt;"",'05_PRODUCTOS'!$K16&lt;&gt;"NO",ISNUMBER(MATCH('05_PRODUCTOS'!$D16,lstCategorias,0))),'05_PRODUCTOS'!$D16,"")</f>
        <v/>
      </c>
      <c r="D16" s="84" t="str">
        <f>IF($C16="","",'05_PRODUCTOS'!$L16)</f>
        <v/>
      </c>
      <c r="E16" s="84" t="str">
        <f t="shared" si="0"/>
        <v/>
      </c>
      <c r="G16" s="85">
        <v>9</v>
      </c>
      <c r="H16" s="84" t="str">
        <f t="shared" si="1"/>
        <v/>
      </c>
      <c r="I16" s="84" t="str">
        <f t="shared" si="2"/>
        <v/>
      </c>
      <c r="J16" s="84" t="str">
        <f t="shared" si="3"/>
        <v/>
      </c>
      <c r="O16" s="84" t="str">
        <f>IF('05_PRODUCTOS'!$L16="","",IF(AND(OR(kxCategoria="",'05_PRODUCTOS'!$D16=kxCategoria),OR(kxBuscar="",ISNUMBER(SEARCH(kxBuscar,'05_PRODUCTOS'!$L16)))),ROW()-7,""))</f>
        <v/>
      </c>
      <c r="P16" s="84" t="str">
        <f>IFERROR(INDEX('05_PRODUCTOS'!$L$8:$L$507,SMALL($O$8:$O$507,ROW()-7)),"")</f>
        <v/>
      </c>
      <c r="R16" s="84" t="str">
        <f t="shared" si="4"/>
        <v/>
      </c>
      <c r="S16" s="84" t="str">
        <f>IF(INDEX(tblProveedores[Proveedor],9)="","",9)</f>
        <v/>
      </c>
      <c r="T16" s="84" t="str">
        <f>IFERROR(INDEX(tblProveedores[Proveedor],SMALL($S$8:$S$107,9)),"")</f>
        <v/>
      </c>
    </row>
    <row r="17" spans="3:20" x14ac:dyDescent="0.25">
      <c r="C17" s="84" t="str">
        <f>IF(AND('05_PRODUCTOS'!$B17&lt;&gt;"",'05_PRODUCTOS'!$C17&lt;&gt;"",'05_PRODUCTOS'!$K17&lt;&gt;"NO",ISNUMBER(MATCH('05_PRODUCTOS'!$D17,lstCategorias,0))),'05_PRODUCTOS'!$D17,"")</f>
        <v/>
      </c>
      <c r="D17" s="84" t="str">
        <f>IF($C17="","",'05_PRODUCTOS'!$L17)</f>
        <v/>
      </c>
      <c r="E17" s="84" t="str">
        <f t="shared" si="0"/>
        <v/>
      </c>
      <c r="G17" s="85">
        <v>10</v>
      </c>
      <c r="H17" s="84" t="str">
        <f t="shared" si="1"/>
        <v/>
      </c>
      <c r="I17" s="84" t="str">
        <f t="shared" si="2"/>
        <v/>
      </c>
      <c r="J17" s="84" t="str">
        <f t="shared" si="3"/>
        <v/>
      </c>
      <c r="O17" s="84" t="str">
        <f>IF('05_PRODUCTOS'!$L17="","",IF(AND(OR(kxCategoria="",'05_PRODUCTOS'!$D17=kxCategoria),OR(kxBuscar="",ISNUMBER(SEARCH(kxBuscar,'05_PRODUCTOS'!$L17)))),ROW()-7,""))</f>
        <v/>
      </c>
      <c r="P17" s="84" t="str">
        <f>IFERROR(INDEX('05_PRODUCTOS'!$L$8:$L$507,SMALL($O$8:$O$507,ROW()-7)),"")</f>
        <v/>
      </c>
      <c r="R17" s="84" t="str">
        <f t="shared" si="4"/>
        <v/>
      </c>
      <c r="S17" s="84" t="str">
        <f>IF(INDEX(tblProveedores[Proveedor],10)="","",10)</f>
        <v/>
      </c>
      <c r="T17" s="84" t="str">
        <f>IFERROR(INDEX(tblProveedores[Proveedor],SMALL($S$8:$S$107,10)),"")</f>
        <v/>
      </c>
    </row>
    <row r="18" spans="3:20" x14ac:dyDescent="0.25">
      <c r="C18" s="84" t="str">
        <f>IF(AND('05_PRODUCTOS'!$B18&lt;&gt;"",'05_PRODUCTOS'!$C18&lt;&gt;"",'05_PRODUCTOS'!$K18&lt;&gt;"NO",ISNUMBER(MATCH('05_PRODUCTOS'!$D18,lstCategorias,0))),'05_PRODUCTOS'!$D18,"")</f>
        <v/>
      </c>
      <c r="D18" s="84" t="str">
        <f>IF($C18="","",'05_PRODUCTOS'!$L18)</f>
        <v/>
      </c>
      <c r="E18" s="84" t="str">
        <f t="shared" si="0"/>
        <v/>
      </c>
      <c r="G18" s="85">
        <v>11</v>
      </c>
      <c r="H18" s="84" t="str">
        <f t="shared" si="1"/>
        <v/>
      </c>
      <c r="I18" s="84" t="str">
        <f t="shared" si="2"/>
        <v/>
      </c>
      <c r="J18" s="84" t="str">
        <f t="shared" si="3"/>
        <v/>
      </c>
      <c r="O18" s="84" t="str">
        <f>IF('05_PRODUCTOS'!$L18="","",IF(AND(OR(kxCategoria="",'05_PRODUCTOS'!$D18=kxCategoria),OR(kxBuscar="",ISNUMBER(SEARCH(kxBuscar,'05_PRODUCTOS'!$L18)))),ROW()-7,""))</f>
        <v/>
      </c>
      <c r="P18" s="84" t="str">
        <f>IFERROR(INDEX('05_PRODUCTOS'!$L$8:$L$507,SMALL($O$8:$O$507,ROW()-7)),"")</f>
        <v/>
      </c>
      <c r="R18" s="84" t="str">
        <f t="shared" si="4"/>
        <v/>
      </c>
      <c r="S18" s="84" t="str">
        <f>IF(INDEX(tblProveedores[Proveedor],11)="","",11)</f>
        <v/>
      </c>
      <c r="T18" s="84" t="str">
        <f>IFERROR(INDEX(tblProveedores[Proveedor],SMALL($S$8:$S$107,11)),"")</f>
        <v/>
      </c>
    </row>
    <row r="19" spans="3:20" x14ac:dyDescent="0.25">
      <c r="C19" s="84" t="str">
        <f>IF(AND('05_PRODUCTOS'!$B19&lt;&gt;"",'05_PRODUCTOS'!$C19&lt;&gt;"",'05_PRODUCTOS'!$K19&lt;&gt;"NO",ISNUMBER(MATCH('05_PRODUCTOS'!$D19,lstCategorias,0))),'05_PRODUCTOS'!$D19,"")</f>
        <v/>
      </c>
      <c r="D19" s="84" t="str">
        <f>IF($C19="","",'05_PRODUCTOS'!$L19)</f>
        <v/>
      </c>
      <c r="E19" s="84" t="str">
        <f t="shared" si="0"/>
        <v/>
      </c>
      <c r="G19" s="85">
        <v>12</v>
      </c>
      <c r="H19" s="84" t="str">
        <f t="shared" si="1"/>
        <v/>
      </c>
      <c r="I19" s="84" t="str">
        <f t="shared" si="2"/>
        <v/>
      </c>
      <c r="J19" s="84" t="str">
        <f t="shared" si="3"/>
        <v/>
      </c>
      <c r="O19" s="84" t="str">
        <f>IF('05_PRODUCTOS'!$L19="","",IF(AND(OR(kxCategoria="",'05_PRODUCTOS'!$D19=kxCategoria),OR(kxBuscar="",ISNUMBER(SEARCH(kxBuscar,'05_PRODUCTOS'!$L19)))),ROW()-7,""))</f>
        <v/>
      </c>
      <c r="P19" s="84" t="str">
        <f>IFERROR(INDEX('05_PRODUCTOS'!$L$8:$L$507,SMALL($O$8:$O$507,ROW()-7)),"")</f>
        <v/>
      </c>
      <c r="R19" s="84" t="str">
        <f t="shared" si="4"/>
        <v/>
      </c>
      <c r="S19" s="84" t="str">
        <f>IF(INDEX(tblProveedores[Proveedor],12)="","",12)</f>
        <v/>
      </c>
      <c r="T19" s="84" t="str">
        <f>IFERROR(INDEX(tblProveedores[Proveedor],SMALL($S$8:$S$107,12)),"")</f>
        <v/>
      </c>
    </row>
    <row r="20" spans="3:20" x14ac:dyDescent="0.25">
      <c r="C20" s="84" t="str">
        <f>IF(AND('05_PRODUCTOS'!$B20&lt;&gt;"",'05_PRODUCTOS'!$C20&lt;&gt;"",'05_PRODUCTOS'!$K20&lt;&gt;"NO",ISNUMBER(MATCH('05_PRODUCTOS'!$D20,lstCategorias,0))),'05_PRODUCTOS'!$D20,"")</f>
        <v/>
      </c>
      <c r="D20" s="84" t="str">
        <f>IF($C20="","",'05_PRODUCTOS'!$L20)</f>
        <v/>
      </c>
      <c r="E20" s="84" t="str">
        <f t="shared" si="0"/>
        <v/>
      </c>
      <c r="G20" s="85">
        <v>13</v>
      </c>
      <c r="H20" s="84" t="str">
        <f t="shared" si="1"/>
        <v/>
      </c>
      <c r="I20" s="84" t="str">
        <f t="shared" si="2"/>
        <v/>
      </c>
      <c r="J20" s="84" t="str">
        <f t="shared" si="3"/>
        <v/>
      </c>
      <c r="O20" s="84" t="str">
        <f>IF('05_PRODUCTOS'!$L20="","",IF(AND(OR(kxCategoria="",'05_PRODUCTOS'!$D20=kxCategoria),OR(kxBuscar="",ISNUMBER(SEARCH(kxBuscar,'05_PRODUCTOS'!$L20)))),ROW()-7,""))</f>
        <v/>
      </c>
      <c r="P20" s="84" t="str">
        <f>IFERROR(INDEX('05_PRODUCTOS'!$L$8:$L$507,SMALL($O$8:$O$507,ROW()-7)),"")</f>
        <v/>
      </c>
      <c r="R20" s="84" t="str">
        <f t="shared" si="4"/>
        <v/>
      </c>
      <c r="S20" s="84" t="str">
        <f>IF(INDEX(tblProveedores[Proveedor],13)="","",13)</f>
        <v/>
      </c>
      <c r="T20" s="84" t="str">
        <f>IFERROR(INDEX(tblProveedores[Proveedor],SMALL($S$8:$S$107,13)),"")</f>
        <v/>
      </c>
    </row>
    <row r="21" spans="3:20" x14ac:dyDescent="0.25">
      <c r="C21" s="84" t="str">
        <f>IF(AND('05_PRODUCTOS'!$B21&lt;&gt;"",'05_PRODUCTOS'!$C21&lt;&gt;"",'05_PRODUCTOS'!$K21&lt;&gt;"NO",ISNUMBER(MATCH('05_PRODUCTOS'!$D21,lstCategorias,0))),'05_PRODUCTOS'!$D21,"")</f>
        <v/>
      </c>
      <c r="D21" s="84" t="str">
        <f>IF($C21="","",'05_PRODUCTOS'!$L21)</f>
        <v/>
      </c>
      <c r="E21" s="84" t="str">
        <f t="shared" si="0"/>
        <v/>
      </c>
      <c r="G21" s="85">
        <v>14</v>
      </c>
      <c r="H21" s="84" t="str">
        <f t="shared" si="1"/>
        <v/>
      </c>
      <c r="I21" s="84" t="str">
        <f t="shared" si="2"/>
        <v/>
      </c>
      <c r="J21" s="84" t="str">
        <f t="shared" si="3"/>
        <v/>
      </c>
      <c r="O21" s="84" t="str">
        <f>IF('05_PRODUCTOS'!$L21="","",IF(AND(OR(kxCategoria="",'05_PRODUCTOS'!$D21=kxCategoria),OR(kxBuscar="",ISNUMBER(SEARCH(kxBuscar,'05_PRODUCTOS'!$L21)))),ROW()-7,""))</f>
        <v/>
      </c>
      <c r="P21" s="84" t="str">
        <f>IFERROR(INDEX('05_PRODUCTOS'!$L$8:$L$507,SMALL($O$8:$O$507,ROW()-7)),"")</f>
        <v/>
      </c>
      <c r="R21" s="84" t="str">
        <f t="shared" si="4"/>
        <v/>
      </c>
      <c r="S21" s="84" t="str">
        <f>IF(INDEX(tblProveedores[Proveedor],14)="","",14)</f>
        <v/>
      </c>
      <c r="T21" s="84" t="str">
        <f>IFERROR(INDEX(tblProveedores[Proveedor],SMALL($S$8:$S$107,14)),"")</f>
        <v/>
      </c>
    </row>
    <row r="22" spans="3:20" x14ac:dyDescent="0.25">
      <c r="C22" s="84" t="str">
        <f>IF(AND('05_PRODUCTOS'!$B22&lt;&gt;"",'05_PRODUCTOS'!$C22&lt;&gt;"",'05_PRODUCTOS'!$K22&lt;&gt;"NO",ISNUMBER(MATCH('05_PRODUCTOS'!$D22,lstCategorias,0))),'05_PRODUCTOS'!$D22,"")</f>
        <v/>
      </c>
      <c r="D22" s="84" t="str">
        <f>IF($C22="","",'05_PRODUCTOS'!$L22)</f>
        <v/>
      </c>
      <c r="E22" s="84" t="str">
        <f t="shared" si="0"/>
        <v/>
      </c>
      <c r="G22" s="85">
        <v>15</v>
      </c>
      <c r="H22" s="84" t="str">
        <f t="shared" si="1"/>
        <v/>
      </c>
      <c r="I22" s="84" t="str">
        <f t="shared" si="2"/>
        <v/>
      </c>
      <c r="J22" s="84" t="str">
        <f t="shared" si="3"/>
        <v/>
      </c>
      <c r="O22" s="84" t="str">
        <f>IF('05_PRODUCTOS'!$L22="","",IF(AND(OR(kxCategoria="",'05_PRODUCTOS'!$D22=kxCategoria),OR(kxBuscar="",ISNUMBER(SEARCH(kxBuscar,'05_PRODUCTOS'!$L22)))),ROW()-7,""))</f>
        <v/>
      </c>
      <c r="P22" s="84" t="str">
        <f>IFERROR(INDEX('05_PRODUCTOS'!$L$8:$L$507,SMALL($O$8:$O$507,ROW()-7)),"")</f>
        <v/>
      </c>
      <c r="R22" s="84" t="str">
        <f t="shared" si="4"/>
        <v/>
      </c>
      <c r="S22" s="84" t="str">
        <f>IF(INDEX(tblProveedores[Proveedor],15)="","",15)</f>
        <v/>
      </c>
      <c r="T22" s="84" t="str">
        <f>IFERROR(INDEX(tblProveedores[Proveedor],SMALL($S$8:$S$107,15)),"")</f>
        <v/>
      </c>
    </row>
    <row r="23" spans="3:20" x14ac:dyDescent="0.25">
      <c r="C23" s="84" t="str">
        <f>IF(AND('05_PRODUCTOS'!$B23&lt;&gt;"",'05_PRODUCTOS'!$C23&lt;&gt;"",'05_PRODUCTOS'!$K23&lt;&gt;"NO",ISNUMBER(MATCH('05_PRODUCTOS'!$D23,lstCategorias,0))),'05_PRODUCTOS'!$D23,"")</f>
        <v/>
      </c>
      <c r="D23" s="84" t="str">
        <f>IF($C23="","",'05_PRODUCTOS'!$L23)</f>
        <v/>
      </c>
      <c r="E23" s="84" t="str">
        <f t="shared" si="0"/>
        <v/>
      </c>
      <c r="G23" s="85">
        <v>16</v>
      </c>
      <c r="H23" s="84" t="str">
        <f t="shared" si="1"/>
        <v/>
      </c>
      <c r="I23" s="84" t="str">
        <f t="shared" si="2"/>
        <v/>
      </c>
      <c r="J23" s="84" t="str">
        <f t="shared" si="3"/>
        <v/>
      </c>
      <c r="O23" s="84" t="str">
        <f>IF('05_PRODUCTOS'!$L23="","",IF(AND(OR(kxCategoria="",'05_PRODUCTOS'!$D23=kxCategoria),OR(kxBuscar="",ISNUMBER(SEARCH(kxBuscar,'05_PRODUCTOS'!$L23)))),ROW()-7,""))</f>
        <v/>
      </c>
      <c r="P23" s="84" t="str">
        <f>IFERROR(INDEX('05_PRODUCTOS'!$L$8:$L$507,SMALL($O$8:$O$507,ROW()-7)),"")</f>
        <v/>
      </c>
      <c r="R23" s="84" t="str">
        <f t="shared" si="4"/>
        <v/>
      </c>
      <c r="S23" s="84" t="str">
        <f>IF(INDEX(tblProveedores[Proveedor],16)="","",16)</f>
        <v/>
      </c>
      <c r="T23" s="84" t="str">
        <f>IFERROR(INDEX(tblProveedores[Proveedor],SMALL($S$8:$S$107,16)),"")</f>
        <v/>
      </c>
    </row>
    <row r="24" spans="3:20" x14ac:dyDescent="0.25">
      <c r="C24" s="84" t="str">
        <f>IF(AND('05_PRODUCTOS'!$B24&lt;&gt;"",'05_PRODUCTOS'!$C24&lt;&gt;"",'05_PRODUCTOS'!$K24&lt;&gt;"NO",ISNUMBER(MATCH('05_PRODUCTOS'!$D24,lstCategorias,0))),'05_PRODUCTOS'!$D24,"")</f>
        <v/>
      </c>
      <c r="D24" s="84" t="str">
        <f>IF($C24="","",'05_PRODUCTOS'!$L24)</f>
        <v/>
      </c>
      <c r="E24" s="84" t="str">
        <f t="shared" si="0"/>
        <v/>
      </c>
      <c r="G24" s="85">
        <v>17</v>
      </c>
      <c r="H24" s="84" t="str">
        <f t="shared" si="1"/>
        <v/>
      </c>
      <c r="I24" s="84" t="str">
        <f t="shared" si="2"/>
        <v/>
      </c>
      <c r="J24" s="84" t="str">
        <f t="shared" si="3"/>
        <v/>
      </c>
      <c r="O24" s="84" t="str">
        <f>IF('05_PRODUCTOS'!$L24="","",IF(AND(OR(kxCategoria="",'05_PRODUCTOS'!$D24=kxCategoria),OR(kxBuscar="",ISNUMBER(SEARCH(kxBuscar,'05_PRODUCTOS'!$L24)))),ROW()-7,""))</f>
        <v/>
      </c>
      <c r="P24" s="84" t="str">
        <f>IFERROR(INDEX('05_PRODUCTOS'!$L$8:$L$507,SMALL($O$8:$O$507,ROW()-7)),"")</f>
        <v/>
      </c>
      <c r="R24" s="84" t="str">
        <f t="shared" si="4"/>
        <v/>
      </c>
      <c r="S24" s="84" t="str">
        <f>IF(INDEX(tblProveedores[Proveedor],17)="","",17)</f>
        <v/>
      </c>
      <c r="T24" s="84" t="str">
        <f>IFERROR(INDEX(tblProveedores[Proveedor],SMALL($S$8:$S$107,17)),"")</f>
        <v/>
      </c>
    </row>
    <row r="25" spans="3:20" x14ac:dyDescent="0.25">
      <c r="C25" s="84" t="str">
        <f>IF(AND('05_PRODUCTOS'!$B25&lt;&gt;"",'05_PRODUCTOS'!$C25&lt;&gt;"",'05_PRODUCTOS'!$K25&lt;&gt;"NO",ISNUMBER(MATCH('05_PRODUCTOS'!$D25,lstCategorias,0))),'05_PRODUCTOS'!$D25,"")</f>
        <v/>
      </c>
      <c r="D25" s="84" t="str">
        <f>IF($C25="","",'05_PRODUCTOS'!$L25)</f>
        <v/>
      </c>
      <c r="E25" s="84" t="str">
        <f t="shared" si="0"/>
        <v/>
      </c>
      <c r="G25" s="85">
        <v>18</v>
      </c>
      <c r="H25" s="84" t="str">
        <f t="shared" si="1"/>
        <v/>
      </c>
      <c r="I25" s="84" t="str">
        <f t="shared" si="2"/>
        <v/>
      </c>
      <c r="J25" s="84" t="str">
        <f t="shared" si="3"/>
        <v/>
      </c>
      <c r="O25" s="84" t="str">
        <f>IF('05_PRODUCTOS'!$L25="","",IF(AND(OR(kxCategoria="",'05_PRODUCTOS'!$D25=kxCategoria),OR(kxBuscar="",ISNUMBER(SEARCH(kxBuscar,'05_PRODUCTOS'!$L25)))),ROW()-7,""))</f>
        <v/>
      </c>
      <c r="P25" s="84" t="str">
        <f>IFERROR(INDEX('05_PRODUCTOS'!$L$8:$L$507,SMALL($O$8:$O$507,ROW()-7)),"")</f>
        <v/>
      </c>
      <c r="R25" s="84" t="str">
        <f t="shared" si="4"/>
        <v/>
      </c>
      <c r="S25" s="84" t="str">
        <f>IF(INDEX(tblProveedores[Proveedor],18)="","",18)</f>
        <v/>
      </c>
      <c r="T25" s="84" t="str">
        <f>IFERROR(INDEX(tblProveedores[Proveedor],SMALL($S$8:$S$107,18)),"")</f>
        <v/>
      </c>
    </row>
    <row r="26" spans="3:20" x14ac:dyDescent="0.25">
      <c r="C26" s="84" t="str">
        <f>IF(AND('05_PRODUCTOS'!$B26&lt;&gt;"",'05_PRODUCTOS'!$C26&lt;&gt;"",'05_PRODUCTOS'!$K26&lt;&gt;"NO",ISNUMBER(MATCH('05_PRODUCTOS'!$D26,lstCategorias,0))),'05_PRODUCTOS'!$D26,"")</f>
        <v/>
      </c>
      <c r="D26" s="84" t="str">
        <f>IF($C26="","",'05_PRODUCTOS'!$L26)</f>
        <v/>
      </c>
      <c r="E26" s="84" t="str">
        <f t="shared" si="0"/>
        <v/>
      </c>
      <c r="G26" s="85">
        <v>19</v>
      </c>
      <c r="H26" s="84" t="str">
        <f t="shared" si="1"/>
        <v/>
      </c>
      <c r="I26" s="84" t="str">
        <f t="shared" si="2"/>
        <v/>
      </c>
      <c r="J26" s="84" t="str">
        <f t="shared" si="3"/>
        <v/>
      </c>
      <c r="O26" s="84" t="str">
        <f>IF('05_PRODUCTOS'!$L26="","",IF(AND(OR(kxCategoria="",'05_PRODUCTOS'!$D26=kxCategoria),OR(kxBuscar="",ISNUMBER(SEARCH(kxBuscar,'05_PRODUCTOS'!$L26)))),ROW()-7,""))</f>
        <v/>
      </c>
      <c r="P26" s="84" t="str">
        <f>IFERROR(INDEX('05_PRODUCTOS'!$L$8:$L$507,SMALL($O$8:$O$507,ROW()-7)),"")</f>
        <v/>
      </c>
      <c r="R26" s="84" t="str">
        <f t="shared" si="4"/>
        <v/>
      </c>
      <c r="S26" s="84" t="str">
        <f>IF(INDEX(tblProveedores[Proveedor],19)="","",19)</f>
        <v/>
      </c>
      <c r="T26" s="84" t="str">
        <f>IFERROR(INDEX(tblProveedores[Proveedor],SMALL($S$8:$S$107,19)),"")</f>
        <v/>
      </c>
    </row>
    <row r="27" spans="3:20" x14ac:dyDescent="0.25">
      <c r="C27" s="84" t="str">
        <f>IF(AND('05_PRODUCTOS'!$B27&lt;&gt;"",'05_PRODUCTOS'!$C27&lt;&gt;"",'05_PRODUCTOS'!$K27&lt;&gt;"NO",ISNUMBER(MATCH('05_PRODUCTOS'!$D27,lstCategorias,0))),'05_PRODUCTOS'!$D27,"")</f>
        <v/>
      </c>
      <c r="D27" s="84" t="str">
        <f>IF($C27="","",'05_PRODUCTOS'!$L27)</f>
        <v/>
      </c>
      <c r="E27" s="84" t="str">
        <f t="shared" si="0"/>
        <v/>
      </c>
      <c r="G27" s="85">
        <v>20</v>
      </c>
      <c r="H27" s="84" t="str">
        <f t="shared" si="1"/>
        <v/>
      </c>
      <c r="I27" s="84" t="str">
        <f t="shared" si="2"/>
        <v/>
      </c>
      <c r="J27" s="84" t="str">
        <f t="shared" si="3"/>
        <v/>
      </c>
      <c r="O27" s="84" t="str">
        <f>IF('05_PRODUCTOS'!$L27="","",IF(AND(OR(kxCategoria="",'05_PRODUCTOS'!$D27=kxCategoria),OR(kxBuscar="",ISNUMBER(SEARCH(kxBuscar,'05_PRODUCTOS'!$L27)))),ROW()-7,""))</f>
        <v/>
      </c>
      <c r="P27" s="84" t="str">
        <f>IFERROR(INDEX('05_PRODUCTOS'!$L$8:$L$507,SMALL($O$8:$O$507,ROW()-7)),"")</f>
        <v/>
      </c>
      <c r="R27" s="84" t="str">
        <f t="shared" si="4"/>
        <v/>
      </c>
      <c r="S27" s="84" t="str">
        <f>IF(INDEX(tblProveedores[Proveedor],20)="","",20)</f>
        <v/>
      </c>
      <c r="T27" s="84" t="str">
        <f>IFERROR(INDEX(tblProveedores[Proveedor],SMALL($S$8:$S$107,20)),"")</f>
        <v/>
      </c>
    </row>
    <row r="28" spans="3:20" x14ac:dyDescent="0.25">
      <c r="C28" s="84" t="str">
        <f>IF(AND('05_PRODUCTOS'!$B28&lt;&gt;"",'05_PRODUCTOS'!$C28&lt;&gt;"",'05_PRODUCTOS'!$K28&lt;&gt;"NO",ISNUMBER(MATCH('05_PRODUCTOS'!$D28,lstCategorias,0))),'05_PRODUCTOS'!$D28,"")</f>
        <v/>
      </c>
      <c r="D28" s="84" t="str">
        <f>IF($C28="","",'05_PRODUCTOS'!$L28)</f>
        <v/>
      </c>
      <c r="E28" s="84" t="str">
        <f t="shared" si="0"/>
        <v/>
      </c>
      <c r="G28" s="85">
        <v>21</v>
      </c>
      <c r="H28" s="84" t="str">
        <f t="shared" si="1"/>
        <v/>
      </c>
      <c r="I28" s="84" t="str">
        <f t="shared" si="2"/>
        <v/>
      </c>
      <c r="J28" s="84" t="str">
        <f t="shared" si="3"/>
        <v/>
      </c>
      <c r="O28" s="84" t="str">
        <f>IF('05_PRODUCTOS'!$L28="","",IF(AND(OR(kxCategoria="",'05_PRODUCTOS'!$D28=kxCategoria),OR(kxBuscar="",ISNUMBER(SEARCH(kxBuscar,'05_PRODUCTOS'!$L28)))),ROW()-7,""))</f>
        <v/>
      </c>
      <c r="P28" s="84" t="str">
        <f>IFERROR(INDEX('05_PRODUCTOS'!$L$8:$L$507,SMALL($O$8:$O$507,ROW()-7)),"")</f>
        <v/>
      </c>
      <c r="R28" s="84" t="str">
        <f t="shared" si="4"/>
        <v/>
      </c>
      <c r="S28" s="84" t="str">
        <f>IF(INDEX(tblProveedores[Proveedor],21)="","",21)</f>
        <v/>
      </c>
      <c r="T28" s="84" t="str">
        <f>IFERROR(INDEX(tblProveedores[Proveedor],SMALL($S$8:$S$107,21)),"")</f>
        <v/>
      </c>
    </row>
    <row r="29" spans="3:20" x14ac:dyDescent="0.25">
      <c r="C29" s="84" t="str">
        <f>IF(AND('05_PRODUCTOS'!$B29&lt;&gt;"",'05_PRODUCTOS'!$C29&lt;&gt;"",'05_PRODUCTOS'!$K29&lt;&gt;"NO",ISNUMBER(MATCH('05_PRODUCTOS'!$D29,lstCategorias,0))),'05_PRODUCTOS'!$D29,"")</f>
        <v/>
      </c>
      <c r="D29" s="84" t="str">
        <f>IF($C29="","",'05_PRODUCTOS'!$L29)</f>
        <v/>
      </c>
      <c r="E29" s="84" t="str">
        <f t="shared" si="0"/>
        <v/>
      </c>
      <c r="G29" s="85">
        <v>22</v>
      </c>
      <c r="H29" s="84" t="str">
        <f t="shared" si="1"/>
        <v/>
      </c>
      <c r="I29" s="84" t="str">
        <f t="shared" si="2"/>
        <v/>
      </c>
      <c r="J29" s="84" t="str">
        <f t="shared" si="3"/>
        <v/>
      </c>
      <c r="O29" s="84" t="str">
        <f>IF('05_PRODUCTOS'!$L29="","",IF(AND(OR(kxCategoria="",'05_PRODUCTOS'!$D29=kxCategoria),OR(kxBuscar="",ISNUMBER(SEARCH(kxBuscar,'05_PRODUCTOS'!$L29)))),ROW()-7,""))</f>
        <v/>
      </c>
      <c r="P29" s="84" t="str">
        <f>IFERROR(INDEX('05_PRODUCTOS'!$L$8:$L$507,SMALL($O$8:$O$507,ROW()-7)),"")</f>
        <v/>
      </c>
      <c r="R29" s="84" t="str">
        <f t="shared" si="4"/>
        <v/>
      </c>
      <c r="S29" s="84" t="str">
        <f>IF(INDEX(tblProveedores[Proveedor],22)="","",22)</f>
        <v/>
      </c>
      <c r="T29" s="84" t="str">
        <f>IFERROR(INDEX(tblProveedores[Proveedor],SMALL($S$8:$S$107,22)),"")</f>
        <v/>
      </c>
    </row>
    <row r="30" spans="3:20" x14ac:dyDescent="0.25">
      <c r="C30" s="84" t="str">
        <f>IF(AND('05_PRODUCTOS'!$B30&lt;&gt;"",'05_PRODUCTOS'!$C30&lt;&gt;"",'05_PRODUCTOS'!$K30&lt;&gt;"NO",ISNUMBER(MATCH('05_PRODUCTOS'!$D30,lstCategorias,0))),'05_PRODUCTOS'!$D30,"")</f>
        <v/>
      </c>
      <c r="D30" s="84" t="str">
        <f>IF($C30="","",'05_PRODUCTOS'!$L30)</f>
        <v/>
      </c>
      <c r="E30" s="84" t="str">
        <f t="shared" si="0"/>
        <v/>
      </c>
      <c r="G30" s="85">
        <v>23</v>
      </c>
      <c r="H30" s="84" t="str">
        <f t="shared" si="1"/>
        <v/>
      </c>
      <c r="I30" s="84" t="str">
        <f t="shared" si="2"/>
        <v/>
      </c>
      <c r="J30" s="84" t="str">
        <f t="shared" si="3"/>
        <v/>
      </c>
      <c r="O30" s="84" t="str">
        <f>IF('05_PRODUCTOS'!$L30="","",IF(AND(OR(kxCategoria="",'05_PRODUCTOS'!$D30=kxCategoria),OR(kxBuscar="",ISNUMBER(SEARCH(kxBuscar,'05_PRODUCTOS'!$L30)))),ROW()-7,""))</f>
        <v/>
      </c>
      <c r="P30" s="84" t="str">
        <f>IFERROR(INDEX('05_PRODUCTOS'!$L$8:$L$507,SMALL($O$8:$O$507,ROW()-7)),"")</f>
        <v/>
      </c>
      <c r="R30" s="84" t="str">
        <f t="shared" si="4"/>
        <v/>
      </c>
      <c r="S30" s="84" t="str">
        <f>IF(INDEX(tblProveedores[Proveedor],23)="","",23)</f>
        <v/>
      </c>
      <c r="T30" s="84" t="str">
        <f>IFERROR(INDEX(tblProveedores[Proveedor],SMALL($S$8:$S$107,23)),"")</f>
        <v/>
      </c>
    </row>
    <row r="31" spans="3:20" x14ac:dyDescent="0.25">
      <c r="C31" s="84" t="str">
        <f>IF(AND('05_PRODUCTOS'!$B31&lt;&gt;"",'05_PRODUCTOS'!$C31&lt;&gt;"",'05_PRODUCTOS'!$K31&lt;&gt;"NO",ISNUMBER(MATCH('05_PRODUCTOS'!$D31,lstCategorias,0))),'05_PRODUCTOS'!$D31,"")</f>
        <v/>
      </c>
      <c r="D31" s="84" t="str">
        <f>IF($C31="","",'05_PRODUCTOS'!$L31)</f>
        <v/>
      </c>
      <c r="E31" s="84" t="str">
        <f t="shared" si="0"/>
        <v/>
      </c>
      <c r="G31" s="85">
        <v>24</v>
      </c>
      <c r="H31" s="84" t="str">
        <f t="shared" si="1"/>
        <v/>
      </c>
      <c r="I31" s="84" t="str">
        <f t="shared" si="2"/>
        <v/>
      </c>
      <c r="J31" s="84" t="str">
        <f t="shared" si="3"/>
        <v/>
      </c>
      <c r="O31" s="84" t="str">
        <f>IF('05_PRODUCTOS'!$L31="","",IF(AND(OR(kxCategoria="",'05_PRODUCTOS'!$D31=kxCategoria),OR(kxBuscar="",ISNUMBER(SEARCH(kxBuscar,'05_PRODUCTOS'!$L31)))),ROW()-7,""))</f>
        <v/>
      </c>
      <c r="P31" s="84" t="str">
        <f>IFERROR(INDEX('05_PRODUCTOS'!$L$8:$L$507,SMALL($O$8:$O$507,ROW()-7)),"")</f>
        <v/>
      </c>
      <c r="R31" s="84" t="str">
        <f t="shared" si="4"/>
        <v/>
      </c>
      <c r="S31" s="84" t="str">
        <f>IF(INDEX(tblProveedores[Proveedor],24)="","",24)</f>
        <v/>
      </c>
      <c r="T31" s="84" t="str">
        <f>IFERROR(INDEX(tblProveedores[Proveedor],SMALL($S$8:$S$107,24)),"")</f>
        <v/>
      </c>
    </row>
    <row r="32" spans="3:20" x14ac:dyDescent="0.25">
      <c r="C32" s="84" t="str">
        <f>IF(AND('05_PRODUCTOS'!$B32&lt;&gt;"",'05_PRODUCTOS'!$C32&lt;&gt;"",'05_PRODUCTOS'!$K32&lt;&gt;"NO",ISNUMBER(MATCH('05_PRODUCTOS'!$D32,lstCategorias,0))),'05_PRODUCTOS'!$D32,"")</f>
        <v/>
      </c>
      <c r="D32" s="84" t="str">
        <f>IF($C32="","",'05_PRODUCTOS'!$L32)</f>
        <v/>
      </c>
      <c r="E32" s="84" t="str">
        <f t="shared" si="0"/>
        <v/>
      </c>
      <c r="G32" s="85">
        <v>25</v>
      </c>
      <c r="H32" s="84" t="str">
        <f t="shared" si="1"/>
        <v/>
      </c>
      <c r="I32" s="84" t="str">
        <f t="shared" si="2"/>
        <v/>
      </c>
      <c r="J32" s="84" t="str">
        <f t="shared" si="3"/>
        <v/>
      </c>
      <c r="O32" s="84" t="str">
        <f>IF('05_PRODUCTOS'!$L32="","",IF(AND(OR(kxCategoria="",'05_PRODUCTOS'!$D32=kxCategoria),OR(kxBuscar="",ISNUMBER(SEARCH(kxBuscar,'05_PRODUCTOS'!$L32)))),ROW()-7,""))</f>
        <v/>
      </c>
      <c r="P32" s="84" t="str">
        <f>IFERROR(INDEX('05_PRODUCTOS'!$L$8:$L$507,SMALL($O$8:$O$507,ROW()-7)),"")</f>
        <v/>
      </c>
      <c r="R32" s="84" t="str">
        <f t="shared" si="4"/>
        <v/>
      </c>
      <c r="S32" s="84" t="str">
        <f>IF(INDEX(tblProveedores[Proveedor],25)="","",25)</f>
        <v/>
      </c>
      <c r="T32" s="84" t="str">
        <f>IFERROR(INDEX(tblProveedores[Proveedor],SMALL($S$8:$S$107,25)),"")</f>
        <v/>
      </c>
    </row>
    <row r="33" spans="3:20" x14ac:dyDescent="0.25">
      <c r="C33" s="84" t="str">
        <f>IF(AND('05_PRODUCTOS'!$B33&lt;&gt;"",'05_PRODUCTOS'!$C33&lt;&gt;"",'05_PRODUCTOS'!$K33&lt;&gt;"NO",ISNUMBER(MATCH('05_PRODUCTOS'!$D33,lstCategorias,0))),'05_PRODUCTOS'!$D33,"")</f>
        <v/>
      </c>
      <c r="D33" s="84" t="str">
        <f>IF($C33="","",'05_PRODUCTOS'!$L33)</f>
        <v/>
      </c>
      <c r="E33" s="84" t="str">
        <f t="shared" si="0"/>
        <v/>
      </c>
      <c r="G33" s="85">
        <v>26</v>
      </c>
      <c r="H33" s="84" t="str">
        <f t="shared" si="1"/>
        <v/>
      </c>
      <c r="I33" s="84" t="str">
        <f t="shared" si="2"/>
        <v/>
      </c>
      <c r="J33" s="84" t="str">
        <f t="shared" si="3"/>
        <v/>
      </c>
      <c r="O33" s="84" t="str">
        <f>IF('05_PRODUCTOS'!$L33="","",IF(AND(OR(kxCategoria="",'05_PRODUCTOS'!$D33=kxCategoria),OR(kxBuscar="",ISNUMBER(SEARCH(kxBuscar,'05_PRODUCTOS'!$L33)))),ROW()-7,""))</f>
        <v/>
      </c>
      <c r="P33" s="84" t="str">
        <f>IFERROR(INDEX('05_PRODUCTOS'!$L$8:$L$507,SMALL($O$8:$O$507,ROW()-7)),"")</f>
        <v/>
      </c>
      <c r="R33" s="84" t="str">
        <f t="shared" si="4"/>
        <v/>
      </c>
      <c r="S33" s="84" t="str">
        <f>IF(INDEX(tblProveedores[Proveedor],26)="","",26)</f>
        <v/>
      </c>
      <c r="T33" s="84" t="str">
        <f>IFERROR(INDEX(tblProveedores[Proveedor],SMALL($S$8:$S$107,26)),"")</f>
        <v/>
      </c>
    </row>
    <row r="34" spans="3:20" x14ac:dyDescent="0.25">
      <c r="C34" s="84" t="str">
        <f>IF(AND('05_PRODUCTOS'!$B34&lt;&gt;"",'05_PRODUCTOS'!$C34&lt;&gt;"",'05_PRODUCTOS'!$K34&lt;&gt;"NO",ISNUMBER(MATCH('05_PRODUCTOS'!$D34,lstCategorias,0))),'05_PRODUCTOS'!$D34,"")</f>
        <v/>
      </c>
      <c r="D34" s="84" t="str">
        <f>IF($C34="","",'05_PRODUCTOS'!$L34)</f>
        <v/>
      </c>
      <c r="E34" s="84" t="str">
        <f t="shared" si="0"/>
        <v/>
      </c>
      <c r="G34" s="85">
        <v>27</v>
      </c>
      <c r="H34" s="84" t="str">
        <f t="shared" si="1"/>
        <v/>
      </c>
      <c r="I34" s="84" t="str">
        <f t="shared" si="2"/>
        <v/>
      </c>
      <c r="J34" s="84" t="str">
        <f t="shared" si="3"/>
        <v/>
      </c>
      <c r="O34" s="84" t="str">
        <f>IF('05_PRODUCTOS'!$L34="","",IF(AND(OR(kxCategoria="",'05_PRODUCTOS'!$D34=kxCategoria),OR(kxBuscar="",ISNUMBER(SEARCH(kxBuscar,'05_PRODUCTOS'!$L34)))),ROW()-7,""))</f>
        <v/>
      </c>
      <c r="P34" s="84" t="str">
        <f>IFERROR(INDEX('05_PRODUCTOS'!$L$8:$L$507,SMALL($O$8:$O$507,ROW()-7)),"")</f>
        <v/>
      </c>
      <c r="R34" s="84" t="str">
        <f t="shared" si="4"/>
        <v/>
      </c>
      <c r="S34" s="84" t="str">
        <f>IF(INDEX(tblProveedores[Proveedor],27)="","",27)</f>
        <v/>
      </c>
      <c r="T34" s="84" t="str">
        <f>IFERROR(INDEX(tblProveedores[Proveedor],SMALL($S$8:$S$107,27)),"")</f>
        <v/>
      </c>
    </row>
    <row r="35" spans="3:20" x14ac:dyDescent="0.25">
      <c r="C35" s="84" t="str">
        <f>IF(AND('05_PRODUCTOS'!$B35&lt;&gt;"",'05_PRODUCTOS'!$C35&lt;&gt;"",'05_PRODUCTOS'!$K35&lt;&gt;"NO",ISNUMBER(MATCH('05_PRODUCTOS'!$D35,lstCategorias,0))),'05_PRODUCTOS'!$D35,"")</f>
        <v/>
      </c>
      <c r="D35" s="84" t="str">
        <f>IF($C35="","",'05_PRODUCTOS'!$L35)</f>
        <v/>
      </c>
      <c r="E35" s="84" t="str">
        <f t="shared" si="0"/>
        <v/>
      </c>
      <c r="G35" s="85">
        <v>28</v>
      </c>
      <c r="H35" s="84" t="str">
        <f t="shared" si="1"/>
        <v/>
      </c>
      <c r="I35" s="84" t="str">
        <f t="shared" si="2"/>
        <v/>
      </c>
      <c r="J35" s="84" t="str">
        <f t="shared" si="3"/>
        <v/>
      </c>
      <c r="O35" s="84" t="str">
        <f>IF('05_PRODUCTOS'!$L35="","",IF(AND(OR(kxCategoria="",'05_PRODUCTOS'!$D35=kxCategoria),OR(kxBuscar="",ISNUMBER(SEARCH(kxBuscar,'05_PRODUCTOS'!$L35)))),ROW()-7,""))</f>
        <v/>
      </c>
      <c r="P35" s="84" t="str">
        <f>IFERROR(INDEX('05_PRODUCTOS'!$L$8:$L$507,SMALL($O$8:$O$507,ROW()-7)),"")</f>
        <v/>
      </c>
      <c r="R35" s="84" t="str">
        <f t="shared" si="4"/>
        <v/>
      </c>
      <c r="S35" s="84" t="str">
        <f>IF(INDEX(tblProveedores[Proveedor],28)="","",28)</f>
        <v/>
      </c>
      <c r="T35" s="84" t="str">
        <f>IFERROR(INDEX(tblProveedores[Proveedor],SMALL($S$8:$S$107,28)),"")</f>
        <v/>
      </c>
    </row>
    <row r="36" spans="3:20" x14ac:dyDescent="0.25">
      <c r="C36" s="84" t="str">
        <f>IF(AND('05_PRODUCTOS'!$B36&lt;&gt;"",'05_PRODUCTOS'!$C36&lt;&gt;"",'05_PRODUCTOS'!$K36&lt;&gt;"NO",ISNUMBER(MATCH('05_PRODUCTOS'!$D36,lstCategorias,0))),'05_PRODUCTOS'!$D36,"")</f>
        <v/>
      </c>
      <c r="D36" s="84" t="str">
        <f>IF($C36="","",'05_PRODUCTOS'!$L36)</f>
        <v/>
      </c>
      <c r="E36" s="84" t="str">
        <f t="shared" si="0"/>
        <v/>
      </c>
      <c r="G36" s="85">
        <v>29</v>
      </c>
      <c r="H36" s="84" t="str">
        <f t="shared" si="1"/>
        <v/>
      </c>
      <c r="I36" s="84" t="str">
        <f t="shared" si="2"/>
        <v/>
      </c>
      <c r="J36" s="84" t="str">
        <f t="shared" si="3"/>
        <v/>
      </c>
      <c r="O36" s="84" t="str">
        <f>IF('05_PRODUCTOS'!$L36="","",IF(AND(OR(kxCategoria="",'05_PRODUCTOS'!$D36=kxCategoria),OR(kxBuscar="",ISNUMBER(SEARCH(kxBuscar,'05_PRODUCTOS'!$L36)))),ROW()-7,""))</f>
        <v/>
      </c>
      <c r="P36" s="84" t="str">
        <f>IFERROR(INDEX('05_PRODUCTOS'!$L$8:$L$507,SMALL($O$8:$O$507,ROW()-7)),"")</f>
        <v/>
      </c>
      <c r="R36" s="84" t="str">
        <f t="shared" si="4"/>
        <v/>
      </c>
      <c r="S36" s="84" t="str">
        <f>IF(INDEX(tblProveedores[Proveedor],29)="","",29)</f>
        <v/>
      </c>
      <c r="T36" s="84" t="str">
        <f>IFERROR(INDEX(tblProveedores[Proveedor],SMALL($S$8:$S$107,29)),"")</f>
        <v/>
      </c>
    </row>
    <row r="37" spans="3:20" x14ac:dyDescent="0.25">
      <c r="C37" s="84" t="str">
        <f>IF(AND('05_PRODUCTOS'!$B37&lt;&gt;"",'05_PRODUCTOS'!$C37&lt;&gt;"",'05_PRODUCTOS'!$K37&lt;&gt;"NO",ISNUMBER(MATCH('05_PRODUCTOS'!$D37,lstCategorias,0))),'05_PRODUCTOS'!$D37,"")</f>
        <v/>
      </c>
      <c r="D37" s="84" t="str">
        <f>IF($C37="","",'05_PRODUCTOS'!$L37)</f>
        <v/>
      </c>
      <c r="E37" s="84" t="str">
        <f t="shared" si="0"/>
        <v/>
      </c>
      <c r="G37" s="85">
        <v>30</v>
      </c>
      <c r="H37" s="84" t="str">
        <f t="shared" si="1"/>
        <v/>
      </c>
      <c r="I37" s="84" t="str">
        <f t="shared" si="2"/>
        <v/>
      </c>
      <c r="J37" s="84" t="str">
        <f t="shared" si="3"/>
        <v/>
      </c>
      <c r="O37" s="84" t="str">
        <f>IF('05_PRODUCTOS'!$L37="","",IF(AND(OR(kxCategoria="",'05_PRODUCTOS'!$D37=kxCategoria),OR(kxBuscar="",ISNUMBER(SEARCH(kxBuscar,'05_PRODUCTOS'!$L37)))),ROW()-7,""))</f>
        <v/>
      </c>
      <c r="P37" s="84" t="str">
        <f>IFERROR(INDEX('05_PRODUCTOS'!$L$8:$L$507,SMALL($O$8:$O$507,ROW()-7)),"")</f>
        <v/>
      </c>
      <c r="R37" s="84" t="str">
        <f t="shared" si="4"/>
        <v/>
      </c>
      <c r="S37" s="84" t="str">
        <f>IF(INDEX(tblProveedores[Proveedor],30)="","",30)</f>
        <v/>
      </c>
      <c r="T37" s="84" t="str">
        <f>IFERROR(INDEX(tblProveedores[Proveedor],SMALL($S$8:$S$107,30)),"")</f>
        <v/>
      </c>
    </row>
    <row r="38" spans="3:20" x14ac:dyDescent="0.25">
      <c r="C38" s="84" t="str">
        <f>IF(AND('05_PRODUCTOS'!$B38&lt;&gt;"",'05_PRODUCTOS'!$C38&lt;&gt;"",'05_PRODUCTOS'!$K38&lt;&gt;"NO",ISNUMBER(MATCH('05_PRODUCTOS'!$D38,lstCategorias,0))),'05_PRODUCTOS'!$D38,"")</f>
        <v/>
      </c>
      <c r="D38" s="84" t="str">
        <f>IF($C38="","",'05_PRODUCTOS'!$L38)</f>
        <v/>
      </c>
      <c r="E38" s="84" t="str">
        <f t="shared" si="0"/>
        <v/>
      </c>
      <c r="G38" s="85">
        <v>31</v>
      </c>
      <c r="H38" s="84" t="str">
        <f t="shared" si="1"/>
        <v/>
      </c>
      <c r="I38" s="84" t="str">
        <f t="shared" si="2"/>
        <v/>
      </c>
      <c r="J38" s="84" t="str">
        <f t="shared" si="3"/>
        <v/>
      </c>
      <c r="O38" s="84" t="str">
        <f>IF('05_PRODUCTOS'!$L38="","",IF(AND(OR(kxCategoria="",'05_PRODUCTOS'!$D38=kxCategoria),OR(kxBuscar="",ISNUMBER(SEARCH(kxBuscar,'05_PRODUCTOS'!$L38)))),ROW()-7,""))</f>
        <v/>
      </c>
      <c r="P38" s="84" t="str">
        <f>IFERROR(INDEX('05_PRODUCTOS'!$L$8:$L$507,SMALL($O$8:$O$507,ROW()-7)),"")</f>
        <v/>
      </c>
      <c r="R38" s="84" t="str">
        <f t="shared" si="4"/>
        <v/>
      </c>
      <c r="S38" s="84" t="str">
        <f>IF(INDEX(tblProveedores[Proveedor],31)="","",31)</f>
        <v/>
      </c>
      <c r="T38" s="84" t="str">
        <f>IFERROR(INDEX(tblProveedores[Proveedor],SMALL($S$8:$S$107,31)),"")</f>
        <v/>
      </c>
    </row>
    <row r="39" spans="3:20" x14ac:dyDescent="0.25">
      <c r="C39" s="84" t="str">
        <f>IF(AND('05_PRODUCTOS'!$B39&lt;&gt;"",'05_PRODUCTOS'!$C39&lt;&gt;"",'05_PRODUCTOS'!$K39&lt;&gt;"NO",ISNUMBER(MATCH('05_PRODUCTOS'!$D39,lstCategorias,0))),'05_PRODUCTOS'!$D39,"")</f>
        <v/>
      </c>
      <c r="D39" s="84" t="str">
        <f>IF($C39="","",'05_PRODUCTOS'!$L39)</f>
        <v/>
      </c>
      <c r="E39" s="84" t="str">
        <f t="shared" si="0"/>
        <v/>
      </c>
      <c r="G39" s="85">
        <v>32</v>
      </c>
      <c r="H39" s="84" t="str">
        <f t="shared" si="1"/>
        <v/>
      </c>
      <c r="I39" s="84" t="str">
        <f t="shared" si="2"/>
        <v/>
      </c>
      <c r="J39" s="84" t="str">
        <f t="shared" si="3"/>
        <v/>
      </c>
      <c r="O39" s="84" t="str">
        <f>IF('05_PRODUCTOS'!$L39="","",IF(AND(OR(kxCategoria="",'05_PRODUCTOS'!$D39=kxCategoria),OR(kxBuscar="",ISNUMBER(SEARCH(kxBuscar,'05_PRODUCTOS'!$L39)))),ROW()-7,""))</f>
        <v/>
      </c>
      <c r="P39" s="84" t="str">
        <f>IFERROR(INDEX('05_PRODUCTOS'!$L$8:$L$507,SMALL($O$8:$O$507,ROW()-7)),"")</f>
        <v/>
      </c>
      <c r="R39" s="84" t="str">
        <f t="shared" si="4"/>
        <v/>
      </c>
      <c r="S39" s="84" t="str">
        <f>IF(INDEX(tblProveedores[Proveedor],32)="","",32)</f>
        <v/>
      </c>
      <c r="T39" s="84" t="str">
        <f>IFERROR(INDEX(tblProveedores[Proveedor],SMALL($S$8:$S$107,32)),"")</f>
        <v/>
      </c>
    </row>
    <row r="40" spans="3:20" x14ac:dyDescent="0.25">
      <c r="C40" s="84" t="str">
        <f>IF(AND('05_PRODUCTOS'!$B40&lt;&gt;"",'05_PRODUCTOS'!$C40&lt;&gt;"",'05_PRODUCTOS'!$K40&lt;&gt;"NO",ISNUMBER(MATCH('05_PRODUCTOS'!$D40,lstCategorias,0))),'05_PRODUCTOS'!$D40,"")</f>
        <v/>
      </c>
      <c r="D40" s="84" t="str">
        <f>IF($C40="","",'05_PRODUCTOS'!$L40)</f>
        <v/>
      </c>
      <c r="E40" s="84" t="str">
        <f t="shared" si="0"/>
        <v/>
      </c>
      <c r="G40" s="85">
        <v>33</v>
      </c>
      <c r="H40" s="84" t="str">
        <f t="shared" si="1"/>
        <v/>
      </c>
      <c r="I40" s="84" t="str">
        <f t="shared" si="2"/>
        <v/>
      </c>
      <c r="J40" s="84" t="str">
        <f t="shared" si="3"/>
        <v/>
      </c>
      <c r="O40" s="84" t="str">
        <f>IF('05_PRODUCTOS'!$L40="","",IF(AND(OR(kxCategoria="",'05_PRODUCTOS'!$D40=kxCategoria),OR(kxBuscar="",ISNUMBER(SEARCH(kxBuscar,'05_PRODUCTOS'!$L40)))),ROW()-7,""))</f>
        <v/>
      </c>
      <c r="P40" s="84" t="str">
        <f>IFERROR(INDEX('05_PRODUCTOS'!$L$8:$L$507,SMALL($O$8:$O$507,ROW()-7)),"")</f>
        <v/>
      </c>
      <c r="R40" s="84" t="str">
        <f t="shared" si="4"/>
        <v/>
      </c>
      <c r="S40" s="84" t="str">
        <f>IF(INDEX(tblProveedores[Proveedor],33)="","",33)</f>
        <v/>
      </c>
      <c r="T40" s="84" t="str">
        <f>IFERROR(INDEX(tblProveedores[Proveedor],SMALL($S$8:$S$107,33)),"")</f>
        <v/>
      </c>
    </row>
    <row r="41" spans="3:20" x14ac:dyDescent="0.25">
      <c r="C41" s="84" t="str">
        <f>IF(AND('05_PRODUCTOS'!$B41&lt;&gt;"",'05_PRODUCTOS'!$C41&lt;&gt;"",'05_PRODUCTOS'!$K41&lt;&gt;"NO",ISNUMBER(MATCH('05_PRODUCTOS'!$D41,lstCategorias,0))),'05_PRODUCTOS'!$D41,"")</f>
        <v/>
      </c>
      <c r="D41" s="84" t="str">
        <f>IF($C41="","",'05_PRODUCTOS'!$L41)</f>
        <v/>
      </c>
      <c r="E41" s="84" t="str">
        <f t="shared" si="0"/>
        <v/>
      </c>
      <c r="G41" s="85">
        <v>34</v>
      </c>
      <c r="H41" s="84" t="str">
        <f t="shared" si="1"/>
        <v/>
      </c>
      <c r="I41" s="84" t="str">
        <f t="shared" si="2"/>
        <v/>
      </c>
      <c r="J41" s="84" t="str">
        <f t="shared" si="3"/>
        <v/>
      </c>
      <c r="O41" s="84" t="str">
        <f>IF('05_PRODUCTOS'!$L41="","",IF(AND(OR(kxCategoria="",'05_PRODUCTOS'!$D41=kxCategoria),OR(kxBuscar="",ISNUMBER(SEARCH(kxBuscar,'05_PRODUCTOS'!$L41)))),ROW()-7,""))</f>
        <v/>
      </c>
      <c r="P41" s="84" t="str">
        <f>IFERROR(INDEX('05_PRODUCTOS'!$L$8:$L$507,SMALL($O$8:$O$507,ROW()-7)),"")</f>
        <v/>
      </c>
      <c r="R41" s="84" t="str">
        <f t="shared" ref="R41:R72" si="5">$T40</f>
        <v/>
      </c>
      <c r="S41" s="84" t="str">
        <f>IF(INDEX(tblProveedores[Proveedor],34)="","",34)</f>
        <v/>
      </c>
      <c r="T41" s="84" t="str">
        <f>IFERROR(INDEX(tblProveedores[Proveedor],SMALL($S$8:$S$107,34)),"")</f>
        <v/>
      </c>
    </row>
    <row r="42" spans="3:20" x14ac:dyDescent="0.25">
      <c r="C42" s="84" t="str">
        <f>IF(AND('05_PRODUCTOS'!$B42&lt;&gt;"",'05_PRODUCTOS'!$C42&lt;&gt;"",'05_PRODUCTOS'!$K42&lt;&gt;"NO",ISNUMBER(MATCH('05_PRODUCTOS'!$D42,lstCategorias,0))),'05_PRODUCTOS'!$D42,"")</f>
        <v/>
      </c>
      <c r="D42" s="84" t="str">
        <f>IF($C42="","",'05_PRODUCTOS'!$L42)</f>
        <v/>
      </c>
      <c r="E42" s="84" t="str">
        <f t="shared" si="0"/>
        <v/>
      </c>
      <c r="G42" s="85">
        <v>35</v>
      </c>
      <c r="H42" s="84" t="str">
        <f t="shared" si="1"/>
        <v/>
      </c>
      <c r="I42" s="84" t="str">
        <f t="shared" si="2"/>
        <v/>
      </c>
      <c r="J42" s="84" t="str">
        <f t="shared" si="3"/>
        <v/>
      </c>
      <c r="O42" s="84" t="str">
        <f>IF('05_PRODUCTOS'!$L42="","",IF(AND(OR(kxCategoria="",'05_PRODUCTOS'!$D42=kxCategoria),OR(kxBuscar="",ISNUMBER(SEARCH(kxBuscar,'05_PRODUCTOS'!$L42)))),ROW()-7,""))</f>
        <v/>
      </c>
      <c r="P42" s="84" t="str">
        <f>IFERROR(INDEX('05_PRODUCTOS'!$L$8:$L$507,SMALL($O$8:$O$507,ROW()-7)),"")</f>
        <v/>
      </c>
      <c r="R42" s="84" t="str">
        <f t="shared" si="5"/>
        <v/>
      </c>
      <c r="S42" s="84" t="str">
        <f>IF(INDEX(tblProveedores[Proveedor],35)="","",35)</f>
        <v/>
      </c>
      <c r="T42" s="84" t="str">
        <f>IFERROR(INDEX(tblProveedores[Proveedor],SMALL($S$8:$S$107,35)),"")</f>
        <v/>
      </c>
    </row>
    <row r="43" spans="3:20" x14ac:dyDescent="0.25">
      <c r="C43" s="84" t="str">
        <f>IF(AND('05_PRODUCTOS'!$B43&lt;&gt;"",'05_PRODUCTOS'!$C43&lt;&gt;"",'05_PRODUCTOS'!$K43&lt;&gt;"NO",ISNUMBER(MATCH('05_PRODUCTOS'!$D43,lstCategorias,0))),'05_PRODUCTOS'!$D43,"")</f>
        <v/>
      </c>
      <c r="D43" s="84" t="str">
        <f>IF($C43="","",'05_PRODUCTOS'!$L43)</f>
        <v/>
      </c>
      <c r="E43" s="84" t="str">
        <f t="shared" si="0"/>
        <v/>
      </c>
      <c r="G43" s="85">
        <v>36</v>
      </c>
      <c r="H43" s="84" t="str">
        <f t="shared" si="1"/>
        <v/>
      </c>
      <c r="I43" s="84" t="str">
        <f t="shared" si="2"/>
        <v/>
      </c>
      <c r="J43" s="84" t="str">
        <f t="shared" si="3"/>
        <v/>
      </c>
      <c r="O43" s="84" t="str">
        <f>IF('05_PRODUCTOS'!$L43="","",IF(AND(OR(kxCategoria="",'05_PRODUCTOS'!$D43=kxCategoria),OR(kxBuscar="",ISNUMBER(SEARCH(kxBuscar,'05_PRODUCTOS'!$L43)))),ROW()-7,""))</f>
        <v/>
      </c>
      <c r="P43" s="84" t="str">
        <f>IFERROR(INDEX('05_PRODUCTOS'!$L$8:$L$507,SMALL($O$8:$O$507,ROW()-7)),"")</f>
        <v/>
      </c>
      <c r="R43" s="84" t="str">
        <f t="shared" si="5"/>
        <v/>
      </c>
      <c r="S43" s="84" t="str">
        <f>IF(INDEX(tblProveedores[Proveedor],36)="","",36)</f>
        <v/>
      </c>
      <c r="T43" s="84" t="str">
        <f>IFERROR(INDEX(tblProveedores[Proveedor],SMALL($S$8:$S$107,36)),"")</f>
        <v/>
      </c>
    </row>
    <row r="44" spans="3:20" x14ac:dyDescent="0.25">
      <c r="C44" s="84" t="str">
        <f>IF(AND('05_PRODUCTOS'!$B44&lt;&gt;"",'05_PRODUCTOS'!$C44&lt;&gt;"",'05_PRODUCTOS'!$K44&lt;&gt;"NO",ISNUMBER(MATCH('05_PRODUCTOS'!$D44,lstCategorias,0))),'05_PRODUCTOS'!$D44,"")</f>
        <v/>
      </c>
      <c r="D44" s="84" t="str">
        <f>IF($C44="","",'05_PRODUCTOS'!$L44)</f>
        <v/>
      </c>
      <c r="E44" s="84" t="str">
        <f t="shared" si="0"/>
        <v/>
      </c>
      <c r="G44" s="85">
        <v>37</v>
      </c>
      <c r="H44" s="84" t="str">
        <f t="shared" si="1"/>
        <v/>
      </c>
      <c r="I44" s="84" t="str">
        <f t="shared" si="2"/>
        <v/>
      </c>
      <c r="J44" s="84" t="str">
        <f t="shared" si="3"/>
        <v/>
      </c>
      <c r="O44" s="84" t="str">
        <f>IF('05_PRODUCTOS'!$L44="","",IF(AND(OR(kxCategoria="",'05_PRODUCTOS'!$D44=kxCategoria),OR(kxBuscar="",ISNUMBER(SEARCH(kxBuscar,'05_PRODUCTOS'!$L44)))),ROW()-7,""))</f>
        <v/>
      </c>
      <c r="P44" s="84" t="str">
        <f>IFERROR(INDEX('05_PRODUCTOS'!$L$8:$L$507,SMALL($O$8:$O$507,ROW()-7)),"")</f>
        <v/>
      </c>
      <c r="R44" s="84" t="str">
        <f t="shared" si="5"/>
        <v/>
      </c>
      <c r="S44" s="84" t="str">
        <f>IF(INDEX(tblProveedores[Proveedor],37)="","",37)</f>
        <v/>
      </c>
      <c r="T44" s="84" t="str">
        <f>IFERROR(INDEX(tblProveedores[Proveedor],SMALL($S$8:$S$107,37)),"")</f>
        <v/>
      </c>
    </row>
    <row r="45" spans="3:20" x14ac:dyDescent="0.25">
      <c r="C45" s="84" t="str">
        <f>IF(AND('05_PRODUCTOS'!$B45&lt;&gt;"",'05_PRODUCTOS'!$C45&lt;&gt;"",'05_PRODUCTOS'!$K45&lt;&gt;"NO",ISNUMBER(MATCH('05_PRODUCTOS'!$D45,lstCategorias,0))),'05_PRODUCTOS'!$D45,"")</f>
        <v/>
      </c>
      <c r="D45" s="84" t="str">
        <f>IF($C45="","",'05_PRODUCTOS'!$L45)</f>
        <v/>
      </c>
      <c r="E45" s="84" t="str">
        <f t="shared" si="0"/>
        <v/>
      </c>
      <c r="G45" s="85">
        <v>38</v>
      </c>
      <c r="H45" s="84" t="str">
        <f t="shared" si="1"/>
        <v/>
      </c>
      <c r="I45" s="84" t="str">
        <f t="shared" si="2"/>
        <v/>
      </c>
      <c r="J45" s="84" t="str">
        <f t="shared" si="3"/>
        <v/>
      </c>
      <c r="O45" s="84" t="str">
        <f>IF('05_PRODUCTOS'!$L45="","",IF(AND(OR(kxCategoria="",'05_PRODUCTOS'!$D45=kxCategoria),OR(kxBuscar="",ISNUMBER(SEARCH(kxBuscar,'05_PRODUCTOS'!$L45)))),ROW()-7,""))</f>
        <v/>
      </c>
      <c r="P45" s="84" t="str">
        <f>IFERROR(INDEX('05_PRODUCTOS'!$L$8:$L$507,SMALL($O$8:$O$507,ROW()-7)),"")</f>
        <v/>
      </c>
      <c r="R45" s="84" t="str">
        <f t="shared" si="5"/>
        <v/>
      </c>
      <c r="S45" s="84" t="str">
        <f>IF(INDEX(tblProveedores[Proveedor],38)="","",38)</f>
        <v/>
      </c>
      <c r="T45" s="84" t="str">
        <f>IFERROR(INDEX(tblProveedores[Proveedor],SMALL($S$8:$S$107,38)),"")</f>
        <v/>
      </c>
    </row>
    <row r="46" spans="3:20" x14ac:dyDescent="0.25">
      <c r="C46" s="84" t="str">
        <f>IF(AND('05_PRODUCTOS'!$B46&lt;&gt;"",'05_PRODUCTOS'!$C46&lt;&gt;"",'05_PRODUCTOS'!$K46&lt;&gt;"NO",ISNUMBER(MATCH('05_PRODUCTOS'!$D46,lstCategorias,0))),'05_PRODUCTOS'!$D46,"")</f>
        <v/>
      </c>
      <c r="D46" s="84" t="str">
        <f>IF($C46="","",'05_PRODUCTOS'!$L46)</f>
        <v/>
      </c>
      <c r="E46" s="84" t="str">
        <f t="shared" si="0"/>
        <v/>
      </c>
      <c r="G46" s="85">
        <v>39</v>
      </c>
      <c r="H46" s="84" t="str">
        <f t="shared" si="1"/>
        <v/>
      </c>
      <c r="I46" s="84" t="str">
        <f t="shared" si="2"/>
        <v/>
      </c>
      <c r="J46" s="84" t="str">
        <f t="shared" si="3"/>
        <v/>
      </c>
      <c r="O46" s="84" t="str">
        <f>IF('05_PRODUCTOS'!$L46="","",IF(AND(OR(kxCategoria="",'05_PRODUCTOS'!$D46=kxCategoria),OR(kxBuscar="",ISNUMBER(SEARCH(kxBuscar,'05_PRODUCTOS'!$L46)))),ROW()-7,""))</f>
        <v/>
      </c>
      <c r="P46" s="84" t="str">
        <f>IFERROR(INDEX('05_PRODUCTOS'!$L$8:$L$507,SMALL($O$8:$O$507,ROW()-7)),"")</f>
        <v/>
      </c>
      <c r="R46" s="84" t="str">
        <f t="shared" si="5"/>
        <v/>
      </c>
      <c r="S46" s="84" t="str">
        <f>IF(INDEX(tblProveedores[Proveedor],39)="","",39)</f>
        <v/>
      </c>
      <c r="T46" s="84" t="str">
        <f>IFERROR(INDEX(tblProveedores[Proveedor],SMALL($S$8:$S$107,39)),"")</f>
        <v/>
      </c>
    </row>
    <row r="47" spans="3:20" x14ac:dyDescent="0.25">
      <c r="C47" s="84" t="str">
        <f>IF(AND('05_PRODUCTOS'!$B47&lt;&gt;"",'05_PRODUCTOS'!$C47&lt;&gt;"",'05_PRODUCTOS'!$K47&lt;&gt;"NO",ISNUMBER(MATCH('05_PRODUCTOS'!$D47,lstCategorias,0))),'05_PRODUCTOS'!$D47,"")</f>
        <v/>
      </c>
      <c r="D47" s="84" t="str">
        <f>IF($C47="","",'05_PRODUCTOS'!$L47)</f>
        <v/>
      </c>
      <c r="E47" s="84" t="str">
        <f t="shared" si="0"/>
        <v/>
      </c>
      <c r="G47" s="85">
        <v>40</v>
      </c>
      <c r="H47" s="84" t="str">
        <f t="shared" si="1"/>
        <v/>
      </c>
      <c r="I47" s="84" t="str">
        <f t="shared" si="2"/>
        <v/>
      </c>
      <c r="J47" s="84" t="str">
        <f t="shared" si="3"/>
        <v/>
      </c>
      <c r="O47" s="84" t="str">
        <f>IF('05_PRODUCTOS'!$L47="","",IF(AND(OR(kxCategoria="",'05_PRODUCTOS'!$D47=kxCategoria),OR(kxBuscar="",ISNUMBER(SEARCH(kxBuscar,'05_PRODUCTOS'!$L47)))),ROW()-7,""))</f>
        <v/>
      </c>
      <c r="P47" s="84" t="str">
        <f>IFERROR(INDEX('05_PRODUCTOS'!$L$8:$L$507,SMALL($O$8:$O$507,ROW()-7)),"")</f>
        <v/>
      </c>
      <c r="R47" s="84" t="str">
        <f t="shared" si="5"/>
        <v/>
      </c>
      <c r="S47" s="84" t="str">
        <f>IF(INDEX(tblProveedores[Proveedor],40)="","",40)</f>
        <v/>
      </c>
      <c r="T47" s="84" t="str">
        <f>IFERROR(INDEX(tblProveedores[Proveedor],SMALL($S$8:$S$107,40)),"")</f>
        <v/>
      </c>
    </row>
    <row r="48" spans="3:20" x14ac:dyDescent="0.25">
      <c r="C48" s="84" t="str">
        <f>IF(AND('05_PRODUCTOS'!$B48&lt;&gt;"",'05_PRODUCTOS'!$C48&lt;&gt;"",'05_PRODUCTOS'!$K48&lt;&gt;"NO",ISNUMBER(MATCH('05_PRODUCTOS'!$D48,lstCategorias,0))),'05_PRODUCTOS'!$D48,"")</f>
        <v/>
      </c>
      <c r="D48" s="84" t="str">
        <f>IF($C48="","",'05_PRODUCTOS'!$L48)</f>
        <v/>
      </c>
      <c r="E48" s="84" t="str">
        <f t="shared" si="0"/>
        <v/>
      </c>
      <c r="G48" s="85">
        <v>41</v>
      </c>
      <c r="H48" s="84" t="str">
        <f t="shared" si="1"/>
        <v/>
      </c>
      <c r="I48" s="84" t="str">
        <f t="shared" si="2"/>
        <v/>
      </c>
      <c r="J48" s="84" t="str">
        <f t="shared" si="3"/>
        <v/>
      </c>
      <c r="O48" s="84" t="str">
        <f>IF('05_PRODUCTOS'!$L48="","",IF(AND(OR(kxCategoria="",'05_PRODUCTOS'!$D48=kxCategoria),OR(kxBuscar="",ISNUMBER(SEARCH(kxBuscar,'05_PRODUCTOS'!$L48)))),ROW()-7,""))</f>
        <v/>
      </c>
      <c r="P48" s="84" t="str">
        <f>IFERROR(INDEX('05_PRODUCTOS'!$L$8:$L$507,SMALL($O$8:$O$507,ROW()-7)),"")</f>
        <v/>
      </c>
      <c r="R48" s="84" t="str">
        <f t="shared" si="5"/>
        <v/>
      </c>
      <c r="S48" s="84" t="str">
        <f>IF(INDEX(tblProveedores[Proveedor],41)="","",41)</f>
        <v/>
      </c>
      <c r="T48" s="84" t="str">
        <f>IFERROR(INDEX(tblProveedores[Proveedor],SMALL($S$8:$S$107,41)),"")</f>
        <v/>
      </c>
    </row>
    <row r="49" spans="3:20" x14ac:dyDescent="0.25">
      <c r="C49" s="84" t="str">
        <f>IF(AND('05_PRODUCTOS'!$B49&lt;&gt;"",'05_PRODUCTOS'!$C49&lt;&gt;"",'05_PRODUCTOS'!$K49&lt;&gt;"NO",ISNUMBER(MATCH('05_PRODUCTOS'!$D49,lstCategorias,0))),'05_PRODUCTOS'!$D49,"")</f>
        <v/>
      </c>
      <c r="D49" s="84" t="str">
        <f>IF($C49="","",'05_PRODUCTOS'!$L49)</f>
        <v/>
      </c>
      <c r="E49" s="84" t="str">
        <f t="shared" si="0"/>
        <v/>
      </c>
      <c r="G49" s="85">
        <v>42</v>
      </c>
      <c r="H49" s="84" t="str">
        <f t="shared" si="1"/>
        <v/>
      </c>
      <c r="I49" s="84" t="str">
        <f t="shared" si="2"/>
        <v/>
      </c>
      <c r="J49" s="84" t="str">
        <f t="shared" si="3"/>
        <v/>
      </c>
      <c r="O49" s="84" t="str">
        <f>IF('05_PRODUCTOS'!$L49="","",IF(AND(OR(kxCategoria="",'05_PRODUCTOS'!$D49=kxCategoria),OR(kxBuscar="",ISNUMBER(SEARCH(kxBuscar,'05_PRODUCTOS'!$L49)))),ROW()-7,""))</f>
        <v/>
      </c>
      <c r="P49" s="84" t="str">
        <f>IFERROR(INDEX('05_PRODUCTOS'!$L$8:$L$507,SMALL($O$8:$O$507,ROW()-7)),"")</f>
        <v/>
      </c>
      <c r="R49" s="84" t="str">
        <f t="shared" si="5"/>
        <v/>
      </c>
      <c r="S49" s="84" t="str">
        <f>IF(INDEX(tblProveedores[Proveedor],42)="","",42)</f>
        <v/>
      </c>
      <c r="T49" s="84" t="str">
        <f>IFERROR(INDEX(tblProveedores[Proveedor],SMALL($S$8:$S$107,42)),"")</f>
        <v/>
      </c>
    </row>
    <row r="50" spans="3:20" x14ac:dyDescent="0.25">
      <c r="C50" s="84" t="str">
        <f>IF(AND('05_PRODUCTOS'!$B50&lt;&gt;"",'05_PRODUCTOS'!$C50&lt;&gt;"",'05_PRODUCTOS'!$K50&lt;&gt;"NO",ISNUMBER(MATCH('05_PRODUCTOS'!$D50,lstCategorias,0))),'05_PRODUCTOS'!$D50,"")</f>
        <v/>
      </c>
      <c r="D50" s="84" t="str">
        <f>IF($C50="","",'05_PRODUCTOS'!$L50)</f>
        <v/>
      </c>
      <c r="E50" s="84" t="str">
        <f t="shared" si="0"/>
        <v/>
      </c>
      <c r="G50" s="85">
        <v>43</v>
      </c>
      <c r="H50" s="84" t="str">
        <f t="shared" si="1"/>
        <v/>
      </c>
      <c r="I50" s="84" t="str">
        <f t="shared" si="2"/>
        <v/>
      </c>
      <c r="J50" s="84" t="str">
        <f t="shared" si="3"/>
        <v/>
      </c>
      <c r="O50" s="84" t="str">
        <f>IF('05_PRODUCTOS'!$L50="","",IF(AND(OR(kxCategoria="",'05_PRODUCTOS'!$D50=kxCategoria),OR(kxBuscar="",ISNUMBER(SEARCH(kxBuscar,'05_PRODUCTOS'!$L50)))),ROW()-7,""))</f>
        <v/>
      </c>
      <c r="P50" s="84" t="str">
        <f>IFERROR(INDEX('05_PRODUCTOS'!$L$8:$L$507,SMALL($O$8:$O$507,ROW()-7)),"")</f>
        <v/>
      </c>
      <c r="R50" s="84" t="str">
        <f t="shared" si="5"/>
        <v/>
      </c>
      <c r="S50" s="84" t="str">
        <f>IF(INDEX(tblProveedores[Proveedor],43)="","",43)</f>
        <v/>
      </c>
      <c r="T50" s="84" t="str">
        <f>IFERROR(INDEX(tblProveedores[Proveedor],SMALL($S$8:$S$107,43)),"")</f>
        <v/>
      </c>
    </row>
    <row r="51" spans="3:20" x14ac:dyDescent="0.25">
      <c r="C51" s="84" t="str">
        <f>IF(AND('05_PRODUCTOS'!$B51&lt;&gt;"",'05_PRODUCTOS'!$C51&lt;&gt;"",'05_PRODUCTOS'!$K51&lt;&gt;"NO",ISNUMBER(MATCH('05_PRODUCTOS'!$D51,lstCategorias,0))),'05_PRODUCTOS'!$D51,"")</f>
        <v/>
      </c>
      <c r="D51" s="84" t="str">
        <f>IF($C51="","",'05_PRODUCTOS'!$L51)</f>
        <v/>
      </c>
      <c r="E51" s="84" t="str">
        <f t="shared" si="0"/>
        <v/>
      </c>
      <c r="G51" s="85">
        <v>44</v>
      </c>
      <c r="H51" s="84" t="str">
        <f t="shared" si="1"/>
        <v/>
      </c>
      <c r="I51" s="84" t="str">
        <f t="shared" si="2"/>
        <v/>
      </c>
      <c r="J51" s="84" t="str">
        <f t="shared" si="3"/>
        <v/>
      </c>
      <c r="O51" s="84" t="str">
        <f>IF('05_PRODUCTOS'!$L51="","",IF(AND(OR(kxCategoria="",'05_PRODUCTOS'!$D51=kxCategoria),OR(kxBuscar="",ISNUMBER(SEARCH(kxBuscar,'05_PRODUCTOS'!$L51)))),ROW()-7,""))</f>
        <v/>
      </c>
      <c r="P51" s="84" t="str">
        <f>IFERROR(INDEX('05_PRODUCTOS'!$L$8:$L$507,SMALL($O$8:$O$507,ROW()-7)),"")</f>
        <v/>
      </c>
      <c r="R51" s="84" t="str">
        <f t="shared" si="5"/>
        <v/>
      </c>
      <c r="S51" s="84" t="str">
        <f>IF(INDEX(tblProveedores[Proveedor],44)="","",44)</f>
        <v/>
      </c>
      <c r="T51" s="84" t="str">
        <f>IFERROR(INDEX(tblProveedores[Proveedor],SMALL($S$8:$S$107,44)),"")</f>
        <v/>
      </c>
    </row>
    <row r="52" spans="3:20" x14ac:dyDescent="0.25">
      <c r="C52" s="84" t="str">
        <f>IF(AND('05_PRODUCTOS'!$B52&lt;&gt;"",'05_PRODUCTOS'!$C52&lt;&gt;"",'05_PRODUCTOS'!$K52&lt;&gt;"NO",ISNUMBER(MATCH('05_PRODUCTOS'!$D52,lstCategorias,0))),'05_PRODUCTOS'!$D52,"")</f>
        <v/>
      </c>
      <c r="D52" s="84" t="str">
        <f>IF($C52="","",'05_PRODUCTOS'!$L52)</f>
        <v/>
      </c>
      <c r="E52" s="84" t="str">
        <f t="shared" si="0"/>
        <v/>
      </c>
      <c r="G52" s="85">
        <v>45</v>
      </c>
      <c r="H52" s="84" t="str">
        <f t="shared" si="1"/>
        <v/>
      </c>
      <c r="I52" s="84" t="str">
        <f t="shared" si="2"/>
        <v/>
      </c>
      <c r="J52" s="84" t="str">
        <f t="shared" si="3"/>
        <v/>
      </c>
      <c r="O52" s="84" t="str">
        <f>IF('05_PRODUCTOS'!$L52="","",IF(AND(OR(kxCategoria="",'05_PRODUCTOS'!$D52=kxCategoria),OR(kxBuscar="",ISNUMBER(SEARCH(kxBuscar,'05_PRODUCTOS'!$L52)))),ROW()-7,""))</f>
        <v/>
      </c>
      <c r="P52" s="84" t="str">
        <f>IFERROR(INDEX('05_PRODUCTOS'!$L$8:$L$507,SMALL($O$8:$O$507,ROW()-7)),"")</f>
        <v/>
      </c>
      <c r="R52" s="84" t="str">
        <f t="shared" si="5"/>
        <v/>
      </c>
      <c r="S52" s="84" t="str">
        <f>IF(INDEX(tblProveedores[Proveedor],45)="","",45)</f>
        <v/>
      </c>
      <c r="T52" s="84" t="str">
        <f>IFERROR(INDEX(tblProveedores[Proveedor],SMALL($S$8:$S$107,45)),"")</f>
        <v/>
      </c>
    </row>
    <row r="53" spans="3:20" x14ac:dyDescent="0.25">
      <c r="C53" s="84" t="str">
        <f>IF(AND('05_PRODUCTOS'!$B53&lt;&gt;"",'05_PRODUCTOS'!$C53&lt;&gt;"",'05_PRODUCTOS'!$K53&lt;&gt;"NO",ISNUMBER(MATCH('05_PRODUCTOS'!$D53,lstCategorias,0))),'05_PRODUCTOS'!$D53,"")</f>
        <v/>
      </c>
      <c r="D53" s="84" t="str">
        <f>IF($C53="","",'05_PRODUCTOS'!$L53)</f>
        <v/>
      </c>
      <c r="E53" s="84" t="str">
        <f t="shared" si="0"/>
        <v/>
      </c>
      <c r="G53" s="85">
        <v>46</v>
      </c>
      <c r="H53" s="84" t="str">
        <f t="shared" si="1"/>
        <v/>
      </c>
      <c r="I53" s="84" t="str">
        <f t="shared" si="2"/>
        <v/>
      </c>
      <c r="J53" s="84" t="str">
        <f t="shared" si="3"/>
        <v/>
      </c>
      <c r="O53" s="84" t="str">
        <f>IF('05_PRODUCTOS'!$L53="","",IF(AND(OR(kxCategoria="",'05_PRODUCTOS'!$D53=kxCategoria),OR(kxBuscar="",ISNUMBER(SEARCH(kxBuscar,'05_PRODUCTOS'!$L53)))),ROW()-7,""))</f>
        <v/>
      </c>
      <c r="P53" s="84" t="str">
        <f>IFERROR(INDEX('05_PRODUCTOS'!$L$8:$L$507,SMALL($O$8:$O$507,ROW()-7)),"")</f>
        <v/>
      </c>
      <c r="R53" s="84" t="str">
        <f t="shared" si="5"/>
        <v/>
      </c>
      <c r="S53" s="84" t="str">
        <f>IF(INDEX(tblProveedores[Proveedor],46)="","",46)</f>
        <v/>
      </c>
      <c r="T53" s="84" t="str">
        <f>IFERROR(INDEX(tblProveedores[Proveedor],SMALL($S$8:$S$107,46)),"")</f>
        <v/>
      </c>
    </row>
    <row r="54" spans="3:20" x14ac:dyDescent="0.25">
      <c r="C54" s="84" t="str">
        <f>IF(AND('05_PRODUCTOS'!$B54&lt;&gt;"",'05_PRODUCTOS'!$C54&lt;&gt;"",'05_PRODUCTOS'!$K54&lt;&gt;"NO",ISNUMBER(MATCH('05_PRODUCTOS'!$D54,lstCategorias,0))),'05_PRODUCTOS'!$D54,"")</f>
        <v/>
      </c>
      <c r="D54" s="84" t="str">
        <f>IF($C54="","",'05_PRODUCTOS'!$L54)</f>
        <v/>
      </c>
      <c r="E54" s="84" t="str">
        <f t="shared" si="0"/>
        <v/>
      </c>
      <c r="G54" s="85">
        <v>47</v>
      </c>
      <c r="H54" s="84" t="str">
        <f t="shared" si="1"/>
        <v/>
      </c>
      <c r="I54" s="84" t="str">
        <f t="shared" si="2"/>
        <v/>
      </c>
      <c r="J54" s="84" t="str">
        <f t="shared" si="3"/>
        <v/>
      </c>
      <c r="O54" s="84" t="str">
        <f>IF('05_PRODUCTOS'!$L54="","",IF(AND(OR(kxCategoria="",'05_PRODUCTOS'!$D54=kxCategoria),OR(kxBuscar="",ISNUMBER(SEARCH(kxBuscar,'05_PRODUCTOS'!$L54)))),ROW()-7,""))</f>
        <v/>
      </c>
      <c r="P54" s="84" t="str">
        <f>IFERROR(INDEX('05_PRODUCTOS'!$L$8:$L$507,SMALL($O$8:$O$507,ROW()-7)),"")</f>
        <v/>
      </c>
      <c r="R54" s="84" t="str">
        <f t="shared" si="5"/>
        <v/>
      </c>
      <c r="S54" s="84" t="str">
        <f>IF(INDEX(tblProveedores[Proveedor],47)="","",47)</f>
        <v/>
      </c>
      <c r="T54" s="84" t="str">
        <f>IFERROR(INDEX(tblProveedores[Proveedor],SMALL($S$8:$S$107,47)),"")</f>
        <v/>
      </c>
    </row>
    <row r="55" spans="3:20" x14ac:dyDescent="0.25">
      <c r="C55" s="84" t="str">
        <f>IF(AND('05_PRODUCTOS'!$B55&lt;&gt;"",'05_PRODUCTOS'!$C55&lt;&gt;"",'05_PRODUCTOS'!$K55&lt;&gt;"NO",ISNUMBER(MATCH('05_PRODUCTOS'!$D55,lstCategorias,0))),'05_PRODUCTOS'!$D55,"")</f>
        <v/>
      </c>
      <c r="D55" s="84" t="str">
        <f>IF($C55="","",'05_PRODUCTOS'!$L55)</f>
        <v/>
      </c>
      <c r="E55" s="84" t="str">
        <f t="shared" si="0"/>
        <v/>
      </c>
      <c r="G55" s="85">
        <v>48</v>
      </c>
      <c r="H55" s="84" t="str">
        <f t="shared" si="1"/>
        <v/>
      </c>
      <c r="I55" s="84" t="str">
        <f t="shared" si="2"/>
        <v/>
      </c>
      <c r="J55" s="84" t="str">
        <f t="shared" si="3"/>
        <v/>
      </c>
      <c r="O55" s="84" t="str">
        <f>IF('05_PRODUCTOS'!$L55="","",IF(AND(OR(kxCategoria="",'05_PRODUCTOS'!$D55=kxCategoria),OR(kxBuscar="",ISNUMBER(SEARCH(kxBuscar,'05_PRODUCTOS'!$L55)))),ROW()-7,""))</f>
        <v/>
      </c>
      <c r="P55" s="84" t="str">
        <f>IFERROR(INDEX('05_PRODUCTOS'!$L$8:$L$507,SMALL($O$8:$O$507,ROW()-7)),"")</f>
        <v/>
      </c>
      <c r="R55" s="84" t="str">
        <f t="shared" si="5"/>
        <v/>
      </c>
      <c r="S55" s="84" t="str">
        <f>IF(INDEX(tblProveedores[Proveedor],48)="","",48)</f>
        <v/>
      </c>
      <c r="T55" s="84" t="str">
        <f>IFERROR(INDEX(tblProveedores[Proveedor],SMALL($S$8:$S$107,48)),"")</f>
        <v/>
      </c>
    </row>
    <row r="56" spans="3:20" x14ac:dyDescent="0.25">
      <c r="C56" s="84" t="str">
        <f>IF(AND('05_PRODUCTOS'!$B56&lt;&gt;"",'05_PRODUCTOS'!$C56&lt;&gt;"",'05_PRODUCTOS'!$K56&lt;&gt;"NO",ISNUMBER(MATCH('05_PRODUCTOS'!$D56,lstCategorias,0))),'05_PRODUCTOS'!$D56,"")</f>
        <v/>
      </c>
      <c r="D56" s="84" t="str">
        <f>IF($C56="","",'05_PRODUCTOS'!$L56)</f>
        <v/>
      </c>
      <c r="E56" s="84" t="str">
        <f t="shared" si="0"/>
        <v/>
      </c>
      <c r="G56" s="85">
        <v>49</v>
      </c>
      <c r="H56" s="84" t="str">
        <f t="shared" si="1"/>
        <v/>
      </c>
      <c r="I56" s="84" t="str">
        <f t="shared" si="2"/>
        <v/>
      </c>
      <c r="J56" s="84" t="str">
        <f t="shared" si="3"/>
        <v/>
      </c>
      <c r="O56" s="84" t="str">
        <f>IF('05_PRODUCTOS'!$L56="","",IF(AND(OR(kxCategoria="",'05_PRODUCTOS'!$D56=kxCategoria),OR(kxBuscar="",ISNUMBER(SEARCH(kxBuscar,'05_PRODUCTOS'!$L56)))),ROW()-7,""))</f>
        <v/>
      </c>
      <c r="P56" s="84" t="str">
        <f>IFERROR(INDEX('05_PRODUCTOS'!$L$8:$L$507,SMALL($O$8:$O$507,ROW()-7)),"")</f>
        <v/>
      </c>
      <c r="R56" s="84" t="str">
        <f t="shared" si="5"/>
        <v/>
      </c>
      <c r="S56" s="84" t="str">
        <f>IF(INDEX(tblProveedores[Proveedor],49)="","",49)</f>
        <v/>
      </c>
      <c r="T56" s="84" t="str">
        <f>IFERROR(INDEX(tblProveedores[Proveedor],SMALL($S$8:$S$107,49)),"")</f>
        <v/>
      </c>
    </row>
    <row r="57" spans="3:20" x14ac:dyDescent="0.25">
      <c r="C57" s="84" t="str">
        <f>IF(AND('05_PRODUCTOS'!$B57&lt;&gt;"",'05_PRODUCTOS'!$C57&lt;&gt;"",'05_PRODUCTOS'!$K57&lt;&gt;"NO",ISNUMBER(MATCH('05_PRODUCTOS'!$D57,lstCategorias,0))),'05_PRODUCTOS'!$D57,"")</f>
        <v/>
      </c>
      <c r="D57" s="84" t="str">
        <f>IF($C57="","",'05_PRODUCTOS'!$L57)</f>
        <v/>
      </c>
      <c r="E57" s="84" t="str">
        <f t="shared" si="0"/>
        <v/>
      </c>
      <c r="G57" s="85">
        <v>50</v>
      </c>
      <c r="H57" s="84" t="str">
        <f t="shared" si="1"/>
        <v/>
      </c>
      <c r="I57" s="84" t="str">
        <f t="shared" si="2"/>
        <v/>
      </c>
      <c r="J57" s="84" t="str">
        <f t="shared" si="3"/>
        <v/>
      </c>
      <c r="O57" s="84" t="str">
        <f>IF('05_PRODUCTOS'!$L57="","",IF(AND(OR(kxCategoria="",'05_PRODUCTOS'!$D57=kxCategoria),OR(kxBuscar="",ISNUMBER(SEARCH(kxBuscar,'05_PRODUCTOS'!$L57)))),ROW()-7,""))</f>
        <v/>
      </c>
      <c r="P57" s="84" t="str">
        <f>IFERROR(INDEX('05_PRODUCTOS'!$L$8:$L$507,SMALL($O$8:$O$507,ROW()-7)),"")</f>
        <v/>
      </c>
      <c r="R57" s="84" t="str">
        <f t="shared" si="5"/>
        <v/>
      </c>
      <c r="S57" s="84" t="str">
        <f>IF(INDEX(tblProveedores[Proveedor],50)="","",50)</f>
        <v/>
      </c>
      <c r="T57" s="84" t="str">
        <f>IFERROR(INDEX(tblProveedores[Proveedor],SMALL($S$8:$S$107,50)),"")</f>
        <v/>
      </c>
    </row>
    <row r="58" spans="3:20" x14ac:dyDescent="0.25">
      <c r="C58" s="84" t="str">
        <f>IF(AND('05_PRODUCTOS'!$B58&lt;&gt;"",'05_PRODUCTOS'!$C58&lt;&gt;"",'05_PRODUCTOS'!$K58&lt;&gt;"NO",ISNUMBER(MATCH('05_PRODUCTOS'!$D58,lstCategorias,0))),'05_PRODUCTOS'!$D58,"")</f>
        <v/>
      </c>
      <c r="D58" s="84" t="str">
        <f>IF($C58="","",'05_PRODUCTOS'!$L58)</f>
        <v/>
      </c>
      <c r="E58" s="84" t="str">
        <f t="shared" si="0"/>
        <v/>
      </c>
      <c r="G58" s="85">
        <v>51</v>
      </c>
      <c r="H58" s="84" t="str">
        <f t="shared" si="1"/>
        <v/>
      </c>
      <c r="I58" s="84" t="str">
        <f t="shared" si="2"/>
        <v/>
      </c>
      <c r="J58" s="84" t="str">
        <f t="shared" si="3"/>
        <v/>
      </c>
      <c r="O58" s="84" t="str">
        <f>IF('05_PRODUCTOS'!$L58="","",IF(AND(OR(kxCategoria="",'05_PRODUCTOS'!$D58=kxCategoria),OR(kxBuscar="",ISNUMBER(SEARCH(kxBuscar,'05_PRODUCTOS'!$L58)))),ROW()-7,""))</f>
        <v/>
      </c>
      <c r="P58" s="84" t="str">
        <f>IFERROR(INDEX('05_PRODUCTOS'!$L$8:$L$507,SMALL($O$8:$O$507,ROW()-7)),"")</f>
        <v/>
      </c>
      <c r="R58" s="84" t="str">
        <f t="shared" si="5"/>
        <v/>
      </c>
      <c r="S58" s="84" t="str">
        <f>IF(INDEX(tblProveedores[Proveedor],51)="","",51)</f>
        <v/>
      </c>
      <c r="T58" s="84" t="str">
        <f>IFERROR(INDEX(tblProveedores[Proveedor],SMALL($S$8:$S$107,51)),"")</f>
        <v/>
      </c>
    </row>
    <row r="59" spans="3:20" x14ac:dyDescent="0.25">
      <c r="C59" s="84" t="str">
        <f>IF(AND('05_PRODUCTOS'!$B59&lt;&gt;"",'05_PRODUCTOS'!$C59&lt;&gt;"",'05_PRODUCTOS'!$K59&lt;&gt;"NO",ISNUMBER(MATCH('05_PRODUCTOS'!$D59,lstCategorias,0))),'05_PRODUCTOS'!$D59,"")</f>
        <v/>
      </c>
      <c r="D59" s="84" t="str">
        <f>IF($C59="","",'05_PRODUCTOS'!$L59)</f>
        <v/>
      </c>
      <c r="E59" s="84" t="str">
        <f t="shared" si="0"/>
        <v/>
      </c>
      <c r="G59" s="85">
        <v>52</v>
      </c>
      <c r="H59" s="84" t="str">
        <f t="shared" si="1"/>
        <v/>
      </c>
      <c r="I59" s="84" t="str">
        <f t="shared" si="2"/>
        <v/>
      </c>
      <c r="J59" s="84" t="str">
        <f t="shared" si="3"/>
        <v/>
      </c>
      <c r="O59" s="84" t="str">
        <f>IF('05_PRODUCTOS'!$L59="","",IF(AND(OR(kxCategoria="",'05_PRODUCTOS'!$D59=kxCategoria),OR(kxBuscar="",ISNUMBER(SEARCH(kxBuscar,'05_PRODUCTOS'!$L59)))),ROW()-7,""))</f>
        <v/>
      </c>
      <c r="P59" s="84" t="str">
        <f>IFERROR(INDEX('05_PRODUCTOS'!$L$8:$L$507,SMALL($O$8:$O$507,ROW()-7)),"")</f>
        <v/>
      </c>
      <c r="R59" s="84" t="str">
        <f t="shared" si="5"/>
        <v/>
      </c>
      <c r="S59" s="84" t="str">
        <f>IF(INDEX(tblProveedores[Proveedor],52)="","",52)</f>
        <v/>
      </c>
      <c r="T59" s="84" t="str">
        <f>IFERROR(INDEX(tblProveedores[Proveedor],SMALL($S$8:$S$107,52)),"")</f>
        <v/>
      </c>
    </row>
    <row r="60" spans="3:20" x14ac:dyDescent="0.25">
      <c r="C60" s="84" t="str">
        <f>IF(AND('05_PRODUCTOS'!$B60&lt;&gt;"",'05_PRODUCTOS'!$C60&lt;&gt;"",'05_PRODUCTOS'!$K60&lt;&gt;"NO",ISNUMBER(MATCH('05_PRODUCTOS'!$D60,lstCategorias,0))),'05_PRODUCTOS'!$D60,"")</f>
        <v/>
      </c>
      <c r="D60" s="84" t="str">
        <f>IF($C60="","",'05_PRODUCTOS'!$L60)</f>
        <v/>
      </c>
      <c r="E60" s="84" t="str">
        <f t="shared" si="0"/>
        <v/>
      </c>
      <c r="G60" s="85">
        <v>53</v>
      </c>
      <c r="H60" s="84" t="str">
        <f t="shared" si="1"/>
        <v/>
      </c>
      <c r="I60" s="84" t="str">
        <f t="shared" si="2"/>
        <v/>
      </c>
      <c r="J60" s="84" t="str">
        <f t="shared" si="3"/>
        <v/>
      </c>
      <c r="O60" s="84" t="str">
        <f>IF('05_PRODUCTOS'!$L60="","",IF(AND(OR(kxCategoria="",'05_PRODUCTOS'!$D60=kxCategoria),OR(kxBuscar="",ISNUMBER(SEARCH(kxBuscar,'05_PRODUCTOS'!$L60)))),ROW()-7,""))</f>
        <v/>
      </c>
      <c r="P60" s="84" t="str">
        <f>IFERROR(INDEX('05_PRODUCTOS'!$L$8:$L$507,SMALL($O$8:$O$507,ROW()-7)),"")</f>
        <v/>
      </c>
      <c r="R60" s="84" t="str">
        <f t="shared" si="5"/>
        <v/>
      </c>
      <c r="S60" s="84" t="str">
        <f>IF(INDEX(tblProveedores[Proveedor],53)="","",53)</f>
        <v/>
      </c>
      <c r="T60" s="84" t="str">
        <f>IFERROR(INDEX(tblProveedores[Proveedor],SMALL($S$8:$S$107,53)),"")</f>
        <v/>
      </c>
    </row>
    <row r="61" spans="3:20" x14ac:dyDescent="0.25">
      <c r="C61" s="84" t="str">
        <f>IF(AND('05_PRODUCTOS'!$B61&lt;&gt;"",'05_PRODUCTOS'!$C61&lt;&gt;"",'05_PRODUCTOS'!$K61&lt;&gt;"NO",ISNUMBER(MATCH('05_PRODUCTOS'!$D61,lstCategorias,0))),'05_PRODUCTOS'!$D61,"")</f>
        <v/>
      </c>
      <c r="D61" s="84" t="str">
        <f>IF($C61="","",'05_PRODUCTOS'!$L61)</f>
        <v/>
      </c>
      <c r="E61" s="84" t="str">
        <f t="shared" si="0"/>
        <v/>
      </c>
      <c r="G61" s="85">
        <v>54</v>
      </c>
      <c r="H61" s="84" t="str">
        <f t="shared" si="1"/>
        <v/>
      </c>
      <c r="I61" s="84" t="str">
        <f t="shared" si="2"/>
        <v/>
      </c>
      <c r="J61" s="84" t="str">
        <f t="shared" si="3"/>
        <v/>
      </c>
      <c r="O61" s="84" t="str">
        <f>IF('05_PRODUCTOS'!$L61="","",IF(AND(OR(kxCategoria="",'05_PRODUCTOS'!$D61=kxCategoria),OR(kxBuscar="",ISNUMBER(SEARCH(kxBuscar,'05_PRODUCTOS'!$L61)))),ROW()-7,""))</f>
        <v/>
      </c>
      <c r="P61" s="84" t="str">
        <f>IFERROR(INDEX('05_PRODUCTOS'!$L$8:$L$507,SMALL($O$8:$O$507,ROW()-7)),"")</f>
        <v/>
      </c>
      <c r="R61" s="84" t="str">
        <f t="shared" si="5"/>
        <v/>
      </c>
      <c r="S61" s="84" t="str">
        <f>IF(INDEX(tblProveedores[Proveedor],54)="","",54)</f>
        <v/>
      </c>
      <c r="T61" s="84" t="str">
        <f>IFERROR(INDEX(tblProveedores[Proveedor],SMALL($S$8:$S$107,54)),"")</f>
        <v/>
      </c>
    </row>
    <row r="62" spans="3:20" x14ac:dyDescent="0.25">
      <c r="C62" s="84" t="str">
        <f>IF(AND('05_PRODUCTOS'!$B62&lt;&gt;"",'05_PRODUCTOS'!$C62&lt;&gt;"",'05_PRODUCTOS'!$K62&lt;&gt;"NO",ISNUMBER(MATCH('05_PRODUCTOS'!$D62,lstCategorias,0))),'05_PRODUCTOS'!$D62,"")</f>
        <v/>
      </c>
      <c r="D62" s="84" t="str">
        <f>IF($C62="","",'05_PRODUCTOS'!$L62)</f>
        <v/>
      </c>
      <c r="E62" s="84" t="str">
        <f t="shared" si="0"/>
        <v/>
      </c>
      <c r="G62" s="85">
        <v>55</v>
      </c>
      <c r="H62" s="84" t="str">
        <f t="shared" si="1"/>
        <v/>
      </c>
      <c r="I62" s="84" t="str">
        <f t="shared" si="2"/>
        <v/>
      </c>
      <c r="J62" s="84" t="str">
        <f t="shared" si="3"/>
        <v/>
      </c>
      <c r="O62" s="84" t="str">
        <f>IF('05_PRODUCTOS'!$L62="","",IF(AND(OR(kxCategoria="",'05_PRODUCTOS'!$D62=kxCategoria),OR(kxBuscar="",ISNUMBER(SEARCH(kxBuscar,'05_PRODUCTOS'!$L62)))),ROW()-7,""))</f>
        <v/>
      </c>
      <c r="P62" s="84" t="str">
        <f>IFERROR(INDEX('05_PRODUCTOS'!$L$8:$L$507,SMALL($O$8:$O$507,ROW()-7)),"")</f>
        <v/>
      </c>
      <c r="R62" s="84" t="str">
        <f t="shared" si="5"/>
        <v/>
      </c>
      <c r="S62" s="84" t="str">
        <f>IF(INDEX(tblProveedores[Proveedor],55)="","",55)</f>
        <v/>
      </c>
      <c r="T62" s="84" t="str">
        <f>IFERROR(INDEX(tblProveedores[Proveedor],SMALL($S$8:$S$107,55)),"")</f>
        <v/>
      </c>
    </row>
    <row r="63" spans="3:20" x14ac:dyDescent="0.25">
      <c r="C63" s="84" t="str">
        <f>IF(AND('05_PRODUCTOS'!$B63&lt;&gt;"",'05_PRODUCTOS'!$C63&lt;&gt;"",'05_PRODUCTOS'!$K63&lt;&gt;"NO",ISNUMBER(MATCH('05_PRODUCTOS'!$D63,lstCategorias,0))),'05_PRODUCTOS'!$D63,"")</f>
        <v/>
      </c>
      <c r="D63" s="84" t="str">
        <f>IF($C63="","",'05_PRODUCTOS'!$L63)</f>
        <v/>
      </c>
      <c r="E63" s="84" t="str">
        <f t="shared" si="0"/>
        <v/>
      </c>
      <c r="G63" s="85">
        <v>56</v>
      </c>
      <c r="H63" s="84" t="str">
        <f t="shared" si="1"/>
        <v/>
      </c>
      <c r="I63" s="84" t="str">
        <f t="shared" si="2"/>
        <v/>
      </c>
      <c r="J63" s="84" t="str">
        <f t="shared" si="3"/>
        <v/>
      </c>
      <c r="O63" s="84" t="str">
        <f>IF('05_PRODUCTOS'!$L63="","",IF(AND(OR(kxCategoria="",'05_PRODUCTOS'!$D63=kxCategoria),OR(kxBuscar="",ISNUMBER(SEARCH(kxBuscar,'05_PRODUCTOS'!$L63)))),ROW()-7,""))</f>
        <v/>
      </c>
      <c r="P63" s="84" t="str">
        <f>IFERROR(INDEX('05_PRODUCTOS'!$L$8:$L$507,SMALL($O$8:$O$507,ROW()-7)),"")</f>
        <v/>
      </c>
      <c r="R63" s="84" t="str">
        <f t="shared" si="5"/>
        <v/>
      </c>
      <c r="S63" s="84" t="str">
        <f>IF(INDEX(tblProveedores[Proveedor],56)="","",56)</f>
        <v/>
      </c>
      <c r="T63" s="84" t="str">
        <f>IFERROR(INDEX(tblProveedores[Proveedor],SMALL($S$8:$S$107,56)),"")</f>
        <v/>
      </c>
    </row>
    <row r="64" spans="3:20" x14ac:dyDescent="0.25">
      <c r="C64" s="84" t="str">
        <f>IF(AND('05_PRODUCTOS'!$B64&lt;&gt;"",'05_PRODUCTOS'!$C64&lt;&gt;"",'05_PRODUCTOS'!$K64&lt;&gt;"NO",ISNUMBER(MATCH('05_PRODUCTOS'!$D64,lstCategorias,0))),'05_PRODUCTOS'!$D64,"")</f>
        <v/>
      </c>
      <c r="D64" s="84" t="str">
        <f>IF($C64="","",'05_PRODUCTOS'!$L64)</f>
        <v/>
      </c>
      <c r="E64" s="84" t="str">
        <f t="shared" si="0"/>
        <v/>
      </c>
      <c r="G64" s="85">
        <v>57</v>
      </c>
      <c r="H64" s="84" t="str">
        <f t="shared" si="1"/>
        <v/>
      </c>
      <c r="I64" s="84" t="str">
        <f t="shared" si="2"/>
        <v/>
      </c>
      <c r="J64" s="84" t="str">
        <f t="shared" si="3"/>
        <v/>
      </c>
      <c r="O64" s="84" t="str">
        <f>IF('05_PRODUCTOS'!$L64="","",IF(AND(OR(kxCategoria="",'05_PRODUCTOS'!$D64=kxCategoria),OR(kxBuscar="",ISNUMBER(SEARCH(kxBuscar,'05_PRODUCTOS'!$L64)))),ROW()-7,""))</f>
        <v/>
      </c>
      <c r="P64" s="84" t="str">
        <f>IFERROR(INDEX('05_PRODUCTOS'!$L$8:$L$507,SMALL($O$8:$O$507,ROW()-7)),"")</f>
        <v/>
      </c>
      <c r="R64" s="84" t="str">
        <f t="shared" si="5"/>
        <v/>
      </c>
      <c r="S64" s="84" t="str">
        <f>IF(INDEX(tblProveedores[Proveedor],57)="","",57)</f>
        <v/>
      </c>
      <c r="T64" s="84" t="str">
        <f>IFERROR(INDEX(tblProveedores[Proveedor],SMALL($S$8:$S$107,57)),"")</f>
        <v/>
      </c>
    </row>
    <row r="65" spans="3:20" x14ac:dyDescent="0.25">
      <c r="C65" s="84" t="str">
        <f>IF(AND('05_PRODUCTOS'!$B65&lt;&gt;"",'05_PRODUCTOS'!$C65&lt;&gt;"",'05_PRODUCTOS'!$K65&lt;&gt;"NO",ISNUMBER(MATCH('05_PRODUCTOS'!$D65,lstCategorias,0))),'05_PRODUCTOS'!$D65,"")</f>
        <v/>
      </c>
      <c r="D65" s="84" t="str">
        <f>IF($C65="","",'05_PRODUCTOS'!$L65)</f>
        <v/>
      </c>
      <c r="E65" s="84" t="str">
        <f t="shared" si="0"/>
        <v/>
      </c>
      <c r="G65" s="85">
        <v>58</v>
      </c>
      <c r="H65" s="84" t="str">
        <f t="shared" si="1"/>
        <v/>
      </c>
      <c r="I65" s="84" t="str">
        <f t="shared" si="2"/>
        <v/>
      </c>
      <c r="J65" s="84" t="str">
        <f t="shared" si="3"/>
        <v/>
      </c>
      <c r="O65" s="84" t="str">
        <f>IF('05_PRODUCTOS'!$L65="","",IF(AND(OR(kxCategoria="",'05_PRODUCTOS'!$D65=kxCategoria),OR(kxBuscar="",ISNUMBER(SEARCH(kxBuscar,'05_PRODUCTOS'!$L65)))),ROW()-7,""))</f>
        <v/>
      </c>
      <c r="P65" s="84" t="str">
        <f>IFERROR(INDEX('05_PRODUCTOS'!$L$8:$L$507,SMALL($O$8:$O$507,ROW()-7)),"")</f>
        <v/>
      </c>
      <c r="R65" s="84" t="str">
        <f t="shared" si="5"/>
        <v/>
      </c>
      <c r="S65" s="84" t="str">
        <f>IF(INDEX(tblProveedores[Proveedor],58)="","",58)</f>
        <v/>
      </c>
      <c r="T65" s="84" t="str">
        <f>IFERROR(INDEX(tblProveedores[Proveedor],SMALL($S$8:$S$107,58)),"")</f>
        <v/>
      </c>
    </row>
    <row r="66" spans="3:20" x14ac:dyDescent="0.25">
      <c r="C66" s="84" t="str">
        <f>IF(AND('05_PRODUCTOS'!$B66&lt;&gt;"",'05_PRODUCTOS'!$C66&lt;&gt;"",'05_PRODUCTOS'!$K66&lt;&gt;"NO",ISNUMBER(MATCH('05_PRODUCTOS'!$D66,lstCategorias,0))),'05_PRODUCTOS'!$D66,"")</f>
        <v/>
      </c>
      <c r="D66" s="84" t="str">
        <f>IF($C66="","",'05_PRODUCTOS'!$L66)</f>
        <v/>
      </c>
      <c r="E66" s="84" t="str">
        <f t="shared" si="0"/>
        <v/>
      </c>
      <c r="G66" s="85">
        <v>59</v>
      </c>
      <c r="H66" s="84" t="str">
        <f t="shared" si="1"/>
        <v/>
      </c>
      <c r="I66" s="84" t="str">
        <f t="shared" si="2"/>
        <v/>
      </c>
      <c r="J66" s="84" t="str">
        <f t="shared" si="3"/>
        <v/>
      </c>
      <c r="O66" s="84" t="str">
        <f>IF('05_PRODUCTOS'!$L66="","",IF(AND(OR(kxCategoria="",'05_PRODUCTOS'!$D66=kxCategoria),OR(kxBuscar="",ISNUMBER(SEARCH(kxBuscar,'05_PRODUCTOS'!$L66)))),ROW()-7,""))</f>
        <v/>
      </c>
      <c r="P66" s="84" t="str">
        <f>IFERROR(INDEX('05_PRODUCTOS'!$L$8:$L$507,SMALL($O$8:$O$507,ROW()-7)),"")</f>
        <v/>
      </c>
      <c r="R66" s="84" t="str">
        <f t="shared" si="5"/>
        <v/>
      </c>
      <c r="S66" s="84" t="str">
        <f>IF(INDEX(tblProveedores[Proveedor],59)="","",59)</f>
        <v/>
      </c>
      <c r="T66" s="84" t="str">
        <f>IFERROR(INDEX(tblProveedores[Proveedor],SMALL($S$8:$S$107,59)),"")</f>
        <v/>
      </c>
    </row>
    <row r="67" spans="3:20" x14ac:dyDescent="0.25">
      <c r="C67" s="84" t="str">
        <f>IF(AND('05_PRODUCTOS'!$B67&lt;&gt;"",'05_PRODUCTOS'!$C67&lt;&gt;"",'05_PRODUCTOS'!$K67&lt;&gt;"NO",ISNUMBER(MATCH('05_PRODUCTOS'!$D67,lstCategorias,0))),'05_PRODUCTOS'!$D67,"")</f>
        <v/>
      </c>
      <c r="D67" s="84" t="str">
        <f>IF($C67="","",'05_PRODUCTOS'!$L67)</f>
        <v/>
      </c>
      <c r="E67" s="84" t="str">
        <f t="shared" si="0"/>
        <v/>
      </c>
      <c r="G67" s="85">
        <v>60</v>
      </c>
      <c r="H67" s="84" t="str">
        <f t="shared" si="1"/>
        <v/>
      </c>
      <c r="I67" s="84" t="str">
        <f t="shared" si="2"/>
        <v/>
      </c>
      <c r="J67" s="84" t="str">
        <f t="shared" si="3"/>
        <v/>
      </c>
      <c r="O67" s="84" t="str">
        <f>IF('05_PRODUCTOS'!$L67="","",IF(AND(OR(kxCategoria="",'05_PRODUCTOS'!$D67=kxCategoria),OR(kxBuscar="",ISNUMBER(SEARCH(kxBuscar,'05_PRODUCTOS'!$L67)))),ROW()-7,""))</f>
        <v/>
      </c>
      <c r="P67" s="84" t="str">
        <f>IFERROR(INDEX('05_PRODUCTOS'!$L$8:$L$507,SMALL($O$8:$O$507,ROW()-7)),"")</f>
        <v/>
      </c>
      <c r="R67" s="84" t="str">
        <f t="shared" si="5"/>
        <v/>
      </c>
      <c r="S67" s="84" t="str">
        <f>IF(INDEX(tblProveedores[Proveedor],60)="","",60)</f>
        <v/>
      </c>
      <c r="T67" s="84" t="str">
        <f>IFERROR(INDEX(tblProveedores[Proveedor],SMALL($S$8:$S$107,60)),"")</f>
        <v/>
      </c>
    </row>
    <row r="68" spans="3:20" x14ac:dyDescent="0.25">
      <c r="C68" s="84" t="str">
        <f>IF(AND('05_PRODUCTOS'!$B68&lt;&gt;"",'05_PRODUCTOS'!$C68&lt;&gt;"",'05_PRODUCTOS'!$K68&lt;&gt;"NO",ISNUMBER(MATCH('05_PRODUCTOS'!$D68,lstCategorias,0))),'05_PRODUCTOS'!$D68,"")</f>
        <v/>
      </c>
      <c r="D68" s="84" t="str">
        <f>IF($C68="","",'05_PRODUCTOS'!$L68)</f>
        <v/>
      </c>
      <c r="E68" s="84" t="str">
        <f t="shared" si="0"/>
        <v/>
      </c>
      <c r="G68" s="85">
        <v>61</v>
      </c>
      <c r="H68" s="84" t="str">
        <f t="shared" si="1"/>
        <v/>
      </c>
      <c r="I68" s="84" t="str">
        <f t="shared" si="2"/>
        <v/>
      </c>
      <c r="J68" s="84" t="str">
        <f t="shared" si="3"/>
        <v/>
      </c>
      <c r="O68" s="84" t="str">
        <f>IF('05_PRODUCTOS'!$L68="","",IF(AND(OR(kxCategoria="",'05_PRODUCTOS'!$D68=kxCategoria),OR(kxBuscar="",ISNUMBER(SEARCH(kxBuscar,'05_PRODUCTOS'!$L68)))),ROW()-7,""))</f>
        <v/>
      </c>
      <c r="P68" s="84" t="str">
        <f>IFERROR(INDEX('05_PRODUCTOS'!$L$8:$L$507,SMALL($O$8:$O$507,ROW()-7)),"")</f>
        <v/>
      </c>
      <c r="R68" s="84" t="str">
        <f t="shared" si="5"/>
        <v/>
      </c>
      <c r="S68" s="84" t="str">
        <f>IF(INDEX(tblProveedores[Proveedor],61)="","",61)</f>
        <v/>
      </c>
      <c r="T68" s="84" t="str">
        <f>IFERROR(INDEX(tblProveedores[Proveedor],SMALL($S$8:$S$107,61)),"")</f>
        <v/>
      </c>
    </row>
    <row r="69" spans="3:20" x14ac:dyDescent="0.25">
      <c r="C69" s="84" t="str">
        <f>IF(AND('05_PRODUCTOS'!$B69&lt;&gt;"",'05_PRODUCTOS'!$C69&lt;&gt;"",'05_PRODUCTOS'!$K69&lt;&gt;"NO",ISNUMBER(MATCH('05_PRODUCTOS'!$D69,lstCategorias,0))),'05_PRODUCTOS'!$D69,"")</f>
        <v/>
      </c>
      <c r="D69" s="84" t="str">
        <f>IF($C69="","",'05_PRODUCTOS'!$L69)</f>
        <v/>
      </c>
      <c r="E69" s="84" t="str">
        <f t="shared" si="0"/>
        <v/>
      </c>
      <c r="G69" s="85">
        <v>62</v>
      </c>
      <c r="H69" s="84" t="str">
        <f t="shared" si="1"/>
        <v/>
      </c>
      <c r="I69" s="84" t="str">
        <f t="shared" si="2"/>
        <v/>
      </c>
      <c r="J69" s="84" t="str">
        <f t="shared" si="3"/>
        <v/>
      </c>
      <c r="O69" s="84" t="str">
        <f>IF('05_PRODUCTOS'!$L69="","",IF(AND(OR(kxCategoria="",'05_PRODUCTOS'!$D69=kxCategoria),OR(kxBuscar="",ISNUMBER(SEARCH(kxBuscar,'05_PRODUCTOS'!$L69)))),ROW()-7,""))</f>
        <v/>
      </c>
      <c r="P69" s="84" t="str">
        <f>IFERROR(INDEX('05_PRODUCTOS'!$L$8:$L$507,SMALL($O$8:$O$507,ROW()-7)),"")</f>
        <v/>
      </c>
      <c r="R69" s="84" t="str">
        <f t="shared" si="5"/>
        <v/>
      </c>
      <c r="S69" s="84" t="str">
        <f>IF(INDEX(tblProveedores[Proveedor],62)="","",62)</f>
        <v/>
      </c>
      <c r="T69" s="84" t="str">
        <f>IFERROR(INDEX(tblProveedores[Proveedor],SMALL($S$8:$S$107,62)),"")</f>
        <v/>
      </c>
    </row>
    <row r="70" spans="3:20" x14ac:dyDescent="0.25">
      <c r="C70" s="84" t="str">
        <f>IF(AND('05_PRODUCTOS'!$B70&lt;&gt;"",'05_PRODUCTOS'!$C70&lt;&gt;"",'05_PRODUCTOS'!$K70&lt;&gt;"NO",ISNUMBER(MATCH('05_PRODUCTOS'!$D70,lstCategorias,0))),'05_PRODUCTOS'!$D70,"")</f>
        <v/>
      </c>
      <c r="D70" s="84" t="str">
        <f>IF($C70="","",'05_PRODUCTOS'!$L70)</f>
        <v/>
      </c>
      <c r="E70" s="84" t="str">
        <f t="shared" si="0"/>
        <v/>
      </c>
      <c r="G70" s="85">
        <v>63</v>
      </c>
      <c r="H70" s="84" t="str">
        <f t="shared" si="1"/>
        <v/>
      </c>
      <c r="I70" s="84" t="str">
        <f t="shared" si="2"/>
        <v/>
      </c>
      <c r="J70" s="84" t="str">
        <f t="shared" si="3"/>
        <v/>
      </c>
      <c r="O70" s="84" t="str">
        <f>IF('05_PRODUCTOS'!$L70="","",IF(AND(OR(kxCategoria="",'05_PRODUCTOS'!$D70=kxCategoria),OR(kxBuscar="",ISNUMBER(SEARCH(kxBuscar,'05_PRODUCTOS'!$L70)))),ROW()-7,""))</f>
        <v/>
      </c>
      <c r="P70" s="84" t="str">
        <f>IFERROR(INDEX('05_PRODUCTOS'!$L$8:$L$507,SMALL($O$8:$O$507,ROW()-7)),"")</f>
        <v/>
      </c>
      <c r="R70" s="84" t="str">
        <f t="shared" si="5"/>
        <v/>
      </c>
      <c r="S70" s="84" t="str">
        <f>IF(INDEX(tblProveedores[Proveedor],63)="","",63)</f>
        <v/>
      </c>
      <c r="T70" s="84" t="str">
        <f>IFERROR(INDEX(tblProveedores[Proveedor],SMALL($S$8:$S$107,63)),"")</f>
        <v/>
      </c>
    </row>
    <row r="71" spans="3:20" x14ac:dyDescent="0.25">
      <c r="C71" s="84" t="str">
        <f>IF(AND('05_PRODUCTOS'!$B71&lt;&gt;"",'05_PRODUCTOS'!$C71&lt;&gt;"",'05_PRODUCTOS'!$K71&lt;&gt;"NO",ISNUMBER(MATCH('05_PRODUCTOS'!$D71,lstCategorias,0))),'05_PRODUCTOS'!$D71,"")</f>
        <v/>
      </c>
      <c r="D71" s="84" t="str">
        <f>IF($C71="","",'05_PRODUCTOS'!$L71)</f>
        <v/>
      </c>
      <c r="E71" s="84" t="str">
        <f t="shared" si="0"/>
        <v/>
      </c>
      <c r="G71" s="85">
        <v>64</v>
      </c>
      <c r="H71" s="84" t="str">
        <f t="shared" si="1"/>
        <v/>
      </c>
      <c r="I71" s="84" t="str">
        <f t="shared" si="2"/>
        <v/>
      </c>
      <c r="J71" s="84" t="str">
        <f t="shared" si="3"/>
        <v/>
      </c>
      <c r="O71" s="84" t="str">
        <f>IF('05_PRODUCTOS'!$L71="","",IF(AND(OR(kxCategoria="",'05_PRODUCTOS'!$D71=kxCategoria),OR(kxBuscar="",ISNUMBER(SEARCH(kxBuscar,'05_PRODUCTOS'!$L71)))),ROW()-7,""))</f>
        <v/>
      </c>
      <c r="P71" s="84" t="str">
        <f>IFERROR(INDEX('05_PRODUCTOS'!$L$8:$L$507,SMALL($O$8:$O$507,ROW()-7)),"")</f>
        <v/>
      </c>
      <c r="R71" s="84" t="str">
        <f t="shared" si="5"/>
        <v/>
      </c>
      <c r="S71" s="84" t="str">
        <f>IF(INDEX(tblProveedores[Proveedor],64)="","",64)</f>
        <v/>
      </c>
      <c r="T71" s="84" t="str">
        <f>IFERROR(INDEX(tblProveedores[Proveedor],SMALL($S$8:$S$107,64)),"")</f>
        <v/>
      </c>
    </row>
    <row r="72" spans="3:20" x14ac:dyDescent="0.25">
      <c r="C72" s="84" t="str">
        <f>IF(AND('05_PRODUCTOS'!$B72&lt;&gt;"",'05_PRODUCTOS'!$C72&lt;&gt;"",'05_PRODUCTOS'!$K72&lt;&gt;"NO",ISNUMBER(MATCH('05_PRODUCTOS'!$D72,lstCategorias,0))),'05_PRODUCTOS'!$D72,"")</f>
        <v/>
      </c>
      <c r="D72" s="84" t="str">
        <f>IF($C72="","",'05_PRODUCTOS'!$L72)</f>
        <v/>
      </c>
      <c r="E72" s="84" t="str">
        <f t="shared" ref="E72:E135" si="6">IF($C72="","",MATCH($C72,lstCategorias,0)*1000+COUNTIFS($C$8:$C$507,$C72,$D$8:$D$507,"&lt;"&amp;$D72)+1+ROW()/100000)</f>
        <v/>
      </c>
      <c r="G72" s="85">
        <v>65</v>
      </c>
      <c r="H72" s="84" t="str">
        <f t="shared" ref="H72:H135" si="7">IFERROR(SMALL($E$8:$E$507,$G72),"")</f>
        <v/>
      </c>
      <c r="I72" s="84" t="str">
        <f t="shared" ref="I72:I135" si="8">IF($H72="","",INDEX($C$8:$C$507,MATCH($H72,$E$8:$E$507,0)))</f>
        <v/>
      </c>
      <c r="J72" s="84" t="str">
        <f t="shared" ref="J72:J135" si="9">IF($H72="","",INDEX($D$8:$D$507,MATCH($H72,$E$8:$E$507,0)))</f>
        <v/>
      </c>
      <c r="O72" s="84" t="str">
        <f>IF('05_PRODUCTOS'!$L72="","",IF(AND(OR(kxCategoria="",'05_PRODUCTOS'!$D72=kxCategoria),OR(kxBuscar="",ISNUMBER(SEARCH(kxBuscar,'05_PRODUCTOS'!$L72)))),ROW()-7,""))</f>
        <v/>
      </c>
      <c r="P72" s="84" t="str">
        <f>IFERROR(INDEX('05_PRODUCTOS'!$L$8:$L$507,SMALL($O$8:$O$507,ROW()-7)),"")</f>
        <v/>
      </c>
      <c r="R72" s="84" t="str">
        <f t="shared" si="5"/>
        <v/>
      </c>
      <c r="S72" s="84" t="str">
        <f>IF(INDEX(tblProveedores[Proveedor],65)="","",65)</f>
        <v/>
      </c>
      <c r="T72" s="84" t="str">
        <f>IFERROR(INDEX(tblProveedores[Proveedor],SMALL($S$8:$S$107,65)),"")</f>
        <v/>
      </c>
    </row>
    <row r="73" spans="3:20" x14ac:dyDescent="0.25">
      <c r="C73" s="84" t="str">
        <f>IF(AND('05_PRODUCTOS'!$B73&lt;&gt;"",'05_PRODUCTOS'!$C73&lt;&gt;"",'05_PRODUCTOS'!$K73&lt;&gt;"NO",ISNUMBER(MATCH('05_PRODUCTOS'!$D73,lstCategorias,0))),'05_PRODUCTOS'!$D73,"")</f>
        <v/>
      </c>
      <c r="D73" s="84" t="str">
        <f>IF($C73="","",'05_PRODUCTOS'!$L73)</f>
        <v/>
      </c>
      <c r="E73" s="84" t="str">
        <f t="shared" si="6"/>
        <v/>
      </c>
      <c r="G73" s="85">
        <v>66</v>
      </c>
      <c r="H73" s="84" t="str">
        <f t="shared" si="7"/>
        <v/>
      </c>
      <c r="I73" s="84" t="str">
        <f t="shared" si="8"/>
        <v/>
      </c>
      <c r="J73" s="84" t="str">
        <f t="shared" si="9"/>
        <v/>
      </c>
      <c r="O73" s="84" t="str">
        <f>IF('05_PRODUCTOS'!$L73="","",IF(AND(OR(kxCategoria="",'05_PRODUCTOS'!$D73=kxCategoria),OR(kxBuscar="",ISNUMBER(SEARCH(kxBuscar,'05_PRODUCTOS'!$L73)))),ROW()-7,""))</f>
        <v/>
      </c>
      <c r="P73" s="84" t="str">
        <f>IFERROR(INDEX('05_PRODUCTOS'!$L$8:$L$507,SMALL($O$8:$O$507,ROW()-7)),"")</f>
        <v/>
      </c>
      <c r="R73" s="84" t="str">
        <f t="shared" ref="R73:R108" si="10">$T72</f>
        <v/>
      </c>
      <c r="S73" s="84" t="str">
        <f>IF(INDEX(tblProveedores[Proveedor],66)="","",66)</f>
        <v/>
      </c>
      <c r="T73" s="84" t="str">
        <f>IFERROR(INDEX(tblProveedores[Proveedor],SMALL($S$8:$S$107,66)),"")</f>
        <v/>
      </c>
    </row>
    <row r="74" spans="3:20" x14ac:dyDescent="0.25">
      <c r="C74" s="84" t="str">
        <f>IF(AND('05_PRODUCTOS'!$B74&lt;&gt;"",'05_PRODUCTOS'!$C74&lt;&gt;"",'05_PRODUCTOS'!$K74&lt;&gt;"NO",ISNUMBER(MATCH('05_PRODUCTOS'!$D74,lstCategorias,0))),'05_PRODUCTOS'!$D74,"")</f>
        <v/>
      </c>
      <c r="D74" s="84" t="str">
        <f>IF($C74="","",'05_PRODUCTOS'!$L74)</f>
        <v/>
      </c>
      <c r="E74" s="84" t="str">
        <f t="shared" si="6"/>
        <v/>
      </c>
      <c r="G74" s="85">
        <v>67</v>
      </c>
      <c r="H74" s="84" t="str">
        <f t="shared" si="7"/>
        <v/>
      </c>
      <c r="I74" s="84" t="str">
        <f t="shared" si="8"/>
        <v/>
      </c>
      <c r="J74" s="84" t="str">
        <f t="shared" si="9"/>
        <v/>
      </c>
      <c r="O74" s="84" t="str">
        <f>IF('05_PRODUCTOS'!$L74="","",IF(AND(OR(kxCategoria="",'05_PRODUCTOS'!$D74=kxCategoria),OR(kxBuscar="",ISNUMBER(SEARCH(kxBuscar,'05_PRODUCTOS'!$L74)))),ROW()-7,""))</f>
        <v/>
      </c>
      <c r="P74" s="84" t="str">
        <f>IFERROR(INDEX('05_PRODUCTOS'!$L$8:$L$507,SMALL($O$8:$O$507,ROW()-7)),"")</f>
        <v/>
      </c>
      <c r="R74" s="84" t="str">
        <f t="shared" si="10"/>
        <v/>
      </c>
      <c r="S74" s="84" t="str">
        <f>IF(INDEX(tblProveedores[Proveedor],67)="","",67)</f>
        <v/>
      </c>
      <c r="T74" s="84" t="str">
        <f>IFERROR(INDEX(tblProveedores[Proveedor],SMALL($S$8:$S$107,67)),"")</f>
        <v/>
      </c>
    </row>
    <row r="75" spans="3:20" x14ac:dyDescent="0.25">
      <c r="C75" s="84" t="str">
        <f>IF(AND('05_PRODUCTOS'!$B75&lt;&gt;"",'05_PRODUCTOS'!$C75&lt;&gt;"",'05_PRODUCTOS'!$K75&lt;&gt;"NO",ISNUMBER(MATCH('05_PRODUCTOS'!$D75,lstCategorias,0))),'05_PRODUCTOS'!$D75,"")</f>
        <v/>
      </c>
      <c r="D75" s="84" t="str">
        <f>IF($C75="","",'05_PRODUCTOS'!$L75)</f>
        <v/>
      </c>
      <c r="E75" s="84" t="str">
        <f t="shared" si="6"/>
        <v/>
      </c>
      <c r="G75" s="85">
        <v>68</v>
      </c>
      <c r="H75" s="84" t="str">
        <f t="shared" si="7"/>
        <v/>
      </c>
      <c r="I75" s="84" t="str">
        <f t="shared" si="8"/>
        <v/>
      </c>
      <c r="J75" s="84" t="str">
        <f t="shared" si="9"/>
        <v/>
      </c>
      <c r="O75" s="84" t="str">
        <f>IF('05_PRODUCTOS'!$L75="","",IF(AND(OR(kxCategoria="",'05_PRODUCTOS'!$D75=kxCategoria),OR(kxBuscar="",ISNUMBER(SEARCH(kxBuscar,'05_PRODUCTOS'!$L75)))),ROW()-7,""))</f>
        <v/>
      </c>
      <c r="P75" s="84" t="str">
        <f>IFERROR(INDEX('05_PRODUCTOS'!$L$8:$L$507,SMALL($O$8:$O$507,ROW()-7)),"")</f>
        <v/>
      </c>
      <c r="R75" s="84" t="str">
        <f t="shared" si="10"/>
        <v/>
      </c>
      <c r="S75" s="84" t="str">
        <f>IF(INDEX(tblProveedores[Proveedor],68)="","",68)</f>
        <v/>
      </c>
      <c r="T75" s="84" t="str">
        <f>IFERROR(INDEX(tblProveedores[Proveedor],SMALL($S$8:$S$107,68)),"")</f>
        <v/>
      </c>
    </row>
    <row r="76" spans="3:20" x14ac:dyDescent="0.25">
      <c r="C76" s="84" t="str">
        <f>IF(AND('05_PRODUCTOS'!$B76&lt;&gt;"",'05_PRODUCTOS'!$C76&lt;&gt;"",'05_PRODUCTOS'!$K76&lt;&gt;"NO",ISNUMBER(MATCH('05_PRODUCTOS'!$D76,lstCategorias,0))),'05_PRODUCTOS'!$D76,"")</f>
        <v/>
      </c>
      <c r="D76" s="84" t="str">
        <f>IF($C76="","",'05_PRODUCTOS'!$L76)</f>
        <v/>
      </c>
      <c r="E76" s="84" t="str">
        <f t="shared" si="6"/>
        <v/>
      </c>
      <c r="G76" s="85">
        <v>69</v>
      </c>
      <c r="H76" s="84" t="str">
        <f t="shared" si="7"/>
        <v/>
      </c>
      <c r="I76" s="84" t="str">
        <f t="shared" si="8"/>
        <v/>
      </c>
      <c r="J76" s="84" t="str">
        <f t="shared" si="9"/>
        <v/>
      </c>
      <c r="O76" s="84" t="str">
        <f>IF('05_PRODUCTOS'!$L76="","",IF(AND(OR(kxCategoria="",'05_PRODUCTOS'!$D76=kxCategoria),OR(kxBuscar="",ISNUMBER(SEARCH(kxBuscar,'05_PRODUCTOS'!$L76)))),ROW()-7,""))</f>
        <v/>
      </c>
      <c r="P76" s="84" t="str">
        <f>IFERROR(INDEX('05_PRODUCTOS'!$L$8:$L$507,SMALL($O$8:$O$507,ROW()-7)),"")</f>
        <v/>
      </c>
      <c r="R76" s="84" t="str">
        <f t="shared" si="10"/>
        <v/>
      </c>
      <c r="S76" s="84" t="str">
        <f>IF(INDEX(tblProveedores[Proveedor],69)="","",69)</f>
        <v/>
      </c>
      <c r="T76" s="84" t="str">
        <f>IFERROR(INDEX(tblProveedores[Proveedor],SMALL($S$8:$S$107,69)),"")</f>
        <v/>
      </c>
    </row>
    <row r="77" spans="3:20" x14ac:dyDescent="0.25">
      <c r="C77" s="84" t="str">
        <f>IF(AND('05_PRODUCTOS'!$B77&lt;&gt;"",'05_PRODUCTOS'!$C77&lt;&gt;"",'05_PRODUCTOS'!$K77&lt;&gt;"NO",ISNUMBER(MATCH('05_PRODUCTOS'!$D77,lstCategorias,0))),'05_PRODUCTOS'!$D77,"")</f>
        <v/>
      </c>
      <c r="D77" s="84" t="str">
        <f>IF($C77="","",'05_PRODUCTOS'!$L77)</f>
        <v/>
      </c>
      <c r="E77" s="84" t="str">
        <f t="shared" si="6"/>
        <v/>
      </c>
      <c r="G77" s="85">
        <v>70</v>
      </c>
      <c r="H77" s="84" t="str">
        <f t="shared" si="7"/>
        <v/>
      </c>
      <c r="I77" s="84" t="str">
        <f t="shared" si="8"/>
        <v/>
      </c>
      <c r="J77" s="84" t="str">
        <f t="shared" si="9"/>
        <v/>
      </c>
      <c r="O77" s="84" t="str">
        <f>IF('05_PRODUCTOS'!$L77="","",IF(AND(OR(kxCategoria="",'05_PRODUCTOS'!$D77=kxCategoria),OR(kxBuscar="",ISNUMBER(SEARCH(kxBuscar,'05_PRODUCTOS'!$L77)))),ROW()-7,""))</f>
        <v/>
      </c>
      <c r="P77" s="84" t="str">
        <f>IFERROR(INDEX('05_PRODUCTOS'!$L$8:$L$507,SMALL($O$8:$O$507,ROW()-7)),"")</f>
        <v/>
      </c>
      <c r="R77" s="84" t="str">
        <f t="shared" si="10"/>
        <v/>
      </c>
      <c r="S77" s="84" t="str">
        <f>IF(INDEX(tblProveedores[Proveedor],70)="","",70)</f>
        <v/>
      </c>
      <c r="T77" s="84" t="str">
        <f>IFERROR(INDEX(tblProveedores[Proveedor],SMALL($S$8:$S$107,70)),"")</f>
        <v/>
      </c>
    </row>
    <row r="78" spans="3:20" x14ac:dyDescent="0.25">
      <c r="C78" s="84" t="str">
        <f>IF(AND('05_PRODUCTOS'!$B78&lt;&gt;"",'05_PRODUCTOS'!$C78&lt;&gt;"",'05_PRODUCTOS'!$K78&lt;&gt;"NO",ISNUMBER(MATCH('05_PRODUCTOS'!$D78,lstCategorias,0))),'05_PRODUCTOS'!$D78,"")</f>
        <v/>
      </c>
      <c r="D78" s="84" t="str">
        <f>IF($C78="","",'05_PRODUCTOS'!$L78)</f>
        <v/>
      </c>
      <c r="E78" s="84" t="str">
        <f t="shared" si="6"/>
        <v/>
      </c>
      <c r="G78" s="85">
        <v>71</v>
      </c>
      <c r="H78" s="84" t="str">
        <f t="shared" si="7"/>
        <v/>
      </c>
      <c r="I78" s="84" t="str">
        <f t="shared" si="8"/>
        <v/>
      </c>
      <c r="J78" s="84" t="str">
        <f t="shared" si="9"/>
        <v/>
      </c>
      <c r="O78" s="84" t="str">
        <f>IF('05_PRODUCTOS'!$L78="","",IF(AND(OR(kxCategoria="",'05_PRODUCTOS'!$D78=kxCategoria),OR(kxBuscar="",ISNUMBER(SEARCH(kxBuscar,'05_PRODUCTOS'!$L78)))),ROW()-7,""))</f>
        <v/>
      </c>
      <c r="P78" s="84" t="str">
        <f>IFERROR(INDEX('05_PRODUCTOS'!$L$8:$L$507,SMALL($O$8:$O$507,ROW()-7)),"")</f>
        <v/>
      </c>
      <c r="R78" s="84" t="str">
        <f t="shared" si="10"/>
        <v/>
      </c>
      <c r="S78" s="84" t="str">
        <f>IF(INDEX(tblProveedores[Proveedor],71)="","",71)</f>
        <v/>
      </c>
      <c r="T78" s="84" t="str">
        <f>IFERROR(INDEX(tblProveedores[Proveedor],SMALL($S$8:$S$107,71)),"")</f>
        <v/>
      </c>
    </row>
    <row r="79" spans="3:20" x14ac:dyDescent="0.25">
      <c r="C79" s="84" t="str">
        <f>IF(AND('05_PRODUCTOS'!$B79&lt;&gt;"",'05_PRODUCTOS'!$C79&lt;&gt;"",'05_PRODUCTOS'!$K79&lt;&gt;"NO",ISNUMBER(MATCH('05_PRODUCTOS'!$D79,lstCategorias,0))),'05_PRODUCTOS'!$D79,"")</f>
        <v/>
      </c>
      <c r="D79" s="84" t="str">
        <f>IF($C79="","",'05_PRODUCTOS'!$L79)</f>
        <v/>
      </c>
      <c r="E79" s="84" t="str">
        <f t="shared" si="6"/>
        <v/>
      </c>
      <c r="G79" s="85">
        <v>72</v>
      </c>
      <c r="H79" s="84" t="str">
        <f t="shared" si="7"/>
        <v/>
      </c>
      <c r="I79" s="84" t="str">
        <f t="shared" si="8"/>
        <v/>
      </c>
      <c r="J79" s="84" t="str">
        <f t="shared" si="9"/>
        <v/>
      </c>
      <c r="O79" s="84" t="str">
        <f>IF('05_PRODUCTOS'!$L79="","",IF(AND(OR(kxCategoria="",'05_PRODUCTOS'!$D79=kxCategoria),OR(kxBuscar="",ISNUMBER(SEARCH(kxBuscar,'05_PRODUCTOS'!$L79)))),ROW()-7,""))</f>
        <v/>
      </c>
      <c r="P79" s="84" t="str">
        <f>IFERROR(INDEX('05_PRODUCTOS'!$L$8:$L$507,SMALL($O$8:$O$507,ROW()-7)),"")</f>
        <v/>
      </c>
      <c r="R79" s="84" t="str">
        <f t="shared" si="10"/>
        <v/>
      </c>
      <c r="S79" s="84" t="str">
        <f>IF(INDEX(tblProveedores[Proveedor],72)="","",72)</f>
        <v/>
      </c>
      <c r="T79" s="84" t="str">
        <f>IFERROR(INDEX(tblProveedores[Proveedor],SMALL($S$8:$S$107,72)),"")</f>
        <v/>
      </c>
    </row>
    <row r="80" spans="3:20" x14ac:dyDescent="0.25">
      <c r="C80" s="84" t="str">
        <f>IF(AND('05_PRODUCTOS'!$B80&lt;&gt;"",'05_PRODUCTOS'!$C80&lt;&gt;"",'05_PRODUCTOS'!$K80&lt;&gt;"NO",ISNUMBER(MATCH('05_PRODUCTOS'!$D80,lstCategorias,0))),'05_PRODUCTOS'!$D80,"")</f>
        <v/>
      </c>
      <c r="D80" s="84" t="str">
        <f>IF($C80="","",'05_PRODUCTOS'!$L80)</f>
        <v/>
      </c>
      <c r="E80" s="84" t="str">
        <f t="shared" si="6"/>
        <v/>
      </c>
      <c r="G80" s="85">
        <v>73</v>
      </c>
      <c r="H80" s="84" t="str">
        <f t="shared" si="7"/>
        <v/>
      </c>
      <c r="I80" s="84" t="str">
        <f t="shared" si="8"/>
        <v/>
      </c>
      <c r="J80" s="84" t="str">
        <f t="shared" si="9"/>
        <v/>
      </c>
      <c r="O80" s="84" t="str">
        <f>IF('05_PRODUCTOS'!$L80="","",IF(AND(OR(kxCategoria="",'05_PRODUCTOS'!$D80=kxCategoria),OR(kxBuscar="",ISNUMBER(SEARCH(kxBuscar,'05_PRODUCTOS'!$L80)))),ROW()-7,""))</f>
        <v/>
      </c>
      <c r="P80" s="84" t="str">
        <f>IFERROR(INDEX('05_PRODUCTOS'!$L$8:$L$507,SMALL($O$8:$O$507,ROW()-7)),"")</f>
        <v/>
      </c>
      <c r="R80" s="84" t="str">
        <f t="shared" si="10"/>
        <v/>
      </c>
      <c r="S80" s="84" t="str">
        <f>IF(INDEX(tblProveedores[Proveedor],73)="","",73)</f>
        <v/>
      </c>
      <c r="T80" s="84" t="str">
        <f>IFERROR(INDEX(tblProveedores[Proveedor],SMALL($S$8:$S$107,73)),"")</f>
        <v/>
      </c>
    </row>
    <row r="81" spans="3:20" x14ac:dyDescent="0.25">
      <c r="C81" s="84" t="str">
        <f>IF(AND('05_PRODUCTOS'!$B81&lt;&gt;"",'05_PRODUCTOS'!$C81&lt;&gt;"",'05_PRODUCTOS'!$K81&lt;&gt;"NO",ISNUMBER(MATCH('05_PRODUCTOS'!$D81,lstCategorias,0))),'05_PRODUCTOS'!$D81,"")</f>
        <v/>
      </c>
      <c r="D81" s="84" t="str">
        <f>IF($C81="","",'05_PRODUCTOS'!$L81)</f>
        <v/>
      </c>
      <c r="E81" s="84" t="str">
        <f t="shared" si="6"/>
        <v/>
      </c>
      <c r="G81" s="85">
        <v>74</v>
      </c>
      <c r="H81" s="84" t="str">
        <f t="shared" si="7"/>
        <v/>
      </c>
      <c r="I81" s="84" t="str">
        <f t="shared" si="8"/>
        <v/>
      </c>
      <c r="J81" s="84" t="str">
        <f t="shared" si="9"/>
        <v/>
      </c>
      <c r="O81" s="84" t="str">
        <f>IF('05_PRODUCTOS'!$L81="","",IF(AND(OR(kxCategoria="",'05_PRODUCTOS'!$D81=kxCategoria),OR(kxBuscar="",ISNUMBER(SEARCH(kxBuscar,'05_PRODUCTOS'!$L81)))),ROW()-7,""))</f>
        <v/>
      </c>
      <c r="P81" s="84" t="str">
        <f>IFERROR(INDEX('05_PRODUCTOS'!$L$8:$L$507,SMALL($O$8:$O$507,ROW()-7)),"")</f>
        <v/>
      </c>
      <c r="R81" s="84" t="str">
        <f t="shared" si="10"/>
        <v/>
      </c>
      <c r="S81" s="84" t="str">
        <f>IF(INDEX(tblProveedores[Proveedor],74)="","",74)</f>
        <v/>
      </c>
      <c r="T81" s="84" t="str">
        <f>IFERROR(INDEX(tblProveedores[Proveedor],SMALL($S$8:$S$107,74)),"")</f>
        <v/>
      </c>
    </row>
    <row r="82" spans="3:20" x14ac:dyDescent="0.25">
      <c r="C82" s="84" t="str">
        <f>IF(AND('05_PRODUCTOS'!$B82&lt;&gt;"",'05_PRODUCTOS'!$C82&lt;&gt;"",'05_PRODUCTOS'!$K82&lt;&gt;"NO",ISNUMBER(MATCH('05_PRODUCTOS'!$D82,lstCategorias,0))),'05_PRODUCTOS'!$D82,"")</f>
        <v/>
      </c>
      <c r="D82" s="84" t="str">
        <f>IF($C82="","",'05_PRODUCTOS'!$L82)</f>
        <v/>
      </c>
      <c r="E82" s="84" t="str">
        <f t="shared" si="6"/>
        <v/>
      </c>
      <c r="G82" s="85">
        <v>75</v>
      </c>
      <c r="H82" s="84" t="str">
        <f t="shared" si="7"/>
        <v/>
      </c>
      <c r="I82" s="84" t="str">
        <f t="shared" si="8"/>
        <v/>
      </c>
      <c r="J82" s="84" t="str">
        <f t="shared" si="9"/>
        <v/>
      </c>
      <c r="O82" s="84" t="str">
        <f>IF('05_PRODUCTOS'!$L82="","",IF(AND(OR(kxCategoria="",'05_PRODUCTOS'!$D82=kxCategoria),OR(kxBuscar="",ISNUMBER(SEARCH(kxBuscar,'05_PRODUCTOS'!$L82)))),ROW()-7,""))</f>
        <v/>
      </c>
      <c r="P82" s="84" t="str">
        <f>IFERROR(INDEX('05_PRODUCTOS'!$L$8:$L$507,SMALL($O$8:$O$507,ROW()-7)),"")</f>
        <v/>
      </c>
      <c r="R82" s="84" t="str">
        <f t="shared" si="10"/>
        <v/>
      </c>
      <c r="S82" s="84" t="str">
        <f>IF(INDEX(tblProveedores[Proveedor],75)="","",75)</f>
        <v/>
      </c>
      <c r="T82" s="84" t="str">
        <f>IFERROR(INDEX(tblProveedores[Proveedor],SMALL($S$8:$S$107,75)),"")</f>
        <v/>
      </c>
    </row>
    <row r="83" spans="3:20" x14ac:dyDescent="0.25">
      <c r="C83" s="84" t="str">
        <f>IF(AND('05_PRODUCTOS'!$B83&lt;&gt;"",'05_PRODUCTOS'!$C83&lt;&gt;"",'05_PRODUCTOS'!$K83&lt;&gt;"NO",ISNUMBER(MATCH('05_PRODUCTOS'!$D83,lstCategorias,0))),'05_PRODUCTOS'!$D83,"")</f>
        <v/>
      </c>
      <c r="D83" s="84" t="str">
        <f>IF($C83="","",'05_PRODUCTOS'!$L83)</f>
        <v/>
      </c>
      <c r="E83" s="84" t="str">
        <f t="shared" si="6"/>
        <v/>
      </c>
      <c r="G83" s="85">
        <v>76</v>
      </c>
      <c r="H83" s="84" t="str">
        <f t="shared" si="7"/>
        <v/>
      </c>
      <c r="I83" s="84" t="str">
        <f t="shared" si="8"/>
        <v/>
      </c>
      <c r="J83" s="84" t="str">
        <f t="shared" si="9"/>
        <v/>
      </c>
      <c r="O83" s="84" t="str">
        <f>IF('05_PRODUCTOS'!$L83="","",IF(AND(OR(kxCategoria="",'05_PRODUCTOS'!$D83=kxCategoria),OR(kxBuscar="",ISNUMBER(SEARCH(kxBuscar,'05_PRODUCTOS'!$L83)))),ROW()-7,""))</f>
        <v/>
      </c>
      <c r="P83" s="84" t="str">
        <f>IFERROR(INDEX('05_PRODUCTOS'!$L$8:$L$507,SMALL($O$8:$O$507,ROW()-7)),"")</f>
        <v/>
      </c>
      <c r="R83" s="84" t="str">
        <f t="shared" si="10"/>
        <v/>
      </c>
      <c r="S83" s="84" t="str">
        <f>IF(INDEX(tblProveedores[Proveedor],76)="","",76)</f>
        <v/>
      </c>
      <c r="T83" s="84" t="str">
        <f>IFERROR(INDEX(tblProveedores[Proveedor],SMALL($S$8:$S$107,76)),"")</f>
        <v/>
      </c>
    </row>
    <row r="84" spans="3:20" x14ac:dyDescent="0.25">
      <c r="C84" s="84" t="str">
        <f>IF(AND('05_PRODUCTOS'!$B84&lt;&gt;"",'05_PRODUCTOS'!$C84&lt;&gt;"",'05_PRODUCTOS'!$K84&lt;&gt;"NO",ISNUMBER(MATCH('05_PRODUCTOS'!$D84,lstCategorias,0))),'05_PRODUCTOS'!$D84,"")</f>
        <v/>
      </c>
      <c r="D84" s="84" t="str">
        <f>IF($C84="","",'05_PRODUCTOS'!$L84)</f>
        <v/>
      </c>
      <c r="E84" s="84" t="str">
        <f t="shared" si="6"/>
        <v/>
      </c>
      <c r="G84" s="85">
        <v>77</v>
      </c>
      <c r="H84" s="84" t="str">
        <f t="shared" si="7"/>
        <v/>
      </c>
      <c r="I84" s="84" t="str">
        <f t="shared" si="8"/>
        <v/>
      </c>
      <c r="J84" s="84" t="str">
        <f t="shared" si="9"/>
        <v/>
      </c>
      <c r="O84" s="84" t="str">
        <f>IF('05_PRODUCTOS'!$L84="","",IF(AND(OR(kxCategoria="",'05_PRODUCTOS'!$D84=kxCategoria),OR(kxBuscar="",ISNUMBER(SEARCH(kxBuscar,'05_PRODUCTOS'!$L84)))),ROW()-7,""))</f>
        <v/>
      </c>
      <c r="P84" s="84" t="str">
        <f>IFERROR(INDEX('05_PRODUCTOS'!$L$8:$L$507,SMALL($O$8:$O$507,ROW()-7)),"")</f>
        <v/>
      </c>
      <c r="R84" s="84" t="str">
        <f t="shared" si="10"/>
        <v/>
      </c>
      <c r="S84" s="84" t="str">
        <f>IF(INDEX(tblProveedores[Proveedor],77)="","",77)</f>
        <v/>
      </c>
      <c r="T84" s="84" t="str">
        <f>IFERROR(INDEX(tblProveedores[Proveedor],SMALL($S$8:$S$107,77)),"")</f>
        <v/>
      </c>
    </row>
    <row r="85" spans="3:20" x14ac:dyDescent="0.25">
      <c r="C85" s="84" t="str">
        <f>IF(AND('05_PRODUCTOS'!$B85&lt;&gt;"",'05_PRODUCTOS'!$C85&lt;&gt;"",'05_PRODUCTOS'!$K85&lt;&gt;"NO",ISNUMBER(MATCH('05_PRODUCTOS'!$D85,lstCategorias,0))),'05_PRODUCTOS'!$D85,"")</f>
        <v/>
      </c>
      <c r="D85" s="84" t="str">
        <f>IF($C85="","",'05_PRODUCTOS'!$L85)</f>
        <v/>
      </c>
      <c r="E85" s="84" t="str">
        <f t="shared" si="6"/>
        <v/>
      </c>
      <c r="G85" s="85">
        <v>78</v>
      </c>
      <c r="H85" s="84" t="str">
        <f t="shared" si="7"/>
        <v/>
      </c>
      <c r="I85" s="84" t="str">
        <f t="shared" si="8"/>
        <v/>
      </c>
      <c r="J85" s="84" t="str">
        <f t="shared" si="9"/>
        <v/>
      </c>
      <c r="O85" s="84" t="str">
        <f>IF('05_PRODUCTOS'!$L85="","",IF(AND(OR(kxCategoria="",'05_PRODUCTOS'!$D85=kxCategoria),OR(kxBuscar="",ISNUMBER(SEARCH(kxBuscar,'05_PRODUCTOS'!$L85)))),ROW()-7,""))</f>
        <v/>
      </c>
      <c r="P85" s="84" t="str">
        <f>IFERROR(INDEX('05_PRODUCTOS'!$L$8:$L$507,SMALL($O$8:$O$507,ROW()-7)),"")</f>
        <v/>
      </c>
      <c r="R85" s="84" t="str">
        <f t="shared" si="10"/>
        <v/>
      </c>
      <c r="S85" s="84" t="str">
        <f>IF(INDEX(tblProveedores[Proveedor],78)="","",78)</f>
        <v/>
      </c>
      <c r="T85" s="84" t="str">
        <f>IFERROR(INDEX(tblProveedores[Proveedor],SMALL($S$8:$S$107,78)),"")</f>
        <v/>
      </c>
    </row>
    <row r="86" spans="3:20" x14ac:dyDescent="0.25">
      <c r="C86" s="84" t="str">
        <f>IF(AND('05_PRODUCTOS'!$B86&lt;&gt;"",'05_PRODUCTOS'!$C86&lt;&gt;"",'05_PRODUCTOS'!$K86&lt;&gt;"NO",ISNUMBER(MATCH('05_PRODUCTOS'!$D86,lstCategorias,0))),'05_PRODUCTOS'!$D86,"")</f>
        <v/>
      </c>
      <c r="D86" s="84" t="str">
        <f>IF($C86="","",'05_PRODUCTOS'!$L86)</f>
        <v/>
      </c>
      <c r="E86" s="84" t="str">
        <f t="shared" si="6"/>
        <v/>
      </c>
      <c r="G86" s="85">
        <v>79</v>
      </c>
      <c r="H86" s="84" t="str">
        <f t="shared" si="7"/>
        <v/>
      </c>
      <c r="I86" s="84" t="str">
        <f t="shared" si="8"/>
        <v/>
      </c>
      <c r="J86" s="84" t="str">
        <f t="shared" si="9"/>
        <v/>
      </c>
      <c r="O86" s="84" t="str">
        <f>IF('05_PRODUCTOS'!$L86="","",IF(AND(OR(kxCategoria="",'05_PRODUCTOS'!$D86=kxCategoria),OR(kxBuscar="",ISNUMBER(SEARCH(kxBuscar,'05_PRODUCTOS'!$L86)))),ROW()-7,""))</f>
        <v/>
      </c>
      <c r="P86" s="84" t="str">
        <f>IFERROR(INDEX('05_PRODUCTOS'!$L$8:$L$507,SMALL($O$8:$O$507,ROW()-7)),"")</f>
        <v/>
      </c>
      <c r="R86" s="84" t="str">
        <f t="shared" si="10"/>
        <v/>
      </c>
      <c r="S86" s="84" t="str">
        <f>IF(INDEX(tblProveedores[Proveedor],79)="","",79)</f>
        <v/>
      </c>
      <c r="T86" s="84" t="str">
        <f>IFERROR(INDEX(tblProveedores[Proveedor],SMALL($S$8:$S$107,79)),"")</f>
        <v/>
      </c>
    </row>
    <row r="87" spans="3:20" x14ac:dyDescent="0.25">
      <c r="C87" s="84" t="str">
        <f>IF(AND('05_PRODUCTOS'!$B87&lt;&gt;"",'05_PRODUCTOS'!$C87&lt;&gt;"",'05_PRODUCTOS'!$K87&lt;&gt;"NO",ISNUMBER(MATCH('05_PRODUCTOS'!$D87,lstCategorias,0))),'05_PRODUCTOS'!$D87,"")</f>
        <v/>
      </c>
      <c r="D87" s="84" t="str">
        <f>IF($C87="","",'05_PRODUCTOS'!$L87)</f>
        <v/>
      </c>
      <c r="E87" s="84" t="str">
        <f t="shared" si="6"/>
        <v/>
      </c>
      <c r="G87" s="85">
        <v>80</v>
      </c>
      <c r="H87" s="84" t="str">
        <f t="shared" si="7"/>
        <v/>
      </c>
      <c r="I87" s="84" t="str">
        <f t="shared" si="8"/>
        <v/>
      </c>
      <c r="J87" s="84" t="str">
        <f t="shared" si="9"/>
        <v/>
      </c>
      <c r="O87" s="84" t="str">
        <f>IF('05_PRODUCTOS'!$L87="","",IF(AND(OR(kxCategoria="",'05_PRODUCTOS'!$D87=kxCategoria),OR(kxBuscar="",ISNUMBER(SEARCH(kxBuscar,'05_PRODUCTOS'!$L87)))),ROW()-7,""))</f>
        <v/>
      </c>
      <c r="P87" s="84" t="str">
        <f>IFERROR(INDEX('05_PRODUCTOS'!$L$8:$L$507,SMALL($O$8:$O$507,ROW()-7)),"")</f>
        <v/>
      </c>
      <c r="R87" s="84" t="str">
        <f t="shared" si="10"/>
        <v/>
      </c>
      <c r="S87" s="84" t="str">
        <f>IF(INDEX(tblProveedores[Proveedor],80)="","",80)</f>
        <v/>
      </c>
      <c r="T87" s="84" t="str">
        <f>IFERROR(INDEX(tblProveedores[Proveedor],SMALL($S$8:$S$107,80)),"")</f>
        <v/>
      </c>
    </row>
    <row r="88" spans="3:20" x14ac:dyDescent="0.25">
      <c r="C88" s="84" t="str">
        <f>IF(AND('05_PRODUCTOS'!$B88&lt;&gt;"",'05_PRODUCTOS'!$C88&lt;&gt;"",'05_PRODUCTOS'!$K88&lt;&gt;"NO",ISNUMBER(MATCH('05_PRODUCTOS'!$D88,lstCategorias,0))),'05_PRODUCTOS'!$D88,"")</f>
        <v/>
      </c>
      <c r="D88" s="84" t="str">
        <f>IF($C88="","",'05_PRODUCTOS'!$L88)</f>
        <v/>
      </c>
      <c r="E88" s="84" t="str">
        <f t="shared" si="6"/>
        <v/>
      </c>
      <c r="G88" s="85">
        <v>81</v>
      </c>
      <c r="H88" s="84" t="str">
        <f t="shared" si="7"/>
        <v/>
      </c>
      <c r="I88" s="84" t="str">
        <f t="shared" si="8"/>
        <v/>
      </c>
      <c r="J88" s="84" t="str">
        <f t="shared" si="9"/>
        <v/>
      </c>
      <c r="O88" s="84" t="str">
        <f>IF('05_PRODUCTOS'!$L88="","",IF(AND(OR(kxCategoria="",'05_PRODUCTOS'!$D88=kxCategoria),OR(kxBuscar="",ISNUMBER(SEARCH(kxBuscar,'05_PRODUCTOS'!$L88)))),ROW()-7,""))</f>
        <v/>
      </c>
      <c r="P88" s="84" t="str">
        <f>IFERROR(INDEX('05_PRODUCTOS'!$L$8:$L$507,SMALL($O$8:$O$507,ROW()-7)),"")</f>
        <v/>
      </c>
      <c r="R88" s="84" t="str">
        <f t="shared" si="10"/>
        <v/>
      </c>
      <c r="S88" s="84" t="str">
        <f>IF(INDEX(tblProveedores[Proveedor],81)="","",81)</f>
        <v/>
      </c>
      <c r="T88" s="84" t="str">
        <f>IFERROR(INDEX(tblProveedores[Proveedor],SMALL($S$8:$S$107,81)),"")</f>
        <v/>
      </c>
    </row>
    <row r="89" spans="3:20" x14ac:dyDescent="0.25">
      <c r="C89" s="84" t="str">
        <f>IF(AND('05_PRODUCTOS'!$B89&lt;&gt;"",'05_PRODUCTOS'!$C89&lt;&gt;"",'05_PRODUCTOS'!$K89&lt;&gt;"NO",ISNUMBER(MATCH('05_PRODUCTOS'!$D89,lstCategorias,0))),'05_PRODUCTOS'!$D89,"")</f>
        <v/>
      </c>
      <c r="D89" s="84" t="str">
        <f>IF($C89="","",'05_PRODUCTOS'!$L89)</f>
        <v/>
      </c>
      <c r="E89" s="84" t="str">
        <f t="shared" si="6"/>
        <v/>
      </c>
      <c r="G89" s="85">
        <v>82</v>
      </c>
      <c r="H89" s="84" t="str">
        <f t="shared" si="7"/>
        <v/>
      </c>
      <c r="I89" s="84" t="str">
        <f t="shared" si="8"/>
        <v/>
      </c>
      <c r="J89" s="84" t="str">
        <f t="shared" si="9"/>
        <v/>
      </c>
      <c r="O89" s="84" t="str">
        <f>IF('05_PRODUCTOS'!$L89="","",IF(AND(OR(kxCategoria="",'05_PRODUCTOS'!$D89=kxCategoria),OR(kxBuscar="",ISNUMBER(SEARCH(kxBuscar,'05_PRODUCTOS'!$L89)))),ROW()-7,""))</f>
        <v/>
      </c>
      <c r="P89" s="84" t="str">
        <f>IFERROR(INDEX('05_PRODUCTOS'!$L$8:$L$507,SMALL($O$8:$O$507,ROW()-7)),"")</f>
        <v/>
      </c>
      <c r="R89" s="84" t="str">
        <f t="shared" si="10"/>
        <v/>
      </c>
      <c r="S89" s="84" t="str">
        <f>IF(INDEX(tblProveedores[Proveedor],82)="","",82)</f>
        <v/>
      </c>
      <c r="T89" s="84" t="str">
        <f>IFERROR(INDEX(tblProveedores[Proveedor],SMALL($S$8:$S$107,82)),"")</f>
        <v/>
      </c>
    </row>
    <row r="90" spans="3:20" x14ac:dyDescent="0.25">
      <c r="C90" s="84" t="str">
        <f>IF(AND('05_PRODUCTOS'!$B90&lt;&gt;"",'05_PRODUCTOS'!$C90&lt;&gt;"",'05_PRODUCTOS'!$K90&lt;&gt;"NO",ISNUMBER(MATCH('05_PRODUCTOS'!$D90,lstCategorias,0))),'05_PRODUCTOS'!$D90,"")</f>
        <v/>
      </c>
      <c r="D90" s="84" t="str">
        <f>IF($C90="","",'05_PRODUCTOS'!$L90)</f>
        <v/>
      </c>
      <c r="E90" s="84" t="str">
        <f t="shared" si="6"/>
        <v/>
      </c>
      <c r="G90" s="85">
        <v>83</v>
      </c>
      <c r="H90" s="84" t="str">
        <f t="shared" si="7"/>
        <v/>
      </c>
      <c r="I90" s="84" t="str">
        <f t="shared" si="8"/>
        <v/>
      </c>
      <c r="J90" s="84" t="str">
        <f t="shared" si="9"/>
        <v/>
      </c>
      <c r="O90" s="84" t="str">
        <f>IF('05_PRODUCTOS'!$L90="","",IF(AND(OR(kxCategoria="",'05_PRODUCTOS'!$D90=kxCategoria),OR(kxBuscar="",ISNUMBER(SEARCH(kxBuscar,'05_PRODUCTOS'!$L90)))),ROW()-7,""))</f>
        <v/>
      </c>
      <c r="P90" s="84" t="str">
        <f>IFERROR(INDEX('05_PRODUCTOS'!$L$8:$L$507,SMALL($O$8:$O$507,ROW()-7)),"")</f>
        <v/>
      </c>
      <c r="R90" s="84" t="str">
        <f t="shared" si="10"/>
        <v/>
      </c>
      <c r="S90" s="84" t="str">
        <f>IF(INDEX(tblProveedores[Proveedor],83)="","",83)</f>
        <v/>
      </c>
      <c r="T90" s="84" t="str">
        <f>IFERROR(INDEX(tblProveedores[Proveedor],SMALL($S$8:$S$107,83)),"")</f>
        <v/>
      </c>
    </row>
    <row r="91" spans="3:20" x14ac:dyDescent="0.25">
      <c r="C91" s="84" t="str">
        <f>IF(AND('05_PRODUCTOS'!$B91&lt;&gt;"",'05_PRODUCTOS'!$C91&lt;&gt;"",'05_PRODUCTOS'!$K91&lt;&gt;"NO",ISNUMBER(MATCH('05_PRODUCTOS'!$D91,lstCategorias,0))),'05_PRODUCTOS'!$D91,"")</f>
        <v/>
      </c>
      <c r="D91" s="84" t="str">
        <f>IF($C91="","",'05_PRODUCTOS'!$L91)</f>
        <v/>
      </c>
      <c r="E91" s="84" t="str">
        <f t="shared" si="6"/>
        <v/>
      </c>
      <c r="G91" s="85">
        <v>84</v>
      </c>
      <c r="H91" s="84" t="str">
        <f t="shared" si="7"/>
        <v/>
      </c>
      <c r="I91" s="84" t="str">
        <f t="shared" si="8"/>
        <v/>
      </c>
      <c r="J91" s="84" t="str">
        <f t="shared" si="9"/>
        <v/>
      </c>
      <c r="O91" s="84" t="str">
        <f>IF('05_PRODUCTOS'!$L91="","",IF(AND(OR(kxCategoria="",'05_PRODUCTOS'!$D91=kxCategoria),OR(kxBuscar="",ISNUMBER(SEARCH(kxBuscar,'05_PRODUCTOS'!$L91)))),ROW()-7,""))</f>
        <v/>
      </c>
      <c r="P91" s="84" t="str">
        <f>IFERROR(INDEX('05_PRODUCTOS'!$L$8:$L$507,SMALL($O$8:$O$507,ROW()-7)),"")</f>
        <v/>
      </c>
      <c r="R91" s="84" t="str">
        <f t="shared" si="10"/>
        <v/>
      </c>
      <c r="S91" s="84" t="str">
        <f>IF(INDEX(tblProveedores[Proveedor],84)="","",84)</f>
        <v/>
      </c>
      <c r="T91" s="84" t="str">
        <f>IFERROR(INDEX(tblProveedores[Proveedor],SMALL($S$8:$S$107,84)),"")</f>
        <v/>
      </c>
    </row>
    <row r="92" spans="3:20" x14ac:dyDescent="0.25">
      <c r="C92" s="84" t="str">
        <f>IF(AND('05_PRODUCTOS'!$B92&lt;&gt;"",'05_PRODUCTOS'!$C92&lt;&gt;"",'05_PRODUCTOS'!$K92&lt;&gt;"NO",ISNUMBER(MATCH('05_PRODUCTOS'!$D92,lstCategorias,0))),'05_PRODUCTOS'!$D92,"")</f>
        <v/>
      </c>
      <c r="D92" s="84" t="str">
        <f>IF($C92="","",'05_PRODUCTOS'!$L92)</f>
        <v/>
      </c>
      <c r="E92" s="84" t="str">
        <f t="shared" si="6"/>
        <v/>
      </c>
      <c r="G92" s="85">
        <v>85</v>
      </c>
      <c r="H92" s="84" t="str">
        <f t="shared" si="7"/>
        <v/>
      </c>
      <c r="I92" s="84" t="str">
        <f t="shared" si="8"/>
        <v/>
      </c>
      <c r="J92" s="84" t="str">
        <f t="shared" si="9"/>
        <v/>
      </c>
      <c r="O92" s="84" t="str">
        <f>IF('05_PRODUCTOS'!$L92="","",IF(AND(OR(kxCategoria="",'05_PRODUCTOS'!$D92=kxCategoria),OR(kxBuscar="",ISNUMBER(SEARCH(kxBuscar,'05_PRODUCTOS'!$L92)))),ROW()-7,""))</f>
        <v/>
      </c>
      <c r="P92" s="84" t="str">
        <f>IFERROR(INDEX('05_PRODUCTOS'!$L$8:$L$507,SMALL($O$8:$O$507,ROW()-7)),"")</f>
        <v/>
      </c>
      <c r="R92" s="84" t="str">
        <f t="shared" si="10"/>
        <v/>
      </c>
      <c r="S92" s="84" t="str">
        <f>IF(INDEX(tblProveedores[Proveedor],85)="","",85)</f>
        <v/>
      </c>
      <c r="T92" s="84" t="str">
        <f>IFERROR(INDEX(tblProveedores[Proveedor],SMALL($S$8:$S$107,85)),"")</f>
        <v/>
      </c>
    </row>
    <row r="93" spans="3:20" x14ac:dyDescent="0.25">
      <c r="C93" s="84" t="str">
        <f>IF(AND('05_PRODUCTOS'!$B93&lt;&gt;"",'05_PRODUCTOS'!$C93&lt;&gt;"",'05_PRODUCTOS'!$K93&lt;&gt;"NO",ISNUMBER(MATCH('05_PRODUCTOS'!$D93,lstCategorias,0))),'05_PRODUCTOS'!$D93,"")</f>
        <v/>
      </c>
      <c r="D93" s="84" t="str">
        <f>IF($C93="","",'05_PRODUCTOS'!$L93)</f>
        <v/>
      </c>
      <c r="E93" s="84" t="str">
        <f t="shared" si="6"/>
        <v/>
      </c>
      <c r="G93" s="85">
        <v>86</v>
      </c>
      <c r="H93" s="84" t="str">
        <f t="shared" si="7"/>
        <v/>
      </c>
      <c r="I93" s="84" t="str">
        <f t="shared" si="8"/>
        <v/>
      </c>
      <c r="J93" s="84" t="str">
        <f t="shared" si="9"/>
        <v/>
      </c>
      <c r="O93" s="84" t="str">
        <f>IF('05_PRODUCTOS'!$L93="","",IF(AND(OR(kxCategoria="",'05_PRODUCTOS'!$D93=kxCategoria),OR(kxBuscar="",ISNUMBER(SEARCH(kxBuscar,'05_PRODUCTOS'!$L93)))),ROW()-7,""))</f>
        <v/>
      </c>
      <c r="P93" s="84" t="str">
        <f>IFERROR(INDEX('05_PRODUCTOS'!$L$8:$L$507,SMALL($O$8:$O$507,ROW()-7)),"")</f>
        <v/>
      </c>
      <c r="R93" s="84" t="str">
        <f t="shared" si="10"/>
        <v/>
      </c>
      <c r="S93" s="84" t="str">
        <f>IF(INDEX(tblProveedores[Proveedor],86)="","",86)</f>
        <v/>
      </c>
      <c r="T93" s="84" t="str">
        <f>IFERROR(INDEX(tblProveedores[Proveedor],SMALL($S$8:$S$107,86)),"")</f>
        <v/>
      </c>
    </row>
    <row r="94" spans="3:20" x14ac:dyDescent="0.25">
      <c r="C94" s="84" t="str">
        <f>IF(AND('05_PRODUCTOS'!$B94&lt;&gt;"",'05_PRODUCTOS'!$C94&lt;&gt;"",'05_PRODUCTOS'!$K94&lt;&gt;"NO",ISNUMBER(MATCH('05_PRODUCTOS'!$D94,lstCategorias,0))),'05_PRODUCTOS'!$D94,"")</f>
        <v/>
      </c>
      <c r="D94" s="84" t="str">
        <f>IF($C94="","",'05_PRODUCTOS'!$L94)</f>
        <v/>
      </c>
      <c r="E94" s="84" t="str">
        <f t="shared" si="6"/>
        <v/>
      </c>
      <c r="G94" s="85">
        <v>87</v>
      </c>
      <c r="H94" s="84" t="str">
        <f t="shared" si="7"/>
        <v/>
      </c>
      <c r="I94" s="84" t="str">
        <f t="shared" si="8"/>
        <v/>
      </c>
      <c r="J94" s="84" t="str">
        <f t="shared" si="9"/>
        <v/>
      </c>
      <c r="O94" s="84" t="str">
        <f>IF('05_PRODUCTOS'!$L94="","",IF(AND(OR(kxCategoria="",'05_PRODUCTOS'!$D94=kxCategoria),OR(kxBuscar="",ISNUMBER(SEARCH(kxBuscar,'05_PRODUCTOS'!$L94)))),ROW()-7,""))</f>
        <v/>
      </c>
      <c r="P94" s="84" t="str">
        <f>IFERROR(INDEX('05_PRODUCTOS'!$L$8:$L$507,SMALL($O$8:$O$507,ROW()-7)),"")</f>
        <v/>
      </c>
      <c r="R94" s="84" t="str">
        <f t="shared" si="10"/>
        <v/>
      </c>
      <c r="S94" s="84" t="str">
        <f>IF(INDEX(tblProveedores[Proveedor],87)="","",87)</f>
        <v/>
      </c>
      <c r="T94" s="84" t="str">
        <f>IFERROR(INDEX(tblProveedores[Proveedor],SMALL($S$8:$S$107,87)),"")</f>
        <v/>
      </c>
    </row>
    <row r="95" spans="3:20" x14ac:dyDescent="0.25">
      <c r="C95" s="84" t="str">
        <f>IF(AND('05_PRODUCTOS'!$B95&lt;&gt;"",'05_PRODUCTOS'!$C95&lt;&gt;"",'05_PRODUCTOS'!$K95&lt;&gt;"NO",ISNUMBER(MATCH('05_PRODUCTOS'!$D95,lstCategorias,0))),'05_PRODUCTOS'!$D95,"")</f>
        <v/>
      </c>
      <c r="D95" s="84" t="str">
        <f>IF($C95="","",'05_PRODUCTOS'!$L95)</f>
        <v/>
      </c>
      <c r="E95" s="84" t="str">
        <f t="shared" si="6"/>
        <v/>
      </c>
      <c r="G95" s="85">
        <v>88</v>
      </c>
      <c r="H95" s="84" t="str">
        <f t="shared" si="7"/>
        <v/>
      </c>
      <c r="I95" s="84" t="str">
        <f t="shared" si="8"/>
        <v/>
      </c>
      <c r="J95" s="84" t="str">
        <f t="shared" si="9"/>
        <v/>
      </c>
      <c r="O95" s="84" t="str">
        <f>IF('05_PRODUCTOS'!$L95="","",IF(AND(OR(kxCategoria="",'05_PRODUCTOS'!$D95=kxCategoria),OR(kxBuscar="",ISNUMBER(SEARCH(kxBuscar,'05_PRODUCTOS'!$L95)))),ROW()-7,""))</f>
        <v/>
      </c>
      <c r="P95" s="84" t="str">
        <f>IFERROR(INDEX('05_PRODUCTOS'!$L$8:$L$507,SMALL($O$8:$O$507,ROW()-7)),"")</f>
        <v/>
      </c>
      <c r="R95" s="84" t="str">
        <f t="shared" si="10"/>
        <v/>
      </c>
      <c r="S95" s="84" t="str">
        <f>IF(INDEX(tblProveedores[Proveedor],88)="","",88)</f>
        <v/>
      </c>
      <c r="T95" s="84" t="str">
        <f>IFERROR(INDEX(tblProveedores[Proveedor],SMALL($S$8:$S$107,88)),"")</f>
        <v/>
      </c>
    </row>
    <row r="96" spans="3:20" x14ac:dyDescent="0.25">
      <c r="C96" s="84" t="str">
        <f>IF(AND('05_PRODUCTOS'!$B96&lt;&gt;"",'05_PRODUCTOS'!$C96&lt;&gt;"",'05_PRODUCTOS'!$K96&lt;&gt;"NO",ISNUMBER(MATCH('05_PRODUCTOS'!$D96,lstCategorias,0))),'05_PRODUCTOS'!$D96,"")</f>
        <v/>
      </c>
      <c r="D96" s="84" t="str">
        <f>IF($C96="","",'05_PRODUCTOS'!$L96)</f>
        <v/>
      </c>
      <c r="E96" s="84" t="str">
        <f t="shared" si="6"/>
        <v/>
      </c>
      <c r="G96" s="85">
        <v>89</v>
      </c>
      <c r="H96" s="84" t="str">
        <f t="shared" si="7"/>
        <v/>
      </c>
      <c r="I96" s="84" t="str">
        <f t="shared" si="8"/>
        <v/>
      </c>
      <c r="J96" s="84" t="str">
        <f t="shared" si="9"/>
        <v/>
      </c>
      <c r="O96" s="84" t="str">
        <f>IF('05_PRODUCTOS'!$L96="","",IF(AND(OR(kxCategoria="",'05_PRODUCTOS'!$D96=kxCategoria),OR(kxBuscar="",ISNUMBER(SEARCH(kxBuscar,'05_PRODUCTOS'!$L96)))),ROW()-7,""))</f>
        <v/>
      </c>
      <c r="P96" s="84" t="str">
        <f>IFERROR(INDEX('05_PRODUCTOS'!$L$8:$L$507,SMALL($O$8:$O$507,ROW()-7)),"")</f>
        <v/>
      </c>
      <c r="R96" s="84" t="str">
        <f t="shared" si="10"/>
        <v/>
      </c>
      <c r="S96" s="84" t="str">
        <f>IF(INDEX(tblProveedores[Proveedor],89)="","",89)</f>
        <v/>
      </c>
      <c r="T96" s="84" t="str">
        <f>IFERROR(INDEX(tblProveedores[Proveedor],SMALL($S$8:$S$107,89)),"")</f>
        <v/>
      </c>
    </row>
    <row r="97" spans="3:20" x14ac:dyDescent="0.25">
      <c r="C97" s="84" t="str">
        <f>IF(AND('05_PRODUCTOS'!$B97&lt;&gt;"",'05_PRODUCTOS'!$C97&lt;&gt;"",'05_PRODUCTOS'!$K97&lt;&gt;"NO",ISNUMBER(MATCH('05_PRODUCTOS'!$D97,lstCategorias,0))),'05_PRODUCTOS'!$D97,"")</f>
        <v/>
      </c>
      <c r="D97" s="84" t="str">
        <f>IF($C97="","",'05_PRODUCTOS'!$L97)</f>
        <v/>
      </c>
      <c r="E97" s="84" t="str">
        <f t="shared" si="6"/>
        <v/>
      </c>
      <c r="G97" s="85">
        <v>90</v>
      </c>
      <c r="H97" s="84" t="str">
        <f t="shared" si="7"/>
        <v/>
      </c>
      <c r="I97" s="84" t="str">
        <f t="shared" si="8"/>
        <v/>
      </c>
      <c r="J97" s="84" t="str">
        <f t="shared" si="9"/>
        <v/>
      </c>
      <c r="O97" s="84" t="str">
        <f>IF('05_PRODUCTOS'!$L97="","",IF(AND(OR(kxCategoria="",'05_PRODUCTOS'!$D97=kxCategoria),OR(kxBuscar="",ISNUMBER(SEARCH(kxBuscar,'05_PRODUCTOS'!$L97)))),ROW()-7,""))</f>
        <v/>
      </c>
      <c r="P97" s="84" t="str">
        <f>IFERROR(INDEX('05_PRODUCTOS'!$L$8:$L$507,SMALL($O$8:$O$507,ROW()-7)),"")</f>
        <v/>
      </c>
      <c r="R97" s="84" t="str">
        <f t="shared" si="10"/>
        <v/>
      </c>
      <c r="S97" s="84" t="str">
        <f>IF(INDEX(tblProveedores[Proveedor],90)="","",90)</f>
        <v/>
      </c>
      <c r="T97" s="84" t="str">
        <f>IFERROR(INDEX(tblProveedores[Proveedor],SMALL($S$8:$S$107,90)),"")</f>
        <v/>
      </c>
    </row>
    <row r="98" spans="3:20" x14ac:dyDescent="0.25">
      <c r="C98" s="84" t="str">
        <f>IF(AND('05_PRODUCTOS'!$B98&lt;&gt;"",'05_PRODUCTOS'!$C98&lt;&gt;"",'05_PRODUCTOS'!$K98&lt;&gt;"NO",ISNUMBER(MATCH('05_PRODUCTOS'!$D98,lstCategorias,0))),'05_PRODUCTOS'!$D98,"")</f>
        <v/>
      </c>
      <c r="D98" s="84" t="str">
        <f>IF($C98="","",'05_PRODUCTOS'!$L98)</f>
        <v/>
      </c>
      <c r="E98" s="84" t="str">
        <f t="shared" si="6"/>
        <v/>
      </c>
      <c r="G98" s="85">
        <v>91</v>
      </c>
      <c r="H98" s="84" t="str">
        <f t="shared" si="7"/>
        <v/>
      </c>
      <c r="I98" s="84" t="str">
        <f t="shared" si="8"/>
        <v/>
      </c>
      <c r="J98" s="84" t="str">
        <f t="shared" si="9"/>
        <v/>
      </c>
      <c r="O98" s="84" t="str">
        <f>IF('05_PRODUCTOS'!$L98="","",IF(AND(OR(kxCategoria="",'05_PRODUCTOS'!$D98=kxCategoria),OR(kxBuscar="",ISNUMBER(SEARCH(kxBuscar,'05_PRODUCTOS'!$L98)))),ROW()-7,""))</f>
        <v/>
      </c>
      <c r="P98" s="84" t="str">
        <f>IFERROR(INDEX('05_PRODUCTOS'!$L$8:$L$507,SMALL($O$8:$O$507,ROW()-7)),"")</f>
        <v/>
      </c>
      <c r="R98" s="84" t="str">
        <f t="shared" si="10"/>
        <v/>
      </c>
      <c r="S98" s="84" t="str">
        <f>IF(INDEX(tblProveedores[Proveedor],91)="","",91)</f>
        <v/>
      </c>
      <c r="T98" s="84" t="str">
        <f>IFERROR(INDEX(tblProveedores[Proveedor],SMALL($S$8:$S$107,91)),"")</f>
        <v/>
      </c>
    </row>
    <row r="99" spans="3:20" x14ac:dyDescent="0.25">
      <c r="C99" s="84" t="str">
        <f>IF(AND('05_PRODUCTOS'!$B99&lt;&gt;"",'05_PRODUCTOS'!$C99&lt;&gt;"",'05_PRODUCTOS'!$K99&lt;&gt;"NO",ISNUMBER(MATCH('05_PRODUCTOS'!$D99,lstCategorias,0))),'05_PRODUCTOS'!$D99,"")</f>
        <v/>
      </c>
      <c r="D99" s="84" t="str">
        <f>IF($C99="","",'05_PRODUCTOS'!$L99)</f>
        <v/>
      </c>
      <c r="E99" s="84" t="str">
        <f t="shared" si="6"/>
        <v/>
      </c>
      <c r="G99" s="85">
        <v>92</v>
      </c>
      <c r="H99" s="84" t="str">
        <f t="shared" si="7"/>
        <v/>
      </c>
      <c r="I99" s="84" t="str">
        <f t="shared" si="8"/>
        <v/>
      </c>
      <c r="J99" s="84" t="str">
        <f t="shared" si="9"/>
        <v/>
      </c>
      <c r="O99" s="84" t="str">
        <f>IF('05_PRODUCTOS'!$L99="","",IF(AND(OR(kxCategoria="",'05_PRODUCTOS'!$D99=kxCategoria),OR(kxBuscar="",ISNUMBER(SEARCH(kxBuscar,'05_PRODUCTOS'!$L99)))),ROW()-7,""))</f>
        <v/>
      </c>
      <c r="P99" s="84" t="str">
        <f>IFERROR(INDEX('05_PRODUCTOS'!$L$8:$L$507,SMALL($O$8:$O$507,ROW()-7)),"")</f>
        <v/>
      </c>
      <c r="R99" s="84" t="str">
        <f t="shared" si="10"/>
        <v/>
      </c>
      <c r="S99" s="84" t="str">
        <f>IF(INDEX(tblProveedores[Proveedor],92)="","",92)</f>
        <v/>
      </c>
      <c r="T99" s="84" t="str">
        <f>IFERROR(INDEX(tblProveedores[Proveedor],SMALL($S$8:$S$107,92)),"")</f>
        <v/>
      </c>
    </row>
    <row r="100" spans="3:20" x14ac:dyDescent="0.25">
      <c r="C100" s="84" t="str">
        <f>IF(AND('05_PRODUCTOS'!$B100&lt;&gt;"",'05_PRODUCTOS'!$C100&lt;&gt;"",'05_PRODUCTOS'!$K100&lt;&gt;"NO",ISNUMBER(MATCH('05_PRODUCTOS'!$D100,lstCategorias,0))),'05_PRODUCTOS'!$D100,"")</f>
        <v/>
      </c>
      <c r="D100" s="84" t="str">
        <f>IF($C100="","",'05_PRODUCTOS'!$L100)</f>
        <v/>
      </c>
      <c r="E100" s="84" t="str">
        <f t="shared" si="6"/>
        <v/>
      </c>
      <c r="G100" s="85">
        <v>93</v>
      </c>
      <c r="H100" s="84" t="str">
        <f t="shared" si="7"/>
        <v/>
      </c>
      <c r="I100" s="84" t="str">
        <f t="shared" si="8"/>
        <v/>
      </c>
      <c r="J100" s="84" t="str">
        <f t="shared" si="9"/>
        <v/>
      </c>
      <c r="O100" s="84" t="str">
        <f>IF('05_PRODUCTOS'!$L100="","",IF(AND(OR(kxCategoria="",'05_PRODUCTOS'!$D100=kxCategoria),OR(kxBuscar="",ISNUMBER(SEARCH(kxBuscar,'05_PRODUCTOS'!$L100)))),ROW()-7,""))</f>
        <v/>
      </c>
      <c r="P100" s="84" t="str">
        <f>IFERROR(INDEX('05_PRODUCTOS'!$L$8:$L$507,SMALL($O$8:$O$507,ROW()-7)),"")</f>
        <v/>
      </c>
      <c r="R100" s="84" t="str">
        <f t="shared" si="10"/>
        <v/>
      </c>
      <c r="S100" s="84" t="str">
        <f>IF(INDEX(tblProveedores[Proveedor],93)="","",93)</f>
        <v/>
      </c>
      <c r="T100" s="84" t="str">
        <f>IFERROR(INDEX(tblProveedores[Proveedor],SMALL($S$8:$S$107,93)),"")</f>
        <v/>
      </c>
    </row>
    <row r="101" spans="3:20" x14ac:dyDescent="0.25">
      <c r="C101" s="84" t="str">
        <f>IF(AND('05_PRODUCTOS'!$B101&lt;&gt;"",'05_PRODUCTOS'!$C101&lt;&gt;"",'05_PRODUCTOS'!$K101&lt;&gt;"NO",ISNUMBER(MATCH('05_PRODUCTOS'!$D101,lstCategorias,0))),'05_PRODUCTOS'!$D101,"")</f>
        <v/>
      </c>
      <c r="D101" s="84" t="str">
        <f>IF($C101="","",'05_PRODUCTOS'!$L101)</f>
        <v/>
      </c>
      <c r="E101" s="84" t="str">
        <f t="shared" si="6"/>
        <v/>
      </c>
      <c r="G101" s="85">
        <v>94</v>
      </c>
      <c r="H101" s="84" t="str">
        <f t="shared" si="7"/>
        <v/>
      </c>
      <c r="I101" s="84" t="str">
        <f t="shared" si="8"/>
        <v/>
      </c>
      <c r="J101" s="84" t="str">
        <f t="shared" si="9"/>
        <v/>
      </c>
      <c r="O101" s="84" t="str">
        <f>IF('05_PRODUCTOS'!$L101="","",IF(AND(OR(kxCategoria="",'05_PRODUCTOS'!$D101=kxCategoria),OR(kxBuscar="",ISNUMBER(SEARCH(kxBuscar,'05_PRODUCTOS'!$L101)))),ROW()-7,""))</f>
        <v/>
      </c>
      <c r="P101" s="84" t="str">
        <f>IFERROR(INDEX('05_PRODUCTOS'!$L$8:$L$507,SMALL($O$8:$O$507,ROW()-7)),"")</f>
        <v/>
      </c>
      <c r="R101" s="84" t="str">
        <f t="shared" si="10"/>
        <v/>
      </c>
      <c r="S101" s="84" t="str">
        <f>IF(INDEX(tblProveedores[Proveedor],94)="","",94)</f>
        <v/>
      </c>
      <c r="T101" s="84" t="str">
        <f>IFERROR(INDEX(tblProveedores[Proveedor],SMALL($S$8:$S$107,94)),"")</f>
        <v/>
      </c>
    </row>
    <row r="102" spans="3:20" x14ac:dyDescent="0.25">
      <c r="C102" s="84" t="str">
        <f>IF(AND('05_PRODUCTOS'!$B102&lt;&gt;"",'05_PRODUCTOS'!$C102&lt;&gt;"",'05_PRODUCTOS'!$K102&lt;&gt;"NO",ISNUMBER(MATCH('05_PRODUCTOS'!$D102,lstCategorias,0))),'05_PRODUCTOS'!$D102,"")</f>
        <v/>
      </c>
      <c r="D102" s="84" t="str">
        <f>IF($C102="","",'05_PRODUCTOS'!$L102)</f>
        <v/>
      </c>
      <c r="E102" s="84" t="str">
        <f t="shared" si="6"/>
        <v/>
      </c>
      <c r="G102" s="85">
        <v>95</v>
      </c>
      <c r="H102" s="84" t="str">
        <f t="shared" si="7"/>
        <v/>
      </c>
      <c r="I102" s="84" t="str">
        <f t="shared" si="8"/>
        <v/>
      </c>
      <c r="J102" s="84" t="str">
        <f t="shared" si="9"/>
        <v/>
      </c>
      <c r="O102" s="84" t="str">
        <f>IF('05_PRODUCTOS'!$L102="","",IF(AND(OR(kxCategoria="",'05_PRODUCTOS'!$D102=kxCategoria),OR(kxBuscar="",ISNUMBER(SEARCH(kxBuscar,'05_PRODUCTOS'!$L102)))),ROW()-7,""))</f>
        <v/>
      </c>
      <c r="P102" s="84" t="str">
        <f>IFERROR(INDEX('05_PRODUCTOS'!$L$8:$L$507,SMALL($O$8:$O$507,ROW()-7)),"")</f>
        <v/>
      </c>
      <c r="R102" s="84" t="str">
        <f t="shared" si="10"/>
        <v/>
      </c>
      <c r="S102" s="84" t="str">
        <f>IF(INDEX(tblProveedores[Proveedor],95)="","",95)</f>
        <v/>
      </c>
      <c r="T102" s="84" t="str">
        <f>IFERROR(INDEX(tblProveedores[Proveedor],SMALL($S$8:$S$107,95)),"")</f>
        <v/>
      </c>
    </row>
    <row r="103" spans="3:20" x14ac:dyDescent="0.25">
      <c r="C103" s="84" t="str">
        <f>IF(AND('05_PRODUCTOS'!$B103&lt;&gt;"",'05_PRODUCTOS'!$C103&lt;&gt;"",'05_PRODUCTOS'!$K103&lt;&gt;"NO",ISNUMBER(MATCH('05_PRODUCTOS'!$D103,lstCategorias,0))),'05_PRODUCTOS'!$D103,"")</f>
        <v/>
      </c>
      <c r="D103" s="84" t="str">
        <f>IF($C103="","",'05_PRODUCTOS'!$L103)</f>
        <v/>
      </c>
      <c r="E103" s="84" t="str">
        <f t="shared" si="6"/>
        <v/>
      </c>
      <c r="G103" s="85">
        <v>96</v>
      </c>
      <c r="H103" s="84" t="str">
        <f t="shared" si="7"/>
        <v/>
      </c>
      <c r="I103" s="84" t="str">
        <f t="shared" si="8"/>
        <v/>
      </c>
      <c r="J103" s="84" t="str">
        <f t="shared" si="9"/>
        <v/>
      </c>
      <c r="O103" s="84" t="str">
        <f>IF('05_PRODUCTOS'!$L103="","",IF(AND(OR(kxCategoria="",'05_PRODUCTOS'!$D103=kxCategoria),OR(kxBuscar="",ISNUMBER(SEARCH(kxBuscar,'05_PRODUCTOS'!$L103)))),ROW()-7,""))</f>
        <v/>
      </c>
      <c r="P103" s="84" t="str">
        <f>IFERROR(INDEX('05_PRODUCTOS'!$L$8:$L$507,SMALL($O$8:$O$507,ROW()-7)),"")</f>
        <v/>
      </c>
      <c r="R103" s="84" t="str">
        <f t="shared" si="10"/>
        <v/>
      </c>
      <c r="S103" s="84" t="str">
        <f>IF(INDEX(tblProveedores[Proveedor],96)="","",96)</f>
        <v/>
      </c>
      <c r="T103" s="84" t="str">
        <f>IFERROR(INDEX(tblProveedores[Proveedor],SMALL($S$8:$S$107,96)),"")</f>
        <v/>
      </c>
    </row>
    <row r="104" spans="3:20" x14ac:dyDescent="0.25">
      <c r="C104" s="84" t="str">
        <f>IF(AND('05_PRODUCTOS'!$B104&lt;&gt;"",'05_PRODUCTOS'!$C104&lt;&gt;"",'05_PRODUCTOS'!$K104&lt;&gt;"NO",ISNUMBER(MATCH('05_PRODUCTOS'!$D104,lstCategorias,0))),'05_PRODUCTOS'!$D104,"")</f>
        <v/>
      </c>
      <c r="D104" s="84" t="str">
        <f>IF($C104="","",'05_PRODUCTOS'!$L104)</f>
        <v/>
      </c>
      <c r="E104" s="84" t="str">
        <f t="shared" si="6"/>
        <v/>
      </c>
      <c r="G104" s="85">
        <v>97</v>
      </c>
      <c r="H104" s="84" t="str">
        <f t="shared" si="7"/>
        <v/>
      </c>
      <c r="I104" s="84" t="str">
        <f t="shared" si="8"/>
        <v/>
      </c>
      <c r="J104" s="84" t="str">
        <f t="shared" si="9"/>
        <v/>
      </c>
      <c r="O104" s="84" t="str">
        <f>IF('05_PRODUCTOS'!$L104="","",IF(AND(OR(kxCategoria="",'05_PRODUCTOS'!$D104=kxCategoria),OR(kxBuscar="",ISNUMBER(SEARCH(kxBuscar,'05_PRODUCTOS'!$L104)))),ROW()-7,""))</f>
        <v/>
      </c>
      <c r="P104" s="84" t="str">
        <f>IFERROR(INDEX('05_PRODUCTOS'!$L$8:$L$507,SMALL($O$8:$O$507,ROW()-7)),"")</f>
        <v/>
      </c>
      <c r="R104" s="84" t="str">
        <f t="shared" si="10"/>
        <v/>
      </c>
      <c r="S104" s="84" t="str">
        <f>IF(INDEX(tblProveedores[Proveedor],97)="","",97)</f>
        <v/>
      </c>
      <c r="T104" s="84" t="str">
        <f>IFERROR(INDEX(tblProveedores[Proveedor],SMALL($S$8:$S$107,97)),"")</f>
        <v/>
      </c>
    </row>
    <row r="105" spans="3:20" x14ac:dyDescent="0.25">
      <c r="C105" s="84" t="str">
        <f>IF(AND('05_PRODUCTOS'!$B105&lt;&gt;"",'05_PRODUCTOS'!$C105&lt;&gt;"",'05_PRODUCTOS'!$K105&lt;&gt;"NO",ISNUMBER(MATCH('05_PRODUCTOS'!$D105,lstCategorias,0))),'05_PRODUCTOS'!$D105,"")</f>
        <v/>
      </c>
      <c r="D105" s="84" t="str">
        <f>IF($C105="","",'05_PRODUCTOS'!$L105)</f>
        <v/>
      </c>
      <c r="E105" s="84" t="str">
        <f t="shared" si="6"/>
        <v/>
      </c>
      <c r="G105" s="85">
        <v>98</v>
      </c>
      <c r="H105" s="84" t="str">
        <f t="shared" si="7"/>
        <v/>
      </c>
      <c r="I105" s="84" t="str">
        <f t="shared" si="8"/>
        <v/>
      </c>
      <c r="J105" s="84" t="str">
        <f t="shared" si="9"/>
        <v/>
      </c>
      <c r="O105" s="84" t="str">
        <f>IF('05_PRODUCTOS'!$L105="","",IF(AND(OR(kxCategoria="",'05_PRODUCTOS'!$D105=kxCategoria),OR(kxBuscar="",ISNUMBER(SEARCH(kxBuscar,'05_PRODUCTOS'!$L105)))),ROW()-7,""))</f>
        <v/>
      </c>
      <c r="P105" s="84" t="str">
        <f>IFERROR(INDEX('05_PRODUCTOS'!$L$8:$L$507,SMALL($O$8:$O$507,ROW()-7)),"")</f>
        <v/>
      </c>
      <c r="R105" s="84" t="str">
        <f t="shared" si="10"/>
        <v/>
      </c>
      <c r="S105" s="84" t="str">
        <f>IF(INDEX(tblProveedores[Proveedor],98)="","",98)</f>
        <v/>
      </c>
      <c r="T105" s="84" t="str">
        <f>IFERROR(INDEX(tblProveedores[Proveedor],SMALL($S$8:$S$107,98)),"")</f>
        <v/>
      </c>
    </row>
    <row r="106" spans="3:20" x14ac:dyDescent="0.25">
      <c r="C106" s="84" t="str">
        <f>IF(AND('05_PRODUCTOS'!$B106&lt;&gt;"",'05_PRODUCTOS'!$C106&lt;&gt;"",'05_PRODUCTOS'!$K106&lt;&gt;"NO",ISNUMBER(MATCH('05_PRODUCTOS'!$D106,lstCategorias,0))),'05_PRODUCTOS'!$D106,"")</f>
        <v/>
      </c>
      <c r="D106" s="84" t="str">
        <f>IF($C106="","",'05_PRODUCTOS'!$L106)</f>
        <v/>
      </c>
      <c r="E106" s="84" t="str">
        <f t="shared" si="6"/>
        <v/>
      </c>
      <c r="G106" s="85">
        <v>99</v>
      </c>
      <c r="H106" s="84" t="str">
        <f t="shared" si="7"/>
        <v/>
      </c>
      <c r="I106" s="84" t="str">
        <f t="shared" si="8"/>
        <v/>
      </c>
      <c r="J106" s="84" t="str">
        <f t="shared" si="9"/>
        <v/>
      </c>
      <c r="O106" s="84" t="str">
        <f>IF('05_PRODUCTOS'!$L106="","",IF(AND(OR(kxCategoria="",'05_PRODUCTOS'!$D106=kxCategoria),OR(kxBuscar="",ISNUMBER(SEARCH(kxBuscar,'05_PRODUCTOS'!$L106)))),ROW()-7,""))</f>
        <v/>
      </c>
      <c r="P106" s="84" t="str">
        <f>IFERROR(INDEX('05_PRODUCTOS'!$L$8:$L$507,SMALL($O$8:$O$507,ROW()-7)),"")</f>
        <v/>
      </c>
      <c r="R106" s="84" t="str">
        <f t="shared" si="10"/>
        <v/>
      </c>
      <c r="S106" s="84" t="str">
        <f>IF(INDEX(tblProveedores[Proveedor],99)="","",99)</f>
        <v/>
      </c>
      <c r="T106" s="84" t="str">
        <f>IFERROR(INDEX(tblProveedores[Proveedor],SMALL($S$8:$S$107,99)),"")</f>
        <v/>
      </c>
    </row>
    <row r="107" spans="3:20" x14ac:dyDescent="0.25">
      <c r="C107" s="84" t="str">
        <f>IF(AND('05_PRODUCTOS'!$B107&lt;&gt;"",'05_PRODUCTOS'!$C107&lt;&gt;"",'05_PRODUCTOS'!$K107&lt;&gt;"NO",ISNUMBER(MATCH('05_PRODUCTOS'!$D107,lstCategorias,0))),'05_PRODUCTOS'!$D107,"")</f>
        <v/>
      </c>
      <c r="D107" s="84" t="str">
        <f>IF($C107="","",'05_PRODUCTOS'!$L107)</f>
        <v/>
      </c>
      <c r="E107" s="84" t="str">
        <f t="shared" si="6"/>
        <v/>
      </c>
      <c r="G107" s="85">
        <v>100</v>
      </c>
      <c r="H107" s="84" t="str">
        <f t="shared" si="7"/>
        <v/>
      </c>
      <c r="I107" s="84" t="str">
        <f t="shared" si="8"/>
        <v/>
      </c>
      <c r="J107" s="84" t="str">
        <f t="shared" si="9"/>
        <v/>
      </c>
      <c r="O107" s="84" t="str">
        <f>IF('05_PRODUCTOS'!$L107="","",IF(AND(OR(kxCategoria="",'05_PRODUCTOS'!$D107=kxCategoria),OR(kxBuscar="",ISNUMBER(SEARCH(kxBuscar,'05_PRODUCTOS'!$L107)))),ROW()-7,""))</f>
        <v/>
      </c>
      <c r="P107" s="84" t="str">
        <f>IFERROR(INDEX('05_PRODUCTOS'!$L$8:$L$507,SMALL($O$8:$O$507,ROW()-7)),"")</f>
        <v/>
      </c>
      <c r="R107" s="84" t="str">
        <f t="shared" si="10"/>
        <v/>
      </c>
      <c r="S107" s="84" t="str">
        <f>IF(INDEX(tblProveedores[Proveedor],100)="","",100)</f>
        <v/>
      </c>
      <c r="T107" s="84" t="str">
        <f>IFERROR(INDEX(tblProveedores[Proveedor],SMALL($S$8:$S$107,100)),"")</f>
        <v/>
      </c>
    </row>
    <row r="108" spans="3:20" x14ac:dyDescent="0.25">
      <c r="C108" s="84" t="str">
        <f>IF(AND('05_PRODUCTOS'!$B108&lt;&gt;"",'05_PRODUCTOS'!$C108&lt;&gt;"",'05_PRODUCTOS'!$K108&lt;&gt;"NO",ISNUMBER(MATCH('05_PRODUCTOS'!$D108,lstCategorias,0))),'05_PRODUCTOS'!$D108,"")</f>
        <v/>
      </c>
      <c r="D108" s="84" t="str">
        <f>IF($C108="","",'05_PRODUCTOS'!$L108)</f>
        <v/>
      </c>
      <c r="E108" s="84" t="str">
        <f t="shared" si="6"/>
        <v/>
      </c>
      <c r="G108" s="85">
        <v>101</v>
      </c>
      <c r="H108" s="84" t="str">
        <f t="shared" si="7"/>
        <v/>
      </c>
      <c r="I108" s="84" t="str">
        <f t="shared" si="8"/>
        <v/>
      </c>
      <c r="J108" s="84" t="str">
        <f t="shared" si="9"/>
        <v/>
      </c>
      <c r="O108" s="84" t="str">
        <f>IF('05_PRODUCTOS'!$L108="","",IF(AND(OR(kxCategoria="",'05_PRODUCTOS'!$D108=kxCategoria),OR(kxBuscar="",ISNUMBER(SEARCH(kxBuscar,'05_PRODUCTOS'!$L108)))),ROW()-7,""))</f>
        <v/>
      </c>
      <c r="P108" s="84" t="str">
        <f>IFERROR(INDEX('05_PRODUCTOS'!$L$8:$L$507,SMALL($O$8:$O$507,ROW()-7)),"")</f>
        <v/>
      </c>
      <c r="R108" s="84" t="str">
        <f t="shared" si="10"/>
        <v/>
      </c>
    </row>
    <row r="109" spans="3:20" x14ac:dyDescent="0.25">
      <c r="C109" s="84" t="str">
        <f>IF(AND('05_PRODUCTOS'!$B109&lt;&gt;"",'05_PRODUCTOS'!$C109&lt;&gt;"",'05_PRODUCTOS'!$K109&lt;&gt;"NO",ISNUMBER(MATCH('05_PRODUCTOS'!$D109,lstCategorias,0))),'05_PRODUCTOS'!$D109,"")</f>
        <v/>
      </c>
      <c r="D109" s="84" t="str">
        <f>IF($C109="","",'05_PRODUCTOS'!$L109)</f>
        <v/>
      </c>
      <c r="E109" s="84" t="str">
        <f t="shared" si="6"/>
        <v/>
      </c>
      <c r="G109" s="85">
        <v>102</v>
      </c>
      <c r="H109" s="84" t="str">
        <f t="shared" si="7"/>
        <v/>
      </c>
      <c r="I109" s="84" t="str">
        <f t="shared" si="8"/>
        <v/>
      </c>
      <c r="J109" s="84" t="str">
        <f t="shared" si="9"/>
        <v/>
      </c>
      <c r="O109" s="84" t="str">
        <f>IF('05_PRODUCTOS'!$L109="","",IF(AND(OR(kxCategoria="",'05_PRODUCTOS'!$D109=kxCategoria),OR(kxBuscar="",ISNUMBER(SEARCH(kxBuscar,'05_PRODUCTOS'!$L109)))),ROW()-7,""))</f>
        <v/>
      </c>
      <c r="P109" s="84" t="str">
        <f>IFERROR(INDEX('05_PRODUCTOS'!$L$8:$L$507,SMALL($O$8:$O$507,ROW()-7)),"")</f>
        <v/>
      </c>
    </row>
    <row r="110" spans="3:20" x14ac:dyDescent="0.25">
      <c r="C110" s="84" t="str">
        <f>IF(AND('05_PRODUCTOS'!$B110&lt;&gt;"",'05_PRODUCTOS'!$C110&lt;&gt;"",'05_PRODUCTOS'!$K110&lt;&gt;"NO",ISNUMBER(MATCH('05_PRODUCTOS'!$D110,lstCategorias,0))),'05_PRODUCTOS'!$D110,"")</f>
        <v/>
      </c>
      <c r="D110" s="84" t="str">
        <f>IF($C110="","",'05_PRODUCTOS'!$L110)</f>
        <v/>
      </c>
      <c r="E110" s="84" t="str">
        <f t="shared" si="6"/>
        <v/>
      </c>
      <c r="G110" s="85">
        <v>103</v>
      </c>
      <c r="H110" s="84" t="str">
        <f t="shared" si="7"/>
        <v/>
      </c>
      <c r="I110" s="84" t="str">
        <f t="shared" si="8"/>
        <v/>
      </c>
      <c r="J110" s="84" t="str">
        <f t="shared" si="9"/>
        <v/>
      </c>
      <c r="O110" s="84" t="str">
        <f>IF('05_PRODUCTOS'!$L110="","",IF(AND(OR(kxCategoria="",'05_PRODUCTOS'!$D110=kxCategoria),OR(kxBuscar="",ISNUMBER(SEARCH(kxBuscar,'05_PRODUCTOS'!$L110)))),ROW()-7,""))</f>
        <v/>
      </c>
      <c r="P110" s="84" t="str">
        <f>IFERROR(INDEX('05_PRODUCTOS'!$L$8:$L$507,SMALL($O$8:$O$507,ROW()-7)),"")</f>
        <v/>
      </c>
    </row>
    <row r="111" spans="3:20" x14ac:dyDescent="0.25">
      <c r="C111" s="84" t="str">
        <f>IF(AND('05_PRODUCTOS'!$B111&lt;&gt;"",'05_PRODUCTOS'!$C111&lt;&gt;"",'05_PRODUCTOS'!$K111&lt;&gt;"NO",ISNUMBER(MATCH('05_PRODUCTOS'!$D111,lstCategorias,0))),'05_PRODUCTOS'!$D111,"")</f>
        <v/>
      </c>
      <c r="D111" s="84" t="str">
        <f>IF($C111="","",'05_PRODUCTOS'!$L111)</f>
        <v/>
      </c>
      <c r="E111" s="84" t="str">
        <f t="shared" si="6"/>
        <v/>
      </c>
      <c r="G111" s="85">
        <v>104</v>
      </c>
      <c r="H111" s="84" t="str">
        <f t="shared" si="7"/>
        <v/>
      </c>
      <c r="I111" s="84" t="str">
        <f t="shared" si="8"/>
        <v/>
      </c>
      <c r="J111" s="84" t="str">
        <f t="shared" si="9"/>
        <v/>
      </c>
      <c r="O111" s="84" t="str">
        <f>IF('05_PRODUCTOS'!$L111="","",IF(AND(OR(kxCategoria="",'05_PRODUCTOS'!$D111=kxCategoria),OR(kxBuscar="",ISNUMBER(SEARCH(kxBuscar,'05_PRODUCTOS'!$L111)))),ROW()-7,""))</f>
        <v/>
      </c>
      <c r="P111" s="84" t="str">
        <f>IFERROR(INDEX('05_PRODUCTOS'!$L$8:$L$507,SMALL($O$8:$O$507,ROW()-7)),"")</f>
        <v/>
      </c>
    </row>
    <row r="112" spans="3:20" x14ac:dyDescent="0.25">
      <c r="C112" s="84" t="str">
        <f>IF(AND('05_PRODUCTOS'!$B112&lt;&gt;"",'05_PRODUCTOS'!$C112&lt;&gt;"",'05_PRODUCTOS'!$K112&lt;&gt;"NO",ISNUMBER(MATCH('05_PRODUCTOS'!$D112,lstCategorias,0))),'05_PRODUCTOS'!$D112,"")</f>
        <v/>
      </c>
      <c r="D112" s="84" t="str">
        <f>IF($C112="","",'05_PRODUCTOS'!$L112)</f>
        <v/>
      </c>
      <c r="E112" s="84" t="str">
        <f t="shared" si="6"/>
        <v/>
      </c>
      <c r="G112" s="85">
        <v>105</v>
      </c>
      <c r="H112" s="84" t="str">
        <f t="shared" si="7"/>
        <v/>
      </c>
      <c r="I112" s="84" t="str">
        <f t="shared" si="8"/>
        <v/>
      </c>
      <c r="J112" s="84" t="str">
        <f t="shared" si="9"/>
        <v/>
      </c>
      <c r="O112" s="84" t="str">
        <f>IF('05_PRODUCTOS'!$L112="","",IF(AND(OR(kxCategoria="",'05_PRODUCTOS'!$D112=kxCategoria),OR(kxBuscar="",ISNUMBER(SEARCH(kxBuscar,'05_PRODUCTOS'!$L112)))),ROW()-7,""))</f>
        <v/>
      </c>
      <c r="P112" s="84" t="str">
        <f>IFERROR(INDEX('05_PRODUCTOS'!$L$8:$L$507,SMALL($O$8:$O$507,ROW()-7)),"")</f>
        <v/>
      </c>
    </row>
    <row r="113" spans="3:16" x14ac:dyDescent="0.25">
      <c r="C113" s="84" t="str">
        <f>IF(AND('05_PRODUCTOS'!$B113&lt;&gt;"",'05_PRODUCTOS'!$C113&lt;&gt;"",'05_PRODUCTOS'!$K113&lt;&gt;"NO",ISNUMBER(MATCH('05_PRODUCTOS'!$D113,lstCategorias,0))),'05_PRODUCTOS'!$D113,"")</f>
        <v/>
      </c>
      <c r="D113" s="84" t="str">
        <f>IF($C113="","",'05_PRODUCTOS'!$L113)</f>
        <v/>
      </c>
      <c r="E113" s="84" t="str">
        <f t="shared" si="6"/>
        <v/>
      </c>
      <c r="G113" s="85">
        <v>106</v>
      </c>
      <c r="H113" s="84" t="str">
        <f t="shared" si="7"/>
        <v/>
      </c>
      <c r="I113" s="84" t="str">
        <f t="shared" si="8"/>
        <v/>
      </c>
      <c r="J113" s="84" t="str">
        <f t="shared" si="9"/>
        <v/>
      </c>
      <c r="O113" s="84" t="str">
        <f>IF('05_PRODUCTOS'!$L113="","",IF(AND(OR(kxCategoria="",'05_PRODUCTOS'!$D113=kxCategoria),OR(kxBuscar="",ISNUMBER(SEARCH(kxBuscar,'05_PRODUCTOS'!$L113)))),ROW()-7,""))</f>
        <v/>
      </c>
      <c r="P113" s="84" t="str">
        <f>IFERROR(INDEX('05_PRODUCTOS'!$L$8:$L$507,SMALL($O$8:$O$507,ROW()-7)),"")</f>
        <v/>
      </c>
    </row>
    <row r="114" spans="3:16" x14ac:dyDescent="0.25">
      <c r="C114" s="84" t="str">
        <f>IF(AND('05_PRODUCTOS'!$B114&lt;&gt;"",'05_PRODUCTOS'!$C114&lt;&gt;"",'05_PRODUCTOS'!$K114&lt;&gt;"NO",ISNUMBER(MATCH('05_PRODUCTOS'!$D114,lstCategorias,0))),'05_PRODUCTOS'!$D114,"")</f>
        <v/>
      </c>
      <c r="D114" s="84" t="str">
        <f>IF($C114="","",'05_PRODUCTOS'!$L114)</f>
        <v/>
      </c>
      <c r="E114" s="84" t="str">
        <f t="shared" si="6"/>
        <v/>
      </c>
      <c r="G114" s="85">
        <v>107</v>
      </c>
      <c r="H114" s="84" t="str">
        <f t="shared" si="7"/>
        <v/>
      </c>
      <c r="I114" s="84" t="str">
        <f t="shared" si="8"/>
        <v/>
      </c>
      <c r="J114" s="84" t="str">
        <f t="shared" si="9"/>
        <v/>
      </c>
      <c r="O114" s="84" t="str">
        <f>IF('05_PRODUCTOS'!$L114="","",IF(AND(OR(kxCategoria="",'05_PRODUCTOS'!$D114=kxCategoria),OR(kxBuscar="",ISNUMBER(SEARCH(kxBuscar,'05_PRODUCTOS'!$L114)))),ROW()-7,""))</f>
        <v/>
      </c>
      <c r="P114" s="84" t="str">
        <f>IFERROR(INDEX('05_PRODUCTOS'!$L$8:$L$507,SMALL($O$8:$O$507,ROW()-7)),"")</f>
        <v/>
      </c>
    </row>
    <row r="115" spans="3:16" x14ac:dyDescent="0.25">
      <c r="C115" s="84" t="str">
        <f>IF(AND('05_PRODUCTOS'!$B115&lt;&gt;"",'05_PRODUCTOS'!$C115&lt;&gt;"",'05_PRODUCTOS'!$K115&lt;&gt;"NO",ISNUMBER(MATCH('05_PRODUCTOS'!$D115,lstCategorias,0))),'05_PRODUCTOS'!$D115,"")</f>
        <v/>
      </c>
      <c r="D115" s="84" t="str">
        <f>IF($C115="","",'05_PRODUCTOS'!$L115)</f>
        <v/>
      </c>
      <c r="E115" s="84" t="str">
        <f t="shared" si="6"/>
        <v/>
      </c>
      <c r="G115" s="85">
        <v>108</v>
      </c>
      <c r="H115" s="84" t="str">
        <f t="shared" si="7"/>
        <v/>
      </c>
      <c r="I115" s="84" t="str">
        <f t="shared" si="8"/>
        <v/>
      </c>
      <c r="J115" s="84" t="str">
        <f t="shared" si="9"/>
        <v/>
      </c>
      <c r="O115" s="84" t="str">
        <f>IF('05_PRODUCTOS'!$L115="","",IF(AND(OR(kxCategoria="",'05_PRODUCTOS'!$D115=kxCategoria),OR(kxBuscar="",ISNUMBER(SEARCH(kxBuscar,'05_PRODUCTOS'!$L115)))),ROW()-7,""))</f>
        <v/>
      </c>
      <c r="P115" s="84" t="str">
        <f>IFERROR(INDEX('05_PRODUCTOS'!$L$8:$L$507,SMALL($O$8:$O$507,ROW()-7)),"")</f>
        <v/>
      </c>
    </row>
    <row r="116" spans="3:16" x14ac:dyDescent="0.25">
      <c r="C116" s="84" t="str">
        <f>IF(AND('05_PRODUCTOS'!$B116&lt;&gt;"",'05_PRODUCTOS'!$C116&lt;&gt;"",'05_PRODUCTOS'!$K116&lt;&gt;"NO",ISNUMBER(MATCH('05_PRODUCTOS'!$D116,lstCategorias,0))),'05_PRODUCTOS'!$D116,"")</f>
        <v/>
      </c>
      <c r="D116" s="84" t="str">
        <f>IF($C116="","",'05_PRODUCTOS'!$L116)</f>
        <v/>
      </c>
      <c r="E116" s="84" t="str">
        <f t="shared" si="6"/>
        <v/>
      </c>
      <c r="G116" s="85">
        <v>109</v>
      </c>
      <c r="H116" s="84" t="str">
        <f t="shared" si="7"/>
        <v/>
      </c>
      <c r="I116" s="84" t="str">
        <f t="shared" si="8"/>
        <v/>
      </c>
      <c r="J116" s="84" t="str">
        <f t="shared" si="9"/>
        <v/>
      </c>
      <c r="O116" s="84" t="str">
        <f>IF('05_PRODUCTOS'!$L116="","",IF(AND(OR(kxCategoria="",'05_PRODUCTOS'!$D116=kxCategoria),OR(kxBuscar="",ISNUMBER(SEARCH(kxBuscar,'05_PRODUCTOS'!$L116)))),ROW()-7,""))</f>
        <v/>
      </c>
      <c r="P116" s="84" t="str">
        <f>IFERROR(INDEX('05_PRODUCTOS'!$L$8:$L$507,SMALL($O$8:$O$507,ROW()-7)),"")</f>
        <v/>
      </c>
    </row>
    <row r="117" spans="3:16" x14ac:dyDescent="0.25">
      <c r="C117" s="84" t="str">
        <f>IF(AND('05_PRODUCTOS'!$B117&lt;&gt;"",'05_PRODUCTOS'!$C117&lt;&gt;"",'05_PRODUCTOS'!$K117&lt;&gt;"NO",ISNUMBER(MATCH('05_PRODUCTOS'!$D117,lstCategorias,0))),'05_PRODUCTOS'!$D117,"")</f>
        <v/>
      </c>
      <c r="D117" s="84" t="str">
        <f>IF($C117="","",'05_PRODUCTOS'!$L117)</f>
        <v/>
      </c>
      <c r="E117" s="84" t="str">
        <f t="shared" si="6"/>
        <v/>
      </c>
      <c r="G117" s="85">
        <v>110</v>
      </c>
      <c r="H117" s="84" t="str">
        <f t="shared" si="7"/>
        <v/>
      </c>
      <c r="I117" s="84" t="str">
        <f t="shared" si="8"/>
        <v/>
      </c>
      <c r="J117" s="84" t="str">
        <f t="shared" si="9"/>
        <v/>
      </c>
      <c r="O117" s="84" t="str">
        <f>IF('05_PRODUCTOS'!$L117="","",IF(AND(OR(kxCategoria="",'05_PRODUCTOS'!$D117=kxCategoria),OR(kxBuscar="",ISNUMBER(SEARCH(kxBuscar,'05_PRODUCTOS'!$L117)))),ROW()-7,""))</f>
        <v/>
      </c>
      <c r="P117" s="84" t="str">
        <f>IFERROR(INDEX('05_PRODUCTOS'!$L$8:$L$507,SMALL($O$8:$O$507,ROW()-7)),"")</f>
        <v/>
      </c>
    </row>
    <row r="118" spans="3:16" x14ac:dyDescent="0.25">
      <c r="C118" s="84" t="str">
        <f>IF(AND('05_PRODUCTOS'!$B118&lt;&gt;"",'05_PRODUCTOS'!$C118&lt;&gt;"",'05_PRODUCTOS'!$K118&lt;&gt;"NO",ISNUMBER(MATCH('05_PRODUCTOS'!$D118,lstCategorias,0))),'05_PRODUCTOS'!$D118,"")</f>
        <v/>
      </c>
      <c r="D118" s="84" t="str">
        <f>IF($C118="","",'05_PRODUCTOS'!$L118)</f>
        <v/>
      </c>
      <c r="E118" s="84" t="str">
        <f t="shared" si="6"/>
        <v/>
      </c>
      <c r="G118" s="85">
        <v>111</v>
      </c>
      <c r="H118" s="84" t="str">
        <f t="shared" si="7"/>
        <v/>
      </c>
      <c r="I118" s="84" t="str">
        <f t="shared" si="8"/>
        <v/>
      </c>
      <c r="J118" s="84" t="str">
        <f t="shared" si="9"/>
        <v/>
      </c>
      <c r="O118" s="84" t="str">
        <f>IF('05_PRODUCTOS'!$L118="","",IF(AND(OR(kxCategoria="",'05_PRODUCTOS'!$D118=kxCategoria),OR(kxBuscar="",ISNUMBER(SEARCH(kxBuscar,'05_PRODUCTOS'!$L118)))),ROW()-7,""))</f>
        <v/>
      </c>
      <c r="P118" s="84" t="str">
        <f>IFERROR(INDEX('05_PRODUCTOS'!$L$8:$L$507,SMALL($O$8:$O$507,ROW()-7)),"")</f>
        <v/>
      </c>
    </row>
    <row r="119" spans="3:16" x14ac:dyDescent="0.25">
      <c r="C119" s="84" t="str">
        <f>IF(AND('05_PRODUCTOS'!$B119&lt;&gt;"",'05_PRODUCTOS'!$C119&lt;&gt;"",'05_PRODUCTOS'!$K119&lt;&gt;"NO",ISNUMBER(MATCH('05_PRODUCTOS'!$D119,lstCategorias,0))),'05_PRODUCTOS'!$D119,"")</f>
        <v/>
      </c>
      <c r="D119" s="84" t="str">
        <f>IF($C119="","",'05_PRODUCTOS'!$L119)</f>
        <v/>
      </c>
      <c r="E119" s="84" t="str">
        <f t="shared" si="6"/>
        <v/>
      </c>
      <c r="G119" s="85">
        <v>112</v>
      </c>
      <c r="H119" s="84" t="str">
        <f t="shared" si="7"/>
        <v/>
      </c>
      <c r="I119" s="84" t="str">
        <f t="shared" si="8"/>
        <v/>
      </c>
      <c r="J119" s="84" t="str">
        <f t="shared" si="9"/>
        <v/>
      </c>
      <c r="O119" s="84" t="str">
        <f>IF('05_PRODUCTOS'!$L119="","",IF(AND(OR(kxCategoria="",'05_PRODUCTOS'!$D119=kxCategoria),OR(kxBuscar="",ISNUMBER(SEARCH(kxBuscar,'05_PRODUCTOS'!$L119)))),ROW()-7,""))</f>
        <v/>
      </c>
      <c r="P119" s="84" t="str">
        <f>IFERROR(INDEX('05_PRODUCTOS'!$L$8:$L$507,SMALL($O$8:$O$507,ROW()-7)),"")</f>
        <v/>
      </c>
    </row>
    <row r="120" spans="3:16" x14ac:dyDescent="0.25">
      <c r="C120" s="84" t="str">
        <f>IF(AND('05_PRODUCTOS'!$B120&lt;&gt;"",'05_PRODUCTOS'!$C120&lt;&gt;"",'05_PRODUCTOS'!$K120&lt;&gt;"NO",ISNUMBER(MATCH('05_PRODUCTOS'!$D120,lstCategorias,0))),'05_PRODUCTOS'!$D120,"")</f>
        <v/>
      </c>
      <c r="D120" s="84" t="str">
        <f>IF($C120="","",'05_PRODUCTOS'!$L120)</f>
        <v/>
      </c>
      <c r="E120" s="84" t="str">
        <f t="shared" si="6"/>
        <v/>
      </c>
      <c r="G120" s="85">
        <v>113</v>
      </c>
      <c r="H120" s="84" t="str">
        <f t="shared" si="7"/>
        <v/>
      </c>
      <c r="I120" s="84" t="str">
        <f t="shared" si="8"/>
        <v/>
      </c>
      <c r="J120" s="84" t="str">
        <f t="shared" si="9"/>
        <v/>
      </c>
      <c r="O120" s="84" t="str">
        <f>IF('05_PRODUCTOS'!$L120="","",IF(AND(OR(kxCategoria="",'05_PRODUCTOS'!$D120=kxCategoria),OR(kxBuscar="",ISNUMBER(SEARCH(kxBuscar,'05_PRODUCTOS'!$L120)))),ROW()-7,""))</f>
        <v/>
      </c>
      <c r="P120" s="84" t="str">
        <f>IFERROR(INDEX('05_PRODUCTOS'!$L$8:$L$507,SMALL($O$8:$O$507,ROW()-7)),"")</f>
        <v/>
      </c>
    </row>
    <row r="121" spans="3:16" x14ac:dyDescent="0.25">
      <c r="C121" s="84" t="str">
        <f>IF(AND('05_PRODUCTOS'!$B121&lt;&gt;"",'05_PRODUCTOS'!$C121&lt;&gt;"",'05_PRODUCTOS'!$K121&lt;&gt;"NO",ISNUMBER(MATCH('05_PRODUCTOS'!$D121,lstCategorias,0))),'05_PRODUCTOS'!$D121,"")</f>
        <v/>
      </c>
      <c r="D121" s="84" t="str">
        <f>IF($C121="","",'05_PRODUCTOS'!$L121)</f>
        <v/>
      </c>
      <c r="E121" s="84" t="str">
        <f t="shared" si="6"/>
        <v/>
      </c>
      <c r="G121" s="85">
        <v>114</v>
      </c>
      <c r="H121" s="84" t="str">
        <f t="shared" si="7"/>
        <v/>
      </c>
      <c r="I121" s="84" t="str">
        <f t="shared" si="8"/>
        <v/>
      </c>
      <c r="J121" s="84" t="str">
        <f t="shared" si="9"/>
        <v/>
      </c>
      <c r="O121" s="84" t="str">
        <f>IF('05_PRODUCTOS'!$L121="","",IF(AND(OR(kxCategoria="",'05_PRODUCTOS'!$D121=kxCategoria),OR(kxBuscar="",ISNUMBER(SEARCH(kxBuscar,'05_PRODUCTOS'!$L121)))),ROW()-7,""))</f>
        <v/>
      </c>
      <c r="P121" s="84" t="str">
        <f>IFERROR(INDEX('05_PRODUCTOS'!$L$8:$L$507,SMALL($O$8:$O$507,ROW()-7)),"")</f>
        <v/>
      </c>
    </row>
    <row r="122" spans="3:16" x14ac:dyDescent="0.25">
      <c r="C122" s="84" t="str">
        <f>IF(AND('05_PRODUCTOS'!$B122&lt;&gt;"",'05_PRODUCTOS'!$C122&lt;&gt;"",'05_PRODUCTOS'!$K122&lt;&gt;"NO",ISNUMBER(MATCH('05_PRODUCTOS'!$D122,lstCategorias,0))),'05_PRODUCTOS'!$D122,"")</f>
        <v/>
      </c>
      <c r="D122" s="84" t="str">
        <f>IF($C122="","",'05_PRODUCTOS'!$L122)</f>
        <v/>
      </c>
      <c r="E122" s="84" t="str">
        <f t="shared" si="6"/>
        <v/>
      </c>
      <c r="G122" s="85">
        <v>115</v>
      </c>
      <c r="H122" s="84" t="str">
        <f t="shared" si="7"/>
        <v/>
      </c>
      <c r="I122" s="84" t="str">
        <f t="shared" si="8"/>
        <v/>
      </c>
      <c r="J122" s="84" t="str">
        <f t="shared" si="9"/>
        <v/>
      </c>
      <c r="O122" s="84" t="str">
        <f>IF('05_PRODUCTOS'!$L122="","",IF(AND(OR(kxCategoria="",'05_PRODUCTOS'!$D122=kxCategoria),OR(kxBuscar="",ISNUMBER(SEARCH(kxBuscar,'05_PRODUCTOS'!$L122)))),ROW()-7,""))</f>
        <v/>
      </c>
      <c r="P122" s="84" t="str">
        <f>IFERROR(INDEX('05_PRODUCTOS'!$L$8:$L$507,SMALL($O$8:$O$507,ROW()-7)),"")</f>
        <v/>
      </c>
    </row>
    <row r="123" spans="3:16" x14ac:dyDescent="0.25">
      <c r="C123" s="84" t="str">
        <f>IF(AND('05_PRODUCTOS'!$B123&lt;&gt;"",'05_PRODUCTOS'!$C123&lt;&gt;"",'05_PRODUCTOS'!$K123&lt;&gt;"NO",ISNUMBER(MATCH('05_PRODUCTOS'!$D123,lstCategorias,0))),'05_PRODUCTOS'!$D123,"")</f>
        <v/>
      </c>
      <c r="D123" s="84" t="str">
        <f>IF($C123="","",'05_PRODUCTOS'!$L123)</f>
        <v/>
      </c>
      <c r="E123" s="84" t="str">
        <f t="shared" si="6"/>
        <v/>
      </c>
      <c r="G123" s="85">
        <v>116</v>
      </c>
      <c r="H123" s="84" t="str">
        <f t="shared" si="7"/>
        <v/>
      </c>
      <c r="I123" s="84" t="str">
        <f t="shared" si="8"/>
        <v/>
      </c>
      <c r="J123" s="84" t="str">
        <f t="shared" si="9"/>
        <v/>
      </c>
      <c r="O123" s="84" t="str">
        <f>IF('05_PRODUCTOS'!$L123="","",IF(AND(OR(kxCategoria="",'05_PRODUCTOS'!$D123=kxCategoria),OR(kxBuscar="",ISNUMBER(SEARCH(kxBuscar,'05_PRODUCTOS'!$L123)))),ROW()-7,""))</f>
        <v/>
      </c>
      <c r="P123" s="84" t="str">
        <f>IFERROR(INDEX('05_PRODUCTOS'!$L$8:$L$507,SMALL($O$8:$O$507,ROW()-7)),"")</f>
        <v/>
      </c>
    </row>
    <row r="124" spans="3:16" x14ac:dyDescent="0.25">
      <c r="C124" s="84" t="str">
        <f>IF(AND('05_PRODUCTOS'!$B124&lt;&gt;"",'05_PRODUCTOS'!$C124&lt;&gt;"",'05_PRODUCTOS'!$K124&lt;&gt;"NO",ISNUMBER(MATCH('05_PRODUCTOS'!$D124,lstCategorias,0))),'05_PRODUCTOS'!$D124,"")</f>
        <v/>
      </c>
      <c r="D124" s="84" t="str">
        <f>IF($C124="","",'05_PRODUCTOS'!$L124)</f>
        <v/>
      </c>
      <c r="E124" s="84" t="str">
        <f t="shared" si="6"/>
        <v/>
      </c>
      <c r="G124" s="85">
        <v>117</v>
      </c>
      <c r="H124" s="84" t="str">
        <f t="shared" si="7"/>
        <v/>
      </c>
      <c r="I124" s="84" t="str">
        <f t="shared" si="8"/>
        <v/>
      </c>
      <c r="J124" s="84" t="str">
        <f t="shared" si="9"/>
        <v/>
      </c>
      <c r="O124" s="84" t="str">
        <f>IF('05_PRODUCTOS'!$L124="","",IF(AND(OR(kxCategoria="",'05_PRODUCTOS'!$D124=kxCategoria),OR(kxBuscar="",ISNUMBER(SEARCH(kxBuscar,'05_PRODUCTOS'!$L124)))),ROW()-7,""))</f>
        <v/>
      </c>
      <c r="P124" s="84" t="str">
        <f>IFERROR(INDEX('05_PRODUCTOS'!$L$8:$L$507,SMALL($O$8:$O$507,ROW()-7)),"")</f>
        <v/>
      </c>
    </row>
    <row r="125" spans="3:16" x14ac:dyDescent="0.25">
      <c r="C125" s="84" t="str">
        <f>IF(AND('05_PRODUCTOS'!$B125&lt;&gt;"",'05_PRODUCTOS'!$C125&lt;&gt;"",'05_PRODUCTOS'!$K125&lt;&gt;"NO",ISNUMBER(MATCH('05_PRODUCTOS'!$D125,lstCategorias,0))),'05_PRODUCTOS'!$D125,"")</f>
        <v/>
      </c>
      <c r="D125" s="84" t="str">
        <f>IF($C125="","",'05_PRODUCTOS'!$L125)</f>
        <v/>
      </c>
      <c r="E125" s="84" t="str">
        <f t="shared" si="6"/>
        <v/>
      </c>
      <c r="G125" s="85">
        <v>118</v>
      </c>
      <c r="H125" s="84" t="str">
        <f t="shared" si="7"/>
        <v/>
      </c>
      <c r="I125" s="84" t="str">
        <f t="shared" si="8"/>
        <v/>
      </c>
      <c r="J125" s="84" t="str">
        <f t="shared" si="9"/>
        <v/>
      </c>
      <c r="O125" s="84" t="str">
        <f>IF('05_PRODUCTOS'!$L125="","",IF(AND(OR(kxCategoria="",'05_PRODUCTOS'!$D125=kxCategoria),OR(kxBuscar="",ISNUMBER(SEARCH(kxBuscar,'05_PRODUCTOS'!$L125)))),ROW()-7,""))</f>
        <v/>
      </c>
      <c r="P125" s="84" t="str">
        <f>IFERROR(INDEX('05_PRODUCTOS'!$L$8:$L$507,SMALL($O$8:$O$507,ROW()-7)),"")</f>
        <v/>
      </c>
    </row>
    <row r="126" spans="3:16" x14ac:dyDescent="0.25">
      <c r="C126" s="84" t="str">
        <f>IF(AND('05_PRODUCTOS'!$B126&lt;&gt;"",'05_PRODUCTOS'!$C126&lt;&gt;"",'05_PRODUCTOS'!$K126&lt;&gt;"NO",ISNUMBER(MATCH('05_PRODUCTOS'!$D126,lstCategorias,0))),'05_PRODUCTOS'!$D126,"")</f>
        <v/>
      </c>
      <c r="D126" s="84" t="str">
        <f>IF($C126="","",'05_PRODUCTOS'!$L126)</f>
        <v/>
      </c>
      <c r="E126" s="84" t="str">
        <f t="shared" si="6"/>
        <v/>
      </c>
      <c r="G126" s="85">
        <v>119</v>
      </c>
      <c r="H126" s="84" t="str">
        <f t="shared" si="7"/>
        <v/>
      </c>
      <c r="I126" s="84" t="str">
        <f t="shared" si="8"/>
        <v/>
      </c>
      <c r="J126" s="84" t="str">
        <f t="shared" si="9"/>
        <v/>
      </c>
      <c r="O126" s="84" t="str">
        <f>IF('05_PRODUCTOS'!$L126="","",IF(AND(OR(kxCategoria="",'05_PRODUCTOS'!$D126=kxCategoria),OR(kxBuscar="",ISNUMBER(SEARCH(kxBuscar,'05_PRODUCTOS'!$L126)))),ROW()-7,""))</f>
        <v/>
      </c>
      <c r="P126" s="84" t="str">
        <f>IFERROR(INDEX('05_PRODUCTOS'!$L$8:$L$507,SMALL($O$8:$O$507,ROW()-7)),"")</f>
        <v/>
      </c>
    </row>
    <row r="127" spans="3:16" x14ac:dyDescent="0.25">
      <c r="C127" s="84" t="str">
        <f>IF(AND('05_PRODUCTOS'!$B127&lt;&gt;"",'05_PRODUCTOS'!$C127&lt;&gt;"",'05_PRODUCTOS'!$K127&lt;&gt;"NO",ISNUMBER(MATCH('05_PRODUCTOS'!$D127,lstCategorias,0))),'05_PRODUCTOS'!$D127,"")</f>
        <v/>
      </c>
      <c r="D127" s="84" t="str">
        <f>IF($C127="","",'05_PRODUCTOS'!$L127)</f>
        <v/>
      </c>
      <c r="E127" s="84" t="str">
        <f t="shared" si="6"/>
        <v/>
      </c>
      <c r="G127" s="85">
        <v>120</v>
      </c>
      <c r="H127" s="84" t="str">
        <f t="shared" si="7"/>
        <v/>
      </c>
      <c r="I127" s="84" t="str">
        <f t="shared" si="8"/>
        <v/>
      </c>
      <c r="J127" s="84" t="str">
        <f t="shared" si="9"/>
        <v/>
      </c>
      <c r="O127" s="84" t="str">
        <f>IF('05_PRODUCTOS'!$L127="","",IF(AND(OR(kxCategoria="",'05_PRODUCTOS'!$D127=kxCategoria),OR(kxBuscar="",ISNUMBER(SEARCH(kxBuscar,'05_PRODUCTOS'!$L127)))),ROW()-7,""))</f>
        <v/>
      </c>
      <c r="P127" s="84" t="str">
        <f>IFERROR(INDEX('05_PRODUCTOS'!$L$8:$L$507,SMALL($O$8:$O$507,ROW()-7)),"")</f>
        <v/>
      </c>
    </row>
    <row r="128" spans="3:16" x14ac:dyDescent="0.25">
      <c r="C128" s="84" t="str">
        <f>IF(AND('05_PRODUCTOS'!$B128&lt;&gt;"",'05_PRODUCTOS'!$C128&lt;&gt;"",'05_PRODUCTOS'!$K128&lt;&gt;"NO",ISNUMBER(MATCH('05_PRODUCTOS'!$D128,lstCategorias,0))),'05_PRODUCTOS'!$D128,"")</f>
        <v/>
      </c>
      <c r="D128" s="84" t="str">
        <f>IF($C128="","",'05_PRODUCTOS'!$L128)</f>
        <v/>
      </c>
      <c r="E128" s="84" t="str">
        <f t="shared" si="6"/>
        <v/>
      </c>
      <c r="G128" s="85">
        <v>121</v>
      </c>
      <c r="H128" s="84" t="str">
        <f t="shared" si="7"/>
        <v/>
      </c>
      <c r="I128" s="84" t="str">
        <f t="shared" si="8"/>
        <v/>
      </c>
      <c r="J128" s="84" t="str">
        <f t="shared" si="9"/>
        <v/>
      </c>
      <c r="O128" s="84" t="str">
        <f>IF('05_PRODUCTOS'!$L128="","",IF(AND(OR(kxCategoria="",'05_PRODUCTOS'!$D128=kxCategoria),OR(kxBuscar="",ISNUMBER(SEARCH(kxBuscar,'05_PRODUCTOS'!$L128)))),ROW()-7,""))</f>
        <v/>
      </c>
      <c r="P128" s="84" t="str">
        <f>IFERROR(INDEX('05_PRODUCTOS'!$L$8:$L$507,SMALL($O$8:$O$507,ROW()-7)),"")</f>
        <v/>
      </c>
    </row>
    <row r="129" spans="3:16" x14ac:dyDescent="0.25">
      <c r="C129" s="84" t="str">
        <f>IF(AND('05_PRODUCTOS'!$B129&lt;&gt;"",'05_PRODUCTOS'!$C129&lt;&gt;"",'05_PRODUCTOS'!$K129&lt;&gt;"NO",ISNUMBER(MATCH('05_PRODUCTOS'!$D129,lstCategorias,0))),'05_PRODUCTOS'!$D129,"")</f>
        <v/>
      </c>
      <c r="D129" s="84" t="str">
        <f>IF($C129="","",'05_PRODUCTOS'!$L129)</f>
        <v/>
      </c>
      <c r="E129" s="84" t="str">
        <f t="shared" si="6"/>
        <v/>
      </c>
      <c r="G129" s="85">
        <v>122</v>
      </c>
      <c r="H129" s="84" t="str">
        <f t="shared" si="7"/>
        <v/>
      </c>
      <c r="I129" s="84" t="str">
        <f t="shared" si="8"/>
        <v/>
      </c>
      <c r="J129" s="84" t="str">
        <f t="shared" si="9"/>
        <v/>
      </c>
      <c r="O129" s="84" t="str">
        <f>IF('05_PRODUCTOS'!$L129="","",IF(AND(OR(kxCategoria="",'05_PRODUCTOS'!$D129=kxCategoria),OR(kxBuscar="",ISNUMBER(SEARCH(kxBuscar,'05_PRODUCTOS'!$L129)))),ROW()-7,""))</f>
        <v/>
      </c>
      <c r="P129" s="84" t="str">
        <f>IFERROR(INDEX('05_PRODUCTOS'!$L$8:$L$507,SMALL($O$8:$O$507,ROW()-7)),"")</f>
        <v/>
      </c>
    </row>
    <row r="130" spans="3:16" x14ac:dyDescent="0.25">
      <c r="C130" s="84" t="str">
        <f>IF(AND('05_PRODUCTOS'!$B130&lt;&gt;"",'05_PRODUCTOS'!$C130&lt;&gt;"",'05_PRODUCTOS'!$K130&lt;&gt;"NO",ISNUMBER(MATCH('05_PRODUCTOS'!$D130,lstCategorias,0))),'05_PRODUCTOS'!$D130,"")</f>
        <v/>
      </c>
      <c r="D130" s="84" t="str">
        <f>IF($C130="","",'05_PRODUCTOS'!$L130)</f>
        <v/>
      </c>
      <c r="E130" s="84" t="str">
        <f t="shared" si="6"/>
        <v/>
      </c>
      <c r="G130" s="85">
        <v>123</v>
      </c>
      <c r="H130" s="84" t="str">
        <f t="shared" si="7"/>
        <v/>
      </c>
      <c r="I130" s="84" t="str">
        <f t="shared" si="8"/>
        <v/>
      </c>
      <c r="J130" s="84" t="str">
        <f t="shared" si="9"/>
        <v/>
      </c>
      <c r="O130" s="84" t="str">
        <f>IF('05_PRODUCTOS'!$L130="","",IF(AND(OR(kxCategoria="",'05_PRODUCTOS'!$D130=kxCategoria),OR(kxBuscar="",ISNUMBER(SEARCH(kxBuscar,'05_PRODUCTOS'!$L130)))),ROW()-7,""))</f>
        <v/>
      </c>
      <c r="P130" s="84" t="str">
        <f>IFERROR(INDEX('05_PRODUCTOS'!$L$8:$L$507,SMALL($O$8:$O$507,ROW()-7)),"")</f>
        <v/>
      </c>
    </row>
    <row r="131" spans="3:16" x14ac:dyDescent="0.25">
      <c r="C131" s="84" t="str">
        <f>IF(AND('05_PRODUCTOS'!$B131&lt;&gt;"",'05_PRODUCTOS'!$C131&lt;&gt;"",'05_PRODUCTOS'!$K131&lt;&gt;"NO",ISNUMBER(MATCH('05_PRODUCTOS'!$D131,lstCategorias,0))),'05_PRODUCTOS'!$D131,"")</f>
        <v/>
      </c>
      <c r="D131" s="84" t="str">
        <f>IF($C131="","",'05_PRODUCTOS'!$L131)</f>
        <v/>
      </c>
      <c r="E131" s="84" t="str">
        <f t="shared" si="6"/>
        <v/>
      </c>
      <c r="G131" s="85">
        <v>124</v>
      </c>
      <c r="H131" s="84" t="str">
        <f t="shared" si="7"/>
        <v/>
      </c>
      <c r="I131" s="84" t="str">
        <f t="shared" si="8"/>
        <v/>
      </c>
      <c r="J131" s="84" t="str">
        <f t="shared" si="9"/>
        <v/>
      </c>
      <c r="O131" s="84" t="str">
        <f>IF('05_PRODUCTOS'!$L131="","",IF(AND(OR(kxCategoria="",'05_PRODUCTOS'!$D131=kxCategoria),OR(kxBuscar="",ISNUMBER(SEARCH(kxBuscar,'05_PRODUCTOS'!$L131)))),ROW()-7,""))</f>
        <v/>
      </c>
      <c r="P131" s="84" t="str">
        <f>IFERROR(INDEX('05_PRODUCTOS'!$L$8:$L$507,SMALL($O$8:$O$507,ROW()-7)),"")</f>
        <v/>
      </c>
    </row>
    <row r="132" spans="3:16" x14ac:dyDescent="0.25">
      <c r="C132" s="84" t="str">
        <f>IF(AND('05_PRODUCTOS'!$B132&lt;&gt;"",'05_PRODUCTOS'!$C132&lt;&gt;"",'05_PRODUCTOS'!$K132&lt;&gt;"NO",ISNUMBER(MATCH('05_PRODUCTOS'!$D132,lstCategorias,0))),'05_PRODUCTOS'!$D132,"")</f>
        <v/>
      </c>
      <c r="D132" s="84" t="str">
        <f>IF($C132="","",'05_PRODUCTOS'!$L132)</f>
        <v/>
      </c>
      <c r="E132" s="84" t="str">
        <f t="shared" si="6"/>
        <v/>
      </c>
      <c r="G132" s="85">
        <v>125</v>
      </c>
      <c r="H132" s="84" t="str">
        <f t="shared" si="7"/>
        <v/>
      </c>
      <c r="I132" s="84" t="str">
        <f t="shared" si="8"/>
        <v/>
      </c>
      <c r="J132" s="84" t="str">
        <f t="shared" si="9"/>
        <v/>
      </c>
      <c r="O132" s="84" t="str">
        <f>IF('05_PRODUCTOS'!$L132="","",IF(AND(OR(kxCategoria="",'05_PRODUCTOS'!$D132=kxCategoria),OR(kxBuscar="",ISNUMBER(SEARCH(kxBuscar,'05_PRODUCTOS'!$L132)))),ROW()-7,""))</f>
        <v/>
      </c>
      <c r="P132" s="84" t="str">
        <f>IFERROR(INDEX('05_PRODUCTOS'!$L$8:$L$507,SMALL($O$8:$O$507,ROW()-7)),"")</f>
        <v/>
      </c>
    </row>
    <row r="133" spans="3:16" x14ac:dyDescent="0.25">
      <c r="C133" s="84" t="str">
        <f>IF(AND('05_PRODUCTOS'!$B133&lt;&gt;"",'05_PRODUCTOS'!$C133&lt;&gt;"",'05_PRODUCTOS'!$K133&lt;&gt;"NO",ISNUMBER(MATCH('05_PRODUCTOS'!$D133,lstCategorias,0))),'05_PRODUCTOS'!$D133,"")</f>
        <v/>
      </c>
      <c r="D133" s="84" t="str">
        <f>IF($C133="","",'05_PRODUCTOS'!$L133)</f>
        <v/>
      </c>
      <c r="E133" s="84" t="str">
        <f t="shared" si="6"/>
        <v/>
      </c>
      <c r="G133" s="85">
        <v>126</v>
      </c>
      <c r="H133" s="84" t="str">
        <f t="shared" si="7"/>
        <v/>
      </c>
      <c r="I133" s="84" t="str">
        <f t="shared" si="8"/>
        <v/>
      </c>
      <c r="J133" s="84" t="str">
        <f t="shared" si="9"/>
        <v/>
      </c>
      <c r="O133" s="84" t="str">
        <f>IF('05_PRODUCTOS'!$L133="","",IF(AND(OR(kxCategoria="",'05_PRODUCTOS'!$D133=kxCategoria),OR(kxBuscar="",ISNUMBER(SEARCH(kxBuscar,'05_PRODUCTOS'!$L133)))),ROW()-7,""))</f>
        <v/>
      </c>
      <c r="P133" s="84" t="str">
        <f>IFERROR(INDEX('05_PRODUCTOS'!$L$8:$L$507,SMALL($O$8:$O$507,ROW()-7)),"")</f>
        <v/>
      </c>
    </row>
    <row r="134" spans="3:16" x14ac:dyDescent="0.25">
      <c r="C134" s="84" t="str">
        <f>IF(AND('05_PRODUCTOS'!$B134&lt;&gt;"",'05_PRODUCTOS'!$C134&lt;&gt;"",'05_PRODUCTOS'!$K134&lt;&gt;"NO",ISNUMBER(MATCH('05_PRODUCTOS'!$D134,lstCategorias,0))),'05_PRODUCTOS'!$D134,"")</f>
        <v/>
      </c>
      <c r="D134" s="84" t="str">
        <f>IF($C134="","",'05_PRODUCTOS'!$L134)</f>
        <v/>
      </c>
      <c r="E134" s="84" t="str">
        <f t="shared" si="6"/>
        <v/>
      </c>
      <c r="G134" s="85">
        <v>127</v>
      </c>
      <c r="H134" s="84" t="str">
        <f t="shared" si="7"/>
        <v/>
      </c>
      <c r="I134" s="84" t="str">
        <f t="shared" si="8"/>
        <v/>
      </c>
      <c r="J134" s="84" t="str">
        <f t="shared" si="9"/>
        <v/>
      </c>
      <c r="O134" s="84" t="str">
        <f>IF('05_PRODUCTOS'!$L134="","",IF(AND(OR(kxCategoria="",'05_PRODUCTOS'!$D134=kxCategoria),OR(kxBuscar="",ISNUMBER(SEARCH(kxBuscar,'05_PRODUCTOS'!$L134)))),ROW()-7,""))</f>
        <v/>
      </c>
      <c r="P134" s="84" t="str">
        <f>IFERROR(INDEX('05_PRODUCTOS'!$L$8:$L$507,SMALL($O$8:$O$507,ROW()-7)),"")</f>
        <v/>
      </c>
    </row>
    <row r="135" spans="3:16" x14ac:dyDescent="0.25">
      <c r="C135" s="84" t="str">
        <f>IF(AND('05_PRODUCTOS'!$B135&lt;&gt;"",'05_PRODUCTOS'!$C135&lt;&gt;"",'05_PRODUCTOS'!$K135&lt;&gt;"NO",ISNUMBER(MATCH('05_PRODUCTOS'!$D135,lstCategorias,0))),'05_PRODUCTOS'!$D135,"")</f>
        <v/>
      </c>
      <c r="D135" s="84" t="str">
        <f>IF($C135="","",'05_PRODUCTOS'!$L135)</f>
        <v/>
      </c>
      <c r="E135" s="84" t="str">
        <f t="shared" si="6"/>
        <v/>
      </c>
      <c r="G135" s="85">
        <v>128</v>
      </c>
      <c r="H135" s="84" t="str">
        <f t="shared" si="7"/>
        <v/>
      </c>
      <c r="I135" s="84" t="str">
        <f t="shared" si="8"/>
        <v/>
      </c>
      <c r="J135" s="84" t="str">
        <f t="shared" si="9"/>
        <v/>
      </c>
      <c r="O135" s="84" t="str">
        <f>IF('05_PRODUCTOS'!$L135="","",IF(AND(OR(kxCategoria="",'05_PRODUCTOS'!$D135=kxCategoria),OR(kxBuscar="",ISNUMBER(SEARCH(kxBuscar,'05_PRODUCTOS'!$L135)))),ROW()-7,""))</f>
        <v/>
      </c>
      <c r="P135" s="84" t="str">
        <f>IFERROR(INDEX('05_PRODUCTOS'!$L$8:$L$507,SMALL($O$8:$O$507,ROW()-7)),"")</f>
        <v/>
      </c>
    </row>
    <row r="136" spans="3:16" x14ac:dyDescent="0.25">
      <c r="C136" s="84" t="str">
        <f>IF(AND('05_PRODUCTOS'!$B136&lt;&gt;"",'05_PRODUCTOS'!$C136&lt;&gt;"",'05_PRODUCTOS'!$K136&lt;&gt;"NO",ISNUMBER(MATCH('05_PRODUCTOS'!$D136,lstCategorias,0))),'05_PRODUCTOS'!$D136,"")</f>
        <v/>
      </c>
      <c r="D136" s="84" t="str">
        <f>IF($C136="","",'05_PRODUCTOS'!$L136)</f>
        <v/>
      </c>
      <c r="E136" s="84" t="str">
        <f t="shared" ref="E136:E199" si="11">IF($C136="","",MATCH($C136,lstCategorias,0)*1000+COUNTIFS($C$8:$C$507,$C136,$D$8:$D$507,"&lt;"&amp;$D136)+1+ROW()/100000)</f>
        <v/>
      </c>
      <c r="G136" s="85">
        <v>129</v>
      </c>
      <c r="H136" s="84" t="str">
        <f t="shared" ref="H136:H199" si="12">IFERROR(SMALL($E$8:$E$507,$G136),"")</f>
        <v/>
      </c>
      <c r="I136" s="84" t="str">
        <f t="shared" ref="I136:I199" si="13">IF($H136="","",INDEX($C$8:$C$507,MATCH($H136,$E$8:$E$507,0)))</f>
        <v/>
      </c>
      <c r="J136" s="84" t="str">
        <f t="shared" ref="J136:J199" si="14">IF($H136="","",INDEX($D$8:$D$507,MATCH($H136,$E$8:$E$507,0)))</f>
        <v/>
      </c>
      <c r="O136" s="84" t="str">
        <f>IF('05_PRODUCTOS'!$L136="","",IF(AND(OR(kxCategoria="",'05_PRODUCTOS'!$D136=kxCategoria),OR(kxBuscar="",ISNUMBER(SEARCH(kxBuscar,'05_PRODUCTOS'!$L136)))),ROW()-7,""))</f>
        <v/>
      </c>
      <c r="P136" s="84" t="str">
        <f>IFERROR(INDEX('05_PRODUCTOS'!$L$8:$L$507,SMALL($O$8:$O$507,ROW()-7)),"")</f>
        <v/>
      </c>
    </row>
    <row r="137" spans="3:16" x14ac:dyDescent="0.25">
      <c r="C137" s="84" t="str">
        <f>IF(AND('05_PRODUCTOS'!$B137&lt;&gt;"",'05_PRODUCTOS'!$C137&lt;&gt;"",'05_PRODUCTOS'!$K137&lt;&gt;"NO",ISNUMBER(MATCH('05_PRODUCTOS'!$D137,lstCategorias,0))),'05_PRODUCTOS'!$D137,"")</f>
        <v/>
      </c>
      <c r="D137" s="84" t="str">
        <f>IF($C137="","",'05_PRODUCTOS'!$L137)</f>
        <v/>
      </c>
      <c r="E137" s="84" t="str">
        <f t="shared" si="11"/>
        <v/>
      </c>
      <c r="G137" s="85">
        <v>130</v>
      </c>
      <c r="H137" s="84" t="str">
        <f t="shared" si="12"/>
        <v/>
      </c>
      <c r="I137" s="84" t="str">
        <f t="shared" si="13"/>
        <v/>
      </c>
      <c r="J137" s="84" t="str">
        <f t="shared" si="14"/>
        <v/>
      </c>
      <c r="O137" s="84" t="str">
        <f>IF('05_PRODUCTOS'!$L137="","",IF(AND(OR(kxCategoria="",'05_PRODUCTOS'!$D137=kxCategoria),OR(kxBuscar="",ISNUMBER(SEARCH(kxBuscar,'05_PRODUCTOS'!$L137)))),ROW()-7,""))</f>
        <v/>
      </c>
      <c r="P137" s="84" t="str">
        <f>IFERROR(INDEX('05_PRODUCTOS'!$L$8:$L$507,SMALL($O$8:$O$507,ROW()-7)),"")</f>
        <v/>
      </c>
    </row>
    <row r="138" spans="3:16" x14ac:dyDescent="0.25">
      <c r="C138" s="84" t="str">
        <f>IF(AND('05_PRODUCTOS'!$B138&lt;&gt;"",'05_PRODUCTOS'!$C138&lt;&gt;"",'05_PRODUCTOS'!$K138&lt;&gt;"NO",ISNUMBER(MATCH('05_PRODUCTOS'!$D138,lstCategorias,0))),'05_PRODUCTOS'!$D138,"")</f>
        <v/>
      </c>
      <c r="D138" s="84" t="str">
        <f>IF($C138="","",'05_PRODUCTOS'!$L138)</f>
        <v/>
      </c>
      <c r="E138" s="84" t="str">
        <f t="shared" si="11"/>
        <v/>
      </c>
      <c r="G138" s="85">
        <v>131</v>
      </c>
      <c r="H138" s="84" t="str">
        <f t="shared" si="12"/>
        <v/>
      </c>
      <c r="I138" s="84" t="str">
        <f t="shared" si="13"/>
        <v/>
      </c>
      <c r="J138" s="84" t="str">
        <f t="shared" si="14"/>
        <v/>
      </c>
      <c r="O138" s="84" t="str">
        <f>IF('05_PRODUCTOS'!$L138="","",IF(AND(OR(kxCategoria="",'05_PRODUCTOS'!$D138=kxCategoria),OR(kxBuscar="",ISNUMBER(SEARCH(kxBuscar,'05_PRODUCTOS'!$L138)))),ROW()-7,""))</f>
        <v/>
      </c>
      <c r="P138" s="84" t="str">
        <f>IFERROR(INDEX('05_PRODUCTOS'!$L$8:$L$507,SMALL($O$8:$O$507,ROW()-7)),"")</f>
        <v/>
      </c>
    </row>
    <row r="139" spans="3:16" x14ac:dyDescent="0.25">
      <c r="C139" s="84" t="str">
        <f>IF(AND('05_PRODUCTOS'!$B139&lt;&gt;"",'05_PRODUCTOS'!$C139&lt;&gt;"",'05_PRODUCTOS'!$K139&lt;&gt;"NO",ISNUMBER(MATCH('05_PRODUCTOS'!$D139,lstCategorias,0))),'05_PRODUCTOS'!$D139,"")</f>
        <v/>
      </c>
      <c r="D139" s="84" t="str">
        <f>IF($C139="","",'05_PRODUCTOS'!$L139)</f>
        <v/>
      </c>
      <c r="E139" s="84" t="str">
        <f t="shared" si="11"/>
        <v/>
      </c>
      <c r="G139" s="85">
        <v>132</v>
      </c>
      <c r="H139" s="84" t="str">
        <f t="shared" si="12"/>
        <v/>
      </c>
      <c r="I139" s="84" t="str">
        <f t="shared" si="13"/>
        <v/>
      </c>
      <c r="J139" s="84" t="str">
        <f t="shared" si="14"/>
        <v/>
      </c>
      <c r="O139" s="84" t="str">
        <f>IF('05_PRODUCTOS'!$L139="","",IF(AND(OR(kxCategoria="",'05_PRODUCTOS'!$D139=kxCategoria),OR(kxBuscar="",ISNUMBER(SEARCH(kxBuscar,'05_PRODUCTOS'!$L139)))),ROW()-7,""))</f>
        <v/>
      </c>
      <c r="P139" s="84" t="str">
        <f>IFERROR(INDEX('05_PRODUCTOS'!$L$8:$L$507,SMALL($O$8:$O$507,ROW()-7)),"")</f>
        <v/>
      </c>
    </row>
    <row r="140" spans="3:16" x14ac:dyDescent="0.25">
      <c r="C140" s="84" t="str">
        <f>IF(AND('05_PRODUCTOS'!$B140&lt;&gt;"",'05_PRODUCTOS'!$C140&lt;&gt;"",'05_PRODUCTOS'!$K140&lt;&gt;"NO",ISNUMBER(MATCH('05_PRODUCTOS'!$D140,lstCategorias,0))),'05_PRODUCTOS'!$D140,"")</f>
        <v/>
      </c>
      <c r="D140" s="84" t="str">
        <f>IF($C140="","",'05_PRODUCTOS'!$L140)</f>
        <v/>
      </c>
      <c r="E140" s="84" t="str">
        <f t="shared" si="11"/>
        <v/>
      </c>
      <c r="G140" s="85">
        <v>133</v>
      </c>
      <c r="H140" s="84" t="str">
        <f t="shared" si="12"/>
        <v/>
      </c>
      <c r="I140" s="84" t="str">
        <f t="shared" si="13"/>
        <v/>
      </c>
      <c r="J140" s="84" t="str">
        <f t="shared" si="14"/>
        <v/>
      </c>
      <c r="O140" s="84" t="str">
        <f>IF('05_PRODUCTOS'!$L140="","",IF(AND(OR(kxCategoria="",'05_PRODUCTOS'!$D140=kxCategoria),OR(kxBuscar="",ISNUMBER(SEARCH(kxBuscar,'05_PRODUCTOS'!$L140)))),ROW()-7,""))</f>
        <v/>
      </c>
      <c r="P140" s="84" t="str">
        <f>IFERROR(INDEX('05_PRODUCTOS'!$L$8:$L$507,SMALL($O$8:$O$507,ROW()-7)),"")</f>
        <v/>
      </c>
    </row>
    <row r="141" spans="3:16" x14ac:dyDescent="0.25">
      <c r="C141" s="84" t="str">
        <f>IF(AND('05_PRODUCTOS'!$B141&lt;&gt;"",'05_PRODUCTOS'!$C141&lt;&gt;"",'05_PRODUCTOS'!$K141&lt;&gt;"NO",ISNUMBER(MATCH('05_PRODUCTOS'!$D141,lstCategorias,0))),'05_PRODUCTOS'!$D141,"")</f>
        <v/>
      </c>
      <c r="D141" s="84" t="str">
        <f>IF($C141="","",'05_PRODUCTOS'!$L141)</f>
        <v/>
      </c>
      <c r="E141" s="84" t="str">
        <f t="shared" si="11"/>
        <v/>
      </c>
      <c r="G141" s="85">
        <v>134</v>
      </c>
      <c r="H141" s="84" t="str">
        <f t="shared" si="12"/>
        <v/>
      </c>
      <c r="I141" s="84" t="str">
        <f t="shared" si="13"/>
        <v/>
      </c>
      <c r="J141" s="84" t="str">
        <f t="shared" si="14"/>
        <v/>
      </c>
      <c r="O141" s="84" t="str">
        <f>IF('05_PRODUCTOS'!$L141="","",IF(AND(OR(kxCategoria="",'05_PRODUCTOS'!$D141=kxCategoria),OR(kxBuscar="",ISNUMBER(SEARCH(kxBuscar,'05_PRODUCTOS'!$L141)))),ROW()-7,""))</f>
        <v/>
      </c>
      <c r="P141" s="84" t="str">
        <f>IFERROR(INDEX('05_PRODUCTOS'!$L$8:$L$507,SMALL($O$8:$O$507,ROW()-7)),"")</f>
        <v/>
      </c>
    </row>
    <row r="142" spans="3:16" x14ac:dyDescent="0.25">
      <c r="C142" s="84" t="str">
        <f>IF(AND('05_PRODUCTOS'!$B142&lt;&gt;"",'05_PRODUCTOS'!$C142&lt;&gt;"",'05_PRODUCTOS'!$K142&lt;&gt;"NO",ISNUMBER(MATCH('05_PRODUCTOS'!$D142,lstCategorias,0))),'05_PRODUCTOS'!$D142,"")</f>
        <v/>
      </c>
      <c r="D142" s="84" t="str">
        <f>IF($C142="","",'05_PRODUCTOS'!$L142)</f>
        <v/>
      </c>
      <c r="E142" s="84" t="str">
        <f t="shared" si="11"/>
        <v/>
      </c>
      <c r="G142" s="85">
        <v>135</v>
      </c>
      <c r="H142" s="84" t="str">
        <f t="shared" si="12"/>
        <v/>
      </c>
      <c r="I142" s="84" t="str">
        <f t="shared" si="13"/>
        <v/>
      </c>
      <c r="J142" s="84" t="str">
        <f t="shared" si="14"/>
        <v/>
      </c>
      <c r="O142" s="84" t="str">
        <f>IF('05_PRODUCTOS'!$L142="","",IF(AND(OR(kxCategoria="",'05_PRODUCTOS'!$D142=kxCategoria),OR(kxBuscar="",ISNUMBER(SEARCH(kxBuscar,'05_PRODUCTOS'!$L142)))),ROW()-7,""))</f>
        <v/>
      </c>
      <c r="P142" s="84" t="str">
        <f>IFERROR(INDEX('05_PRODUCTOS'!$L$8:$L$507,SMALL($O$8:$O$507,ROW()-7)),"")</f>
        <v/>
      </c>
    </row>
    <row r="143" spans="3:16" x14ac:dyDescent="0.25">
      <c r="C143" s="84" t="str">
        <f>IF(AND('05_PRODUCTOS'!$B143&lt;&gt;"",'05_PRODUCTOS'!$C143&lt;&gt;"",'05_PRODUCTOS'!$K143&lt;&gt;"NO",ISNUMBER(MATCH('05_PRODUCTOS'!$D143,lstCategorias,0))),'05_PRODUCTOS'!$D143,"")</f>
        <v/>
      </c>
      <c r="D143" s="84" t="str">
        <f>IF($C143="","",'05_PRODUCTOS'!$L143)</f>
        <v/>
      </c>
      <c r="E143" s="84" t="str">
        <f t="shared" si="11"/>
        <v/>
      </c>
      <c r="G143" s="85">
        <v>136</v>
      </c>
      <c r="H143" s="84" t="str">
        <f t="shared" si="12"/>
        <v/>
      </c>
      <c r="I143" s="84" t="str">
        <f t="shared" si="13"/>
        <v/>
      </c>
      <c r="J143" s="84" t="str">
        <f t="shared" si="14"/>
        <v/>
      </c>
      <c r="O143" s="84" t="str">
        <f>IF('05_PRODUCTOS'!$L143="","",IF(AND(OR(kxCategoria="",'05_PRODUCTOS'!$D143=kxCategoria),OR(kxBuscar="",ISNUMBER(SEARCH(kxBuscar,'05_PRODUCTOS'!$L143)))),ROW()-7,""))</f>
        <v/>
      </c>
      <c r="P143" s="84" t="str">
        <f>IFERROR(INDEX('05_PRODUCTOS'!$L$8:$L$507,SMALL($O$8:$O$507,ROW()-7)),"")</f>
        <v/>
      </c>
    </row>
    <row r="144" spans="3:16" x14ac:dyDescent="0.25">
      <c r="C144" s="84" t="str">
        <f>IF(AND('05_PRODUCTOS'!$B144&lt;&gt;"",'05_PRODUCTOS'!$C144&lt;&gt;"",'05_PRODUCTOS'!$K144&lt;&gt;"NO",ISNUMBER(MATCH('05_PRODUCTOS'!$D144,lstCategorias,0))),'05_PRODUCTOS'!$D144,"")</f>
        <v/>
      </c>
      <c r="D144" s="84" t="str">
        <f>IF($C144="","",'05_PRODUCTOS'!$L144)</f>
        <v/>
      </c>
      <c r="E144" s="84" t="str">
        <f t="shared" si="11"/>
        <v/>
      </c>
      <c r="G144" s="85">
        <v>137</v>
      </c>
      <c r="H144" s="84" t="str">
        <f t="shared" si="12"/>
        <v/>
      </c>
      <c r="I144" s="84" t="str">
        <f t="shared" si="13"/>
        <v/>
      </c>
      <c r="J144" s="84" t="str">
        <f t="shared" si="14"/>
        <v/>
      </c>
      <c r="O144" s="84" t="str">
        <f>IF('05_PRODUCTOS'!$L144="","",IF(AND(OR(kxCategoria="",'05_PRODUCTOS'!$D144=kxCategoria),OR(kxBuscar="",ISNUMBER(SEARCH(kxBuscar,'05_PRODUCTOS'!$L144)))),ROW()-7,""))</f>
        <v/>
      </c>
      <c r="P144" s="84" t="str">
        <f>IFERROR(INDEX('05_PRODUCTOS'!$L$8:$L$507,SMALL($O$8:$O$507,ROW()-7)),"")</f>
        <v/>
      </c>
    </row>
    <row r="145" spans="3:16" x14ac:dyDescent="0.25">
      <c r="C145" s="84" t="str">
        <f>IF(AND('05_PRODUCTOS'!$B145&lt;&gt;"",'05_PRODUCTOS'!$C145&lt;&gt;"",'05_PRODUCTOS'!$K145&lt;&gt;"NO",ISNUMBER(MATCH('05_PRODUCTOS'!$D145,lstCategorias,0))),'05_PRODUCTOS'!$D145,"")</f>
        <v/>
      </c>
      <c r="D145" s="84" t="str">
        <f>IF($C145="","",'05_PRODUCTOS'!$L145)</f>
        <v/>
      </c>
      <c r="E145" s="84" t="str">
        <f t="shared" si="11"/>
        <v/>
      </c>
      <c r="G145" s="85">
        <v>138</v>
      </c>
      <c r="H145" s="84" t="str">
        <f t="shared" si="12"/>
        <v/>
      </c>
      <c r="I145" s="84" t="str">
        <f t="shared" si="13"/>
        <v/>
      </c>
      <c r="J145" s="84" t="str">
        <f t="shared" si="14"/>
        <v/>
      </c>
      <c r="O145" s="84" t="str">
        <f>IF('05_PRODUCTOS'!$L145="","",IF(AND(OR(kxCategoria="",'05_PRODUCTOS'!$D145=kxCategoria),OR(kxBuscar="",ISNUMBER(SEARCH(kxBuscar,'05_PRODUCTOS'!$L145)))),ROW()-7,""))</f>
        <v/>
      </c>
      <c r="P145" s="84" t="str">
        <f>IFERROR(INDEX('05_PRODUCTOS'!$L$8:$L$507,SMALL($O$8:$O$507,ROW()-7)),"")</f>
        <v/>
      </c>
    </row>
    <row r="146" spans="3:16" x14ac:dyDescent="0.25">
      <c r="C146" s="84" t="str">
        <f>IF(AND('05_PRODUCTOS'!$B146&lt;&gt;"",'05_PRODUCTOS'!$C146&lt;&gt;"",'05_PRODUCTOS'!$K146&lt;&gt;"NO",ISNUMBER(MATCH('05_PRODUCTOS'!$D146,lstCategorias,0))),'05_PRODUCTOS'!$D146,"")</f>
        <v/>
      </c>
      <c r="D146" s="84" t="str">
        <f>IF($C146="","",'05_PRODUCTOS'!$L146)</f>
        <v/>
      </c>
      <c r="E146" s="84" t="str">
        <f t="shared" si="11"/>
        <v/>
      </c>
      <c r="G146" s="85">
        <v>139</v>
      </c>
      <c r="H146" s="84" t="str">
        <f t="shared" si="12"/>
        <v/>
      </c>
      <c r="I146" s="84" t="str">
        <f t="shared" si="13"/>
        <v/>
      </c>
      <c r="J146" s="84" t="str">
        <f t="shared" si="14"/>
        <v/>
      </c>
      <c r="O146" s="84" t="str">
        <f>IF('05_PRODUCTOS'!$L146="","",IF(AND(OR(kxCategoria="",'05_PRODUCTOS'!$D146=kxCategoria),OR(kxBuscar="",ISNUMBER(SEARCH(kxBuscar,'05_PRODUCTOS'!$L146)))),ROW()-7,""))</f>
        <v/>
      </c>
      <c r="P146" s="84" t="str">
        <f>IFERROR(INDEX('05_PRODUCTOS'!$L$8:$L$507,SMALL($O$8:$O$507,ROW()-7)),"")</f>
        <v/>
      </c>
    </row>
    <row r="147" spans="3:16" x14ac:dyDescent="0.25">
      <c r="C147" s="84" t="str">
        <f>IF(AND('05_PRODUCTOS'!$B147&lt;&gt;"",'05_PRODUCTOS'!$C147&lt;&gt;"",'05_PRODUCTOS'!$K147&lt;&gt;"NO",ISNUMBER(MATCH('05_PRODUCTOS'!$D147,lstCategorias,0))),'05_PRODUCTOS'!$D147,"")</f>
        <v/>
      </c>
      <c r="D147" s="84" t="str">
        <f>IF($C147="","",'05_PRODUCTOS'!$L147)</f>
        <v/>
      </c>
      <c r="E147" s="84" t="str">
        <f t="shared" si="11"/>
        <v/>
      </c>
      <c r="G147" s="85">
        <v>140</v>
      </c>
      <c r="H147" s="84" t="str">
        <f t="shared" si="12"/>
        <v/>
      </c>
      <c r="I147" s="84" t="str">
        <f t="shared" si="13"/>
        <v/>
      </c>
      <c r="J147" s="84" t="str">
        <f t="shared" si="14"/>
        <v/>
      </c>
      <c r="O147" s="84" t="str">
        <f>IF('05_PRODUCTOS'!$L147="","",IF(AND(OR(kxCategoria="",'05_PRODUCTOS'!$D147=kxCategoria),OR(kxBuscar="",ISNUMBER(SEARCH(kxBuscar,'05_PRODUCTOS'!$L147)))),ROW()-7,""))</f>
        <v/>
      </c>
      <c r="P147" s="84" t="str">
        <f>IFERROR(INDEX('05_PRODUCTOS'!$L$8:$L$507,SMALL($O$8:$O$507,ROW()-7)),"")</f>
        <v/>
      </c>
    </row>
    <row r="148" spans="3:16" x14ac:dyDescent="0.25">
      <c r="C148" s="84" t="str">
        <f>IF(AND('05_PRODUCTOS'!$B148&lt;&gt;"",'05_PRODUCTOS'!$C148&lt;&gt;"",'05_PRODUCTOS'!$K148&lt;&gt;"NO",ISNUMBER(MATCH('05_PRODUCTOS'!$D148,lstCategorias,0))),'05_PRODUCTOS'!$D148,"")</f>
        <v/>
      </c>
      <c r="D148" s="84" t="str">
        <f>IF($C148="","",'05_PRODUCTOS'!$L148)</f>
        <v/>
      </c>
      <c r="E148" s="84" t="str">
        <f t="shared" si="11"/>
        <v/>
      </c>
      <c r="G148" s="85">
        <v>141</v>
      </c>
      <c r="H148" s="84" t="str">
        <f t="shared" si="12"/>
        <v/>
      </c>
      <c r="I148" s="84" t="str">
        <f t="shared" si="13"/>
        <v/>
      </c>
      <c r="J148" s="84" t="str">
        <f t="shared" si="14"/>
        <v/>
      </c>
      <c r="O148" s="84" t="str">
        <f>IF('05_PRODUCTOS'!$L148="","",IF(AND(OR(kxCategoria="",'05_PRODUCTOS'!$D148=kxCategoria),OR(kxBuscar="",ISNUMBER(SEARCH(kxBuscar,'05_PRODUCTOS'!$L148)))),ROW()-7,""))</f>
        <v/>
      </c>
      <c r="P148" s="84" t="str">
        <f>IFERROR(INDEX('05_PRODUCTOS'!$L$8:$L$507,SMALL($O$8:$O$507,ROW()-7)),"")</f>
        <v/>
      </c>
    </row>
    <row r="149" spans="3:16" x14ac:dyDescent="0.25">
      <c r="C149" s="84" t="str">
        <f>IF(AND('05_PRODUCTOS'!$B149&lt;&gt;"",'05_PRODUCTOS'!$C149&lt;&gt;"",'05_PRODUCTOS'!$K149&lt;&gt;"NO",ISNUMBER(MATCH('05_PRODUCTOS'!$D149,lstCategorias,0))),'05_PRODUCTOS'!$D149,"")</f>
        <v/>
      </c>
      <c r="D149" s="84" t="str">
        <f>IF($C149="","",'05_PRODUCTOS'!$L149)</f>
        <v/>
      </c>
      <c r="E149" s="84" t="str">
        <f t="shared" si="11"/>
        <v/>
      </c>
      <c r="G149" s="85">
        <v>142</v>
      </c>
      <c r="H149" s="84" t="str">
        <f t="shared" si="12"/>
        <v/>
      </c>
      <c r="I149" s="84" t="str">
        <f t="shared" si="13"/>
        <v/>
      </c>
      <c r="J149" s="84" t="str">
        <f t="shared" si="14"/>
        <v/>
      </c>
      <c r="O149" s="84" t="str">
        <f>IF('05_PRODUCTOS'!$L149="","",IF(AND(OR(kxCategoria="",'05_PRODUCTOS'!$D149=kxCategoria),OR(kxBuscar="",ISNUMBER(SEARCH(kxBuscar,'05_PRODUCTOS'!$L149)))),ROW()-7,""))</f>
        <v/>
      </c>
      <c r="P149" s="84" t="str">
        <f>IFERROR(INDEX('05_PRODUCTOS'!$L$8:$L$507,SMALL($O$8:$O$507,ROW()-7)),"")</f>
        <v/>
      </c>
    </row>
    <row r="150" spans="3:16" x14ac:dyDescent="0.25">
      <c r="C150" s="84" t="str">
        <f>IF(AND('05_PRODUCTOS'!$B150&lt;&gt;"",'05_PRODUCTOS'!$C150&lt;&gt;"",'05_PRODUCTOS'!$K150&lt;&gt;"NO",ISNUMBER(MATCH('05_PRODUCTOS'!$D150,lstCategorias,0))),'05_PRODUCTOS'!$D150,"")</f>
        <v/>
      </c>
      <c r="D150" s="84" t="str">
        <f>IF($C150="","",'05_PRODUCTOS'!$L150)</f>
        <v/>
      </c>
      <c r="E150" s="84" t="str">
        <f t="shared" si="11"/>
        <v/>
      </c>
      <c r="G150" s="85">
        <v>143</v>
      </c>
      <c r="H150" s="84" t="str">
        <f t="shared" si="12"/>
        <v/>
      </c>
      <c r="I150" s="84" t="str">
        <f t="shared" si="13"/>
        <v/>
      </c>
      <c r="J150" s="84" t="str">
        <f t="shared" si="14"/>
        <v/>
      </c>
      <c r="O150" s="84" t="str">
        <f>IF('05_PRODUCTOS'!$L150="","",IF(AND(OR(kxCategoria="",'05_PRODUCTOS'!$D150=kxCategoria),OR(kxBuscar="",ISNUMBER(SEARCH(kxBuscar,'05_PRODUCTOS'!$L150)))),ROW()-7,""))</f>
        <v/>
      </c>
      <c r="P150" s="84" t="str">
        <f>IFERROR(INDEX('05_PRODUCTOS'!$L$8:$L$507,SMALL($O$8:$O$507,ROW()-7)),"")</f>
        <v/>
      </c>
    </row>
    <row r="151" spans="3:16" x14ac:dyDescent="0.25">
      <c r="C151" s="84" t="str">
        <f>IF(AND('05_PRODUCTOS'!$B151&lt;&gt;"",'05_PRODUCTOS'!$C151&lt;&gt;"",'05_PRODUCTOS'!$K151&lt;&gt;"NO",ISNUMBER(MATCH('05_PRODUCTOS'!$D151,lstCategorias,0))),'05_PRODUCTOS'!$D151,"")</f>
        <v/>
      </c>
      <c r="D151" s="84" t="str">
        <f>IF($C151="","",'05_PRODUCTOS'!$L151)</f>
        <v/>
      </c>
      <c r="E151" s="84" t="str">
        <f t="shared" si="11"/>
        <v/>
      </c>
      <c r="G151" s="85">
        <v>144</v>
      </c>
      <c r="H151" s="84" t="str">
        <f t="shared" si="12"/>
        <v/>
      </c>
      <c r="I151" s="84" t="str">
        <f t="shared" si="13"/>
        <v/>
      </c>
      <c r="J151" s="84" t="str">
        <f t="shared" si="14"/>
        <v/>
      </c>
      <c r="O151" s="84" t="str">
        <f>IF('05_PRODUCTOS'!$L151="","",IF(AND(OR(kxCategoria="",'05_PRODUCTOS'!$D151=kxCategoria),OR(kxBuscar="",ISNUMBER(SEARCH(kxBuscar,'05_PRODUCTOS'!$L151)))),ROW()-7,""))</f>
        <v/>
      </c>
      <c r="P151" s="84" t="str">
        <f>IFERROR(INDEX('05_PRODUCTOS'!$L$8:$L$507,SMALL($O$8:$O$507,ROW()-7)),"")</f>
        <v/>
      </c>
    </row>
    <row r="152" spans="3:16" x14ac:dyDescent="0.25">
      <c r="C152" s="84" t="str">
        <f>IF(AND('05_PRODUCTOS'!$B152&lt;&gt;"",'05_PRODUCTOS'!$C152&lt;&gt;"",'05_PRODUCTOS'!$K152&lt;&gt;"NO",ISNUMBER(MATCH('05_PRODUCTOS'!$D152,lstCategorias,0))),'05_PRODUCTOS'!$D152,"")</f>
        <v/>
      </c>
      <c r="D152" s="84" t="str">
        <f>IF($C152="","",'05_PRODUCTOS'!$L152)</f>
        <v/>
      </c>
      <c r="E152" s="84" t="str">
        <f t="shared" si="11"/>
        <v/>
      </c>
      <c r="G152" s="85">
        <v>145</v>
      </c>
      <c r="H152" s="84" t="str">
        <f t="shared" si="12"/>
        <v/>
      </c>
      <c r="I152" s="84" t="str">
        <f t="shared" si="13"/>
        <v/>
      </c>
      <c r="J152" s="84" t="str">
        <f t="shared" si="14"/>
        <v/>
      </c>
      <c r="O152" s="84" t="str">
        <f>IF('05_PRODUCTOS'!$L152="","",IF(AND(OR(kxCategoria="",'05_PRODUCTOS'!$D152=kxCategoria),OR(kxBuscar="",ISNUMBER(SEARCH(kxBuscar,'05_PRODUCTOS'!$L152)))),ROW()-7,""))</f>
        <v/>
      </c>
      <c r="P152" s="84" t="str">
        <f>IFERROR(INDEX('05_PRODUCTOS'!$L$8:$L$507,SMALL($O$8:$O$507,ROW()-7)),"")</f>
        <v/>
      </c>
    </row>
    <row r="153" spans="3:16" x14ac:dyDescent="0.25">
      <c r="C153" s="84" t="str">
        <f>IF(AND('05_PRODUCTOS'!$B153&lt;&gt;"",'05_PRODUCTOS'!$C153&lt;&gt;"",'05_PRODUCTOS'!$K153&lt;&gt;"NO",ISNUMBER(MATCH('05_PRODUCTOS'!$D153,lstCategorias,0))),'05_PRODUCTOS'!$D153,"")</f>
        <v/>
      </c>
      <c r="D153" s="84" t="str">
        <f>IF($C153="","",'05_PRODUCTOS'!$L153)</f>
        <v/>
      </c>
      <c r="E153" s="84" t="str">
        <f t="shared" si="11"/>
        <v/>
      </c>
      <c r="G153" s="85">
        <v>146</v>
      </c>
      <c r="H153" s="84" t="str">
        <f t="shared" si="12"/>
        <v/>
      </c>
      <c r="I153" s="84" t="str">
        <f t="shared" si="13"/>
        <v/>
      </c>
      <c r="J153" s="84" t="str">
        <f t="shared" si="14"/>
        <v/>
      </c>
      <c r="O153" s="84" t="str">
        <f>IF('05_PRODUCTOS'!$L153="","",IF(AND(OR(kxCategoria="",'05_PRODUCTOS'!$D153=kxCategoria),OR(kxBuscar="",ISNUMBER(SEARCH(kxBuscar,'05_PRODUCTOS'!$L153)))),ROW()-7,""))</f>
        <v/>
      </c>
      <c r="P153" s="84" t="str">
        <f>IFERROR(INDEX('05_PRODUCTOS'!$L$8:$L$507,SMALL($O$8:$O$507,ROW()-7)),"")</f>
        <v/>
      </c>
    </row>
    <row r="154" spans="3:16" x14ac:dyDescent="0.25">
      <c r="C154" s="84" t="str">
        <f>IF(AND('05_PRODUCTOS'!$B154&lt;&gt;"",'05_PRODUCTOS'!$C154&lt;&gt;"",'05_PRODUCTOS'!$K154&lt;&gt;"NO",ISNUMBER(MATCH('05_PRODUCTOS'!$D154,lstCategorias,0))),'05_PRODUCTOS'!$D154,"")</f>
        <v/>
      </c>
      <c r="D154" s="84" t="str">
        <f>IF($C154="","",'05_PRODUCTOS'!$L154)</f>
        <v/>
      </c>
      <c r="E154" s="84" t="str">
        <f t="shared" si="11"/>
        <v/>
      </c>
      <c r="G154" s="85">
        <v>147</v>
      </c>
      <c r="H154" s="84" t="str">
        <f t="shared" si="12"/>
        <v/>
      </c>
      <c r="I154" s="84" t="str">
        <f t="shared" si="13"/>
        <v/>
      </c>
      <c r="J154" s="84" t="str">
        <f t="shared" si="14"/>
        <v/>
      </c>
      <c r="O154" s="84" t="str">
        <f>IF('05_PRODUCTOS'!$L154="","",IF(AND(OR(kxCategoria="",'05_PRODUCTOS'!$D154=kxCategoria),OR(kxBuscar="",ISNUMBER(SEARCH(kxBuscar,'05_PRODUCTOS'!$L154)))),ROW()-7,""))</f>
        <v/>
      </c>
      <c r="P154" s="84" t="str">
        <f>IFERROR(INDEX('05_PRODUCTOS'!$L$8:$L$507,SMALL($O$8:$O$507,ROW()-7)),"")</f>
        <v/>
      </c>
    </row>
    <row r="155" spans="3:16" x14ac:dyDescent="0.25">
      <c r="C155" s="84" t="str">
        <f>IF(AND('05_PRODUCTOS'!$B155&lt;&gt;"",'05_PRODUCTOS'!$C155&lt;&gt;"",'05_PRODUCTOS'!$K155&lt;&gt;"NO",ISNUMBER(MATCH('05_PRODUCTOS'!$D155,lstCategorias,0))),'05_PRODUCTOS'!$D155,"")</f>
        <v/>
      </c>
      <c r="D155" s="84" t="str">
        <f>IF($C155="","",'05_PRODUCTOS'!$L155)</f>
        <v/>
      </c>
      <c r="E155" s="84" t="str">
        <f t="shared" si="11"/>
        <v/>
      </c>
      <c r="G155" s="85">
        <v>148</v>
      </c>
      <c r="H155" s="84" t="str">
        <f t="shared" si="12"/>
        <v/>
      </c>
      <c r="I155" s="84" t="str">
        <f t="shared" si="13"/>
        <v/>
      </c>
      <c r="J155" s="84" t="str">
        <f t="shared" si="14"/>
        <v/>
      </c>
      <c r="O155" s="84" t="str">
        <f>IF('05_PRODUCTOS'!$L155="","",IF(AND(OR(kxCategoria="",'05_PRODUCTOS'!$D155=kxCategoria),OR(kxBuscar="",ISNUMBER(SEARCH(kxBuscar,'05_PRODUCTOS'!$L155)))),ROW()-7,""))</f>
        <v/>
      </c>
      <c r="P155" s="84" t="str">
        <f>IFERROR(INDEX('05_PRODUCTOS'!$L$8:$L$507,SMALL($O$8:$O$507,ROW()-7)),"")</f>
        <v/>
      </c>
    </row>
    <row r="156" spans="3:16" x14ac:dyDescent="0.25">
      <c r="C156" s="84" t="str">
        <f>IF(AND('05_PRODUCTOS'!$B156&lt;&gt;"",'05_PRODUCTOS'!$C156&lt;&gt;"",'05_PRODUCTOS'!$K156&lt;&gt;"NO",ISNUMBER(MATCH('05_PRODUCTOS'!$D156,lstCategorias,0))),'05_PRODUCTOS'!$D156,"")</f>
        <v/>
      </c>
      <c r="D156" s="84" t="str">
        <f>IF($C156="","",'05_PRODUCTOS'!$L156)</f>
        <v/>
      </c>
      <c r="E156" s="84" t="str">
        <f t="shared" si="11"/>
        <v/>
      </c>
      <c r="G156" s="85">
        <v>149</v>
      </c>
      <c r="H156" s="84" t="str">
        <f t="shared" si="12"/>
        <v/>
      </c>
      <c r="I156" s="84" t="str">
        <f t="shared" si="13"/>
        <v/>
      </c>
      <c r="J156" s="84" t="str">
        <f t="shared" si="14"/>
        <v/>
      </c>
      <c r="O156" s="84" t="str">
        <f>IF('05_PRODUCTOS'!$L156="","",IF(AND(OR(kxCategoria="",'05_PRODUCTOS'!$D156=kxCategoria),OR(kxBuscar="",ISNUMBER(SEARCH(kxBuscar,'05_PRODUCTOS'!$L156)))),ROW()-7,""))</f>
        <v/>
      </c>
      <c r="P156" s="84" t="str">
        <f>IFERROR(INDEX('05_PRODUCTOS'!$L$8:$L$507,SMALL($O$8:$O$507,ROW()-7)),"")</f>
        <v/>
      </c>
    </row>
    <row r="157" spans="3:16" x14ac:dyDescent="0.25">
      <c r="C157" s="84" t="str">
        <f>IF(AND('05_PRODUCTOS'!$B157&lt;&gt;"",'05_PRODUCTOS'!$C157&lt;&gt;"",'05_PRODUCTOS'!$K157&lt;&gt;"NO",ISNUMBER(MATCH('05_PRODUCTOS'!$D157,lstCategorias,0))),'05_PRODUCTOS'!$D157,"")</f>
        <v/>
      </c>
      <c r="D157" s="84" t="str">
        <f>IF($C157="","",'05_PRODUCTOS'!$L157)</f>
        <v/>
      </c>
      <c r="E157" s="84" t="str">
        <f t="shared" si="11"/>
        <v/>
      </c>
      <c r="G157" s="85">
        <v>150</v>
      </c>
      <c r="H157" s="84" t="str">
        <f t="shared" si="12"/>
        <v/>
      </c>
      <c r="I157" s="84" t="str">
        <f t="shared" si="13"/>
        <v/>
      </c>
      <c r="J157" s="84" t="str">
        <f t="shared" si="14"/>
        <v/>
      </c>
      <c r="O157" s="84" t="str">
        <f>IF('05_PRODUCTOS'!$L157="","",IF(AND(OR(kxCategoria="",'05_PRODUCTOS'!$D157=kxCategoria),OR(kxBuscar="",ISNUMBER(SEARCH(kxBuscar,'05_PRODUCTOS'!$L157)))),ROW()-7,""))</f>
        <v/>
      </c>
      <c r="P157" s="84" t="str">
        <f>IFERROR(INDEX('05_PRODUCTOS'!$L$8:$L$507,SMALL($O$8:$O$507,ROW()-7)),"")</f>
        <v/>
      </c>
    </row>
    <row r="158" spans="3:16" x14ac:dyDescent="0.25">
      <c r="C158" s="84" t="str">
        <f>IF(AND('05_PRODUCTOS'!$B158&lt;&gt;"",'05_PRODUCTOS'!$C158&lt;&gt;"",'05_PRODUCTOS'!$K158&lt;&gt;"NO",ISNUMBER(MATCH('05_PRODUCTOS'!$D158,lstCategorias,0))),'05_PRODUCTOS'!$D158,"")</f>
        <v/>
      </c>
      <c r="D158" s="84" t="str">
        <f>IF($C158="","",'05_PRODUCTOS'!$L158)</f>
        <v/>
      </c>
      <c r="E158" s="84" t="str">
        <f t="shared" si="11"/>
        <v/>
      </c>
      <c r="G158" s="85">
        <v>151</v>
      </c>
      <c r="H158" s="84" t="str">
        <f t="shared" si="12"/>
        <v/>
      </c>
      <c r="I158" s="84" t="str">
        <f t="shared" si="13"/>
        <v/>
      </c>
      <c r="J158" s="84" t="str">
        <f t="shared" si="14"/>
        <v/>
      </c>
      <c r="O158" s="84" t="str">
        <f>IF('05_PRODUCTOS'!$L158="","",IF(AND(OR(kxCategoria="",'05_PRODUCTOS'!$D158=kxCategoria),OR(kxBuscar="",ISNUMBER(SEARCH(kxBuscar,'05_PRODUCTOS'!$L158)))),ROW()-7,""))</f>
        <v/>
      </c>
      <c r="P158" s="84" t="str">
        <f>IFERROR(INDEX('05_PRODUCTOS'!$L$8:$L$507,SMALL($O$8:$O$507,ROW()-7)),"")</f>
        <v/>
      </c>
    </row>
    <row r="159" spans="3:16" x14ac:dyDescent="0.25">
      <c r="C159" s="84" t="str">
        <f>IF(AND('05_PRODUCTOS'!$B159&lt;&gt;"",'05_PRODUCTOS'!$C159&lt;&gt;"",'05_PRODUCTOS'!$K159&lt;&gt;"NO",ISNUMBER(MATCH('05_PRODUCTOS'!$D159,lstCategorias,0))),'05_PRODUCTOS'!$D159,"")</f>
        <v/>
      </c>
      <c r="D159" s="84" t="str">
        <f>IF($C159="","",'05_PRODUCTOS'!$L159)</f>
        <v/>
      </c>
      <c r="E159" s="84" t="str">
        <f t="shared" si="11"/>
        <v/>
      </c>
      <c r="G159" s="85">
        <v>152</v>
      </c>
      <c r="H159" s="84" t="str">
        <f t="shared" si="12"/>
        <v/>
      </c>
      <c r="I159" s="84" t="str">
        <f t="shared" si="13"/>
        <v/>
      </c>
      <c r="J159" s="84" t="str">
        <f t="shared" si="14"/>
        <v/>
      </c>
      <c r="O159" s="84" t="str">
        <f>IF('05_PRODUCTOS'!$L159="","",IF(AND(OR(kxCategoria="",'05_PRODUCTOS'!$D159=kxCategoria),OR(kxBuscar="",ISNUMBER(SEARCH(kxBuscar,'05_PRODUCTOS'!$L159)))),ROW()-7,""))</f>
        <v/>
      </c>
      <c r="P159" s="84" t="str">
        <f>IFERROR(INDEX('05_PRODUCTOS'!$L$8:$L$507,SMALL($O$8:$O$507,ROW()-7)),"")</f>
        <v/>
      </c>
    </row>
    <row r="160" spans="3:16" x14ac:dyDescent="0.25">
      <c r="C160" s="84" t="str">
        <f>IF(AND('05_PRODUCTOS'!$B160&lt;&gt;"",'05_PRODUCTOS'!$C160&lt;&gt;"",'05_PRODUCTOS'!$K160&lt;&gt;"NO",ISNUMBER(MATCH('05_PRODUCTOS'!$D160,lstCategorias,0))),'05_PRODUCTOS'!$D160,"")</f>
        <v/>
      </c>
      <c r="D160" s="84" t="str">
        <f>IF($C160="","",'05_PRODUCTOS'!$L160)</f>
        <v/>
      </c>
      <c r="E160" s="84" t="str">
        <f t="shared" si="11"/>
        <v/>
      </c>
      <c r="G160" s="85">
        <v>153</v>
      </c>
      <c r="H160" s="84" t="str">
        <f t="shared" si="12"/>
        <v/>
      </c>
      <c r="I160" s="84" t="str">
        <f t="shared" si="13"/>
        <v/>
      </c>
      <c r="J160" s="84" t="str">
        <f t="shared" si="14"/>
        <v/>
      </c>
      <c r="O160" s="84" t="str">
        <f>IF('05_PRODUCTOS'!$L160="","",IF(AND(OR(kxCategoria="",'05_PRODUCTOS'!$D160=kxCategoria),OR(kxBuscar="",ISNUMBER(SEARCH(kxBuscar,'05_PRODUCTOS'!$L160)))),ROW()-7,""))</f>
        <v/>
      </c>
      <c r="P160" s="84" t="str">
        <f>IFERROR(INDEX('05_PRODUCTOS'!$L$8:$L$507,SMALL($O$8:$O$507,ROW()-7)),"")</f>
        <v/>
      </c>
    </row>
    <row r="161" spans="3:16" x14ac:dyDescent="0.25">
      <c r="C161" s="84" t="str">
        <f>IF(AND('05_PRODUCTOS'!$B161&lt;&gt;"",'05_PRODUCTOS'!$C161&lt;&gt;"",'05_PRODUCTOS'!$K161&lt;&gt;"NO",ISNUMBER(MATCH('05_PRODUCTOS'!$D161,lstCategorias,0))),'05_PRODUCTOS'!$D161,"")</f>
        <v/>
      </c>
      <c r="D161" s="84" t="str">
        <f>IF($C161="","",'05_PRODUCTOS'!$L161)</f>
        <v/>
      </c>
      <c r="E161" s="84" t="str">
        <f t="shared" si="11"/>
        <v/>
      </c>
      <c r="G161" s="85">
        <v>154</v>
      </c>
      <c r="H161" s="84" t="str">
        <f t="shared" si="12"/>
        <v/>
      </c>
      <c r="I161" s="84" t="str">
        <f t="shared" si="13"/>
        <v/>
      </c>
      <c r="J161" s="84" t="str">
        <f t="shared" si="14"/>
        <v/>
      </c>
      <c r="O161" s="84" t="str">
        <f>IF('05_PRODUCTOS'!$L161="","",IF(AND(OR(kxCategoria="",'05_PRODUCTOS'!$D161=kxCategoria),OR(kxBuscar="",ISNUMBER(SEARCH(kxBuscar,'05_PRODUCTOS'!$L161)))),ROW()-7,""))</f>
        <v/>
      </c>
      <c r="P161" s="84" t="str">
        <f>IFERROR(INDEX('05_PRODUCTOS'!$L$8:$L$507,SMALL($O$8:$O$507,ROW()-7)),"")</f>
        <v/>
      </c>
    </row>
    <row r="162" spans="3:16" x14ac:dyDescent="0.25">
      <c r="C162" s="84" t="str">
        <f>IF(AND('05_PRODUCTOS'!$B162&lt;&gt;"",'05_PRODUCTOS'!$C162&lt;&gt;"",'05_PRODUCTOS'!$K162&lt;&gt;"NO",ISNUMBER(MATCH('05_PRODUCTOS'!$D162,lstCategorias,0))),'05_PRODUCTOS'!$D162,"")</f>
        <v/>
      </c>
      <c r="D162" s="84" t="str">
        <f>IF($C162="","",'05_PRODUCTOS'!$L162)</f>
        <v/>
      </c>
      <c r="E162" s="84" t="str">
        <f t="shared" si="11"/>
        <v/>
      </c>
      <c r="G162" s="85">
        <v>155</v>
      </c>
      <c r="H162" s="84" t="str">
        <f t="shared" si="12"/>
        <v/>
      </c>
      <c r="I162" s="84" t="str">
        <f t="shared" si="13"/>
        <v/>
      </c>
      <c r="J162" s="84" t="str">
        <f t="shared" si="14"/>
        <v/>
      </c>
      <c r="O162" s="84" t="str">
        <f>IF('05_PRODUCTOS'!$L162="","",IF(AND(OR(kxCategoria="",'05_PRODUCTOS'!$D162=kxCategoria),OR(kxBuscar="",ISNUMBER(SEARCH(kxBuscar,'05_PRODUCTOS'!$L162)))),ROW()-7,""))</f>
        <v/>
      </c>
      <c r="P162" s="84" t="str">
        <f>IFERROR(INDEX('05_PRODUCTOS'!$L$8:$L$507,SMALL($O$8:$O$507,ROW()-7)),"")</f>
        <v/>
      </c>
    </row>
    <row r="163" spans="3:16" x14ac:dyDescent="0.25">
      <c r="C163" s="84" t="str">
        <f>IF(AND('05_PRODUCTOS'!$B163&lt;&gt;"",'05_PRODUCTOS'!$C163&lt;&gt;"",'05_PRODUCTOS'!$K163&lt;&gt;"NO",ISNUMBER(MATCH('05_PRODUCTOS'!$D163,lstCategorias,0))),'05_PRODUCTOS'!$D163,"")</f>
        <v/>
      </c>
      <c r="D163" s="84" t="str">
        <f>IF($C163="","",'05_PRODUCTOS'!$L163)</f>
        <v/>
      </c>
      <c r="E163" s="84" t="str">
        <f t="shared" si="11"/>
        <v/>
      </c>
      <c r="G163" s="85">
        <v>156</v>
      </c>
      <c r="H163" s="84" t="str">
        <f t="shared" si="12"/>
        <v/>
      </c>
      <c r="I163" s="84" t="str">
        <f t="shared" si="13"/>
        <v/>
      </c>
      <c r="J163" s="84" t="str">
        <f t="shared" si="14"/>
        <v/>
      </c>
      <c r="O163" s="84" t="str">
        <f>IF('05_PRODUCTOS'!$L163="","",IF(AND(OR(kxCategoria="",'05_PRODUCTOS'!$D163=kxCategoria),OR(kxBuscar="",ISNUMBER(SEARCH(kxBuscar,'05_PRODUCTOS'!$L163)))),ROW()-7,""))</f>
        <v/>
      </c>
      <c r="P163" s="84" t="str">
        <f>IFERROR(INDEX('05_PRODUCTOS'!$L$8:$L$507,SMALL($O$8:$O$507,ROW()-7)),"")</f>
        <v/>
      </c>
    </row>
    <row r="164" spans="3:16" x14ac:dyDescent="0.25">
      <c r="C164" s="84" t="str">
        <f>IF(AND('05_PRODUCTOS'!$B164&lt;&gt;"",'05_PRODUCTOS'!$C164&lt;&gt;"",'05_PRODUCTOS'!$K164&lt;&gt;"NO",ISNUMBER(MATCH('05_PRODUCTOS'!$D164,lstCategorias,0))),'05_PRODUCTOS'!$D164,"")</f>
        <v/>
      </c>
      <c r="D164" s="84" t="str">
        <f>IF($C164="","",'05_PRODUCTOS'!$L164)</f>
        <v/>
      </c>
      <c r="E164" s="84" t="str">
        <f t="shared" si="11"/>
        <v/>
      </c>
      <c r="G164" s="85">
        <v>157</v>
      </c>
      <c r="H164" s="84" t="str">
        <f t="shared" si="12"/>
        <v/>
      </c>
      <c r="I164" s="84" t="str">
        <f t="shared" si="13"/>
        <v/>
      </c>
      <c r="J164" s="84" t="str">
        <f t="shared" si="14"/>
        <v/>
      </c>
      <c r="O164" s="84" t="str">
        <f>IF('05_PRODUCTOS'!$L164="","",IF(AND(OR(kxCategoria="",'05_PRODUCTOS'!$D164=kxCategoria),OR(kxBuscar="",ISNUMBER(SEARCH(kxBuscar,'05_PRODUCTOS'!$L164)))),ROW()-7,""))</f>
        <v/>
      </c>
      <c r="P164" s="84" t="str">
        <f>IFERROR(INDEX('05_PRODUCTOS'!$L$8:$L$507,SMALL($O$8:$O$507,ROW()-7)),"")</f>
        <v/>
      </c>
    </row>
    <row r="165" spans="3:16" x14ac:dyDescent="0.25">
      <c r="C165" s="84" t="str">
        <f>IF(AND('05_PRODUCTOS'!$B165&lt;&gt;"",'05_PRODUCTOS'!$C165&lt;&gt;"",'05_PRODUCTOS'!$K165&lt;&gt;"NO",ISNUMBER(MATCH('05_PRODUCTOS'!$D165,lstCategorias,0))),'05_PRODUCTOS'!$D165,"")</f>
        <v/>
      </c>
      <c r="D165" s="84" t="str">
        <f>IF($C165="","",'05_PRODUCTOS'!$L165)</f>
        <v/>
      </c>
      <c r="E165" s="84" t="str">
        <f t="shared" si="11"/>
        <v/>
      </c>
      <c r="G165" s="85">
        <v>158</v>
      </c>
      <c r="H165" s="84" t="str">
        <f t="shared" si="12"/>
        <v/>
      </c>
      <c r="I165" s="84" t="str">
        <f t="shared" si="13"/>
        <v/>
      </c>
      <c r="J165" s="84" t="str">
        <f t="shared" si="14"/>
        <v/>
      </c>
      <c r="O165" s="84" t="str">
        <f>IF('05_PRODUCTOS'!$L165="","",IF(AND(OR(kxCategoria="",'05_PRODUCTOS'!$D165=kxCategoria),OR(kxBuscar="",ISNUMBER(SEARCH(kxBuscar,'05_PRODUCTOS'!$L165)))),ROW()-7,""))</f>
        <v/>
      </c>
      <c r="P165" s="84" t="str">
        <f>IFERROR(INDEX('05_PRODUCTOS'!$L$8:$L$507,SMALL($O$8:$O$507,ROW()-7)),"")</f>
        <v/>
      </c>
    </row>
    <row r="166" spans="3:16" x14ac:dyDescent="0.25">
      <c r="C166" s="84" t="str">
        <f>IF(AND('05_PRODUCTOS'!$B166&lt;&gt;"",'05_PRODUCTOS'!$C166&lt;&gt;"",'05_PRODUCTOS'!$K166&lt;&gt;"NO",ISNUMBER(MATCH('05_PRODUCTOS'!$D166,lstCategorias,0))),'05_PRODUCTOS'!$D166,"")</f>
        <v/>
      </c>
      <c r="D166" s="84" t="str">
        <f>IF($C166="","",'05_PRODUCTOS'!$L166)</f>
        <v/>
      </c>
      <c r="E166" s="84" t="str">
        <f t="shared" si="11"/>
        <v/>
      </c>
      <c r="G166" s="85">
        <v>159</v>
      </c>
      <c r="H166" s="84" t="str">
        <f t="shared" si="12"/>
        <v/>
      </c>
      <c r="I166" s="84" t="str">
        <f t="shared" si="13"/>
        <v/>
      </c>
      <c r="J166" s="84" t="str">
        <f t="shared" si="14"/>
        <v/>
      </c>
      <c r="O166" s="84" t="str">
        <f>IF('05_PRODUCTOS'!$L166="","",IF(AND(OR(kxCategoria="",'05_PRODUCTOS'!$D166=kxCategoria),OR(kxBuscar="",ISNUMBER(SEARCH(kxBuscar,'05_PRODUCTOS'!$L166)))),ROW()-7,""))</f>
        <v/>
      </c>
      <c r="P166" s="84" t="str">
        <f>IFERROR(INDEX('05_PRODUCTOS'!$L$8:$L$507,SMALL($O$8:$O$507,ROW()-7)),"")</f>
        <v/>
      </c>
    </row>
    <row r="167" spans="3:16" x14ac:dyDescent="0.25">
      <c r="C167" s="84" t="str">
        <f>IF(AND('05_PRODUCTOS'!$B167&lt;&gt;"",'05_PRODUCTOS'!$C167&lt;&gt;"",'05_PRODUCTOS'!$K167&lt;&gt;"NO",ISNUMBER(MATCH('05_PRODUCTOS'!$D167,lstCategorias,0))),'05_PRODUCTOS'!$D167,"")</f>
        <v/>
      </c>
      <c r="D167" s="84" t="str">
        <f>IF($C167="","",'05_PRODUCTOS'!$L167)</f>
        <v/>
      </c>
      <c r="E167" s="84" t="str">
        <f t="shared" si="11"/>
        <v/>
      </c>
      <c r="G167" s="85">
        <v>160</v>
      </c>
      <c r="H167" s="84" t="str">
        <f t="shared" si="12"/>
        <v/>
      </c>
      <c r="I167" s="84" t="str">
        <f t="shared" si="13"/>
        <v/>
      </c>
      <c r="J167" s="84" t="str">
        <f t="shared" si="14"/>
        <v/>
      </c>
      <c r="O167" s="84" t="str">
        <f>IF('05_PRODUCTOS'!$L167="","",IF(AND(OR(kxCategoria="",'05_PRODUCTOS'!$D167=kxCategoria),OR(kxBuscar="",ISNUMBER(SEARCH(kxBuscar,'05_PRODUCTOS'!$L167)))),ROW()-7,""))</f>
        <v/>
      </c>
      <c r="P167" s="84" t="str">
        <f>IFERROR(INDEX('05_PRODUCTOS'!$L$8:$L$507,SMALL($O$8:$O$507,ROW()-7)),"")</f>
        <v/>
      </c>
    </row>
    <row r="168" spans="3:16" x14ac:dyDescent="0.25">
      <c r="C168" s="84" t="str">
        <f>IF(AND('05_PRODUCTOS'!$B168&lt;&gt;"",'05_PRODUCTOS'!$C168&lt;&gt;"",'05_PRODUCTOS'!$K168&lt;&gt;"NO",ISNUMBER(MATCH('05_PRODUCTOS'!$D168,lstCategorias,0))),'05_PRODUCTOS'!$D168,"")</f>
        <v/>
      </c>
      <c r="D168" s="84" t="str">
        <f>IF($C168="","",'05_PRODUCTOS'!$L168)</f>
        <v/>
      </c>
      <c r="E168" s="84" t="str">
        <f t="shared" si="11"/>
        <v/>
      </c>
      <c r="G168" s="85">
        <v>161</v>
      </c>
      <c r="H168" s="84" t="str">
        <f t="shared" si="12"/>
        <v/>
      </c>
      <c r="I168" s="84" t="str">
        <f t="shared" si="13"/>
        <v/>
      </c>
      <c r="J168" s="84" t="str">
        <f t="shared" si="14"/>
        <v/>
      </c>
      <c r="O168" s="84" t="str">
        <f>IF('05_PRODUCTOS'!$L168="","",IF(AND(OR(kxCategoria="",'05_PRODUCTOS'!$D168=kxCategoria),OR(kxBuscar="",ISNUMBER(SEARCH(kxBuscar,'05_PRODUCTOS'!$L168)))),ROW()-7,""))</f>
        <v/>
      </c>
      <c r="P168" s="84" t="str">
        <f>IFERROR(INDEX('05_PRODUCTOS'!$L$8:$L$507,SMALL($O$8:$O$507,ROW()-7)),"")</f>
        <v/>
      </c>
    </row>
    <row r="169" spans="3:16" x14ac:dyDescent="0.25">
      <c r="C169" s="84" t="str">
        <f>IF(AND('05_PRODUCTOS'!$B169&lt;&gt;"",'05_PRODUCTOS'!$C169&lt;&gt;"",'05_PRODUCTOS'!$K169&lt;&gt;"NO",ISNUMBER(MATCH('05_PRODUCTOS'!$D169,lstCategorias,0))),'05_PRODUCTOS'!$D169,"")</f>
        <v/>
      </c>
      <c r="D169" s="84" t="str">
        <f>IF($C169="","",'05_PRODUCTOS'!$L169)</f>
        <v/>
      </c>
      <c r="E169" s="84" t="str">
        <f t="shared" si="11"/>
        <v/>
      </c>
      <c r="G169" s="85">
        <v>162</v>
      </c>
      <c r="H169" s="84" t="str">
        <f t="shared" si="12"/>
        <v/>
      </c>
      <c r="I169" s="84" t="str">
        <f t="shared" si="13"/>
        <v/>
      </c>
      <c r="J169" s="84" t="str">
        <f t="shared" si="14"/>
        <v/>
      </c>
      <c r="O169" s="84" t="str">
        <f>IF('05_PRODUCTOS'!$L169="","",IF(AND(OR(kxCategoria="",'05_PRODUCTOS'!$D169=kxCategoria),OR(kxBuscar="",ISNUMBER(SEARCH(kxBuscar,'05_PRODUCTOS'!$L169)))),ROW()-7,""))</f>
        <v/>
      </c>
      <c r="P169" s="84" t="str">
        <f>IFERROR(INDEX('05_PRODUCTOS'!$L$8:$L$507,SMALL($O$8:$O$507,ROW()-7)),"")</f>
        <v/>
      </c>
    </row>
    <row r="170" spans="3:16" x14ac:dyDescent="0.25">
      <c r="C170" s="84" t="str">
        <f>IF(AND('05_PRODUCTOS'!$B170&lt;&gt;"",'05_PRODUCTOS'!$C170&lt;&gt;"",'05_PRODUCTOS'!$K170&lt;&gt;"NO",ISNUMBER(MATCH('05_PRODUCTOS'!$D170,lstCategorias,0))),'05_PRODUCTOS'!$D170,"")</f>
        <v/>
      </c>
      <c r="D170" s="84" t="str">
        <f>IF($C170="","",'05_PRODUCTOS'!$L170)</f>
        <v/>
      </c>
      <c r="E170" s="84" t="str">
        <f t="shared" si="11"/>
        <v/>
      </c>
      <c r="G170" s="85">
        <v>163</v>
      </c>
      <c r="H170" s="84" t="str">
        <f t="shared" si="12"/>
        <v/>
      </c>
      <c r="I170" s="84" t="str">
        <f t="shared" si="13"/>
        <v/>
      </c>
      <c r="J170" s="84" t="str">
        <f t="shared" si="14"/>
        <v/>
      </c>
      <c r="O170" s="84" t="str">
        <f>IF('05_PRODUCTOS'!$L170="","",IF(AND(OR(kxCategoria="",'05_PRODUCTOS'!$D170=kxCategoria),OR(kxBuscar="",ISNUMBER(SEARCH(kxBuscar,'05_PRODUCTOS'!$L170)))),ROW()-7,""))</f>
        <v/>
      </c>
      <c r="P170" s="84" t="str">
        <f>IFERROR(INDEX('05_PRODUCTOS'!$L$8:$L$507,SMALL($O$8:$O$507,ROW()-7)),"")</f>
        <v/>
      </c>
    </row>
    <row r="171" spans="3:16" x14ac:dyDescent="0.25">
      <c r="C171" s="84" t="str">
        <f>IF(AND('05_PRODUCTOS'!$B171&lt;&gt;"",'05_PRODUCTOS'!$C171&lt;&gt;"",'05_PRODUCTOS'!$K171&lt;&gt;"NO",ISNUMBER(MATCH('05_PRODUCTOS'!$D171,lstCategorias,0))),'05_PRODUCTOS'!$D171,"")</f>
        <v/>
      </c>
      <c r="D171" s="84" t="str">
        <f>IF($C171="","",'05_PRODUCTOS'!$L171)</f>
        <v/>
      </c>
      <c r="E171" s="84" t="str">
        <f t="shared" si="11"/>
        <v/>
      </c>
      <c r="G171" s="85">
        <v>164</v>
      </c>
      <c r="H171" s="84" t="str">
        <f t="shared" si="12"/>
        <v/>
      </c>
      <c r="I171" s="84" t="str">
        <f t="shared" si="13"/>
        <v/>
      </c>
      <c r="J171" s="84" t="str">
        <f t="shared" si="14"/>
        <v/>
      </c>
      <c r="O171" s="84" t="str">
        <f>IF('05_PRODUCTOS'!$L171="","",IF(AND(OR(kxCategoria="",'05_PRODUCTOS'!$D171=kxCategoria),OR(kxBuscar="",ISNUMBER(SEARCH(kxBuscar,'05_PRODUCTOS'!$L171)))),ROW()-7,""))</f>
        <v/>
      </c>
      <c r="P171" s="84" t="str">
        <f>IFERROR(INDEX('05_PRODUCTOS'!$L$8:$L$507,SMALL($O$8:$O$507,ROW()-7)),"")</f>
        <v/>
      </c>
    </row>
    <row r="172" spans="3:16" x14ac:dyDescent="0.25">
      <c r="C172" s="84" t="str">
        <f>IF(AND('05_PRODUCTOS'!$B172&lt;&gt;"",'05_PRODUCTOS'!$C172&lt;&gt;"",'05_PRODUCTOS'!$K172&lt;&gt;"NO",ISNUMBER(MATCH('05_PRODUCTOS'!$D172,lstCategorias,0))),'05_PRODUCTOS'!$D172,"")</f>
        <v/>
      </c>
      <c r="D172" s="84" t="str">
        <f>IF($C172="","",'05_PRODUCTOS'!$L172)</f>
        <v/>
      </c>
      <c r="E172" s="84" t="str">
        <f t="shared" si="11"/>
        <v/>
      </c>
      <c r="G172" s="85">
        <v>165</v>
      </c>
      <c r="H172" s="84" t="str">
        <f t="shared" si="12"/>
        <v/>
      </c>
      <c r="I172" s="84" t="str">
        <f t="shared" si="13"/>
        <v/>
      </c>
      <c r="J172" s="84" t="str">
        <f t="shared" si="14"/>
        <v/>
      </c>
      <c r="O172" s="84" t="str">
        <f>IF('05_PRODUCTOS'!$L172="","",IF(AND(OR(kxCategoria="",'05_PRODUCTOS'!$D172=kxCategoria),OR(kxBuscar="",ISNUMBER(SEARCH(kxBuscar,'05_PRODUCTOS'!$L172)))),ROW()-7,""))</f>
        <v/>
      </c>
      <c r="P172" s="84" t="str">
        <f>IFERROR(INDEX('05_PRODUCTOS'!$L$8:$L$507,SMALL($O$8:$O$507,ROW()-7)),"")</f>
        <v/>
      </c>
    </row>
    <row r="173" spans="3:16" x14ac:dyDescent="0.25">
      <c r="C173" s="84" t="str">
        <f>IF(AND('05_PRODUCTOS'!$B173&lt;&gt;"",'05_PRODUCTOS'!$C173&lt;&gt;"",'05_PRODUCTOS'!$K173&lt;&gt;"NO",ISNUMBER(MATCH('05_PRODUCTOS'!$D173,lstCategorias,0))),'05_PRODUCTOS'!$D173,"")</f>
        <v/>
      </c>
      <c r="D173" s="84" t="str">
        <f>IF($C173="","",'05_PRODUCTOS'!$L173)</f>
        <v/>
      </c>
      <c r="E173" s="84" t="str">
        <f t="shared" si="11"/>
        <v/>
      </c>
      <c r="G173" s="85">
        <v>166</v>
      </c>
      <c r="H173" s="84" t="str">
        <f t="shared" si="12"/>
        <v/>
      </c>
      <c r="I173" s="84" t="str">
        <f t="shared" si="13"/>
        <v/>
      </c>
      <c r="J173" s="84" t="str">
        <f t="shared" si="14"/>
        <v/>
      </c>
      <c r="O173" s="84" t="str">
        <f>IF('05_PRODUCTOS'!$L173="","",IF(AND(OR(kxCategoria="",'05_PRODUCTOS'!$D173=kxCategoria),OR(kxBuscar="",ISNUMBER(SEARCH(kxBuscar,'05_PRODUCTOS'!$L173)))),ROW()-7,""))</f>
        <v/>
      </c>
      <c r="P173" s="84" t="str">
        <f>IFERROR(INDEX('05_PRODUCTOS'!$L$8:$L$507,SMALL($O$8:$O$507,ROW()-7)),"")</f>
        <v/>
      </c>
    </row>
    <row r="174" spans="3:16" x14ac:dyDescent="0.25">
      <c r="C174" s="84" t="str">
        <f>IF(AND('05_PRODUCTOS'!$B174&lt;&gt;"",'05_PRODUCTOS'!$C174&lt;&gt;"",'05_PRODUCTOS'!$K174&lt;&gt;"NO",ISNUMBER(MATCH('05_PRODUCTOS'!$D174,lstCategorias,0))),'05_PRODUCTOS'!$D174,"")</f>
        <v/>
      </c>
      <c r="D174" s="84" t="str">
        <f>IF($C174="","",'05_PRODUCTOS'!$L174)</f>
        <v/>
      </c>
      <c r="E174" s="84" t="str">
        <f t="shared" si="11"/>
        <v/>
      </c>
      <c r="G174" s="85">
        <v>167</v>
      </c>
      <c r="H174" s="84" t="str">
        <f t="shared" si="12"/>
        <v/>
      </c>
      <c r="I174" s="84" t="str">
        <f t="shared" si="13"/>
        <v/>
      </c>
      <c r="J174" s="84" t="str">
        <f t="shared" si="14"/>
        <v/>
      </c>
      <c r="O174" s="84" t="str">
        <f>IF('05_PRODUCTOS'!$L174="","",IF(AND(OR(kxCategoria="",'05_PRODUCTOS'!$D174=kxCategoria),OR(kxBuscar="",ISNUMBER(SEARCH(kxBuscar,'05_PRODUCTOS'!$L174)))),ROW()-7,""))</f>
        <v/>
      </c>
      <c r="P174" s="84" t="str">
        <f>IFERROR(INDEX('05_PRODUCTOS'!$L$8:$L$507,SMALL($O$8:$O$507,ROW()-7)),"")</f>
        <v/>
      </c>
    </row>
    <row r="175" spans="3:16" x14ac:dyDescent="0.25">
      <c r="C175" s="84" t="str">
        <f>IF(AND('05_PRODUCTOS'!$B175&lt;&gt;"",'05_PRODUCTOS'!$C175&lt;&gt;"",'05_PRODUCTOS'!$K175&lt;&gt;"NO",ISNUMBER(MATCH('05_PRODUCTOS'!$D175,lstCategorias,0))),'05_PRODUCTOS'!$D175,"")</f>
        <v/>
      </c>
      <c r="D175" s="84" t="str">
        <f>IF($C175="","",'05_PRODUCTOS'!$L175)</f>
        <v/>
      </c>
      <c r="E175" s="84" t="str">
        <f t="shared" si="11"/>
        <v/>
      </c>
      <c r="G175" s="85">
        <v>168</v>
      </c>
      <c r="H175" s="84" t="str">
        <f t="shared" si="12"/>
        <v/>
      </c>
      <c r="I175" s="84" t="str">
        <f t="shared" si="13"/>
        <v/>
      </c>
      <c r="J175" s="84" t="str">
        <f t="shared" si="14"/>
        <v/>
      </c>
      <c r="O175" s="84" t="str">
        <f>IF('05_PRODUCTOS'!$L175="","",IF(AND(OR(kxCategoria="",'05_PRODUCTOS'!$D175=kxCategoria),OR(kxBuscar="",ISNUMBER(SEARCH(kxBuscar,'05_PRODUCTOS'!$L175)))),ROW()-7,""))</f>
        <v/>
      </c>
      <c r="P175" s="84" t="str">
        <f>IFERROR(INDEX('05_PRODUCTOS'!$L$8:$L$507,SMALL($O$8:$O$507,ROW()-7)),"")</f>
        <v/>
      </c>
    </row>
    <row r="176" spans="3:16" x14ac:dyDescent="0.25">
      <c r="C176" s="84" t="str">
        <f>IF(AND('05_PRODUCTOS'!$B176&lt;&gt;"",'05_PRODUCTOS'!$C176&lt;&gt;"",'05_PRODUCTOS'!$K176&lt;&gt;"NO",ISNUMBER(MATCH('05_PRODUCTOS'!$D176,lstCategorias,0))),'05_PRODUCTOS'!$D176,"")</f>
        <v/>
      </c>
      <c r="D176" s="84" t="str">
        <f>IF($C176="","",'05_PRODUCTOS'!$L176)</f>
        <v/>
      </c>
      <c r="E176" s="84" t="str">
        <f t="shared" si="11"/>
        <v/>
      </c>
      <c r="G176" s="85">
        <v>169</v>
      </c>
      <c r="H176" s="84" t="str">
        <f t="shared" si="12"/>
        <v/>
      </c>
      <c r="I176" s="84" t="str">
        <f t="shared" si="13"/>
        <v/>
      </c>
      <c r="J176" s="84" t="str">
        <f t="shared" si="14"/>
        <v/>
      </c>
      <c r="O176" s="84" t="str">
        <f>IF('05_PRODUCTOS'!$L176="","",IF(AND(OR(kxCategoria="",'05_PRODUCTOS'!$D176=kxCategoria),OR(kxBuscar="",ISNUMBER(SEARCH(kxBuscar,'05_PRODUCTOS'!$L176)))),ROW()-7,""))</f>
        <v/>
      </c>
      <c r="P176" s="84" t="str">
        <f>IFERROR(INDEX('05_PRODUCTOS'!$L$8:$L$507,SMALL($O$8:$O$507,ROW()-7)),"")</f>
        <v/>
      </c>
    </row>
    <row r="177" spans="3:16" x14ac:dyDescent="0.25">
      <c r="C177" s="84" t="str">
        <f>IF(AND('05_PRODUCTOS'!$B177&lt;&gt;"",'05_PRODUCTOS'!$C177&lt;&gt;"",'05_PRODUCTOS'!$K177&lt;&gt;"NO",ISNUMBER(MATCH('05_PRODUCTOS'!$D177,lstCategorias,0))),'05_PRODUCTOS'!$D177,"")</f>
        <v/>
      </c>
      <c r="D177" s="84" t="str">
        <f>IF($C177="","",'05_PRODUCTOS'!$L177)</f>
        <v/>
      </c>
      <c r="E177" s="84" t="str">
        <f t="shared" si="11"/>
        <v/>
      </c>
      <c r="G177" s="85">
        <v>170</v>
      </c>
      <c r="H177" s="84" t="str">
        <f t="shared" si="12"/>
        <v/>
      </c>
      <c r="I177" s="84" t="str">
        <f t="shared" si="13"/>
        <v/>
      </c>
      <c r="J177" s="84" t="str">
        <f t="shared" si="14"/>
        <v/>
      </c>
      <c r="O177" s="84" t="str">
        <f>IF('05_PRODUCTOS'!$L177="","",IF(AND(OR(kxCategoria="",'05_PRODUCTOS'!$D177=kxCategoria),OR(kxBuscar="",ISNUMBER(SEARCH(kxBuscar,'05_PRODUCTOS'!$L177)))),ROW()-7,""))</f>
        <v/>
      </c>
      <c r="P177" s="84" t="str">
        <f>IFERROR(INDEX('05_PRODUCTOS'!$L$8:$L$507,SMALL($O$8:$O$507,ROW()-7)),"")</f>
        <v/>
      </c>
    </row>
    <row r="178" spans="3:16" x14ac:dyDescent="0.25">
      <c r="C178" s="84" t="str">
        <f>IF(AND('05_PRODUCTOS'!$B178&lt;&gt;"",'05_PRODUCTOS'!$C178&lt;&gt;"",'05_PRODUCTOS'!$K178&lt;&gt;"NO",ISNUMBER(MATCH('05_PRODUCTOS'!$D178,lstCategorias,0))),'05_PRODUCTOS'!$D178,"")</f>
        <v/>
      </c>
      <c r="D178" s="84" t="str">
        <f>IF($C178="","",'05_PRODUCTOS'!$L178)</f>
        <v/>
      </c>
      <c r="E178" s="84" t="str">
        <f t="shared" si="11"/>
        <v/>
      </c>
      <c r="G178" s="85">
        <v>171</v>
      </c>
      <c r="H178" s="84" t="str">
        <f t="shared" si="12"/>
        <v/>
      </c>
      <c r="I178" s="84" t="str">
        <f t="shared" si="13"/>
        <v/>
      </c>
      <c r="J178" s="84" t="str">
        <f t="shared" si="14"/>
        <v/>
      </c>
      <c r="O178" s="84" t="str">
        <f>IF('05_PRODUCTOS'!$L178="","",IF(AND(OR(kxCategoria="",'05_PRODUCTOS'!$D178=kxCategoria),OR(kxBuscar="",ISNUMBER(SEARCH(kxBuscar,'05_PRODUCTOS'!$L178)))),ROW()-7,""))</f>
        <v/>
      </c>
      <c r="P178" s="84" t="str">
        <f>IFERROR(INDEX('05_PRODUCTOS'!$L$8:$L$507,SMALL($O$8:$O$507,ROW()-7)),"")</f>
        <v/>
      </c>
    </row>
    <row r="179" spans="3:16" x14ac:dyDescent="0.25">
      <c r="C179" s="84" t="str">
        <f>IF(AND('05_PRODUCTOS'!$B179&lt;&gt;"",'05_PRODUCTOS'!$C179&lt;&gt;"",'05_PRODUCTOS'!$K179&lt;&gt;"NO",ISNUMBER(MATCH('05_PRODUCTOS'!$D179,lstCategorias,0))),'05_PRODUCTOS'!$D179,"")</f>
        <v/>
      </c>
      <c r="D179" s="84" t="str">
        <f>IF($C179="","",'05_PRODUCTOS'!$L179)</f>
        <v/>
      </c>
      <c r="E179" s="84" t="str">
        <f t="shared" si="11"/>
        <v/>
      </c>
      <c r="G179" s="85">
        <v>172</v>
      </c>
      <c r="H179" s="84" t="str">
        <f t="shared" si="12"/>
        <v/>
      </c>
      <c r="I179" s="84" t="str">
        <f t="shared" si="13"/>
        <v/>
      </c>
      <c r="J179" s="84" t="str">
        <f t="shared" si="14"/>
        <v/>
      </c>
      <c r="O179" s="84" t="str">
        <f>IF('05_PRODUCTOS'!$L179="","",IF(AND(OR(kxCategoria="",'05_PRODUCTOS'!$D179=kxCategoria),OR(kxBuscar="",ISNUMBER(SEARCH(kxBuscar,'05_PRODUCTOS'!$L179)))),ROW()-7,""))</f>
        <v/>
      </c>
      <c r="P179" s="84" t="str">
        <f>IFERROR(INDEX('05_PRODUCTOS'!$L$8:$L$507,SMALL($O$8:$O$507,ROW()-7)),"")</f>
        <v/>
      </c>
    </row>
    <row r="180" spans="3:16" x14ac:dyDescent="0.25">
      <c r="C180" s="84" t="str">
        <f>IF(AND('05_PRODUCTOS'!$B180&lt;&gt;"",'05_PRODUCTOS'!$C180&lt;&gt;"",'05_PRODUCTOS'!$K180&lt;&gt;"NO",ISNUMBER(MATCH('05_PRODUCTOS'!$D180,lstCategorias,0))),'05_PRODUCTOS'!$D180,"")</f>
        <v/>
      </c>
      <c r="D180" s="84" t="str">
        <f>IF($C180="","",'05_PRODUCTOS'!$L180)</f>
        <v/>
      </c>
      <c r="E180" s="84" t="str">
        <f t="shared" si="11"/>
        <v/>
      </c>
      <c r="G180" s="85">
        <v>173</v>
      </c>
      <c r="H180" s="84" t="str">
        <f t="shared" si="12"/>
        <v/>
      </c>
      <c r="I180" s="84" t="str">
        <f t="shared" si="13"/>
        <v/>
      </c>
      <c r="J180" s="84" t="str">
        <f t="shared" si="14"/>
        <v/>
      </c>
      <c r="O180" s="84" t="str">
        <f>IF('05_PRODUCTOS'!$L180="","",IF(AND(OR(kxCategoria="",'05_PRODUCTOS'!$D180=kxCategoria),OR(kxBuscar="",ISNUMBER(SEARCH(kxBuscar,'05_PRODUCTOS'!$L180)))),ROW()-7,""))</f>
        <v/>
      </c>
      <c r="P180" s="84" t="str">
        <f>IFERROR(INDEX('05_PRODUCTOS'!$L$8:$L$507,SMALL($O$8:$O$507,ROW()-7)),"")</f>
        <v/>
      </c>
    </row>
    <row r="181" spans="3:16" x14ac:dyDescent="0.25">
      <c r="C181" s="84" t="str">
        <f>IF(AND('05_PRODUCTOS'!$B181&lt;&gt;"",'05_PRODUCTOS'!$C181&lt;&gt;"",'05_PRODUCTOS'!$K181&lt;&gt;"NO",ISNUMBER(MATCH('05_PRODUCTOS'!$D181,lstCategorias,0))),'05_PRODUCTOS'!$D181,"")</f>
        <v/>
      </c>
      <c r="D181" s="84" t="str">
        <f>IF($C181="","",'05_PRODUCTOS'!$L181)</f>
        <v/>
      </c>
      <c r="E181" s="84" t="str">
        <f t="shared" si="11"/>
        <v/>
      </c>
      <c r="G181" s="85">
        <v>174</v>
      </c>
      <c r="H181" s="84" t="str">
        <f t="shared" si="12"/>
        <v/>
      </c>
      <c r="I181" s="84" t="str">
        <f t="shared" si="13"/>
        <v/>
      </c>
      <c r="J181" s="84" t="str">
        <f t="shared" si="14"/>
        <v/>
      </c>
      <c r="O181" s="84" t="str">
        <f>IF('05_PRODUCTOS'!$L181="","",IF(AND(OR(kxCategoria="",'05_PRODUCTOS'!$D181=kxCategoria),OR(kxBuscar="",ISNUMBER(SEARCH(kxBuscar,'05_PRODUCTOS'!$L181)))),ROW()-7,""))</f>
        <v/>
      </c>
      <c r="P181" s="84" t="str">
        <f>IFERROR(INDEX('05_PRODUCTOS'!$L$8:$L$507,SMALL($O$8:$O$507,ROW()-7)),"")</f>
        <v/>
      </c>
    </row>
    <row r="182" spans="3:16" x14ac:dyDescent="0.25">
      <c r="C182" s="84" t="str">
        <f>IF(AND('05_PRODUCTOS'!$B182&lt;&gt;"",'05_PRODUCTOS'!$C182&lt;&gt;"",'05_PRODUCTOS'!$K182&lt;&gt;"NO",ISNUMBER(MATCH('05_PRODUCTOS'!$D182,lstCategorias,0))),'05_PRODUCTOS'!$D182,"")</f>
        <v/>
      </c>
      <c r="D182" s="84" t="str">
        <f>IF($C182="","",'05_PRODUCTOS'!$L182)</f>
        <v/>
      </c>
      <c r="E182" s="84" t="str">
        <f t="shared" si="11"/>
        <v/>
      </c>
      <c r="G182" s="85">
        <v>175</v>
      </c>
      <c r="H182" s="84" t="str">
        <f t="shared" si="12"/>
        <v/>
      </c>
      <c r="I182" s="84" t="str">
        <f t="shared" si="13"/>
        <v/>
      </c>
      <c r="J182" s="84" t="str">
        <f t="shared" si="14"/>
        <v/>
      </c>
      <c r="O182" s="84" t="str">
        <f>IF('05_PRODUCTOS'!$L182="","",IF(AND(OR(kxCategoria="",'05_PRODUCTOS'!$D182=kxCategoria),OR(kxBuscar="",ISNUMBER(SEARCH(kxBuscar,'05_PRODUCTOS'!$L182)))),ROW()-7,""))</f>
        <v/>
      </c>
      <c r="P182" s="84" t="str">
        <f>IFERROR(INDEX('05_PRODUCTOS'!$L$8:$L$507,SMALL($O$8:$O$507,ROW()-7)),"")</f>
        <v/>
      </c>
    </row>
    <row r="183" spans="3:16" x14ac:dyDescent="0.25">
      <c r="C183" s="84" t="str">
        <f>IF(AND('05_PRODUCTOS'!$B183&lt;&gt;"",'05_PRODUCTOS'!$C183&lt;&gt;"",'05_PRODUCTOS'!$K183&lt;&gt;"NO",ISNUMBER(MATCH('05_PRODUCTOS'!$D183,lstCategorias,0))),'05_PRODUCTOS'!$D183,"")</f>
        <v/>
      </c>
      <c r="D183" s="84" t="str">
        <f>IF($C183="","",'05_PRODUCTOS'!$L183)</f>
        <v/>
      </c>
      <c r="E183" s="84" t="str">
        <f t="shared" si="11"/>
        <v/>
      </c>
      <c r="G183" s="85">
        <v>176</v>
      </c>
      <c r="H183" s="84" t="str">
        <f t="shared" si="12"/>
        <v/>
      </c>
      <c r="I183" s="84" t="str">
        <f t="shared" si="13"/>
        <v/>
      </c>
      <c r="J183" s="84" t="str">
        <f t="shared" si="14"/>
        <v/>
      </c>
      <c r="O183" s="84" t="str">
        <f>IF('05_PRODUCTOS'!$L183="","",IF(AND(OR(kxCategoria="",'05_PRODUCTOS'!$D183=kxCategoria),OR(kxBuscar="",ISNUMBER(SEARCH(kxBuscar,'05_PRODUCTOS'!$L183)))),ROW()-7,""))</f>
        <v/>
      </c>
      <c r="P183" s="84" t="str">
        <f>IFERROR(INDEX('05_PRODUCTOS'!$L$8:$L$507,SMALL($O$8:$O$507,ROW()-7)),"")</f>
        <v/>
      </c>
    </row>
    <row r="184" spans="3:16" x14ac:dyDescent="0.25">
      <c r="C184" s="84" t="str">
        <f>IF(AND('05_PRODUCTOS'!$B184&lt;&gt;"",'05_PRODUCTOS'!$C184&lt;&gt;"",'05_PRODUCTOS'!$K184&lt;&gt;"NO",ISNUMBER(MATCH('05_PRODUCTOS'!$D184,lstCategorias,0))),'05_PRODUCTOS'!$D184,"")</f>
        <v/>
      </c>
      <c r="D184" s="84" t="str">
        <f>IF($C184="","",'05_PRODUCTOS'!$L184)</f>
        <v/>
      </c>
      <c r="E184" s="84" t="str">
        <f t="shared" si="11"/>
        <v/>
      </c>
      <c r="G184" s="85">
        <v>177</v>
      </c>
      <c r="H184" s="84" t="str">
        <f t="shared" si="12"/>
        <v/>
      </c>
      <c r="I184" s="84" t="str">
        <f t="shared" si="13"/>
        <v/>
      </c>
      <c r="J184" s="84" t="str">
        <f t="shared" si="14"/>
        <v/>
      </c>
      <c r="O184" s="84" t="str">
        <f>IF('05_PRODUCTOS'!$L184="","",IF(AND(OR(kxCategoria="",'05_PRODUCTOS'!$D184=kxCategoria),OR(kxBuscar="",ISNUMBER(SEARCH(kxBuscar,'05_PRODUCTOS'!$L184)))),ROW()-7,""))</f>
        <v/>
      </c>
      <c r="P184" s="84" t="str">
        <f>IFERROR(INDEX('05_PRODUCTOS'!$L$8:$L$507,SMALL($O$8:$O$507,ROW()-7)),"")</f>
        <v/>
      </c>
    </row>
    <row r="185" spans="3:16" x14ac:dyDescent="0.25">
      <c r="C185" s="84" t="str">
        <f>IF(AND('05_PRODUCTOS'!$B185&lt;&gt;"",'05_PRODUCTOS'!$C185&lt;&gt;"",'05_PRODUCTOS'!$K185&lt;&gt;"NO",ISNUMBER(MATCH('05_PRODUCTOS'!$D185,lstCategorias,0))),'05_PRODUCTOS'!$D185,"")</f>
        <v/>
      </c>
      <c r="D185" s="84" t="str">
        <f>IF($C185="","",'05_PRODUCTOS'!$L185)</f>
        <v/>
      </c>
      <c r="E185" s="84" t="str">
        <f t="shared" si="11"/>
        <v/>
      </c>
      <c r="G185" s="85">
        <v>178</v>
      </c>
      <c r="H185" s="84" t="str">
        <f t="shared" si="12"/>
        <v/>
      </c>
      <c r="I185" s="84" t="str">
        <f t="shared" si="13"/>
        <v/>
      </c>
      <c r="J185" s="84" t="str">
        <f t="shared" si="14"/>
        <v/>
      </c>
      <c r="O185" s="84" t="str">
        <f>IF('05_PRODUCTOS'!$L185="","",IF(AND(OR(kxCategoria="",'05_PRODUCTOS'!$D185=kxCategoria),OR(kxBuscar="",ISNUMBER(SEARCH(kxBuscar,'05_PRODUCTOS'!$L185)))),ROW()-7,""))</f>
        <v/>
      </c>
      <c r="P185" s="84" t="str">
        <f>IFERROR(INDEX('05_PRODUCTOS'!$L$8:$L$507,SMALL($O$8:$O$507,ROW()-7)),"")</f>
        <v/>
      </c>
    </row>
    <row r="186" spans="3:16" x14ac:dyDescent="0.25">
      <c r="C186" s="84" t="str">
        <f>IF(AND('05_PRODUCTOS'!$B186&lt;&gt;"",'05_PRODUCTOS'!$C186&lt;&gt;"",'05_PRODUCTOS'!$K186&lt;&gt;"NO",ISNUMBER(MATCH('05_PRODUCTOS'!$D186,lstCategorias,0))),'05_PRODUCTOS'!$D186,"")</f>
        <v/>
      </c>
      <c r="D186" s="84" t="str">
        <f>IF($C186="","",'05_PRODUCTOS'!$L186)</f>
        <v/>
      </c>
      <c r="E186" s="84" t="str">
        <f t="shared" si="11"/>
        <v/>
      </c>
      <c r="G186" s="85">
        <v>179</v>
      </c>
      <c r="H186" s="84" t="str">
        <f t="shared" si="12"/>
        <v/>
      </c>
      <c r="I186" s="84" t="str">
        <f t="shared" si="13"/>
        <v/>
      </c>
      <c r="J186" s="84" t="str">
        <f t="shared" si="14"/>
        <v/>
      </c>
      <c r="O186" s="84" t="str">
        <f>IF('05_PRODUCTOS'!$L186="","",IF(AND(OR(kxCategoria="",'05_PRODUCTOS'!$D186=kxCategoria),OR(kxBuscar="",ISNUMBER(SEARCH(kxBuscar,'05_PRODUCTOS'!$L186)))),ROW()-7,""))</f>
        <v/>
      </c>
      <c r="P186" s="84" t="str">
        <f>IFERROR(INDEX('05_PRODUCTOS'!$L$8:$L$507,SMALL($O$8:$O$507,ROW()-7)),"")</f>
        <v/>
      </c>
    </row>
    <row r="187" spans="3:16" x14ac:dyDescent="0.25">
      <c r="C187" s="84" t="str">
        <f>IF(AND('05_PRODUCTOS'!$B187&lt;&gt;"",'05_PRODUCTOS'!$C187&lt;&gt;"",'05_PRODUCTOS'!$K187&lt;&gt;"NO",ISNUMBER(MATCH('05_PRODUCTOS'!$D187,lstCategorias,0))),'05_PRODUCTOS'!$D187,"")</f>
        <v/>
      </c>
      <c r="D187" s="84" t="str">
        <f>IF($C187="","",'05_PRODUCTOS'!$L187)</f>
        <v/>
      </c>
      <c r="E187" s="84" t="str">
        <f t="shared" si="11"/>
        <v/>
      </c>
      <c r="G187" s="85">
        <v>180</v>
      </c>
      <c r="H187" s="84" t="str">
        <f t="shared" si="12"/>
        <v/>
      </c>
      <c r="I187" s="84" t="str">
        <f t="shared" si="13"/>
        <v/>
      </c>
      <c r="J187" s="84" t="str">
        <f t="shared" si="14"/>
        <v/>
      </c>
      <c r="O187" s="84" t="str">
        <f>IF('05_PRODUCTOS'!$L187="","",IF(AND(OR(kxCategoria="",'05_PRODUCTOS'!$D187=kxCategoria),OR(kxBuscar="",ISNUMBER(SEARCH(kxBuscar,'05_PRODUCTOS'!$L187)))),ROW()-7,""))</f>
        <v/>
      </c>
      <c r="P187" s="84" t="str">
        <f>IFERROR(INDEX('05_PRODUCTOS'!$L$8:$L$507,SMALL($O$8:$O$507,ROW()-7)),"")</f>
        <v/>
      </c>
    </row>
    <row r="188" spans="3:16" x14ac:dyDescent="0.25">
      <c r="C188" s="84" t="str">
        <f>IF(AND('05_PRODUCTOS'!$B188&lt;&gt;"",'05_PRODUCTOS'!$C188&lt;&gt;"",'05_PRODUCTOS'!$K188&lt;&gt;"NO",ISNUMBER(MATCH('05_PRODUCTOS'!$D188,lstCategorias,0))),'05_PRODUCTOS'!$D188,"")</f>
        <v/>
      </c>
      <c r="D188" s="84" t="str">
        <f>IF($C188="","",'05_PRODUCTOS'!$L188)</f>
        <v/>
      </c>
      <c r="E188" s="84" t="str">
        <f t="shared" si="11"/>
        <v/>
      </c>
      <c r="G188" s="85">
        <v>181</v>
      </c>
      <c r="H188" s="84" t="str">
        <f t="shared" si="12"/>
        <v/>
      </c>
      <c r="I188" s="84" t="str">
        <f t="shared" si="13"/>
        <v/>
      </c>
      <c r="J188" s="84" t="str">
        <f t="shared" si="14"/>
        <v/>
      </c>
      <c r="O188" s="84" t="str">
        <f>IF('05_PRODUCTOS'!$L188="","",IF(AND(OR(kxCategoria="",'05_PRODUCTOS'!$D188=kxCategoria),OR(kxBuscar="",ISNUMBER(SEARCH(kxBuscar,'05_PRODUCTOS'!$L188)))),ROW()-7,""))</f>
        <v/>
      </c>
      <c r="P188" s="84" t="str">
        <f>IFERROR(INDEX('05_PRODUCTOS'!$L$8:$L$507,SMALL($O$8:$O$507,ROW()-7)),"")</f>
        <v/>
      </c>
    </row>
    <row r="189" spans="3:16" x14ac:dyDescent="0.25">
      <c r="C189" s="84" t="str">
        <f>IF(AND('05_PRODUCTOS'!$B189&lt;&gt;"",'05_PRODUCTOS'!$C189&lt;&gt;"",'05_PRODUCTOS'!$K189&lt;&gt;"NO",ISNUMBER(MATCH('05_PRODUCTOS'!$D189,lstCategorias,0))),'05_PRODUCTOS'!$D189,"")</f>
        <v/>
      </c>
      <c r="D189" s="84" t="str">
        <f>IF($C189="","",'05_PRODUCTOS'!$L189)</f>
        <v/>
      </c>
      <c r="E189" s="84" t="str">
        <f t="shared" si="11"/>
        <v/>
      </c>
      <c r="G189" s="85">
        <v>182</v>
      </c>
      <c r="H189" s="84" t="str">
        <f t="shared" si="12"/>
        <v/>
      </c>
      <c r="I189" s="84" t="str">
        <f t="shared" si="13"/>
        <v/>
      </c>
      <c r="J189" s="84" t="str">
        <f t="shared" si="14"/>
        <v/>
      </c>
      <c r="O189" s="84" t="str">
        <f>IF('05_PRODUCTOS'!$L189="","",IF(AND(OR(kxCategoria="",'05_PRODUCTOS'!$D189=kxCategoria),OR(kxBuscar="",ISNUMBER(SEARCH(kxBuscar,'05_PRODUCTOS'!$L189)))),ROW()-7,""))</f>
        <v/>
      </c>
      <c r="P189" s="84" t="str">
        <f>IFERROR(INDEX('05_PRODUCTOS'!$L$8:$L$507,SMALL($O$8:$O$507,ROW()-7)),"")</f>
        <v/>
      </c>
    </row>
    <row r="190" spans="3:16" x14ac:dyDescent="0.25">
      <c r="C190" s="84" t="str">
        <f>IF(AND('05_PRODUCTOS'!$B190&lt;&gt;"",'05_PRODUCTOS'!$C190&lt;&gt;"",'05_PRODUCTOS'!$K190&lt;&gt;"NO",ISNUMBER(MATCH('05_PRODUCTOS'!$D190,lstCategorias,0))),'05_PRODUCTOS'!$D190,"")</f>
        <v/>
      </c>
      <c r="D190" s="84" t="str">
        <f>IF($C190="","",'05_PRODUCTOS'!$L190)</f>
        <v/>
      </c>
      <c r="E190" s="84" t="str">
        <f t="shared" si="11"/>
        <v/>
      </c>
      <c r="G190" s="85">
        <v>183</v>
      </c>
      <c r="H190" s="84" t="str">
        <f t="shared" si="12"/>
        <v/>
      </c>
      <c r="I190" s="84" t="str">
        <f t="shared" si="13"/>
        <v/>
      </c>
      <c r="J190" s="84" t="str">
        <f t="shared" si="14"/>
        <v/>
      </c>
      <c r="O190" s="84" t="str">
        <f>IF('05_PRODUCTOS'!$L190="","",IF(AND(OR(kxCategoria="",'05_PRODUCTOS'!$D190=kxCategoria),OR(kxBuscar="",ISNUMBER(SEARCH(kxBuscar,'05_PRODUCTOS'!$L190)))),ROW()-7,""))</f>
        <v/>
      </c>
      <c r="P190" s="84" t="str">
        <f>IFERROR(INDEX('05_PRODUCTOS'!$L$8:$L$507,SMALL($O$8:$O$507,ROW()-7)),"")</f>
        <v/>
      </c>
    </row>
    <row r="191" spans="3:16" x14ac:dyDescent="0.25">
      <c r="C191" s="84" t="str">
        <f>IF(AND('05_PRODUCTOS'!$B191&lt;&gt;"",'05_PRODUCTOS'!$C191&lt;&gt;"",'05_PRODUCTOS'!$K191&lt;&gt;"NO",ISNUMBER(MATCH('05_PRODUCTOS'!$D191,lstCategorias,0))),'05_PRODUCTOS'!$D191,"")</f>
        <v/>
      </c>
      <c r="D191" s="84" t="str">
        <f>IF($C191="","",'05_PRODUCTOS'!$L191)</f>
        <v/>
      </c>
      <c r="E191" s="84" t="str">
        <f t="shared" si="11"/>
        <v/>
      </c>
      <c r="G191" s="85">
        <v>184</v>
      </c>
      <c r="H191" s="84" t="str">
        <f t="shared" si="12"/>
        <v/>
      </c>
      <c r="I191" s="84" t="str">
        <f t="shared" si="13"/>
        <v/>
      </c>
      <c r="J191" s="84" t="str">
        <f t="shared" si="14"/>
        <v/>
      </c>
      <c r="O191" s="84" t="str">
        <f>IF('05_PRODUCTOS'!$L191="","",IF(AND(OR(kxCategoria="",'05_PRODUCTOS'!$D191=kxCategoria),OR(kxBuscar="",ISNUMBER(SEARCH(kxBuscar,'05_PRODUCTOS'!$L191)))),ROW()-7,""))</f>
        <v/>
      </c>
      <c r="P191" s="84" t="str">
        <f>IFERROR(INDEX('05_PRODUCTOS'!$L$8:$L$507,SMALL($O$8:$O$507,ROW()-7)),"")</f>
        <v/>
      </c>
    </row>
    <row r="192" spans="3:16" x14ac:dyDescent="0.25">
      <c r="C192" s="84" t="str">
        <f>IF(AND('05_PRODUCTOS'!$B192&lt;&gt;"",'05_PRODUCTOS'!$C192&lt;&gt;"",'05_PRODUCTOS'!$K192&lt;&gt;"NO",ISNUMBER(MATCH('05_PRODUCTOS'!$D192,lstCategorias,0))),'05_PRODUCTOS'!$D192,"")</f>
        <v/>
      </c>
      <c r="D192" s="84" t="str">
        <f>IF($C192="","",'05_PRODUCTOS'!$L192)</f>
        <v/>
      </c>
      <c r="E192" s="84" t="str">
        <f t="shared" si="11"/>
        <v/>
      </c>
      <c r="G192" s="85">
        <v>185</v>
      </c>
      <c r="H192" s="84" t="str">
        <f t="shared" si="12"/>
        <v/>
      </c>
      <c r="I192" s="84" t="str">
        <f t="shared" si="13"/>
        <v/>
      </c>
      <c r="J192" s="84" t="str">
        <f t="shared" si="14"/>
        <v/>
      </c>
      <c r="O192" s="84" t="str">
        <f>IF('05_PRODUCTOS'!$L192="","",IF(AND(OR(kxCategoria="",'05_PRODUCTOS'!$D192=kxCategoria),OR(kxBuscar="",ISNUMBER(SEARCH(kxBuscar,'05_PRODUCTOS'!$L192)))),ROW()-7,""))</f>
        <v/>
      </c>
      <c r="P192" s="84" t="str">
        <f>IFERROR(INDEX('05_PRODUCTOS'!$L$8:$L$507,SMALL($O$8:$O$507,ROW()-7)),"")</f>
        <v/>
      </c>
    </row>
    <row r="193" spans="3:16" x14ac:dyDescent="0.25">
      <c r="C193" s="84" t="str">
        <f>IF(AND('05_PRODUCTOS'!$B193&lt;&gt;"",'05_PRODUCTOS'!$C193&lt;&gt;"",'05_PRODUCTOS'!$K193&lt;&gt;"NO",ISNUMBER(MATCH('05_PRODUCTOS'!$D193,lstCategorias,0))),'05_PRODUCTOS'!$D193,"")</f>
        <v/>
      </c>
      <c r="D193" s="84" t="str">
        <f>IF($C193="","",'05_PRODUCTOS'!$L193)</f>
        <v/>
      </c>
      <c r="E193" s="84" t="str">
        <f t="shared" si="11"/>
        <v/>
      </c>
      <c r="G193" s="85">
        <v>186</v>
      </c>
      <c r="H193" s="84" t="str">
        <f t="shared" si="12"/>
        <v/>
      </c>
      <c r="I193" s="84" t="str">
        <f t="shared" si="13"/>
        <v/>
      </c>
      <c r="J193" s="84" t="str">
        <f t="shared" si="14"/>
        <v/>
      </c>
      <c r="O193" s="84" t="str">
        <f>IF('05_PRODUCTOS'!$L193="","",IF(AND(OR(kxCategoria="",'05_PRODUCTOS'!$D193=kxCategoria),OR(kxBuscar="",ISNUMBER(SEARCH(kxBuscar,'05_PRODUCTOS'!$L193)))),ROW()-7,""))</f>
        <v/>
      </c>
      <c r="P193" s="84" t="str">
        <f>IFERROR(INDEX('05_PRODUCTOS'!$L$8:$L$507,SMALL($O$8:$O$507,ROW()-7)),"")</f>
        <v/>
      </c>
    </row>
    <row r="194" spans="3:16" x14ac:dyDescent="0.25">
      <c r="C194" s="84" t="str">
        <f>IF(AND('05_PRODUCTOS'!$B194&lt;&gt;"",'05_PRODUCTOS'!$C194&lt;&gt;"",'05_PRODUCTOS'!$K194&lt;&gt;"NO",ISNUMBER(MATCH('05_PRODUCTOS'!$D194,lstCategorias,0))),'05_PRODUCTOS'!$D194,"")</f>
        <v/>
      </c>
      <c r="D194" s="84" t="str">
        <f>IF($C194="","",'05_PRODUCTOS'!$L194)</f>
        <v/>
      </c>
      <c r="E194" s="84" t="str">
        <f t="shared" si="11"/>
        <v/>
      </c>
      <c r="G194" s="85">
        <v>187</v>
      </c>
      <c r="H194" s="84" t="str">
        <f t="shared" si="12"/>
        <v/>
      </c>
      <c r="I194" s="84" t="str">
        <f t="shared" si="13"/>
        <v/>
      </c>
      <c r="J194" s="84" t="str">
        <f t="shared" si="14"/>
        <v/>
      </c>
      <c r="O194" s="84" t="str">
        <f>IF('05_PRODUCTOS'!$L194="","",IF(AND(OR(kxCategoria="",'05_PRODUCTOS'!$D194=kxCategoria),OR(kxBuscar="",ISNUMBER(SEARCH(kxBuscar,'05_PRODUCTOS'!$L194)))),ROW()-7,""))</f>
        <v/>
      </c>
      <c r="P194" s="84" t="str">
        <f>IFERROR(INDEX('05_PRODUCTOS'!$L$8:$L$507,SMALL($O$8:$O$507,ROW()-7)),"")</f>
        <v/>
      </c>
    </row>
    <row r="195" spans="3:16" x14ac:dyDescent="0.25">
      <c r="C195" s="84" t="str">
        <f>IF(AND('05_PRODUCTOS'!$B195&lt;&gt;"",'05_PRODUCTOS'!$C195&lt;&gt;"",'05_PRODUCTOS'!$K195&lt;&gt;"NO",ISNUMBER(MATCH('05_PRODUCTOS'!$D195,lstCategorias,0))),'05_PRODUCTOS'!$D195,"")</f>
        <v/>
      </c>
      <c r="D195" s="84" t="str">
        <f>IF($C195="","",'05_PRODUCTOS'!$L195)</f>
        <v/>
      </c>
      <c r="E195" s="84" t="str">
        <f t="shared" si="11"/>
        <v/>
      </c>
      <c r="G195" s="85">
        <v>188</v>
      </c>
      <c r="H195" s="84" t="str">
        <f t="shared" si="12"/>
        <v/>
      </c>
      <c r="I195" s="84" t="str">
        <f t="shared" si="13"/>
        <v/>
      </c>
      <c r="J195" s="84" t="str">
        <f t="shared" si="14"/>
        <v/>
      </c>
      <c r="O195" s="84" t="str">
        <f>IF('05_PRODUCTOS'!$L195="","",IF(AND(OR(kxCategoria="",'05_PRODUCTOS'!$D195=kxCategoria),OR(kxBuscar="",ISNUMBER(SEARCH(kxBuscar,'05_PRODUCTOS'!$L195)))),ROW()-7,""))</f>
        <v/>
      </c>
      <c r="P195" s="84" t="str">
        <f>IFERROR(INDEX('05_PRODUCTOS'!$L$8:$L$507,SMALL($O$8:$O$507,ROW()-7)),"")</f>
        <v/>
      </c>
    </row>
    <row r="196" spans="3:16" x14ac:dyDescent="0.25">
      <c r="C196" s="84" t="str">
        <f>IF(AND('05_PRODUCTOS'!$B196&lt;&gt;"",'05_PRODUCTOS'!$C196&lt;&gt;"",'05_PRODUCTOS'!$K196&lt;&gt;"NO",ISNUMBER(MATCH('05_PRODUCTOS'!$D196,lstCategorias,0))),'05_PRODUCTOS'!$D196,"")</f>
        <v/>
      </c>
      <c r="D196" s="84" t="str">
        <f>IF($C196="","",'05_PRODUCTOS'!$L196)</f>
        <v/>
      </c>
      <c r="E196" s="84" t="str">
        <f t="shared" si="11"/>
        <v/>
      </c>
      <c r="G196" s="85">
        <v>189</v>
      </c>
      <c r="H196" s="84" t="str">
        <f t="shared" si="12"/>
        <v/>
      </c>
      <c r="I196" s="84" t="str">
        <f t="shared" si="13"/>
        <v/>
      </c>
      <c r="J196" s="84" t="str">
        <f t="shared" si="14"/>
        <v/>
      </c>
      <c r="O196" s="84" t="str">
        <f>IF('05_PRODUCTOS'!$L196="","",IF(AND(OR(kxCategoria="",'05_PRODUCTOS'!$D196=kxCategoria),OR(kxBuscar="",ISNUMBER(SEARCH(kxBuscar,'05_PRODUCTOS'!$L196)))),ROW()-7,""))</f>
        <v/>
      </c>
      <c r="P196" s="84" t="str">
        <f>IFERROR(INDEX('05_PRODUCTOS'!$L$8:$L$507,SMALL($O$8:$O$507,ROW()-7)),"")</f>
        <v/>
      </c>
    </row>
    <row r="197" spans="3:16" x14ac:dyDescent="0.25">
      <c r="C197" s="84" t="str">
        <f>IF(AND('05_PRODUCTOS'!$B197&lt;&gt;"",'05_PRODUCTOS'!$C197&lt;&gt;"",'05_PRODUCTOS'!$K197&lt;&gt;"NO",ISNUMBER(MATCH('05_PRODUCTOS'!$D197,lstCategorias,0))),'05_PRODUCTOS'!$D197,"")</f>
        <v/>
      </c>
      <c r="D197" s="84" t="str">
        <f>IF($C197="","",'05_PRODUCTOS'!$L197)</f>
        <v/>
      </c>
      <c r="E197" s="84" t="str">
        <f t="shared" si="11"/>
        <v/>
      </c>
      <c r="G197" s="85">
        <v>190</v>
      </c>
      <c r="H197" s="84" t="str">
        <f t="shared" si="12"/>
        <v/>
      </c>
      <c r="I197" s="84" t="str">
        <f t="shared" si="13"/>
        <v/>
      </c>
      <c r="J197" s="84" t="str">
        <f t="shared" si="14"/>
        <v/>
      </c>
      <c r="O197" s="84" t="str">
        <f>IF('05_PRODUCTOS'!$L197="","",IF(AND(OR(kxCategoria="",'05_PRODUCTOS'!$D197=kxCategoria),OR(kxBuscar="",ISNUMBER(SEARCH(kxBuscar,'05_PRODUCTOS'!$L197)))),ROW()-7,""))</f>
        <v/>
      </c>
      <c r="P197" s="84" t="str">
        <f>IFERROR(INDEX('05_PRODUCTOS'!$L$8:$L$507,SMALL($O$8:$O$507,ROW()-7)),"")</f>
        <v/>
      </c>
    </row>
    <row r="198" spans="3:16" x14ac:dyDescent="0.25">
      <c r="C198" s="84" t="str">
        <f>IF(AND('05_PRODUCTOS'!$B198&lt;&gt;"",'05_PRODUCTOS'!$C198&lt;&gt;"",'05_PRODUCTOS'!$K198&lt;&gt;"NO",ISNUMBER(MATCH('05_PRODUCTOS'!$D198,lstCategorias,0))),'05_PRODUCTOS'!$D198,"")</f>
        <v/>
      </c>
      <c r="D198" s="84" t="str">
        <f>IF($C198="","",'05_PRODUCTOS'!$L198)</f>
        <v/>
      </c>
      <c r="E198" s="84" t="str">
        <f t="shared" si="11"/>
        <v/>
      </c>
      <c r="G198" s="85">
        <v>191</v>
      </c>
      <c r="H198" s="84" t="str">
        <f t="shared" si="12"/>
        <v/>
      </c>
      <c r="I198" s="84" t="str">
        <f t="shared" si="13"/>
        <v/>
      </c>
      <c r="J198" s="84" t="str">
        <f t="shared" si="14"/>
        <v/>
      </c>
      <c r="O198" s="84" t="str">
        <f>IF('05_PRODUCTOS'!$L198="","",IF(AND(OR(kxCategoria="",'05_PRODUCTOS'!$D198=kxCategoria),OR(kxBuscar="",ISNUMBER(SEARCH(kxBuscar,'05_PRODUCTOS'!$L198)))),ROW()-7,""))</f>
        <v/>
      </c>
      <c r="P198" s="84" t="str">
        <f>IFERROR(INDEX('05_PRODUCTOS'!$L$8:$L$507,SMALL($O$8:$O$507,ROW()-7)),"")</f>
        <v/>
      </c>
    </row>
    <row r="199" spans="3:16" x14ac:dyDescent="0.25">
      <c r="C199" s="84" t="str">
        <f>IF(AND('05_PRODUCTOS'!$B199&lt;&gt;"",'05_PRODUCTOS'!$C199&lt;&gt;"",'05_PRODUCTOS'!$K199&lt;&gt;"NO",ISNUMBER(MATCH('05_PRODUCTOS'!$D199,lstCategorias,0))),'05_PRODUCTOS'!$D199,"")</f>
        <v/>
      </c>
      <c r="D199" s="84" t="str">
        <f>IF($C199="","",'05_PRODUCTOS'!$L199)</f>
        <v/>
      </c>
      <c r="E199" s="84" t="str">
        <f t="shared" si="11"/>
        <v/>
      </c>
      <c r="G199" s="85">
        <v>192</v>
      </c>
      <c r="H199" s="84" t="str">
        <f t="shared" si="12"/>
        <v/>
      </c>
      <c r="I199" s="84" t="str">
        <f t="shared" si="13"/>
        <v/>
      </c>
      <c r="J199" s="84" t="str">
        <f t="shared" si="14"/>
        <v/>
      </c>
      <c r="O199" s="84" t="str">
        <f>IF('05_PRODUCTOS'!$L199="","",IF(AND(OR(kxCategoria="",'05_PRODUCTOS'!$D199=kxCategoria),OR(kxBuscar="",ISNUMBER(SEARCH(kxBuscar,'05_PRODUCTOS'!$L199)))),ROW()-7,""))</f>
        <v/>
      </c>
      <c r="P199" s="84" t="str">
        <f>IFERROR(INDEX('05_PRODUCTOS'!$L$8:$L$507,SMALL($O$8:$O$507,ROW()-7)),"")</f>
        <v/>
      </c>
    </row>
    <row r="200" spans="3:16" x14ac:dyDescent="0.25">
      <c r="C200" s="84" t="str">
        <f>IF(AND('05_PRODUCTOS'!$B200&lt;&gt;"",'05_PRODUCTOS'!$C200&lt;&gt;"",'05_PRODUCTOS'!$K200&lt;&gt;"NO",ISNUMBER(MATCH('05_PRODUCTOS'!$D200,lstCategorias,0))),'05_PRODUCTOS'!$D200,"")</f>
        <v/>
      </c>
      <c r="D200" s="84" t="str">
        <f>IF($C200="","",'05_PRODUCTOS'!$L200)</f>
        <v/>
      </c>
      <c r="E200" s="84" t="str">
        <f t="shared" ref="E200:E263" si="15">IF($C200="","",MATCH($C200,lstCategorias,0)*1000+COUNTIFS($C$8:$C$507,$C200,$D$8:$D$507,"&lt;"&amp;$D200)+1+ROW()/100000)</f>
        <v/>
      </c>
      <c r="G200" s="85">
        <v>193</v>
      </c>
      <c r="H200" s="84" t="str">
        <f t="shared" ref="H200:H263" si="16">IFERROR(SMALL($E$8:$E$507,$G200),"")</f>
        <v/>
      </c>
      <c r="I200" s="84" t="str">
        <f t="shared" ref="I200:I263" si="17">IF($H200="","",INDEX($C$8:$C$507,MATCH($H200,$E$8:$E$507,0)))</f>
        <v/>
      </c>
      <c r="J200" s="84" t="str">
        <f t="shared" ref="J200:J263" si="18">IF($H200="","",INDEX($D$8:$D$507,MATCH($H200,$E$8:$E$507,0)))</f>
        <v/>
      </c>
      <c r="O200" s="84" t="str">
        <f>IF('05_PRODUCTOS'!$L200="","",IF(AND(OR(kxCategoria="",'05_PRODUCTOS'!$D200=kxCategoria),OR(kxBuscar="",ISNUMBER(SEARCH(kxBuscar,'05_PRODUCTOS'!$L200)))),ROW()-7,""))</f>
        <v/>
      </c>
      <c r="P200" s="84" t="str">
        <f>IFERROR(INDEX('05_PRODUCTOS'!$L$8:$L$507,SMALL($O$8:$O$507,ROW()-7)),"")</f>
        <v/>
      </c>
    </row>
    <row r="201" spans="3:16" x14ac:dyDescent="0.25">
      <c r="C201" s="84" t="str">
        <f>IF(AND('05_PRODUCTOS'!$B201&lt;&gt;"",'05_PRODUCTOS'!$C201&lt;&gt;"",'05_PRODUCTOS'!$K201&lt;&gt;"NO",ISNUMBER(MATCH('05_PRODUCTOS'!$D201,lstCategorias,0))),'05_PRODUCTOS'!$D201,"")</f>
        <v/>
      </c>
      <c r="D201" s="84" t="str">
        <f>IF($C201="","",'05_PRODUCTOS'!$L201)</f>
        <v/>
      </c>
      <c r="E201" s="84" t="str">
        <f t="shared" si="15"/>
        <v/>
      </c>
      <c r="G201" s="85">
        <v>194</v>
      </c>
      <c r="H201" s="84" t="str">
        <f t="shared" si="16"/>
        <v/>
      </c>
      <c r="I201" s="84" t="str">
        <f t="shared" si="17"/>
        <v/>
      </c>
      <c r="J201" s="84" t="str">
        <f t="shared" si="18"/>
        <v/>
      </c>
      <c r="O201" s="84" t="str">
        <f>IF('05_PRODUCTOS'!$L201="","",IF(AND(OR(kxCategoria="",'05_PRODUCTOS'!$D201=kxCategoria),OR(kxBuscar="",ISNUMBER(SEARCH(kxBuscar,'05_PRODUCTOS'!$L201)))),ROW()-7,""))</f>
        <v/>
      </c>
      <c r="P201" s="84" t="str">
        <f>IFERROR(INDEX('05_PRODUCTOS'!$L$8:$L$507,SMALL($O$8:$O$507,ROW()-7)),"")</f>
        <v/>
      </c>
    </row>
    <row r="202" spans="3:16" x14ac:dyDescent="0.25">
      <c r="C202" s="84" t="str">
        <f>IF(AND('05_PRODUCTOS'!$B202&lt;&gt;"",'05_PRODUCTOS'!$C202&lt;&gt;"",'05_PRODUCTOS'!$K202&lt;&gt;"NO",ISNUMBER(MATCH('05_PRODUCTOS'!$D202,lstCategorias,0))),'05_PRODUCTOS'!$D202,"")</f>
        <v/>
      </c>
      <c r="D202" s="84" t="str">
        <f>IF($C202="","",'05_PRODUCTOS'!$L202)</f>
        <v/>
      </c>
      <c r="E202" s="84" t="str">
        <f t="shared" si="15"/>
        <v/>
      </c>
      <c r="G202" s="85">
        <v>195</v>
      </c>
      <c r="H202" s="84" t="str">
        <f t="shared" si="16"/>
        <v/>
      </c>
      <c r="I202" s="84" t="str">
        <f t="shared" si="17"/>
        <v/>
      </c>
      <c r="J202" s="84" t="str">
        <f t="shared" si="18"/>
        <v/>
      </c>
      <c r="O202" s="84" t="str">
        <f>IF('05_PRODUCTOS'!$L202="","",IF(AND(OR(kxCategoria="",'05_PRODUCTOS'!$D202=kxCategoria),OR(kxBuscar="",ISNUMBER(SEARCH(kxBuscar,'05_PRODUCTOS'!$L202)))),ROW()-7,""))</f>
        <v/>
      </c>
      <c r="P202" s="84" t="str">
        <f>IFERROR(INDEX('05_PRODUCTOS'!$L$8:$L$507,SMALL($O$8:$O$507,ROW()-7)),"")</f>
        <v/>
      </c>
    </row>
    <row r="203" spans="3:16" x14ac:dyDescent="0.25">
      <c r="C203" s="84" t="str">
        <f>IF(AND('05_PRODUCTOS'!$B203&lt;&gt;"",'05_PRODUCTOS'!$C203&lt;&gt;"",'05_PRODUCTOS'!$K203&lt;&gt;"NO",ISNUMBER(MATCH('05_PRODUCTOS'!$D203,lstCategorias,0))),'05_PRODUCTOS'!$D203,"")</f>
        <v/>
      </c>
      <c r="D203" s="84" t="str">
        <f>IF($C203="","",'05_PRODUCTOS'!$L203)</f>
        <v/>
      </c>
      <c r="E203" s="84" t="str">
        <f t="shared" si="15"/>
        <v/>
      </c>
      <c r="G203" s="85">
        <v>196</v>
      </c>
      <c r="H203" s="84" t="str">
        <f t="shared" si="16"/>
        <v/>
      </c>
      <c r="I203" s="84" t="str">
        <f t="shared" si="17"/>
        <v/>
      </c>
      <c r="J203" s="84" t="str">
        <f t="shared" si="18"/>
        <v/>
      </c>
      <c r="O203" s="84" t="str">
        <f>IF('05_PRODUCTOS'!$L203="","",IF(AND(OR(kxCategoria="",'05_PRODUCTOS'!$D203=kxCategoria),OR(kxBuscar="",ISNUMBER(SEARCH(kxBuscar,'05_PRODUCTOS'!$L203)))),ROW()-7,""))</f>
        <v/>
      </c>
      <c r="P203" s="84" t="str">
        <f>IFERROR(INDEX('05_PRODUCTOS'!$L$8:$L$507,SMALL($O$8:$O$507,ROW()-7)),"")</f>
        <v/>
      </c>
    </row>
    <row r="204" spans="3:16" x14ac:dyDescent="0.25">
      <c r="C204" s="84" t="str">
        <f>IF(AND('05_PRODUCTOS'!$B204&lt;&gt;"",'05_PRODUCTOS'!$C204&lt;&gt;"",'05_PRODUCTOS'!$K204&lt;&gt;"NO",ISNUMBER(MATCH('05_PRODUCTOS'!$D204,lstCategorias,0))),'05_PRODUCTOS'!$D204,"")</f>
        <v/>
      </c>
      <c r="D204" s="84" t="str">
        <f>IF($C204="","",'05_PRODUCTOS'!$L204)</f>
        <v/>
      </c>
      <c r="E204" s="84" t="str">
        <f t="shared" si="15"/>
        <v/>
      </c>
      <c r="G204" s="85">
        <v>197</v>
      </c>
      <c r="H204" s="84" t="str">
        <f t="shared" si="16"/>
        <v/>
      </c>
      <c r="I204" s="84" t="str">
        <f t="shared" si="17"/>
        <v/>
      </c>
      <c r="J204" s="84" t="str">
        <f t="shared" si="18"/>
        <v/>
      </c>
      <c r="O204" s="84" t="str">
        <f>IF('05_PRODUCTOS'!$L204="","",IF(AND(OR(kxCategoria="",'05_PRODUCTOS'!$D204=kxCategoria),OR(kxBuscar="",ISNUMBER(SEARCH(kxBuscar,'05_PRODUCTOS'!$L204)))),ROW()-7,""))</f>
        <v/>
      </c>
      <c r="P204" s="84" t="str">
        <f>IFERROR(INDEX('05_PRODUCTOS'!$L$8:$L$507,SMALL($O$8:$O$507,ROW()-7)),"")</f>
        <v/>
      </c>
    </row>
    <row r="205" spans="3:16" x14ac:dyDescent="0.25">
      <c r="C205" s="84" t="str">
        <f>IF(AND('05_PRODUCTOS'!$B205&lt;&gt;"",'05_PRODUCTOS'!$C205&lt;&gt;"",'05_PRODUCTOS'!$K205&lt;&gt;"NO",ISNUMBER(MATCH('05_PRODUCTOS'!$D205,lstCategorias,0))),'05_PRODUCTOS'!$D205,"")</f>
        <v/>
      </c>
      <c r="D205" s="84" t="str">
        <f>IF($C205="","",'05_PRODUCTOS'!$L205)</f>
        <v/>
      </c>
      <c r="E205" s="84" t="str">
        <f t="shared" si="15"/>
        <v/>
      </c>
      <c r="G205" s="85">
        <v>198</v>
      </c>
      <c r="H205" s="84" t="str">
        <f t="shared" si="16"/>
        <v/>
      </c>
      <c r="I205" s="84" t="str">
        <f t="shared" si="17"/>
        <v/>
      </c>
      <c r="J205" s="84" t="str">
        <f t="shared" si="18"/>
        <v/>
      </c>
      <c r="O205" s="84" t="str">
        <f>IF('05_PRODUCTOS'!$L205="","",IF(AND(OR(kxCategoria="",'05_PRODUCTOS'!$D205=kxCategoria),OR(kxBuscar="",ISNUMBER(SEARCH(kxBuscar,'05_PRODUCTOS'!$L205)))),ROW()-7,""))</f>
        <v/>
      </c>
      <c r="P205" s="84" t="str">
        <f>IFERROR(INDEX('05_PRODUCTOS'!$L$8:$L$507,SMALL($O$8:$O$507,ROW()-7)),"")</f>
        <v/>
      </c>
    </row>
    <row r="206" spans="3:16" x14ac:dyDescent="0.25">
      <c r="C206" s="84" t="str">
        <f>IF(AND('05_PRODUCTOS'!$B206&lt;&gt;"",'05_PRODUCTOS'!$C206&lt;&gt;"",'05_PRODUCTOS'!$K206&lt;&gt;"NO",ISNUMBER(MATCH('05_PRODUCTOS'!$D206,lstCategorias,0))),'05_PRODUCTOS'!$D206,"")</f>
        <v/>
      </c>
      <c r="D206" s="84" t="str">
        <f>IF($C206="","",'05_PRODUCTOS'!$L206)</f>
        <v/>
      </c>
      <c r="E206" s="84" t="str">
        <f t="shared" si="15"/>
        <v/>
      </c>
      <c r="G206" s="85">
        <v>199</v>
      </c>
      <c r="H206" s="84" t="str">
        <f t="shared" si="16"/>
        <v/>
      </c>
      <c r="I206" s="84" t="str">
        <f t="shared" si="17"/>
        <v/>
      </c>
      <c r="J206" s="84" t="str">
        <f t="shared" si="18"/>
        <v/>
      </c>
      <c r="O206" s="84" t="str">
        <f>IF('05_PRODUCTOS'!$L206="","",IF(AND(OR(kxCategoria="",'05_PRODUCTOS'!$D206=kxCategoria),OR(kxBuscar="",ISNUMBER(SEARCH(kxBuscar,'05_PRODUCTOS'!$L206)))),ROW()-7,""))</f>
        <v/>
      </c>
      <c r="P206" s="84" t="str">
        <f>IFERROR(INDEX('05_PRODUCTOS'!$L$8:$L$507,SMALL($O$8:$O$507,ROW()-7)),"")</f>
        <v/>
      </c>
    </row>
    <row r="207" spans="3:16" x14ac:dyDescent="0.25">
      <c r="C207" s="84" t="str">
        <f>IF(AND('05_PRODUCTOS'!$B207&lt;&gt;"",'05_PRODUCTOS'!$C207&lt;&gt;"",'05_PRODUCTOS'!$K207&lt;&gt;"NO",ISNUMBER(MATCH('05_PRODUCTOS'!$D207,lstCategorias,0))),'05_PRODUCTOS'!$D207,"")</f>
        <v/>
      </c>
      <c r="D207" s="84" t="str">
        <f>IF($C207="","",'05_PRODUCTOS'!$L207)</f>
        <v/>
      </c>
      <c r="E207" s="84" t="str">
        <f t="shared" si="15"/>
        <v/>
      </c>
      <c r="G207" s="85">
        <v>200</v>
      </c>
      <c r="H207" s="84" t="str">
        <f t="shared" si="16"/>
        <v/>
      </c>
      <c r="I207" s="84" t="str">
        <f t="shared" si="17"/>
        <v/>
      </c>
      <c r="J207" s="84" t="str">
        <f t="shared" si="18"/>
        <v/>
      </c>
      <c r="O207" s="84" t="str">
        <f>IF('05_PRODUCTOS'!$L207="","",IF(AND(OR(kxCategoria="",'05_PRODUCTOS'!$D207=kxCategoria),OR(kxBuscar="",ISNUMBER(SEARCH(kxBuscar,'05_PRODUCTOS'!$L207)))),ROW()-7,""))</f>
        <v/>
      </c>
      <c r="P207" s="84" t="str">
        <f>IFERROR(INDEX('05_PRODUCTOS'!$L$8:$L$507,SMALL($O$8:$O$507,ROW()-7)),"")</f>
        <v/>
      </c>
    </row>
    <row r="208" spans="3:16" x14ac:dyDescent="0.25">
      <c r="C208" s="84" t="str">
        <f>IF(AND('05_PRODUCTOS'!$B208&lt;&gt;"",'05_PRODUCTOS'!$C208&lt;&gt;"",'05_PRODUCTOS'!$K208&lt;&gt;"NO",ISNUMBER(MATCH('05_PRODUCTOS'!$D208,lstCategorias,0))),'05_PRODUCTOS'!$D208,"")</f>
        <v/>
      </c>
      <c r="D208" s="84" t="str">
        <f>IF($C208="","",'05_PRODUCTOS'!$L208)</f>
        <v/>
      </c>
      <c r="E208" s="84" t="str">
        <f t="shared" si="15"/>
        <v/>
      </c>
      <c r="G208" s="85">
        <v>201</v>
      </c>
      <c r="H208" s="84" t="str">
        <f t="shared" si="16"/>
        <v/>
      </c>
      <c r="I208" s="84" t="str">
        <f t="shared" si="17"/>
        <v/>
      </c>
      <c r="J208" s="84" t="str">
        <f t="shared" si="18"/>
        <v/>
      </c>
      <c r="O208" s="84" t="str">
        <f>IF('05_PRODUCTOS'!$L208="","",IF(AND(OR(kxCategoria="",'05_PRODUCTOS'!$D208=kxCategoria),OR(kxBuscar="",ISNUMBER(SEARCH(kxBuscar,'05_PRODUCTOS'!$L208)))),ROW()-7,""))</f>
        <v/>
      </c>
      <c r="P208" s="84" t="str">
        <f>IFERROR(INDEX('05_PRODUCTOS'!$L$8:$L$507,SMALL($O$8:$O$507,ROW()-7)),"")</f>
        <v/>
      </c>
    </row>
    <row r="209" spans="3:16" x14ac:dyDescent="0.25">
      <c r="C209" s="84" t="str">
        <f>IF(AND('05_PRODUCTOS'!$B209&lt;&gt;"",'05_PRODUCTOS'!$C209&lt;&gt;"",'05_PRODUCTOS'!$K209&lt;&gt;"NO",ISNUMBER(MATCH('05_PRODUCTOS'!$D209,lstCategorias,0))),'05_PRODUCTOS'!$D209,"")</f>
        <v/>
      </c>
      <c r="D209" s="84" t="str">
        <f>IF($C209="","",'05_PRODUCTOS'!$L209)</f>
        <v/>
      </c>
      <c r="E209" s="84" t="str">
        <f t="shared" si="15"/>
        <v/>
      </c>
      <c r="G209" s="85">
        <v>202</v>
      </c>
      <c r="H209" s="84" t="str">
        <f t="shared" si="16"/>
        <v/>
      </c>
      <c r="I209" s="84" t="str">
        <f t="shared" si="17"/>
        <v/>
      </c>
      <c r="J209" s="84" t="str">
        <f t="shared" si="18"/>
        <v/>
      </c>
      <c r="O209" s="84" t="str">
        <f>IF('05_PRODUCTOS'!$L209="","",IF(AND(OR(kxCategoria="",'05_PRODUCTOS'!$D209=kxCategoria),OR(kxBuscar="",ISNUMBER(SEARCH(kxBuscar,'05_PRODUCTOS'!$L209)))),ROW()-7,""))</f>
        <v/>
      </c>
      <c r="P209" s="84" t="str">
        <f>IFERROR(INDEX('05_PRODUCTOS'!$L$8:$L$507,SMALL($O$8:$O$507,ROW()-7)),"")</f>
        <v/>
      </c>
    </row>
    <row r="210" spans="3:16" x14ac:dyDescent="0.25">
      <c r="C210" s="84" t="str">
        <f>IF(AND('05_PRODUCTOS'!$B210&lt;&gt;"",'05_PRODUCTOS'!$C210&lt;&gt;"",'05_PRODUCTOS'!$K210&lt;&gt;"NO",ISNUMBER(MATCH('05_PRODUCTOS'!$D210,lstCategorias,0))),'05_PRODUCTOS'!$D210,"")</f>
        <v/>
      </c>
      <c r="D210" s="84" t="str">
        <f>IF($C210="","",'05_PRODUCTOS'!$L210)</f>
        <v/>
      </c>
      <c r="E210" s="84" t="str">
        <f t="shared" si="15"/>
        <v/>
      </c>
      <c r="G210" s="85">
        <v>203</v>
      </c>
      <c r="H210" s="84" t="str">
        <f t="shared" si="16"/>
        <v/>
      </c>
      <c r="I210" s="84" t="str">
        <f t="shared" si="17"/>
        <v/>
      </c>
      <c r="J210" s="84" t="str">
        <f t="shared" si="18"/>
        <v/>
      </c>
      <c r="O210" s="84" t="str">
        <f>IF('05_PRODUCTOS'!$L210="","",IF(AND(OR(kxCategoria="",'05_PRODUCTOS'!$D210=kxCategoria),OR(kxBuscar="",ISNUMBER(SEARCH(kxBuscar,'05_PRODUCTOS'!$L210)))),ROW()-7,""))</f>
        <v/>
      </c>
      <c r="P210" s="84" t="str">
        <f>IFERROR(INDEX('05_PRODUCTOS'!$L$8:$L$507,SMALL($O$8:$O$507,ROW()-7)),"")</f>
        <v/>
      </c>
    </row>
    <row r="211" spans="3:16" x14ac:dyDescent="0.25">
      <c r="C211" s="84" t="str">
        <f>IF(AND('05_PRODUCTOS'!$B211&lt;&gt;"",'05_PRODUCTOS'!$C211&lt;&gt;"",'05_PRODUCTOS'!$K211&lt;&gt;"NO",ISNUMBER(MATCH('05_PRODUCTOS'!$D211,lstCategorias,0))),'05_PRODUCTOS'!$D211,"")</f>
        <v/>
      </c>
      <c r="D211" s="84" t="str">
        <f>IF($C211="","",'05_PRODUCTOS'!$L211)</f>
        <v/>
      </c>
      <c r="E211" s="84" t="str">
        <f t="shared" si="15"/>
        <v/>
      </c>
      <c r="G211" s="85">
        <v>204</v>
      </c>
      <c r="H211" s="84" t="str">
        <f t="shared" si="16"/>
        <v/>
      </c>
      <c r="I211" s="84" t="str">
        <f t="shared" si="17"/>
        <v/>
      </c>
      <c r="J211" s="84" t="str">
        <f t="shared" si="18"/>
        <v/>
      </c>
      <c r="O211" s="84" t="str">
        <f>IF('05_PRODUCTOS'!$L211="","",IF(AND(OR(kxCategoria="",'05_PRODUCTOS'!$D211=kxCategoria),OR(kxBuscar="",ISNUMBER(SEARCH(kxBuscar,'05_PRODUCTOS'!$L211)))),ROW()-7,""))</f>
        <v/>
      </c>
      <c r="P211" s="84" t="str">
        <f>IFERROR(INDEX('05_PRODUCTOS'!$L$8:$L$507,SMALL($O$8:$O$507,ROW()-7)),"")</f>
        <v/>
      </c>
    </row>
    <row r="212" spans="3:16" x14ac:dyDescent="0.25">
      <c r="C212" s="84" t="str">
        <f>IF(AND('05_PRODUCTOS'!$B212&lt;&gt;"",'05_PRODUCTOS'!$C212&lt;&gt;"",'05_PRODUCTOS'!$K212&lt;&gt;"NO",ISNUMBER(MATCH('05_PRODUCTOS'!$D212,lstCategorias,0))),'05_PRODUCTOS'!$D212,"")</f>
        <v/>
      </c>
      <c r="D212" s="84" t="str">
        <f>IF($C212="","",'05_PRODUCTOS'!$L212)</f>
        <v/>
      </c>
      <c r="E212" s="84" t="str">
        <f t="shared" si="15"/>
        <v/>
      </c>
      <c r="G212" s="85">
        <v>205</v>
      </c>
      <c r="H212" s="84" t="str">
        <f t="shared" si="16"/>
        <v/>
      </c>
      <c r="I212" s="84" t="str">
        <f t="shared" si="17"/>
        <v/>
      </c>
      <c r="J212" s="84" t="str">
        <f t="shared" si="18"/>
        <v/>
      </c>
      <c r="O212" s="84" t="str">
        <f>IF('05_PRODUCTOS'!$L212="","",IF(AND(OR(kxCategoria="",'05_PRODUCTOS'!$D212=kxCategoria),OR(kxBuscar="",ISNUMBER(SEARCH(kxBuscar,'05_PRODUCTOS'!$L212)))),ROW()-7,""))</f>
        <v/>
      </c>
      <c r="P212" s="84" t="str">
        <f>IFERROR(INDEX('05_PRODUCTOS'!$L$8:$L$507,SMALL($O$8:$O$507,ROW()-7)),"")</f>
        <v/>
      </c>
    </row>
    <row r="213" spans="3:16" x14ac:dyDescent="0.25">
      <c r="C213" s="84" t="str">
        <f>IF(AND('05_PRODUCTOS'!$B213&lt;&gt;"",'05_PRODUCTOS'!$C213&lt;&gt;"",'05_PRODUCTOS'!$K213&lt;&gt;"NO",ISNUMBER(MATCH('05_PRODUCTOS'!$D213,lstCategorias,0))),'05_PRODUCTOS'!$D213,"")</f>
        <v/>
      </c>
      <c r="D213" s="84" t="str">
        <f>IF($C213="","",'05_PRODUCTOS'!$L213)</f>
        <v/>
      </c>
      <c r="E213" s="84" t="str">
        <f t="shared" si="15"/>
        <v/>
      </c>
      <c r="G213" s="85">
        <v>206</v>
      </c>
      <c r="H213" s="84" t="str">
        <f t="shared" si="16"/>
        <v/>
      </c>
      <c r="I213" s="84" t="str">
        <f t="shared" si="17"/>
        <v/>
      </c>
      <c r="J213" s="84" t="str">
        <f t="shared" si="18"/>
        <v/>
      </c>
      <c r="O213" s="84" t="str">
        <f>IF('05_PRODUCTOS'!$L213="","",IF(AND(OR(kxCategoria="",'05_PRODUCTOS'!$D213=kxCategoria),OR(kxBuscar="",ISNUMBER(SEARCH(kxBuscar,'05_PRODUCTOS'!$L213)))),ROW()-7,""))</f>
        <v/>
      </c>
      <c r="P213" s="84" t="str">
        <f>IFERROR(INDEX('05_PRODUCTOS'!$L$8:$L$507,SMALL($O$8:$O$507,ROW()-7)),"")</f>
        <v/>
      </c>
    </row>
    <row r="214" spans="3:16" x14ac:dyDescent="0.25">
      <c r="C214" s="84" t="str">
        <f>IF(AND('05_PRODUCTOS'!$B214&lt;&gt;"",'05_PRODUCTOS'!$C214&lt;&gt;"",'05_PRODUCTOS'!$K214&lt;&gt;"NO",ISNUMBER(MATCH('05_PRODUCTOS'!$D214,lstCategorias,0))),'05_PRODUCTOS'!$D214,"")</f>
        <v/>
      </c>
      <c r="D214" s="84" t="str">
        <f>IF($C214="","",'05_PRODUCTOS'!$L214)</f>
        <v/>
      </c>
      <c r="E214" s="84" t="str">
        <f t="shared" si="15"/>
        <v/>
      </c>
      <c r="G214" s="85">
        <v>207</v>
      </c>
      <c r="H214" s="84" t="str">
        <f t="shared" si="16"/>
        <v/>
      </c>
      <c r="I214" s="84" t="str">
        <f t="shared" si="17"/>
        <v/>
      </c>
      <c r="J214" s="84" t="str">
        <f t="shared" si="18"/>
        <v/>
      </c>
      <c r="O214" s="84" t="str">
        <f>IF('05_PRODUCTOS'!$L214="","",IF(AND(OR(kxCategoria="",'05_PRODUCTOS'!$D214=kxCategoria),OR(kxBuscar="",ISNUMBER(SEARCH(kxBuscar,'05_PRODUCTOS'!$L214)))),ROW()-7,""))</f>
        <v/>
      </c>
      <c r="P214" s="84" t="str">
        <f>IFERROR(INDEX('05_PRODUCTOS'!$L$8:$L$507,SMALL($O$8:$O$507,ROW()-7)),"")</f>
        <v/>
      </c>
    </row>
    <row r="215" spans="3:16" x14ac:dyDescent="0.25">
      <c r="C215" s="84" t="str">
        <f>IF(AND('05_PRODUCTOS'!$B215&lt;&gt;"",'05_PRODUCTOS'!$C215&lt;&gt;"",'05_PRODUCTOS'!$K215&lt;&gt;"NO",ISNUMBER(MATCH('05_PRODUCTOS'!$D215,lstCategorias,0))),'05_PRODUCTOS'!$D215,"")</f>
        <v/>
      </c>
      <c r="D215" s="84" t="str">
        <f>IF($C215="","",'05_PRODUCTOS'!$L215)</f>
        <v/>
      </c>
      <c r="E215" s="84" t="str">
        <f t="shared" si="15"/>
        <v/>
      </c>
      <c r="G215" s="85">
        <v>208</v>
      </c>
      <c r="H215" s="84" t="str">
        <f t="shared" si="16"/>
        <v/>
      </c>
      <c r="I215" s="84" t="str">
        <f t="shared" si="17"/>
        <v/>
      </c>
      <c r="J215" s="84" t="str">
        <f t="shared" si="18"/>
        <v/>
      </c>
      <c r="O215" s="84" t="str">
        <f>IF('05_PRODUCTOS'!$L215="","",IF(AND(OR(kxCategoria="",'05_PRODUCTOS'!$D215=kxCategoria),OR(kxBuscar="",ISNUMBER(SEARCH(kxBuscar,'05_PRODUCTOS'!$L215)))),ROW()-7,""))</f>
        <v/>
      </c>
      <c r="P215" s="84" t="str">
        <f>IFERROR(INDEX('05_PRODUCTOS'!$L$8:$L$507,SMALL($O$8:$O$507,ROW()-7)),"")</f>
        <v/>
      </c>
    </row>
    <row r="216" spans="3:16" x14ac:dyDescent="0.25">
      <c r="C216" s="84" t="str">
        <f>IF(AND('05_PRODUCTOS'!$B216&lt;&gt;"",'05_PRODUCTOS'!$C216&lt;&gt;"",'05_PRODUCTOS'!$K216&lt;&gt;"NO",ISNUMBER(MATCH('05_PRODUCTOS'!$D216,lstCategorias,0))),'05_PRODUCTOS'!$D216,"")</f>
        <v/>
      </c>
      <c r="D216" s="84" t="str">
        <f>IF($C216="","",'05_PRODUCTOS'!$L216)</f>
        <v/>
      </c>
      <c r="E216" s="84" t="str">
        <f t="shared" si="15"/>
        <v/>
      </c>
      <c r="G216" s="85">
        <v>209</v>
      </c>
      <c r="H216" s="84" t="str">
        <f t="shared" si="16"/>
        <v/>
      </c>
      <c r="I216" s="84" t="str">
        <f t="shared" si="17"/>
        <v/>
      </c>
      <c r="J216" s="84" t="str">
        <f t="shared" si="18"/>
        <v/>
      </c>
      <c r="O216" s="84" t="str">
        <f>IF('05_PRODUCTOS'!$L216="","",IF(AND(OR(kxCategoria="",'05_PRODUCTOS'!$D216=kxCategoria),OR(kxBuscar="",ISNUMBER(SEARCH(kxBuscar,'05_PRODUCTOS'!$L216)))),ROW()-7,""))</f>
        <v/>
      </c>
      <c r="P216" s="84" t="str">
        <f>IFERROR(INDEX('05_PRODUCTOS'!$L$8:$L$507,SMALL($O$8:$O$507,ROW()-7)),"")</f>
        <v/>
      </c>
    </row>
    <row r="217" spans="3:16" x14ac:dyDescent="0.25">
      <c r="C217" s="84" t="str">
        <f>IF(AND('05_PRODUCTOS'!$B217&lt;&gt;"",'05_PRODUCTOS'!$C217&lt;&gt;"",'05_PRODUCTOS'!$K217&lt;&gt;"NO",ISNUMBER(MATCH('05_PRODUCTOS'!$D217,lstCategorias,0))),'05_PRODUCTOS'!$D217,"")</f>
        <v/>
      </c>
      <c r="D217" s="84" t="str">
        <f>IF($C217="","",'05_PRODUCTOS'!$L217)</f>
        <v/>
      </c>
      <c r="E217" s="84" t="str">
        <f t="shared" si="15"/>
        <v/>
      </c>
      <c r="G217" s="85">
        <v>210</v>
      </c>
      <c r="H217" s="84" t="str">
        <f t="shared" si="16"/>
        <v/>
      </c>
      <c r="I217" s="84" t="str">
        <f t="shared" si="17"/>
        <v/>
      </c>
      <c r="J217" s="84" t="str">
        <f t="shared" si="18"/>
        <v/>
      </c>
      <c r="O217" s="84" t="str">
        <f>IF('05_PRODUCTOS'!$L217="","",IF(AND(OR(kxCategoria="",'05_PRODUCTOS'!$D217=kxCategoria),OR(kxBuscar="",ISNUMBER(SEARCH(kxBuscar,'05_PRODUCTOS'!$L217)))),ROW()-7,""))</f>
        <v/>
      </c>
      <c r="P217" s="84" t="str">
        <f>IFERROR(INDEX('05_PRODUCTOS'!$L$8:$L$507,SMALL($O$8:$O$507,ROW()-7)),"")</f>
        <v/>
      </c>
    </row>
    <row r="218" spans="3:16" x14ac:dyDescent="0.25">
      <c r="C218" s="84" t="str">
        <f>IF(AND('05_PRODUCTOS'!$B218&lt;&gt;"",'05_PRODUCTOS'!$C218&lt;&gt;"",'05_PRODUCTOS'!$K218&lt;&gt;"NO",ISNUMBER(MATCH('05_PRODUCTOS'!$D218,lstCategorias,0))),'05_PRODUCTOS'!$D218,"")</f>
        <v/>
      </c>
      <c r="D218" s="84" t="str">
        <f>IF($C218="","",'05_PRODUCTOS'!$L218)</f>
        <v/>
      </c>
      <c r="E218" s="84" t="str">
        <f t="shared" si="15"/>
        <v/>
      </c>
      <c r="G218" s="85">
        <v>211</v>
      </c>
      <c r="H218" s="84" t="str">
        <f t="shared" si="16"/>
        <v/>
      </c>
      <c r="I218" s="84" t="str">
        <f t="shared" si="17"/>
        <v/>
      </c>
      <c r="J218" s="84" t="str">
        <f t="shared" si="18"/>
        <v/>
      </c>
      <c r="O218" s="84" t="str">
        <f>IF('05_PRODUCTOS'!$L218="","",IF(AND(OR(kxCategoria="",'05_PRODUCTOS'!$D218=kxCategoria),OR(kxBuscar="",ISNUMBER(SEARCH(kxBuscar,'05_PRODUCTOS'!$L218)))),ROW()-7,""))</f>
        <v/>
      </c>
      <c r="P218" s="84" t="str">
        <f>IFERROR(INDEX('05_PRODUCTOS'!$L$8:$L$507,SMALL($O$8:$O$507,ROW()-7)),"")</f>
        <v/>
      </c>
    </row>
    <row r="219" spans="3:16" x14ac:dyDescent="0.25">
      <c r="C219" s="84" t="str">
        <f>IF(AND('05_PRODUCTOS'!$B219&lt;&gt;"",'05_PRODUCTOS'!$C219&lt;&gt;"",'05_PRODUCTOS'!$K219&lt;&gt;"NO",ISNUMBER(MATCH('05_PRODUCTOS'!$D219,lstCategorias,0))),'05_PRODUCTOS'!$D219,"")</f>
        <v/>
      </c>
      <c r="D219" s="84" t="str">
        <f>IF($C219="","",'05_PRODUCTOS'!$L219)</f>
        <v/>
      </c>
      <c r="E219" s="84" t="str">
        <f t="shared" si="15"/>
        <v/>
      </c>
      <c r="G219" s="85">
        <v>212</v>
      </c>
      <c r="H219" s="84" t="str">
        <f t="shared" si="16"/>
        <v/>
      </c>
      <c r="I219" s="84" t="str">
        <f t="shared" si="17"/>
        <v/>
      </c>
      <c r="J219" s="84" t="str">
        <f t="shared" si="18"/>
        <v/>
      </c>
      <c r="O219" s="84" t="str">
        <f>IF('05_PRODUCTOS'!$L219="","",IF(AND(OR(kxCategoria="",'05_PRODUCTOS'!$D219=kxCategoria),OR(kxBuscar="",ISNUMBER(SEARCH(kxBuscar,'05_PRODUCTOS'!$L219)))),ROW()-7,""))</f>
        <v/>
      </c>
      <c r="P219" s="84" t="str">
        <f>IFERROR(INDEX('05_PRODUCTOS'!$L$8:$L$507,SMALL($O$8:$O$507,ROW()-7)),"")</f>
        <v/>
      </c>
    </row>
    <row r="220" spans="3:16" x14ac:dyDescent="0.25">
      <c r="C220" s="84" t="str">
        <f>IF(AND('05_PRODUCTOS'!$B220&lt;&gt;"",'05_PRODUCTOS'!$C220&lt;&gt;"",'05_PRODUCTOS'!$K220&lt;&gt;"NO",ISNUMBER(MATCH('05_PRODUCTOS'!$D220,lstCategorias,0))),'05_PRODUCTOS'!$D220,"")</f>
        <v/>
      </c>
      <c r="D220" s="84" t="str">
        <f>IF($C220="","",'05_PRODUCTOS'!$L220)</f>
        <v/>
      </c>
      <c r="E220" s="84" t="str">
        <f t="shared" si="15"/>
        <v/>
      </c>
      <c r="G220" s="85">
        <v>213</v>
      </c>
      <c r="H220" s="84" t="str">
        <f t="shared" si="16"/>
        <v/>
      </c>
      <c r="I220" s="84" t="str">
        <f t="shared" si="17"/>
        <v/>
      </c>
      <c r="J220" s="84" t="str">
        <f t="shared" si="18"/>
        <v/>
      </c>
      <c r="O220" s="84" t="str">
        <f>IF('05_PRODUCTOS'!$L220="","",IF(AND(OR(kxCategoria="",'05_PRODUCTOS'!$D220=kxCategoria),OR(kxBuscar="",ISNUMBER(SEARCH(kxBuscar,'05_PRODUCTOS'!$L220)))),ROW()-7,""))</f>
        <v/>
      </c>
      <c r="P220" s="84" t="str">
        <f>IFERROR(INDEX('05_PRODUCTOS'!$L$8:$L$507,SMALL($O$8:$O$507,ROW()-7)),"")</f>
        <v/>
      </c>
    </row>
    <row r="221" spans="3:16" x14ac:dyDescent="0.25">
      <c r="C221" s="84" t="str">
        <f>IF(AND('05_PRODUCTOS'!$B221&lt;&gt;"",'05_PRODUCTOS'!$C221&lt;&gt;"",'05_PRODUCTOS'!$K221&lt;&gt;"NO",ISNUMBER(MATCH('05_PRODUCTOS'!$D221,lstCategorias,0))),'05_PRODUCTOS'!$D221,"")</f>
        <v/>
      </c>
      <c r="D221" s="84" t="str">
        <f>IF($C221="","",'05_PRODUCTOS'!$L221)</f>
        <v/>
      </c>
      <c r="E221" s="84" t="str">
        <f t="shared" si="15"/>
        <v/>
      </c>
      <c r="G221" s="85">
        <v>214</v>
      </c>
      <c r="H221" s="84" t="str">
        <f t="shared" si="16"/>
        <v/>
      </c>
      <c r="I221" s="84" t="str">
        <f t="shared" si="17"/>
        <v/>
      </c>
      <c r="J221" s="84" t="str">
        <f t="shared" si="18"/>
        <v/>
      </c>
      <c r="O221" s="84" t="str">
        <f>IF('05_PRODUCTOS'!$L221="","",IF(AND(OR(kxCategoria="",'05_PRODUCTOS'!$D221=kxCategoria),OR(kxBuscar="",ISNUMBER(SEARCH(kxBuscar,'05_PRODUCTOS'!$L221)))),ROW()-7,""))</f>
        <v/>
      </c>
      <c r="P221" s="84" t="str">
        <f>IFERROR(INDEX('05_PRODUCTOS'!$L$8:$L$507,SMALL($O$8:$O$507,ROW()-7)),"")</f>
        <v/>
      </c>
    </row>
    <row r="222" spans="3:16" x14ac:dyDescent="0.25">
      <c r="C222" s="84" t="str">
        <f>IF(AND('05_PRODUCTOS'!$B222&lt;&gt;"",'05_PRODUCTOS'!$C222&lt;&gt;"",'05_PRODUCTOS'!$K222&lt;&gt;"NO",ISNUMBER(MATCH('05_PRODUCTOS'!$D222,lstCategorias,0))),'05_PRODUCTOS'!$D222,"")</f>
        <v/>
      </c>
      <c r="D222" s="84" t="str">
        <f>IF($C222="","",'05_PRODUCTOS'!$L222)</f>
        <v/>
      </c>
      <c r="E222" s="84" t="str">
        <f t="shared" si="15"/>
        <v/>
      </c>
      <c r="G222" s="85">
        <v>215</v>
      </c>
      <c r="H222" s="84" t="str">
        <f t="shared" si="16"/>
        <v/>
      </c>
      <c r="I222" s="84" t="str">
        <f t="shared" si="17"/>
        <v/>
      </c>
      <c r="J222" s="84" t="str">
        <f t="shared" si="18"/>
        <v/>
      </c>
      <c r="O222" s="84" t="str">
        <f>IF('05_PRODUCTOS'!$L222="","",IF(AND(OR(kxCategoria="",'05_PRODUCTOS'!$D222=kxCategoria),OR(kxBuscar="",ISNUMBER(SEARCH(kxBuscar,'05_PRODUCTOS'!$L222)))),ROW()-7,""))</f>
        <v/>
      </c>
      <c r="P222" s="84" t="str">
        <f>IFERROR(INDEX('05_PRODUCTOS'!$L$8:$L$507,SMALL($O$8:$O$507,ROW()-7)),"")</f>
        <v/>
      </c>
    </row>
    <row r="223" spans="3:16" x14ac:dyDescent="0.25">
      <c r="C223" s="84" t="str">
        <f>IF(AND('05_PRODUCTOS'!$B223&lt;&gt;"",'05_PRODUCTOS'!$C223&lt;&gt;"",'05_PRODUCTOS'!$K223&lt;&gt;"NO",ISNUMBER(MATCH('05_PRODUCTOS'!$D223,lstCategorias,0))),'05_PRODUCTOS'!$D223,"")</f>
        <v/>
      </c>
      <c r="D223" s="84" t="str">
        <f>IF($C223="","",'05_PRODUCTOS'!$L223)</f>
        <v/>
      </c>
      <c r="E223" s="84" t="str">
        <f t="shared" si="15"/>
        <v/>
      </c>
      <c r="G223" s="85">
        <v>216</v>
      </c>
      <c r="H223" s="84" t="str">
        <f t="shared" si="16"/>
        <v/>
      </c>
      <c r="I223" s="84" t="str">
        <f t="shared" si="17"/>
        <v/>
      </c>
      <c r="J223" s="84" t="str">
        <f t="shared" si="18"/>
        <v/>
      </c>
      <c r="O223" s="84" t="str">
        <f>IF('05_PRODUCTOS'!$L223="","",IF(AND(OR(kxCategoria="",'05_PRODUCTOS'!$D223=kxCategoria),OR(kxBuscar="",ISNUMBER(SEARCH(kxBuscar,'05_PRODUCTOS'!$L223)))),ROW()-7,""))</f>
        <v/>
      </c>
      <c r="P223" s="84" t="str">
        <f>IFERROR(INDEX('05_PRODUCTOS'!$L$8:$L$507,SMALL($O$8:$O$507,ROW()-7)),"")</f>
        <v/>
      </c>
    </row>
    <row r="224" spans="3:16" x14ac:dyDescent="0.25">
      <c r="C224" s="84" t="str">
        <f>IF(AND('05_PRODUCTOS'!$B224&lt;&gt;"",'05_PRODUCTOS'!$C224&lt;&gt;"",'05_PRODUCTOS'!$K224&lt;&gt;"NO",ISNUMBER(MATCH('05_PRODUCTOS'!$D224,lstCategorias,0))),'05_PRODUCTOS'!$D224,"")</f>
        <v/>
      </c>
      <c r="D224" s="84" t="str">
        <f>IF($C224="","",'05_PRODUCTOS'!$L224)</f>
        <v/>
      </c>
      <c r="E224" s="84" t="str">
        <f t="shared" si="15"/>
        <v/>
      </c>
      <c r="G224" s="85">
        <v>217</v>
      </c>
      <c r="H224" s="84" t="str">
        <f t="shared" si="16"/>
        <v/>
      </c>
      <c r="I224" s="84" t="str">
        <f t="shared" si="17"/>
        <v/>
      </c>
      <c r="J224" s="84" t="str">
        <f t="shared" si="18"/>
        <v/>
      </c>
      <c r="O224" s="84" t="str">
        <f>IF('05_PRODUCTOS'!$L224="","",IF(AND(OR(kxCategoria="",'05_PRODUCTOS'!$D224=kxCategoria),OR(kxBuscar="",ISNUMBER(SEARCH(kxBuscar,'05_PRODUCTOS'!$L224)))),ROW()-7,""))</f>
        <v/>
      </c>
      <c r="P224" s="84" t="str">
        <f>IFERROR(INDEX('05_PRODUCTOS'!$L$8:$L$507,SMALL($O$8:$O$507,ROW()-7)),"")</f>
        <v/>
      </c>
    </row>
    <row r="225" spans="3:16" x14ac:dyDescent="0.25">
      <c r="C225" s="84" t="str">
        <f>IF(AND('05_PRODUCTOS'!$B225&lt;&gt;"",'05_PRODUCTOS'!$C225&lt;&gt;"",'05_PRODUCTOS'!$K225&lt;&gt;"NO",ISNUMBER(MATCH('05_PRODUCTOS'!$D225,lstCategorias,0))),'05_PRODUCTOS'!$D225,"")</f>
        <v/>
      </c>
      <c r="D225" s="84" t="str">
        <f>IF($C225="","",'05_PRODUCTOS'!$L225)</f>
        <v/>
      </c>
      <c r="E225" s="84" t="str">
        <f t="shared" si="15"/>
        <v/>
      </c>
      <c r="G225" s="85">
        <v>218</v>
      </c>
      <c r="H225" s="84" t="str">
        <f t="shared" si="16"/>
        <v/>
      </c>
      <c r="I225" s="84" t="str">
        <f t="shared" si="17"/>
        <v/>
      </c>
      <c r="J225" s="84" t="str">
        <f t="shared" si="18"/>
        <v/>
      </c>
      <c r="O225" s="84" t="str">
        <f>IF('05_PRODUCTOS'!$L225="","",IF(AND(OR(kxCategoria="",'05_PRODUCTOS'!$D225=kxCategoria),OR(kxBuscar="",ISNUMBER(SEARCH(kxBuscar,'05_PRODUCTOS'!$L225)))),ROW()-7,""))</f>
        <v/>
      </c>
      <c r="P225" s="84" t="str">
        <f>IFERROR(INDEX('05_PRODUCTOS'!$L$8:$L$507,SMALL($O$8:$O$507,ROW()-7)),"")</f>
        <v/>
      </c>
    </row>
    <row r="226" spans="3:16" x14ac:dyDescent="0.25">
      <c r="C226" s="84" t="str">
        <f>IF(AND('05_PRODUCTOS'!$B226&lt;&gt;"",'05_PRODUCTOS'!$C226&lt;&gt;"",'05_PRODUCTOS'!$K226&lt;&gt;"NO",ISNUMBER(MATCH('05_PRODUCTOS'!$D226,lstCategorias,0))),'05_PRODUCTOS'!$D226,"")</f>
        <v/>
      </c>
      <c r="D226" s="84" t="str">
        <f>IF($C226="","",'05_PRODUCTOS'!$L226)</f>
        <v/>
      </c>
      <c r="E226" s="84" t="str">
        <f t="shared" si="15"/>
        <v/>
      </c>
      <c r="G226" s="85">
        <v>219</v>
      </c>
      <c r="H226" s="84" t="str">
        <f t="shared" si="16"/>
        <v/>
      </c>
      <c r="I226" s="84" t="str">
        <f t="shared" si="17"/>
        <v/>
      </c>
      <c r="J226" s="84" t="str">
        <f t="shared" si="18"/>
        <v/>
      </c>
      <c r="O226" s="84" t="str">
        <f>IF('05_PRODUCTOS'!$L226="","",IF(AND(OR(kxCategoria="",'05_PRODUCTOS'!$D226=kxCategoria),OR(kxBuscar="",ISNUMBER(SEARCH(kxBuscar,'05_PRODUCTOS'!$L226)))),ROW()-7,""))</f>
        <v/>
      </c>
      <c r="P226" s="84" t="str">
        <f>IFERROR(INDEX('05_PRODUCTOS'!$L$8:$L$507,SMALL($O$8:$O$507,ROW()-7)),"")</f>
        <v/>
      </c>
    </row>
    <row r="227" spans="3:16" x14ac:dyDescent="0.25">
      <c r="C227" s="84" t="str">
        <f>IF(AND('05_PRODUCTOS'!$B227&lt;&gt;"",'05_PRODUCTOS'!$C227&lt;&gt;"",'05_PRODUCTOS'!$K227&lt;&gt;"NO",ISNUMBER(MATCH('05_PRODUCTOS'!$D227,lstCategorias,0))),'05_PRODUCTOS'!$D227,"")</f>
        <v/>
      </c>
      <c r="D227" s="84" t="str">
        <f>IF($C227="","",'05_PRODUCTOS'!$L227)</f>
        <v/>
      </c>
      <c r="E227" s="84" t="str">
        <f t="shared" si="15"/>
        <v/>
      </c>
      <c r="G227" s="85">
        <v>220</v>
      </c>
      <c r="H227" s="84" t="str">
        <f t="shared" si="16"/>
        <v/>
      </c>
      <c r="I227" s="84" t="str">
        <f t="shared" si="17"/>
        <v/>
      </c>
      <c r="J227" s="84" t="str">
        <f t="shared" si="18"/>
        <v/>
      </c>
      <c r="O227" s="84" t="str">
        <f>IF('05_PRODUCTOS'!$L227="","",IF(AND(OR(kxCategoria="",'05_PRODUCTOS'!$D227=kxCategoria),OR(kxBuscar="",ISNUMBER(SEARCH(kxBuscar,'05_PRODUCTOS'!$L227)))),ROW()-7,""))</f>
        <v/>
      </c>
      <c r="P227" s="84" t="str">
        <f>IFERROR(INDEX('05_PRODUCTOS'!$L$8:$L$507,SMALL($O$8:$O$507,ROW()-7)),"")</f>
        <v/>
      </c>
    </row>
    <row r="228" spans="3:16" x14ac:dyDescent="0.25">
      <c r="C228" s="84" t="str">
        <f>IF(AND('05_PRODUCTOS'!$B228&lt;&gt;"",'05_PRODUCTOS'!$C228&lt;&gt;"",'05_PRODUCTOS'!$K228&lt;&gt;"NO",ISNUMBER(MATCH('05_PRODUCTOS'!$D228,lstCategorias,0))),'05_PRODUCTOS'!$D228,"")</f>
        <v/>
      </c>
      <c r="D228" s="84" t="str">
        <f>IF($C228="","",'05_PRODUCTOS'!$L228)</f>
        <v/>
      </c>
      <c r="E228" s="84" t="str">
        <f t="shared" si="15"/>
        <v/>
      </c>
      <c r="G228" s="85">
        <v>221</v>
      </c>
      <c r="H228" s="84" t="str">
        <f t="shared" si="16"/>
        <v/>
      </c>
      <c r="I228" s="84" t="str">
        <f t="shared" si="17"/>
        <v/>
      </c>
      <c r="J228" s="84" t="str">
        <f t="shared" si="18"/>
        <v/>
      </c>
      <c r="O228" s="84" t="str">
        <f>IF('05_PRODUCTOS'!$L228="","",IF(AND(OR(kxCategoria="",'05_PRODUCTOS'!$D228=kxCategoria),OR(kxBuscar="",ISNUMBER(SEARCH(kxBuscar,'05_PRODUCTOS'!$L228)))),ROW()-7,""))</f>
        <v/>
      </c>
      <c r="P228" s="84" t="str">
        <f>IFERROR(INDEX('05_PRODUCTOS'!$L$8:$L$507,SMALL($O$8:$O$507,ROW()-7)),"")</f>
        <v/>
      </c>
    </row>
    <row r="229" spans="3:16" x14ac:dyDescent="0.25">
      <c r="C229" s="84" t="str">
        <f>IF(AND('05_PRODUCTOS'!$B229&lt;&gt;"",'05_PRODUCTOS'!$C229&lt;&gt;"",'05_PRODUCTOS'!$K229&lt;&gt;"NO",ISNUMBER(MATCH('05_PRODUCTOS'!$D229,lstCategorias,0))),'05_PRODUCTOS'!$D229,"")</f>
        <v/>
      </c>
      <c r="D229" s="84" t="str">
        <f>IF($C229="","",'05_PRODUCTOS'!$L229)</f>
        <v/>
      </c>
      <c r="E229" s="84" t="str">
        <f t="shared" si="15"/>
        <v/>
      </c>
      <c r="G229" s="85">
        <v>222</v>
      </c>
      <c r="H229" s="84" t="str">
        <f t="shared" si="16"/>
        <v/>
      </c>
      <c r="I229" s="84" t="str">
        <f t="shared" si="17"/>
        <v/>
      </c>
      <c r="J229" s="84" t="str">
        <f t="shared" si="18"/>
        <v/>
      </c>
      <c r="O229" s="84" t="str">
        <f>IF('05_PRODUCTOS'!$L229="","",IF(AND(OR(kxCategoria="",'05_PRODUCTOS'!$D229=kxCategoria),OR(kxBuscar="",ISNUMBER(SEARCH(kxBuscar,'05_PRODUCTOS'!$L229)))),ROW()-7,""))</f>
        <v/>
      </c>
      <c r="P229" s="84" t="str">
        <f>IFERROR(INDEX('05_PRODUCTOS'!$L$8:$L$507,SMALL($O$8:$O$507,ROW()-7)),"")</f>
        <v/>
      </c>
    </row>
    <row r="230" spans="3:16" x14ac:dyDescent="0.25">
      <c r="C230" s="84" t="str">
        <f>IF(AND('05_PRODUCTOS'!$B230&lt;&gt;"",'05_PRODUCTOS'!$C230&lt;&gt;"",'05_PRODUCTOS'!$K230&lt;&gt;"NO",ISNUMBER(MATCH('05_PRODUCTOS'!$D230,lstCategorias,0))),'05_PRODUCTOS'!$D230,"")</f>
        <v/>
      </c>
      <c r="D230" s="84" t="str">
        <f>IF($C230="","",'05_PRODUCTOS'!$L230)</f>
        <v/>
      </c>
      <c r="E230" s="84" t="str">
        <f t="shared" si="15"/>
        <v/>
      </c>
      <c r="G230" s="85">
        <v>223</v>
      </c>
      <c r="H230" s="84" t="str">
        <f t="shared" si="16"/>
        <v/>
      </c>
      <c r="I230" s="84" t="str">
        <f t="shared" si="17"/>
        <v/>
      </c>
      <c r="J230" s="84" t="str">
        <f t="shared" si="18"/>
        <v/>
      </c>
      <c r="O230" s="84" t="str">
        <f>IF('05_PRODUCTOS'!$L230="","",IF(AND(OR(kxCategoria="",'05_PRODUCTOS'!$D230=kxCategoria),OR(kxBuscar="",ISNUMBER(SEARCH(kxBuscar,'05_PRODUCTOS'!$L230)))),ROW()-7,""))</f>
        <v/>
      </c>
      <c r="P230" s="84" t="str">
        <f>IFERROR(INDEX('05_PRODUCTOS'!$L$8:$L$507,SMALL($O$8:$O$507,ROW()-7)),"")</f>
        <v/>
      </c>
    </row>
    <row r="231" spans="3:16" x14ac:dyDescent="0.25">
      <c r="C231" s="84" t="str">
        <f>IF(AND('05_PRODUCTOS'!$B231&lt;&gt;"",'05_PRODUCTOS'!$C231&lt;&gt;"",'05_PRODUCTOS'!$K231&lt;&gt;"NO",ISNUMBER(MATCH('05_PRODUCTOS'!$D231,lstCategorias,0))),'05_PRODUCTOS'!$D231,"")</f>
        <v/>
      </c>
      <c r="D231" s="84" t="str">
        <f>IF($C231="","",'05_PRODUCTOS'!$L231)</f>
        <v/>
      </c>
      <c r="E231" s="84" t="str">
        <f t="shared" si="15"/>
        <v/>
      </c>
      <c r="G231" s="85">
        <v>224</v>
      </c>
      <c r="H231" s="84" t="str">
        <f t="shared" si="16"/>
        <v/>
      </c>
      <c r="I231" s="84" t="str">
        <f t="shared" si="17"/>
        <v/>
      </c>
      <c r="J231" s="84" t="str">
        <f t="shared" si="18"/>
        <v/>
      </c>
      <c r="O231" s="84" t="str">
        <f>IF('05_PRODUCTOS'!$L231="","",IF(AND(OR(kxCategoria="",'05_PRODUCTOS'!$D231=kxCategoria),OR(kxBuscar="",ISNUMBER(SEARCH(kxBuscar,'05_PRODUCTOS'!$L231)))),ROW()-7,""))</f>
        <v/>
      </c>
      <c r="P231" s="84" t="str">
        <f>IFERROR(INDEX('05_PRODUCTOS'!$L$8:$L$507,SMALL($O$8:$O$507,ROW()-7)),"")</f>
        <v/>
      </c>
    </row>
    <row r="232" spans="3:16" x14ac:dyDescent="0.25">
      <c r="C232" s="84" t="str">
        <f>IF(AND('05_PRODUCTOS'!$B232&lt;&gt;"",'05_PRODUCTOS'!$C232&lt;&gt;"",'05_PRODUCTOS'!$K232&lt;&gt;"NO",ISNUMBER(MATCH('05_PRODUCTOS'!$D232,lstCategorias,0))),'05_PRODUCTOS'!$D232,"")</f>
        <v/>
      </c>
      <c r="D232" s="84" t="str">
        <f>IF($C232="","",'05_PRODUCTOS'!$L232)</f>
        <v/>
      </c>
      <c r="E232" s="84" t="str">
        <f t="shared" si="15"/>
        <v/>
      </c>
      <c r="G232" s="85">
        <v>225</v>
      </c>
      <c r="H232" s="84" t="str">
        <f t="shared" si="16"/>
        <v/>
      </c>
      <c r="I232" s="84" t="str">
        <f t="shared" si="17"/>
        <v/>
      </c>
      <c r="J232" s="84" t="str">
        <f t="shared" si="18"/>
        <v/>
      </c>
      <c r="O232" s="84" t="str">
        <f>IF('05_PRODUCTOS'!$L232="","",IF(AND(OR(kxCategoria="",'05_PRODUCTOS'!$D232=kxCategoria),OR(kxBuscar="",ISNUMBER(SEARCH(kxBuscar,'05_PRODUCTOS'!$L232)))),ROW()-7,""))</f>
        <v/>
      </c>
      <c r="P232" s="84" t="str">
        <f>IFERROR(INDEX('05_PRODUCTOS'!$L$8:$L$507,SMALL($O$8:$O$507,ROW()-7)),"")</f>
        <v/>
      </c>
    </row>
    <row r="233" spans="3:16" x14ac:dyDescent="0.25">
      <c r="C233" s="84" t="str">
        <f>IF(AND('05_PRODUCTOS'!$B233&lt;&gt;"",'05_PRODUCTOS'!$C233&lt;&gt;"",'05_PRODUCTOS'!$K233&lt;&gt;"NO",ISNUMBER(MATCH('05_PRODUCTOS'!$D233,lstCategorias,0))),'05_PRODUCTOS'!$D233,"")</f>
        <v/>
      </c>
      <c r="D233" s="84" t="str">
        <f>IF($C233="","",'05_PRODUCTOS'!$L233)</f>
        <v/>
      </c>
      <c r="E233" s="84" t="str">
        <f t="shared" si="15"/>
        <v/>
      </c>
      <c r="G233" s="85">
        <v>226</v>
      </c>
      <c r="H233" s="84" t="str">
        <f t="shared" si="16"/>
        <v/>
      </c>
      <c r="I233" s="84" t="str">
        <f t="shared" si="17"/>
        <v/>
      </c>
      <c r="J233" s="84" t="str">
        <f t="shared" si="18"/>
        <v/>
      </c>
      <c r="O233" s="84" t="str">
        <f>IF('05_PRODUCTOS'!$L233="","",IF(AND(OR(kxCategoria="",'05_PRODUCTOS'!$D233=kxCategoria),OR(kxBuscar="",ISNUMBER(SEARCH(kxBuscar,'05_PRODUCTOS'!$L233)))),ROW()-7,""))</f>
        <v/>
      </c>
      <c r="P233" s="84" t="str">
        <f>IFERROR(INDEX('05_PRODUCTOS'!$L$8:$L$507,SMALL($O$8:$O$507,ROW()-7)),"")</f>
        <v/>
      </c>
    </row>
    <row r="234" spans="3:16" x14ac:dyDescent="0.25">
      <c r="C234" s="84" t="str">
        <f>IF(AND('05_PRODUCTOS'!$B234&lt;&gt;"",'05_PRODUCTOS'!$C234&lt;&gt;"",'05_PRODUCTOS'!$K234&lt;&gt;"NO",ISNUMBER(MATCH('05_PRODUCTOS'!$D234,lstCategorias,0))),'05_PRODUCTOS'!$D234,"")</f>
        <v/>
      </c>
      <c r="D234" s="84" t="str">
        <f>IF($C234="","",'05_PRODUCTOS'!$L234)</f>
        <v/>
      </c>
      <c r="E234" s="84" t="str">
        <f t="shared" si="15"/>
        <v/>
      </c>
      <c r="G234" s="85">
        <v>227</v>
      </c>
      <c r="H234" s="84" t="str">
        <f t="shared" si="16"/>
        <v/>
      </c>
      <c r="I234" s="84" t="str">
        <f t="shared" si="17"/>
        <v/>
      </c>
      <c r="J234" s="84" t="str">
        <f t="shared" si="18"/>
        <v/>
      </c>
      <c r="O234" s="84" t="str">
        <f>IF('05_PRODUCTOS'!$L234="","",IF(AND(OR(kxCategoria="",'05_PRODUCTOS'!$D234=kxCategoria),OR(kxBuscar="",ISNUMBER(SEARCH(kxBuscar,'05_PRODUCTOS'!$L234)))),ROW()-7,""))</f>
        <v/>
      </c>
      <c r="P234" s="84" t="str">
        <f>IFERROR(INDEX('05_PRODUCTOS'!$L$8:$L$507,SMALL($O$8:$O$507,ROW()-7)),"")</f>
        <v/>
      </c>
    </row>
    <row r="235" spans="3:16" x14ac:dyDescent="0.25">
      <c r="C235" s="84" t="str">
        <f>IF(AND('05_PRODUCTOS'!$B235&lt;&gt;"",'05_PRODUCTOS'!$C235&lt;&gt;"",'05_PRODUCTOS'!$K235&lt;&gt;"NO",ISNUMBER(MATCH('05_PRODUCTOS'!$D235,lstCategorias,0))),'05_PRODUCTOS'!$D235,"")</f>
        <v/>
      </c>
      <c r="D235" s="84" t="str">
        <f>IF($C235="","",'05_PRODUCTOS'!$L235)</f>
        <v/>
      </c>
      <c r="E235" s="84" t="str">
        <f t="shared" si="15"/>
        <v/>
      </c>
      <c r="G235" s="85">
        <v>228</v>
      </c>
      <c r="H235" s="84" t="str">
        <f t="shared" si="16"/>
        <v/>
      </c>
      <c r="I235" s="84" t="str">
        <f t="shared" si="17"/>
        <v/>
      </c>
      <c r="J235" s="84" t="str">
        <f t="shared" si="18"/>
        <v/>
      </c>
      <c r="O235" s="84" t="str">
        <f>IF('05_PRODUCTOS'!$L235="","",IF(AND(OR(kxCategoria="",'05_PRODUCTOS'!$D235=kxCategoria),OR(kxBuscar="",ISNUMBER(SEARCH(kxBuscar,'05_PRODUCTOS'!$L235)))),ROW()-7,""))</f>
        <v/>
      </c>
      <c r="P235" s="84" t="str">
        <f>IFERROR(INDEX('05_PRODUCTOS'!$L$8:$L$507,SMALL($O$8:$O$507,ROW()-7)),"")</f>
        <v/>
      </c>
    </row>
    <row r="236" spans="3:16" x14ac:dyDescent="0.25">
      <c r="C236" s="84" t="str">
        <f>IF(AND('05_PRODUCTOS'!$B236&lt;&gt;"",'05_PRODUCTOS'!$C236&lt;&gt;"",'05_PRODUCTOS'!$K236&lt;&gt;"NO",ISNUMBER(MATCH('05_PRODUCTOS'!$D236,lstCategorias,0))),'05_PRODUCTOS'!$D236,"")</f>
        <v/>
      </c>
      <c r="D236" s="84" t="str">
        <f>IF($C236="","",'05_PRODUCTOS'!$L236)</f>
        <v/>
      </c>
      <c r="E236" s="84" t="str">
        <f t="shared" si="15"/>
        <v/>
      </c>
      <c r="G236" s="85">
        <v>229</v>
      </c>
      <c r="H236" s="84" t="str">
        <f t="shared" si="16"/>
        <v/>
      </c>
      <c r="I236" s="84" t="str">
        <f t="shared" si="17"/>
        <v/>
      </c>
      <c r="J236" s="84" t="str">
        <f t="shared" si="18"/>
        <v/>
      </c>
      <c r="O236" s="84" t="str">
        <f>IF('05_PRODUCTOS'!$L236="","",IF(AND(OR(kxCategoria="",'05_PRODUCTOS'!$D236=kxCategoria),OR(kxBuscar="",ISNUMBER(SEARCH(kxBuscar,'05_PRODUCTOS'!$L236)))),ROW()-7,""))</f>
        <v/>
      </c>
      <c r="P236" s="84" t="str">
        <f>IFERROR(INDEX('05_PRODUCTOS'!$L$8:$L$507,SMALL($O$8:$O$507,ROW()-7)),"")</f>
        <v/>
      </c>
    </row>
    <row r="237" spans="3:16" x14ac:dyDescent="0.25">
      <c r="C237" s="84" t="str">
        <f>IF(AND('05_PRODUCTOS'!$B237&lt;&gt;"",'05_PRODUCTOS'!$C237&lt;&gt;"",'05_PRODUCTOS'!$K237&lt;&gt;"NO",ISNUMBER(MATCH('05_PRODUCTOS'!$D237,lstCategorias,0))),'05_PRODUCTOS'!$D237,"")</f>
        <v/>
      </c>
      <c r="D237" s="84" t="str">
        <f>IF($C237="","",'05_PRODUCTOS'!$L237)</f>
        <v/>
      </c>
      <c r="E237" s="84" t="str">
        <f t="shared" si="15"/>
        <v/>
      </c>
      <c r="G237" s="85">
        <v>230</v>
      </c>
      <c r="H237" s="84" t="str">
        <f t="shared" si="16"/>
        <v/>
      </c>
      <c r="I237" s="84" t="str">
        <f t="shared" si="17"/>
        <v/>
      </c>
      <c r="J237" s="84" t="str">
        <f t="shared" si="18"/>
        <v/>
      </c>
      <c r="O237" s="84" t="str">
        <f>IF('05_PRODUCTOS'!$L237="","",IF(AND(OR(kxCategoria="",'05_PRODUCTOS'!$D237=kxCategoria),OR(kxBuscar="",ISNUMBER(SEARCH(kxBuscar,'05_PRODUCTOS'!$L237)))),ROW()-7,""))</f>
        <v/>
      </c>
      <c r="P237" s="84" t="str">
        <f>IFERROR(INDEX('05_PRODUCTOS'!$L$8:$L$507,SMALL($O$8:$O$507,ROW()-7)),"")</f>
        <v/>
      </c>
    </row>
    <row r="238" spans="3:16" x14ac:dyDescent="0.25">
      <c r="C238" s="84" t="str">
        <f>IF(AND('05_PRODUCTOS'!$B238&lt;&gt;"",'05_PRODUCTOS'!$C238&lt;&gt;"",'05_PRODUCTOS'!$K238&lt;&gt;"NO",ISNUMBER(MATCH('05_PRODUCTOS'!$D238,lstCategorias,0))),'05_PRODUCTOS'!$D238,"")</f>
        <v/>
      </c>
      <c r="D238" s="84" t="str">
        <f>IF($C238="","",'05_PRODUCTOS'!$L238)</f>
        <v/>
      </c>
      <c r="E238" s="84" t="str">
        <f t="shared" si="15"/>
        <v/>
      </c>
      <c r="G238" s="85">
        <v>231</v>
      </c>
      <c r="H238" s="84" t="str">
        <f t="shared" si="16"/>
        <v/>
      </c>
      <c r="I238" s="84" t="str">
        <f t="shared" si="17"/>
        <v/>
      </c>
      <c r="J238" s="84" t="str">
        <f t="shared" si="18"/>
        <v/>
      </c>
      <c r="O238" s="84" t="str">
        <f>IF('05_PRODUCTOS'!$L238="","",IF(AND(OR(kxCategoria="",'05_PRODUCTOS'!$D238=kxCategoria),OR(kxBuscar="",ISNUMBER(SEARCH(kxBuscar,'05_PRODUCTOS'!$L238)))),ROW()-7,""))</f>
        <v/>
      </c>
      <c r="P238" s="84" t="str">
        <f>IFERROR(INDEX('05_PRODUCTOS'!$L$8:$L$507,SMALL($O$8:$O$507,ROW()-7)),"")</f>
        <v/>
      </c>
    </row>
    <row r="239" spans="3:16" x14ac:dyDescent="0.25">
      <c r="C239" s="84" t="str">
        <f>IF(AND('05_PRODUCTOS'!$B239&lt;&gt;"",'05_PRODUCTOS'!$C239&lt;&gt;"",'05_PRODUCTOS'!$K239&lt;&gt;"NO",ISNUMBER(MATCH('05_PRODUCTOS'!$D239,lstCategorias,0))),'05_PRODUCTOS'!$D239,"")</f>
        <v/>
      </c>
      <c r="D239" s="84" t="str">
        <f>IF($C239="","",'05_PRODUCTOS'!$L239)</f>
        <v/>
      </c>
      <c r="E239" s="84" t="str">
        <f t="shared" si="15"/>
        <v/>
      </c>
      <c r="G239" s="85">
        <v>232</v>
      </c>
      <c r="H239" s="84" t="str">
        <f t="shared" si="16"/>
        <v/>
      </c>
      <c r="I239" s="84" t="str">
        <f t="shared" si="17"/>
        <v/>
      </c>
      <c r="J239" s="84" t="str">
        <f t="shared" si="18"/>
        <v/>
      </c>
      <c r="O239" s="84" t="str">
        <f>IF('05_PRODUCTOS'!$L239="","",IF(AND(OR(kxCategoria="",'05_PRODUCTOS'!$D239=kxCategoria),OR(kxBuscar="",ISNUMBER(SEARCH(kxBuscar,'05_PRODUCTOS'!$L239)))),ROW()-7,""))</f>
        <v/>
      </c>
      <c r="P239" s="84" t="str">
        <f>IFERROR(INDEX('05_PRODUCTOS'!$L$8:$L$507,SMALL($O$8:$O$507,ROW()-7)),"")</f>
        <v/>
      </c>
    </row>
    <row r="240" spans="3:16" x14ac:dyDescent="0.25">
      <c r="C240" s="84" t="str">
        <f>IF(AND('05_PRODUCTOS'!$B240&lt;&gt;"",'05_PRODUCTOS'!$C240&lt;&gt;"",'05_PRODUCTOS'!$K240&lt;&gt;"NO",ISNUMBER(MATCH('05_PRODUCTOS'!$D240,lstCategorias,0))),'05_PRODUCTOS'!$D240,"")</f>
        <v/>
      </c>
      <c r="D240" s="84" t="str">
        <f>IF($C240="","",'05_PRODUCTOS'!$L240)</f>
        <v/>
      </c>
      <c r="E240" s="84" t="str">
        <f t="shared" si="15"/>
        <v/>
      </c>
      <c r="G240" s="85">
        <v>233</v>
      </c>
      <c r="H240" s="84" t="str">
        <f t="shared" si="16"/>
        <v/>
      </c>
      <c r="I240" s="84" t="str">
        <f t="shared" si="17"/>
        <v/>
      </c>
      <c r="J240" s="84" t="str">
        <f t="shared" si="18"/>
        <v/>
      </c>
      <c r="O240" s="84" t="str">
        <f>IF('05_PRODUCTOS'!$L240="","",IF(AND(OR(kxCategoria="",'05_PRODUCTOS'!$D240=kxCategoria),OR(kxBuscar="",ISNUMBER(SEARCH(kxBuscar,'05_PRODUCTOS'!$L240)))),ROW()-7,""))</f>
        <v/>
      </c>
      <c r="P240" s="84" t="str">
        <f>IFERROR(INDEX('05_PRODUCTOS'!$L$8:$L$507,SMALL($O$8:$O$507,ROW()-7)),"")</f>
        <v/>
      </c>
    </row>
    <row r="241" spans="3:16" x14ac:dyDescent="0.25">
      <c r="C241" s="84" t="str">
        <f>IF(AND('05_PRODUCTOS'!$B241&lt;&gt;"",'05_PRODUCTOS'!$C241&lt;&gt;"",'05_PRODUCTOS'!$K241&lt;&gt;"NO",ISNUMBER(MATCH('05_PRODUCTOS'!$D241,lstCategorias,0))),'05_PRODUCTOS'!$D241,"")</f>
        <v/>
      </c>
      <c r="D241" s="84" t="str">
        <f>IF($C241="","",'05_PRODUCTOS'!$L241)</f>
        <v/>
      </c>
      <c r="E241" s="84" t="str">
        <f t="shared" si="15"/>
        <v/>
      </c>
      <c r="G241" s="85">
        <v>234</v>
      </c>
      <c r="H241" s="84" t="str">
        <f t="shared" si="16"/>
        <v/>
      </c>
      <c r="I241" s="84" t="str">
        <f t="shared" si="17"/>
        <v/>
      </c>
      <c r="J241" s="84" t="str">
        <f t="shared" si="18"/>
        <v/>
      </c>
      <c r="O241" s="84" t="str">
        <f>IF('05_PRODUCTOS'!$L241="","",IF(AND(OR(kxCategoria="",'05_PRODUCTOS'!$D241=kxCategoria),OR(kxBuscar="",ISNUMBER(SEARCH(kxBuscar,'05_PRODUCTOS'!$L241)))),ROW()-7,""))</f>
        <v/>
      </c>
      <c r="P241" s="84" t="str">
        <f>IFERROR(INDEX('05_PRODUCTOS'!$L$8:$L$507,SMALL($O$8:$O$507,ROW()-7)),"")</f>
        <v/>
      </c>
    </row>
    <row r="242" spans="3:16" x14ac:dyDescent="0.25">
      <c r="C242" s="84" t="str">
        <f>IF(AND('05_PRODUCTOS'!$B242&lt;&gt;"",'05_PRODUCTOS'!$C242&lt;&gt;"",'05_PRODUCTOS'!$K242&lt;&gt;"NO",ISNUMBER(MATCH('05_PRODUCTOS'!$D242,lstCategorias,0))),'05_PRODUCTOS'!$D242,"")</f>
        <v/>
      </c>
      <c r="D242" s="84" t="str">
        <f>IF($C242="","",'05_PRODUCTOS'!$L242)</f>
        <v/>
      </c>
      <c r="E242" s="84" t="str">
        <f t="shared" si="15"/>
        <v/>
      </c>
      <c r="G242" s="85">
        <v>235</v>
      </c>
      <c r="H242" s="84" t="str">
        <f t="shared" si="16"/>
        <v/>
      </c>
      <c r="I242" s="84" t="str">
        <f t="shared" si="17"/>
        <v/>
      </c>
      <c r="J242" s="84" t="str">
        <f t="shared" si="18"/>
        <v/>
      </c>
      <c r="O242" s="84" t="str">
        <f>IF('05_PRODUCTOS'!$L242="","",IF(AND(OR(kxCategoria="",'05_PRODUCTOS'!$D242=kxCategoria),OR(kxBuscar="",ISNUMBER(SEARCH(kxBuscar,'05_PRODUCTOS'!$L242)))),ROW()-7,""))</f>
        <v/>
      </c>
      <c r="P242" s="84" t="str">
        <f>IFERROR(INDEX('05_PRODUCTOS'!$L$8:$L$507,SMALL($O$8:$O$507,ROW()-7)),"")</f>
        <v/>
      </c>
    </row>
    <row r="243" spans="3:16" x14ac:dyDescent="0.25">
      <c r="C243" s="84" t="str">
        <f>IF(AND('05_PRODUCTOS'!$B243&lt;&gt;"",'05_PRODUCTOS'!$C243&lt;&gt;"",'05_PRODUCTOS'!$K243&lt;&gt;"NO",ISNUMBER(MATCH('05_PRODUCTOS'!$D243,lstCategorias,0))),'05_PRODUCTOS'!$D243,"")</f>
        <v/>
      </c>
      <c r="D243" s="84" t="str">
        <f>IF($C243="","",'05_PRODUCTOS'!$L243)</f>
        <v/>
      </c>
      <c r="E243" s="84" t="str">
        <f t="shared" si="15"/>
        <v/>
      </c>
      <c r="G243" s="85">
        <v>236</v>
      </c>
      <c r="H243" s="84" t="str">
        <f t="shared" si="16"/>
        <v/>
      </c>
      <c r="I243" s="84" t="str">
        <f t="shared" si="17"/>
        <v/>
      </c>
      <c r="J243" s="84" t="str">
        <f t="shared" si="18"/>
        <v/>
      </c>
      <c r="O243" s="84" t="str">
        <f>IF('05_PRODUCTOS'!$L243="","",IF(AND(OR(kxCategoria="",'05_PRODUCTOS'!$D243=kxCategoria),OR(kxBuscar="",ISNUMBER(SEARCH(kxBuscar,'05_PRODUCTOS'!$L243)))),ROW()-7,""))</f>
        <v/>
      </c>
      <c r="P243" s="84" t="str">
        <f>IFERROR(INDEX('05_PRODUCTOS'!$L$8:$L$507,SMALL($O$8:$O$507,ROW()-7)),"")</f>
        <v/>
      </c>
    </row>
    <row r="244" spans="3:16" x14ac:dyDescent="0.25">
      <c r="C244" s="84" t="str">
        <f>IF(AND('05_PRODUCTOS'!$B244&lt;&gt;"",'05_PRODUCTOS'!$C244&lt;&gt;"",'05_PRODUCTOS'!$K244&lt;&gt;"NO",ISNUMBER(MATCH('05_PRODUCTOS'!$D244,lstCategorias,0))),'05_PRODUCTOS'!$D244,"")</f>
        <v/>
      </c>
      <c r="D244" s="84" t="str">
        <f>IF($C244="","",'05_PRODUCTOS'!$L244)</f>
        <v/>
      </c>
      <c r="E244" s="84" t="str">
        <f t="shared" si="15"/>
        <v/>
      </c>
      <c r="G244" s="85">
        <v>237</v>
      </c>
      <c r="H244" s="84" t="str">
        <f t="shared" si="16"/>
        <v/>
      </c>
      <c r="I244" s="84" t="str">
        <f t="shared" si="17"/>
        <v/>
      </c>
      <c r="J244" s="84" t="str">
        <f t="shared" si="18"/>
        <v/>
      </c>
      <c r="O244" s="84" t="str">
        <f>IF('05_PRODUCTOS'!$L244="","",IF(AND(OR(kxCategoria="",'05_PRODUCTOS'!$D244=kxCategoria),OR(kxBuscar="",ISNUMBER(SEARCH(kxBuscar,'05_PRODUCTOS'!$L244)))),ROW()-7,""))</f>
        <v/>
      </c>
      <c r="P244" s="84" t="str">
        <f>IFERROR(INDEX('05_PRODUCTOS'!$L$8:$L$507,SMALL($O$8:$O$507,ROW()-7)),"")</f>
        <v/>
      </c>
    </row>
    <row r="245" spans="3:16" x14ac:dyDescent="0.25">
      <c r="C245" s="84" t="str">
        <f>IF(AND('05_PRODUCTOS'!$B245&lt;&gt;"",'05_PRODUCTOS'!$C245&lt;&gt;"",'05_PRODUCTOS'!$K245&lt;&gt;"NO",ISNUMBER(MATCH('05_PRODUCTOS'!$D245,lstCategorias,0))),'05_PRODUCTOS'!$D245,"")</f>
        <v/>
      </c>
      <c r="D245" s="84" t="str">
        <f>IF($C245="","",'05_PRODUCTOS'!$L245)</f>
        <v/>
      </c>
      <c r="E245" s="84" t="str">
        <f t="shared" si="15"/>
        <v/>
      </c>
      <c r="G245" s="85">
        <v>238</v>
      </c>
      <c r="H245" s="84" t="str">
        <f t="shared" si="16"/>
        <v/>
      </c>
      <c r="I245" s="84" t="str">
        <f t="shared" si="17"/>
        <v/>
      </c>
      <c r="J245" s="84" t="str">
        <f t="shared" si="18"/>
        <v/>
      </c>
      <c r="O245" s="84" t="str">
        <f>IF('05_PRODUCTOS'!$L245="","",IF(AND(OR(kxCategoria="",'05_PRODUCTOS'!$D245=kxCategoria),OR(kxBuscar="",ISNUMBER(SEARCH(kxBuscar,'05_PRODUCTOS'!$L245)))),ROW()-7,""))</f>
        <v/>
      </c>
      <c r="P245" s="84" t="str">
        <f>IFERROR(INDEX('05_PRODUCTOS'!$L$8:$L$507,SMALL($O$8:$O$507,ROW()-7)),"")</f>
        <v/>
      </c>
    </row>
    <row r="246" spans="3:16" x14ac:dyDescent="0.25">
      <c r="C246" s="84" t="str">
        <f>IF(AND('05_PRODUCTOS'!$B246&lt;&gt;"",'05_PRODUCTOS'!$C246&lt;&gt;"",'05_PRODUCTOS'!$K246&lt;&gt;"NO",ISNUMBER(MATCH('05_PRODUCTOS'!$D246,lstCategorias,0))),'05_PRODUCTOS'!$D246,"")</f>
        <v/>
      </c>
      <c r="D246" s="84" t="str">
        <f>IF($C246="","",'05_PRODUCTOS'!$L246)</f>
        <v/>
      </c>
      <c r="E246" s="84" t="str">
        <f t="shared" si="15"/>
        <v/>
      </c>
      <c r="G246" s="85">
        <v>239</v>
      </c>
      <c r="H246" s="84" t="str">
        <f t="shared" si="16"/>
        <v/>
      </c>
      <c r="I246" s="84" t="str">
        <f t="shared" si="17"/>
        <v/>
      </c>
      <c r="J246" s="84" t="str">
        <f t="shared" si="18"/>
        <v/>
      </c>
      <c r="O246" s="84" t="str">
        <f>IF('05_PRODUCTOS'!$L246="","",IF(AND(OR(kxCategoria="",'05_PRODUCTOS'!$D246=kxCategoria),OR(kxBuscar="",ISNUMBER(SEARCH(kxBuscar,'05_PRODUCTOS'!$L246)))),ROW()-7,""))</f>
        <v/>
      </c>
      <c r="P246" s="84" t="str">
        <f>IFERROR(INDEX('05_PRODUCTOS'!$L$8:$L$507,SMALL($O$8:$O$507,ROW()-7)),"")</f>
        <v/>
      </c>
    </row>
    <row r="247" spans="3:16" x14ac:dyDescent="0.25">
      <c r="C247" s="84" t="str">
        <f>IF(AND('05_PRODUCTOS'!$B247&lt;&gt;"",'05_PRODUCTOS'!$C247&lt;&gt;"",'05_PRODUCTOS'!$K247&lt;&gt;"NO",ISNUMBER(MATCH('05_PRODUCTOS'!$D247,lstCategorias,0))),'05_PRODUCTOS'!$D247,"")</f>
        <v/>
      </c>
      <c r="D247" s="84" t="str">
        <f>IF($C247="","",'05_PRODUCTOS'!$L247)</f>
        <v/>
      </c>
      <c r="E247" s="84" t="str">
        <f t="shared" si="15"/>
        <v/>
      </c>
      <c r="G247" s="85">
        <v>240</v>
      </c>
      <c r="H247" s="84" t="str">
        <f t="shared" si="16"/>
        <v/>
      </c>
      <c r="I247" s="84" t="str">
        <f t="shared" si="17"/>
        <v/>
      </c>
      <c r="J247" s="84" t="str">
        <f t="shared" si="18"/>
        <v/>
      </c>
      <c r="O247" s="84" t="str">
        <f>IF('05_PRODUCTOS'!$L247="","",IF(AND(OR(kxCategoria="",'05_PRODUCTOS'!$D247=kxCategoria),OR(kxBuscar="",ISNUMBER(SEARCH(kxBuscar,'05_PRODUCTOS'!$L247)))),ROW()-7,""))</f>
        <v/>
      </c>
      <c r="P247" s="84" t="str">
        <f>IFERROR(INDEX('05_PRODUCTOS'!$L$8:$L$507,SMALL($O$8:$O$507,ROW()-7)),"")</f>
        <v/>
      </c>
    </row>
    <row r="248" spans="3:16" x14ac:dyDescent="0.25">
      <c r="C248" s="84" t="str">
        <f>IF(AND('05_PRODUCTOS'!$B248&lt;&gt;"",'05_PRODUCTOS'!$C248&lt;&gt;"",'05_PRODUCTOS'!$K248&lt;&gt;"NO",ISNUMBER(MATCH('05_PRODUCTOS'!$D248,lstCategorias,0))),'05_PRODUCTOS'!$D248,"")</f>
        <v/>
      </c>
      <c r="D248" s="84" t="str">
        <f>IF($C248="","",'05_PRODUCTOS'!$L248)</f>
        <v/>
      </c>
      <c r="E248" s="84" t="str">
        <f t="shared" si="15"/>
        <v/>
      </c>
      <c r="G248" s="85">
        <v>241</v>
      </c>
      <c r="H248" s="84" t="str">
        <f t="shared" si="16"/>
        <v/>
      </c>
      <c r="I248" s="84" t="str">
        <f t="shared" si="17"/>
        <v/>
      </c>
      <c r="J248" s="84" t="str">
        <f t="shared" si="18"/>
        <v/>
      </c>
      <c r="O248" s="84" t="str">
        <f>IF('05_PRODUCTOS'!$L248="","",IF(AND(OR(kxCategoria="",'05_PRODUCTOS'!$D248=kxCategoria),OR(kxBuscar="",ISNUMBER(SEARCH(kxBuscar,'05_PRODUCTOS'!$L248)))),ROW()-7,""))</f>
        <v/>
      </c>
      <c r="P248" s="84" t="str">
        <f>IFERROR(INDEX('05_PRODUCTOS'!$L$8:$L$507,SMALL($O$8:$O$507,ROW()-7)),"")</f>
        <v/>
      </c>
    </row>
    <row r="249" spans="3:16" x14ac:dyDescent="0.25">
      <c r="C249" s="84" t="str">
        <f>IF(AND('05_PRODUCTOS'!$B249&lt;&gt;"",'05_PRODUCTOS'!$C249&lt;&gt;"",'05_PRODUCTOS'!$K249&lt;&gt;"NO",ISNUMBER(MATCH('05_PRODUCTOS'!$D249,lstCategorias,0))),'05_PRODUCTOS'!$D249,"")</f>
        <v/>
      </c>
      <c r="D249" s="84" t="str">
        <f>IF($C249="","",'05_PRODUCTOS'!$L249)</f>
        <v/>
      </c>
      <c r="E249" s="84" t="str">
        <f t="shared" si="15"/>
        <v/>
      </c>
      <c r="G249" s="85">
        <v>242</v>
      </c>
      <c r="H249" s="84" t="str">
        <f t="shared" si="16"/>
        <v/>
      </c>
      <c r="I249" s="84" t="str">
        <f t="shared" si="17"/>
        <v/>
      </c>
      <c r="J249" s="84" t="str">
        <f t="shared" si="18"/>
        <v/>
      </c>
      <c r="O249" s="84" t="str">
        <f>IF('05_PRODUCTOS'!$L249="","",IF(AND(OR(kxCategoria="",'05_PRODUCTOS'!$D249=kxCategoria),OR(kxBuscar="",ISNUMBER(SEARCH(kxBuscar,'05_PRODUCTOS'!$L249)))),ROW()-7,""))</f>
        <v/>
      </c>
      <c r="P249" s="84" t="str">
        <f>IFERROR(INDEX('05_PRODUCTOS'!$L$8:$L$507,SMALL($O$8:$O$507,ROW()-7)),"")</f>
        <v/>
      </c>
    </row>
    <row r="250" spans="3:16" x14ac:dyDescent="0.25">
      <c r="C250" s="84" t="str">
        <f>IF(AND('05_PRODUCTOS'!$B250&lt;&gt;"",'05_PRODUCTOS'!$C250&lt;&gt;"",'05_PRODUCTOS'!$K250&lt;&gt;"NO",ISNUMBER(MATCH('05_PRODUCTOS'!$D250,lstCategorias,0))),'05_PRODUCTOS'!$D250,"")</f>
        <v/>
      </c>
      <c r="D250" s="84" t="str">
        <f>IF($C250="","",'05_PRODUCTOS'!$L250)</f>
        <v/>
      </c>
      <c r="E250" s="84" t="str">
        <f t="shared" si="15"/>
        <v/>
      </c>
      <c r="G250" s="85">
        <v>243</v>
      </c>
      <c r="H250" s="84" t="str">
        <f t="shared" si="16"/>
        <v/>
      </c>
      <c r="I250" s="84" t="str">
        <f t="shared" si="17"/>
        <v/>
      </c>
      <c r="J250" s="84" t="str">
        <f t="shared" si="18"/>
        <v/>
      </c>
      <c r="O250" s="84" t="str">
        <f>IF('05_PRODUCTOS'!$L250="","",IF(AND(OR(kxCategoria="",'05_PRODUCTOS'!$D250=kxCategoria),OR(kxBuscar="",ISNUMBER(SEARCH(kxBuscar,'05_PRODUCTOS'!$L250)))),ROW()-7,""))</f>
        <v/>
      </c>
      <c r="P250" s="84" t="str">
        <f>IFERROR(INDEX('05_PRODUCTOS'!$L$8:$L$507,SMALL($O$8:$O$507,ROW()-7)),"")</f>
        <v/>
      </c>
    </row>
    <row r="251" spans="3:16" x14ac:dyDescent="0.25">
      <c r="C251" s="84" t="str">
        <f>IF(AND('05_PRODUCTOS'!$B251&lt;&gt;"",'05_PRODUCTOS'!$C251&lt;&gt;"",'05_PRODUCTOS'!$K251&lt;&gt;"NO",ISNUMBER(MATCH('05_PRODUCTOS'!$D251,lstCategorias,0))),'05_PRODUCTOS'!$D251,"")</f>
        <v/>
      </c>
      <c r="D251" s="84" t="str">
        <f>IF($C251="","",'05_PRODUCTOS'!$L251)</f>
        <v/>
      </c>
      <c r="E251" s="84" t="str">
        <f t="shared" si="15"/>
        <v/>
      </c>
      <c r="G251" s="85">
        <v>244</v>
      </c>
      <c r="H251" s="84" t="str">
        <f t="shared" si="16"/>
        <v/>
      </c>
      <c r="I251" s="84" t="str">
        <f t="shared" si="17"/>
        <v/>
      </c>
      <c r="J251" s="84" t="str">
        <f t="shared" si="18"/>
        <v/>
      </c>
      <c r="O251" s="84" t="str">
        <f>IF('05_PRODUCTOS'!$L251="","",IF(AND(OR(kxCategoria="",'05_PRODUCTOS'!$D251=kxCategoria),OR(kxBuscar="",ISNUMBER(SEARCH(kxBuscar,'05_PRODUCTOS'!$L251)))),ROW()-7,""))</f>
        <v/>
      </c>
      <c r="P251" s="84" t="str">
        <f>IFERROR(INDEX('05_PRODUCTOS'!$L$8:$L$507,SMALL($O$8:$O$507,ROW()-7)),"")</f>
        <v/>
      </c>
    </row>
    <row r="252" spans="3:16" x14ac:dyDescent="0.25">
      <c r="C252" s="84" t="str">
        <f>IF(AND('05_PRODUCTOS'!$B252&lt;&gt;"",'05_PRODUCTOS'!$C252&lt;&gt;"",'05_PRODUCTOS'!$K252&lt;&gt;"NO",ISNUMBER(MATCH('05_PRODUCTOS'!$D252,lstCategorias,0))),'05_PRODUCTOS'!$D252,"")</f>
        <v/>
      </c>
      <c r="D252" s="84" t="str">
        <f>IF($C252="","",'05_PRODUCTOS'!$L252)</f>
        <v/>
      </c>
      <c r="E252" s="84" t="str">
        <f t="shared" si="15"/>
        <v/>
      </c>
      <c r="G252" s="85">
        <v>245</v>
      </c>
      <c r="H252" s="84" t="str">
        <f t="shared" si="16"/>
        <v/>
      </c>
      <c r="I252" s="84" t="str">
        <f t="shared" si="17"/>
        <v/>
      </c>
      <c r="J252" s="84" t="str">
        <f t="shared" si="18"/>
        <v/>
      </c>
      <c r="O252" s="84" t="str">
        <f>IF('05_PRODUCTOS'!$L252="","",IF(AND(OR(kxCategoria="",'05_PRODUCTOS'!$D252=kxCategoria),OR(kxBuscar="",ISNUMBER(SEARCH(kxBuscar,'05_PRODUCTOS'!$L252)))),ROW()-7,""))</f>
        <v/>
      </c>
      <c r="P252" s="84" t="str">
        <f>IFERROR(INDEX('05_PRODUCTOS'!$L$8:$L$507,SMALL($O$8:$O$507,ROW()-7)),"")</f>
        <v/>
      </c>
    </row>
    <row r="253" spans="3:16" x14ac:dyDescent="0.25">
      <c r="C253" s="84" t="str">
        <f>IF(AND('05_PRODUCTOS'!$B253&lt;&gt;"",'05_PRODUCTOS'!$C253&lt;&gt;"",'05_PRODUCTOS'!$K253&lt;&gt;"NO",ISNUMBER(MATCH('05_PRODUCTOS'!$D253,lstCategorias,0))),'05_PRODUCTOS'!$D253,"")</f>
        <v/>
      </c>
      <c r="D253" s="84" t="str">
        <f>IF($C253="","",'05_PRODUCTOS'!$L253)</f>
        <v/>
      </c>
      <c r="E253" s="84" t="str">
        <f t="shared" si="15"/>
        <v/>
      </c>
      <c r="G253" s="85">
        <v>246</v>
      </c>
      <c r="H253" s="84" t="str">
        <f t="shared" si="16"/>
        <v/>
      </c>
      <c r="I253" s="84" t="str">
        <f t="shared" si="17"/>
        <v/>
      </c>
      <c r="J253" s="84" t="str">
        <f t="shared" si="18"/>
        <v/>
      </c>
      <c r="O253" s="84" t="str">
        <f>IF('05_PRODUCTOS'!$L253="","",IF(AND(OR(kxCategoria="",'05_PRODUCTOS'!$D253=kxCategoria),OR(kxBuscar="",ISNUMBER(SEARCH(kxBuscar,'05_PRODUCTOS'!$L253)))),ROW()-7,""))</f>
        <v/>
      </c>
      <c r="P253" s="84" t="str">
        <f>IFERROR(INDEX('05_PRODUCTOS'!$L$8:$L$507,SMALL($O$8:$O$507,ROW()-7)),"")</f>
        <v/>
      </c>
    </row>
    <row r="254" spans="3:16" x14ac:dyDescent="0.25">
      <c r="C254" s="84" t="str">
        <f>IF(AND('05_PRODUCTOS'!$B254&lt;&gt;"",'05_PRODUCTOS'!$C254&lt;&gt;"",'05_PRODUCTOS'!$K254&lt;&gt;"NO",ISNUMBER(MATCH('05_PRODUCTOS'!$D254,lstCategorias,0))),'05_PRODUCTOS'!$D254,"")</f>
        <v/>
      </c>
      <c r="D254" s="84" t="str">
        <f>IF($C254="","",'05_PRODUCTOS'!$L254)</f>
        <v/>
      </c>
      <c r="E254" s="84" t="str">
        <f t="shared" si="15"/>
        <v/>
      </c>
      <c r="G254" s="85">
        <v>247</v>
      </c>
      <c r="H254" s="84" t="str">
        <f t="shared" si="16"/>
        <v/>
      </c>
      <c r="I254" s="84" t="str">
        <f t="shared" si="17"/>
        <v/>
      </c>
      <c r="J254" s="84" t="str">
        <f t="shared" si="18"/>
        <v/>
      </c>
      <c r="O254" s="84" t="str">
        <f>IF('05_PRODUCTOS'!$L254="","",IF(AND(OR(kxCategoria="",'05_PRODUCTOS'!$D254=kxCategoria),OR(kxBuscar="",ISNUMBER(SEARCH(kxBuscar,'05_PRODUCTOS'!$L254)))),ROW()-7,""))</f>
        <v/>
      </c>
      <c r="P254" s="84" t="str">
        <f>IFERROR(INDEX('05_PRODUCTOS'!$L$8:$L$507,SMALL($O$8:$O$507,ROW()-7)),"")</f>
        <v/>
      </c>
    </row>
    <row r="255" spans="3:16" x14ac:dyDescent="0.25">
      <c r="C255" s="84" t="str">
        <f>IF(AND('05_PRODUCTOS'!$B255&lt;&gt;"",'05_PRODUCTOS'!$C255&lt;&gt;"",'05_PRODUCTOS'!$K255&lt;&gt;"NO",ISNUMBER(MATCH('05_PRODUCTOS'!$D255,lstCategorias,0))),'05_PRODUCTOS'!$D255,"")</f>
        <v/>
      </c>
      <c r="D255" s="84" t="str">
        <f>IF($C255="","",'05_PRODUCTOS'!$L255)</f>
        <v/>
      </c>
      <c r="E255" s="84" t="str">
        <f t="shared" si="15"/>
        <v/>
      </c>
      <c r="G255" s="85">
        <v>248</v>
      </c>
      <c r="H255" s="84" t="str">
        <f t="shared" si="16"/>
        <v/>
      </c>
      <c r="I255" s="84" t="str">
        <f t="shared" si="17"/>
        <v/>
      </c>
      <c r="J255" s="84" t="str">
        <f t="shared" si="18"/>
        <v/>
      </c>
      <c r="O255" s="84" t="str">
        <f>IF('05_PRODUCTOS'!$L255="","",IF(AND(OR(kxCategoria="",'05_PRODUCTOS'!$D255=kxCategoria),OR(kxBuscar="",ISNUMBER(SEARCH(kxBuscar,'05_PRODUCTOS'!$L255)))),ROW()-7,""))</f>
        <v/>
      </c>
      <c r="P255" s="84" t="str">
        <f>IFERROR(INDEX('05_PRODUCTOS'!$L$8:$L$507,SMALL($O$8:$O$507,ROW()-7)),"")</f>
        <v/>
      </c>
    </row>
    <row r="256" spans="3:16" x14ac:dyDescent="0.25">
      <c r="C256" s="84" t="str">
        <f>IF(AND('05_PRODUCTOS'!$B256&lt;&gt;"",'05_PRODUCTOS'!$C256&lt;&gt;"",'05_PRODUCTOS'!$K256&lt;&gt;"NO",ISNUMBER(MATCH('05_PRODUCTOS'!$D256,lstCategorias,0))),'05_PRODUCTOS'!$D256,"")</f>
        <v/>
      </c>
      <c r="D256" s="84" t="str">
        <f>IF($C256="","",'05_PRODUCTOS'!$L256)</f>
        <v/>
      </c>
      <c r="E256" s="84" t="str">
        <f t="shared" si="15"/>
        <v/>
      </c>
      <c r="G256" s="85">
        <v>249</v>
      </c>
      <c r="H256" s="84" t="str">
        <f t="shared" si="16"/>
        <v/>
      </c>
      <c r="I256" s="84" t="str">
        <f t="shared" si="17"/>
        <v/>
      </c>
      <c r="J256" s="84" t="str">
        <f t="shared" si="18"/>
        <v/>
      </c>
      <c r="O256" s="84" t="str">
        <f>IF('05_PRODUCTOS'!$L256="","",IF(AND(OR(kxCategoria="",'05_PRODUCTOS'!$D256=kxCategoria),OR(kxBuscar="",ISNUMBER(SEARCH(kxBuscar,'05_PRODUCTOS'!$L256)))),ROW()-7,""))</f>
        <v/>
      </c>
      <c r="P256" s="84" t="str">
        <f>IFERROR(INDEX('05_PRODUCTOS'!$L$8:$L$507,SMALL($O$8:$O$507,ROW()-7)),"")</f>
        <v/>
      </c>
    </row>
    <row r="257" spans="3:16" x14ac:dyDescent="0.25">
      <c r="C257" s="84" t="str">
        <f>IF(AND('05_PRODUCTOS'!$B257&lt;&gt;"",'05_PRODUCTOS'!$C257&lt;&gt;"",'05_PRODUCTOS'!$K257&lt;&gt;"NO",ISNUMBER(MATCH('05_PRODUCTOS'!$D257,lstCategorias,0))),'05_PRODUCTOS'!$D257,"")</f>
        <v/>
      </c>
      <c r="D257" s="84" t="str">
        <f>IF($C257="","",'05_PRODUCTOS'!$L257)</f>
        <v/>
      </c>
      <c r="E257" s="84" t="str">
        <f t="shared" si="15"/>
        <v/>
      </c>
      <c r="G257" s="85">
        <v>250</v>
      </c>
      <c r="H257" s="84" t="str">
        <f t="shared" si="16"/>
        <v/>
      </c>
      <c r="I257" s="84" t="str">
        <f t="shared" si="17"/>
        <v/>
      </c>
      <c r="J257" s="84" t="str">
        <f t="shared" si="18"/>
        <v/>
      </c>
      <c r="O257" s="84" t="str">
        <f>IF('05_PRODUCTOS'!$L257="","",IF(AND(OR(kxCategoria="",'05_PRODUCTOS'!$D257=kxCategoria),OR(kxBuscar="",ISNUMBER(SEARCH(kxBuscar,'05_PRODUCTOS'!$L257)))),ROW()-7,""))</f>
        <v/>
      </c>
      <c r="P257" s="84" t="str">
        <f>IFERROR(INDEX('05_PRODUCTOS'!$L$8:$L$507,SMALL($O$8:$O$507,ROW()-7)),"")</f>
        <v/>
      </c>
    </row>
    <row r="258" spans="3:16" x14ac:dyDescent="0.25">
      <c r="C258" s="84" t="str">
        <f>IF(AND('05_PRODUCTOS'!$B258&lt;&gt;"",'05_PRODUCTOS'!$C258&lt;&gt;"",'05_PRODUCTOS'!$K258&lt;&gt;"NO",ISNUMBER(MATCH('05_PRODUCTOS'!$D258,lstCategorias,0))),'05_PRODUCTOS'!$D258,"")</f>
        <v/>
      </c>
      <c r="D258" s="84" t="str">
        <f>IF($C258="","",'05_PRODUCTOS'!$L258)</f>
        <v/>
      </c>
      <c r="E258" s="84" t="str">
        <f t="shared" si="15"/>
        <v/>
      </c>
      <c r="G258" s="85">
        <v>251</v>
      </c>
      <c r="H258" s="84" t="str">
        <f t="shared" si="16"/>
        <v/>
      </c>
      <c r="I258" s="84" t="str">
        <f t="shared" si="17"/>
        <v/>
      </c>
      <c r="J258" s="84" t="str">
        <f t="shared" si="18"/>
        <v/>
      </c>
      <c r="O258" s="84" t="str">
        <f>IF('05_PRODUCTOS'!$L258="","",IF(AND(OR(kxCategoria="",'05_PRODUCTOS'!$D258=kxCategoria),OR(kxBuscar="",ISNUMBER(SEARCH(kxBuscar,'05_PRODUCTOS'!$L258)))),ROW()-7,""))</f>
        <v/>
      </c>
      <c r="P258" s="84" t="str">
        <f>IFERROR(INDEX('05_PRODUCTOS'!$L$8:$L$507,SMALL($O$8:$O$507,ROW()-7)),"")</f>
        <v/>
      </c>
    </row>
    <row r="259" spans="3:16" x14ac:dyDescent="0.25">
      <c r="C259" s="84" t="str">
        <f>IF(AND('05_PRODUCTOS'!$B259&lt;&gt;"",'05_PRODUCTOS'!$C259&lt;&gt;"",'05_PRODUCTOS'!$K259&lt;&gt;"NO",ISNUMBER(MATCH('05_PRODUCTOS'!$D259,lstCategorias,0))),'05_PRODUCTOS'!$D259,"")</f>
        <v/>
      </c>
      <c r="D259" s="84" t="str">
        <f>IF($C259="","",'05_PRODUCTOS'!$L259)</f>
        <v/>
      </c>
      <c r="E259" s="84" t="str">
        <f t="shared" si="15"/>
        <v/>
      </c>
      <c r="G259" s="85">
        <v>252</v>
      </c>
      <c r="H259" s="84" t="str">
        <f t="shared" si="16"/>
        <v/>
      </c>
      <c r="I259" s="84" t="str">
        <f t="shared" si="17"/>
        <v/>
      </c>
      <c r="J259" s="84" t="str">
        <f t="shared" si="18"/>
        <v/>
      </c>
      <c r="O259" s="84" t="str">
        <f>IF('05_PRODUCTOS'!$L259="","",IF(AND(OR(kxCategoria="",'05_PRODUCTOS'!$D259=kxCategoria),OR(kxBuscar="",ISNUMBER(SEARCH(kxBuscar,'05_PRODUCTOS'!$L259)))),ROW()-7,""))</f>
        <v/>
      </c>
      <c r="P259" s="84" t="str">
        <f>IFERROR(INDEX('05_PRODUCTOS'!$L$8:$L$507,SMALL($O$8:$O$507,ROW()-7)),"")</f>
        <v/>
      </c>
    </row>
    <row r="260" spans="3:16" x14ac:dyDescent="0.25">
      <c r="C260" s="84" t="str">
        <f>IF(AND('05_PRODUCTOS'!$B260&lt;&gt;"",'05_PRODUCTOS'!$C260&lt;&gt;"",'05_PRODUCTOS'!$K260&lt;&gt;"NO",ISNUMBER(MATCH('05_PRODUCTOS'!$D260,lstCategorias,0))),'05_PRODUCTOS'!$D260,"")</f>
        <v/>
      </c>
      <c r="D260" s="84" t="str">
        <f>IF($C260="","",'05_PRODUCTOS'!$L260)</f>
        <v/>
      </c>
      <c r="E260" s="84" t="str">
        <f t="shared" si="15"/>
        <v/>
      </c>
      <c r="G260" s="85">
        <v>253</v>
      </c>
      <c r="H260" s="84" t="str">
        <f t="shared" si="16"/>
        <v/>
      </c>
      <c r="I260" s="84" t="str">
        <f t="shared" si="17"/>
        <v/>
      </c>
      <c r="J260" s="84" t="str">
        <f t="shared" si="18"/>
        <v/>
      </c>
      <c r="O260" s="84" t="str">
        <f>IF('05_PRODUCTOS'!$L260="","",IF(AND(OR(kxCategoria="",'05_PRODUCTOS'!$D260=kxCategoria),OR(kxBuscar="",ISNUMBER(SEARCH(kxBuscar,'05_PRODUCTOS'!$L260)))),ROW()-7,""))</f>
        <v/>
      </c>
      <c r="P260" s="84" t="str">
        <f>IFERROR(INDEX('05_PRODUCTOS'!$L$8:$L$507,SMALL($O$8:$O$507,ROW()-7)),"")</f>
        <v/>
      </c>
    </row>
    <row r="261" spans="3:16" x14ac:dyDescent="0.25">
      <c r="C261" s="84" t="str">
        <f>IF(AND('05_PRODUCTOS'!$B261&lt;&gt;"",'05_PRODUCTOS'!$C261&lt;&gt;"",'05_PRODUCTOS'!$K261&lt;&gt;"NO",ISNUMBER(MATCH('05_PRODUCTOS'!$D261,lstCategorias,0))),'05_PRODUCTOS'!$D261,"")</f>
        <v/>
      </c>
      <c r="D261" s="84" t="str">
        <f>IF($C261="","",'05_PRODUCTOS'!$L261)</f>
        <v/>
      </c>
      <c r="E261" s="84" t="str">
        <f t="shared" si="15"/>
        <v/>
      </c>
      <c r="G261" s="85">
        <v>254</v>
      </c>
      <c r="H261" s="84" t="str">
        <f t="shared" si="16"/>
        <v/>
      </c>
      <c r="I261" s="84" t="str">
        <f t="shared" si="17"/>
        <v/>
      </c>
      <c r="J261" s="84" t="str">
        <f t="shared" si="18"/>
        <v/>
      </c>
      <c r="O261" s="84" t="str">
        <f>IF('05_PRODUCTOS'!$L261="","",IF(AND(OR(kxCategoria="",'05_PRODUCTOS'!$D261=kxCategoria),OR(kxBuscar="",ISNUMBER(SEARCH(kxBuscar,'05_PRODUCTOS'!$L261)))),ROW()-7,""))</f>
        <v/>
      </c>
      <c r="P261" s="84" t="str">
        <f>IFERROR(INDEX('05_PRODUCTOS'!$L$8:$L$507,SMALL($O$8:$O$507,ROW()-7)),"")</f>
        <v/>
      </c>
    </row>
    <row r="262" spans="3:16" x14ac:dyDescent="0.25">
      <c r="C262" s="84" t="str">
        <f>IF(AND('05_PRODUCTOS'!$B262&lt;&gt;"",'05_PRODUCTOS'!$C262&lt;&gt;"",'05_PRODUCTOS'!$K262&lt;&gt;"NO",ISNUMBER(MATCH('05_PRODUCTOS'!$D262,lstCategorias,0))),'05_PRODUCTOS'!$D262,"")</f>
        <v/>
      </c>
      <c r="D262" s="84" t="str">
        <f>IF($C262="","",'05_PRODUCTOS'!$L262)</f>
        <v/>
      </c>
      <c r="E262" s="84" t="str">
        <f t="shared" si="15"/>
        <v/>
      </c>
      <c r="G262" s="85">
        <v>255</v>
      </c>
      <c r="H262" s="84" t="str">
        <f t="shared" si="16"/>
        <v/>
      </c>
      <c r="I262" s="84" t="str">
        <f t="shared" si="17"/>
        <v/>
      </c>
      <c r="J262" s="84" t="str">
        <f t="shared" si="18"/>
        <v/>
      </c>
      <c r="O262" s="84" t="str">
        <f>IF('05_PRODUCTOS'!$L262="","",IF(AND(OR(kxCategoria="",'05_PRODUCTOS'!$D262=kxCategoria),OR(kxBuscar="",ISNUMBER(SEARCH(kxBuscar,'05_PRODUCTOS'!$L262)))),ROW()-7,""))</f>
        <v/>
      </c>
      <c r="P262" s="84" t="str">
        <f>IFERROR(INDEX('05_PRODUCTOS'!$L$8:$L$507,SMALL($O$8:$O$507,ROW()-7)),"")</f>
        <v/>
      </c>
    </row>
    <row r="263" spans="3:16" x14ac:dyDescent="0.25">
      <c r="C263" s="84" t="str">
        <f>IF(AND('05_PRODUCTOS'!$B263&lt;&gt;"",'05_PRODUCTOS'!$C263&lt;&gt;"",'05_PRODUCTOS'!$K263&lt;&gt;"NO",ISNUMBER(MATCH('05_PRODUCTOS'!$D263,lstCategorias,0))),'05_PRODUCTOS'!$D263,"")</f>
        <v/>
      </c>
      <c r="D263" s="84" t="str">
        <f>IF($C263="","",'05_PRODUCTOS'!$L263)</f>
        <v/>
      </c>
      <c r="E263" s="84" t="str">
        <f t="shared" si="15"/>
        <v/>
      </c>
      <c r="G263" s="85">
        <v>256</v>
      </c>
      <c r="H263" s="84" t="str">
        <f t="shared" si="16"/>
        <v/>
      </c>
      <c r="I263" s="84" t="str">
        <f t="shared" si="17"/>
        <v/>
      </c>
      <c r="J263" s="84" t="str">
        <f t="shared" si="18"/>
        <v/>
      </c>
      <c r="O263" s="84" t="str">
        <f>IF('05_PRODUCTOS'!$L263="","",IF(AND(OR(kxCategoria="",'05_PRODUCTOS'!$D263=kxCategoria),OR(kxBuscar="",ISNUMBER(SEARCH(kxBuscar,'05_PRODUCTOS'!$L263)))),ROW()-7,""))</f>
        <v/>
      </c>
      <c r="P263" s="84" t="str">
        <f>IFERROR(INDEX('05_PRODUCTOS'!$L$8:$L$507,SMALL($O$8:$O$507,ROW()-7)),"")</f>
        <v/>
      </c>
    </row>
    <row r="264" spans="3:16" x14ac:dyDescent="0.25">
      <c r="C264" s="84" t="str">
        <f>IF(AND('05_PRODUCTOS'!$B264&lt;&gt;"",'05_PRODUCTOS'!$C264&lt;&gt;"",'05_PRODUCTOS'!$K264&lt;&gt;"NO",ISNUMBER(MATCH('05_PRODUCTOS'!$D264,lstCategorias,0))),'05_PRODUCTOS'!$D264,"")</f>
        <v/>
      </c>
      <c r="D264" s="84" t="str">
        <f>IF($C264="","",'05_PRODUCTOS'!$L264)</f>
        <v/>
      </c>
      <c r="E264" s="84" t="str">
        <f t="shared" ref="E264:E327" si="19">IF($C264="","",MATCH($C264,lstCategorias,0)*1000+COUNTIFS($C$8:$C$507,$C264,$D$8:$D$507,"&lt;"&amp;$D264)+1+ROW()/100000)</f>
        <v/>
      </c>
      <c r="G264" s="85">
        <v>257</v>
      </c>
      <c r="H264" s="84" t="str">
        <f t="shared" ref="H264:H327" si="20">IFERROR(SMALL($E$8:$E$507,$G264),"")</f>
        <v/>
      </c>
      <c r="I264" s="84" t="str">
        <f t="shared" ref="I264:I327" si="21">IF($H264="","",INDEX($C$8:$C$507,MATCH($H264,$E$8:$E$507,0)))</f>
        <v/>
      </c>
      <c r="J264" s="84" t="str">
        <f t="shared" ref="J264:J327" si="22">IF($H264="","",INDEX($D$8:$D$507,MATCH($H264,$E$8:$E$507,0)))</f>
        <v/>
      </c>
      <c r="O264" s="84" t="str">
        <f>IF('05_PRODUCTOS'!$L264="","",IF(AND(OR(kxCategoria="",'05_PRODUCTOS'!$D264=kxCategoria),OR(kxBuscar="",ISNUMBER(SEARCH(kxBuscar,'05_PRODUCTOS'!$L264)))),ROW()-7,""))</f>
        <v/>
      </c>
      <c r="P264" s="84" t="str">
        <f>IFERROR(INDEX('05_PRODUCTOS'!$L$8:$L$507,SMALL($O$8:$O$507,ROW()-7)),"")</f>
        <v/>
      </c>
    </row>
    <row r="265" spans="3:16" x14ac:dyDescent="0.25">
      <c r="C265" s="84" t="str">
        <f>IF(AND('05_PRODUCTOS'!$B265&lt;&gt;"",'05_PRODUCTOS'!$C265&lt;&gt;"",'05_PRODUCTOS'!$K265&lt;&gt;"NO",ISNUMBER(MATCH('05_PRODUCTOS'!$D265,lstCategorias,0))),'05_PRODUCTOS'!$D265,"")</f>
        <v/>
      </c>
      <c r="D265" s="84" t="str">
        <f>IF($C265="","",'05_PRODUCTOS'!$L265)</f>
        <v/>
      </c>
      <c r="E265" s="84" t="str">
        <f t="shared" si="19"/>
        <v/>
      </c>
      <c r="G265" s="85">
        <v>258</v>
      </c>
      <c r="H265" s="84" t="str">
        <f t="shared" si="20"/>
        <v/>
      </c>
      <c r="I265" s="84" t="str">
        <f t="shared" si="21"/>
        <v/>
      </c>
      <c r="J265" s="84" t="str">
        <f t="shared" si="22"/>
        <v/>
      </c>
      <c r="O265" s="84" t="str">
        <f>IF('05_PRODUCTOS'!$L265="","",IF(AND(OR(kxCategoria="",'05_PRODUCTOS'!$D265=kxCategoria),OR(kxBuscar="",ISNUMBER(SEARCH(kxBuscar,'05_PRODUCTOS'!$L265)))),ROW()-7,""))</f>
        <v/>
      </c>
      <c r="P265" s="84" t="str">
        <f>IFERROR(INDEX('05_PRODUCTOS'!$L$8:$L$507,SMALL($O$8:$O$507,ROW()-7)),"")</f>
        <v/>
      </c>
    </row>
    <row r="266" spans="3:16" x14ac:dyDescent="0.25">
      <c r="C266" s="84" t="str">
        <f>IF(AND('05_PRODUCTOS'!$B266&lt;&gt;"",'05_PRODUCTOS'!$C266&lt;&gt;"",'05_PRODUCTOS'!$K266&lt;&gt;"NO",ISNUMBER(MATCH('05_PRODUCTOS'!$D266,lstCategorias,0))),'05_PRODUCTOS'!$D266,"")</f>
        <v/>
      </c>
      <c r="D266" s="84" t="str">
        <f>IF($C266="","",'05_PRODUCTOS'!$L266)</f>
        <v/>
      </c>
      <c r="E266" s="84" t="str">
        <f t="shared" si="19"/>
        <v/>
      </c>
      <c r="G266" s="85">
        <v>259</v>
      </c>
      <c r="H266" s="84" t="str">
        <f t="shared" si="20"/>
        <v/>
      </c>
      <c r="I266" s="84" t="str">
        <f t="shared" si="21"/>
        <v/>
      </c>
      <c r="J266" s="84" t="str">
        <f t="shared" si="22"/>
        <v/>
      </c>
      <c r="O266" s="84" t="str">
        <f>IF('05_PRODUCTOS'!$L266="","",IF(AND(OR(kxCategoria="",'05_PRODUCTOS'!$D266=kxCategoria),OR(kxBuscar="",ISNUMBER(SEARCH(kxBuscar,'05_PRODUCTOS'!$L266)))),ROW()-7,""))</f>
        <v/>
      </c>
      <c r="P266" s="84" t="str">
        <f>IFERROR(INDEX('05_PRODUCTOS'!$L$8:$L$507,SMALL($O$8:$O$507,ROW()-7)),"")</f>
        <v/>
      </c>
    </row>
    <row r="267" spans="3:16" x14ac:dyDescent="0.25">
      <c r="C267" s="84" t="str">
        <f>IF(AND('05_PRODUCTOS'!$B267&lt;&gt;"",'05_PRODUCTOS'!$C267&lt;&gt;"",'05_PRODUCTOS'!$K267&lt;&gt;"NO",ISNUMBER(MATCH('05_PRODUCTOS'!$D267,lstCategorias,0))),'05_PRODUCTOS'!$D267,"")</f>
        <v/>
      </c>
      <c r="D267" s="84" t="str">
        <f>IF($C267="","",'05_PRODUCTOS'!$L267)</f>
        <v/>
      </c>
      <c r="E267" s="84" t="str">
        <f t="shared" si="19"/>
        <v/>
      </c>
      <c r="G267" s="85">
        <v>260</v>
      </c>
      <c r="H267" s="84" t="str">
        <f t="shared" si="20"/>
        <v/>
      </c>
      <c r="I267" s="84" t="str">
        <f t="shared" si="21"/>
        <v/>
      </c>
      <c r="J267" s="84" t="str">
        <f t="shared" si="22"/>
        <v/>
      </c>
      <c r="O267" s="84" t="str">
        <f>IF('05_PRODUCTOS'!$L267="","",IF(AND(OR(kxCategoria="",'05_PRODUCTOS'!$D267=kxCategoria),OR(kxBuscar="",ISNUMBER(SEARCH(kxBuscar,'05_PRODUCTOS'!$L267)))),ROW()-7,""))</f>
        <v/>
      </c>
      <c r="P267" s="84" t="str">
        <f>IFERROR(INDEX('05_PRODUCTOS'!$L$8:$L$507,SMALL($O$8:$O$507,ROW()-7)),"")</f>
        <v/>
      </c>
    </row>
    <row r="268" spans="3:16" x14ac:dyDescent="0.25">
      <c r="C268" s="84" t="str">
        <f>IF(AND('05_PRODUCTOS'!$B268&lt;&gt;"",'05_PRODUCTOS'!$C268&lt;&gt;"",'05_PRODUCTOS'!$K268&lt;&gt;"NO",ISNUMBER(MATCH('05_PRODUCTOS'!$D268,lstCategorias,0))),'05_PRODUCTOS'!$D268,"")</f>
        <v/>
      </c>
      <c r="D268" s="84" t="str">
        <f>IF($C268="","",'05_PRODUCTOS'!$L268)</f>
        <v/>
      </c>
      <c r="E268" s="84" t="str">
        <f t="shared" si="19"/>
        <v/>
      </c>
      <c r="G268" s="85">
        <v>261</v>
      </c>
      <c r="H268" s="84" t="str">
        <f t="shared" si="20"/>
        <v/>
      </c>
      <c r="I268" s="84" t="str">
        <f t="shared" si="21"/>
        <v/>
      </c>
      <c r="J268" s="84" t="str">
        <f t="shared" si="22"/>
        <v/>
      </c>
      <c r="O268" s="84" t="str">
        <f>IF('05_PRODUCTOS'!$L268="","",IF(AND(OR(kxCategoria="",'05_PRODUCTOS'!$D268=kxCategoria),OR(kxBuscar="",ISNUMBER(SEARCH(kxBuscar,'05_PRODUCTOS'!$L268)))),ROW()-7,""))</f>
        <v/>
      </c>
      <c r="P268" s="84" t="str">
        <f>IFERROR(INDEX('05_PRODUCTOS'!$L$8:$L$507,SMALL($O$8:$O$507,ROW()-7)),"")</f>
        <v/>
      </c>
    </row>
    <row r="269" spans="3:16" x14ac:dyDescent="0.25">
      <c r="C269" s="84" t="str">
        <f>IF(AND('05_PRODUCTOS'!$B269&lt;&gt;"",'05_PRODUCTOS'!$C269&lt;&gt;"",'05_PRODUCTOS'!$K269&lt;&gt;"NO",ISNUMBER(MATCH('05_PRODUCTOS'!$D269,lstCategorias,0))),'05_PRODUCTOS'!$D269,"")</f>
        <v/>
      </c>
      <c r="D269" s="84" t="str">
        <f>IF($C269="","",'05_PRODUCTOS'!$L269)</f>
        <v/>
      </c>
      <c r="E269" s="84" t="str">
        <f t="shared" si="19"/>
        <v/>
      </c>
      <c r="G269" s="85">
        <v>262</v>
      </c>
      <c r="H269" s="84" t="str">
        <f t="shared" si="20"/>
        <v/>
      </c>
      <c r="I269" s="84" t="str">
        <f t="shared" si="21"/>
        <v/>
      </c>
      <c r="J269" s="84" t="str">
        <f t="shared" si="22"/>
        <v/>
      </c>
      <c r="O269" s="84" t="str">
        <f>IF('05_PRODUCTOS'!$L269="","",IF(AND(OR(kxCategoria="",'05_PRODUCTOS'!$D269=kxCategoria),OR(kxBuscar="",ISNUMBER(SEARCH(kxBuscar,'05_PRODUCTOS'!$L269)))),ROW()-7,""))</f>
        <v/>
      </c>
      <c r="P269" s="84" t="str">
        <f>IFERROR(INDEX('05_PRODUCTOS'!$L$8:$L$507,SMALL($O$8:$O$507,ROW()-7)),"")</f>
        <v/>
      </c>
    </row>
    <row r="270" spans="3:16" x14ac:dyDescent="0.25">
      <c r="C270" s="84" t="str">
        <f>IF(AND('05_PRODUCTOS'!$B270&lt;&gt;"",'05_PRODUCTOS'!$C270&lt;&gt;"",'05_PRODUCTOS'!$K270&lt;&gt;"NO",ISNUMBER(MATCH('05_PRODUCTOS'!$D270,lstCategorias,0))),'05_PRODUCTOS'!$D270,"")</f>
        <v/>
      </c>
      <c r="D270" s="84" t="str">
        <f>IF($C270="","",'05_PRODUCTOS'!$L270)</f>
        <v/>
      </c>
      <c r="E270" s="84" t="str">
        <f t="shared" si="19"/>
        <v/>
      </c>
      <c r="G270" s="85">
        <v>263</v>
      </c>
      <c r="H270" s="84" t="str">
        <f t="shared" si="20"/>
        <v/>
      </c>
      <c r="I270" s="84" t="str">
        <f t="shared" si="21"/>
        <v/>
      </c>
      <c r="J270" s="84" t="str">
        <f t="shared" si="22"/>
        <v/>
      </c>
      <c r="O270" s="84" t="str">
        <f>IF('05_PRODUCTOS'!$L270="","",IF(AND(OR(kxCategoria="",'05_PRODUCTOS'!$D270=kxCategoria),OR(kxBuscar="",ISNUMBER(SEARCH(kxBuscar,'05_PRODUCTOS'!$L270)))),ROW()-7,""))</f>
        <v/>
      </c>
      <c r="P270" s="84" t="str">
        <f>IFERROR(INDEX('05_PRODUCTOS'!$L$8:$L$507,SMALL($O$8:$O$507,ROW()-7)),"")</f>
        <v/>
      </c>
    </row>
    <row r="271" spans="3:16" x14ac:dyDescent="0.25">
      <c r="C271" s="84" t="str">
        <f>IF(AND('05_PRODUCTOS'!$B271&lt;&gt;"",'05_PRODUCTOS'!$C271&lt;&gt;"",'05_PRODUCTOS'!$K271&lt;&gt;"NO",ISNUMBER(MATCH('05_PRODUCTOS'!$D271,lstCategorias,0))),'05_PRODUCTOS'!$D271,"")</f>
        <v/>
      </c>
      <c r="D271" s="84" t="str">
        <f>IF($C271="","",'05_PRODUCTOS'!$L271)</f>
        <v/>
      </c>
      <c r="E271" s="84" t="str">
        <f t="shared" si="19"/>
        <v/>
      </c>
      <c r="G271" s="85">
        <v>264</v>
      </c>
      <c r="H271" s="84" t="str">
        <f t="shared" si="20"/>
        <v/>
      </c>
      <c r="I271" s="84" t="str">
        <f t="shared" si="21"/>
        <v/>
      </c>
      <c r="J271" s="84" t="str">
        <f t="shared" si="22"/>
        <v/>
      </c>
      <c r="O271" s="84" t="str">
        <f>IF('05_PRODUCTOS'!$L271="","",IF(AND(OR(kxCategoria="",'05_PRODUCTOS'!$D271=kxCategoria),OR(kxBuscar="",ISNUMBER(SEARCH(kxBuscar,'05_PRODUCTOS'!$L271)))),ROW()-7,""))</f>
        <v/>
      </c>
      <c r="P271" s="84" t="str">
        <f>IFERROR(INDEX('05_PRODUCTOS'!$L$8:$L$507,SMALL($O$8:$O$507,ROW()-7)),"")</f>
        <v/>
      </c>
    </row>
    <row r="272" spans="3:16" x14ac:dyDescent="0.25">
      <c r="C272" s="84" t="str">
        <f>IF(AND('05_PRODUCTOS'!$B272&lt;&gt;"",'05_PRODUCTOS'!$C272&lt;&gt;"",'05_PRODUCTOS'!$K272&lt;&gt;"NO",ISNUMBER(MATCH('05_PRODUCTOS'!$D272,lstCategorias,0))),'05_PRODUCTOS'!$D272,"")</f>
        <v/>
      </c>
      <c r="D272" s="84" t="str">
        <f>IF($C272="","",'05_PRODUCTOS'!$L272)</f>
        <v/>
      </c>
      <c r="E272" s="84" t="str">
        <f t="shared" si="19"/>
        <v/>
      </c>
      <c r="G272" s="85">
        <v>265</v>
      </c>
      <c r="H272" s="84" t="str">
        <f t="shared" si="20"/>
        <v/>
      </c>
      <c r="I272" s="84" t="str">
        <f t="shared" si="21"/>
        <v/>
      </c>
      <c r="J272" s="84" t="str">
        <f t="shared" si="22"/>
        <v/>
      </c>
      <c r="O272" s="84" t="str">
        <f>IF('05_PRODUCTOS'!$L272="","",IF(AND(OR(kxCategoria="",'05_PRODUCTOS'!$D272=kxCategoria),OR(kxBuscar="",ISNUMBER(SEARCH(kxBuscar,'05_PRODUCTOS'!$L272)))),ROW()-7,""))</f>
        <v/>
      </c>
      <c r="P272" s="84" t="str">
        <f>IFERROR(INDEX('05_PRODUCTOS'!$L$8:$L$507,SMALL($O$8:$O$507,ROW()-7)),"")</f>
        <v/>
      </c>
    </row>
    <row r="273" spans="3:16" x14ac:dyDescent="0.25">
      <c r="C273" s="84" t="str">
        <f>IF(AND('05_PRODUCTOS'!$B273&lt;&gt;"",'05_PRODUCTOS'!$C273&lt;&gt;"",'05_PRODUCTOS'!$K273&lt;&gt;"NO",ISNUMBER(MATCH('05_PRODUCTOS'!$D273,lstCategorias,0))),'05_PRODUCTOS'!$D273,"")</f>
        <v/>
      </c>
      <c r="D273" s="84" t="str">
        <f>IF($C273="","",'05_PRODUCTOS'!$L273)</f>
        <v/>
      </c>
      <c r="E273" s="84" t="str">
        <f t="shared" si="19"/>
        <v/>
      </c>
      <c r="G273" s="85">
        <v>266</v>
      </c>
      <c r="H273" s="84" t="str">
        <f t="shared" si="20"/>
        <v/>
      </c>
      <c r="I273" s="84" t="str">
        <f t="shared" si="21"/>
        <v/>
      </c>
      <c r="J273" s="84" t="str">
        <f t="shared" si="22"/>
        <v/>
      </c>
      <c r="O273" s="84" t="str">
        <f>IF('05_PRODUCTOS'!$L273="","",IF(AND(OR(kxCategoria="",'05_PRODUCTOS'!$D273=kxCategoria),OR(kxBuscar="",ISNUMBER(SEARCH(kxBuscar,'05_PRODUCTOS'!$L273)))),ROW()-7,""))</f>
        <v/>
      </c>
      <c r="P273" s="84" t="str">
        <f>IFERROR(INDEX('05_PRODUCTOS'!$L$8:$L$507,SMALL($O$8:$O$507,ROW()-7)),"")</f>
        <v/>
      </c>
    </row>
    <row r="274" spans="3:16" x14ac:dyDescent="0.25">
      <c r="C274" s="84" t="str">
        <f>IF(AND('05_PRODUCTOS'!$B274&lt;&gt;"",'05_PRODUCTOS'!$C274&lt;&gt;"",'05_PRODUCTOS'!$K274&lt;&gt;"NO",ISNUMBER(MATCH('05_PRODUCTOS'!$D274,lstCategorias,0))),'05_PRODUCTOS'!$D274,"")</f>
        <v/>
      </c>
      <c r="D274" s="84" t="str">
        <f>IF($C274="","",'05_PRODUCTOS'!$L274)</f>
        <v/>
      </c>
      <c r="E274" s="84" t="str">
        <f t="shared" si="19"/>
        <v/>
      </c>
      <c r="G274" s="85">
        <v>267</v>
      </c>
      <c r="H274" s="84" t="str">
        <f t="shared" si="20"/>
        <v/>
      </c>
      <c r="I274" s="84" t="str">
        <f t="shared" si="21"/>
        <v/>
      </c>
      <c r="J274" s="84" t="str">
        <f t="shared" si="22"/>
        <v/>
      </c>
      <c r="O274" s="84" t="str">
        <f>IF('05_PRODUCTOS'!$L274="","",IF(AND(OR(kxCategoria="",'05_PRODUCTOS'!$D274=kxCategoria),OR(kxBuscar="",ISNUMBER(SEARCH(kxBuscar,'05_PRODUCTOS'!$L274)))),ROW()-7,""))</f>
        <v/>
      </c>
      <c r="P274" s="84" t="str">
        <f>IFERROR(INDEX('05_PRODUCTOS'!$L$8:$L$507,SMALL($O$8:$O$507,ROW()-7)),"")</f>
        <v/>
      </c>
    </row>
    <row r="275" spans="3:16" x14ac:dyDescent="0.25">
      <c r="C275" s="84" t="str">
        <f>IF(AND('05_PRODUCTOS'!$B275&lt;&gt;"",'05_PRODUCTOS'!$C275&lt;&gt;"",'05_PRODUCTOS'!$K275&lt;&gt;"NO",ISNUMBER(MATCH('05_PRODUCTOS'!$D275,lstCategorias,0))),'05_PRODUCTOS'!$D275,"")</f>
        <v/>
      </c>
      <c r="D275" s="84" t="str">
        <f>IF($C275="","",'05_PRODUCTOS'!$L275)</f>
        <v/>
      </c>
      <c r="E275" s="84" t="str">
        <f t="shared" si="19"/>
        <v/>
      </c>
      <c r="G275" s="85">
        <v>268</v>
      </c>
      <c r="H275" s="84" t="str">
        <f t="shared" si="20"/>
        <v/>
      </c>
      <c r="I275" s="84" t="str">
        <f t="shared" si="21"/>
        <v/>
      </c>
      <c r="J275" s="84" t="str">
        <f t="shared" si="22"/>
        <v/>
      </c>
      <c r="O275" s="84" t="str">
        <f>IF('05_PRODUCTOS'!$L275="","",IF(AND(OR(kxCategoria="",'05_PRODUCTOS'!$D275=kxCategoria),OR(kxBuscar="",ISNUMBER(SEARCH(kxBuscar,'05_PRODUCTOS'!$L275)))),ROW()-7,""))</f>
        <v/>
      </c>
      <c r="P275" s="84" t="str">
        <f>IFERROR(INDEX('05_PRODUCTOS'!$L$8:$L$507,SMALL($O$8:$O$507,ROW()-7)),"")</f>
        <v/>
      </c>
    </row>
    <row r="276" spans="3:16" x14ac:dyDescent="0.25">
      <c r="C276" s="84" t="str">
        <f>IF(AND('05_PRODUCTOS'!$B276&lt;&gt;"",'05_PRODUCTOS'!$C276&lt;&gt;"",'05_PRODUCTOS'!$K276&lt;&gt;"NO",ISNUMBER(MATCH('05_PRODUCTOS'!$D276,lstCategorias,0))),'05_PRODUCTOS'!$D276,"")</f>
        <v/>
      </c>
      <c r="D276" s="84" t="str">
        <f>IF($C276="","",'05_PRODUCTOS'!$L276)</f>
        <v/>
      </c>
      <c r="E276" s="84" t="str">
        <f t="shared" si="19"/>
        <v/>
      </c>
      <c r="G276" s="85">
        <v>269</v>
      </c>
      <c r="H276" s="84" t="str">
        <f t="shared" si="20"/>
        <v/>
      </c>
      <c r="I276" s="84" t="str">
        <f t="shared" si="21"/>
        <v/>
      </c>
      <c r="J276" s="84" t="str">
        <f t="shared" si="22"/>
        <v/>
      </c>
      <c r="O276" s="84" t="str">
        <f>IF('05_PRODUCTOS'!$L276="","",IF(AND(OR(kxCategoria="",'05_PRODUCTOS'!$D276=kxCategoria),OR(kxBuscar="",ISNUMBER(SEARCH(kxBuscar,'05_PRODUCTOS'!$L276)))),ROW()-7,""))</f>
        <v/>
      </c>
      <c r="P276" s="84" t="str">
        <f>IFERROR(INDEX('05_PRODUCTOS'!$L$8:$L$507,SMALL($O$8:$O$507,ROW()-7)),"")</f>
        <v/>
      </c>
    </row>
    <row r="277" spans="3:16" x14ac:dyDescent="0.25">
      <c r="C277" s="84" t="str">
        <f>IF(AND('05_PRODUCTOS'!$B277&lt;&gt;"",'05_PRODUCTOS'!$C277&lt;&gt;"",'05_PRODUCTOS'!$K277&lt;&gt;"NO",ISNUMBER(MATCH('05_PRODUCTOS'!$D277,lstCategorias,0))),'05_PRODUCTOS'!$D277,"")</f>
        <v/>
      </c>
      <c r="D277" s="84" t="str">
        <f>IF($C277="","",'05_PRODUCTOS'!$L277)</f>
        <v/>
      </c>
      <c r="E277" s="84" t="str">
        <f t="shared" si="19"/>
        <v/>
      </c>
      <c r="G277" s="85">
        <v>270</v>
      </c>
      <c r="H277" s="84" t="str">
        <f t="shared" si="20"/>
        <v/>
      </c>
      <c r="I277" s="84" t="str">
        <f t="shared" si="21"/>
        <v/>
      </c>
      <c r="J277" s="84" t="str">
        <f t="shared" si="22"/>
        <v/>
      </c>
      <c r="O277" s="84" t="str">
        <f>IF('05_PRODUCTOS'!$L277="","",IF(AND(OR(kxCategoria="",'05_PRODUCTOS'!$D277=kxCategoria),OR(kxBuscar="",ISNUMBER(SEARCH(kxBuscar,'05_PRODUCTOS'!$L277)))),ROW()-7,""))</f>
        <v/>
      </c>
      <c r="P277" s="84" t="str">
        <f>IFERROR(INDEX('05_PRODUCTOS'!$L$8:$L$507,SMALL($O$8:$O$507,ROW()-7)),"")</f>
        <v/>
      </c>
    </row>
    <row r="278" spans="3:16" x14ac:dyDescent="0.25">
      <c r="C278" s="84" t="str">
        <f>IF(AND('05_PRODUCTOS'!$B278&lt;&gt;"",'05_PRODUCTOS'!$C278&lt;&gt;"",'05_PRODUCTOS'!$K278&lt;&gt;"NO",ISNUMBER(MATCH('05_PRODUCTOS'!$D278,lstCategorias,0))),'05_PRODUCTOS'!$D278,"")</f>
        <v/>
      </c>
      <c r="D278" s="84" t="str">
        <f>IF($C278="","",'05_PRODUCTOS'!$L278)</f>
        <v/>
      </c>
      <c r="E278" s="84" t="str">
        <f t="shared" si="19"/>
        <v/>
      </c>
      <c r="G278" s="85">
        <v>271</v>
      </c>
      <c r="H278" s="84" t="str">
        <f t="shared" si="20"/>
        <v/>
      </c>
      <c r="I278" s="84" t="str">
        <f t="shared" si="21"/>
        <v/>
      </c>
      <c r="J278" s="84" t="str">
        <f t="shared" si="22"/>
        <v/>
      </c>
      <c r="O278" s="84" t="str">
        <f>IF('05_PRODUCTOS'!$L278="","",IF(AND(OR(kxCategoria="",'05_PRODUCTOS'!$D278=kxCategoria),OR(kxBuscar="",ISNUMBER(SEARCH(kxBuscar,'05_PRODUCTOS'!$L278)))),ROW()-7,""))</f>
        <v/>
      </c>
      <c r="P278" s="84" t="str">
        <f>IFERROR(INDEX('05_PRODUCTOS'!$L$8:$L$507,SMALL($O$8:$O$507,ROW()-7)),"")</f>
        <v/>
      </c>
    </row>
    <row r="279" spans="3:16" x14ac:dyDescent="0.25">
      <c r="C279" s="84" t="str">
        <f>IF(AND('05_PRODUCTOS'!$B279&lt;&gt;"",'05_PRODUCTOS'!$C279&lt;&gt;"",'05_PRODUCTOS'!$K279&lt;&gt;"NO",ISNUMBER(MATCH('05_PRODUCTOS'!$D279,lstCategorias,0))),'05_PRODUCTOS'!$D279,"")</f>
        <v/>
      </c>
      <c r="D279" s="84" t="str">
        <f>IF($C279="","",'05_PRODUCTOS'!$L279)</f>
        <v/>
      </c>
      <c r="E279" s="84" t="str">
        <f t="shared" si="19"/>
        <v/>
      </c>
      <c r="G279" s="85">
        <v>272</v>
      </c>
      <c r="H279" s="84" t="str">
        <f t="shared" si="20"/>
        <v/>
      </c>
      <c r="I279" s="84" t="str">
        <f t="shared" si="21"/>
        <v/>
      </c>
      <c r="J279" s="84" t="str">
        <f t="shared" si="22"/>
        <v/>
      </c>
      <c r="O279" s="84" t="str">
        <f>IF('05_PRODUCTOS'!$L279="","",IF(AND(OR(kxCategoria="",'05_PRODUCTOS'!$D279=kxCategoria),OR(kxBuscar="",ISNUMBER(SEARCH(kxBuscar,'05_PRODUCTOS'!$L279)))),ROW()-7,""))</f>
        <v/>
      </c>
      <c r="P279" s="84" t="str">
        <f>IFERROR(INDEX('05_PRODUCTOS'!$L$8:$L$507,SMALL($O$8:$O$507,ROW()-7)),"")</f>
        <v/>
      </c>
    </row>
    <row r="280" spans="3:16" x14ac:dyDescent="0.25">
      <c r="C280" s="84" t="str">
        <f>IF(AND('05_PRODUCTOS'!$B280&lt;&gt;"",'05_PRODUCTOS'!$C280&lt;&gt;"",'05_PRODUCTOS'!$K280&lt;&gt;"NO",ISNUMBER(MATCH('05_PRODUCTOS'!$D280,lstCategorias,0))),'05_PRODUCTOS'!$D280,"")</f>
        <v/>
      </c>
      <c r="D280" s="84" t="str">
        <f>IF($C280="","",'05_PRODUCTOS'!$L280)</f>
        <v/>
      </c>
      <c r="E280" s="84" t="str">
        <f t="shared" si="19"/>
        <v/>
      </c>
      <c r="G280" s="85">
        <v>273</v>
      </c>
      <c r="H280" s="84" t="str">
        <f t="shared" si="20"/>
        <v/>
      </c>
      <c r="I280" s="84" t="str">
        <f t="shared" si="21"/>
        <v/>
      </c>
      <c r="J280" s="84" t="str">
        <f t="shared" si="22"/>
        <v/>
      </c>
      <c r="O280" s="84" t="str">
        <f>IF('05_PRODUCTOS'!$L280="","",IF(AND(OR(kxCategoria="",'05_PRODUCTOS'!$D280=kxCategoria),OR(kxBuscar="",ISNUMBER(SEARCH(kxBuscar,'05_PRODUCTOS'!$L280)))),ROW()-7,""))</f>
        <v/>
      </c>
      <c r="P280" s="84" t="str">
        <f>IFERROR(INDEX('05_PRODUCTOS'!$L$8:$L$507,SMALL($O$8:$O$507,ROW()-7)),"")</f>
        <v/>
      </c>
    </row>
    <row r="281" spans="3:16" x14ac:dyDescent="0.25">
      <c r="C281" s="84" t="str">
        <f>IF(AND('05_PRODUCTOS'!$B281&lt;&gt;"",'05_PRODUCTOS'!$C281&lt;&gt;"",'05_PRODUCTOS'!$K281&lt;&gt;"NO",ISNUMBER(MATCH('05_PRODUCTOS'!$D281,lstCategorias,0))),'05_PRODUCTOS'!$D281,"")</f>
        <v/>
      </c>
      <c r="D281" s="84" t="str">
        <f>IF($C281="","",'05_PRODUCTOS'!$L281)</f>
        <v/>
      </c>
      <c r="E281" s="84" t="str">
        <f t="shared" si="19"/>
        <v/>
      </c>
      <c r="G281" s="85">
        <v>274</v>
      </c>
      <c r="H281" s="84" t="str">
        <f t="shared" si="20"/>
        <v/>
      </c>
      <c r="I281" s="84" t="str">
        <f t="shared" si="21"/>
        <v/>
      </c>
      <c r="J281" s="84" t="str">
        <f t="shared" si="22"/>
        <v/>
      </c>
      <c r="O281" s="84" t="str">
        <f>IF('05_PRODUCTOS'!$L281="","",IF(AND(OR(kxCategoria="",'05_PRODUCTOS'!$D281=kxCategoria),OR(kxBuscar="",ISNUMBER(SEARCH(kxBuscar,'05_PRODUCTOS'!$L281)))),ROW()-7,""))</f>
        <v/>
      </c>
      <c r="P281" s="84" t="str">
        <f>IFERROR(INDEX('05_PRODUCTOS'!$L$8:$L$507,SMALL($O$8:$O$507,ROW()-7)),"")</f>
        <v/>
      </c>
    </row>
    <row r="282" spans="3:16" x14ac:dyDescent="0.25">
      <c r="C282" s="84" t="str">
        <f>IF(AND('05_PRODUCTOS'!$B282&lt;&gt;"",'05_PRODUCTOS'!$C282&lt;&gt;"",'05_PRODUCTOS'!$K282&lt;&gt;"NO",ISNUMBER(MATCH('05_PRODUCTOS'!$D282,lstCategorias,0))),'05_PRODUCTOS'!$D282,"")</f>
        <v/>
      </c>
      <c r="D282" s="84" t="str">
        <f>IF($C282="","",'05_PRODUCTOS'!$L282)</f>
        <v/>
      </c>
      <c r="E282" s="84" t="str">
        <f t="shared" si="19"/>
        <v/>
      </c>
      <c r="G282" s="85">
        <v>275</v>
      </c>
      <c r="H282" s="84" t="str">
        <f t="shared" si="20"/>
        <v/>
      </c>
      <c r="I282" s="84" t="str">
        <f t="shared" si="21"/>
        <v/>
      </c>
      <c r="J282" s="84" t="str">
        <f t="shared" si="22"/>
        <v/>
      </c>
      <c r="O282" s="84" t="str">
        <f>IF('05_PRODUCTOS'!$L282="","",IF(AND(OR(kxCategoria="",'05_PRODUCTOS'!$D282=kxCategoria),OR(kxBuscar="",ISNUMBER(SEARCH(kxBuscar,'05_PRODUCTOS'!$L282)))),ROW()-7,""))</f>
        <v/>
      </c>
      <c r="P282" s="84" t="str">
        <f>IFERROR(INDEX('05_PRODUCTOS'!$L$8:$L$507,SMALL($O$8:$O$507,ROW()-7)),"")</f>
        <v/>
      </c>
    </row>
    <row r="283" spans="3:16" x14ac:dyDescent="0.25">
      <c r="C283" s="84" t="str">
        <f>IF(AND('05_PRODUCTOS'!$B283&lt;&gt;"",'05_PRODUCTOS'!$C283&lt;&gt;"",'05_PRODUCTOS'!$K283&lt;&gt;"NO",ISNUMBER(MATCH('05_PRODUCTOS'!$D283,lstCategorias,0))),'05_PRODUCTOS'!$D283,"")</f>
        <v/>
      </c>
      <c r="D283" s="84" t="str">
        <f>IF($C283="","",'05_PRODUCTOS'!$L283)</f>
        <v/>
      </c>
      <c r="E283" s="84" t="str">
        <f t="shared" si="19"/>
        <v/>
      </c>
      <c r="G283" s="85">
        <v>276</v>
      </c>
      <c r="H283" s="84" t="str">
        <f t="shared" si="20"/>
        <v/>
      </c>
      <c r="I283" s="84" t="str">
        <f t="shared" si="21"/>
        <v/>
      </c>
      <c r="J283" s="84" t="str">
        <f t="shared" si="22"/>
        <v/>
      </c>
      <c r="O283" s="84" t="str">
        <f>IF('05_PRODUCTOS'!$L283="","",IF(AND(OR(kxCategoria="",'05_PRODUCTOS'!$D283=kxCategoria),OR(kxBuscar="",ISNUMBER(SEARCH(kxBuscar,'05_PRODUCTOS'!$L283)))),ROW()-7,""))</f>
        <v/>
      </c>
      <c r="P283" s="84" t="str">
        <f>IFERROR(INDEX('05_PRODUCTOS'!$L$8:$L$507,SMALL($O$8:$O$507,ROW()-7)),"")</f>
        <v/>
      </c>
    </row>
    <row r="284" spans="3:16" x14ac:dyDescent="0.25">
      <c r="C284" s="84" t="str">
        <f>IF(AND('05_PRODUCTOS'!$B284&lt;&gt;"",'05_PRODUCTOS'!$C284&lt;&gt;"",'05_PRODUCTOS'!$K284&lt;&gt;"NO",ISNUMBER(MATCH('05_PRODUCTOS'!$D284,lstCategorias,0))),'05_PRODUCTOS'!$D284,"")</f>
        <v/>
      </c>
      <c r="D284" s="84" t="str">
        <f>IF($C284="","",'05_PRODUCTOS'!$L284)</f>
        <v/>
      </c>
      <c r="E284" s="84" t="str">
        <f t="shared" si="19"/>
        <v/>
      </c>
      <c r="G284" s="85">
        <v>277</v>
      </c>
      <c r="H284" s="84" t="str">
        <f t="shared" si="20"/>
        <v/>
      </c>
      <c r="I284" s="84" t="str">
        <f t="shared" si="21"/>
        <v/>
      </c>
      <c r="J284" s="84" t="str">
        <f t="shared" si="22"/>
        <v/>
      </c>
      <c r="O284" s="84" t="str">
        <f>IF('05_PRODUCTOS'!$L284="","",IF(AND(OR(kxCategoria="",'05_PRODUCTOS'!$D284=kxCategoria),OR(kxBuscar="",ISNUMBER(SEARCH(kxBuscar,'05_PRODUCTOS'!$L284)))),ROW()-7,""))</f>
        <v/>
      </c>
      <c r="P284" s="84" t="str">
        <f>IFERROR(INDEX('05_PRODUCTOS'!$L$8:$L$507,SMALL($O$8:$O$507,ROW()-7)),"")</f>
        <v/>
      </c>
    </row>
    <row r="285" spans="3:16" x14ac:dyDescent="0.25">
      <c r="C285" s="84" t="str">
        <f>IF(AND('05_PRODUCTOS'!$B285&lt;&gt;"",'05_PRODUCTOS'!$C285&lt;&gt;"",'05_PRODUCTOS'!$K285&lt;&gt;"NO",ISNUMBER(MATCH('05_PRODUCTOS'!$D285,lstCategorias,0))),'05_PRODUCTOS'!$D285,"")</f>
        <v/>
      </c>
      <c r="D285" s="84" t="str">
        <f>IF($C285="","",'05_PRODUCTOS'!$L285)</f>
        <v/>
      </c>
      <c r="E285" s="84" t="str">
        <f t="shared" si="19"/>
        <v/>
      </c>
      <c r="G285" s="85">
        <v>278</v>
      </c>
      <c r="H285" s="84" t="str">
        <f t="shared" si="20"/>
        <v/>
      </c>
      <c r="I285" s="84" t="str">
        <f t="shared" si="21"/>
        <v/>
      </c>
      <c r="J285" s="84" t="str">
        <f t="shared" si="22"/>
        <v/>
      </c>
      <c r="O285" s="84" t="str">
        <f>IF('05_PRODUCTOS'!$L285="","",IF(AND(OR(kxCategoria="",'05_PRODUCTOS'!$D285=kxCategoria),OR(kxBuscar="",ISNUMBER(SEARCH(kxBuscar,'05_PRODUCTOS'!$L285)))),ROW()-7,""))</f>
        <v/>
      </c>
      <c r="P285" s="84" t="str">
        <f>IFERROR(INDEX('05_PRODUCTOS'!$L$8:$L$507,SMALL($O$8:$O$507,ROW()-7)),"")</f>
        <v/>
      </c>
    </row>
    <row r="286" spans="3:16" x14ac:dyDescent="0.25">
      <c r="C286" s="84" t="str">
        <f>IF(AND('05_PRODUCTOS'!$B286&lt;&gt;"",'05_PRODUCTOS'!$C286&lt;&gt;"",'05_PRODUCTOS'!$K286&lt;&gt;"NO",ISNUMBER(MATCH('05_PRODUCTOS'!$D286,lstCategorias,0))),'05_PRODUCTOS'!$D286,"")</f>
        <v/>
      </c>
      <c r="D286" s="84" t="str">
        <f>IF($C286="","",'05_PRODUCTOS'!$L286)</f>
        <v/>
      </c>
      <c r="E286" s="84" t="str">
        <f t="shared" si="19"/>
        <v/>
      </c>
      <c r="G286" s="85">
        <v>279</v>
      </c>
      <c r="H286" s="84" t="str">
        <f t="shared" si="20"/>
        <v/>
      </c>
      <c r="I286" s="84" t="str">
        <f t="shared" si="21"/>
        <v/>
      </c>
      <c r="J286" s="84" t="str">
        <f t="shared" si="22"/>
        <v/>
      </c>
      <c r="O286" s="84" t="str">
        <f>IF('05_PRODUCTOS'!$L286="","",IF(AND(OR(kxCategoria="",'05_PRODUCTOS'!$D286=kxCategoria),OR(kxBuscar="",ISNUMBER(SEARCH(kxBuscar,'05_PRODUCTOS'!$L286)))),ROW()-7,""))</f>
        <v/>
      </c>
      <c r="P286" s="84" t="str">
        <f>IFERROR(INDEX('05_PRODUCTOS'!$L$8:$L$507,SMALL($O$8:$O$507,ROW()-7)),"")</f>
        <v/>
      </c>
    </row>
    <row r="287" spans="3:16" x14ac:dyDescent="0.25">
      <c r="C287" s="84" t="str">
        <f>IF(AND('05_PRODUCTOS'!$B287&lt;&gt;"",'05_PRODUCTOS'!$C287&lt;&gt;"",'05_PRODUCTOS'!$K287&lt;&gt;"NO",ISNUMBER(MATCH('05_PRODUCTOS'!$D287,lstCategorias,0))),'05_PRODUCTOS'!$D287,"")</f>
        <v/>
      </c>
      <c r="D287" s="84" t="str">
        <f>IF($C287="","",'05_PRODUCTOS'!$L287)</f>
        <v/>
      </c>
      <c r="E287" s="84" t="str">
        <f t="shared" si="19"/>
        <v/>
      </c>
      <c r="G287" s="85">
        <v>280</v>
      </c>
      <c r="H287" s="84" t="str">
        <f t="shared" si="20"/>
        <v/>
      </c>
      <c r="I287" s="84" t="str">
        <f t="shared" si="21"/>
        <v/>
      </c>
      <c r="J287" s="84" t="str">
        <f t="shared" si="22"/>
        <v/>
      </c>
      <c r="O287" s="84" t="str">
        <f>IF('05_PRODUCTOS'!$L287="","",IF(AND(OR(kxCategoria="",'05_PRODUCTOS'!$D287=kxCategoria),OR(kxBuscar="",ISNUMBER(SEARCH(kxBuscar,'05_PRODUCTOS'!$L287)))),ROW()-7,""))</f>
        <v/>
      </c>
      <c r="P287" s="84" t="str">
        <f>IFERROR(INDEX('05_PRODUCTOS'!$L$8:$L$507,SMALL($O$8:$O$507,ROW()-7)),"")</f>
        <v/>
      </c>
    </row>
    <row r="288" spans="3:16" x14ac:dyDescent="0.25">
      <c r="C288" s="84" t="str">
        <f>IF(AND('05_PRODUCTOS'!$B288&lt;&gt;"",'05_PRODUCTOS'!$C288&lt;&gt;"",'05_PRODUCTOS'!$K288&lt;&gt;"NO",ISNUMBER(MATCH('05_PRODUCTOS'!$D288,lstCategorias,0))),'05_PRODUCTOS'!$D288,"")</f>
        <v/>
      </c>
      <c r="D288" s="84" t="str">
        <f>IF($C288="","",'05_PRODUCTOS'!$L288)</f>
        <v/>
      </c>
      <c r="E288" s="84" t="str">
        <f t="shared" si="19"/>
        <v/>
      </c>
      <c r="G288" s="85">
        <v>281</v>
      </c>
      <c r="H288" s="84" t="str">
        <f t="shared" si="20"/>
        <v/>
      </c>
      <c r="I288" s="84" t="str">
        <f t="shared" si="21"/>
        <v/>
      </c>
      <c r="J288" s="84" t="str">
        <f t="shared" si="22"/>
        <v/>
      </c>
      <c r="O288" s="84" t="str">
        <f>IF('05_PRODUCTOS'!$L288="","",IF(AND(OR(kxCategoria="",'05_PRODUCTOS'!$D288=kxCategoria),OR(kxBuscar="",ISNUMBER(SEARCH(kxBuscar,'05_PRODUCTOS'!$L288)))),ROW()-7,""))</f>
        <v/>
      </c>
      <c r="P288" s="84" t="str">
        <f>IFERROR(INDEX('05_PRODUCTOS'!$L$8:$L$507,SMALL($O$8:$O$507,ROW()-7)),"")</f>
        <v/>
      </c>
    </row>
    <row r="289" spans="3:16" x14ac:dyDescent="0.25">
      <c r="C289" s="84" t="str">
        <f>IF(AND('05_PRODUCTOS'!$B289&lt;&gt;"",'05_PRODUCTOS'!$C289&lt;&gt;"",'05_PRODUCTOS'!$K289&lt;&gt;"NO",ISNUMBER(MATCH('05_PRODUCTOS'!$D289,lstCategorias,0))),'05_PRODUCTOS'!$D289,"")</f>
        <v/>
      </c>
      <c r="D289" s="84" t="str">
        <f>IF($C289="","",'05_PRODUCTOS'!$L289)</f>
        <v/>
      </c>
      <c r="E289" s="84" t="str">
        <f t="shared" si="19"/>
        <v/>
      </c>
      <c r="G289" s="85">
        <v>282</v>
      </c>
      <c r="H289" s="84" t="str">
        <f t="shared" si="20"/>
        <v/>
      </c>
      <c r="I289" s="84" t="str">
        <f t="shared" si="21"/>
        <v/>
      </c>
      <c r="J289" s="84" t="str">
        <f t="shared" si="22"/>
        <v/>
      </c>
      <c r="O289" s="84" t="str">
        <f>IF('05_PRODUCTOS'!$L289="","",IF(AND(OR(kxCategoria="",'05_PRODUCTOS'!$D289=kxCategoria),OR(kxBuscar="",ISNUMBER(SEARCH(kxBuscar,'05_PRODUCTOS'!$L289)))),ROW()-7,""))</f>
        <v/>
      </c>
      <c r="P289" s="84" t="str">
        <f>IFERROR(INDEX('05_PRODUCTOS'!$L$8:$L$507,SMALL($O$8:$O$507,ROW()-7)),"")</f>
        <v/>
      </c>
    </row>
    <row r="290" spans="3:16" x14ac:dyDescent="0.25">
      <c r="C290" s="84" t="str">
        <f>IF(AND('05_PRODUCTOS'!$B290&lt;&gt;"",'05_PRODUCTOS'!$C290&lt;&gt;"",'05_PRODUCTOS'!$K290&lt;&gt;"NO",ISNUMBER(MATCH('05_PRODUCTOS'!$D290,lstCategorias,0))),'05_PRODUCTOS'!$D290,"")</f>
        <v/>
      </c>
      <c r="D290" s="84" t="str">
        <f>IF($C290="","",'05_PRODUCTOS'!$L290)</f>
        <v/>
      </c>
      <c r="E290" s="84" t="str">
        <f t="shared" si="19"/>
        <v/>
      </c>
      <c r="G290" s="85">
        <v>283</v>
      </c>
      <c r="H290" s="84" t="str">
        <f t="shared" si="20"/>
        <v/>
      </c>
      <c r="I290" s="84" t="str">
        <f t="shared" si="21"/>
        <v/>
      </c>
      <c r="J290" s="84" t="str">
        <f t="shared" si="22"/>
        <v/>
      </c>
      <c r="O290" s="84" t="str">
        <f>IF('05_PRODUCTOS'!$L290="","",IF(AND(OR(kxCategoria="",'05_PRODUCTOS'!$D290=kxCategoria),OR(kxBuscar="",ISNUMBER(SEARCH(kxBuscar,'05_PRODUCTOS'!$L290)))),ROW()-7,""))</f>
        <v/>
      </c>
      <c r="P290" s="84" t="str">
        <f>IFERROR(INDEX('05_PRODUCTOS'!$L$8:$L$507,SMALL($O$8:$O$507,ROW()-7)),"")</f>
        <v/>
      </c>
    </row>
    <row r="291" spans="3:16" x14ac:dyDescent="0.25">
      <c r="C291" s="84" t="str">
        <f>IF(AND('05_PRODUCTOS'!$B291&lt;&gt;"",'05_PRODUCTOS'!$C291&lt;&gt;"",'05_PRODUCTOS'!$K291&lt;&gt;"NO",ISNUMBER(MATCH('05_PRODUCTOS'!$D291,lstCategorias,0))),'05_PRODUCTOS'!$D291,"")</f>
        <v/>
      </c>
      <c r="D291" s="84" t="str">
        <f>IF($C291="","",'05_PRODUCTOS'!$L291)</f>
        <v/>
      </c>
      <c r="E291" s="84" t="str">
        <f t="shared" si="19"/>
        <v/>
      </c>
      <c r="G291" s="85">
        <v>284</v>
      </c>
      <c r="H291" s="84" t="str">
        <f t="shared" si="20"/>
        <v/>
      </c>
      <c r="I291" s="84" t="str">
        <f t="shared" si="21"/>
        <v/>
      </c>
      <c r="J291" s="84" t="str">
        <f t="shared" si="22"/>
        <v/>
      </c>
      <c r="O291" s="84" t="str">
        <f>IF('05_PRODUCTOS'!$L291="","",IF(AND(OR(kxCategoria="",'05_PRODUCTOS'!$D291=kxCategoria),OR(kxBuscar="",ISNUMBER(SEARCH(kxBuscar,'05_PRODUCTOS'!$L291)))),ROW()-7,""))</f>
        <v/>
      </c>
      <c r="P291" s="84" t="str">
        <f>IFERROR(INDEX('05_PRODUCTOS'!$L$8:$L$507,SMALL($O$8:$O$507,ROW()-7)),"")</f>
        <v/>
      </c>
    </row>
    <row r="292" spans="3:16" x14ac:dyDescent="0.25">
      <c r="C292" s="84" t="str">
        <f>IF(AND('05_PRODUCTOS'!$B292&lt;&gt;"",'05_PRODUCTOS'!$C292&lt;&gt;"",'05_PRODUCTOS'!$K292&lt;&gt;"NO",ISNUMBER(MATCH('05_PRODUCTOS'!$D292,lstCategorias,0))),'05_PRODUCTOS'!$D292,"")</f>
        <v/>
      </c>
      <c r="D292" s="84" t="str">
        <f>IF($C292="","",'05_PRODUCTOS'!$L292)</f>
        <v/>
      </c>
      <c r="E292" s="84" t="str">
        <f t="shared" si="19"/>
        <v/>
      </c>
      <c r="G292" s="85">
        <v>285</v>
      </c>
      <c r="H292" s="84" t="str">
        <f t="shared" si="20"/>
        <v/>
      </c>
      <c r="I292" s="84" t="str">
        <f t="shared" si="21"/>
        <v/>
      </c>
      <c r="J292" s="84" t="str">
        <f t="shared" si="22"/>
        <v/>
      </c>
      <c r="O292" s="84" t="str">
        <f>IF('05_PRODUCTOS'!$L292="","",IF(AND(OR(kxCategoria="",'05_PRODUCTOS'!$D292=kxCategoria),OR(kxBuscar="",ISNUMBER(SEARCH(kxBuscar,'05_PRODUCTOS'!$L292)))),ROW()-7,""))</f>
        <v/>
      </c>
      <c r="P292" s="84" t="str">
        <f>IFERROR(INDEX('05_PRODUCTOS'!$L$8:$L$507,SMALL($O$8:$O$507,ROW()-7)),"")</f>
        <v/>
      </c>
    </row>
    <row r="293" spans="3:16" x14ac:dyDescent="0.25">
      <c r="C293" s="84" t="str">
        <f>IF(AND('05_PRODUCTOS'!$B293&lt;&gt;"",'05_PRODUCTOS'!$C293&lt;&gt;"",'05_PRODUCTOS'!$K293&lt;&gt;"NO",ISNUMBER(MATCH('05_PRODUCTOS'!$D293,lstCategorias,0))),'05_PRODUCTOS'!$D293,"")</f>
        <v/>
      </c>
      <c r="D293" s="84" t="str">
        <f>IF($C293="","",'05_PRODUCTOS'!$L293)</f>
        <v/>
      </c>
      <c r="E293" s="84" t="str">
        <f t="shared" si="19"/>
        <v/>
      </c>
      <c r="G293" s="85">
        <v>286</v>
      </c>
      <c r="H293" s="84" t="str">
        <f t="shared" si="20"/>
        <v/>
      </c>
      <c r="I293" s="84" t="str">
        <f t="shared" si="21"/>
        <v/>
      </c>
      <c r="J293" s="84" t="str">
        <f t="shared" si="22"/>
        <v/>
      </c>
      <c r="O293" s="84" t="str">
        <f>IF('05_PRODUCTOS'!$L293="","",IF(AND(OR(kxCategoria="",'05_PRODUCTOS'!$D293=kxCategoria),OR(kxBuscar="",ISNUMBER(SEARCH(kxBuscar,'05_PRODUCTOS'!$L293)))),ROW()-7,""))</f>
        <v/>
      </c>
      <c r="P293" s="84" t="str">
        <f>IFERROR(INDEX('05_PRODUCTOS'!$L$8:$L$507,SMALL($O$8:$O$507,ROW()-7)),"")</f>
        <v/>
      </c>
    </row>
    <row r="294" spans="3:16" x14ac:dyDescent="0.25">
      <c r="C294" s="84" t="str">
        <f>IF(AND('05_PRODUCTOS'!$B294&lt;&gt;"",'05_PRODUCTOS'!$C294&lt;&gt;"",'05_PRODUCTOS'!$K294&lt;&gt;"NO",ISNUMBER(MATCH('05_PRODUCTOS'!$D294,lstCategorias,0))),'05_PRODUCTOS'!$D294,"")</f>
        <v/>
      </c>
      <c r="D294" s="84" t="str">
        <f>IF($C294="","",'05_PRODUCTOS'!$L294)</f>
        <v/>
      </c>
      <c r="E294" s="84" t="str">
        <f t="shared" si="19"/>
        <v/>
      </c>
      <c r="G294" s="85">
        <v>287</v>
      </c>
      <c r="H294" s="84" t="str">
        <f t="shared" si="20"/>
        <v/>
      </c>
      <c r="I294" s="84" t="str">
        <f t="shared" si="21"/>
        <v/>
      </c>
      <c r="J294" s="84" t="str">
        <f t="shared" si="22"/>
        <v/>
      </c>
      <c r="O294" s="84" t="str">
        <f>IF('05_PRODUCTOS'!$L294="","",IF(AND(OR(kxCategoria="",'05_PRODUCTOS'!$D294=kxCategoria),OR(kxBuscar="",ISNUMBER(SEARCH(kxBuscar,'05_PRODUCTOS'!$L294)))),ROW()-7,""))</f>
        <v/>
      </c>
      <c r="P294" s="84" t="str">
        <f>IFERROR(INDEX('05_PRODUCTOS'!$L$8:$L$507,SMALL($O$8:$O$507,ROW()-7)),"")</f>
        <v/>
      </c>
    </row>
    <row r="295" spans="3:16" x14ac:dyDescent="0.25">
      <c r="C295" s="84" t="str">
        <f>IF(AND('05_PRODUCTOS'!$B295&lt;&gt;"",'05_PRODUCTOS'!$C295&lt;&gt;"",'05_PRODUCTOS'!$K295&lt;&gt;"NO",ISNUMBER(MATCH('05_PRODUCTOS'!$D295,lstCategorias,0))),'05_PRODUCTOS'!$D295,"")</f>
        <v/>
      </c>
      <c r="D295" s="84" t="str">
        <f>IF($C295="","",'05_PRODUCTOS'!$L295)</f>
        <v/>
      </c>
      <c r="E295" s="84" t="str">
        <f t="shared" si="19"/>
        <v/>
      </c>
      <c r="G295" s="85">
        <v>288</v>
      </c>
      <c r="H295" s="84" t="str">
        <f t="shared" si="20"/>
        <v/>
      </c>
      <c r="I295" s="84" t="str">
        <f t="shared" si="21"/>
        <v/>
      </c>
      <c r="J295" s="84" t="str">
        <f t="shared" si="22"/>
        <v/>
      </c>
      <c r="O295" s="84" t="str">
        <f>IF('05_PRODUCTOS'!$L295="","",IF(AND(OR(kxCategoria="",'05_PRODUCTOS'!$D295=kxCategoria),OR(kxBuscar="",ISNUMBER(SEARCH(kxBuscar,'05_PRODUCTOS'!$L295)))),ROW()-7,""))</f>
        <v/>
      </c>
      <c r="P295" s="84" t="str">
        <f>IFERROR(INDEX('05_PRODUCTOS'!$L$8:$L$507,SMALL($O$8:$O$507,ROW()-7)),"")</f>
        <v/>
      </c>
    </row>
    <row r="296" spans="3:16" x14ac:dyDescent="0.25">
      <c r="C296" s="84" t="str">
        <f>IF(AND('05_PRODUCTOS'!$B296&lt;&gt;"",'05_PRODUCTOS'!$C296&lt;&gt;"",'05_PRODUCTOS'!$K296&lt;&gt;"NO",ISNUMBER(MATCH('05_PRODUCTOS'!$D296,lstCategorias,0))),'05_PRODUCTOS'!$D296,"")</f>
        <v/>
      </c>
      <c r="D296" s="84" t="str">
        <f>IF($C296="","",'05_PRODUCTOS'!$L296)</f>
        <v/>
      </c>
      <c r="E296" s="84" t="str">
        <f t="shared" si="19"/>
        <v/>
      </c>
      <c r="G296" s="85">
        <v>289</v>
      </c>
      <c r="H296" s="84" t="str">
        <f t="shared" si="20"/>
        <v/>
      </c>
      <c r="I296" s="84" t="str">
        <f t="shared" si="21"/>
        <v/>
      </c>
      <c r="J296" s="84" t="str">
        <f t="shared" si="22"/>
        <v/>
      </c>
      <c r="O296" s="84" t="str">
        <f>IF('05_PRODUCTOS'!$L296="","",IF(AND(OR(kxCategoria="",'05_PRODUCTOS'!$D296=kxCategoria),OR(kxBuscar="",ISNUMBER(SEARCH(kxBuscar,'05_PRODUCTOS'!$L296)))),ROW()-7,""))</f>
        <v/>
      </c>
      <c r="P296" s="84" t="str">
        <f>IFERROR(INDEX('05_PRODUCTOS'!$L$8:$L$507,SMALL($O$8:$O$507,ROW()-7)),"")</f>
        <v/>
      </c>
    </row>
    <row r="297" spans="3:16" x14ac:dyDescent="0.25">
      <c r="C297" s="84" t="str">
        <f>IF(AND('05_PRODUCTOS'!$B297&lt;&gt;"",'05_PRODUCTOS'!$C297&lt;&gt;"",'05_PRODUCTOS'!$K297&lt;&gt;"NO",ISNUMBER(MATCH('05_PRODUCTOS'!$D297,lstCategorias,0))),'05_PRODUCTOS'!$D297,"")</f>
        <v/>
      </c>
      <c r="D297" s="84" t="str">
        <f>IF($C297="","",'05_PRODUCTOS'!$L297)</f>
        <v/>
      </c>
      <c r="E297" s="84" t="str">
        <f t="shared" si="19"/>
        <v/>
      </c>
      <c r="G297" s="85">
        <v>290</v>
      </c>
      <c r="H297" s="84" t="str">
        <f t="shared" si="20"/>
        <v/>
      </c>
      <c r="I297" s="84" t="str">
        <f t="shared" si="21"/>
        <v/>
      </c>
      <c r="J297" s="84" t="str">
        <f t="shared" si="22"/>
        <v/>
      </c>
      <c r="O297" s="84" t="str">
        <f>IF('05_PRODUCTOS'!$L297="","",IF(AND(OR(kxCategoria="",'05_PRODUCTOS'!$D297=kxCategoria),OR(kxBuscar="",ISNUMBER(SEARCH(kxBuscar,'05_PRODUCTOS'!$L297)))),ROW()-7,""))</f>
        <v/>
      </c>
      <c r="P297" s="84" t="str">
        <f>IFERROR(INDEX('05_PRODUCTOS'!$L$8:$L$507,SMALL($O$8:$O$507,ROW()-7)),"")</f>
        <v/>
      </c>
    </row>
    <row r="298" spans="3:16" x14ac:dyDescent="0.25">
      <c r="C298" s="84" t="str">
        <f>IF(AND('05_PRODUCTOS'!$B298&lt;&gt;"",'05_PRODUCTOS'!$C298&lt;&gt;"",'05_PRODUCTOS'!$K298&lt;&gt;"NO",ISNUMBER(MATCH('05_PRODUCTOS'!$D298,lstCategorias,0))),'05_PRODUCTOS'!$D298,"")</f>
        <v/>
      </c>
      <c r="D298" s="84" t="str">
        <f>IF($C298="","",'05_PRODUCTOS'!$L298)</f>
        <v/>
      </c>
      <c r="E298" s="84" t="str">
        <f t="shared" si="19"/>
        <v/>
      </c>
      <c r="G298" s="85">
        <v>291</v>
      </c>
      <c r="H298" s="84" t="str">
        <f t="shared" si="20"/>
        <v/>
      </c>
      <c r="I298" s="84" t="str">
        <f t="shared" si="21"/>
        <v/>
      </c>
      <c r="J298" s="84" t="str">
        <f t="shared" si="22"/>
        <v/>
      </c>
      <c r="O298" s="84" t="str">
        <f>IF('05_PRODUCTOS'!$L298="","",IF(AND(OR(kxCategoria="",'05_PRODUCTOS'!$D298=kxCategoria),OR(kxBuscar="",ISNUMBER(SEARCH(kxBuscar,'05_PRODUCTOS'!$L298)))),ROW()-7,""))</f>
        <v/>
      </c>
      <c r="P298" s="84" t="str">
        <f>IFERROR(INDEX('05_PRODUCTOS'!$L$8:$L$507,SMALL($O$8:$O$507,ROW()-7)),"")</f>
        <v/>
      </c>
    </row>
    <row r="299" spans="3:16" x14ac:dyDescent="0.25">
      <c r="C299" s="84" t="str">
        <f>IF(AND('05_PRODUCTOS'!$B299&lt;&gt;"",'05_PRODUCTOS'!$C299&lt;&gt;"",'05_PRODUCTOS'!$K299&lt;&gt;"NO",ISNUMBER(MATCH('05_PRODUCTOS'!$D299,lstCategorias,0))),'05_PRODUCTOS'!$D299,"")</f>
        <v/>
      </c>
      <c r="D299" s="84" t="str">
        <f>IF($C299="","",'05_PRODUCTOS'!$L299)</f>
        <v/>
      </c>
      <c r="E299" s="84" t="str">
        <f t="shared" si="19"/>
        <v/>
      </c>
      <c r="G299" s="85">
        <v>292</v>
      </c>
      <c r="H299" s="84" t="str">
        <f t="shared" si="20"/>
        <v/>
      </c>
      <c r="I299" s="84" t="str">
        <f t="shared" si="21"/>
        <v/>
      </c>
      <c r="J299" s="84" t="str">
        <f t="shared" si="22"/>
        <v/>
      </c>
      <c r="O299" s="84" t="str">
        <f>IF('05_PRODUCTOS'!$L299="","",IF(AND(OR(kxCategoria="",'05_PRODUCTOS'!$D299=kxCategoria),OR(kxBuscar="",ISNUMBER(SEARCH(kxBuscar,'05_PRODUCTOS'!$L299)))),ROW()-7,""))</f>
        <v/>
      </c>
      <c r="P299" s="84" t="str">
        <f>IFERROR(INDEX('05_PRODUCTOS'!$L$8:$L$507,SMALL($O$8:$O$507,ROW()-7)),"")</f>
        <v/>
      </c>
    </row>
    <row r="300" spans="3:16" x14ac:dyDescent="0.25">
      <c r="C300" s="84" t="str">
        <f>IF(AND('05_PRODUCTOS'!$B300&lt;&gt;"",'05_PRODUCTOS'!$C300&lt;&gt;"",'05_PRODUCTOS'!$K300&lt;&gt;"NO",ISNUMBER(MATCH('05_PRODUCTOS'!$D300,lstCategorias,0))),'05_PRODUCTOS'!$D300,"")</f>
        <v/>
      </c>
      <c r="D300" s="84" t="str">
        <f>IF($C300="","",'05_PRODUCTOS'!$L300)</f>
        <v/>
      </c>
      <c r="E300" s="84" t="str">
        <f t="shared" si="19"/>
        <v/>
      </c>
      <c r="G300" s="85">
        <v>293</v>
      </c>
      <c r="H300" s="84" t="str">
        <f t="shared" si="20"/>
        <v/>
      </c>
      <c r="I300" s="84" t="str">
        <f t="shared" si="21"/>
        <v/>
      </c>
      <c r="J300" s="84" t="str">
        <f t="shared" si="22"/>
        <v/>
      </c>
      <c r="O300" s="84" t="str">
        <f>IF('05_PRODUCTOS'!$L300="","",IF(AND(OR(kxCategoria="",'05_PRODUCTOS'!$D300=kxCategoria),OR(kxBuscar="",ISNUMBER(SEARCH(kxBuscar,'05_PRODUCTOS'!$L300)))),ROW()-7,""))</f>
        <v/>
      </c>
      <c r="P300" s="84" t="str">
        <f>IFERROR(INDEX('05_PRODUCTOS'!$L$8:$L$507,SMALL($O$8:$O$507,ROW()-7)),"")</f>
        <v/>
      </c>
    </row>
    <row r="301" spans="3:16" x14ac:dyDescent="0.25">
      <c r="C301" s="84" t="str">
        <f>IF(AND('05_PRODUCTOS'!$B301&lt;&gt;"",'05_PRODUCTOS'!$C301&lt;&gt;"",'05_PRODUCTOS'!$K301&lt;&gt;"NO",ISNUMBER(MATCH('05_PRODUCTOS'!$D301,lstCategorias,0))),'05_PRODUCTOS'!$D301,"")</f>
        <v/>
      </c>
      <c r="D301" s="84" t="str">
        <f>IF($C301="","",'05_PRODUCTOS'!$L301)</f>
        <v/>
      </c>
      <c r="E301" s="84" t="str">
        <f t="shared" si="19"/>
        <v/>
      </c>
      <c r="G301" s="85">
        <v>294</v>
      </c>
      <c r="H301" s="84" t="str">
        <f t="shared" si="20"/>
        <v/>
      </c>
      <c r="I301" s="84" t="str">
        <f t="shared" si="21"/>
        <v/>
      </c>
      <c r="J301" s="84" t="str">
        <f t="shared" si="22"/>
        <v/>
      </c>
      <c r="O301" s="84" t="str">
        <f>IF('05_PRODUCTOS'!$L301="","",IF(AND(OR(kxCategoria="",'05_PRODUCTOS'!$D301=kxCategoria),OR(kxBuscar="",ISNUMBER(SEARCH(kxBuscar,'05_PRODUCTOS'!$L301)))),ROW()-7,""))</f>
        <v/>
      </c>
      <c r="P301" s="84" t="str">
        <f>IFERROR(INDEX('05_PRODUCTOS'!$L$8:$L$507,SMALL($O$8:$O$507,ROW()-7)),"")</f>
        <v/>
      </c>
    </row>
    <row r="302" spans="3:16" x14ac:dyDescent="0.25">
      <c r="C302" s="84" t="str">
        <f>IF(AND('05_PRODUCTOS'!$B302&lt;&gt;"",'05_PRODUCTOS'!$C302&lt;&gt;"",'05_PRODUCTOS'!$K302&lt;&gt;"NO",ISNUMBER(MATCH('05_PRODUCTOS'!$D302,lstCategorias,0))),'05_PRODUCTOS'!$D302,"")</f>
        <v/>
      </c>
      <c r="D302" s="84" t="str">
        <f>IF($C302="","",'05_PRODUCTOS'!$L302)</f>
        <v/>
      </c>
      <c r="E302" s="84" t="str">
        <f t="shared" si="19"/>
        <v/>
      </c>
      <c r="G302" s="85">
        <v>295</v>
      </c>
      <c r="H302" s="84" t="str">
        <f t="shared" si="20"/>
        <v/>
      </c>
      <c r="I302" s="84" t="str">
        <f t="shared" si="21"/>
        <v/>
      </c>
      <c r="J302" s="84" t="str">
        <f t="shared" si="22"/>
        <v/>
      </c>
      <c r="O302" s="84" t="str">
        <f>IF('05_PRODUCTOS'!$L302="","",IF(AND(OR(kxCategoria="",'05_PRODUCTOS'!$D302=kxCategoria),OR(kxBuscar="",ISNUMBER(SEARCH(kxBuscar,'05_PRODUCTOS'!$L302)))),ROW()-7,""))</f>
        <v/>
      </c>
      <c r="P302" s="84" t="str">
        <f>IFERROR(INDEX('05_PRODUCTOS'!$L$8:$L$507,SMALL($O$8:$O$507,ROW()-7)),"")</f>
        <v/>
      </c>
    </row>
    <row r="303" spans="3:16" x14ac:dyDescent="0.25">
      <c r="C303" s="84" t="str">
        <f>IF(AND('05_PRODUCTOS'!$B303&lt;&gt;"",'05_PRODUCTOS'!$C303&lt;&gt;"",'05_PRODUCTOS'!$K303&lt;&gt;"NO",ISNUMBER(MATCH('05_PRODUCTOS'!$D303,lstCategorias,0))),'05_PRODUCTOS'!$D303,"")</f>
        <v/>
      </c>
      <c r="D303" s="84" t="str">
        <f>IF($C303="","",'05_PRODUCTOS'!$L303)</f>
        <v/>
      </c>
      <c r="E303" s="84" t="str">
        <f t="shared" si="19"/>
        <v/>
      </c>
      <c r="G303" s="85">
        <v>296</v>
      </c>
      <c r="H303" s="84" t="str">
        <f t="shared" si="20"/>
        <v/>
      </c>
      <c r="I303" s="84" t="str">
        <f t="shared" si="21"/>
        <v/>
      </c>
      <c r="J303" s="84" t="str">
        <f t="shared" si="22"/>
        <v/>
      </c>
      <c r="O303" s="84" t="str">
        <f>IF('05_PRODUCTOS'!$L303="","",IF(AND(OR(kxCategoria="",'05_PRODUCTOS'!$D303=kxCategoria),OR(kxBuscar="",ISNUMBER(SEARCH(kxBuscar,'05_PRODUCTOS'!$L303)))),ROW()-7,""))</f>
        <v/>
      </c>
      <c r="P303" s="84" t="str">
        <f>IFERROR(INDEX('05_PRODUCTOS'!$L$8:$L$507,SMALL($O$8:$O$507,ROW()-7)),"")</f>
        <v/>
      </c>
    </row>
    <row r="304" spans="3:16" x14ac:dyDescent="0.25">
      <c r="C304" s="84" t="str">
        <f>IF(AND('05_PRODUCTOS'!$B304&lt;&gt;"",'05_PRODUCTOS'!$C304&lt;&gt;"",'05_PRODUCTOS'!$K304&lt;&gt;"NO",ISNUMBER(MATCH('05_PRODUCTOS'!$D304,lstCategorias,0))),'05_PRODUCTOS'!$D304,"")</f>
        <v/>
      </c>
      <c r="D304" s="84" t="str">
        <f>IF($C304="","",'05_PRODUCTOS'!$L304)</f>
        <v/>
      </c>
      <c r="E304" s="84" t="str">
        <f t="shared" si="19"/>
        <v/>
      </c>
      <c r="G304" s="85">
        <v>297</v>
      </c>
      <c r="H304" s="84" t="str">
        <f t="shared" si="20"/>
        <v/>
      </c>
      <c r="I304" s="84" t="str">
        <f t="shared" si="21"/>
        <v/>
      </c>
      <c r="J304" s="84" t="str">
        <f t="shared" si="22"/>
        <v/>
      </c>
      <c r="O304" s="84" t="str">
        <f>IF('05_PRODUCTOS'!$L304="","",IF(AND(OR(kxCategoria="",'05_PRODUCTOS'!$D304=kxCategoria),OR(kxBuscar="",ISNUMBER(SEARCH(kxBuscar,'05_PRODUCTOS'!$L304)))),ROW()-7,""))</f>
        <v/>
      </c>
      <c r="P304" s="84" t="str">
        <f>IFERROR(INDEX('05_PRODUCTOS'!$L$8:$L$507,SMALL($O$8:$O$507,ROW()-7)),"")</f>
        <v/>
      </c>
    </row>
    <row r="305" spans="3:16" x14ac:dyDescent="0.25">
      <c r="C305" s="84" t="str">
        <f>IF(AND('05_PRODUCTOS'!$B305&lt;&gt;"",'05_PRODUCTOS'!$C305&lt;&gt;"",'05_PRODUCTOS'!$K305&lt;&gt;"NO",ISNUMBER(MATCH('05_PRODUCTOS'!$D305,lstCategorias,0))),'05_PRODUCTOS'!$D305,"")</f>
        <v/>
      </c>
      <c r="D305" s="84" t="str">
        <f>IF($C305="","",'05_PRODUCTOS'!$L305)</f>
        <v/>
      </c>
      <c r="E305" s="84" t="str">
        <f t="shared" si="19"/>
        <v/>
      </c>
      <c r="G305" s="85">
        <v>298</v>
      </c>
      <c r="H305" s="84" t="str">
        <f t="shared" si="20"/>
        <v/>
      </c>
      <c r="I305" s="84" t="str">
        <f t="shared" si="21"/>
        <v/>
      </c>
      <c r="J305" s="84" t="str">
        <f t="shared" si="22"/>
        <v/>
      </c>
      <c r="O305" s="84" t="str">
        <f>IF('05_PRODUCTOS'!$L305="","",IF(AND(OR(kxCategoria="",'05_PRODUCTOS'!$D305=kxCategoria),OR(kxBuscar="",ISNUMBER(SEARCH(kxBuscar,'05_PRODUCTOS'!$L305)))),ROW()-7,""))</f>
        <v/>
      </c>
      <c r="P305" s="84" t="str">
        <f>IFERROR(INDEX('05_PRODUCTOS'!$L$8:$L$507,SMALL($O$8:$O$507,ROW()-7)),"")</f>
        <v/>
      </c>
    </row>
    <row r="306" spans="3:16" x14ac:dyDescent="0.25">
      <c r="C306" s="84" t="str">
        <f>IF(AND('05_PRODUCTOS'!$B306&lt;&gt;"",'05_PRODUCTOS'!$C306&lt;&gt;"",'05_PRODUCTOS'!$K306&lt;&gt;"NO",ISNUMBER(MATCH('05_PRODUCTOS'!$D306,lstCategorias,0))),'05_PRODUCTOS'!$D306,"")</f>
        <v/>
      </c>
      <c r="D306" s="84" t="str">
        <f>IF($C306="","",'05_PRODUCTOS'!$L306)</f>
        <v/>
      </c>
      <c r="E306" s="84" t="str">
        <f t="shared" si="19"/>
        <v/>
      </c>
      <c r="G306" s="85">
        <v>299</v>
      </c>
      <c r="H306" s="84" t="str">
        <f t="shared" si="20"/>
        <v/>
      </c>
      <c r="I306" s="84" t="str">
        <f t="shared" si="21"/>
        <v/>
      </c>
      <c r="J306" s="84" t="str">
        <f t="shared" si="22"/>
        <v/>
      </c>
      <c r="O306" s="84" t="str">
        <f>IF('05_PRODUCTOS'!$L306="","",IF(AND(OR(kxCategoria="",'05_PRODUCTOS'!$D306=kxCategoria),OR(kxBuscar="",ISNUMBER(SEARCH(kxBuscar,'05_PRODUCTOS'!$L306)))),ROW()-7,""))</f>
        <v/>
      </c>
      <c r="P306" s="84" t="str">
        <f>IFERROR(INDEX('05_PRODUCTOS'!$L$8:$L$507,SMALL($O$8:$O$507,ROW()-7)),"")</f>
        <v/>
      </c>
    </row>
    <row r="307" spans="3:16" x14ac:dyDescent="0.25">
      <c r="C307" s="84" t="str">
        <f>IF(AND('05_PRODUCTOS'!$B307&lt;&gt;"",'05_PRODUCTOS'!$C307&lt;&gt;"",'05_PRODUCTOS'!$K307&lt;&gt;"NO",ISNUMBER(MATCH('05_PRODUCTOS'!$D307,lstCategorias,0))),'05_PRODUCTOS'!$D307,"")</f>
        <v/>
      </c>
      <c r="D307" s="84" t="str">
        <f>IF($C307="","",'05_PRODUCTOS'!$L307)</f>
        <v/>
      </c>
      <c r="E307" s="84" t="str">
        <f t="shared" si="19"/>
        <v/>
      </c>
      <c r="G307" s="85">
        <v>300</v>
      </c>
      <c r="H307" s="84" t="str">
        <f t="shared" si="20"/>
        <v/>
      </c>
      <c r="I307" s="84" t="str">
        <f t="shared" si="21"/>
        <v/>
      </c>
      <c r="J307" s="84" t="str">
        <f t="shared" si="22"/>
        <v/>
      </c>
      <c r="O307" s="84" t="str">
        <f>IF('05_PRODUCTOS'!$L307="","",IF(AND(OR(kxCategoria="",'05_PRODUCTOS'!$D307=kxCategoria),OR(kxBuscar="",ISNUMBER(SEARCH(kxBuscar,'05_PRODUCTOS'!$L307)))),ROW()-7,""))</f>
        <v/>
      </c>
      <c r="P307" s="84" t="str">
        <f>IFERROR(INDEX('05_PRODUCTOS'!$L$8:$L$507,SMALL($O$8:$O$507,ROW()-7)),"")</f>
        <v/>
      </c>
    </row>
    <row r="308" spans="3:16" x14ac:dyDescent="0.25">
      <c r="C308" s="84" t="str">
        <f>IF(AND('05_PRODUCTOS'!$B308&lt;&gt;"",'05_PRODUCTOS'!$C308&lt;&gt;"",'05_PRODUCTOS'!$K308&lt;&gt;"NO",ISNUMBER(MATCH('05_PRODUCTOS'!$D308,lstCategorias,0))),'05_PRODUCTOS'!$D308,"")</f>
        <v/>
      </c>
      <c r="D308" s="84" t="str">
        <f>IF($C308="","",'05_PRODUCTOS'!$L308)</f>
        <v/>
      </c>
      <c r="E308" s="84" t="str">
        <f t="shared" si="19"/>
        <v/>
      </c>
      <c r="G308" s="85">
        <v>301</v>
      </c>
      <c r="H308" s="84" t="str">
        <f t="shared" si="20"/>
        <v/>
      </c>
      <c r="I308" s="84" t="str">
        <f t="shared" si="21"/>
        <v/>
      </c>
      <c r="J308" s="84" t="str">
        <f t="shared" si="22"/>
        <v/>
      </c>
      <c r="O308" s="84" t="str">
        <f>IF('05_PRODUCTOS'!$L308="","",IF(AND(OR(kxCategoria="",'05_PRODUCTOS'!$D308=kxCategoria),OR(kxBuscar="",ISNUMBER(SEARCH(kxBuscar,'05_PRODUCTOS'!$L308)))),ROW()-7,""))</f>
        <v/>
      </c>
      <c r="P308" s="84" t="str">
        <f>IFERROR(INDEX('05_PRODUCTOS'!$L$8:$L$507,SMALL($O$8:$O$507,ROW()-7)),"")</f>
        <v/>
      </c>
    </row>
    <row r="309" spans="3:16" x14ac:dyDescent="0.25">
      <c r="C309" s="84" t="str">
        <f>IF(AND('05_PRODUCTOS'!$B309&lt;&gt;"",'05_PRODUCTOS'!$C309&lt;&gt;"",'05_PRODUCTOS'!$K309&lt;&gt;"NO",ISNUMBER(MATCH('05_PRODUCTOS'!$D309,lstCategorias,0))),'05_PRODUCTOS'!$D309,"")</f>
        <v/>
      </c>
      <c r="D309" s="84" t="str">
        <f>IF($C309="","",'05_PRODUCTOS'!$L309)</f>
        <v/>
      </c>
      <c r="E309" s="84" t="str">
        <f t="shared" si="19"/>
        <v/>
      </c>
      <c r="G309" s="85">
        <v>302</v>
      </c>
      <c r="H309" s="84" t="str">
        <f t="shared" si="20"/>
        <v/>
      </c>
      <c r="I309" s="84" t="str">
        <f t="shared" si="21"/>
        <v/>
      </c>
      <c r="J309" s="84" t="str">
        <f t="shared" si="22"/>
        <v/>
      </c>
      <c r="O309" s="84" t="str">
        <f>IF('05_PRODUCTOS'!$L309="","",IF(AND(OR(kxCategoria="",'05_PRODUCTOS'!$D309=kxCategoria),OR(kxBuscar="",ISNUMBER(SEARCH(kxBuscar,'05_PRODUCTOS'!$L309)))),ROW()-7,""))</f>
        <v/>
      </c>
      <c r="P309" s="84" t="str">
        <f>IFERROR(INDEX('05_PRODUCTOS'!$L$8:$L$507,SMALL($O$8:$O$507,ROW()-7)),"")</f>
        <v/>
      </c>
    </row>
    <row r="310" spans="3:16" x14ac:dyDescent="0.25">
      <c r="C310" s="84" t="str">
        <f>IF(AND('05_PRODUCTOS'!$B310&lt;&gt;"",'05_PRODUCTOS'!$C310&lt;&gt;"",'05_PRODUCTOS'!$K310&lt;&gt;"NO",ISNUMBER(MATCH('05_PRODUCTOS'!$D310,lstCategorias,0))),'05_PRODUCTOS'!$D310,"")</f>
        <v/>
      </c>
      <c r="D310" s="84" t="str">
        <f>IF($C310="","",'05_PRODUCTOS'!$L310)</f>
        <v/>
      </c>
      <c r="E310" s="84" t="str">
        <f t="shared" si="19"/>
        <v/>
      </c>
      <c r="G310" s="85">
        <v>303</v>
      </c>
      <c r="H310" s="84" t="str">
        <f t="shared" si="20"/>
        <v/>
      </c>
      <c r="I310" s="84" t="str">
        <f t="shared" si="21"/>
        <v/>
      </c>
      <c r="J310" s="84" t="str">
        <f t="shared" si="22"/>
        <v/>
      </c>
      <c r="O310" s="84" t="str">
        <f>IF('05_PRODUCTOS'!$L310="","",IF(AND(OR(kxCategoria="",'05_PRODUCTOS'!$D310=kxCategoria),OR(kxBuscar="",ISNUMBER(SEARCH(kxBuscar,'05_PRODUCTOS'!$L310)))),ROW()-7,""))</f>
        <v/>
      </c>
      <c r="P310" s="84" t="str">
        <f>IFERROR(INDEX('05_PRODUCTOS'!$L$8:$L$507,SMALL($O$8:$O$507,ROW()-7)),"")</f>
        <v/>
      </c>
    </row>
    <row r="311" spans="3:16" x14ac:dyDescent="0.25">
      <c r="C311" s="84" t="str">
        <f>IF(AND('05_PRODUCTOS'!$B311&lt;&gt;"",'05_PRODUCTOS'!$C311&lt;&gt;"",'05_PRODUCTOS'!$K311&lt;&gt;"NO",ISNUMBER(MATCH('05_PRODUCTOS'!$D311,lstCategorias,0))),'05_PRODUCTOS'!$D311,"")</f>
        <v/>
      </c>
      <c r="D311" s="84" t="str">
        <f>IF($C311="","",'05_PRODUCTOS'!$L311)</f>
        <v/>
      </c>
      <c r="E311" s="84" t="str">
        <f t="shared" si="19"/>
        <v/>
      </c>
      <c r="G311" s="85">
        <v>304</v>
      </c>
      <c r="H311" s="84" t="str">
        <f t="shared" si="20"/>
        <v/>
      </c>
      <c r="I311" s="84" t="str">
        <f t="shared" si="21"/>
        <v/>
      </c>
      <c r="J311" s="84" t="str">
        <f t="shared" si="22"/>
        <v/>
      </c>
      <c r="O311" s="84" t="str">
        <f>IF('05_PRODUCTOS'!$L311="","",IF(AND(OR(kxCategoria="",'05_PRODUCTOS'!$D311=kxCategoria),OR(kxBuscar="",ISNUMBER(SEARCH(kxBuscar,'05_PRODUCTOS'!$L311)))),ROW()-7,""))</f>
        <v/>
      </c>
      <c r="P311" s="84" t="str">
        <f>IFERROR(INDEX('05_PRODUCTOS'!$L$8:$L$507,SMALL($O$8:$O$507,ROW()-7)),"")</f>
        <v/>
      </c>
    </row>
    <row r="312" spans="3:16" x14ac:dyDescent="0.25">
      <c r="C312" s="84" t="str">
        <f>IF(AND('05_PRODUCTOS'!$B312&lt;&gt;"",'05_PRODUCTOS'!$C312&lt;&gt;"",'05_PRODUCTOS'!$K312&lt;&gt;"NO",ISNUMBER(MATCH('05_PRODUCTOS'!$D312,lstCategorias,0))),'05_PRODUCTOS'!$D312,"")</f>
        <v/>
      </c>
      <c r="D312" s="84" t="str">
        <f>IF($C312="","",'05_PRODUCTOS'!$L312)</f>
        <v/>
      </c>
      <c r="E312" s="84" t="str">
        <f t="shared" si="19"/>
        <v/>
      </c>
      <c r="G312" s="85">
        <v>305</v>
      </c>
      <c r="H312" s="84" t="str">
        <f t="shared" si="20"/>
        <v/>
      </c>
      <c r="I312" s="84" t="str">
        <f t="shared" si="21"/>
        <v/>
      </c>
      <c r="J312" s="84" t="str">
        <f t="shared" si="22"/>
        <v/>
      </c>
      <c r="O312" s="84" t="str">
        <f>IF('05_PRODUCTOS'!$L312="","",IF(AND(OR(kxCategoria="",'05_PRODUCTOS'!$D312=kxCategoria),OR(kxBuscar="",ISNUMBER(SEARCH(kxBuscar,'05_PRODUCTOS'!$L312)))),ROW()-7,""))</f>
        <v/>
      </c>
      <c r="P312" s="84" t="str">
        <f>IFERROR(INDEX('05_PRODUCTOS'!$L$8:$L$507,SMALL($O$8:$O$507,ROW()-7)),"")</f>
        <v/>
      </c>
    </row>
    <row r="313" spans="3:16" x14ac:dyDescent="0.25">
      <c r="C313" s="84" t="str">
        <f>IF(AND('05_PRODUCTOS'!$B313&lt;&gt;"",'05_PRODUCTOS'!$C313&lt;&gt;"",'05_PRODUCTOS'!$K313&lt;&gt;"NO",ISNUMBER(MATCH('05_PRODUCTOS'!$D313,lstCategorias,0))),'05_PRODUCTOS'!$D313,"")</f>
        <v/>
      </c>
      <c r="D313" s="84" t="str">
        <f>IF($C313="","",'05_PRODUCTOS'!$L313)</f>
        <v/>
      </c>
      <c r="E313" s="84" t="str">
        <f t="shared" si="19"/>
        <v/>
      </c>
      <c r="G313" s="85">
        <v>306</v>
      </c>
      <c r="H313" s="84" t="str">
        <f t="shared" si="20"/>
        <v/>
      </c>
      <c r="I313" s="84" t="str">
        <f t="shared" si="21"/>
        <v/>
      </c>
      <c r="J313" s="84" t="str">
        <f t="shared" si="22"/>
        <v/>
      </c>
      <c r="O313" s="84" t="str">
        <f>IF('05_PRODUCTOS'!$L313="","",IF(AND(OR(kxCategoria="",'05_PRODUCTOS'!$D313=kxCategoria),OR(kxBuscar="",ISNUMBER(SEARCH(kxBuscar,'05_PRODUCTOS'!$L313)))),ROW()-7,""))</f>
        <v/>
      </c>
      <c r="P313" s="84" t="str">
        <f>IFERROR(INDEX('05_PRODUCTOS'!$L$8:$L$507,SMALL($O$8:$O$507,ROW()-7)),"")</f>
        <v/>
      </c>
    </row>
    <row r="314" spans="3:16" x14ac:dyDescent="0.25">
      <c r="C314" s="84" t="str">
        <f>IF(AND('05_PRODUCTOS'!$B314&lt;&gt;"",'05_PRODUCTOS'!$C314&lt;&gt;"",'05_PRODUCTOS'!$K314&lt;&gt;"NO",ISNUMBER(MATCH('05_PRODUCTOS'!$D314,lstCategorias,0))),'05_PRODUCTOS'!$D314,"")</f>
        <v/>
      </c>
      <c r="D314" s="84" t="str">
        <f>IF($C314="","",'05_PRODUCTOS'!$L314)</f>
        <v/>
      </c>
      <c r="E314" s="84" t="str">
        <f t="shared" si="19"/>
        <v/>
      </c>
      <c r="G314" s="85">
        <v>307</v>
      </c>
      <c r="H314" s="84" t="str">
        <f t="shared" si="20"/>
        <v/>
      </c>
      <c r="I314" s="84" t="str">
        <f t="shared" si="21"/>
        <v/>
      </c>
      <c r="J314" s="84" t="str">
        <f t="shared" si="22"/>
        <v/>
      </c>
      <c r="O314" s="84" t="str">
        <f>IF('05_PRODUCTOS'!$L314="","",IF(AND(OR(kxCategoria="",'05_PRODUCTOS'!$D314=kxCategoria),OR(kxBuscar="",ISNUMBER(SEARCH(kxBuscar,'05_PRODUCTOS'!$L314)))),ROW()-7,""))</f>
        <v/>
      </c>
      <c r="P314" s="84" t="str">
        <f>IFERROR(INDEX('05_PRODUCTOS'!$L$8:$L$507,SMALL($O$8:$O$507,ROW()-7)),"")</f>
        <v/>
      </c>
    </row>
    <row r="315" spans="3:16" x14ac:dyDescent="0.25">
      <c r="C315" s="84" t="str">
        <f>IF(AND('05_PRODUCTOS'!$B315&lt;&gt;"",'05_PRODUCTOS'!$C315&lt;&gt;"",'05_PRODUCTOS'!$K315&lt;&gt;"NO",ISNUMBER(MATCH('05_PRODUCTOS'!$D315,lstCategorias,0))),'05_PRODUCTOS'!$D315,"")</f>
        <v/>
      </c>
      <c r="D315" s="84" t="str">
        <f>IF($C315="","",'05_PRODUCTOS'!$L315)</f>
        <v/>
      </c>
      <c r="E315" s="84" t="str">
        <f t="shared" si="19"/>
        <v/>
      </c>
      <c r="G315" s="85">
        <v>308</v>
      </c>
      <c r="H315" s="84" t="str">
        <f t="shared" si="20"/>
        <v/>
      </c>
      <c r="I315" s="84" t="str">
        <f t="shared" si="21"/>
        <v/>
      </c>
      <c r="J315" s="84" t="str">
        <f t="shared" si="22"/>
        <v/>
      </c>
      <c r="O315" s="84" t="str">
        <f>IF('05_PRODUCTOS'!$L315="","",IF(AND(OR(kxCategoria="",'05_PRODUCTOS'!$D315=kxCategoria),OR(kxBuscar="",ISNUMBER(SEARCH(kxBuscar,'05_PRODUCTOS'!$L315)))),ROW()-7,""))</f>
        <v/>
      </c>
      <c r="P315" s="84" t="str">
        <f>IFERROR(INDEX('05_PRODUCTOS'!$L$8:$L$507,SMALL($O$8:$O$507,ROW()-7)),"")</f>
        <v/>
      </c>
    </row>
    <row r="316" spans="3:16" x14ac:dyDescent="0.25">
      <c r="C316" s="84" t="str">
        <f>IF(AND('05_PRODUCTOS'!$B316&lt;&gt;"",'05_PRODUCTOS'!$C316&lt;&gt;"",'05_PRODUCTOS'!$K316&lt;&gt;"NO",ISNUMBER(MATCH('05_PRODUCTOS'!$D316,lstCategorias,0))),'05_PRODUCTOS'!$D316,"")</f>
        <v/>
      </c>
      <c r="D316" s="84" t="str">
        <f>IF($C316="","",'05_PRODUCTOS'!$L316)</f>
        <v/>
      </c>
      <c r="E316" s="84" t="str">
        <f t="shared" si="19"/>
        <v/>
      </c>
      <c r="G316" s="85">
        <v>309</v>
      </c>
      <c r="H316" s="84" t="str">
        <f t="shared" si="20"/>
        <v/>
      </c>
      <c r="I316" s="84" t="str">
        <f t="shared" si="21"/>
        <v/>
      </c>
      <c r="J316" s="84" t="str">
        <f t="shared" si="22"/>
        <v/>
      </c>
      <c r="O316" s="84" t="str">
        <f>IF('05_PRODUCTOS'!$L316="","",IF(AND(OR(kxCategoria="",'05_PRODUCTOS'!$D316=kxCategoria),OR(kxBuscar="",ISNUMBER(SEARCH(kxBuscar,'05_PRODUCTOS'!$L316)))),ROW()-7,""))</f>
        <v/>
      </c>
      <c r="P316" s="84" t="str">
        <f>IFERROR(INDEX('05_PRODUCTOS'!$L$8:$L$507,SMALL($O$8:$O$507,ROW()-7)),"")</f>
        <v/>
      </c>
    </row>
    <row r="317" spans="3:16" x14ac:dyDescent="0.25">
      <c r="C317" s="84" t="str">
        <f>IF(AND('05_PRODUCTOS'!$B317&lt;&gt;"",'05_PRODUCTOS'!$C317&lt;&gt;"",'05_PRODUCTOS'!$K317&lt;&gt;"NO",ISNUMBER(MATCH('05_PRODUCTOS'!$D317,lstCategorias,0))),'05_PRODUCTOS'!$D317,"")</f>
        <v/>
      </c>
      <c r="D317" s="84" t="str">
        <f>IF($C317="","",'05_PRODUCTOS'!$L317)</f>
        <v/>
      </c>
      <c r="E317" s="84" t="str">
        <f t="shared" si="19"/>
        <v/>
      </c>
      <c r="G317" s="85">
        <v>310</v>
      </c>
      <c r="H317" s="84" t="str">
        <f t="shared" si="20"/>
        <v/>
      </c>
      <c r="I317" s="84" t="str">
        <f t="shared" si="21"/>
        <v/>
      </c>
      <c r="J317" s="84" t="str">
        <f t="shared" si="22"/>
        <v/>
      </c>
      <c r="O317" s="84" t="str">
        <f>IF('05_PRODUCTOS'!$L317="","",IF(AND(OR(kxCategoria="",'05_PRODUCTOS'!$D317=kxCategoria),OR(kxBuscar="",ISNUMBER(SEARCH(kxBuscar,'05_PRODUCTOS'!$L317)))),ROW()-7,""))</f>
        <v/>
      </c>
      <c r="P317" s="84" t="str">
        <f>IFERROR(INDEX('05_PRODUCTOS'!$L$8:$L$507,SMALL($O$8:$O$507,ROW()-7)),"")</f>
        <v/>
      </c>
    </row>
    <row r="318" spans="3:16" x14ac:dyDescent="0.25">
      <c r="C318" s="84" t="str">
        <f>IF(AND('05_PRODUCTOS'!$B318&lt;&gt;"",'05_PRODUCTOS'!$C318&lt;&gt;"",'05_PRODUCTOS'!$K318&lt;&gt;"NO",ISNUMBER(MATCH('05_PRODUCTOS'!$D318,lstCategorias,0))),'05_PRODUCTOS'!$D318,"")</f>
        <v/>
      </c>
      <c r="D318" s="84" t="str">
        <f>IF($C318="","",'05_PRODUCTOS'!$L318)</f>
        <v/>
      </c>
      <c r="E318" s="84" t="str">
        <f t="shared" si="19"/>
        <v/>
      </c>
      <c r="G318" s="85">
        <v>311</v>
      </c>
      <c r="H318" s="84" t="str">
        <f t="shared" si="20"/>
        <v/>
      </c>
      <c r="I318" s="84" t="str">
        <f t="shared" si="21"/>
        <v/>
      </c>
      <c r="J318" s="84" t="str">
        <f t="shared" si="22"/>
        <v/>
      </c>
      <c r="O318" s="84" t="str">
        <f>IF('05_PRODUCTOS'!$L318="","",IF(AND(OR(kxCategoria="",'05_PRODUCTOS'!$D318=kxCategoria),OR(kxBuscar="",ISNUMBER(SEARCH(kxBuscar,'05_PRODUCTOS'!$L318)))),ROW()-7,""))</f>
        <v/>
      </c>
      <c r="P318" s="84" t="str">
        <f>IFERROR(INDEX('05_PRODUCTOS'!$L$8:$L$507,SMALL($O$8:$O$507,ROW()-7)),"")</f>
        <v/>
      </c>
    </row>
    <row r="319" spans="3:16" x14ac:dyDescent="0.25">
      <c r="C319" s="84" t="str">
        <f>IF(AND('05_PRODUCTOS'!$B319&lt;&gt;"",'05_PRODUCTOS'!$C319&lt;&gt;"",'05_PRODUCTOS'!$K319&lt;&gt;"NO",ISNUMBER(MATCH('05_PRODUCTOS'!$D319,lstCategorias,0))),'05_PRODUCTOS'!$D319,"")</f>
        <v/>
      </c>
      <c r="D319" s="84" t="str">
        <f>IF($C319="","",'05_PRODUCTOS'!$L319)</f>
        <v/>
      </c>
      <c r="E319" s="84" t="str">
        <f t="shared" si="19"/>
        <v/>
      </c>
      <c r="G319" s="85">
        <v>312</v>
      </c>
      <c r="H319" s="84" t="str">
        <f t="shared" si="20"/>
        <v/>
      </c>
      <c r="I319" s="84" t="str">
        <f t="shared" si="21"/>
        <v/>
      </c>
      <c r="J319" s="84" t="str">
        <f t="shared" si="22"/>
        <v/>
      </c>
      <c r="O319" s="84" t="str">
        <f>IF('05_PRODUCTOS'!$L319="","",IF(AND(OR(kxCategoria="",'05_PRODUCTOS'!$D319=kxCategoria),OR(kxBuscar="",ISNUMBER(SEARCH(kxBuscar,'05_PRODUCTOS'!$L319)))),ROW()-7,""))</f>
        <v/>
      </c>
      <c r="P319" s="84" t="str">
        <f>IFERROR(INDEX('05_PRODUCTOS'!$L$8:$L$507,SMALL($O$8:$O$507,ROW()-7)),"")</f>
        <v/>
      </c>
    </row>
    <row r="320" spans="3:16" x14ac:dyDescent="0.25">
      <c r="C320" s="84" t="str">
        <f>IF(AND('05_PRODUCTOS'!$B320&lt;&gt;"",'05_PRODUCTOS'!$C320&lt;&gt;"",'05_PRODUCTOS'!$K320&lt;&gt;"NO",ISNUMBER(MATCH('05_PRODUCTOS'!$D320,lstCategorias,0))),'05_PRODUCTOS'!$D320,"")</f>
        <v/>
      </c>
      <c r="D320" s="84" t="str">
        <f>IF($C320="","",'05_PRODUCTOS'!$L320)</f>
        <v/>
      </c>
      <c r="E320" s="84" t="str">
        <f t="shared" si="19"/>
        <v/>
      </c>
      <c r="G320" s="85">
        <v>313</v>
      </c>
      <c r="H320" s="84" t="str">
        <f t="shared" si="20"/>
        <v/>
      </c>
      <c r="I320" s="84" t="str">
        <f t="shared" si="21"/>
        <v/>
      </c>
      <c r="J320" s="84" t="str">
        <f t="shared" si="22"/>
        <v/>
      </c>
      <c r="O320" s="84" t="str">
        <f>IF('05_PRODUCTOS'!$L320="","",IF(AND(OR(kxCategoria="",'05_PRODUCTOS'!$D320=kxCategoria),OR(kxBuscar="",ISNUMBER(SEARCH(kxBuscar,'05_PRODUCTOS'!$L320)))),ROW()-7,""))</f>
        <v/>
      </c>
      <c r="P320" s="84" t="str">
        <f>IFERROR(INDEX('05_PRODUCTOS'!$L$8:$L$507,SMALL($O$8:$O$507,ROW()-7)),"")</f>
        <v/>
      </c>
    </row>
    <row r="321" spans="3:16" x14ac:dyDescent="0.25">
      <c r="C321" s="84" t="str">
        <f>IF(AND('05_PRODUCTOS'!$B321&lt;&gt;"",'05_PRODUCTOS'!$C321&lt;&gt;"",'05_PRODUCTOS'!$K321&lt;&gt;"NO",ISNUMBER(MATCH('05_PRODUCTOS'!$D321,lstCategorias,0))),'05_PRODUCTOS'!$D321,"")</f>
        <v/>
      </c>
      <c r="D321" s="84" t="str">
        <f>IF($C321="","",'05_PRODUCTOS'!$L321)</f>
        <v/>
      </c>
      <c r="E321" s="84" t="str">
        <f t="shared" si="19"/>
        <v/>
      </c>
      <c r="G321" s="85">
        <v>314</v>
      </c>
      <c r="H321" s="84" t="str">
        <f t="shared" si="20"/>
        <v/>
      </c>
      <c r="I321" s="84" t="str">
        <f t="shared" si="21"/>
        <v/>
      </c>
      <c r="J321" s="84" t="str">
        <f t="shared" si="22"/>
        <v/>
      </c>
      <c r="O321" s="84" t="str">
        <f>IF('05_PRODUCTOS'!$L321="","",IF(AND(OR(kxCategoria="",'05_PRODUCTOS'!$D321=kxCategoria),OR(kxBuscar="",ISNUMBER(SEARCH(kxBuscar,'05_PRODUCTOS'!$L321)))),ROW()-7,""))</f>
        <v/>
      </c>
      <c r="P321" s="84" t="str">
        <f>IFERROR(INDEX('05_PRODUCTOS'!$L$8:$L$507,SMALL($O$8:$O$507,ROW()-7)),"")</f>
        <v/>
      </c>
    </row>
    <row r="322" spans="3:16" x14ac:dyDescent="0.25">
      <c r="C322" s="84" t="str">
        <f>IF(AND('05_PRODUCTOS'!$B322&lt;&gt;"",'05_PRODUCTOS'!$C322&lt;&gt;"",'05_PRODUCTOS'!$K322&lt;&gt;"NO",ISNUMBER(MATCH('05_PRODUCTOS'!$D322,lstCategorias,0))),'05_PRODUCTOS'!$D322,"")</f>
        <v/>
      </c>
      <c r="D322" s="84" t="str">
        <f>IF($C322="","",'05_PRODUCTOS'!$L322)</f>
        <v/>
      </c>
      <c r="E322" s="84" t="str">
        <f t="shared" si="19"/>
        <v/>
      </c>
      <c r="G322" s="85">
        <v>315</v>
      </c>
      <c r="H322" s="84" t="str">
        <f t="shared" si="20"/>
        <v/>
      </c>
      <c r="I322" s="84" t="str">
        <f t="shared" si="21"/>
        <v/>
      </c>
      <c r="J322" s="84" t="str">
        <f t="shared" si="22"/>
        <v/>
      </c>
      <c r="O322" s="84" t="str">
        <f>IF('05_PRODUCTOS'!$L322="","",IF(AND(OR(kxCategoria="",'05_PRODUCTOS'!$D322=kxCategoria),OR(kxBuscar="",ISNUMBER(SEARCH(kxBuscar,'05_PRODUCTOS'!$L322)))),ROW()-7,""))</f>
        <v/>
      </c>
      <c r="P322" s="84" t="str">
        <f>IFERROR(INDEX('05_PRODUCTOS'!$L$8:$L$507,SMALL($O$8:$O$507,ROW()-7)),"")</f>
        <v/>
      </c>
    </row>
    <row r="323" spans="3:16" x14ac:dyDescent="0.25">
      <c r="C323" s="84" t="str">
        <f>IF(AND('05_PRODUCTOS'!$B323&lt;&gt;"",'05_PRODUCTOS'!$C323&lt;&gt;"",'05_PRODUCTOS'!$K323&lt;&gt;"NO",ISNUMBER(MATCH('05_PRODUCTOS'!$D323,lstCategorias,0))),'05_PRODUCTOS'!$D323,"")</f>
        <v/>
      </c>
      <c r="D323" s="84" t="str">
        <f>IF($C323="","",'05_PRODUCTOS'!$L323)</f>
        <v/>
      </c>
      <c r="E323" s="84" t="str">
        <f t="shared" si="19"/>
        <v/>
      </c>
      <c r="G323" s="85">
        <v>316</v>
      </c>
      <c r="H323" s="84" t="str">
        <f t="shared" si="20"/>
        <v/>
      </c>
      <c r="I323" s="84" t="str">
        <f t="shared" si="21"/>
        <v/>
      </c>
      <c r="J323" s="84" t="str">
        <f t="shared" si="22"/>
        <v/>
      </c>
      <c r="O323" s="84" t="str">
        <f>IF('05_PRODUCTOS'!$L323="","",IF(AND(OR(kxCategoria="",'05_PRODUCTOS'!$D323=kxCategoria),OR(kxBuscar="",ISNUMBER(SEARCH(kxBuscar,'05_PRODUCTOS'!$L323)))),ROW()-7,""))</f>
        <v/>
      </c>
      <c r="P323" s="84" t="str">
        <f>IFERROR(INDEX('05_PRODUCTOS'!$L$8:$L$507,SMALL($O$8:$O$507,ROW()-7)),"")</f>
        <v/>
      </c>
    </row>
    <row r="324" spans="3:16" x14ac:dyDescent="0.25">
      <c r="C324" s="84" t="str">
        <f>IF(AND('05_PRODUCTOS'!$B324&lt;&gt;"",'05_PRODUCTOS'!$C324&lt;&gt;"",'05_PRODUCTOS'!$K324&lt;&gt;"NO",ISNUMBER(MATCH('05_PRODUCTOS'!$D324,lstCategorias,0))),'05_PRODUCTOS'!$D324,"")</f>
        <v/>
      </c>
      <c r="D324" s="84" t="str">
        <f>IF($C324="","",'05_PRODUCTOS'!$L324)</f>
        <v/>
      </c>
      <c r="E324" s="84" t="str">
        <f t="shared" si="19"/>
        <v/>
      </c>
      <c r="G324" s="85">
        <v>317</v>
      </c>
      <c r="H324" s="84" t="str">
        <f t="shared" si="20"/>
        <v/>
      </c>
      <c r="I324" s="84" t="str">
        <f t="shared" si="21"/>
        <v/>
      </c>
      <c r="J324" s="84" t="str">
        <f t="shared" si="22"/>
        <v/>
      </c>
      <c r="O324" s="84" t="str">
        <f>IF('05_PRODUCTOS'!$L324="","",IF(AND(OR(kxCategoria="",'05_PRODUCTOS'!$D324=kxCategoria),OR(kxBuscar="",ISNUMBER(SEARCH(kxBuscar,'05_PRODUCTOS'!$L324)))),ROW()-7,""))</f>
        <v/>
      </c>
      <c r="P324" s="84" t="str">
        <f>IFERROR(INDEX('05_PRODUCTOS'!$L$8:$L$507,SMALL($O$8:$O$507,ROW()-7)),"")</f>
        <v/>
      </c>
    </row>
    <row r="325" spans="3:16" x14ac:dyDescent="0.25">
      <c r="C325" s="84" t="str">
        <f>IF(AND('05_PRODUCTOS'!$B325&lt;&gt;"",'05_PRODUCTOS'!$C325&lt;&gt;"",'05_PRODUCTOS'!$K325&lt;&gt;"NO",ISNUMBER(MATCH('05_PRODUCTOS'!$D325,lstCategorias,0))),'05_PRODUCTOS'!$D325,"")</f>
        <v/>
      </c>
      <c r="D325" s="84" t="str">
        <f>IF($C325="","",'05_PRODUCTOS'!$L325)</f>
        <v/>
      </c>
      <c r="E325" s="84" t="str">
        <f t="shared" si="19"/>
        <v/>
      </c>
      <c r="G325" s="85">
        <v>318</v>
      </c>
      <c r="H325" s="84" t="str">
        <f t="shared" si="20"/>
        <v/>
      </c>
      <c r="I325" s="84" t="str">
        <f t="shared" si="21"/>
        <v/>
      </c>
      <c r="J325" s="84" t="str">
        <f t="shared" si="22"/>
        <v/>
      </c>
      <c r="O325" s="84" t="str">
        <f>IF('05_PRODUCTOS'!$L325="","",IF(AND(OR(kxCategoria="",'05_PRODUCTOS'!$D325=kxCategoria),OR(kxBuscar="",ISNUMBER(SEARCH(kxBuscar,'05_PRODUCTOS'!$L325)))),ROW()-7,""))</f>
        <v/>
      </c>
      <c r="P325" s="84" t="str">
        <f>IFERROR(INDEX('05_PRODUCTOS'!$L$8:$L$507,SMALL($O$8:$O$507,ROW()-7)),"")</f>
        <v/>
      </c>
    </row>
    <row r="326" spans="3:16" x14ac:dyDescent="0.25">
      <c r="C326" s="84" t="str">
        <f>IF(AND('05_PRODUCTOS'!$B326&lt;&gt;"",'05_PRODUCTOS'!$C326&lt;&gt;"",'05_PRODUCTOS'!$K326&lt;&gt;"NO",ISNUMBER(MATCH('05_PRODUCTOS'!$D326,lstCategorias,0))),'05_PRODUCTOS'!$D326,"")</f>
        <v/>
      </c>
      <c r="D326" s="84" t="str">
        <f>IF($C326="","",'05_PRODUCTOS'!$L326)</f>
        <v/>
      </c>
      <c r="E326" s="84" t="str">
        <f t="shared" si="19"/>
        <v/>
      </c>
      <c r="G326" s="85">
        <v>319</v>
      </c>
      <c r="H326" s="84" t="str">
        <f t="shared" si="20"/>
        <v/>
      </c>
      <c r="I326" s="84" t="str">
        <f t="shared" si="21"/>
        <v/>
      </c>
      <c r="J326" s="84" t="str">
        <f t="shared" si="22"/>
        <v/>
      </c>
      <c r="O326" s="84" t="str">
        <f>IF('05_PRODUCTOS'!$L326="","",IF(AND(OR(kxCategoria="",'05_PRODUCTOS'!$D326=kxCategoria),OR(kxBuscar="",ISNUMBER(SEARCH(kxBuscar,'05_PRODUCTOS'!$L326)))),ROW()-7,""))</f>
        <v/>
      </c>
      <c r="P326" s="84" t="str">
        <f>IFERROR(INDEX('05_PRODUCTOS'!$L$8:$L$507,SMALL($O$8:$O$507,ROW()-7)),"")</f>
        <v/>
      </c>
    </row>
    <row r="327" spans="3:16" x14ac:dyDescent="0.25">
      <c r="C327" s="84" t="str">
        <f>IF(AND('05_PRODUCTOS'!$B327&lt;&gt;"",'05_PRODUCTOS'!$C327&lt;&gt;"",'05_PRODUCTOS'!$K327&lt;&gt;"NO",ISNUMBER(MATCH('05_PRODUCTOS'!$D327,lstCategorias,0))),'05_PRODUCTOS'!$D327,"")</f>
        <v/>
      </c>
      <c r="D327" s="84" t="str">
        <f>IF($C327="","",'05_PRODUCTOS'!$L327)</f>
        <v/>
      </c>
      <c r="E327" s="84" t="str">
        <f t="shared" si="19"/>
        <v/>
      </c>
      <c r="G327" s="85">
        <v>320</v>
      </c>
      <c r="H327" s="84" t="str">
        <f t="shared" si="20"/>
        <v/>
      </c>
      <c r="I327" s="84" t="str">
        <f t="shared" si="21"/>
        <v/>
      </c>
      <c r="J327" s="84" t="str">
        <f t="shared" si="22"/>
        <v/>
      </c>
      <c r="O327" s="84" t="str">
        <f>IF('05_PRODUCTOS'!$L327="","",IF(AND(OR(kxCategoria="",'05_PRODUCTOS'!$D327=kxCategoria),OR(kxBuscar="",ISNUMBER(SEARCH(kxBuscar,'05_PRODUCTOS'!$L327)))),ROW()-7,""))</f>
        <v/>
      </c>
      <c r="P327" s="84" t="str">
        <f>IFERROR(INDEX('05_PRODUCTOS'!$L$8:$L$507,SMALL($O$8:$O$507,ROW()-7)),"")</f>
        <v/>
      </c>
    </row>
    <row r="328" spans="3:16" x14ac:dyDescent="0.25">
      <c r="C328" s="84" t="str">
        <f>IF(AND('05_PRODUCTOS'!$B328&lt;&gt;"",'05_PRODUCTOS'!$C328&lt;&gt;"",'05_PRODUCTOS'!$K328&lt;&gt;"NO",ISNUMBER(MATCH('05_PRODUCTOS'!$D328,lstCategorias,0))),'05_PRODUCTOS'!$D328,"")</f>
        <v/>
      </c>
      <c r="D328" s="84" t="str">
        <f>IF($C328="","",'05_PRODUCTOS'!$L328)</f>
        <v/>
      </c>
      <c r="E328" s="84" t="str">
        <f t="shared" ref="E328:E391" si="23">IF($C328="","",MATCH($C328,lstCategorias,0)*1000+COUNTIFS($C$8:$C$507,$C328,$D$8:$D$507,"&lt;"&amp;$D328)+1+ROW()/100000)</f>
        <v/>
      </c>
      <c r="G328" s="85">
        <v>321</v>
      </c>
      <c r="H328" s="84" t="str">
        <f t="shared" ref="H328:H391" si="24">IFERROR(SMALL($E$8:$E$507,$G328),"")</f>
        <v/>
      </c>
      <c r="I328" s="84" t="str">
        <f t="shared" ref="I328:I391" si="25">IF($H328="","",INDEX($C$8:$C$507,MATCH($H328,$E$8:$E$507,0)))</f>
        <v/>
      </c>
      <c r="J328" s="84" t="str">
        <f t="shared" ref="J328:J391" si="26">IF($H328="","",INDEX($D$8:$D$507,MATCH($H328,$E$8:$E$507,0)))</f>
        <v/>
      </c>
      <c r="O328" s="84" t="str">
        <f>IF('05_PRODUCTOS'!$L328="","",IF(AND(OR(kxCategoria="",'05_PRODUCTOS'!$D328=kxCategoria),OR(kxBuscar="",ISNUMBER(SEARCH(kxBuscar,'05_PRODUCTOS'!$L328)))),ROW()-7,""))</f>
        <v/>
      </c>
      <c r="P328" s="84" t="str">
        <f>IFERROR(INDEX('05_PRODUCTOS'!$L$8:$L$507,SMALL($O$8:$O$507,ROW()-7)),"")</f>
        <v/>
      </c>
    </row>
    <row r="329" spans="3:16" x14ac:dyDescent="0.25">
      <c r="C329" s="84" t="str">
        <f>IF(AND('05_PRODUCTOS'!$B329&lt;&gt;"",'05_PRODUCTOS'!$C329&lt;&gt;"",'05_PRODUCTOS'!$K329&lt;&gt;"NO",ISNUMBER(MATCH('05_PRODUCTOS'!$D329,lstCategorias,0))),'05_PRODUCTOS'!$D329,"")</f>
        <v/>
      </c>
      <c r="D329" s="84" t="str">
        <f>IF($C329="","",'05_PRODUCTOS'!$L329)</f>
        <v/>
      </c>
      <c r="E329" s="84" t="str">
        <f t="shared" si="23"/>
        <v/>
      </c>
      <c r="G329" s="85">
        <v>322</v>
      </c>
      <c r="H329" s="84" t="str">
        <f t="shared" si="24"/>
        <v/>
      </c>
      <c r="I329" s="84" t="str">
        <f t="shared" si="25"/>
        <v/>
      </c>
      <c r="J329" s="84" t="str">
        <f t="shared" si="26"/>
        <v/>
      </c>
      <c r="O329" s="84" t="str">
        <f>IF('05_PRODUCTOS'!$L329="","",IF(AND(OR(kxCategoria="",'05_PRODUCTOS'!$D329=kxCategoria),OR(kxBuscar="",ISNUMBER(SEARCH(kxBuscar,'05_PRODUCTOS'!$L329)))),ROW()-7,""))</f>
        <v/>
      </c>
      <c r="P329" s="84" t="str">
        <f>IFERROR(INDEX('05_PRODUCTOS'!$L$8:$L$507,SMALL($O$8:$O$507,ROW()-7)),"")</f>
        <v/>
      </c>
    </row>
    <row r="330" spans="3:16" x14ac:dyDescent="0.25">
      <c r="C330" s="84" t="str">
        <f>IF(AND('05_PRODUCTOS'!$B330&lt;&gt;"",'05_PRODUCTOS'!$C330&lt;&gt;"",'05_PRODUCTOS'!$K330&lt;&gt;"NO",ISNUMBER(MATCH('05_PRODUCTOS'!$D330,lstCategorias,0))),'05_PRODUCTOS'!$D330,"")</f>
        <v/>
      </c>
      <c r="D330" s="84" t="str">
        <f>IF($C330="","",'05_PRODUCTOS'!$L330)</f>
        <v/>
      </c>
      <c r="E330" s="84" t="str">
        <f t="shared" si="23"/>
        <v/>
      </c>
      <c r="G330" s="85">
        <v>323</v>
      </c>
      <c r="H330" s="84" t="str">
        <f t="shared" si="24"/>
        <v/>
      </c>
      <c r="I330" s="84" t="str">
        <f t="shared" si="25"/>
        <v/>
      </c>
      <c r="J330" s="84" t="str">
        <f t="shared" si="26"/>
        <v/>
      </c>
      <c r="O330" s="84" t="str">
        <f>IF('05_PRODUCTOS'!$L330="","",IF(AND(OR(kxCategoria="",'05_PRODUCTOS'!$D330=kxCategoria),OR(kxBuscar="",ISNUMBER(SEARCH(kxBuscar,'05_PRODUCTOS'!$L330)))),ROW()-7,""))</f>
        <v/>
      </c>
      <c r="P330" s="84" t="str">
        <f>IFERROR(INDEX('05_PRODUCTOS'!$L$8:$L$507,SMALL($O$8:$O$507,ROW()-7)),"")</f>
        <v/>
      </c>
    </row>
    <row r="331" spans="3:16" x14ac:dyDescent="0.25">
      <c r="C331" s="84" t="str">
        <f>IF(AND('05_PRODUCTOS'!$B331&lt;&gt;"",'05_PRODUCTOS'!$C331&lt;&gt;"",'05_PRODUCTOS'!$K331&lt;&gt;"NO",ISNUMBER(MATCH('05_PRODUCTOS'!$D331,lstCategorias,0))),'05_PRODUCTOS'!$D331,"")</f>
        <v/>
      </c>
      <c r="D331" s="84" t="str">
        <f>IF($C331="","",'05_PRODUCTOS'!$L331)</f>
        <v/>
      </c>
      <c r="E331" s="84" t="str">
        <f t="shared" si="23"/>
        <v/>
      </c>
      <c r="G331" s="85">
        <v>324</v>
      </c>
      <c r="H331" s="84" t="str">
        <f t="shared" si="24"/>
        <v/>
      </c>
      <c r="I331" s="84" t="str">
        <f t="shared" si="25"/>
        <v/>
      </c>
      <c r="J331" s="84" t="str">
        <f t="shared" si="26"/>
        <v/>
      </c>
      <c r="O331" s="84" t="str">
        <f>IF('05_PRODUCTOS'!$L331="","",IF(AND(OR(kxCategoria="",'05_PRODUCTOS'!$D331=kxCategoria),OR(kxBuscar="",ISNUMBER(SEARCH(kxBuscar,'05_PRODUCTOS'!$L331)))),ROW()-7,""))</f>
        <v/>
      </c>
      <c r="P331" s="84" t="str">
        <f>IFERROR(INDEX('05_PRODUCTOS'!$L$8:$L$507,SMALL($O$8:$O$507,ROW()-7)),"")</f>
        <v/>
      </c>
    </row>
    <row r="332" spans="3:16" x14ac:dyDescent="0.25">
      <c r="C332" s="84" t="str">
        <f>IF(AND('05_PRODUCTOS'!$B332&lt;&gt;"",'05_PRODUCTOS'!$C332&lt;&gt;"",'05_PRODUCTOS'!$K332&lt;&gt;"NO",ISNUMBER(MATCH('05_PRODUCTOS'!$D332,lstCategorias,0))),'05_PRODUCTOS'!$D332,"")</f>
        <v/>
      </c>
      <c r="D332" s="84" t="str">
        <f>IF($C332="","",'05_PRODUCTOS'!$L332)</f>
        <v/>
      </c>
      <c r="E332" s="84" t="str">
        <f t="shared" si="23"/>
        <v/>
      </c>
      <c r="G332" s="85">
        <v>325</v>
      </c>
      <c r="H332" s="84" t="str">
        <f t="shared" si="24"/>
        <v/>
      </c>
      <c r="I332" s="84" t="str">
        <f t="shared" si="25"/>
        <v/>
      </c>
      <c r="J332" s="84" t="str">
        <f t="shared" si="26"/>
        <v/>
      </c>
      <c r="O332" s="84" t="str">
        <f>IF('05_PRODUCTOS'!$L332="","",IF(AND(OR(kxCategoria="",'05_PRODUCTOS'!$D332=kxCategoria),OR(kxBuscar="",ISNUMBER(SEARCH(kxBuscar,'05_PRODUCTOS'!$L332)))),ROW()-7,""))</f>
        <v/>
      </c>
      <c r="P332" s="84" t="str">
        <f>IFERROR(INDEX('05_PRODUCTOS'!$L$8:$L$507,SMALL($O$8:$O$507,ROW()-7)),"")</f>
        <v/>
      </c>
    </row>
    <row r="333" spans="3:16" x14ac:dyDescent="0.25">
      <c r="C333" s="84" t="str">
        <f>IF(AND('05_PRODUCTOS'!$B333&lt;&gt;"",'05_PRODUCTOS'!$C333&lt;&gt;"",'05_PRODUCTOS'!$K333&lt;&gt;"NO",ISNUMBER(MATCH('05_PRODUCTOS'!$D333,lstCategorias,0))),'05_PRODUCTOS'!$D333,"")</f>
        <v/>
      </c>
      <c r="D333" s="84" t="str">
        <f>IF($C333="","",'05_PRODUCTOS'!$L333)</f>
        <v/>
      </c>
      <c r="E333" s="84" t="str">
        <f t="shared" si="23"/>
        <v/>
      </c>
      <c r="G333" s="85">
        <v>326</v>
      </c>
      <c r="H333" s="84" t="str">
        <f t="shared" si="24"/>
        <v/>
      </c>
      <c r="I333" s="84" t="str">
        <f t="shared" si="25"/>
        <v/>
      </c>
      <c r="J333" s="84" t="str">
        <f t="shared" si="26"/>
        <v/>
      </c>
      <c r="O333" s="84" t="str">
        <f>IF('05_PRODUCTOS'!$L333="","",IF(AND(OR(kxCategoria="",'05_PRODUCTOS'!$D333=kxCategoria),OR(kxBuscar="",ISNUMBER(SEARCH(kxBuscar,'05_PRODUCTOS'!$L333)))),ROW()-7,""))</f>
        <v/>
      </c>
      <c r="P333" s="84" t="str">
        <f>IFERROR(INDEX('05_PRODUCTOS'!$L$8:$L$507,SMALL($O$8:$O$507,ROW()-7)),"")</f>
        <v/>
      </c>
    </row>
    <row r="334" spans="3:16" x14ac:dyDescent="0.25">
      <c r="C334" s="84" t="str">
        <f>IF(AND('05_PRODUCTOS'!$B334&lt;&gt;"",'05_PRODUCTOS'!$C334&lt;&gt;"",'05_PRODUCTOS'!$K334&lt;&gt;"NO",ISNUMBER(MATCH('05_PRODUCTOS'!$D334,lstCategorias,0))),'05_PRODUCTOS'!$D334,"")</f>
        <v/>
      </c>
      <c r="D334" s="84" t="str">
        <f>IF($C334="","",'05_PRODUCTOS'!$L334)</f>
        <v/>
      </c>
      <c r="E334" s="84" t="str">
        <f t="shared" si="23"/>
        <v/>
      </c>
      <c r="G334" s="85">
        <v>327</v>
      </c>
      <c r="H334" s="84" t="str">
        <f t="shared" si="24"/>
        <v/>
      </c>
      <c r="I334" s="84" t="str">
        <f t="shared" si="25"/>
        <v/>
      </c>
      <c r="J334" s="84" t="str">
        <f t="shared" si="26"/>
        <v/>
      </c>
      <c r="O334" s="84" t="str">
        <f>IF('05_PRODUCTOS'!$L334="","",IF(AND(OR(kxCategoria="",'05_PRODUCTOS'!$D334=kxCategoria),OR(kxBuscar="",ISNUMBER(SEARCH(kxBuscar,'05_PRODUCTOS'!$L334)))),ROW()-7,""))</f>
        <v/>
      </c>
      <c r="P334" s="84" t="str">
        <f>IFERROR(INDEX('05_PRODUCTOS'!$L$8:$L$507,SMALL($O$8:$O$507,ROW()-7)),"")</f>
        <v/>
      </c>
    </row>
    <row r="335" spans="3:16" x14ac:dyDescent="0.25">
      <c r="C335" s="84" t="str">
        <f>IF(AND('05_PRODUCTOS'!$B335&lt;&gt;"",'05_PRODUCTOS'!$C335&lt;&gt;"",'05_PRODUCTOS'!$K335&lt;&gt;"NO",ISNUMBER(MATCH('05_PRODUCTOS'!$D335,lstCategorias,0))),'05_PRODUCTOS'!$D335,"")</f>
        <v/>
      </c>
      <c r="D335" s="84" t="str">
        <f>IF($C335="","",'05_PRODUCTOS'!$L335)</f>
        <v/>
      </c>
      <c r="E335" s="84" t="str">
        <f t="shared" si="23"/>
        <v/>
      </c>
      <c r="G335" s="85">
        <v>328</v>
      </c>
      <c r="H335" s="84" t="str">
        <f t="shared" si="24"/>
        <v/>
      </c>
      <c r="I335" s="84" t="str">
        <f t="shared" si="25"/>
        <v/>
      </c>
      <c r="J335" s="84" t="str">
        <f t="shared" si="26"/>
        <v/>
      </c>
      <c r="O335" s="84" t="str">
        <f>IF('05_PRODUCTOS'!$L335="","",IF(AND(OR(kxCategoria="",'05_PRODUCTOS'!$D335=kxCategoria),OR(kxBuscar="",ISNUMBER(SEARCH(kxBuscar,'05_PRODUCTOS'!$L335)))),ROW()-7,""))</f>
        <v/>
      </c>
      <c r="P335" s="84" t="str">
        <f>IFERROR(INDEX('05_PRODUCTOS'!$L$8:$L$507,SMALL($O$8:$O$507,ROW()-7)),"")</f>
        <v/>
      </c>
    </row>
    <row r="336" spans="3:16" x14ac:dyDescent="0.25">
      <c r="C336" s="84" t="str">
        <f>IF(AND('05_PRODUCTOS'!$B336&lt;&gt;"",'05_PRODUCTOS'!$C336&lt;&gt;"",'05_PRODUCTOS'!$K336&lt;&gt;"NO",ISNUMBER(MATCH('05_PRODUCTOS'!$D336,lstCategorias,0))),'05_PRODUCTOS'!$D336,"")</f>
        <v/>
      </c>
      <c r="D336" s="84" t="str">
        <f>IF($C336="","",'05_PRODUCTOS'!$L336)</f>
        <v/>
      </c>
      <c r="E336" s="84" t="str">
        <f t="shared" si="23"/>
        <v/>
      </c>
      <c r="G336" s="85">
        <v>329</v>
      </c>
      <c r="H336" s="84" t="str">
        <f t="shared" si="24"/>
        <v/>
      </c>
      <c r="I336" s="84" t="str">
        <f t="shared" si="25"/>
        <v/>
      </c>
      <c r="J336" s="84" t="str">
        <f t="shared" si="26"/>
        <v/>
      </c>
      <c r="O336" s="84" t="str">
        <f>IF('05_PRODUCTOS'!$L336="","",IF(AND(OR(kxCategoria="",'05_PRODUCTOS'!$D336=kxCategoria),OR(kxBuscar="",ISNUMBER(SEARCH(kxBuscar,'05_PRODUCTOS'!$L336)))),ROW()-7,""))</f>
        <v/>
      </c>
      <c r="P336" s="84" t="str">
        <f>IFERROR(INDEX('05_PRODUCTOS'!$L$8:$L$507,SMALL($O$8:$O$507,ROW()-7)),"")</f>
        <v/>
      </c>
    </row>
    <row r="337" spans="3:16" x14ac:dyDescent="0.25">
      <c r="C337" s="84" t="str">
        <f>IF(AND('05_PRODUCTOS'!$B337&lt;&gt;"",'05_PRODUCTOS'!$C337&lt;&gt;"",'05_PRODUCTOS'!$K337&lt;&gt;"NO",ISNUMBER(MATCH('05_PRODUCTOS'!$D337,lstCategorias,0))),'05_PRODUCTOS'!$D337,"")</f>
        <v/>
      </c>
      <c r="D337" s="84" t="str">
        <f>IF($C337="","",'05_PRODUCTOS'!$L337)</f>
        <v/>
      </c>
      <c r="E337" s="84" t="str">
        <f t="shared" si="23"/>
        <v/>
      </c>
      <c r="G337" s="85">
        <v>330</v>
      </c>
      <c r="H337" s="84" t="str">
        <f t="shared" si="24"/>
        <v/>
      </c>
      <c r="I337" s="84" t="str">
        <f t="shared" si="25"/>
        <v/>
      </c>
      <c r="J337" s="84" t="str">
        <f t="shared" si="26"/>
        <v/>
      </c>
      <c r="O337" s="84" t="str">
        <f>IF('05_PRODUCTOS'!$L337="","",IF(AND(OR(kxCategoria="",'05_PRODUCTOS'!$D337=kxCategoria),OR(kxBuscar="",ISNUMBER(SEARCH(kxBuscar,'05_PRODUCTOS'!$L337)))),ROW()-7,""))</f>
        <v/>
      </c>
      <c r="P337" s="84" t="str">
        <f>IFERROR(INDEX('05_PRODUCTOS'!$L$8:$L$507,SMALL($O$8:$O$507,ROW()-7)),"")</f>
        <v/>
      </c>
    </row>
    <row r="338" spans="3:16" x14ac:dyDescent="0.25">
      <c r="C338" s="84" t="str">
        <f>IF(AND('05_PRODUCTOS'!$B338&lt;&gt;"",'05_PRODUCTOS'!$C338&lt;&gt;"",'05_PRODUCTOS'!$K338&lt;&gt;"NO",ISNUMBER(MATCH('05_PRODUCTOS'!$D338,lstCategorias,0))),'05_PRODUCTOS'!$D338,"")</f>
        <v/>
      </c>
      <c r="D338" s="84" t="str">
        <f>IF($C338="","",'05_PRODUCTOS'!$L338)</f>
        <v/>
      </c>
      <c r="E338" s="84" t="str">
        <f t="shared" si="23"/>
        <v/>
      </c>
      <c r="G338" s="85">
        <v>331</v>
      </c>
      <c r="H338" s="84" t="str">
        <f t="shared" si="24"/>
        <v/>
      </c>
      <c r="I338" s="84" t="str">
        <f t="shared" si="25"/>
        <v/>
      </c>
      <c r="J338" s="84" t="str">
        <f t="shared" si="26"/>
        <v/>
      </c>
      <c r="O338" s="84" t="str">
        <f>IF('05_PRODUCTOS'!$L338="","",IF(AND(OR(kxCategoria="",'05_PRODUCTOS'!$D338=kxCategoria),OR(kxBuscar="",ISNUMBER(SEARCH(kxBuscar,'05_PRODUCTOS'!$L338)))),ROW()-7,""))</f>
        <v/>
      </c>
      <c r="P338" s="84" t="str">
        <f>IFERROR(INDEX('05_PRODUCTOS'!$L$8:$L$507,SMALL($O$8:$O$507,ROW()-7)),"")</f>
        <v/>
      </c>
    </row>
    <row r="339" spans="3:16" x14ac:dyDescent="0.25">
      <c r="C339" s="84" t="str">
        <f>IF(AND('05_PRODUCTOS'!$B339&lt;&gt;"",'05_PRODUCTOS'!$C339&lt;&gt;"",'05_PRODUCTOS'!$K339&lt;&gt;"NO",ISNUMBER(MATCH('05_PRODUCTOS'!$D339,lstCategorias,0))),'05_PRODUCTOS'!$D339,"")</f>
        <v/>
      </c>
      <c r="D339" s="84" t="str">
        <f>IF($C339="","",'05_PRODUCTOS'!$L339)</f>
        <v/>
      </c>
      <c r="E339" s="84" t="str">
        <f t="shared" si="23"/>
        <v/>
      </c>
      <c r="G339" s="85">
        <v>332</v>
      </c>
      <c r="H339" s="84" t="str">
        <f t="shared" si="24"/>
        <v/>
      </c>
      <c r="I339" s="84" t="str">
        <f t="shared" si="25"/>
        <v/>
      </c>
      <c r="J339" s="84" t="str">
        <f t="shared" si="26"/>
        <v/>
      </c>
      <c r="O339" s="84" t="str">
        <f>IF('05_PRODUCTOS'!$L339="","",IF(AND(OR(kxCategoria="",'05_PRODUCTOS'!$D339=kxCategoria),OR(kxBuscar="",ISNUMBER(SEARCH(kxBuscar,'05_PRODUCTOS'!$L339)))),ROW()-7,""))</f>
        <v/>
      </c>
      <c r="P339" s="84" t="str">
        <f>IFERROR(INDEX('05_PRODUCTOS'!$L$8:$L$507,SMALL($O$8:$O$507,ROW()-7)),"")</f>
        <v/>
      </c>
    </row>
    <row r="340" spans="3:16" x14ac:dyDescent="0.25">
      <c r="C340" s="84" t="str">
        <f>IF(AND('05_PRODUCTOS'!$B340&lt;&gt;"",'05_PRODUCTOS'!$C340&lt;&gt;"",'05_PRODUCTOS'!$K340&lt;&gt;"NO",ISNUMBER(MATCH('05_PRODUCTOS'!$D340,lstCategorias,0))),'05_PRODUCTOS'!$D340,"")</f>
        <v/>
      </c>
      <c r="D340" s="84" t="str">
        <f>IF($C340="","",'05_PRODUCTOS'!$L340)</f>
        <v/>
      </c>
      <c r="E340" s="84" t="str">
        <f t="shared" si="23"/>
        <v/>
      </c>
      <c r="G340" s="85">
        <v>333</v>
      </c>
      <c r="H340" s="84" t="str">
        <f t="shared" si="24"/>
        <v/>
      </c>
      <c r="I340" s="84" t="str">
        <f t="shared" si="25"/>
        <v/>
      </c>
      <c r="J340" s="84" t="str">
        <f t="shared" si="26"/>
        <v/>
      </c>
      <c r="O340" s="84" t="str">
        <f>IF('05_PRODUCTOS'!$L340="","",IF(AND(OR(kxCategoria="",'05_PRODUCTOS'!$D340=kxCategoria),OR(kxBuscar="",ISNUMBER(SEARCH(kxBuscar,'05_PRODUCTOS'!$L340)))),ROW()-7,""))</f>
        <v/>
      </c>
      <c r="P340" s="84" t="str">
        <f>IFERROR(INDEX('05_PRODUCTOS'!$L$8:$L$507,SMALL($O$8:$O$507,ROW()-7)),"")</f>
        <v/>
      </c>
    </row>
    <row r="341" spans="3:16" x14ac:dyDescent="0.25">
      <c r="C341" s="84" t="str">
        <f>IF(AND('05_PRODUCTOS'!$B341&lt;&gt;"",'05_PRODUCTOS'!$C341&lt;&gt;"",'05_PRODUCTOS'!$K341&lt;&gt;"NO",ISNUMBER(MATCH('05_PRODUCTOS'!$D341,lstCategorias,0))),'05_PRODUCTOS'!$D341,"")</f>
        <v/>
      </c>
      <c r="D341" s="84" t="str">
        <f>IF($C341="","",'05_PRODUCTOS'!$L341)</f>
        <v/>
      </c>
      <c r="E341" s="84" t="str">
        <f t="shared" si="23"/>
        <v/>
      </c>
      <c r="G341" s="85">
        <v>334</v>
      </c>
      <c r="H341" s="84" t="str">
        <f t="shared" si="24"/>
        <v/>
      </c>
      <c r="I341" s="84" t="str">
        <f t="shared" si="25"/>
        <v/>
      </c>
      <c r="J341" s="84" t="str">
        <f t="shared" si="26"/>
        <v/>
      </c>
      <c r="O341" s="84" t="str">
        <f>IF('05_PRODUCTOS'!$L341="","",IF(AND(OR(kxCategoria="",'05_PRODUCTOS'!$D341=kxCategoria),OR(kxBuscar="",ISNUMBER(SEARCH(kxBuscar,'05_PRODUCTOS'!$L341)))),ROW()-7,""))</f>
        <v/>
      </c>
      <c r="P341" s="84" t="str">
        <f>IFERROR(INDEX('05_PRODUCTOS'!$L$8:$L$507,SMALL($O$8:$O$507,ROW()-7)),"")</f>
        <v/>
      </c>
    </row>
    <row r="342" spans="3:16" x14ac:dyDescent="0.25">
      <c r="C342" s="84" t="str">
        <f>IF(AND('05_PRODUCTOS'!$B342&lt;&gt;"",'05_PRODUCTOS'!$C342&lt;&gt;"",'05_PRODUCTOS'!$K342&lt;&gt;"NO",ISNUMBER(MATCH('05_PRODUCTOS'!$D342,lstCategorias,0))),'05_PRODUCTOS'!$D342,"")</f>
        <v/>
      </c>
      <c r="D342" s="84" t="str">
        <f>IF($C342="","",'05_PRODUCTOS'!$L342)</f>
        <v/>
      </c>
      <c r="E342" s="84" t="str">
        <f t="shared" si="23"/>
        <v/>
      </c>
      <c r="G342" s="85">
        <v>335</v>
      </c>
      <c r="H342" s="84" t="str">
        <f t="shared" si="24"/>
        <v/>
      </c>
      <c r="I342" s="84" t="str">
        <f t="shared" si="25"/>
        <v/>
      </c>
      <c r="J342" s="84" t="str">
        <f t="shared" si="26"/>
        <v/>
      </c>
      <c r="O342" s="84" t="str">
        <f>IF('05_PRODUCTOS'!$L342="","",IF(AND(OR(kxCategoria="",'05_PRODUCTOS'!$D342=kxCategoria),OR(kxBuscar="",ISNUMBER(SEARCH(kxBuscar,'05_PRODUCTOS'!$L342)))),ROW()-7,""))</f>
        <v/>
      </c>
      <c r="P342" s="84" t="str">
        <f>IFERROR(INDEX('05_PRODUCTOS'!$L$8:$L$507,SMALL($O$8:$O$507,ROW()-7)),"")</f>
        <v/>
      </c>
    </row>
    <row r="343" spans="3:16" x14ac:dyDescent="0.25">
      <c r="C343" s="84" t="str">
        <f>IF(AND('05_PRODUCTOS'!$B343&lt;&gt;"",'05_PRODUCTOS'!$C343&lt;&gt;"",'05_PRODUCTOS'!$K343&lt;&gt;"NO",ISNUMBER(MATCH('05_PRODUCTOS'!$D343,lstCategorias,0))),'05_PRODUCTOS'!$D343,"")</f>
        <v/>
      </c>
      <c r="D343" s="84" t="str">
        <f>IF($C343="","",'05_PRODUCTOS'!$L343)</f>
        <v/>
      </c>
      <c r="E343" s="84" t="str">
        <f t="shared" si="23"/>
        <v/>
      </c>
      <c r="G343" s="85">
        <v>336</v>
      </c>
      <c r="H343" s="84" t="str">
        <f t="shared" si="24"/>
        <v/>
      </c>
      <c r="I343" s="84" t="str">
        <f t="shared" si="25"/>
        <v/>
      </c>
      <c r="J343" s="84" t="str">
        <f t="shared" si="26"/>
        <v/>
      </c>
      <c r="O343" s="84" t="str">
        <f>IF('05_PRODUCTOS'!$L343="","",IF(AND(OR(kxCategoria="",'05_PRODUCTOS'!$D343=kxCategoria),OR(kxBuscar="",ISNUMBER(SEARCH(kxBuscar,'05_PRODUCTOS'!$L343)))),ROW()-7,""))</f>
        <v/>
      </c>
      <c r="P343" s="84" t="str">
        <f>IFERROR(INDEX('05_PRODUCTOS'!$L$8:$L$507,SMALL($O$8:$O$507,ROW()-7)),"")</f>
        <v/>
      </c>
    </row>
    <row r="344" spans="3:16" x14ac:dyDescent="0.25">
      <c r="C344" s="84" t="str">
        <f>IF(AND('05_PRODUCTOS'!$B344&lt;&gt;"",'05_PRODUCTOS'!$C344&lt;&gt;"",'05_PRODUCTOS'!$K344&lt;&gt;"NO",ISNUMBER(MATCH('05_PRODUCTOS'!$D344,lstCategorias,0))),'05_PRODUCTOS'!$D344,"")</f>
        <v/>
      </c>
      <c r="D344" s="84" t="str">
        <f>IF($C344="","",'05_PRODUCTOS'!$L344)</f>
        <v/>
      </c>
      <c r="E344" s="84" t="str">
        <f t="shared" si="23"/>
        <v/>
      </c>
      <c r="G344" s="85">
        <v>337</v>
      </c>
      <c r="H344" s="84" t="str">
        <f t="shared" si="24"/>
        <v/>
      </c>
      <c r="I344" s="84" t="str">
        <f t="shared" si="25"/>
        <v/>
      </c>
      <c r="J344" s="84" t="str">
        <f t="shared" si="26"/>
        <v/>
      </c>
      <c r="O344" s="84" t="str">
        <f>IF('05_PRODUCTOS'!$L344="","",IF(AND(OR(kxCategoria="",'05_PRODUCTOS'!$D344=kxCategoria),OR(kxBuscar="",ISNUMBER(SEARCH(kxBuscar,'05_PRODUCTOS'!$L344)))),ROW()-7,""))</f>
        <v/>
      </c>
      <c r="P344" s="84" t="str">
        <f>IFERROR(INDEX('05_PRODUCTOS'!$L$8:$L$507,SMALL($O$8:$O$507,ROW()-7)),"")</f>
        <v/>
      </c>
    </row>
    <row r="345" spans="3:16" x14ac:dyDescent="0.25">
      <c r="C345" s="84" t="str">
        <f>IF(AND('05_PRODUCTOS'!$B345&lt;&gt;"",'05_PRODUCTOS'!$C345&lt;&gt;"",'05_PRODUCTOS'!$K345&lt;&gt;"NO",ISNUMBER(MATCH('05_PRODUCTOS'!$D345,lstCategorias,0))),'05_PRODUCTOS'!$D345,"")</f>
        <v/>
      </c>
      <c r="D345" s="84" t="str">
        <f>IF($C345="","",'05_PRODUCTOS'!$L345)</f>
        <v/>
      </c>
      <c r="E345" s="84" t="str">
        <f t="shared" si="23"/>
        <v/>
      </c>
      <c r="G345" s="85">
        <v>338</v>
      </c>
      <c r="H345" s="84" t="str">
        <f t="shared" si="24"/>
        <v/>
      </c>
      <c r="I345" s="84" t="str">
        <f t="shared" si="25"/>
        <v/>
      </c>
      <c r="J345" s="84" t="str">
        <f t="shared" si="26"/>
        <v/>
      </c>
      <c r="O345" s="84" t="str">
        <f>IF('05_PRODUCTOS'!$L345="","",IF(AND(OR(kxCategoria="",'05_PRODUCTOS'!$D345=kxCategoria),OR(kxBuscar="",ISNUMBER(SEARCH(kxBuscar,'05_PRODUCTOS'!$L345)))),ROW()-7,""))</f>
        <v/>
      </c>
      <c r="P345" s="84" t="str">
        <f>IFERROR(INDEX('05_PRODUCTOS'!$L$8:$L$507,SMALL($O$8:$O$507,ROW()-7)),"")</f>
        <v/>
      </c>
    </row>
    <row r="346" spans="3:16" x14ac:dyDescent="0.25">
      <c r="C346" s="84" t="str">
        <f>IF(AND('05_PRODUCTOS'!$B346&lt;&gt;"",'05_PRODUCTOS'!$C346&lt;&gt;"",'05_PRODUCTOS'!$K346&lt;&gt;"NO",ISNUMBER(MATCH('05_PRODUCTOS'!$D346,lstCategorias,0))),'05_PRODUCTOS'!$D346,"")</f>
        <v/>
      </c>
      <c r="D346" s="84" t="str">
        <f>IF($C346="","",'05_PRODUCTOS'!$L346)</f>
        <v/>
      </c>
      <c r="E346" s="84" t="str">
        <f t="shared" si="23"/>
        <v/>
      </c>
      <c r="G346" s="85">
        <v>339</v>
      </c>
      <c r="H346" s="84" t="str">
        <f t="shared" si="24"/>
        <v/>
      </c>
      <c r="I346" s="84" t="str">
        <f t="shared" si="25"/>
        <v/>
      </c>
      <c r="J346" s="84" t="str">
        <f t="shared" si="26"/>
        <v/>
      </c>
      <c r="O346" s="84" t="str">
        <f>IF('05_PRODUCTOS'!$L346="","",IF(AND(OR(kxCategoria="",'05_PRODUCTOS'!$D346=kxCategoria),OR(kxBuscar="",ISNUMBER(SEARCH(kxBuscar,'05_PRODUCTOS'!$L346)))),ROW()-7,""))</f>
        <v/>
      </c>
      <c r="P346" s="84" t="str">
        <f>IFERROR(INDEX('05_PRODUCTOS'!$L$8:$L$507,SMALL($O$8:$O$507,ROW()-7)),"")</f>
        <v/>
      </c>
    </row>
    <row r="347" spans="3:16" x14ac:dyDescent="0.25">
      <c r="C347" s="84" t="str">
        <f>IF(AND('05_PRODUCTOS'!$B347&lt;&gt;"",'05_PRODUCTOS'!$C347&lt;&gt;"",'05_PRODUCTOS'!$K347&lt;&gt;"NO",ISNUMBER(MATCH('05_PRODUCTOS'!$D347,lstCategorias,0))),'05_PRODUCTOS'!$D347,"")</f>
        <v/>
      </c>
      <c r="D347" s="84" t="str">
        <f>IF($C347="","",'05_PRODUCTOS'!$L347)</f>
        <v/>
      </c>
      <c r="E347" s="84" t="str">
        <f t="shared" si="23"/>
        <v/>
      </c>
      <c r="G347" s="85">
        <v>340</v>
      </c>
      <c r="H347" s="84" t="str">
        <f t="shared" si="24"/>
        <v/>
      </c>
      <c r="I347" s="84" t="str">
        <f t="shared" si="25"/>
        <v/>
      </c>
      <c r="J347" s="84" t="str">
        <f t="shared" si="26"/>
        <v/>
      </c>
      <c r="O347" s="84" t="str">
        <f>IF('05_PRODUCTOS'!$L347="","",IF(AND(OR(kxCategoria="",'05_PRODUCTOS'!$D347=kxCategoria),OR(kxBuscar="",ISNUMBER(SEARCH(kxBuscar,'05_PRODUCTOS'!$L347)))),ROW()-7,""))</f>
        <v/>
      </c>
      <c r="P347" s="84" t="str">
        <f>IFERROR(INDEX('05_PRODUCTOS'!$L$8:$L$507,SMALL($O$8:$O$507,ROW()-7)),"")</f>
        <v/>
      </c>
    </row>
    <row r="348" spans="3:16" x14ac:dyDescent="0.25">
      <c r="C348" s="84" t="str">
        <f>IF(AND('05_PRODUCTOS'!$B348&lt;&gt;"",'05_PRODUCTOS'!$C348&lt;&gt;"",'05_PRODUCTOS'!$K348&lt;&gt;"NO",ISNUMBER(MATCH('05_PRODUCTOS'!$D348,lstCategorias,0))),'05_PRODUCTOS'!$D348,"")</f>
        <v/>
      </c>
      <c r="D348" s="84" t="str">
        <f>IF($C348="","",'05_PRODUCTOS'!$L348)</f>
        <v/>
      </c>
      <c r="E348" s="84" t="str">
        <f t="shared" si="23"/>
        <v/>
      </c>
      <c r="G348" s="85">
        <v>341</v>
      </c>
      <c r="H348" s="84" t="str">
        <f t="shared" si="24"/>
        <v/>
      </c>
      <c r="I348" s="84" t="str">
        <f t="shared" si="25"/>
        <v/>
      </c>
      <c r="J348" s="84" t="str">
        <f t="shared" si="26"/>
        <v/>
      </c>
      <c r="O348" s="84" t="str">
        <f>IF('05_PRODUCTOS'!$L348="","",IF(AND(OR(kxCategoria="",'05_PRODUCTOS'!$D348=kxCategoria),OR(kxBuscar="",ISNUMBER(SEARCH(kxBuscar,'05_PRODUCTOS'!$L348)))),ROW()-7,""))</f>
        <v/>
      </c>
      <c r="P348" s="84" t="str">
        <f>IFERROR(INDEX('05_PRODUCTOS'!$L$8:$L$507,SMALL($O$8:$O$507,ROW()-7)),"")</f>
        <v/>
      </c>
    </row>
    <row r="349" spans="3:16" x14ac:dyDescent="0.25">
      <c r="C349" s="84" t="str">
        <f>IF(AND('05_PRODUCTOS'!$B349&lt;&gt;"",'05_PRODUCTOS'!$C349&lt;&gt;"",'05_PRODUCTOS'!$K349&lt;&gt;"NO",ISNUMBER(MATCH('05_PRODUCTOS'!$D349,lstCategorias,0))),'05_PRODUCTOS'!$D349,"")</f>
        <v/>
      </c>
      <c r="D349" s="84" t="str">
        <f>IF($C349="","",'05_PRODUCTOS'!$L349)</f>
        <v/>
      </c>
      <c r="E349" s="84" t="str">
        <f t="shared" si="23"/>
        <v/>
      </c>
      <c r="G349" s="85">
        <v>342</v>
      </c>
      <c r="H349" s="84" t="str">
        <f t="shared" si="24"/>
        <v/>
      </c>
      <c r="I349" s="84" t="str">
        <f t="shared" si="25"/>
        <v/>
      </c>
      <c r="J349" s="84" t="str">
        <f t="shared" si="26"/>
        <v/>
      </c>
      <c r="O349" s="84" t="str">
        <f>IF('05_PRODUCTOS'!$L349="","",IF(AND(OR(kxCategoria="",'05_PRODUCTOS'!$D349=kxCategoria),OR(kxBuscar="",ISNUMBER(SEARCH(kxBuscar,'05_PRODUCTOS'!$L349)))),ROW()-7,""))</f>
        <v/>
      </c>
      <c r="P349" s="84" t="str">
        <f>IFERROR(INDEX('05_PRODUCTOS'!$L$8:$L$507,SMALL($O$8:$O$507,ROW()-7)),"")</f>
        <v/>
      </c>
    </row>
    <row r="350" spans="3:16" x14ac:dyDescent="0.25">
      <c r="C350" s="84" t="str">
        <f>IF(AND('05_PRODUCTOS'!$B350&lt;&gt;"",'05_PRODUCTOS'!$C350&lt;&gt;"",'05_PRODUCTOS'!$K350&lt;&gt;"NO",ISNUMBER(MATCH('05_PRODUCTOS'!$D350,lstCategorias,0))),'05_PRODUCTOS'!$D350,"")</f>
        <v/>
      </c>
      <c r="D350" s="84" t="str">
        <f>IF($C350="","",'05_PRODUCTOS'!$L350)</f>
        <v/>
      </c>
      <c r="E350" s="84" t="str">
        <f t="shared" si="23"/>
        <v/>
      </c>
      <c r="G350" s="85">
        <v>343</v>
      </c>
      <c r="H350" s="84" t="str">
        <f t="shared" si="24"/>
        <v/>
      </c>
      <c r="I350" s="84" t="str">
        <f t="shared" si="25"/>
        <v/>
      </c>
      <c r="J350" s="84" t="str">
        <f t="shared" si="26"/>
        <v/>
      </c>
      <c r="O350" s="84" t="str">
        <f>IF('05_PRODUCTOS'!$L350="","",IF(AND(OR(kxCategoria="",'05_PRODUCTOS'!$D350=kxCategoria),OR(kxBuscar="",ISNUMBER(SEARCH(kxBuscar,'05_PRODUCTOS'!$L350)))),ROW()-7,""))</f>
        <v/>
      </c>
      <c r="P350" s="84" t="str">
        <f>IFERROR(INDEX('05_PRODUCTOS'!$L$8:$L$507,SMALL($O$8:$O$507,ROW()-7)),"")</f>
        <v/>
      </c>
    </row>
    <row r="351" spans="3:16" x14ac:dyDescent="0.25">
      <c r="C351" s="84" t="str">
        <f>IF(AND('05_PRODUCTOS'!$B351&lt;&gt;"",'05_PRODUCTOS'!$C351&lt;&gt;"",'05_PRODUCTOS'!$K351&lt;&gt;"NO",ISNUMBER(MATCH('05_PRODUCTOS'!$D351,lstCategorias,0))),'05_PRODUCTOS'!$D351,"")</f>
        <v/>
      </c>
      <c r="D351" s="84" t="str">
        <f>IF($C351="","",'05_PRODUCTOS'!$L351)</f>
        <v/>
      </c>
      <c r="E351" s="84" t="str">
        <f t="shared" si="23"/>
        <v/>
      </c>
      <c r="G351" s="85">
        <v>344</v>
      </c>
      <c r="H351" s="84" t="str">
        <f t="shared" si="24"/>
        <v/>
      </c>
      <c r="I351" s="84" t="str">
        <f t="shared" si="25"/>
        <v/>
      </c>
      <c r="J351" s="84" t="str">
        <f t="shared" si="26"/>
        <v/>
      </c>
      <c r="O351" s="84" t="str">
        <f>IF('05_PRODUCTOS'!$L351="","",IF(AND(OR(kxCategoria="",'05_PRODUCTOS'!$D351=kxCategoria),OR(kxBuscar="",ISNUMBER(SEARCH(kxBuscar,'05_PRODUCTOS'!$L351)))),ROW()-7,""))</f>
        <v/>
      </c>
      <c r="P351" s="84" t="str">
        <f>IFERROR(INDEX('05_PRODUCTOS'!$L$8:$L$507,SMALL($O$8:$O$507,ROW()-7)),"")</f>
        <v/>
      </c>
    </row>
    <row r="352" spans="3:16" x14ac:dyDescent="0.25">
      <c r="C352" s="84" t="str">
        <f>IF(AND('05_PRODUCTOS'!$B352&lt;&gt;"",'05_PRODUCTOS'!$C352&lt;&gt;"",'05_PRODUCTOS'!$K352&lt;&gt;"NO",ISNUMBER(MATCH('05_PRODUCTOS'!$D352,lstCategorias,0))),'05_PRODUCTOS'!$D352,"")</f>
        <v/>
      </c>
      <c r="D352" s="84" t="str">
        <f>IF($C352="","",'05_PRODUCTOS'!$L352)</f>
        <v/>
      </c>
      <c r="E352" s="84" t="str">
        <f t="shared" si="23"/>
        <v/>
      </c>
      <c r="G352" s="85">
        <v>345</v>
      </c>
      <c r="H352" s="84" t="str">
        <f t="shared" si="24"/>
        <v/>
      </c>
      <c r="I352" s="84" t="str">
        <f t="shared" si="25"/>
        <v/>
      </c>
      <c r="J352" s="84" t="str">
        <f t="shared" si="26"/>
        <v/>
      </c>
      <c r="O352" s="84" t="str">
        <f>IF('05_PRODUCTOS'!$L352="","",IF(AND(OR(kxCategoria="",'05_PRODUCTOS'!$D352=kxCategoria),OR(kxBuscar="",ISNUMBER(SEARCH(kxBuscar,'05_PRODUCTOS'!$L352)))),ROW()-7,""))</f>
        <v/>
      </c>
      <c r="P352" s="84" t="str">
        <f>IFERROR(INDEX('05_PRODUCTOS'!$L$8:$L$507,SMALL($O$8:$O$507,ROW()-7)),"")</f>
        <v/>
      </c>
    </row>
    <row r="353" spans="3:16" x14ac:dyDescent="0.25">
      <c r="C353" s="84" t="str">
        <f>IF(AND('05_PRODUCTOS'!$B353&lt;&gt;"",'05_PRODUCTOS'!$C353&lt;&gt;"",'05_PRODUCTOS'!$K353&lt;&gt;"NO",ISNUMBER(MATCH('05_PRODUCTOS'!$D353,lstCategorias,0))),'05_PRODUCTOS'!$D353,"")</f>
        <v/>
      </c>
      <c r="D353" s="84" t="str">
        <f>IF($C353="","",'05_PRODUCTOS'!$L353)</f>
        <v/>
      </c>
      <c r="E353" s="84" t="str">
        <f t="shared" si="23"/>
        <v/>
      </c>
      <c r="G353" s="85">
        <v>346</v>
      </c>
      <c r="H353" s="84" t="str">
        <f t="shared" si="24"/>
        <v/>
      </c>
      <c r="I353" s="84" t="str">
        <f t="shared" si="25"/>
        <v/>
      </c>
      <c r="J353" s="84" t="str">
        <f t="shared" si="26"/>
        <v/>
      </c>
      <c r="O353" s="84" t="str">
        <f>IF('05_PRODUCTOS'!$L353="","",IF(AND(OR(kxCategoria="",'05_PRODUCTOS'!$D353=kxCategoria),OR(kxBuscar="",ISNUMBER(SEARCH(kxBuscar,'05_PRODUCTOS'!$L353)))),ROW()-7,""))</f>
        <v/>
      </c>
      <c r="P353" s="84" t="str">
        <f>IFERROR(INDEX('05_PRODUCTOS'!$L$8:$L$507,SMALL($O$8:$O$507,ROW()-7)),"")</f>
        <v/>
      </c>
    </row>
    <row r="354" spans="3:16" x14ac:dyDescent="0.25">
      <c r="C354" s="84" t="str">
        <f>IF(AND('05_PRODUCTOS'!$B354&lt;&gt;"",'05_PRODUCTOS'!$C354&lt;&gt;"",'05_PRODUCTOS'!$K354&lt;&gt;"NO",ISNUMBER(MATCH('05_PRODUCTOS'!$D354,lstCategorias,0))),'05_PRODUCTOS'!$D354,"")</f>
        <v/>
      </c>
      <c r="D354" s="84" t="str">
        <f>IF($C354="","",'05_PRODUCTOS'!$L354)</f>
        <v/>
      </c>
      <c r="E354" s="84" t="str">
        <f t="shared" si="23"/>
        <v/>
      </c>
      <c r="G354" s="85">
        <v>347</v>
      </c>
      <c r="H354" s="84" t="str">
        <f t="shared" si="24"/>
        <v/>
      </c>
      <c r="I354" s="84" t="str">
        <f t="shared" si="25"/>
        <v/>
      </c>
      <c r="J354" s="84" t="str">
        <f t="shared" si="26"/>
        <v/>
      </c>
      <c r="O354" s="84" t="str">
        <f>IF('05_PRODUCTOS'!$L354="","",IF(AND(OR(kxCategoria="",'05_PRODUCTOS'!$D354=kxCategoria),OR(kxBuscar="",ISNUMBER(SEARCH(kxBuscar,'05_PRODUCTOS'!$L354)))),ROW()-7,""))</f>
        <v/>
      </c>
      <c r="P354" s="84" t="str">
        <f>IFERROR(INDEX('05_PRODUCTOS'!$L$8:$L$507,SMALL($O$8:$O$507,ROW()-7)),"")</f>
        <v/>
      </c>
    </row>
    <row r="355" spans="3:16" x14ac:dyDescent="0.25">
      <c r="C355" s="84" t="str">
        <f>IF(AND('05_PRODUCTOS'!$B355&lt;&gt;"",'05_PRODUCTOS'!$C355&lt;&gt;"",'05_PRODUCTOS'!$K355&lt;&gt;"NO",ISNUMBER(MATCH('05_PRODUCTOS'!$D355,lstCategorias,0))),'05_PRODUCTOS'!$D355,"")</f>
        <v/>
      </c>
      <c r="D355" s="84" t="str">
        <f>IF($C355="","",'05_PRODUCTOS'!$L355)</f>
        <v/>
      </c>
      <c r="E355" s="84" t="str">
        <f t="shared" si="23"/>
        <v/>
      </c>
      <c r="G355" s="85">
        <v>348</v>
      </c>
      <c r="H355" s="84" t="str">
        <f t="shared" si="24"/>
        <v/>
      </c>
      <c r="I355" s="84" t="str">
        <f t="shared" si="25"/>
        <v/>
      </c>
      <c r="J355" s="84" t="str">
        <f t="shared" si="26"/>
        <v/>
      </c>
      <c r="O355" s="84" t="str">
        <f>IF('05_PRODUCTOS'!$L355="","",IF(AND(OR(kxCategoria="",'05_PRODUCTOS'!$D355=kxCategoria),OR(kxBuscar="",ISNUMBER(SEARCH(kxBuscar,'05_PRODUCTOS'!$L355)))),ROW()-7,""))</f>
        <v/>
      </c>
      <c r="P355" s="84" t="str">
        <f>IFERROR(INDEX('05_PRODUCTOS'!$L$8:$L$507,SMALL($O$8:$O$507,ROW()-7)),"")</f>
        <v/>
      </c>
    </row>
    <row r="356" spans="3:16" x14ac:dyDescent="0.25">
      <c r="C356" s="84" t="str">
        <f>IF(AND('05_PRODUCTOS'!$B356&lt;&gt;"",'05_PRODUCTOS'!$C356&lt;&gt;"",'05_PRODUCTOS'!$K356&lt;&gt;"NO",ISNUMBER(MATCH('05_PRODUCTOS'!$D356,lstCategorias,0))),'05_PRODUCTOS'!$D356,"")</f>
        <v/>
      </c>
      <c r="D356" s="84" t="str">
        <f>IF($C356="","",'05_PRODUCTOS'!$L356)</f>
        <v/>
      </c>
      <c r="E356" s="84" t="str">
        <f t="shared" si="23"/>
        <v/>
      </c>
      <c r="G356" s="85">
        <v>349</v>
      </c>
      <c r="H356" s="84" t="str">
        <f t="shared" si="24"/>
        <v/>
      </c>
      <c r="I356" s="84" t="str">
        <f t="shared" si="25"/>
        <v/>
      </c>
      <c r="J356" s="84" t="str">
        <f t="shared" si="26"/>
        <v/>
      </c>
      <c r="O356" s="84" t="str">
        <f>IF('05_PRODUCTOS'!$L356="","",IF(AND(OR(kxCategoria="",'05_PRODUCTOS'!$D356=kxCategoria),OR(kxBuscar="",ISNUMBER(SEARCH(kxBuscar,'05_PRODUCTOS'!$L356)))),ROW()-7,""))</f>
        <v/>
      </c>
      <c r="P356" s="84" t="str">
        <f>IFERROR(INDEX('05_PRODUCTOS'!$L$8:$L$507,SMALL($O$8:$O$507,ROW()-7)),"")</f>
        <v/>
      </c>
    </row>
    <row r="357" spans="3:16" x14ac:dyDescent="0.25">
      <c r="C357" s="84" t="str">
        <f>IF(AND('05_PRODUCTOS'!$B357&lt;&gt;"",'05_PRODUCTOS'!$C357&lt;&gt;"",'05_PRODUCTOS'!$K357&lt;&gt;"NO",ISNUMBER(MATCH('05_PRODUCTOS'!$D357,lstCategorias,0))),'05_PRODUCTOS'!$D357,"")</f>
        <v/>
      </c>
      <c r="D357" s="84" t="str">
        <f>IF($C357="","",'05_PRODUCTOS'!$L357)</f>
        <v/>
      </c>
      <c r="E357" s="84" t="str">
        <f t="shared" si="23"/>
        <v/>
      </c>
      <c r="G357" s="85">
        <v>350</v>
      </c>
      <c r="H357" s="84" t="str">
        <f t="shared" si="24"/>
        <v/>
      </c>
      <c r="I357" s="84" t="str">
        <f t="shared" si="25"/>
        <v/>
      </c>
      <c r="J357" s="84" t="str">
        <f t="shared" si="26"/>
        <v/>
      </c>
      <c r="O357" s="84" t="str">
        <f>IF('05_PRODUCTOS'!$L357="","",IF(AND(OR(kxCategoria="",'05_PRODUCTOS'!$D357=kxCategoria),OR(kxBuscar="",ISNUMBER(SEARCH(kxBuscar,'05_PRODUCTOS'!$L357)))),ROW()-7,""))</f>
        <v/>
      </c>
      <c r="P357" s="84" t="str">
        <f>IFERROR(INDEX('05_PRODUCTOS'!$L$8:$L$507,SMALL($O$8:$O$507,ROW()-7)),"")</f>
        <v/>
      </c>
    </row>
    <row r="358" spans="3:16" x14ac:dyDescent="0.25">
      <c r="C358" s="84" t="str">
        <f>IF(AND('05_PRODUCTOS'!$B358&lt;&gt;"",'05_PRODUCTOS'!$C358&lt;&gt;"",'05_PRODUCTOS'!$K358&lt;&gt;"NO",ISNUMBER(MATCH('05_PRODUCTOS'!$D358,lstCategorias,0))),'05_PRODUCTOS'!$D358,"")</f>
        <v/>
      </c>
      <c r="D358" s="84" t="str">
        <f>IF($C358="","",'05_PRODUCTOS'!$L358)</f>
        <v/>
      </c>
      <c r="E358" s="84" t="str">
        <f t="shared" si="23"/>
        <v/>
      </c>
      <c r="G358" s="85">
        <v>351</v>
      </c>
      <c r="H358" s="84" t="str">
        <f t="shared" si="24"/>
        <v/>
      </c>
      <c r="I358" s="84" t="str">
        <f t="shared" si="25"/>
        <v/>
      </c>
      <c r="J358" s="84" t="str">
        <f t="shared" si="26"/>
        <v/>
      </c>
      <c r="O358" s="84" t="str">
        <f>IF('05_PRODUCTOS'!$L358="","",IF(AND(OR(kxCategoria="",'05_PRODUCTOS'!$D358=kxCategoria),OR(kxBuscar="",ISNUMBER(SEARCH(kxBuscar,'05_PRODUCTOS'!$L358)))),ROW()-7,""))</f>
        <v/>
      </c>
      <c r="P358" s="84" t="str">
        <f>IFERROR(INDEX('05_PRODUCTOS'!$L$8:$L$507,SMALL($O$8:$O$507,ROW()-7)),"")</f>
        <v/>
      </c>
    </row>
    <row r="359" spans="3:16" x14ac:dyDescent="0.25">
      <c r="C359" s="84" t="str">
        <f>IF(AND('05_PRODUCTOS'!$B359&lt;&gt;"",'05_PRODUCTOS'!$C359&lt;&gt;"",'05_PRODUCTOS'!$K359&lt;&gt;"NO",ISNUMBER(MATCH('05_PRODUCTOS'!$D359,lstCategorias,0))),'05_PRODUCTOS'!$D359,"")</f>
        <v/>
      </c>
      <c r="D359" s="84" t="str">
        <f>IF($C359="","",'05_PRODUCTOS'!$L359)</f>
        <v/>
      </c>
      <c r="E359" s="84" t="str">
        <f t="shared" si="23"/>
        <v/>
      </c>
      <c r="G359" s="85">
        <v>352</v>
      </c>
      <c r="H359" s="84" t="str">
        <f t="shared" si="24"/>
        <v/>
      </c>
      <c r="I359" s="84" t="str">
        <f t="shared" si="25"/>
        <v/>
      </c>
      <c r="J359" s="84" t="str">
        <f t="shared" si="26"/>
        <v/>
      </c>
      <c r="O359" s="84" t="str">
        <f>IF('05_PRODUCTOS'!$L359="","",IF(AND(OR(kxCategoria="",'05_PRODUCTOS'!$D359=kxCategoria),OR(kxBuscar="",ISNUMBER(SEARCH(kxBuscar,'05_PRODUCTOS'!$L359)))),ROW()-7,""))</f>
        <v/>
      </c>
      <c r="P359" s="84" t="str">
        <f>IFERROR(INDEX('05_PRODUCTOS'!$L$8:$L$507,SMALL($O$8:$O$507,ROW()-7)),"")</f>
        <v/>
      </c>
    </row>
    <row r="360" spans="3:16" x14ac:dyDescent="0.25">
      <c r="C360" s="84" t="str">
        <f>IF(AND('05_PRODUCTOS'!$B360&lt;&gt;"",'05_PRODUCTOS'!$C360&lt;&gt;"",'05_PRODUCTOS'!$K360&lt;&gt;"NO",ISNUMBER(MATCH('05_PRODUCTOS'!$D360,lstCategorias,0))),'05_PRODUCTOS'!$D360,"")</f>
        <v/>
      </c>
      <c r="D360" s="84" t="str">
        <f>IF($C360="","",'05_PRODUCTOS'!$L360)</f>
        <v/>
      </c>
      <c r="E360" s="84" t="str">
        <f t="shared" si="23"/>
        <v/>
      </c>
      <c r="G360" s="85">
        <v>353</v>
      </c>
      <c r="H360" s="84" t="str">
        <f t="shared" si="24"/>
        <v/>
      </c>
      <c r="I360" s="84" t="str">
        <f t="shared" si="25"/>
        <v/>
      </c>
      <c r="J360" s="84" t="str">
        <f t="shared" si="26"/>
        <v/>
      </c>
      <c r="O360" s="84" t="str">
        <f>IF('05_PRODUCTOS'!$L360="","",IF(AND(OR(kxCategoria="",'05_PRODUCTOS'!$D360=kxCategoria),OR(kxBuscar="",ISNUMBER(SEARCH(kxBuscar,'05_PRODUCTOS'!$L360)))),ROW()-7,""))</f>
        <v/>
      </c>
      <c r="P360" s="84" t="str">
        <f>IFERROR(INDEX('05_PRODUCTOS'!$L$8:$L$507,SMALL($O$8:$O$507,ROW()-7)),"")</f>
        <v/>
      </c>
    </row>
    <row r="361" spans="3:16" x14ac:dyDescent="0.25">
      <c r="C361" s="84" t="str">
        <f>IF(AND('05_PRODUCTOS'!$B361&lt;&gt;"",'05_PRODUCTOS'!$C361&lt;&gt;"",'05_PRODUCTOS'!$K361&lt;&gt;"NO",ISNUMBER(MATCH('05_PRODUCTOS'!$D361,lstCategorias,0))),'05_PRODUCTOS'!$D361,"")</f>
        <v/>
      </c>
      <c r="D361" s="84" t="str">
        <f>IF($C361="","",'05_PRODUCTOS'!$L361)</f>
        <v/>
      </c>
      <c r="E361" s="84" t="str">
        <f t="shared" si="23"/>
        <v/>
      </c>
      <c r="G361" s="85">
        <v>354</v>
      </c>
      <c r="H361" s="84" t="str">
        <f t="shared" si="24"/>
        <v/>
      </c>
      <c r="I361" s="84" t="str">
        <f t="shared" si="25"/>
        <v/>
      </c>
      <c r="J361" s="84" t="str">
        <f t="shared" si="26"/>
        <v/>
      </c>
      <c r="O361" s="84" t="str">
        <f>IF('05_PRODUCTOS'!$L361="","",IF(AND(OR(kxCategoria="",'05_PRODUCTOS'!$D361=kxCategoria),OR(kxBuscar="",ISNUMBER(SEARCH(kxBuscar,'05_PRODUCTOS'!$L361)))),ROW()-7,""))</f>
        <v/>
      </c>
      <c r="P361" s="84" t="str">
        <f>IFERROR(INDEX('05_PRODUCTOS'!$L$8:$L$507,SMALL($O$8:$O$507,ROW()-7)),"")</f>
        <v/>
      </c>
    </row>
    <row r="362" spans="3:16" x14ac:dyDescent="0.25">
      <c r="C362" s="84" t="str">
        <f>IF(AND('05_PRODUCTOS'!$B362&lt;&gt;"",'05_PRODUCTOS'!$C362&lt;&gt;"",'05_PRODUCTOS'!$K362&lt;&gt;"NO",ISNUMBER(MATCH('05_PRODUCTOS'!$D362,lstCategorias,0))),'05_PRODUCTOS'!$D362,"")</f>
        <v/>
      </c>
      <c r="D362" s="84" t="str">
        <f>IF($C362="","",'05_PRODUCTOS'!$L362)</f>
        <v/>
      </c>
      <c r="E362" s="84" t="str">
        <f t="shared" si="23"/>
        <v/>
      </c>
      <c r="G362" s="85">
        <v>355</v>
      </c>
      <c r="H362" s="84" t="str">
        <f t="shared" si="24"/>
        <v/>
      </c>
      <c r="I362" s="84" t="str">
        <f t="shared" si="25"/>
        <v/>
      </c>
      <c r="J362" s="84" t="str">
        <f t="shared" si="26"/>
        <v/>
      </c>
      <c r="O362" s="84" t="str">
        <f>IF('05_PRODUCTOS'!$L362="","",IF(AND(OR(kxCategoria="",'05_PRODUCTOS'!$D362=kxCategoria),OR(kxBuscar="",ISNUMBER(SEARCH(kxBuscar,'05_PRODUCTOS'!$L362)))),ROW()-7,""))</f>
        <v/>
      </c>
      <c r="P362" s="84" t="str">
        <f>IFERROR(INDEX('05_PRODUCTOS'!$L$8:$L$507,SMALL($O$8:$O$507,ROW()-7)),"")</f>
        <v/>
      </c>
    </row>
    <row r="363" spans="3:16" x14ac:dyDescent="0.25">
      <c r="C363" s="84" t="str">
        <f>IF(AND('05_PRODUCTOS'!$B363&lt;&gt;"",'05_PRODUCTOS'!$C363&lt;&gt;"",'05_PRODUCTOS'!$K363&lt;&gt;"NO",ISNUMBER(MATCH('05_PRODUCTOS'!$D363,lstCategorias,0))),'05_PRODUCTOS'!$D363,"")</f>
        <v/>
      </c>
      <c r="D363" s="84" t="str">
        <f>IF($C363="","",'05_PRODUCTOS'!$L363)</f>
        <v/>
      </c>
      <c r="E363" s="84" t="str">
        <f t="shared" si="23"/>
        <v/>
      </c>
      <c r="G363" s="85">
        <v>356</v>
      </c>
      <c r="H363" s="84" t="str">
        <f t="shared" si="24"/>
        <v/>
      </c>
      <c r="I363" s="84" t="str">
        <f t="shared" si="25"/>
        <v/>
      </c>
      <c r="J363" s="84" t="str">
        <f t="shared" si="26"/>
        <v/>
      </c>
      <c r="O363" s="84" t="str">
        <f>IF('05_PRODUCTOS'!$L363="","",IF(AND(OR(kxCategoria="",'05_PRODUCTOS'!$D363=kxCategoria),OR(kxBuscar="",ISNUMBER(SEARCH(kxBuscar,'05_PRODUCTOS'!$L363)))),ROW()-7,""))</f>
        <v/>
      </c>
      <c r="P363" s="84" t="str">
        <f>IFERROR(INDEX('05_PRODUCTOS'!$L$8:$L$507,SMALL($O$8:$O$507,ROW()-7)),"")</f>
        <v/>
      </c>
    </row>
    <row r="364" spans="3:16" x14ac:dyDescent="0.25">
      <c r="C364" s="84" t="str">
        <f>IF(AND('05_PRODUCTOS'!$B364&lt;&gt;"",'05_PRODUCTOS'!$C364&lt;&gt;"",'05_PRODUCTOS'!$K364&lt;&gt;"NO",ISNUMBER(MATCH('05_PRODUCTOS'!$D364,lstCategorias,0))),'05_PRODUCTOS'!$D364,"")</f>
        <v/>
      </c>
      <c r="D364" s="84" t="str">
        <f>IF($C364="","",'05_PRODUCTOS'!$L364)</f>
        <v/>
      </c>
      <c r="E364" s="84" t="str">
        <f t="shared" si="23"/>
        <v/>
      </c>
      <c r="G364" s="85">
        <v>357</v>
      </c>
      <c r="H364" s="84" t="str">
        <f t="shared" si="24"/>
        <v/>
      </c>
      <c r="I364" s="84" t="str">
        <f t="shared" si="25"/>
        <v/>
      </c>
      <c r="J364" s="84" t="str">
        <f t="shared" si="26"/>
        <v/>
      </c>
      <c r="O364" s="84" t="str">
        <f>IF('05_PRODUCTOS'!$L364="","",IF(AND(OR(kxCategoria="",'05_PRODUCTOS'!$D364=kxCategoria),OR(kxBuscar="",ISNUMBER(SEARCH(kxBuscar,'05_PRODUCTOS'!$L364)))),ROW()-7,""))</f>
        <v/>
      </c>
      <c r="P364" s="84" t="str">
        <f>IFERROR(INDEX('05_PRODUCTOS'!$L$8:$L$507,SMALL($O$8:$O$507,ROW()-7)),"")</f>
        <v/>
      </c>
    </row>
    <row r="365" spans="3:16" x14ac:dyDescent="0.25">
      <c r="C365" s="84" t="str">
        <f>IF(AND('05_PRODUCTOS'!$B365&lt;&gt;"",'05_PRODUCTOS'!$C365&lt;&gt;"",'05_PRODUCTOS'!$K365&lt;&gt;"NO",ISNUMBER(MATCH('05_PRODUCTOS'!$D365,lstCategorias,0))),'05_PRODUCTOS'!$D365,"")</f>
        <v/>
      </c>
      <c r="D365" s="84" t="str">
        <f>IF($C365="","",'05_PRODUCTOS'!$L365)</f>
        <v/>
      </c>
      <c r="E365" s="84" t="str">
        <f t="shared" si="23"/>
        <v/>
      </c>
      <c r="G365" s="85">
        <v>358</v>
      </c>
      <c r="H365" s="84" t="str">
        <f t="shared" si="24"/>
        <v/>
      </c>
      <c r="I365" s="84" t="str">
        <f t="shared" si="25"/>
        <v/>
      </c>
      <c r="J365" s="84" t="str">
        <f t="shared" si="26"/>
        <v/>
      </c>
      <c r="O365" s="84" t="str">
        <f>IF('05_PRODUCTOS'!$L365="","",IF(AND(OR(kxCategoria="",'05_PRODUCTOS'!$D365=kxCategoria),OR(kxBuscar="",ISNUMBER(SEARCH(kxBuscar,'05_PRODUCTOS'!$L365)))),ROW()-7,""))</f>
        <v/>
      </c>
      <c r="P365" s="84" t="str">
        <f>IFERROR(INDEX('05_PRODUCTOS'!$L$8:$L$507,SMALL($O$8:$O$507,ROW()-7)),"")</f>
        <v/>
      </c>
    </row>
    <row r="366" spans="3:16" x14ac:dyDescent="0.25">
      <c r="C366" s="84" t="str">
        <f>IF(AND('05_PRODUCTOS'!$B366&lt;&gt;"",'05_PRODUCTOS'!$C366&lt;&gt;"",'05_PRODUCTOS'!$K366&lt;&gt;"NO",ISNUMBER(MATCH('05_PRODUCTOS'!$D366,lstCategorias,0))),'05_PRODUCTOS'!$D366,"")</f>
        <v/>
      </c>
      <c r="D366" s="84" t="str">
        <f>IF($C366="","",'05_PRODUCTOS'!$L366)</f>
        <v/>
      </c>
      <c r="E366" s="84" t="str">
        <f t="shared" si="23"/>
        <v/>
      </c>
      <c r="G366" s="85">
        <v>359</v>
      </c>
      <c r="H366" s="84" t="str">
        <f t="shared" si="24"/>
        <v/>
      </c>
      <c r="I366" s="84" t="str">
        <f t="shared" si="25"/>
        <v/>
      </c>
      <c r="J366" s="84" t="str">
        <f t="shared" si="26"/>
        <v/>
      </c>
      <c r="O366" s="84" t="str">
        <f>IF('05_PRODUCTOS'!$L366="","",IF(AND(OR(kxCategoria="",'05_PRODUCTOS'!$D366=kxCategoria),OR(kxBuscar="",ISNUMBER(SEARCH(kxBuscar,'05_PRODUCTOS'!$L366)))),ROW()-7,""))</f>
        <v/>
      </c>
      <c r="P366" s="84" t="str">
        <f>IFERROR(INDEX('05_PRODUCTOS'!$L$8:$L$507,SMALL($O$8:$O$507,ROW()-7)),"")</f>
        <v/>
      </c>
    </row>
    <row r="367" spans="3:16" x14ac:dyDescent="0.25">
      <c r="C367" s="84" t="str">
        <f>IF(AND('05_PRODUCTOS'!$B367&lt;&gt;"",'05_PRODUCTOS'!$C367&lt;&gt;"",'05_PRODUCTOS'!$K367&lt;&gt;"NO",ISNUMBER(MATCH('05_PRODUCTOS'!$D367,lstCategorias,0))),'05_PRODUCTOS'!$D367,"")</f>
        <v/>
      </c>
      <c r="D367" s="84" t="str">
        <f>IF($C367="","",'05_PRODUCTOS'!$L367)</f>
        <v/>
      </c>
      <c r="E367" s="84" t="str">
        <f t="shared" si="23"/>
        <v/>
      </c>
      <c r="G367" s="85">
        <v>360</v>
      </c>
      <c r="H367" s="84" t="str">
        <f t="shared" si="24"/>
        <v/>
      </c>
      <c r="I367" s="84" t="str">
        <f t="shared" si="25"/>
        <v/>
      </c>
      <c r="J367" s="84" t="str">
        <f t="shared" si="26"/>
        <v/>
      </c>
      <c r="O367" s="84" t="str">
        <f>IF('05_PRODUCTOS'!$L367="","",IF(AND(OR(kxCategoria="",'05_PRODUCTOS'!$D367=kxCategoria),OR(kxBuscar="",ISNUMBER(SEARCH(kxBuscar,'05_PRODUCTOS'!$L367)))),ROW()-7,""))</f>
        <v/>
      </c>
      <c r="P367" s="84" t="str">
        <f>IFERROR(INDEX('05_PRODUCTOS'!$L$8:$L$507,SMALL($O$8:$O$507,ROW()-7)),"")</f>
        <v/>
      </c>
    </row>
    <row r="368" spans="3:16" x14ac:dyDescent="0.25">
      <c r="C368" s="84" t="str">
        <f>IF(AND('05_PRODUCTOS'!$B368&lt;&gt;"",'05_PRODUCTOS'!$C368&lt;&gt;"",'05_PRODUCTOS'!$K368&lt;&gt;"NO",ISNUMBER(MATCH('05_PRODUCTOS'!$D368,lstCategorias,0))),'05_PRODUCTOS'!$D368,"")</f>
        <v/>
      </c>
      <c r="D368" s="84" t="str">
        <f>IF($C368="","",'05_PRODUCTOS'!$L368)</f>
        <v/>
      </c>
      <c r="E368" s="84" t="str">
        <f t="shared" si="23"/>
        <v/>
      </c>
      <c r="G368" s="85">
        <v>361</v>
      </c>
      <c r="H368" s="84" t="str">
        <f t="shared" si="24"/>
        <v/>
      </c>
      <c r="I368" s="84" t="str">
        <f t="shared" si="25"/>
        <v/>
      </c>
      <c r="J368" s="84" t="str">
        <f t="shared" si="26"/>
        <v/>
      </c>
      <c r="O368" s="84" t="str">
        <f>IF('05_PRODUCTOS'!$L368="","",IF(AND(OR(kxCategoria="",'05_PRODUCTOS'!$D368=kxCategoria),OR(kxBuscar="",ISNUMBER(SEARCH(kxBuscar,'05_PRODUCTOS'!$L368)))),ROW()-7,""))</f>
        <v/>
      </c>
      <c r="P368" s="84" t="str">
        <f>IFERROR(INDEX('05_PRODUCTOS'!$L$8:$L$507,SMALL($O$8:$O$507,ROW()-7)),"")</f>
        <v/>
      </c>
    </row>
    <row r="369" spans="3:16" x14ac:dyDescent="0.25">
      <c r="C369" s="84" t="str">
        <f>IF(AND('05_PRODUCTOS'!$B369&lt;&gt;"",'05_PRODUCTOS'!$C369&lt;&gt;"",'05_PRODUCTOS'!$K369&lt;&gt;"NO",ISNUMBER(MATCH('05_PRODUCTOS'!$D369,lstCategorias,0))),'05_PRODUCTOS'!$D369,"")</f>
        <v/>
      </c>
      <c r="D369" s="84" t="str">
        <f>IF($C369="","",'05_PRODUCTOS'!$L369)</f>
        <v/>
      </c>
      <c r="E369" s="84" t="str">
        <f t="shared" si="23"/>
        <v/>
      </c>
      <c r="G369" s="85">
        <v>362</v>
      </c>
      <c r="H369" s="84" t="str">
        <f t="shared" si="24"/>
        <v/>
      </c>
      <c r="I369" s="84" t="str">
        <f t="shared" si="25"/>
        <v/>
      </c>
      <c r="J369" s="84" t="str">
        <f t="shared" si="26"/>
        <v/>
      </c>
      <c r="O369" s="84" t="str">
        <f>IF('05_PRODUCTOS'!$L369="","",IF(AND(OR(kxCategoria="",'05_PRODUCTOS'!$D369=kxCategoria),OR(kxBuscar="",ISNUMBER(SEARCH(kxBuscar,'05_PRODUCTOS'!$L369)))),ROW()-7,""))</f>
        <v/>
      </c>
      <c r="P369" s="84" t="str">
        <f>IFERROR(INDEX('05_PRODUCTOS'!$L$8:$L$507,SMALL($O$8:$O$507,ROW()-7)),"")</f>
        <v/>
      </c>
    </row>
    <row r="370" spans="3:16" x14ac:dyDescent="0.25">
      <c r="C370" s="84" t="str">
        <f>IF(AND('05_PRODUCTOS'!$B370&lt;&gt;"",'05_PRODUCTOS'!$C370&lt;&gt;"",'05_PRODUCTOS'!$K370&lt;&gt;"NO",ISNUMBER(MATCH('05_PRODUCTOS'!$D370,lstCategorias,0))),'05_PRODUCTOS'!$D370,"")</f>
        <v/>
      </c>
      <c r="D370" s="84" t="str">
        <f>IF($C370="","",'05_PRODUCTOS'!$L370)</f>
        <v/>
      </c>
      <c r="E370" s="84" t="str">
        <f t="shared" si="23"/>
        <v/>
      </c>
      <c r="G370" s="85">
        <v>363</v>
      </c>
      <c r="H370" s="84" t="str">
        <f t="shared" si="24"/>
        <v/>
      </c>
      <c r="I370" s="84" t="str">
        <f t="shared" si="25"/>
        <v/>
      </c>
      <c r="J370" s="84" t="str">
        <f t="shared" si="26"/>
        <v/>
      </c>
      <c r="O370" s="84" t="str">
        <f>IF('05_PRODUCTOS'!$L370="","",IF(AND(OR(kxCategoria="",'05_PRODUCTOS'!$D370=kxCategoria),OR(kxBuscar="",ISNUMBER(SEARCH(kxBuscar,'05_PRODUCTOS'!$L370)))),ROW()-7,""))</f>
        <v/>
      </c>
      <c r="P370" s="84" t="str">
        <f>IFERROR(INDEX('05_PRODUCTOS'!$L$8:$L$507,SMALL($O$8:$O$507,ROW()-7)),"")</f>
        <v/>
      </c>
    </row>
    <row r="371" spans="3:16" x14ac:dyDescent="0.25">
      <c r="C371" s="84" t="str">
        <f>IF(AND('05_PRODUCTOS'!$B371&lt;&gt;"",'05_PRODUCTOS'!$C371&lt;&gt;"",'05_PRODUCTOS'!$K371&lt;&gt;"NO",ISNUMBER(MATCH('05_PRODUCTOS'!$D371,lstCategorias,0))),'05_PRODUCTOS'!$D371,"")</f>
        <v/>
      </c>
      <c r="D371" s="84" t="str">
        <f>IF($C371="","",'05_PRODUCTOS'!$L371)</f>
        <v/>
      </c>
      <c r="E371" s="84" t="str">
        <f t="shared" si="23"/>
        <v/>
      </c>
      <c r="G371" s="85">
        <v>364</v>
      </c>
      <c r="H371" s="84" t="str">
        <f t="shared" si="24"/>
        <v/>
      </c>
      <c r="I371" s="84" t="str">
        <f t="shared" si="25"/>
        <v/>
      </c>
      <c r="J371" s="84" t="str">
        <f t="shared" si="26"/>
        <v/>
      </c>
      <c r="O371" s="84" t="str">
        <f>IF('05_PRODUCTOS'!$L371="","",IF(AND(OR(kxCategoria="",'05_PRODUCTOS'!$D371=kxCategoria),OR(kxBuscar="",ISNUMBER(SEARCH(kxBuscar,'05_PRODUCTOS'!$L371)))),ROW()-7,""))</f>
        <v/>
      </c>
      <c r="P371" s="84" t="str">
        <f>IFERROR(INDEX('05_PRODUCTOS'!$L$8:$L$507,SMALL($O$8:$O$507,ROW()-7)),"")</f>
        <v/>
      </c>
    </row>
    <row r="372" spans="3:16" x14ac:dyDescent="0.25">
      <c r="C372" s="84" t="str">
        <f>IF(AND('05_PRODUCTOS'!$B372&lt;&gt;"",'05_PRODUCTOS'!$C372&lt;&gt;"",'05_PRODUCTOS'!$K372&lt;&gt;"NO",ISNUMBER(MATCH('05_PRODUCTOS'!$D372,lstCategorias,0))),'05_PRODUCTOS'!$D372,"")</f>
        <v/>
      </c>
      <c r="D372" s="84" t="str">
        <f>IF($C372="","",'05_PRODUCTOS'!$L372)</f>
        <v/>
      </c>
      <c r="E372" s="84" t="str">
        <f t="shared" si="23"/>
        <v/>
      </c>
      <c r="G372" s="85">
        <v>365</v>
      </c>
      <c r="H372" s="84" t="str">
        <f t="shared" si="24"/>
        <v/>
      </c>
      <c r="I372" s="84" t="str">
        <f t="shared" si="25"/>
        <v/>
      </c>
      <c r="J372" s="84" t="str">
        <f t="shared" si="26"/>
        <v/>
      </c>
      <c r="O372" s="84" t="str">
        <f>IF('05_PRODUCTOS'!$L372="","",IF(AND(OR(kxCategoria="",'05_PRODUCTOS'!$D372=kxCategoria),OR(kxBuscar="",ISNUMBER(SEARCH(kxBuscar,'05_PRODUCTOS'!$L372)))),ROW()-7,""))</f>
        <v/>
      </c>
      <c r="P372" s="84" t="str">
        <f>IFERROR(INDEX('05_PRODUCTOS'!$L$8:$L$507,SMALL($O$8:$O$507,ROW()-7)),"")</f>
        <v/>
      </c>
    </row>
    <row r="373" spans="3:16" x14ac:dyDescent="0.25">
      <c r="C373" s="84" t="str">
        <f>IF(AND('05_PRODUCTOS'!$B373&lt;&gt;"",'05_PRODUCTOS'!$C373&lt;&gt;"",'05_PRODUCTOS'!$K373&lt;&gt;"NO",ISNUMBER(MATCH('05_PRODUCTOS'!$D373,lstCategorias,0))),'05_PRODUCTOS'!$D373,"")</f>
        <v/>
      </c>
      <c r="D373" s="84" t="str">
        <f>IF($C373="","",'05_PRODUCTOS'!$L373)</f>
        <v/>
      </c>
      <c r="E373" s="84" t="str">
        <f t="shared" si="23"/>
        <v/>
      </c>
      <c r="G373" s="85">
        <v>366</v>
      </c>
      <c r="H373" s="84" t="str">
        <f t="shared" si="24"/>
        <v/>
      </c>
      <c r="I373" s="84" t="str">
        <f t="shared" si="25"/>
        <v/>
      </c>
      <c r="J373" s="84" t="str">
        <f t="shared" si="26"/>
        <v/>
      </c>
      <c r="O373" s="84" t="str">
        <f>IF('05_PRODUCTOS'!$L373="","",IF(AND(OR(kxCategoria="",'05_PRODUCTOS'!$D373=kxCategoria),OR(kxBuscar="",ISNUMBER(SEARCH(kxBuscar,'05_PRODUCTOS'!$L373)))),ROW()-7,""))</f>
        <v/>
      </c>
      <c r="P373" s="84" t="str">
        <f>IFERROR(INDEX('05_PRODUCTOS'!$L$8:$L$507,SMALL($O$8:$O$507,ROW()-7)),"")</f>
        <v/>
      </c>
    </row>
    <row r="374" spans="3:16" x14ac:dyDescent="0.25">
      <c r="C374" s="84" t="str">
        <f>IF(AND('05_PRODUCTOS'!$B374&lt;&gt;"",'05_PRODUCTOS'!$C374&lt;&gt;"",'05_PRODUCTOS'!$K374&lt;&gt;"NO",ISNUMBER(MATCH('05_PRODUCTOS'!$D374,lstCategorias,0))),'05_PRODUCTOS'!$D374,"")</f>
        <v/>
      </c>
      <c r="D374" s="84" t="str">
        <f>IF($C374="","",'05_PRODUCTOS'!$L374)</f>
        <v/>
      </c>
      <c r="E374" s="84" t="str">
        <f t="shared" si="23"/>
        <v/>
      </c>
      <c r="G374" s="85">
        <v>367</v>
      </c>
      <c r="H374" s="84" t="str">
        <f t="shared" si="24"/>
        <v/>
      </c>
      <c r="I374" s="84" t="str">
        <f t="shared" si="25"/>
        <v/>
      </c>
      <c r="J374" s="84" t="str">
        <f t="shared" si="26"/>
        <v/>
      </c>
      <c r="O374" s="84" t="str">
        <f>IF('05_PRODUCTOS'!$L374="","",IF(AND(OR(kxCategoria="",'05_PRODUCTOS'!$D374=kxCategoria),OR(kxBuscar="",ISNUMBER(SEARCH(kxBuscar,'05_PRODUCTOS'!$L374)))),ROW()-7,""))</f>
        <v/>
      </c>
      <c r="P374" s="84" t="str">
        <f>IFERROR(INDEX('05_PRODUCTOS'!$L$8:$L$507,SMALL($O$8:$O$507,ROW()-7)),"")</f>
        <v/>
      </c>
    </row>
    <row r="375" spans="3:16" x14ac:dyDescent="0.25">
      <c r="C375" s="84" t="str">
        <f>IF(AND('05_PRODUCTOS'!$B375&lt;&gt;"",'05_PRODUCTOS'!$C375&lt;&gt;"",'05_PRODUCTOS'!$K375&lt;&gt;"NO",ISNUMBER(MATCH('05_PRODUCTOS'!$D375,lstCategorias,0))),'05_PRODUCTOS'!$D375,"")</f>
        <v/>
      </c>
      <c r="D375" s="84" t="str">
        <f>IF($C375="","",'05_PRODUCTOS'!$L375)</f>
        <v/>
      </c>
      <c r="E375" s="84" t="str">
        <f t="shared" si="23"/>
        <v/>
      </c>
      <c r="G375" s="85">
        <v>368</v>
      </c>
      <c r="H375" s="84" t="str">
        <f t="shared" si="24"/>
        <v/>
      </c>
      <c r="I375" s="84" t="str">
        <f t="shared" si="25"/>
        <v/>
      </c>
      <c r="J375" s="84" t="str">
        <f t="shared" si="26"/>
        <v/>
      </c>
      <c r="O375" s="84" t="str">
        <f>IF('05_PRODUCTOS'!$L375="","",IF(AND(OR(kxCategoria="",'05_PRODUCTOS'!$D375=kxCategoria),OR(kxBuscar="",ISNUMBER(SEARCH(kxBuscar,'05_PRODUCTOS'!$L375)))),ROW()-7,""))</f>
        <v/>
      </c>
      <c r="P375" s="84" t="str">
        <f>IFERROR(INDEX('05_PRODUCTOS'!$L$8:$L$507,SMALL($O$8:$O$507,ROW()-7)),"")</f>
        <v/>
      </c>
    </row>
    <row r="376" spans="3:16" x14ac:dyDescent="0.25">
      <c r="C376" s="84" t="str">
        <f>IF(AND('05_PRODUCTOS'!$B376&lt;&gt;"",'05_PRODUCTOS'!$C376&lt;&gt;"",'05_PRODUCTOS'!$K376&lt;&gt;"NO",ISNUMBER(MATCH('05_PRODUCTOS'!$D376,lstCategorias,0))),'05_PRODUCTOS'!$D376,"")</f>
        <v/>
      </c>
      <c r="D376" s="84" t="str">
        <f>IF($C376="","",'05_PRODUCTOS'!$L376)</f>
        <v/>
      </c>
      <c r="E376" s="84" t="str">
        <f t="shared" si="23"/>
        <v/>
      </c>
      <c r="G376" s="85">
        <v>369</v>
      </c>
      <c r="H376" s="84" t="str">
        <f t="shared" si="24"/>
        <v/>
      </c>
      <c r="I376" s="84" t="str">
        <f t="shared" si="25"/>
        <v/>
      </c>
      <c r="J376" s="84" t="str">
        <f t="shared" si="26"/>
        <v/>
      </c>
      <c r="O376" s="84" t="str">
        <f>IF('05_PRODUCTOS'!$L376="","",IF(AND(OR(kxCategoria="",'05_PRODUCTOS'!$D376=kxCategoria),OR(kxBuscar="",ISNUMBER(SEARCH(kxBuscar,'05_PRODUCTOS'!$L376)))),ROW()-7,""))</f>
        <v/>
      </c>
      <c r="P376" s="84" t="str">
        <f>IFERROR(INDEX('05_PRODUCTOS'!$L$8:$L$507,SMALL($O$8:$O$507,ROW()-7)),"")</f>
        <v/>
      </c>
    </row>
    <row r="377" spans="3:16" x14ac:dyDescent="0.25">
      <c r="C377" s="84" t="str">
        <f>IF(AND('05_PRODUCTOS'!$B377&lt;&gt;"",'05_PRODUCTOS'!$C377&lt;&gt;"",'05_PRODUCTOS'!$K377&lt;&gt;"NO",ISNUMBER(MATCH('05_PRODUCTOS'!$D377,lstCategorias,0))),'05_PRODUCTOS'!$D377,"")</f>
        <v/>
      </c>
      <c r="D377" s="84" t="str">
        <f>IF($C377="","",'05_PRODUCTOS'!$L377)</f>
        <v/>
      </c>
      <c r="E377" s="84" t="str">
        <f t="shared" si="23"/>
        <v/>
      </c>
      <c r="G377" s="85">
        <v>370</v>
      </c>
      <c r="H377" s="84" t="str">
        <f t="shared" si="24"/>
        <v/>
      </c>
      <c r="I377" s="84" t="str">
        <f t="shared" si="25"/>
        <v/>
      </c>
      <c r="J377" s="84" t="str">
        <f t="shared" si="26"/>
        <v/>
      </c>
      <c r="O377" s="84" t="str">
        <f>IF('05_PRODUCTOS'!$L377="","",IF(AND(OR(kxCategoria="",'05_PRODUCTOS'!$D377=kxCategoria),OR(kxBuscar="",ISNUMBER(SEARCH(kxBuscar,'05_PRODUCTOS'!$L377)))),ROW()-7,""))</f>
        <v/>
      </c>
      <c r="P377" s="84" t="str">
        <f>IFERROR(INDEX('05_PRODUCTOS'!$L$8:$L$507,SMALL($O$8:$O$507,ROW()-7)),"")</f>
        <v/>
      </c>
    </row>
    <row r="378" spans="3:16" x14ac:dyDescent="0.25">
      <c r="C378" s="84" t="str">
        <f>IF(AND('05_PRODUCTOS'!$B378&lt;&gt;"",'05_PRODUCTOS'!$C378&lt;&gt;"",'05_PRODUCTOS'!$K378&lt;&gt;"NO",ISNUMBER(MATCH('05_PRODUCTOS'!$D378,lstCategorias,0))),'05_PRODUCTOS'!$D378,"")</f>
        <v/>
      </c>
      <c r="D378" s="84" t="str">
        <f>IF($C378="","",'05_PRODUCTOS'!$L378)</f>
        <v/>
      </c>
      <c r="E378" s="84" t="str">
        <f t="shared" si="23"/>
        <v/>
      </c>
      <c r="G378" s="85">
        <v>371</v>
      </c>
      <c r="H378" s="84" t="str">
        <f t="shared" si="24"/>
        <v/>
      </c>
      <c r="I378" s="84" t="str">
        <f t="shared" si="25"/>
        <v/>
      </c>
      <c r="J378" s="84" t="str">
        <f t="shared" si="26"/>
        <v/>
      </c>
      <c r="O378" s="84" t="str">
        <f>IF('05_PRODUCTOS'!$L378="","",IF(AND(OR(kxCategoria="",'05_PRODUCTOS'!$D378=kxCategoria),OR(kxBuscar="",ISNUMBER(SEARCH(kxBuscar,'05_PRODUCTOS'!$L378)))),ROW()-7,""))</f>
        <v/>
      </c>
      <c r="P378" s="84" t="str">
        <f>IFERROR(INDEX('05_PRODUCTOS'!$L$8:$L$507,SMALL($O$8:$O$507,ROW()-7)),"")</f>
        <v/>
      </c>
    </row>
    <row r="379" spans="3:16" x14ac:dyDescent="0.25">
      <c r="C379" s="84" t="str">
        <f>IF(AND('05_PRODUCTOS'!$B379&lt;&gt;"",'05_PRODUCTOS'!$C379&lt;&gt;"",'05_PRODUCTOS'!$K379&lt;&gt;"NO",ISNUMBER(MATCH('05_PRODUCTOS'!$D379,lstCategorias,0))),'05_PRODUCTOS'!$D379,"")</f>
        <v/>
      </c>
      <c r="D379" s="84" t="str">
        <f>IF($C379="","",'05_PRODUCTOS'!$L379)</f>
        <v/>
      </c>
      <c r="E379" s="84" t="str">
        <f t="shared" si="23"/>
        <v/>
      </c>
      <c r="G379" s="85">
        <v>372</v>
      </c>
      <c r="H379" s="84" t="str">
        <f t="shared" si="24"/>
        <v/>
      </c>
      <c r="I379" s="84" t="str">
        <f t="shared" si="25"/>
        <v/>
      </c>
      <c r="J379" s="84" t="str">
        <f t="shared" si="26"/>
        <v/>
      </c>
      <c r="O379" s="84" t="str">
        <f>IF('05_PRODUCTOS'!$L379="","",IF(AND(OR(kxCategoria="",'05_PRODUCTOS'!$D379=kxCategoria),OR(kxBuscar="",ISNUMBER(SEARCH(kxBuscar,'05_PRODUCTOS'!$L379)))),ROW()-7,""))</f>
        <v/>
      </c>
      <c r="P379" s="84" t="str">
        <f>IFERROR(INDEX('05_PRODUCTOS'!$L$8:$L$507,SMALL($O$8:$O$507,ROW()-7)),"")</f>
        <v/>
      </c>
    </row>
    <row r="380" spans="3:16" x14ac:dyDescent="0.25">
      <c r="C380" s="84" t="str">
        <f>IF(AND('05_PRODUCTOS'!$B380&lt;&gt;"",'05_PRODUCTOS'!$C380&lt;&gt;"",'05_PRODUCTOS'!$K380&lt;&gt;"NO",ISNUMBER(MATCH('05_PRODUCTOS'!$D380,lstCategorias,0))),'05_PRODUCTOS'!$D380,"")</f>
        <v/>
      </c>
      <c r="D380" s="84" t="str">
        <f>IF($C380="","",'05_PRODUCTOS'!$L380)</f>
        <v/>
      </c>
      <c r="E380" s="84" t="str">
        <f t="shared" si="23"/>
        <v/>
      </c>
      <c r="G380" s="85">
        <v>373</v>
      </c>
      <c r="H380" s="84" t="str">
        <f t="shared" si="24"/>
        <v/>
      </c>
      <c r="I380" s="84" t="str">
        <f t="shared" si="25"/>
        <v/>
      </c>
      <c r="J380" s="84" t="str">
        <f t="shared" si="26"/>
        <v/>
      </c>
      <c r="O380" s="84" t="str">
        <f>IF('05_PRODUCTOS'!$L380="","",IF(AND(OR(kxCategoria="",'05_PRODUCTOS'!$D380=kxCategoria),OR(kxBuscar="",ISNUMBER(SEARCH(kxBuscar,'05_PRODUCTOS'!$L380)))),ROW()-7,""))</f>
        <v/>
      </c>
      <c r="P380" s="84" t="str">
        <f>IFERROR(INDEX('05_PRODUCTOS'!$L$8:$L$507,SMALL($O$8:$O$507,ROW()-7)),"")</f>
        <v/>
      </c>
    </row>
    <row r="381" spans="3:16" x14ac:dyDescent="0.25">
      <c r="C381" s="84" t="str">
        <f>IF(AND('05_PRODUCTOS'!$B381&lt;&gt;"",'05_PRODUCTOS'!$C381&lt;&gt;"",'05_PRODUCTOS'!$K381&lt;&gt;"NO",ISNUMBER(MATCH('05_PRODUCTOS'!$D381,lstCategorias,0))),'05_PRODUCTOS'!$D381,"")</f>
        <v/>
      </c>
      <c r="D381" s="84" t="str">
        <f>IF($C381="","",'05_PRODUCTOS'!$L381)</f>
        <v/>
      </c>
      <c r="E381" s="84" t="str">
        <f t="shared" si="23"/>
        <v/>
      </c>
      <c r="G381" s="85">
        <v>374</v>
      </c>
      <c r="H381" s="84" t="str">
        <f t="shared" si="24"/>
        <v/>
      </c>
      <c r="I381" s="84" t="str">
        <f t="shared" si="25"/>
        <v/>
      </c>
      <c r="J381" s="84" t="str">
        <f t="shared" si="26"/>
        <v/>
      </c>
      <c r="O381" s="84" t="str">
        <f>IF('05_PRODUCTOS'!$L381="","",IF(AND(OR(kxCategoria="",'05_PRODUCTOS'!$D381=kxCategoria),OR(kxBuscar="",ISNUMBER(SEARCH(kxBuscar,'05_PRODUCTOS'!$L381)))),ROW()-7,""))</f>
        <v/>
      </c>
      <c r="P381" s="84" t="str">
        <f>IFERROR(INDEX('05_PRODUCTOS'!$L$8:$L$507,SMALL($O$8:$O$507,ROW()-7)),"")</f>
        <v/>
      </c>
    </row>
    <row r="382" spans="3:16" x14ac:dyDescent="0.25">
      <c r="C382" s="84" t="str">
        <f>IF(AND('05_PRODUCTOS'!$B382&lt;&gt;"",'05_PRODUCTOS'!$C382&lt;&gt;"",'05_PRODUCTOS'!$K382&lt;&gt;"NO",ISNUMBER(MATCH('05_PRODUCTOS'!$D382,lstCategorias,0))),'05_PRODUCTOS'!$D382,"")</f>
        <v/>
      </c>
      <c r="D382" s="84" t="str">
        <f>IF($C382="","",'05_PRODUCTOS'!$L382)</f>
        <v/>
      </c>
      <c r="E382" s="84" t="str">
        <f t="shared" si="23"/>
        <v/>
      </c>
      <c r="G382" s="85">
        <v>375</v>
      </c>
      <c r="H382" s="84" t="str">
        <f t="shared" si="24"/>
        <v/>
      </c>
      <c r="I382" s="84" t="str">
        <f t="shared" si="25"/>
        <v/>
      </c>
      <c r="J382" s="84" t="str">
        <f t="shared" si="26"/>
        <v/>
      </c>
      <c r="O382" s="84" t="str">
        <f>IF('05_PRODUCTOS'!$L382="","",IF(AND(OR(kxCategoria="",'05_PRODUCTOS'!$D382=kxCategoria),OR(kxBuscar="",ISNUMBER(SEARCH(kxBuscar,'05_PRODUCTOS'!$L382)))),ROW()-7,""))</f>
        <v/>
      </c>
      <c r="P382" s="84" t="str">
        <f>IFERROR(INDEX('05_PRODUCTOS'!$L$8:$L$507,SMALL($O$8:$O$507,ROW()-7)),"")</f>
        <v/>
      </c>
    </row>
    <row r="383" spans="3:16" x14ac:dyDescent="0.25">
      <c r="C383" s="84" t="str">
        <f>IF(AND('05_PRODUCTOS'!$B383&lt;&gt;"",'05_PRODUCTOS'!$C383&lt;&gt;"",'05_PRODUCTOS'!$K383&lt;&gt;"NO",ISNUMBER(MATCH('05_PRODUCTOS'!$D383,lstCategorias,0))),'05_PRODUCTOS'!$D383,"")</f>
        <v/>
      </c>
      <c r="D383" s="84" t="str">
        <f>IF($C383="","",'05_PRODUCTOS'!$L383)</f>
        <v/>
      </c>
      <c r="E383" s="84" t="str">
        <f t="shared" si="23"/>
        <v/>
      </c>
      <c r="G383" s="85">
        <v>376</v>
      </c>
      <c r="H383" s="84" t="str">
        <f t="shared" si="24"/>
        <v/>
      </c>
      <c r="I383" s="84" t="str">
        <f t="shared" si="25"/>
        <v/>
      </c>
      <c r="J383" s="84" t="str">
        <f t="shared" si="26"/>
        <v/>
      </c>
      <c r="O383" s="84" t="str">
        <f>IF('05_PRODUCTOS'!$L383="","",IF(AND(OR(kxCategoria="",'05_PRODUCTOS'!$D383=kxCategoria),OR(kxBuscar="",ISNUMBER(SEARCH(kxBuscar,'05_PRODUCTOS'!$L383)))),ROW()-7,""))</f>
        <v/>
      </c>
      <c r="P383" s="84" t="str">
        <f>IFERROR(INDEX('05_PRODUCTOS'!$L$8:$L$507,SMALL($O$8:$O$507,ROW()-7)),"")</f>
        <v/>
      </c>
    </row>
    <row r="384" spans="3:16" x14ac:dyDescent="0.25">
      <c r="C384" s="84" t="str">
        <f>IF(AND('05_PRODUCTOS'!$B384&lt;&gt;"",'05_PRODUCTOS'!$C384&lt;&gt;"",'05_PRODUCTOS'!$K384&lt;&gt;"NO",ISNUMBER(MATCH('05_PRODUCTOS'!$D384,lstCategorias,0))),'05_PRODUCTOS'!$D384,"")</f>
        <v/>
      </c>
      <c r="D384" s="84" t="str">
        <f>IF($C384="","",'05_PRODUCTOS'!$L384)</f>
        <v/>
      </c>
      <c r="E384" s="84" t="str">
        <f t="shared" si="23"/>
        <v/>
      </c>
      <c r="G384" s="85">
        <v>377</v>
      </c>
      <c r="H384" s="84" t="str">
        <f t="shared" si="24"/>
        <v/>
      </c>
      <c r="I384" s="84" t="str">
        <f t="shared" si="25"/>
        <v/>
      </c>
      <c r="J384" s="84" t="str">
        <f t="shared" si="26"/>
        <v/>
      </c>
      <c r="O384" s="84" t="str">
        <f>IF('05_PRODUCTOS'!$L384="","",IF(AND(OR(kxCategoria="",'05_PRODUCTOS'!$D384=kxCategoria),OR(kxBuscar="",ISNUMBER(SEARCH(kxBuscar,'05_PRODUCTOS'!$L384)))),ROW()-7,""))</f>
        <v/>
      </c>
      <c r="P384" s="84" t="str">
        <f>IFERROR(INDEX('05_PRODUCTOS'!$L$8:$L$507,SMALL($O$8:$O$507,ROW()-7)),"")</f>
        <v/>
      </c>
    </row>
    <row r="385" spans="3:16" x14ac:dyDescent="0.25">
      <c r="C385" s="84" t="str">
        <f>IF(AND('05_PRODUCTOS'!$B385&lt;&gt;"",'05_PRODUCTOS'!$C385&lt;&gt;"",'05_PRODUCTOS'!$K385&lt;&gt;"NO",ISNUMBER(MATCH('05_PRODUCTOS'!$D385,lstCategorias,0))),'05_PRODUCTOS'!$D385,"")</f>
        <v/>
      </c>
      <c r="D385" s="84" t="str">
        <f>IF($C385="","",'05_PRODUCTOS'!$L385)</f>
        <v/>
      </c>
      <c r="E385" s="84" t="str">
        <f t="shared" si="23"/>
        <v/>
      </c>
      <c r="G385" s="85">
        <v>378</v>
      </c>
      <c r="H385" s="84" t="str">
        <f t="shared" si="24"/>
        <v/>
      </c>
      <c r="I385" s="84" t="str">
        <f t="shared" si="25"/>
        <v/>
      </c>
      <c r="J385" s="84" t="str">
        <f t="shared" si="26"/>
        <v/>
      </c>
      <c r="O385" s="84" t="str">
        <f>IF('05_PRODUCTOS'!$L385="","",IF(AND(OR(kxCategoria="",'05_PRODUCTOS'!$D385=kxCategoria),OR(kxBuscar="",ISNUMBER(SEARCH(kxBuscar,'05_PRODUCTOS'!$L385)))),ROW()-7,""))</f>
        <v/>
      </c>
      <c r="P385" s="84" t="str">
        <f>IFERROR(INDEX('05_PRODUCTOS'!$L$8:$L$507,SMALL($O$8:$O$507,ROW()-7)),"")</f>
        <v/>
      </c>
    </row>
    <row r="386" spans="3:16" x14ac:dyDescent="0.25">
      <c r="C386" s="84" t="str">
        <f>IF(AND('05_PRODUCTOS'!$B386&lt;&gt;"",'05_PRODUCTOS'!$C386&lt;&gt;"",'05_PRODUCTOS'!$K386&lt;&gt;"NO",ISNUMBER(MATCH('05_PRODUCTOS'!$D386,lstCategorias,0))),'05_PRODUCTOS'!$D386,"")</f>
        <v/>
      </c>
      <c r="D386" s="84" t="str">
        <f>IF($C386="","",'05_PRODUCTOS'!$L386)</f>
        <v/>
      </c>
      <c r="E386" s="84" t="str">
        <f t="shared" si="23"/>
        <v/>
      </c>
      <c r="G386" s="85">
        <v>379</v>
      </c>
      <c r="H386" s="84" t="str">
        <f t="shared" si="24"/>
        <v/>
      </c>
      <c r="I386" s="84" t="str">
        <f t="shared" si="25"/>
        <v/>
      </c>
      <c r="J386" s="84" t="str">
        <f t="shared" si="26"/>
        <v/>
      </c>
      <c r="O386" s="84" t="str">
        <f>IF('05_PRODUCTOS'!$L386="","",IF(AND(OR(kxCategoria="",'05_PRODUCTOS'!$D386=kxCategoria),OR(kxBuscar="",ISNUMBER(SEARCH(kxBuscar,'05_PRODUCTOS'!$L386)))),ROW()-7,""))</f>
        <v/>
      </c>
      <c r="P386" s="84" t="str">
        <f>IFERROR(INDEX('05_PRODUCTOS'!$L$8:$L$507,SMALL($O$8:$O$507,ROW()-7)),"")</f>
        <v/>
      </c>
    </row>
    <row r="387" spans="3:16" x14ac:dyDescent="0.25">
      <c r="C387" s="84" t="str">
        <f>IF(AND('05_PRODUCTOS'!$B387&lt;&gt;"",'05_PRODUCTOS'!$C387&lt;&gt;"",'05_PRODUCTOS'!$K387&lt;&gt;"NO",ISNUMBER(MATCH('05_PRODUCTOS'!$D387,lstCategorias,0))),'05_PRODUCTOS'!$D387,"")</f>
        <v/>
      </c>
      <c r="D387" s="84" t="str">
        <f>IF($C387="","",'05_PRODUCTOS'!$L387)</f>
        <v/>
      </c>
      <c r="E387" s="84" t="str">
        <f t="shared" si="23"/>
        <v/>
      </c>
      <c r="G387" s="85">
        <v>380</v>
      </c>
      <c r="H387" s="84" t="str">
        <f t="shared" si="24"/>
        <v/>
      </c>
      <c r="I387" s="84" t="str">
        <f t="shared" si="25"/>
        <v/>
      </c>
      <c r="J387" s="84" t="str">
        <f t="shared" si="26"/>
        <v/>
      </c>
      <c r="O387" s="84" t="str">
        <f>IF('05_PRODUCTOS'!$L387="","",IF(AND(OR(kxCategoria="",'05_PRODUCTOS'!$D387=kxCategoria),OR(kxBuscar="",ISNUMBER(SEARCH(kxBuscar,'05_PRODUCTOS'!$L387)))),ROW()-7,""))</f>
        <v/>
      </c>
      <c r="P387" s="84" t="str">
        <f>IFERROR(INDEX('05_PRODUCTOS'!$L$8:$L$507,SMALL($O$8:$O$507,ROW()-7)),"")</f>
        <v/>
      </c>
    </row>
    <row r="388" spans="3:16" x14ac:dyDescent="0.25">
      <c r="C388" s="84" t="str">
        <f>IF(AND('05_PRODUCTOS'!$B388&lt;&gt;"",'05_PRODUCTOS'!$C388&lt;&gt;"",'05_PRODUCTOS'!$K388&lt;&gt;"NO",ISNUMBER(MATCH('05_PRODUCTOS'!$D388,lstCategorias,0))),'05_PRODUCTOS'!$D388,"")</f>
        <v/>
      </c>
      <c r="D388" s="84" t="str">
        <f>IF($C388="","",'05_PRODUCTOS'!$L388)</f>
        <v/>
      </c>
      <c r="E388" s="84" t="str">
        <f t="shared" si="23"/>
        <v/>
      </c>
      <c r="G388" s="85">
        <v>381</v>
      </c>
      <c r="H388" s="84" t="str">
        <f t="shared" si="24"/>
        <v/>
      </c>
      <c r="I388" s="84" t="str">
        <f t="shared" si="25"/>
        <v/>
      </c>
      <c r="J388" s="84" t="str">
        <f t="shared" si="26"/>
        <v/>
      </c>
      <c r="O388" s="84" t="str">
        <f>IF('05_PRODUCTOS'!$L388="","",IF(AND(OR(kxCategoria="",'05_PRODUCTOS'!$D388=kxCategoria),OR(kxBuscar="",ISNUMBER(SEARCH(kxBuscar,'05_PRODUCTOS'!$L388)))),ROW()-7,""))</f>
        <v/>
      </c>
      <c r="P388" s="84" t="str">
        <f>IFERROR(INDEX('05_PRODUCTOS'!$L$8:$L$507,SMALL($O$8:$O$507,ROW()-7)),"")</f>
        <v/>
      </c>
    </row>
    <row r="389" spans="3:16" x14ac:dyDescent="0.25">
      <c r="C389" s="84" t="str">
        <f>IF(AND('05_PRODUCTOS'!$B389&lt;&gt;"",'05_PRODUCTOS'!$C389&lt;&gt;"",'05_PRODUCTOS'!$K389&lt;&gt;"NO",ISNUMBER(MATCH('05_PRODUCTOS'!$D389,lstCategorias,0))),'05_PRODUCTOS'!$D389,"")</f>
        <v/>
      </c>
      <c r="D389" s="84" t="str">
        <f>IF($C389="","",'05_PRODUCTOS'!$L389)</f>
        <v/>
      </c>
      <c r="E389" s="84" t="str">
        <f t="shared" si="23"/>
        <v/>
      </c>
      <c r="G389" s="85">
        <v>382</v>
      </c>
      <c r="H389" s="84" t="str">
        <f t="shared" si="24"/>
        <v/>
      </c>
      <c r="I389" s="84" t="str">
        <f t="shared" si="25"/>
        <v/>
      </c>
      <c r="J389" s="84" t="str">
        <f t="shared" si="26"/>
        <v/>
      </c>
      <c r="O389" s="84" t="str">
        <f>IF('05_PRODUCTOS'!$L389="","",IF(AND(OR(kxCategoria="",'05_PRODUCTOS'!$D389=kxCategoria),OR(kxBuscar="",ISNUMBER(SEARCH(kxBuscar,'05_PRODUCTOS'!$L389)))),ROW()-7,""))</f>
        <v/>
      </c>
      <c r="P389" s="84" t="str">
        <f>IFERROR(INDEX('05_PRODUCTOS'!$L$8:$L$507,SMALL($O$8:$O$507,ROW()-7)),"")</f>
        <v/>
      </c>
    </row>
    <row r="390" spans="3:16" x14ac:dyDescent="0.25">
      <c r="C390" s="84" t="str">
        <f>IF(AND('05_PRODUCTOS'!$B390&lt;&gt;"",'05_PRODUCTOS'!$C390&lt;&gt;"",'05_PRODUCTOS'!$K390&lt;&gt;"NO",ISNUMBER(MATCH('05_PRODUCTOS'!$D390,lstCategorias,0))),'05_PRODUCTOS'!$D390,"")</f>
        <v/>
      </c>
      <c r="D390" s="84" t="str">
        <f>IF($C390="","",'05_PRODUCTOS'!$L390)</f>
        <v/>
      </c>
      <c r="E390" s="84" t="str">
        <f t="shared" si="23"/>
        <v/>
      </c>
      <c r="G390" s="85">
        <v>383</v>
      </c>
      <c r="H390" s="84" t="str">
        <f t="shared" si="24"/>
        <v/>
      </c>
      <c r="I390" s="84" t="str">
        <f t="shared" si="25"/>
        <v/>
      </c>
      <c r="J390" s="84" t="str">
        <f t="shared" si="26"/>
        <v/>
      </c>
      <c r="O390" s="84" t="str">
        <f>IF('05_PRODUCTOS'!$L390="","",IF(AND(OR(kxCategoria="",'05_PRODUCTOS'!$D390=kxCategoria),OR(kxBuscar="",ISNUMBER(SEARCH(kxBuscar,'05_PRODUCTOS'!$L390)))),ROW()-7,""))</f>
        <v/>
      </c>
      <c r="P390" s="84" t="str">
        <f>IFERROR(INDEX('05_PRODUCTOS'!$L$8:$L$507,SMALL($O$8:$O$507,ROW()-7)),"")</f>
        <v/>
      </c>
    </row>
    <row r="391" spans="3:16" x14ac:dyDescent="0.25">
      <c r="C391" s="84" t="str">
        <f>IF(AND('05_PRODUCTOS'!$B391&lt;&gt;"",'05_PRODUCTOS'!$C391&lt;&gt;"",'05_PRODUCTOS'!$K391&lt;&gt;"NO",ISNUMBER(MATCH('05_PRODUCTOS'!$D391,lstCategorias,0))),'05_PRODUCTOS'!$D391,"")</f>
        <v/>
      </c>
      <c r="D391" s="84" t="str">
        <f>IF($C391="","",'05_PRODUCTOS'!$L391)</f>
        <v/>
      </c>
      <c r="E391" s="84" t="str">
        <f t="shared" si="23"/>
        <v/>
      </c>
      <c r="G391" s="85">
        <v>384</v>
      </c>
      <c r="H391" s="84" t="str">
        <f t="shared" si="24"/>
        <v/>
      </c>
      <c r="I391" s="84" t="str">
        <f t="shared" si="25"/>
        <v/>
      </c>
      <c r="J391" s="84" t="str">
        <f t="shared" si="26"/>
        <v/>
      </c>
      <c r="O391" s="84" t="str">
        <f>IF('05_PRODUCTOS'!$L391="","",IF(AND(OR(kxCategoria="",'05_PRODUCTOS'!$D391=kxCategoria),OR(kxBuscar="",ISNUMBER(SEARCH(kxBuscar,'05_PRODUCTOS'!$L391)))),ROW()-7,""))</f>
        <v/>
      </c>
      <c r="P391" s="84" t="str">
        <f>IFERROR(INDEX('05_PRODUCTOS'!$L$8:$L$507,SMALL($O$8:$O$507,ROW()-7)),"")</f>
        <v/>
      </c>
    </row>
    <row r="392" spans="3:16" x14ac:dyDescent="0.25">
      <c r="C392" s="84" t="str">
        <f>IF(AND('05_PRODUCTOS'!$B392&lt;&gt;"",'05_PRODUCTOS'!$C392&lt;&gt;"",'05_PRODUCTOS'!$K392&lt;&gt;"NO",ISNUMBER(MATCH('05_PRODUCTOS'!$D392,lstCategorias,0))),'05_PRODUCTOS'!$D392,"")</f>
        <v/>
      </c>
      <c r="D392" s="84" t="str">
        <f>IF($C392="","",'05_PRODUCTOS'!$L392)</f>
        <v/>
      </c>
      <c r="E392" s="84" t="str">
        <f t="shared" ref="E392:E455" si="27">IF($C392="","",MATCH($C392,lstCategorias,0)*1000+COUNTIFS($C$8:$C$507,$C392,$D$8:$D$507,"&lt;"&amp;$D392)+1+ROW()/100000)</f>
        <v/>
      </c>
      <c r="G392" s="85">
        <v>385</v>
      </c>
      <c r="H392" s="84" t="str">
        <f t="shared" ref="H392:H455" si="28">IFERROR(SMALL($E$8:$E$507,$G392),"")</f>
        <v/>
      </c>
      <c r="I392" s="84" t="str">
        <f t="shared" ref="I392:I455" si="29">IF($H392="","",INDEX($C$8:$C$507,MATCH($H392,$E$8:$E$507,0)))</f>
        <v/>
      </c>
      <c r="J392" s="84" t="str">
        <f t="shared" ref="J392:J455" si="30">IF($H392="","",INDEX($D$8:$D$507,MATCH($H392,$E$8:$E$507,0)))</f>
        <v/>
      </c>
      <c r="O392" s="84" t="str">
        <f>IF('05_PRODUCTOS'!$L392="","",IF(AND(OR(kxCategoria="",'05_PRODUCTOS'!$D392=kxCategoria),OR(kxBuscar="",ISNUMBER(SEARCH(kxBuscar,'05_PRODUCTOS'!$L392)))),ROW()-7,""))</f>
        <v/>
      </c>
      <c r="P392" s="84" t="str">
        <f>IFERROR(INDEX('05_PRODUCTOS'!$L$8:$L$507,SMALL($O$8:$O$507,ROW()-7)),"")</f>
        <v/>
      </c>
    </row>
    <row r="393" spans="3:16" x14ac:dyDescent="0.25">
      <c r="C393" s="84" t="str">
        <f>IF(AND('05_PRODUCTOS'!$B393&lt;&gt;"",'05_PRODUCTOS'!$C393&lt;&gt;"",'05_PRODUCTOS'!$K393&lt;&gt;"NO",ISNUMBER(MATCH('05_PRODUCTOS'!$D393,lstCategorias,0))),'05_PRODUCTOS'!$D393,"")</f>
        <v/>
      </c>
      <c r="D393" s="84" t="str">
        <f>IF($C393="","",'05_PRODUCTOS'!$L393)</f>
        <v/>
      </c>
      <c r="E393" s="84" t="str">
        <f t="shared" si="27"/>
        <v/>
      </c>
      <c r="G393" s="85">
        <v>386</v>
      </c>
      <c r="H393" s="84" t="str">
        <f t="shared" si="28"/>
        <v/>
      </c>
      <c r="I393" s="84" t="str">
        <f t="shared" si="29"/>
        <v/>
      </c>
      <c r="J393" s="84" t="str">
        <f t="shared" si="30"/>
        <v/>
      </c>
      <c r="O393" s="84" t="str">
        <f>IF('05_PRODUCTOS'!$L393="","",IF(AND(OR(kxCategoria="",'05_PRODUCTOS'!$D393=kxCategoria),OR(kxBuscar="",ISNUMBER(SEARCH(kxBuscar,'05_PRODUCTOS'!$L393)))),ROW()-7,""))</f>
        <v/>
      </c>
      <c r="P393" s="84" t="str">
        <f>IFERROR(INDEX('05_PRODUCTOS'!$L$8:$L$507,SMALL($O$8:$O$507,ROW()-7)),"")</f>
        <v/>
      </c>
    </row>
    <row r="394" spans="3:16" x14ac:dyDescent="0.25">
      <c r="C394" s="84" t="str">
        <f>IF(AND('05_PRODUCTOS'!$B394&lt;&gt;"",'05_PRODUCTOS'!$C394&lt;&gt;"",'05_PRODUCTOS'!$K394&lt;&gt;"NO",ISNUMBER(MATCH('05_PRODUCTOS'!$D394,lstCategorias,0))),'05_PRODUCTOS'!$D394,"")</f>
        <v/>
      </c>
      <c r="D394" s="84" t="str">
        <f>IF($C394="","",'05_PRODUCTOS'!$L394)</f>
        <v/>
      </c>
      <c r="E394" s="84" t="str">
        <f t="shared" si="27"/>
        <v/>
      </c>
      <c r="G394" s="85">
        <v>387</v>
      </c>
      <c r="H394" s="84" t="str">
        <f t="shared" si="28"/>
        <v/>
      </c>
      <c r="I394" s="84" t="str">
        <f t="shared" si="29"/>
        <v/>
      </c>
      <c r="J394" s="84" t="str">
        <f t="shared" si="30"/>
        <v/>
      </c>
      <c r="O394" s="84" t="str">
        <f>IF('05_PRODUCTOS'!$L394="","",IF(AND(OR(kxCategoria="",'05_PRODUCTOS'!$D394=kxCategoria),OR(kxBuscar="",ISNUMBER(SEARCH(kxBuscar,'05_PRODUCTOS'!$L394)))),ROW()-7,""))</f>
        <v/>
      </c>
      <c r="P394" s="84" t="str">
        <f>IFERROR(INDEX('05_PRODUCTOS'!$L$8:$L$507,SMALL($O$8:$O$507,ROW()-7)),"")</f>
        <v/>
      </c>
    </row>
    <row r="395" spans="3:16" x14ac:dyDescent="0.25">
      <c r="C395" s="84" t="str">
        <f>IF(AND('05_PRODUCTOS'!$B395&lt;&gt;"",'05_PRODUCTOS'!$C395&lt;&gt;"",'05_PRODUCTOS'!$K395&lt;&gt;"NO",ISNUMBER(MATCH('05_PRODUCTOS'!$D395,lstCategorias,0))),'05_PRODUCTOS'!$D395,"")</f>
        <v/>
      </c>
      <c r="D395" s="84" t="str">
        <f>IF($C395="","",'05_PRODUCTOS'!$L395)</f>
        <v/>
      </c>
      <c r="E395" s="84" t="str">
        <f t="shared" si="27"/>
        <v/>
      </c>
      <c r="G395" s="85">
        <v>388</v>
      </c>
      <c r="H395" s="84" t="str">
        <f t="shared" si="28"/>
        <v/>
      </c>
      <c r="I395" s="84" t="str">
        <f t="shared" si="29"/>
        <v/>
      </c>
      <c r="J395" s="84" t="str">
        <f t="shared" si="30"/>
        <v/>
      </c>
      <c r="O395" s="84" t="str">
        <f>IF('05_PRODUCTOS'!$L395="","",IF(AND(OR(kxCategoria="",'05_PRODUCTOS'!$D395=kxCategoria),OR(kxBuscar="",ISNUMBER(SEARCH(kxBuscar,'05_PRODUCTOS'!$L395)))),ROW()-7,""))</f>
        <v/>
      </c>
      <c r="P395" s="84" t="str">
        <f>IFERROR(INDEX('05_PRODUCTOS'!$L$8:$L$507,SMALL($O$8:$O$507,ROW()-7)),"")</f>
        <v/>
      </c>
    </row>
    <row r="396" spans="3:16" x14ac:dyDescent="0.25">
      <c r="C396" s="84" t="str">
        <f>IF(AND('05_PRODUCTOS'!$B396&lt;&gt;"",'05_PRODUCTOS'!$C396&lt;&gt;"",'05_PRODUCTOS'!$K396&lt;&gt;"NO",ISNUMBER(MATCH('05_PRODUCTOS'!$D396,lstCategorias,0))),'05_PRODUCTOS'!$D396,"")</f>
        <v/>
      </c>
      <c r="D396" s="84" t="str">
        <f>IF($C396="","",'05_PRODUCTOS'!$L396)</f>
        <v/>
      </c>
      <c r="E396" s="84" t="str">
        <f t="shared" si="27"/>
        <v/>
      </c>
      <c r="G396" s="85">
        <v>389</v>
      </c>
      <c r="H396" s="84" t="str">
        <f t="shared" si="28"/>
        <v/>
      </c>
      <c r="I396" s="84" t="str">
        <f t="shared" si="29"/>
        <v/>
      </c>
      <c r="J396" s="84" t="str">
        <f t="shared" si="30"/>
        <v/>
      </c>
      <c r="O396" s="84" t="str">
        <f>IF('05_PRODUCTOS'!$L396="","",IF(AND(OR(kxCategoria="",'05_PRODUCTOS'!$D396=kxCategoria),OR(kxBuscar="",ISNUMBER(SEARCH(kxBuscar,'05_PRODUCTOS'!$L396)))),ROW()-7,""))</f>
        <v/>
      </c>
      <c r="P396" s="84" t="str">
        <f>IFERROR(INDEX('05_PRODUCTOS'!$L$8:$L$507,SMALL($O$8:$O$507,ROW()-7)),"")</f>
        <v/>
      </c>
    </row>
    <row r="397" spans="3:16" x14ac:dyDescent="0.25">
      <c r="C397" s="84" t="str">
        <f>IF(AND('05_PRODUCTOS'!$B397&lt;&gt;"",'05_PRODUCTOS'!$C397&lt;&gt;"",'05_PRODUCTOS'!$K397&lt;&gt;"NO",ISNUMBER(MATCH('05_PRODUCTOS'!$D397,lstCategorias,0))),'05_PRODUCTOS'!$D397,"")</f>
        <v/>
      </c>
      <c r="D397" s="84" t="str">
        <f>IF($C397="","",'05_PRODUCTOS'!$L397)</f>
        <v/>
      </c>
      <c r="E397" s="84" t="str">
        <f t="shared" si="27"/>
        <v/>
      </c>
      <c r="G397" s="85">
        <v>390</v>
      </c>
      <c r="H397" s="84" t="str">
        <f t="shared" si="28"/>
        <v/>
      </c>
      <c r="I397" s="84" t="str">
        <f t="shared" si="29"/>
        <v/>
      </c>
      <c r="J397" s="84" t="str">
        <f t="shared" si="30"/>
        <v/>
      </c>
      <c r="O397" s="84" t="str">
        <f>IF('05_PRODUCTOS'!$L397="","",IF(AND(OR(kxCategoria="",'05_PRODUCTOS'!$D397=kxCategoria),OR(kxBuscar="",ISNUMBER(SEARCH(kxBuscar,'05_PRODUCTOS'!$L397)))),ROW()-7,""))</f>
        <v/>
      </c>
      <c r="P397" s="84" t="str">
        <f>IFERROR(INDEX('05_PRODUCTOS'!$L$8:$L$507,SMALL($O$8:$O$507,ROW()-7)),"")</f>
        <v/>
      </c>
    </row>
    <row r="398" spans="3:16" x14ac:dyDescent="0.25">
      <c r="C398" s="84" t="str">
        <f>IF(AND('05_PRODUCTOS'!$B398&lt;&gt;"",'05_PRODUCTOS'!$C398&lt;&gt;"",'05_PRODUCTOS'!$K398&lt;&gt;"NO",ISNUMBER(MATCH('05_PRODUCTOS'!$D398,lstCategorias,0))),'05_PRODUCTOS'!$D398,"")</f>
        <v/>
      </c>
      <c r="D398" s="84" t="str">
        <f>IF($C398="","",'05_PRODUCTOS'!$L398)</f>
        <v/>
      </c>
      <c r="E398" s="84" t="str">
        <f t="shared" si="27"/>
        <v/>
      </c>
      <c r="G398" s="85">
        <v>391</v>
      </c>
      <c r="H398" s="84" t="str">
        <f t="shared" si="28"/>
        <v/>
      </c>
      <c r="I398" s="84" t="str">
        <f t="shared" si="29"/>
        <v/>
      </c>
      <c r="J398" s="84" t="str">
        <f t="shared" si="30"/>
        <v/>
      </c>
      <c r="O398" s="84" t="str">
        <f>IF('05_PRODUCTOS'!$L398="","",IF(AND(OR(kxCategoria="",'05_PRODUCTOS'!$D398=kxCategoria),OR(kxBuscar="",ISNUMBER(SEARCH(kxBuscar,'05_PRODUCTOS'!$L398)))),ROW()-7,""))</f>
        <v/>
      </c>
      <c r="P398" s="84" t="str">
        <f>IFERROR(INDEX('05_PRODUCTOS'!$L$8:$L$507,SMALL($O$8:$O$507,ROW()-7)),"")</f>
        <v/>
      </c>
    </row>
    <row r="399" spans="3:16" x14ac:dyDescent="0.25">
      <c r="C399" s="84" t="str">
        <f>IF(AND('05_PRODUCTOS'!$B399&lt;&gt;"",'05_PRODUCTOS'!$C399&lt;&gt;"",'05_PRODUCTOS'!$K399&lt;&gt;"NO",ISNUMBER(MATCH('05_PRODUCTOS'!$D399,lstCategorias,0))),'05_PRODUCTOS'!$D399,"")</f>
        <v/>
      </c>
      <c r="D399" s="84" t="str">
        <f>IF($C399="","",'05_PRODUCTOS'!$L399)</f>
        <v/>
      </c>
      <c r="E399" s="84" t="str">
        <f t="shared" si="27"/>
        <v/>
      </c>
      <c r="G399" s="85">
        <v>392</v>
      </c>
      <c r="H399" s="84" t="str">
        <f t="shared" si="28"/>
        <v/>
      </c>
      <c r="I399" s="84" t="str">
        <f t="shared" si="29"/>
        <v/>
      </c>
      <c r="J399" s="84" t="str">
        <f t="shared" si="30"/>
        <v/>
      </c>
      <c r="O399" s="84" t="str">
        <f>IF('05_PRODUCTOS'!$L399="","",IF(AND(OR(kxCategoria="",'05_PRODUCTOS'!$D399=kxCategoria),OR(kxBuscar="",ISNUMBER(SEARCH(kxBuscar,'05_PRODUCTOS'!$L399)))),ROW()-7,""))</f>
        <v/>
      </c>
      <c r="P399" s="84" t="str">
        <f>IFERROR(INDEX('05_PRODUCTOS'!$L$8:$L$507,SMALL($O$8:$O$507,ROW()-7)),"")</f>
        <v/>
      </c>
    </row>
    <row r="400" spans="3:16" x14ac:dyDescent="0.25">
      <c r="C400" s="84" t="str">
        <f>IF(AND('05_PRODUCTOS'!$B400&lt;&gt;"",'05_PRODUCTOS'!$C400&lt;&gt;"",'05_PRODUCTOS'!$K400&lt;&gt;"NO",ISNUMBER(MATCH('05_PRODUCTOS'!$D400,lstCategorias,0))),'05_PRODUCTOS'!$D400,"")</f>
        <v/>
      </c>
      <c r="D400" s="84" t="str">
        <f>IF($C400="","",'05_PRODUCTOS'!$L400)</f>
        <v/>
      </c>
      <c r="E400" s="84" t="str">
        <f t="shared" si="27"/>
        <v/>
      </c>
      <c r="G400" s="85">
        <v>393</v>
      </c>
      <c r="H400" s="84" t="str">
        <f t="shared" si="28"/>
        <v/>
      </c>
      <c r="I400" s="84" t="str">
        <f t="shared" si="29"/>
        <v/>
      </c>
      <c r="J400" s="84" t="str">
        <f t="shared" si="30"/>
        <v/>
      </c>
      <c r="O400" s="84" t="str">
        <f>IF('05_PRODUCTOS'!$L400="","",IF(AND(OR(kxCategoria="",'05_PRODUCTOS'!$D400=kxCategoria),OR(kxBuscar="",ISNUMBER(SEARCH(kxBuscar,'05_PRODUCTOS'!$L400)))),ROW()-7,""))</f>
        <v/>
      </c>
      <c r="P400" s="84" t="str">
        <f>IFERROR(INDEX('05_PRODUCTOS'!$L$8:$L$507,SMALL($O$8:$O$507,ROW()-7)),"")</f>
        <v/>
      </c>
    </row>
    <row r="401" spans="3:16" x14ac:dyDescent="0.25">
      <c r="C401" s="84" t="str">
        <f>IF(AND('05_PRODUCTOS'!$B401&lt;&gt;"",'05_PRODUCTOS'!$C401&lt;&gt;"",'05_PRODUCTOS'!$K401&lt;&gt;"NO",ISNUMBER(MATCH('05_PRODUCTOS'!$D401,lstCategorias,0))),'05_PRODUCTOS'!$D401,"")</f>
        <v/>
      </c>
      <c r="D401" s="84" t="str">
        <f>IF($C401="","",'05_PRODUCTOS'!$L401)</f>
        <v/>
      </c>
      <c r="E401" s="84" t="str">
        <f t="shared" si="27"/>
        <v/>
      </c>
      <c r="G401" s="85">
        <v>394</v>
      </c>
      <c r="H401" s="84" t="str">
        <f t="shared" si="28"/>
        <v/>
      </c>
      <c r="I401" s="84" t="str">
        <f t="shared" si="29"/>
        <v/>
      </c>
      <c r="J401" s="84" t="str">
        <f t="shared" si="30"/>
        <v/>
      </c>
      <c r="O401" s="84" t="str">
        <f>IF('05_PRODUCTOS'!$L401="","",IF(AND(OR(kxCategoria="",'05_PRODUCTOS'!$D401=kxCategoria),OR(kxBuscar="",ISNUMBER(SEARCH(kxBuscar,'05_PRODUCTOS'!$L401)))),ROW()-7,""))</f>
        <v/>
      </c>
      <c r="P401" s="84" t="str">
        <f>IFERROR(INDEX('05_PRODUCTOS'!$L$8:$L$507,SMALL($O$8:$O$507,ROW()-7)),"")</f>
        <v/>
      </c>
    </row>
    <row r="402" spans="3:16" x14ac:dyDescent="0.25">
      <c r="C402" s="84" t="str">
        <f>IF(AND('05_PRODUCTOS'!$B402&lt;&gt;"",'05_PRODUCTOS'!$C402&lt;&gt;"",'05_PRODUCTOS'!$K402&lt;&gt;"NO",ISNUMBER(MATCH('05_PRODUCTOS'!$D402,lstCategorias,0))),'05_PRODUCTOS'!$D402,"")</f>
        <v/>
      </c>
      <c r="D402" s="84" t="str">
        <f>IF($C402="","",'05_PRODUCTOS'!$L402)</f>
        <v/>
      </c>
      <c r="E402" s="84" t="str">
        <f t="shared" si="27"/>
        <v/>
      </c>
      <c r="G402" s="85">
        <v>395</v>
      </c>
      <c r="H402" s="84" t="str">
        <f t="shared" si="28"/>
        <v/>
      </c>
      <c r="I402" s="84" t="str">
        <f t="shared" si="29"/>
        <v/>
      </c>
      <c r="J402" s="84" t="str">
        <f t="shared" si="30"/>
        <v/>
      </c>
      <c r="O402" s="84" t="str">
        <f>IF('05_PRODUCTOS'!$L402="","",IF(AND(OR(kxCategoria="",'05_PRODUCTOS'!$D402=kxCategoria),OR(kxBuscar="",ISNUMBER(SEARCH(kxBuscar,'05_PRODUCTOS'!$L402)))),ROW()-7,""))</f>
        <v/>
      </c>
      <c r="P402" s="84" t="str">
        <f>IFERROR(INDEX('05_PRODUCTOS'!$L$8:$L$507,SMALL($O$8:$O$507,ROW()-7)),"")</f>
        <v/>
      </c>
    </row>
    <row r="403" spans="3:16" x14ac:dyDescent="0.25">
      <c r="C403" s="84" t="str">
        <f>IF(AND('05_PRODUCTOS'!$B403&lt;&gt;"",'05_PRODUCTOS'!$C403&lt;&gt;"",'05_PRODUCTOS'!$K403&lt;&gt;"NO",ISNUMBER(MATCH('05_PRODUCTOS'!$D403,lstCategorias,0))),'05_PRODUCTOS'!$D403,"")</f>
        <v/>
      </c>
      <c r="D403" s="84" t="str">
        <f>IF($C403="","",'05_PRODUCTOS'!$L403)</f>
        <v/>
      </c>
      <c r="E403" s="84" t="str">
        <f t="shared" si="27"/>
        <v/>
      </c>
      <c r="G403" s="85">
        <v>396</v>
      </c>
      <c r="H403" s="84" t="str">
        <f t="shared" si="28"/>
        <v/>
      </c>
      <c r="I403" s="84" t="str">
        <f t="shared" si="29"/>
        <v/>
      </c>
      <c r="J403" s="84" t="str">
        <f t="shared" si="30"/>
        <v/>
      </c>
      <c r="O403" s="84" t="str">
        <f>IF('05_PRODUCTOS'!$L403="","",IF(AND(OR(kxCategoria="",'05_PRODUCTOS'!$D403=kxCategoria),OR(kxBuscar="",ISNUMBER(SEARCH(kxBuscar,'05_PRODUCTOS'!$L403)))),ROW()-7,""))</f>
        <v/>
      </c>
      <c r="P403" s="84" t="str">
        <f>IFERROR(INDEX('05_PRODUCTOS'!$L$8:$L$507,SMALL($O$8:$O$507,ROW()-7)),"")</f>
        <v/>
      </c>
    </row>
    <row r="404" spans="3:16" x14ac:dyDescent="0.25">
      <c r="C404" s="84" t="str">
        <f>IF(AND('05_PRODUCTOS'!$B404&lt;&gt;"",'05_PRODUCTOS'!$C404&lt;&gt;"",'05_PRODUCTOS'!$K404&lt;&gt;"NO",ISNUMBER(MATCH('05_PRODUCTOS'!$D404,lstCategorias,0))),'05_PRODUCTOS'!$D404,"")</f>
        <v/>
      </c>
      <c r="D404" s="84" t="str">
        <f>IF($C404="","",'05_PRODUCTOS'!$L404)</f>
        <v/>
      </c>
      <c r="E404" s="84" t="str">
        <f t="shared" si="27"/>
        <v/>
      </c>
      <c r="G404" s="85">
        <v>397</v>
      </c>
      <c r="H404" s="84" t="str">
        <f t="shared" si="28"/>
        <v/>
      </c>
      <c r="I404" s="84" t="str">
        <f t="shared" si="29"/>
        <v/>
      </c>
      <c r="J404" s="84" t="str">
        <f t="shared" si="30"/>
        <v/>
      </c>
      <c r="O404" s="84" t="str">
        <f>IF('05_PRODUCTOS'!$L404="","",IF(AND(OR(kxCategoria="",'05_PRODUCTOS'!$D404=kxCategoria),OR(kxBuscar="",ISNUMBER(SEARCH(kxBuscar,'05_PRODUCTOS'!$L404)))),ROW()-7,""))</f>
        <v/>
      </c>
      <c r="P404" s="84" t="str">
        <f>IFERROR(INDEX('05_PRODUCTOS'!$L$8:$L$507,SMALL($O$8:$O$507,ROW()-7)),"")</f>
        <v/>
      </c>
    </row>
    <row r="405" spans="3:16" x14ac:dyDescent="0.25">
      <c r="C405" s="84" t="str">
        <f>IF(AND('05_PRODUCTOS'!$B405&lt;&gt;"",'05_PRODUCTOS'!$C405&lt;&gt;"",'05_PRODUCTOS'!$K405&lt;&gt;"NO",ISNUMBER(MATCH('05_PRODUCTOS'!$D405,lstCategorias,0))),'05_PRODUCTOS'!$D405,"")</f>
        <v/>
      </c>
      <c r="D405" s="84" t="str">
        <f>IF($C405="","",'05_PRODUCTOS'!$L405)</f>
        <v/>
      </c>
      <c r="E405" s="84" t="str">
        <f t="shared" si="27"/>
        <v/>
      </c>
      <c r="G405" s="85">
        <v>398</v>
      </c>
      <c r="H405" s="84" t="str">
        <f t="shared" si="28"/>
        <v/>
      </c>
      <c r="I405" s="84" t="str">
        <f t="shared" si="29"/>
        <v/>
      </c>
      <c r="J405" s="84" t="str">
        <f t="shared" si="30"/>
        <v/>
      </c>
      <c r="O405" s="84" t="str">
        <f>IF('05_PRODUCTOS'!$L405="","",IF(AND(OR(kxCategoria="",'05_PRODUCTOS'!$D405=kxCategoria),OR(kxBuscar="",ISNUMBER(SEARCH(kxBuscar,'05_PRODUCTOS'!$L405)))),ROW()-7,""))</f>
        <v/>
      </c>
      <c r="P405" s="84" t="str">
        <f>IFERROR(INDEX('05_PRODUCTOS'!$L$8:$L$507,SMALL($O$8:$O$507,ROW()-7)),"")</f>
        <v/>
      </c>
    </row>
    <row r="406" spans="3:16" x14ac:dyDescent="0.25">
      <c r="C406" s="84" t="str">
        <f>IF(AND('05_PRODUCTOS'!$B406&lt;&gt;"",'05_PRODUCTOS'!$C406&lt;&gt;"",'05_PRODUCTOS'!$K406&lt;&gt;"NO",ISNUMBER(MATCH('05_PRODUCTOS'!$D406,lstCategorias,0))),'05_PRODUCTOS'!$D406,"")</f>
        <v/>
      </c>
      <c r="D406" s="84" t="str">
        <f>IF($C406="","",'05_PRODUCTOS'!$L406)</f>
        <v/>
      </c>
      <c r="E406" s="84" t="str">
        <f t="shared" si="27"/>
        <v/>
      </c>
      <c r="G406" s="85">
        <v>399</v>
      </c>
      <c r="H406" s="84" t="str">
        <f t="shared" si="28"/>
        <v/>
      </c>
      <c r="I406" s="84" t="str">
        <f t="shared" si="29"/>
        <v/>
      </c>
      <c r="J406" s="84" t="str">
        <f t="shared" si="30"/>
        <v/>
      </c>
      <c r="O406" s="84" t="str">
        <f>IF('05_PRODUCTOS'!$L406="","",IF(AND(OR(kxCategoria="",'05_PRODUCTOS'!$D406=kxCategoria),OR(kxBuscar="",ISNUMBER(SEARCH(kxBuscar,'05_PRODUCTOS'!$L406)))),ROW()-7,""))</f>
        <v/>
      </c>
      <c r="P406" s="84" t="str">
        <f>IFERROR(INDEX('05_PRODUCTOS'!$L$8:$L$507,SMALL($O$8:$O$507,ROW()-7)),"")</f>
        <v/>
      </c>
    </row>
    <row r="407" spans="3:16" x14ac:dyDescent="0.25">
      <c r="C407" s="84" t="str">
        <f>IF(AND('05_PRODUCTOS'!$B407&lt;&gt;"",'05_PRODUCTOS'!$C407&lt;&gt;"",'05_PRODUCTOS'!$K407&lt;&gt;"NO",ISNUMBER(MATCH('05_PRODUCTOS'!$D407,lstCategorias,0))),'05_PRODUCTOS'!$D407,"")</f>
        <v/>
      </c>
      <c r="D407" s="84" t="str">
        <f>IF($C407="","",'05_PRODUCTOS'!$L407)</f>
        <v/>
      </c>
      <c r="E407" s="84" t="str">
        <f t="shared" si="27"/>
        <v/>
      </c>
      <c r="G407" s="85">
        <v>400</v>
      </c>
      <c r="H407" s="84" t="str">
        <f t="shared" si="28"/>
        <v/>
      </c>
      <c r="I407" s="84" t="str">
        <f t="shared" si="29"/>
        <v/>
      </c>
      <c r="J407" s="84" t="str">
        <f t="shared" si="30"/>
        <v/>
      </c>
      <c r="O407" s="84" t="str">
        <f>IF('05_PRODUCTOS'!$L407="","",IF(AND(OR(kxCategoria="",'05_PRODUCTOS'!$D407=kxCategoria),OR(kxBuscar="",ISNUMBER(SEARCH(kxBuscar,'05_PRODUCTOS'!$L407)))),ROW()-7,""))</f>
        <v/>
      </c>
      <c r="P407" s="84" t="str">
        <f>IFERROR(INDEX('05_PRODUCTOS'!$L$8:$L$507,SMALL($O$8:$O$507,ROW()-7)),"")</f>
        <v/>
      </c>
    </row>
    <row r="408" spans="3:16" x14ac:dyDescent="0.25">
      <c r="C408" s="84" t="str">
        <f>IF(AND('05_PRODUCTOS'!$B408&lt;&gt;"",'05_PRODUCTOS'!$C408&lt;&gt;"",'05_PRODUCTOS'!$K408&lt;&gt;"NO",ISNUMBER(MATCH('05_PRODUCTOS'!$D408,lstCategorias,0))),'05_PRODUCTOS'!$D408,"")</f>
        <v/>
      </c>
      <c r="D408" s="84" t="str">
        <f>IF($C408="","",'05_PRODUCTOS'!$L408)</f>
        <v/>
      </c>
      <c r="E408" s="84" t="str">
        <f t="shared" si="27"/>
        <v/>
      </c>
      <c r="G408" s="85">
        <v>401</v>
      </c>
      <c r="H408" s="84" t="str">
        <f t="shared" si="28"/>
        <v/>
      </c>
      <c r="I408" s="84" t="str">
        <f t="shared" si="29"/>
        <v/>
      </c>
      <c r="J408" s="84" t="str">
        <f t="shared" si="30"/>
        <v/>
      </c>
      <c r="O408" s="84" t="str">
        <f>IF('05_PRODUCTOS'!$L408="","",IF(AND(OR(kxCategoria="",'05_PRODUCTOS'!$D408=kxCategoria),OR(kxBuscar="",ISNUMBER(SEARCH(kxBuscar,'05_PRODUCTOS'!$L408)))),ROW()-7,""))</f>
        <v/>
      </c>
      <c r="P408" s="84" t="str">
        <f>IFERROR(INDEX('05_PRODUCTOS'!$L$8:$L$507,SMALL($O$8:$O$507,ROW()-7)),"")</f>
        <v/>
      </c>
    </row>
    <row r="409" spans="3:16" x14ac:dyDescent="0.25">
      <c r="C409" s="84" t="str">
        <f>IF(AND('05_PRODUCTOS'!$B409&lt;&gt;"",'05_PRODUCTOS'!$C409&lt;&gt;"",'05_PRODUCTOS'!$K409&lt;&gt;"NO",ISNUMBER(MATCH('05_PRODUCTOS'!$D409,lstCategorias,0))),'05_PRODUCTOS'!$D409,"")</f>
        <v/>
      </c>
      <c r="D409" s="84" t="str">
        <f>IF($C409="","",'05_PRODUCTOS'!$L409)</f>
        <v/>
      </c>
      <c r="E409" s="84" t="str">
        <f t="shared" si="27"/>
        <v/>
      </c>
      <c r="G409" s="85">
        <v>402</v>
      </c>
      <c r="H409" s="84" t="str">
        <f t="shared" si="28"/>
        <v/>
      </c>
      <c r="I409" s="84" t="str">
        <f t="shared" si="29"/>
        <v/>
      </c>
      <c r="J409" s="84" t="str">
        <f t="shared" si="30"/>
        <v/>
      </c>
      <c r="O409" s="84" t="str">
        <f>IF('05_PRODUCTOS'!$L409="","",IF(AND(OR(kxCategoria="",'05_PRODUCTOS'!$D409=kxCategoria),OR(kxBuscar="",ISNUMBER(SEARCH(kxBuscar,'05_PRODUCTOS'!$L409)))),ROW()-7,""))</f>
        <v/>
      </c>
      <c r="P409" s="84" t="str">
        <f>IFERROR(INDEX('05_PRODUCTOS'!$L$8:$L$507,SMALL($O$8:$O$507,ROW()-7)),"")</f>
        <v/>
      </c>
    </row>
    <row r="410" spans="3:16" x14ac:dyDescent="0.25">
      <c r="C410" s="84" t="str">
        <f>IF(AND('05_PRODUCTOS'!$B410&lt;&gt;"",'05_PRODUCTOS'!$C410&lt;&gt;"",'05_PRODUCTOS'!$K410&lt;&gt;"NO",ISNUMBER(MATCH('05_PRODUCTOS'!$D410,lstCategorias,0))),'05_PRODUCTOS'!$D410,"")</f>
        <v/>
      </c>
      <c r="D410" s="84" t="str">
        <f>IF($C410="","",'05_PRODUCTOS'!$L410)</f>
        <v/>
      </c>
      <c r="E410" s="84" t="str">
        <f t="shared" si="27"/>
        <v/>
      </c>
      <c r="G410" s="85">
        <v>403</v>
      </c>
      <c r="H410" s="84" t="str">
        <f t="shared" si="28"/>
        <v/>
      </c>
      <c r="I410" s="84" t="str">
        <f t="shared" si="29"/>
        <v/>
      </c>
      <c r="J410" s="84" t="str">
        <f t="shared" si="30"/>
        <v/>
      </c>
      <c r="O410" s="84" t="str">
        <f>IF('05_PRODUCTOS'!$L410="","",IF(AND(OR(kxCategoria="",'05_PRODUCTOS'!$D410=kxCategoria),OR(kxBuscar="",ISNUMBER(SEARCH(kxBuscar,'05_PRODUCTOS'!$L410)))),ROW()-7,""))</f>
        <v/>
      </c>
      <c r="P410" s="84" t="str">
        <f>IFERROR(INDEX('05_PRODUCTOS'!$L$8:$L$507,SMALL($O$8:$O$507,ROW()-7)),"")</f>
        <v/>
      </c>
    </row>
    <row r="411" spans="3:16" x14ac:dyDescent="0.25">
      <c r="C411" s="84" t="str">
        <f>IF(AND('05_PRODUCTOS'!$B411&lt;&gt;"",'05_PRODUCTOS'!$C411&lt;&gt;"",'05_PRODUCTOS'!$K411&lt;&gt;"NO",ISNUMBER(MATCH('05_PRODUCTOS'!$D411,lstCategorias,0))),'05_PRODUCTOS'!$D411,"")</f>
        <v/>
      </c>
      <c r="D411" s="84" t="str">
        <f>IF($C411="","",'05_PRODUCTOS'!$L411)</f>
        <v/>
      </c>
      <c r="E411" s="84" t="str">
        <f t="shared" si="27"/>
        <v/>
      </c>
      <c r="G411" s="85">
        <v>404</v>
      </c>
      <c r="H411" s="84" t="str">
        <f t="shared" si="28"/>
        <v/>
      </c>
      <c r="I411" s="84" t="str">
        <f t="shared" si="29"/>
        <v/>
      </c>
      <c r="J411" s="84" t="str">
        <f t="shared" si="30"/>
        <v/>
      </c>
      <c r="O411" s="84" t="str">
        <f>IF('05_PRODUCTOS'!$L411="","",IF(AND(OR(kxCategoria="",'05_PRODUCTOS'!$D411=kxCategoria),OR(kxBuscar="",ISNUMBER(SEARCH(kxBuscar,'05_PRODUCTOS'!$L411)))),ROW()-7,""))</f>
        <v/>
      </c>
      <c r="P411" s="84" t="str">
        <f>IFERROR(INDEX('05_PRODUCTOS'!$L$8:$L$507,SMALL($O$8:$O$507,ROW()-7)),"")</f>
        <v/>
      </c>
    </row>
    <row r="412" spans="3:16" x14ac:dyDescent="0.25">
      <c r="C412" s="84" t="str">
        <f>IF(AND('05_PRODUCTOS'!$B412&lt;&gt;"",'05_PRODUCTOS'!$C412&lt;&gt;"",'05_PRODUCTOS'!$K412&lt;&gt;"NO",ISNUMBER(MATCH('05_PRODUCTOS'!$D412,lstCategorias,0))),'05_PRODUCTOS'!$D412,"")</f>
        <v/>
      </c>
      <c r="D412" s="84" t="str">
        <f>IF($C412="","",'05_PRODUCTOS'!$L412)</f>
        <v/>
      </c>
      <c r="E412" s="84" t="str">
        <f t="shared" si="27"/>
        <v/>
      </c>
      <c r="G412" s="85">
        <v>405</v>
      </c>
      <c r="H412" s="84" t="str">
        <f t="shared" si="28"/>
        <v/>
      </c>
      <c r="I412" s="84" t="str">
        <f t="shared" si="29"/>
        <v/>
      </c>
      <c r="J412" s="84" t="str">
        <f t="shared" si="30"/>
        <v/>
      </c>
      <c r="O412" s="84" t="str">
        <f>IF('05_PRODUCTOS'!$L412="","",IF(AND(OR(kxCategoria="",'05_PRODUCTOS'!$D412=kxCategoria),OR(kxBuscar="",ISNUMBER(SEARCH(kxBuscar,'05_PRODUCTOS'!$L412)))),ROW()-7,""))</f>
        <v/>
      </c>
      <c r="P412" s="84" t="str">
        <f>IFERROR(INDEX('05_PRODUCTOS'!$L$8:$L$507,SMALL($O$8:$O$507,ROW()-7)),"")</f>
        <v/>
      </c>
    </row>
    <row r="413" spans="3:16" x14ac:dyDescent="0.25">
      <c r="C413" s="84" t="str">
        <f>IF(AND('05_PRODUCTOS'!$B413&lt;&gt;"",'05_PRODUCTOS'!$C413&lt;&gt;"",'05_PRODUCTOS'!$K413&lt;&gt;"NO",ISNUMBER(MATCH('05_PRODUCTOS'!$D413,lstCategorias,0))),'05_PRODUCTOS'!$D413,"")</f>
        <v/>
      </c>
      <c r="D413" s="84" t="str">
        <f>IF($C413="","",'05_PRODUCTOS'!$L413)</f>
        <v/>
      </c>
      <c r="E413" s="84" t="str">
        <f t="shared" si="27"/>
        <v/>
      </c>
      <c r="G413" s="85">
        <v>406</v>
      </c>
      <c r="H413" s="84" t="str">
        <f t="shared" si="28"/>
        <v/>
      </c>
      <c r="I413" s="84" t="str">
        <f t="shared" si="29"/>
        <v/>
      </c>
      <c r="J413" s="84" t="str">
        <f t="shared" si="30"/>
        <v/>
      </c>
      <c r="O413" s="84" t="str">
        <f>IF('05_PRODUCTOS'!$L413="","",IF(AND(OR(kxCategoria="",'05_PRODUCTOS'!$D413=kxCategoria),OR(kxBuscar="",ISNUMBER(SEARCH(kxBuscar,'05_PRODUCTOS'!$L413)))),ROW()-7,""))</f>
        <v/>
      </c>
      <c r="P413" s="84" t="str">
        <f>IFERROR(INDEX('05_PRODUCTOS'!$L$8:$L$507,SMALL($O$8:$O$507,ROW()-7)),"")</f>
        <v/>
      </c>
    </row>
    <row r="414" spans="3:16" x14ac:dyDescent="0.25">
      <c r="C414" s="84" t="str">
        <f>IF(AND('05_PRODUCTOS'!$B414&lt;&gt;"",'05_PRODUCTOS'!$C414&lt;&gt;"",'05_PRODUCTOS'!$K414&lt;&gt;"NO",ISNUMBER(MATCH('05_PRODUCTOS'!$D414,lstCategorias,0))),'05_PRODUCTOS'!$D414,"")</f>
        <v/>
      </c>
      <c r="D414" s="84" t="str">
        <f>IF($C414="","",'05_PRODUCTOS'!$L414)</f>
        <v/>
      </c>
      <c r="E414" s="84" t="str">
        <f t="shared" si="27"/>
        <v/>
      </c>
      <c r="G414" s="85">
        <v>407</v>
      </c>
      <c r="H414" s="84" t="str">
        <f t="shared" si="28"/>
        <v/>
      </c>
      <c r="I414" s="84" t="str">
        <f t="shared" si="29"/>
        <v/>
      </c>
      <c r="J414" s="84" t="str">
        <f t="shared" si="30"/>
        <v/>
      </c>
      <c r="O414" s="84" t="str">
        <f>IF('05_PRODUCTOS'!$L414="","",IF(AND(OR(kxCategoria="",'05_PRODUCTOS'!$D414=kxCategoria),OR(kxBuscar="",ISNUMBER(SEARCH(kxBuscar,'05_PRODUCTOS'!$L414)))),ROW()-7,""))</f>
        <v/>
      </c>
      <c r="P414" s="84" t="str">
        <f>IFERROR(INDEX('05_PRODUCTOS'!$L$8:$L$507,SMALL($O$8:$O$507,ROW()-7)),"")</f>
        <v/>
      </c>
    </row>
    <row r="415" spans="3:16" x14ac:dyDescent="0.25">
      <c r="C415" s="84" t="str">
        <f>IF(AND('05_PRODUCTOS'!$B415&lt;&gt;"",'05_PRODUCTOS'!$C415&lt;&gt;"",'05_PRODUCTOS'!$K415&lt;&gt;"NO",ISNUMBER(MATCH('05_PRODUCTOS'!$D415,lstCategorias,0))),'05_PRODUCTOS'!$D415,"")</f>
        <v/>
      </c>
      <c r="D415" s="84" t="str">
        <f>IF($C415="","",'05_PRODUCTOS'!$L415)</f>
        <v/>
      </c>
      <c r="E415" s="84" t="str">
        <f t="shared" si="27"/>
        <v/>
      </c>
      <c r="G415" s="85">
        <v>408</v>
      </c>
      <c r="H415" s="84" t="str">
        <f t="shared" si="28"/>
        <v/>
      </c>
      <c r="I415" s="84" t="str">
        <f t="shared" si="29"/>
        <v/>
      </c>
      <c r="J415" s="84" t="str">
        <f t="shared" si="30"/>
        <v/>
      </c>
      <c r="O415" s="84" t="str">
        <f>IF('05_PRODUCTOS'!$L415="","",IF(AND(OR(kxCategoria="",'05_PRODUCTOS'!$D415=kxCategoria),OR(kxBuscar="",ISNUMBER(SEARCH(kxBuscar,'05_PRODUCTOS'!$L415)))),ROW()-7,""))</f>
        <v/>
      </c>
      <c r="P415" s="84" t="str">
        <f>IFERROR(INDEX('05_PRODUCTOS'!$L$8:$L$507,SMALL($O$8:$O$507,ROW()-7)),"")</f>
        <v/>
      </c>
    </row>
    <row r="416" spans="3:16" x14ac:dyDescent="0.25">
      <c r="C416" s="84" t="str">
        <f>IF(AND('05_PRODUCTOS'!$B416&lt;&gt;"",'05_PRODUCTOS'!$C416&lt;&gt;"",'05_PRODUCTOS'!$K416&lt;&gt;"NO",ISNUMBER(MATCH('05_PRODUCTOS'!$D416,lstCategorias,0))),'05_PRODUCTOS'!$D416,"")</f>
        <v/>
      </c>
      <c r="D416" s="84" t="str">
        <f>IF($C416="","",'05_PRODUCTOS'!$L416)</f>
        <v/>
      </c>
      <c r="E416" s="84" t="str">
        <f t="shared" si="27"/>
        <v/>
      </c>
      <c r="G416" s="85">
        <v>409</v>
      </c>
      <c r="H416" s="84" t="str">
        <f t="shared" si="28"/>
        <v/>
      </c>
      <c r="I416" s="84" t="str">
        <f t="shared" si="29"/>
        <v/>
      </c>
      <c r="J416" s="84" t="str">
        <f t="shared" si="30"/>
        <v/>
      </c>
      <c r="O416" s="84" t="str">
        <f>IF('05_PRODUCTOS'!$L416="","",IF(AND(OR(kxCategoria="",'05_PRODUCTOS'!$D416=kxCategoria),OR(kxBuscar="",ISNUMBER(SEARCH(kxBuscar,'05_PRODUCTOS'!$L416)))),ROW()-7,""))</f>
        <v/>
      </c>
      <c r="P416" s="84" t="str">
        <f>IFERROR(INDEX('05_PRODUCTOS'!$L$8:$L$507,SMALL($O$8:$O$507,ROW()-7)),"")</f>
        <v/>
      </c>
    </row>
    <row r="417" spans="3:16" x14ac:dyDescent="0.25">
      <c r="C417" s="84" t="str">
        <f>IF(AND('05_PRODUCTOS'!$B417&lt;&gt;"",'05_PRODUCTOS'!$C417&lt;&gt;"",'05_PRODUCTOS'!$K417&lt;&gt;"NO",ISNUMBER(MATCH('05_PRODUCTOS'!$D417,lstCategorias,0))),'05_PRODUCTOS'!$D417,"")</f>
        <v/>
      </c>
      <c r="D417" s="84" t="str">
        <f>IF($C417="","",'05_PRODUCTOS'!$L417)</f>
        <v/>
      </c>
      <c r="E417" s="84" t="str">
        <f t="shared" si="27"/>
        <v/>
      </c>
      <c r="G417" s="85">
        <v>410</v>
      </c>
      <c r="H417" s="84" t="str">
        <f t="shared" si="28"/>
        <v/>
      </c>
      <c r="I417" s="84" t="str">
        <f t="shared" si="29"/>
        <v/>
      </c>
      <c r="J417" s="84" t="str">
        <f t="shared" si="30"/>
        <v/>
      </c>
      <c r="O417" s="84" t="str">
        <f>IF('05_PRODUCTOS'!$L417="","",IF(AND(OR(kxCategoria="",'05_PRODUCTOS'!$D417=kxCategoria),OR(kxBuscar="",ISNUMBER(SEARCH(kxBuscar,'05_PRODUCTOS'!$L417)))),ROW()-7,""))</f>
        <v/>
      </c>
      <c r="P417" s="84" t="str">
        <f>IFERROR(INDEX('05_PRODUCTOS'!$L$8:$L$507,SMALL($O$8:$O$507,ROW()-7)),"")</f>
        <v/>
      </c>
    </row>
    <row r="418" spans="3:16" x14ac:dyDescent="0.25">
      <c r="C418" s="84" t="str">
        <f>IF(AND('05_PRODUCTOS'!$B418&lt;&gt;"",'05_PRODUCTOS'!$C418&lt;&gt;"",'05_PRODUCTOS'!$K418&lt;&gt;"NO",ISNUMBER(MATCH('05_PRODUCTOS'!$D418,lstCategorias,0))),'05_PRODUCTOS'!$D418,"")</f>
        <v/>
      </c>
      <c r="D418" s="84" t="str">
        <f>IF($C418="","",'05_PRODUCTOS'!$L418)</f>
        <v/>
      </c>
      <c r="E418" s="84" t="str">
        <f t="shared" si="27"/>
        <v/>
      </c>
      <c r="G418" s="85">
        <v>411</v>
      </c>
      <c r="H418" s="84" t="str">
        <f t="shared" si="28"/>
        <v/>
      </c>
      <c r="I418" s="84" t="str">
        <f t="shared" si="29"/>
        <v/>
      </c>
      <c r="J418" s="84" t="str">
        <f t="shared" si="30"/>
        <v/>
      </c>
      <c r="O418" s="84" t="str">
        <f>IF('05_PRODUCTOS'!$L418="","",IF(AND(OR(kxCategoria="",'05_PRODUCTOS'!$D418=kxCategoria),OR(kxBuscar="",ISNUMBER(SEARCH(kxBuscar,'05_PRODUCTOS'!$L418)))),ROW()-7,""))</f>
        <v/>
      </c>
      <c r="P418" s="84" t="str">
        <f>IFERROR(INDEX('05_PRODUCTOS'!$L$8:$L$507,SMALL($O$8:$O$507,ROW()-7)),"")</f>
        <v/>
      </c>
    </row>
    <row r="419" spans="3:16" x14ac:dyDescent="0.25">
      <c r="C419" s="84" t="str">
        <f>IF(AND('05_PRODUCTOS'!$B419&lt;&gt;"",'05_PRODUCTOS'!$C419&lt;&gt;"",'05_PRODUCTOS'!$K419&lt;&gt;"NO",ISNUMBER(MATCH('05_PRODUCTOS'!$D419,lstCategorias,0))),'05_PRODUCTOS'!$D419,"")</f>
        <v/>
      </c>
      <c r="D419" s="84" t="str">
        <f>IF($C419="","",'05_PRODUCTOS'!$L419)</f>
        <v/>
      </c>
      <c r="E419" s="84" t="str">
        <f t="shared" si="27"/>
        <v/>
      </c>
      <c r="G419" s="85">
        <v>412</v>
      </c>
      <c r="H419" s="84" t="str">
        <f t="shared" si="28"/>
        <v/>
      </c>
      <c r="I419" s="84" t="str">
        <f t="shared" si="29"/>
        <v/>
      </c>
      <c r="J419" s="84" t="str">
        <f t="shared" si="30"/>
        <v/>
      </c>
      <c r="O419" s="84" t="str">
        <f>IF('05_PRODUCTOS'!$L419="","",IF(AND(OR(kxCategoria="",'05_PRODUCTOS'!$D419=kxCategoria),OR(kxBuscar="",ISNUMBER(SEARCH(kxBuscar,'05_PRODUCTOS'!$L419)))),ROW()-7,""))</f>
        <v/>
      </c>
      <c r="P419" s="84" t="str">
        <f>IFERROR(INDEX('05_PRODUCTOS'!$L$8:$L$507,SMALL($O$8:$O$507,ROW()-7)),"")</f>
        <v/>
      </c>
    </row>
    <row r="420" spans="3:16" x14ac:dyDescent="0.25">
      <c r="C420" s="84" t="str">
        <f>IF(AND('05_PRODUCTOS'!$B420&lt;&gt;"",'05_PRODUCTOS'!$C420&lt;&gt;"",'05_PRODUCTOS'!$K420&lt;&gt;"NO",ISNUMBER(MATCH('05_PRODUCTOS'!$D420,lstCategorias,0))),'05_PRODUCTOS'!$D420,"")</f>
        <v/>
      </c>
      <c r="D420" s="84" t="str">
        <f>IF($C420="","",'05_PRODUCTOS'!$L420)</f>
        <v/>
      </c>
      <c r="E420" s="84" t="str">
        <f t="shared" si="27"/>
        <v/>
      </c>
      <c r="G420" s="85">
        <v>413</v>
      </c>
      <c r="H420" s="84" t="str">
        <f t="shared" si="28"/>
        <v/>
      </c>
      <c r="I420" s="84" t="str">
        <f t="shared" si="29"/>
        <v/>
      </c>
      <c r="J420" s="84" t="str">
        <f t="shared" si="30"/>
        <v/>
      </c>
      <c r="O420" s="84" t="str">
        <f>IF('05_PRODUCTOS'!$L420="","",IF(AND(OR(kxCategoria="",'05_PRODUCTOS'!$D420=kxCategoria),OR(kxBuscar="",ISNUMBER(SEARCH(kxBuscar,'05_PRODUCTOS'!$L420)))),ROW()-7,""))</f>
        <v/>
      </c>
      <c r="P420" s="84" t="str">
        <f>IFERROR(INDEX('05_PRODUCTOS'!$L$8:$L$507,SMALL($O$8:$O$507,ROW()-7)),"")</f>
        <v/>
      </c>
    </row>
    <row r="421" spans="3:16" x14ac:dyDescent="0.25">
      <c r="C421" s="84" t="str">
        <f>IF(AND('05_PRODUCTOS'!$B421&lt;&gt;"",'05_PRODUCTOS'!$C421&lt;&gt;"",'05_PRODUCTOS'!$K421&lt;&gt;"NO",ISNUMBER(MATCH('05_PRODUCTOS'!$D421,lstCategorias,0))),'05_PRODUCTOS'!$D421,"")</f>
        <v/>
      </c>
      <c r="D421" s="84" t="str">
        <f>IF($C421="","",'05_PRODUCTOS'!$L421)</f>
        <v/>
      </c>
      <c r="E421" s="84" t="str">
        <f t="shared" si="27"/>
        <v/>
      </c>
      <c r="G421" s="85">
        <v>414</v>
      </c>
      <c r="H421" s="84" t="str">
        <f t="shared" si="28"/>
        <v/>
      </c>
      <c r="I421" s="84" t="str">
        <f t="shared" si="29"/>
        <v/>
      </c>
      <c r="J421" s="84" t="str">
        <f t="shared" si="30"/>
        <v/>
      </c>
      <c r="O421" s="84" t="str">
        <f>IF('05_PRODUCTOS'!$L421="","",IF(AND(OR(kxCategoria="",'05_PRODUCTOS'!$D421=kxCategoria),OR(kxBuscar="",ISNUMBER(SEARCH(kxBuscar,'05_PRODUCTOS'!$L421)))),ROW()-7,""))</f>
        <v/>
      </c>
      <c r="P421" s="84" t="str">
        <f>IFERROR(INDEX('05_PRODUCTOS'!$L$8:$L$507,SMALL($O$8:$O$507,ROW()-7)),"")</f>
        <v/>
      </c>
    </row>
    <row r="422" spans="3:16" x14ac:dyDescent="0.25">
      <c r="C422" s="84" t="str">
        <f>IF(AND('05_PRODUCTOS'!$B422&lt;&gt;"",'05_PRODUCTOS'!$C422&lt;&gt;"",'05_PRODUCTOS'!$K422&lt;&gt;"NO",ISNUMBER(MATCH('05_PRODUCTOS'!$D422,lstCategorias,0))),'05_PRODUCTOS'!$D422,"")</f>
        <v/>
      </c>
      <c r="D422" s="84" t="str">
        <f>IF($C422="","",'05_PRODUCTOS'!$L422)</f>
        <v/>
      </c>
      <c r="E422" s="84" t="str">
        <f t="shared" si="27"/>
        <v/>
      </c>
      <c r="G422" s="85">
        <v>415</v>
      </c>
      <c r="H422" s="84" t="str">
        <f t="shared" si="28"/>
        <v/>
      </c>
      <c r="I422" s="84" t="str">
        <f t="shared" si="29"/>
        <v/>
      </c>
      <c r="J422" s="84" t="str">
        <f t="shared" si="30"/>
        <v/>
      </c>
      <c r="O422" s="84" t="str">
        <f>IF('05_PRODUCTOS'!$L422="","",IF(AND(OR(kxCategoria="",'05_PRODUCTOS'!$D422=kxCategoria),OR(kxBuscar="",ISNUMBER(SEARCH(kxBuscar,'05_PRODUCTOS'!$L422)))),ROW()-7,""))</f>
        <v/>
      </c>
      <c r="P422" s="84" t="str">
        <f>IFERROR(INDEX('05_PRODUCTOS'!$L$8:$L$507,SMALL($O$8:$O$507,ROW()-7)),"")</f>
        <v/>
      </c>
    </row>
    <row r="423" spans="3:16" x14ac:dyDescent="0.25">
      <c r="C423" s="84" t="str">
        <f>IF(AND('05_PRODUCTOS'!$B423&lt;&gt;"",'05_PRODUCTOS'!$C423&lt;&gt;"",'05_PRODUCTOS'!$K423&lt;&gt;"NO",ISNUMBER(MATCH('05_PRODUCTOS'!$D423,lstCategorias,0))),'05_PRODUCTOS'!$D423,"")</f>
        <v/>
      </c>
      <c r="D423" s="84" t="str">
        <f>IF($C423="","",'05_PRODUCTOS'!$L423)</f>
        <v/>
      </c>
      <c r="E423" s="84" t="str">
        <f t="shared" si="27"/>
        <v/>
      </c>
      <c r="G423" s="85">
        <v>416</v>
      </c>
      <c r="H423" s="84" t="str">
        <f t="shared" si="28"/>
        <v/>
      </c>
      <c r="I423" s="84" t="str">
        <f t="shared" si="29"/>
        <v/>
      </c>
      <c r="J423" s="84" t="str">
        <f t="shared" si="30"/>
        <v/>
      </c>
      <c r="O423" s="84" t="str">
        <f>IF('05_PRODUCTOS'!$L423="","",IF(AND(OR(kxCategoria="",'05_PRODUCTOS'!$D423=kxCategoria),OR(kxBuscar="",ISNUMBER(SEARCH(kxBuscar,'05_PRODUCTOS'!$L423)))),ROW()-7,""))</f>
        <v/>
      </c>
      <c r="P423" s="84" t="str">
        <f>IFERROR(INDEX('05_PRODUCTOS'!$L$8:$L$507,SMALL($O$8:$O$507,ROW()-7)),"")</f>
        <v/>
      </c>
    </row>
    <row r="424" spans="3:16" x14ac:dyDescent="0.25">
      <c r="C424" s="84" t="str">
        <f>IF(AND('05_PRODUCTOS'!$B424&lt;&gt;"",'05_PRODUCTOS'!$C424&lt;&gt;"",'05_PRODUCTOS'!$K424&lt;&gt;"NO",ISNUMBER(MATCH('05_PRODUCTOS'!$D424,lstCategorias,0))),'05_PRODUCTOS'!$D424,"")</f>
        <v/>
      </c>
      <c r="D424" s="84" t="str">
        <f>IF($C424="","",'05_PRODUCTOS'!$L424)</f>
        <v/>
      </c>
      <c r="E424" s="84" t="str">
        <f t="shared" si="27"/>
        <v/>
      </c>
      <c r="G424" s="85">
        <v>417</v>
      </c>
      <c r="H424" s="84" t="str">
        <f t="shared" si="28"/>
        <v/>
      </c>
      <c r="I424" s="84" t="str">
        <f t="shared" si="29"/>
        <v/>
      </c>
      <c r="J424" s="84" t="str">
        <f t="shared" si="30"/>
        <v/>
      </c>
      <c r="O424" s="84" t="str">
        <f>IF('05_PRODUCTOS'!$L424="","",IF(AND(OR(kxCategoria="",'05_PRODUCTOS'!$D424=kxCategoria),OR(kxBuscar="",ISNUMBER(SEARCH(kxBuscar,'05_PRODUCTOS'!$L424)))),ROW()-7,""))</f>
        <v/>
      </c>
      <c r="P424" s="84" t="str">
        <f>IFERROR(INDEX('05_PRODUCTOS'!$L$8:$L$507,SMALL($O$8:$O$507,ROW()-7)),"")</f>
        <v/>
      </c>
    </row>
    <row r="425" spans="3:16" x14ac:dyDescent="0.25">
      <c r="C425" s="84" t="str">
        <f>IF(AND('05_PRODUCTOS'!$B425&lt;&gt;"",'05_PRODUCTOS'!$C425&lt;&gt;"",'05_PRODUCTOS'!$K425&lt;&gt;"NO",ISNUMBER(MATCH('05_PRODUCTOS'!$D425,lstCategorias,0))),'05_PRODUCTOS'!$D425,"")</f>
        <v/>
      </c>
      <c r="D425" s="84" t="str">
        <f>IF($C425="","",'05_PRODUCTOS'!$L425)</f>
        <v/>
      </c>
      <c r="E425" s="84" t="str">
        <f t="shared" si="27"/>
        <v/>
      </c>
      <c r="G425" s="85">
        <v>418</v>
      </c>
      <c r="H425" s="84" t="str">
        <f t="shared" si="28"/>
        <v/>
      </c>
      <c r="I425" s="84" t="str">
        <f t="shared" si="29"/>
        <v/>
      </c>
      <c r="J425" s="84" t="str">
        <f t="shared" si="30"/>
        <v/>
      </c>
      <c r="O425" s="84" t="str">
        <f>IF('05_PRODUCTOS'!$L425="","",IF(AND(OR(kxCategoria="",'05_PRODUCTOS'!$D425=kxCategoria),OR(kxBuscar="",ISNUMBER(SEARCH(kxBuscar,'05_PRODUCTOS'!$L425)))),ROW()-7,""))</f>
        <v/>
      </c>
      <c r="P425" s="84" t="str">
        <f>IFERROR(INDEX('05_PRODUCTOS'!$L$8:$L$507,SMALL($O$8:$O$507,ROW()-7)),"")</f>
        <v/>
      </c>
    </row>
    <row r="426" spans="3:16" x14ac:dyDescent="0.25">
      <c r="C426" s="84" t="str">
        <f>IF(AND('05_PRODUCTOS'!$B426&lt;&gt;"",'05_PRODUCTOS'!$C426&lt;&gt;"",'05_PRODUCTOS'!$K426&lt;&gt;"NO",ISNUMBER(MATCH('05_PRODUCTOS'!$D426,lstCategorias,0))),'05_PRODUCTOS'!$D426,"")</f>
        <v/>
      </c>
      <c r="D426" s="84" t="str">
        <f>IF($C426="","",'05_PRODUCTOS'!$L426)</f>
        <v/>
      </c>
      <c r="E426" s="84" t="str">
        <f t="shared" si="27"/>
        <v/>
      </c>
      <c r="G426" s="85">
        <v>419</v>
      </c>
      <c r="H426" s="84" t="str">
        <f t="shared" si="28"/>
        <v/>
      </c>
      <c r="I426" s="84" t="str">
        <f t="shared" si="29"/>
        <v/>
      </c>
      <c r="J426" s="84" t="str">
        <f t="shared" si="30"/>
        <v/>
      </c>
      <c r="O426" s="84" t="str">
        <f>IF('05_PRODUCTOS'!$L426="","",IF(AND(OR(kxCategoria="",'05_PRODUCTOS'!$D426=kxCategoria),OR(kxBuscar="",ISNUMBER(SEARCH(kxBuscar,'05_PRODUCTOS'!$L426)))),ROW()-7,""))</f>
        <v/>
      </c>
      <c r="P426" s="84" t="str">
        <f>IFERROR(INDEX('05_PRODUCTOS'!$L$8:$L$507,SMALL($O$8:$O$507,ROW()-7)),"")</f>
        <v/>
      </c>
    </row>
    <row r="427" spans="3:16" x14ac:dyDescent="0.25">
      <c r="C427" s="84" t="str">
        <f>IF(AND('05_PRODUCTOS'!$B427&lt;&gt;"",'05_PRODUCTOS'!$C427&lt;&gt;"",'05_PRODUCTOS'!$K427&lt;&gt;"NO",ISNUMBER(MATCH('05_PRODUCTOS'!$D427,lstCategorias,0))),'05_PRODUCTOS'!$D427,"")</f>
        <v/>
      </c>
      <c r="D427" s="84" t="str">
        <f>IF($C427="","",'05_PRODUCTOS'!$L427)</f>
        <v/>
      </c>
      <c r="E427" s="84" t="str">
        <f t="shared" si="27"/>
        <v/>
      </c>
      <c r="G427" s="85">
        <v>420</v>
      </c>
      <c r="H427" s="84" t="str">
        <f t="shared" si="28"/>
        <v/>
      </c>
      <c r="I427" s="84" t="str">
        <f t="shared" si="29"/>
        <v/>
      </c>
      <c r="J427" s="84" t="str">
        <f t="shared" si="30"/>
        <v/>
      </c>
      <c r="O427" s="84" t="str">
        <f>IF('05_PRODUCTOS'!$L427="","",IF(AND(OR(kxCategoria="",'05_PRODUCTOS'!$D427=kxCategoria),OR(kxBuscar="",ISNUMBER(SEARCH(kxBuscar,'05_PRODUCTOS'!$L427)))),ROW()-7,""))</f>
        <v/>
      </c>
      <c r="P427" s="84" t="str">
        <f>IFERROR(INDEX('05_PRODUCTOS'!$L$8:$L$507,SMALL($O$8:$O$507,ROW()-7)),"")</f>
        <v/>
      </c>
    </row>
    <row r="428" spans="3:16" x14ac:dyDescent="0.25">
      <c r="C428" s="84" t="str">
        <f>IF(AND('05_PRODUCTOS'!$B428&lt;&gt;"",'05_PRODUCTOS'!$C428&lt;&gt;"",'05_PRODUCTOS'!$K428&lt;&gt;"NO",ISNUMBER(MATCH('05_PRODUCTOS'!$D428,lstCategorias,0))),'05_PRODUCTOS'!$D428,"")</f>
        <v/>
      </c>
      <c r="D428" s="84" t="str">
        <f>IF($C428="","",'05_PRODUCTOS'!$L428)</f>
        <v/>
      </c>
      <c r="E428" s="84" t="str">
        <f t="shared" si="27"/>
        <v/>
      </c>
      <c r="G428" s="85">
        <v>421</v>
      </c>
      <c r="H428" s="84" t="str">
        <f t="shared" si="28"/>
        <v/>
      </c>
      <c r="I428" s="84" t="str">
        <f t="shared" si="29"/>
        <v/>
      </c>
      <c r="J428" s="84" t="str">
        <f t="shared" si="30"/>
        <v/>
      </c>
      <c r="O428" s="84" t="str">
        <f>IF('05_PRODUCTOS'!$L428="","",IF(AND(OR(kxCategoria="",'05_PRODUCTOS'!$D428=kxCategoria),OR(kxBuscar="",ISNUMBER(SEARCH(kxBuscar,'05_PRODUCTOS'!$L428)))),ROW()-7,""))</f>
        <v/>
      </c>
      <c r="P428" s="84" t="str">
        <f>IFERROR(INDEX('05_PRODUCTOS'!$L$8:$L$507,SMALL($O$8:$O$507,ROW()-7)),"")</f>
        <v/>
      </c>
    </row>
    <row r="429" spans="3:16" x14ac:dyDescent="0.25">
      <c r="C429" s="84" t="str">
        <f>IF(AND('05_PRODUCTOS'!$B429&lt;&gt;"",'05_PRODUCTOS'!$C429&lt;&gt;"",'05_PRODUCTOS'!$K429&lt;&gt;"NO",ISNUMBER(MATCH('05_PRODUCTOS'!$D429,lstCategorias,0))),'05_PRODUCTOS'!$D429,"")</f>
        <v/>
      </c>
      <c r="D429" s="84" t="str">
        <f>IF($C429="","",'05_PRODUCTOS'!$L429)</f>
        <v/>
      </c>
      <c r="E429" s="84" t="str">
        <f t="shared" si="27"/>
        <v/>
      </c>
      <c r="G429" s="85">
        <v>422</v>
      </c>
      <c r="H429" s="84" t="str">
        <f t="shared" si="28"/>
        <v/>
      </c>
      <c r="I429" s="84" t="str">
        <f t="shared" si="29"/>
        <v/>
      </c>
      <c r="J429" s="84" t="str">
        <f t="shared" si="30"/>
        <v/>
      </c>
      <c r="O429" s="84" t="str">
        <f>IF('05_PRODUCTOS'!$L429="","",IF(AND(OR(kxCategoria="",'05_PRODUCTOS'!$D429=kxCategoria),OR(kxBuscar="",ISNUMBER(SEARCH(kxBuscar,'05_PRODUCTOS'!$L429)))),ROW()-7,""))</f>
        <v/>
      </c>
      <c r="P429" s="84" t="str">
        <f>IFERROR(INDEX('05_PRODUCTOS'!$L$8:$L$507,SMALL($O$8:$O$507,ROW()-7)),"")</f>
        <v/>
      </c>
    </row>
    <row r="430" spans="3:16" x14ac:dyDescent="0.25">
      <c r="C430" s="84" t="str">
        <f>IF(AND('05_PRODUCTOS'!$B430&lt;&gt;"",'05_PRODUCTOS'!$C430&lt;&gt;"",'05_PRODUCTOS'!$K430&lt;&gt;"NO",ISNUMBER(MATCH('05_PRODUCTOS'!$D430,lstCategorias,0))),'05_PRODUCTOS'!$D430,"")</f>
        <v/>
      </c>
      <c r="D430" s="84" t="str">
        <f>IF($C430="","",'05_PRODUCTOS'!$L430)</f>
        <v/>
      </c>
      <c r="E430" s="84" t="str">
        <f t="shared" si="27"/>
        <v/>
      </c>
      <c r="G430" s="85">
        <v>423</v>
      </c>
      <c r="H430" s="84" t="str">
        <f t="shared" si="28"/>
        <v/>
      </c>
      <c r="I430" s="84" t="str">
        <f t="shared" si="29"/>
        <v/>
      </c>
      <c r="J430" s="84" t="str">
        <f t="shared" si="30"/>
        <v/>
      </c>
      <c r="O430" s="84" t="str">
        <f>IF('05_PRODUCTOS'!$L430="","",IF(AND(OR(kxCategoria="",'05_PRODUCTOS'!$D430=kxCategoria),OR(kxBuscar="",ISNUMBER(SEARCH(kxBuscar,'05_PRODUCTOS'!$L430)))),ROW()-7,""))</f>
        <v/>
      </c>
      <c r="P430" s="84" t="str">
        <f>IFERROR(INDEX('05_PRODUCTOS'!$L$8:$L$507,SMALL($O$8:$O$507,ROW()-7)),"")</f>
        <v/>
      </c>
    </row>
    <row r="431" spans="3:16" x14ac:dyDescent="0.25">
      <c r="C431" s="84" t="str">
        <f>IF(AND('05_PRODUCTOS'!$B431&lt;&gt;"",'05_PRODUCTOS'!$C431&lt;&gt;"",'05_PRODUCTOS'!$K431&lt;&gt;"NO",ISNUMBER(MATCH('05_PRODUCTOS'!$D431,lstCategorias,0))),'05_PRODUCTOS'!$D431,"")</f>
        <v/>
      </c>
      <c r="D431" s="84" t="str">
        <f>IF($C431="","",'05_PRODUCTOS'!$L431)</f>
        <v/>
      </c>
      <c r="E431" s="84" t="str">
        <f t="shared" si="27"/>
        <v/>
      </c>
      <c r="G431" s="85">
        <v>424</v>
      </c>
      <c r="H431" s="84" t="str">
        <f t="shared" si="28"/>
        <v/>
      </c>
      <c r="I431" s="84" t="str">
        <f t="shared" si="29"/>
        <v/>
      </c>
      <c r="J431" s="84" t="str">
        <f t="shared" si="30"/>
        <v/>
      </c>
      <c r="O431" s="84" t="str">
        <f>IF('05_PRODUCTOS'!$L431="","",IF(AND(OR(kxCategoria="",'05_PRODUCTOS'!$D431=kxCategoria),OR(kxBuscar="",ISNUMBER(SEARCH(kxBuscar,'05_PRODUCTOS'!$L431)))),ROW()-7,""))</f>
        <v/>
      </c>
      <c r="P431" s="84" t="str">
        <f>IFERROR(INDEX('05_PRODUCTOS'!$L$8:$L$507,SMALL($O$8:$O$507,ROW()-7)),"")</f>
        <v/>
      </c>
    </row>
    <row r="432" spans="3:16" x14ac:dyDescent="0.25">
      <c r="C432" s="84" t="str">
        <f>IF(AND('05_PRODUCTOS'!$B432&lt;&gt;"",'05_PRODUCTOS'!$C432&lt;&gt;"",'05_PRODUCTOS'!$K432&lt;&gt;"NO",ISNUMBER(MATCH('05_PRODUCTOS'!$D432,lstCategorias,0))),'05_PRODUCTOS'!$D432,"")</f>
        <v/>
      </c>
      <c r="D432" s="84" t="str">
        <f>IF($C432="","",'05_PRODUCTOS'!$L432)</f>
        <v/>
      </c>
      <c r="E432" s="84" t="str">
        <f t="shared" si="27"/>
        <v/>
      </c>
      <c r="G432" s="85">
        <v>425</v>
      </c>
      <c r="H432" s="84" t="str">
        <f t="shared" si="28"/>
        <v/>
      </c>
      <c r="I432" s="84" t="str">
        <f t="shared" si="29"/>
        <v/>
      </c>
      <c r="J432" s="84" t="str">
        <f t="shared" si="30"/>
        <v/>
      </c>
      <c r="O432" s="84" t="str">
        <f>IF('05_PRODUCTOS'!$L432="","",IF(AND(OR(kxCategoria="",'05_PRODUCTOS'!$D432=kxCategoria),OR(kxBuscar="",ISNUMBER(SEARCH(kxBuscar,'05_PRODUCTOS'!$L432)))),ROW()-7,""))</f>
        <v/>
      </c>
      <c r="P432" s="84" t="str">
        <f>IFERROR(INDEX('05_PRODUCTOS'!$L$8:$L$507,SMALL($O$8:$O$507,ROW()-7)),"")</f>
        <v/>
      </c>
    </row>
    <row r="433" spans="3:16" x14ac:dyDescent="0.25">
      <c r="C433" s="84" t="str">
        <f>IF(AND('05_PRODUCTOS'!$B433&lt;&gt;"",'05_PRODUCTOS'!$C433&lt;&gt;"",'05_PRODUCTOS'!$K433&lt;&gt;"NO",ISNUMBER(MATCH('05_PRODUCTOS'!$D433,lstCategorias,0))),'05_PRODUCTOS'!$D433,"")</f>
        <v/>
      </c>
      <c r="D433" s="84" t="str">
        <f>IF($C433="","",'05_PRODUCTOS'!$L433)</f>
        <v/>
      </c>
      <c r="E433" s="84" t="str">
        <f t="shared" si="27"/>
        <v/>
      </c>
      <c r="G433" s="85">
        <v>426</v>
      </c>
      <c r="H433" s="84" t="str">
        <f t="shared" si="28"/>
        <v/>
      </c>
      <c r="I433" s="84" t="str">
        <f t="shared" si="29"/>
        <v/>
      </c>
      <c r="J433" s="84" t="str">
        <f t="shared" si="30"/>
        <v/>
      </c>
      <c r="O433" s="84" t="str">
        <f>IF('05_PRODUCTOS'!$L433="","",IF(AND(OR(kxCategoria="",'05_PRODUCTOS'!$D433=kxCategoria),OR(kxBuscar="",ISNUMBER(SEARCH(kxBuscar,'05_PRODUCTOS'!$L433)))),ROW()-7,""))</f>
        <v/>
      </c>
      <c r="P433" s="84" t="str">
        <f>IFERROR(INDEX('05_PRODUCTOS'!$L$8:$L$507,SMALL($O$8:$O$507,ROW()-7)),"")</f>
        <v/>
      </c>
    </row>
    <row r="434" spans="3:16" x14ac:dyDescent="0.25">
      <c r="C434" s="84" t="str">
        <f>IF(AND('05_PRODUCTOS'!$B434&lt;&gt;"",'05_PRODUCTOS'!$C434&lt;&gt;"",'05_PRODUCTOS'!$K434&lt;&gt;"NO",ISNUMBER(MATCH('05_PRODUCTOS'!$D434,lstCategorias,0))),'05_PRODUCTOS'!$D434,"")</f>
        <v/>
      </c>
      <c r="D434" s="84" t="str">
        <f>IF($C434="","",'05_PRODUCTOS'!$L434)</f>
        <v/>
      </c>
      <c r="E434" s="84" t="str">
        <f t="shared" si="27"/>
        <v/>
      </c>
      <c r="G434" s="85">
        <v>427</v>
      </c>
      <c r="H434" s="84" t="str">
        <f t="shared" si="28"/>
        <v/>
      </c>
      <c r="I434" s="84" t="str">
        <f t="shared" si="29"/>
        <v/>
      </c>
      <c r="J434" s="84" t="str">
        <f t="shared" si="30"/>
        <v/>
      </c>
      <c r="O434" s="84" t="str">
        <f>IF('05_PRODUCTOS'!$L434="","",IF(AND(OR(kxCategoria="",'05_PRODUCTOS'!$D434=kxCategoria),OR(kxBuscar="",ISNUMBER(SEARCH(kxBuscar,'05_PRODUCTOS'!$L434)))),ROW()-7,""))</f>
        <v/>
      </c>
      <c r="P434" s="84" t="str">
        <f>IFERROR(INDEX('05_PRODUCTOS'!$L$8:$L$507,SMALL($O$8:$O$507,ROW()-7)),"")</f>
        <v/>
      </c>
    </row>
    <row r="435" spans="3:16" x14ac:dyDescent="0.25">
      <c r="C435" s="84" t="str">
        <f>IF(AND('05_PRODUCTOS'!$B435&lt;&gt;"",'05_PRODUCTOS'!$C435&lt;&gt;"",'05_PRODUCTOS'!$K435&lt;&gt;"NO",ISNUMBER(MATCH('05_PRODUCTOS'!$D435,lstCategorias,0))),'05_PRODUCTOS'!$D435,"")</f>
        <v/>
      </c>
      <c r="D435" s="84" t="str">
        <f>IF($C435="","",'05_PRODUCTOS'!$L435)</f>
        <v/>
      </c>
      <c r="E435" s="84" t="str">
        <f t="shared" si="27"/>
        <v/>
      </c>
      <c r="G435" s="85">
        <v>428</v>
      </c>
      <c r="H435" s="84" t="str">
        <f t="shared" si="28"/>
        <v/>
      </c>
      <c r="I435" s="84" t="str">
        <f t="shared" si="29"/>
        <v/>
      </c>
      <c r="J435" s="84" t="str">
        <f t="shared" si="30"/>
        <v/>
      </c>
      <c r="O435" s="84" t="str">
        <f>IF('05_PRODUCTOS'!$L435="","",IF(AND(OR(kxCategoria="",'05_PRODUCTOS'!$D435=kxCategoria),OR(kxBuscar="",ISNUMBER(SEARCH(kxBuscar,'05_PRODUCTOS'!$L435)))),ROW()-7,""))</f>
        <v/>
      </c>
      <c r="P435" s="84" t="str">
        <f>IFERROR(INDEX('05_PRODUCTOS'!$L$8:$L$507,SMALL($O$8:$O$507,ROW()-7)),"")</f>
        <v/>
      </c>
    </row>
    <row r="436" spans="3:16" x14ac:dyDescent="0.25">
      <c r="C436" s="84" t="str">
        <f>IF(AND('05_PRODUCTOS'!$B436&lt;&gt;"",'05_PRODUCTOS'!$C436&lt;&gt;"",'05_PRODUCTOS'!$K436&lt;&gt;"NO",ISNUMBER(MATCH('05_PRODUCTOS'!$D436,lstCategorias,0))),'05_PRODUCTOS'!$D436,"")</f>
        <v/>
      </c>
      <c r="D436" s="84" t="str">
        <f>IF($C436="","",'05_PRODUCTOS'!$L436)</f>
        <v/>
      </c>
      <c r="E436" s="84" t="str">
        <f t="shared" si="27"/>
        <v/>
      </c>
      <c r="G436" s="85">
        <v>429</v>
      </c>
      <c r="H436" s="84" t="str">
        <f t="shared" si="28"/>
        <v/>
      </c>
      <c r="I436" s="84" t="str">
        <f t="shared" si="29"/>
        <v/>
      </c>
      <c r="J436" s="84" t="str">
        <f t="shared" si="30"/>
        <v/>
      </c>
      <c r="O436" s="84" t="str">
        <f>IF('05_PRODUCTOS'!$L436="","",IF(AND(OR(kxCategoria="",'05_PRODUCTOS'!$D436=kxCategoria),OR(kxBuscar="",ISNUMBER(SEARCH(kxBuscar,'05_PRODUCTOS'!$L436)))),ROW()-7,""))</f>
        <v/>
      </c>
      <c r="P436" s="84" t="str">
        <f>IFERROR(INDEX('05_PRODUCTOS'!$L$8:$L$507,SMALL($O$8:$O$507,ROW()-7)),"")</f>
        <v/>
      </c>
    </row>
    <row r="437" spans="3:16" x14ac:dyDescent="0.25">
      <c r="C437" s="84" t="str">
        <f>IF(AND('05_PRODUCTOS'!$B437&lt;&gt;"",'05_PRODUCTOS'!$C437&lt;&gt;"",'05_PRODUCTOS'!$K437&lt;&gt;"NO",ISNUMBER(MATCH('05_PRODUCTOS'!$D437,lstCategorias,0))),'05_PRODUCTOS'!$D437,"")</f>
        <v/>
      </c>
      <c r="D437" s="84" t="str">
        <f>IF($C437="","",'05_PRODUCTOS'!$L437)</f>
        <v/>
      </c>
      <c r="E437" s="84" t="str">
        <f t="shared" si="27"/>
        <v/>
      </c>
      <c r="G437" s="85">
        <v>430</v>
      </c>
      <c r="H437" s="84" t="str">
        <f t="shared" si="28"/>
        <v/>
      </c>
      <c r="I437" s="84" t="str">
        <f t="shared" si="29"/>
        <v/>
      </c>
      <c r="J437" s="84" t="str">
        <f t="shared" si="30"/>
        <v/>
      </c>
      <c r="O437" s="84" t="str">
        <f>IF('05_PRODUCTOS'!$L437="","",IF(AND(OR(kxCategoria="",'05_PRODUCTOS'!$D437=kxCategoria),OR(kxBuscar="",ISNUMBER(SEARCH(kxBuscar,'05_PRODUCTOS'!$L437)))),ROW()-7,""))</f>
        <v/>
      </c>
      <c r="P437" s="84" t="str">
        <f>IFERROR(INDEX('05_PRODUCTOS'!$L$8:$L$507,SMALL($O$8:$O$507,ROW()-7)),"")</f>
        <v/>
      </c>
    </row>
    <row r="438" spans="3:16" x14ac:dyDescent="0.25">
      <c r="C438" s="84" t="str">
        <f>IF(AND('05_PRODUCTOS'!$B438&lt;&gt;"",'05_PRODUCTOS'!$C438&lt;&gt;"",'05_PRODUCTOS'!$K438&lt;&gt;"NO",ISNUMBER(MATCH('05_PRODUCTOS'!$D438,lstCategorias,0))),'05_PRODUCTOS'!$D438,"")</f>
        <v/>
      </c>
      <c r="D438" s="84" t="str">
        <f>IF($C438="","",'05_PRODUCTOS'!$L438)</f>
        <v/>
      </c>
      <c r="E438" s="84" t="str">
        <f t="shared" si="27"/>
        <v/>
      </c>
      <c r="G438" s="85">
        <v>431</v>
      </c>
      <c r="H438" s="84" t="str">
        <f t="shared" si="28"/>
        <v/>
      </c>
      <c r="I438" s="84" t="str">
        <f t="shared" si="29"/>
        <v/>
      </c>
      <c r="J438" s="84" t="str">
        <f t="shared" si="30"/>
        <v/>
      </c>
      <c r="O438" s="84" t="str">
        <f>IF('05_PRODUCTOS'!$L438="","",IF(AND(OR(kxCategoria="",'05_PRODUCTOS'!$D438=kxCategoria),OR(kxBuscar="",ISNUMBER(SEARCH(kxBuscar,'05_PRODUCTOS'!$L438)))),ROW()-7,""))</f>
        <v/>
      </c>
      <c r="P438" s="84" t="str">
        <f>IFERROR(INDEX('05_PRODUCTOS'!$L$8:$L$507,SMALL($O$8:$O$507,ROW()-7)),"")</f>
        <v/>
      </c>
    </row>
    <row r="439" spans="3:16" x14ac:dyDescent="0.25">
      <c r="C439" s="84" t="str">
        <f>IF(AND('05_PRODUCTOS'!$B439&lt;&gt;"",'05_PRODUCTOS'!$C439&lt;&gt;"",'05_PRODUCTOS'!$K439&lt;&gt;"NO",ISNUMBER(MATCH('05_PRODUCTOS'!$D439,lstCategorias,0))),'05_PRODUCTOS'!$D439,"")</f>
        <v/>
      </c>
      <c r="D439" s="84" t="str">
        <f>IF($C439="","",'05_PRODUCTOS'!$L439)</f>
        <v/>
      </c>
      <c r="E439" s="84" t="str">
        <f t="shared" si="27"/>
        <v/>
      </c>
      <c r="G439" s="85">
        <v>432</v>
      </c>
      <c r="H439" s="84" t="str">
        <f t="shared" si="28"/>
        <v/>
      </c>
      <c r="I439" s="84" t="str">
        <f t="shared" si="29"/>
        <v/>
      </c>
      <c r="J439" s="84" t="str">
        <f t="shared" si="30"/>
        <v/>
      </c>
      <c r="O439" s="84" t="str">
        <f>IF('05_PRODUCTOS'!$L439="","",IF(AND(OR(kxCategoria="",'05_PRODUCTOS'!$D439=kxCategoria),OR(kxBuscar="",ISNUMBER(SEARCH(kxBuscar,'05_PRODUCTOS'!$L439)))),ROW()-7,""))</f>
        <v/>
      </c>
      <c r="P439" s="84" t="str">
        <f>IFERROR(INDEX('05_PRODUCTOS'!$L$8:$L$507,SMALL($O$8:$O$507,ROW()-7)),"")</f>
        <v/>
      </c>
    </row>
    <row r="440" spans="3:16" x14ac:dyDescent="0.25">
      <c r="C440" s="84" t="str">
        <f>IF(AND('05_PRODUCTOS'!$B440&lt;&gt;"",'05_PRODUCTOS'!$C440&lt;&gt;"",'05_PRODUCTOS'!$K440&lt;&gt;"NO",ISNUMBER(MATCH('05_PRODUCTOS'!$D440,lstCategorias,0))),'05_PRODUCTOS'!$D440,"")</f>
        <v/>
      </c>
      <c r="D440" s="84" t="str">
        <f>IF($C440="","",'05_PRODUCTOS'!$L440)</f>
        <v/>
      </c>
      <c r="E440" s="84" t="str">
        <f t="shared" si="27"/>
        <v/>
      </c>
      <c r="G440" s="85">
        <v>433</v>
      </c>
      <c r="H440" s="84" t="str">
        <f t="shared" si="28"/>
        <v/>
      </c>
      <c r="I440" s="84" t="str">
        <f t="shared" si="29"/>
        <v/>
      </c>
      <c r="J440" s="84" t="str">
        <f t="shared" si="30"/>
        <v/>
      </c>
      <c r="O440" s="84" t="str">
        <f>IF('05_PRODUCTOS'!$L440="","",IF(AND(OR(kxCategoria="",'05_PRODUCTOS'!$D440=kxCategoria),OR(kxBuscar="",ISNUMBER(SEARCH(kxBuscar,'05_PRODUCTOS'!$L440)))),ROW()-7,""))</f>
        <v/>
      </c>
      <c r="P440" s="84" t="str">
        <f>IFERROR(INDEX('05_PRODUCTOS'!$L$8:$L$507,SMALL($O$8:$O$507,ROW()-7)),"")</f>
        <v/>
      </c>
    </row>
    <row r="441" spans="3:16" x14ac:dyDescent="0.25">
      <c r="C441" s="84" t="str">
        <f>IF(AND('05_PRODUCTOS'!$B441&lt;&gt;"",'05_PRODUCTOS'!$C441&lt;&gt;"",'05_PRODUCTOS'!$K441&lt;&gt;"NO",ISNUMBER(MATCH('05_PRODUCTOS'!$D441,lstCategorias,0))),'05_PRODUCTOS'!$D441,"")</f>
        <v/>
      </c>
      <c r="D441" s="84" t="str">
        <f>IF($C441="","",'05_PRODUCTOS'!$L441)</f>
        <v/>
      </c>
      <c r="E441" s="84" t="str">
        <f t="shared" si="27"/>
        <v/>
      </c>
      <c r="G441" s="85">
        <v>434</v>
      </c>
      <c r="H441" s="84" t="str">
        <f t="shared" si="28"/>
        <v/>
      </c>
      <c r="I441" s="84" t="str">
        <f t="shared" si="29"/>
        <v/>
      </c>
      <c r="J441" s="84" t="str">
        <f t="shared" si="30"/>
        <v/>
      </c>
      <c r="O441" s="84" t="str">
        <f>IF('05_PRODUCTOS'!$L441="","",IF(AND(OR(kxCategoria="",'05_PRODUCTOS'!$D441=kxCategoria),OR(kxBuscar="",ISNUMBER(SEARCH(kxBuscar,'05_PRODUCTOS'!$L441)))),ROW()-7,""))</f>
        <v/>
      </c>
      <c r="P441" s="84" t="str">
        <f>IFERROR(INDEX('05_PRODUCTOS'!$L$8:$L$507,SMALL($O$8:$O$507,ROW()-7)),"")</f>
        <v/>
      </c>
    </row>
    <row r="442" spans="3:16" x14ac:dyDescent="0.25">
      <c r="C442" s="84" t="str">
        <f>IF(AND('05_PRODUCTOS'!$B442&lt;&gt;"",'05_PRODUCTOS'!$C442&lt;&gt;"",'05_PRODUCTOS'!$K442&lt;&gt;"NO",ISNUMBER(MATCH('05_PRODUCTOS'!$D442,lstCategorias,0))),'05_PRODUCTOS'!$D442,"")</f>
        <v/>
      </c>
      <c r="D442" s="84" t="str">
        <f>IF($C442="","",'05_PRODUCTOS'!$L442)</f>
        <v/>
      </c>
      <c r="E442" s="84" t="str">
        <f t="shared" si="27"/>
        <v/>
      </c>
      <c r="G442" s="85">
        <v>435</v>
      </c>
      <c r="H442" s="84" t="str">
        <f t="shared" si="28"/>
        <v/>
      </c>
      <c r="I442" s="84" t="str">
        <f t="shared" si="29"/>
        <v/>
      </c>
      <c r="J442" s="84" t="str">
        <f t="shared" si="30"/>
        <v/>
      </c>
      <c r="O442" s="84" t="str">
        <f>IF('05_PRODUCTOS'!$L442="","",IF(AND(OR(kxCategoria="",'05_PRODUCTOS'!$D442=kxCategoria),OR(kxBuscar="",ISNUMBER(SEARCH(kxBuscar,'05_PRODUCTOS'!$L442)))),ROW()-7,""))</f>
        <v/>
      </c>
      <c r="P442" s="84" t="str">
        <f>IFERROR(INDEX('05_PRODUCTOS'!$L$8:$L$507,SMALL($O$8:$O$507,ROW()-7)),"")</f>
        <v/>
      </c>
    </row>
    <row r="443" spans="3:16" x14ac:dyDescent="0.25">
      <c r="C443" s="84" t="str">
        <f>IF(AND('05_PRODUCTOS'!$B443&lt;&gt;"",'05_PRODUCTOS'!$C443&lt;&gt;"",'05_PRODUCTOS'!$K443&lt;&gt;"NO",ISNUMBER(MATCH('05_PRODUCTOS'!$D443,lstCategorias,0))),'05_PRODUCTOS'!$D443,"")</f>
        <v/>
      </c>
      <c r="D443" s="84" t="str">
        <f>IF($C443="","",'05_PRODUCTOS'!$L443)</f>
        <v/>
      </c>
      <c r="E443" s="84" t="str">
        <f t="shared" si="27"/>
        <v/>
      </c>
      <c r="G443" s="85">
        <v>436</v>
      </c>
      <c r="H443" s="84" t="str">
        <f t="shared" si="28"/>
        <v/>
      </c>
      <c r="I443" s="84" t="str">
        <f t="shared" si="29"/>
        <v/>
      </c>
      <c r="J443" s="84" t="str">
        <f t="shared" si="30"/>
        <v/>
      </c>
      <c r="O443" s="84" t="str">
        <f>IF('05_PRODUCTOS'!$L443="","",IF(AND(OR(kxCategoria="",'05_PRODUCTOS'!$D443=kxCategoria),OR(kxBuscar="",ISNUMBER(SEARCH(kxBuscar,'05_PRODUCTOS'!$L443)))),ROW()-7,""))</f>
        <v/>
      </c>
      <c r="P443" s="84" t="str">
        <f>IFERROR(INDEX('05_PRODUCTOS'!$L$8:$L$507,SMALL($O$8:$O$507,ROW()-7)),"")</f>
        <v/>
      </c>
    </row>
    <row r="444" spans="3:16" x14ac:dyDescent="0.25">
      <c r="C444" s="84" t="str">
        <f>IF(AND('05_PRODUCTOS'!$B444&lt;&gt;"",'05_PRODUCTOS'!$C444&lt;&gt;"",'05_PRODUCTOS'!$K444&lt;&gt;"NO",ISNUMBER(MATCH('05_PRODUCTOS'!$D444,lstCategorias,0))),'05_PRODUCTOS'!$D444,"")</f>
        <v/>
      </c>
      <c r="D444" s="84" t="str">
        <f>IF($C444="","",'05_PRODUCTOS'!$L444)</f>
        <v/>
      </c>
      <c r="E444" s="84" t="str">
        <f t="shared" si="27"/>
        <v/>
      </c>
      <c r="G444" s="85">
        <v>437</v>
      </c>
      <c r="H444" s="84" t="str">
        <f t="shared" si="28"/>
        <v/>
      </c>
      <c r="I444" s="84" t="str">
        <f t="shared" si="29"/>
        <v/>
      </c>
      <c r="J444" s="84" t="str">
        <f t="shared" si="30"/>
        <v/>
      </c>
      <c r="O444" s="84" t="str">
        <f>IF('05_PRODUCTOS'!$L444="","",IF(AND(OR(kxCategoria="",'05_PRODUCTOS'!$D444=kxCategoria),OR(kxBuscar="",ISNUMBER(SEARCH(kxBuscar,'05_PRODUCTOS'!$L444)))),ROW()-7,""))</f>
        <v/>
      </c>
      <c r="P444" s="84" t="str">
        <f>IFERROR(INDEX('05_PRODUCTOS'!$L$8:$L$507,SMALL($O$8:$O$507,ROW()-7)),"")</f>
        <v/>
      </c>
    </row>
    <row r="445" spans="3:16" x14ac:dyDescent="0.25">
      <c r="C445" s="84" t="str">
        <f>IF(AND('05_PRODUCTOS'!$B445&lt;&gt;"",'05_PRODUCTOS'!$C445&lt;&gt;"",'05_PRODUCTOS'!$K445&lt;&gt;"NO",ISNUMBER(MATCH('05_PRODUCTOS'!$D445,lstCategorias,0))),'05_PRODUCTOS'!$D445,"")</f>
        <v/>
      </c>
      <c r="D445" s="84" t="str">
        <f>IF($C445="","",'05_PRODUCTOS'!$L445)</f>
        <v/>
      </c>
      <c r="E445" s="84" t="str">
        <f t="shared" si="27"/>
        <v/>
      </c>
      <c r="G445" s="85">
        <v>438</v>
      </c>
      <c r="H445" s="84" t="str">
        <f t="shared" si="28"/>
        <v/>
      </c>
      <c r="I445" s="84" t="str">
        <f t="shared" si="29"/>
        <v/>
      </c>
      <c r="J445" s="84" t="str">
        <f t="shared" si="30"/>
        <v/>
      </c>
      <c r="O445" s="84" t="str">
        <f>IF('05_PRODUCTOS'!$L445="","",IF(AND(OR(kxCategoria="",'05_PRODUCTOS'!$D445=kxCategoria),OR(kxBuscar="",ISNUMBER(SEARCH(kxBuscar,'05_PRODUCTOS'!$L445)))),ROW()-7,""))</f>
        <v/>
      </c>
      <c r="P445" s="84" t="str">
        <f>IFERROR(INDEX('05_PRODUCTOS'!$L$8:$L$507,SMALL($O$8:$O$507,ROW()-7)),"")</f>
        <v/>
      </c>
    </row>
    <row r="446" spans="3:16" x14ac:dyDescent="0.25">
      <c r="C446" s="84" t="str">
        <f>IF(AND('05_PRODUCTOS'!$B446&lt;&gt;"",'05_PRODUCTOS'!$C446&lt;&gt;"",'05_PRODUCTOS'!$K446&lt;&gt;"NO",ISNUMBER(MATCH('05_PRODUCTOS'!$D446,lstCategorias,0))),'05_PRODUCTOS'!$D446,"")</f>
        <v/>
      </c>
      <c r="D446" s="84" t="str">
        <f>IF($C446="","",'05_PRODUCTOS'!$L446)</f>
        <v/>
      </c>
      <c r="E446" s="84" t="str">
        <f t="shared" si="27"/>
        <v/>
      </c>
      <c r="G446" s="85">
        <v>439</v>
      </c>
      <c r="H446" s="84" t="str">
        <f t="shared" si="28"/>
        <v/>
      </c>
      <c r="I446" s="84" t="str">
        <f t="shared" si="29"/>
        <v/>
      </c>
      <c r="J446" s="84" t="str">
        <f t="shared" si="30"/>
        <v/>
      </c>
      <c r="O446" s="84" t="str">
        <f>IF('05_PRODUCTOS'!$L446="","",IF(AND(OR(kxCategoria="",'05_PRODUCTOS'!$D446=kxCategoria),OR(kxBuscar="",ISNUMBER(SEARCH(kxBuscar,'05_PRODUCTOS'!$L446)))),ROW()-7,""))</f>
        <v/>
      </c>
      <c r="P446" s="84" t="str">
        <f>IFERROR(INDEX('05_PRODUCTOS'!$L$8:$L$507,SMALL($O$8:$O$507,ROW()-7)),"")</f>
        <v/>
      </c>
    </row>
    <row r="447" spans="3:16" x14ac:dyDescent="0.25">
      <c r="C447" s="84" t="str">
        <f>IF(AND('05_PRODUCTOS'!$B447&lt;&gt;"",'05_PRODUCTOS'!$C447&lt;&gt;"",'05_PRODUCTOS'!$K447&lt;&gt;"NO",ISNUMBER(MATCH('05_PRODUCTOS'!$D447,lstCategorias,0))),'05_PRODUCTOS'!$D447,"")</f>
        <v/>
      </c>
      <c r="D447" s="84" t="str">
        <f>IF($C447="","",'05_PRODUCTOS'!$L447)</f>
        <v/>
      </c>
      <c r="E447" s="84" t="str">
        <f t="shared" si="27"/>
        <v/>
      </c>
      <c r="G447" s="85">
        <v>440</v>
      </c>
      <c r="H447" s="84" t="str">
        <f t="shared" si="28"/>
        <v/>
      </c>
      <c r="I447" s="84" t="str">
        <f t="shared" si="29"/>
        <v/>
      </c>
      <c r="J447" s="84" t="str">
        <f t="shared" si="30"/>
        <v/>
      </c>
      <c r="O447" s="84" t="str">
        <f>IF('05_PRODUCTOS'!$L447="","",IF(AND(OR(kxCategoria="",'05_PRODUCTOS'!$D447=kxCategoria),OR(kxBuscar="",ISNUMBER(SEARCH(kxBuscar,'05_PRODUCTOS'!$L447)))),ROW()-7,""))</f>
        <v/>
      </c>
      <c r="P447" s="84" t="str">
        <f>IFERROR(INDEX('05_PRODUCTOS'!$L$8:$L$507,SMALL($O$8:$O$507,ROW()-7)),"")</f>
        <v/>
      </c>
    </row>
    <row r="448" spans="3:16" x14ac:dyDescent="0.25">
      <c r="C448" s="84" t="str">
        <f>IF(AND('05_PRODUCTOS'!$B448&lt;&gt;"",'05_PRODUCTOS'!$C448&lt;&gt;"",'05_PRODUCTOS'!$K448&lt;&gt;"NO",ISNUMBER(MATCH('05_PRODUCTOS'!$D448,lstCategorias,0))),'05_PRODUCTOS'!$D448,"")</f>
        <v/>
      </c>
      <c r="D448" s="84" t="str">
        <f>IF($C448="","",'05_PRODUCTOS'!$L448)</f>
        <v/>
      </c>
      <c r="E448" s="84" t="str">
        <f t="shared" si="27"/>
        <v/>
      </c>
      <c r="G448" s="85">
        <v>441</v>
      </c>
      <c r="H448" s="84" t="str">
        <f t="shared" si="28"/>
        <v/>
      </c>
      <c r="I448" s="84" t="str">
        <f t="shared" si="29"/>
        <v/>
      </c>
      <c r="J448" s="84" t="str">
        <f t="shared" si="30"/>
        <v/>
      </c>
      <c r="O448" s="84" t="str">
        <f>IF('05_PRODUCTOS'!$L448="","",IF(AND(OR(kxCategoria="",'05_PRODUCTOS'!$D448=kxCategoria),OR(kxBuscar="",ISNUMBER(SEARCH(kxBuscar,'05_PRODUCTOS'!$L448)))),ROW()-7,""))</f>
        <v/>
      </c>
      <c r="P448" s="84" t="str">
        <f>IFERROR(INDEX('05_PRODUCTOS'!$L$8:$L$507,SMALL($O$8:$O$507,ROW()-7)),"")</f>
        <v/>
      </c>
    </row>
    <row r="449" spans="3:16" x14ac:dyDescent="0.25">
      <c r="C449" s="84" t="str">
        <f>IF(AND('05_PRODUCTOS'!$B449&lt;&gt;"",'05_PRODUCTOS'!$C449&lt;&gt;"",'05_PRODUCTOS'!$K449&lt;&gt;"NO",ISNUMBER(MATCH('05_PRODUCTOS'!$D449,lstCategorias,0))),'05_PRODUCTOS'!$D449,"")</f>
        <v/>
      </c>
      <c r="D449" s="84" t="str">
        <f>IF($C449="","",'05_PRODUCTOS'!$L449)</f>
        <v/>
      </c>
      <c r="E449" s="84" t="str">
        <f t="shared" si="27"/>
        <v/>
      </c>
      <c r="G449" s="85">
        <v>442</v>
      </c>
      <c r="H449" s="84" t="str">
        <f t="shared" si="28"/>
        <v/>
      </c>
      <c r="I449" s="84" t="str">
        <f t="shared" si="29"/>
        <v/>
      </c>
      <c r="J449" s="84" t="str">
        <f t="shared" si="30"/>
        <v/>
      </c>
      <c r="O449" s="84" t="str">
        <f>IF('05_PRODUCTOS'!$L449="","",IF(AND(OR(kxCategoria="",'05_PRODUCTOS'!$D449=kxCategoria),OR(kxBuscar="",ISNUMBER(SEARCH(kxBuscar,'05_PRODUCTOS'!$L449)))),ROW()-7,""))</f>
        <v/>
      </c>
      <c r="P449" s="84" t="str">
        <f>IFERROR(INDEX('05_PRODUCTOS'!$L$8:$L$507,SMALL($O$8:$O$507,ROW()-7)),"")</f>
        <v/>
      </c>
    </row>
    <row r="450" spans="3:16" x14ac:dyDescent="0.25">
      <c r="C450" s="84" t="str">
        <f>IF(AND('05_PRODUCTOS'!$B450&lt;&gt;"",'05_PRODUCTOS'!$C450&lt;&gt;"",'05_PRODUCTOS'!$K450&lt;&gt;"NO",ISNUMBER(MATCH('05_PRODUCTOS'!$D450,lstCategorias,0))),'05_PRODUCTOS'!$D450,"")</f>
        <v/>
      </c>
      <c r="D450" s="84" t="str">
        <f>IF($C450="","",'05_PRODUCTOS'!$L450)</f>
        <v/>
      </c>
      <c r="E450" s="84" t="str">
        <f t="shared" si="27"/>
        <v/>
      </c>
      <c r="G450" s="85">
        <v>443</v>
      </c>
      <c r="H450" s="84" t="str">
        <f t="shared" si="28"/>
        <v/>
      </c>
      <c r="I450" s="84" t="str">
        <f t="shared" si="29"/>
        <v/>
      </c>
      <c r="J450" s="84" t="str">
        <f t="shared" si="30"/>
        <v/>
      </c>
      <c r="O450" s="84" t="str">
        <f>IF('05_PRODUCTOS'!$L450="","",IF(AND(OR(kxCategoria="",'05_PRODUCTOS'!$D450=kxCategoria),OR(kxBuscar="",ISNUMBER(SEARCH(kxBuscar,'05_PRODUCTOS'!$L450)))),ROW()-7,""))</f>
        <v/>
      </c>
      <c r="P450" s="84" t="str">
        <f>IFERROR(INDEX('05_PRODUCTOS'!$L$8:$L$507,SMALL($O$8:$O$507,ROW()-7)),"")</f>
        <v/>
      </c>
    </row>
    <row r="451" spans="3:16" x14ac:dyDescent="0.25">
      <c r="C451" s="84" t="str">
        <f>IF(AND('05_PRODUCTOS'!$B451&lt;&gt;"",'05_PRODUCTOS'!$C451&lt;&gt;"",'05_PRODUCTOS'!$K451&lt;&gt;"NO",ISNUMBER(MATCH('05_PRODUCTOS'!$D451,lstCategorias,0))),'05_PRODUCTOS'!$D451,"")</f>
        <v/>
      </c>
      <c r="D451" s="84" t="str">
        <f>IF($C451="","",'05_PRODUCTOS'!$L451)</f>
        <v/>
      </c>
      <c r="E451" s="84" t="str">
        <f t="shared" si="27"/>
        <v/>
      </c>
      <c r="G451" s="85">
        <v>444</v>
      </c>
      <c r="H451" s="84" t="str">
        <f t="shared" si="28"/>
        <v/>
      </c>
      <c r="I451" s="84" t="str">
        <f t="shared" si="29"/>
        <v/>
      </c>
      <c r="J451" s="84" t="str">
        <f t="shared" si="30"/>
        <v/>
      </c>
      <c r="O451" s="84" t="str">
        <f>IF('05_PRODUCTOS'!$L451="","",IF(AND(OR(kxCategoria="",'05_PRODUCTOS'!$D451=kxCategoria),OR(kxBuscar="",ISNUMBER(SEARCH(kxBuscar,'05_PRODUCTOS'!$L451)))),ROW()-7,""))</f>
        <v/>
      </c>
      <c r="P451" s="84" t="str">
        <f>IFERROR(INDEX('05_PRODUCTOS'!$L$8:$L$507,SMALL($O$8:$O$507,ROW()-7)),"")</f>
        <v/>
      </c>
    </row>
    <row r="452" spans="3:16" x14ac:dyDescent="0.25">
      <c r="C452" s="84" t="str">
        <f>IF(AND('05_PRODUCTOS'!$B452&lt;&gt;"",'05_PRODUCTOS'!$C452&lt;&gt;"",'05_PRODUCTOS'!$K452&lt;&gt;"NO",ISNUMBER(MATCH('05_PRODUCTOS'!$D452,lstCategorias,0))),'05_PRODUCTOS'!$D452,"")</f>
        <v/>
      </c>
      <c r="D452" s="84" t="str">
        <f>IF($C452="","",'05_PRODUCTOS'!$L452)</f>
        <v/>
      </c>
      <c r="E452" s="84" t="str">
        <f t="shared" si="27"/>
        <v/>
      </c>
      <c r="G452" s="85">
        <v>445</v>
      </c>
      <c r="H452" s="84" t="str">
        <f t="shared" si="28"/>
        <v/>
      </c>
      <c r="I452" s="84" t="str">
        <f t="shared" si="29"/>
        <v/>
      </c>
      <c r="J452" s="84" t="str">
        <f t="shared" si="30"/>
        <v/>
      </c>
      <c r="O452" s="84" t="str">
        <f>IF('05_PRODUCTOS'!$L452="","",IF(AND(OR(kxCategoria="",'05_PRODUCTOS'!$D452=kxCategoria),OR(kxBuscar="",ISNUMBER(SEARCH(kxBuscar,'05_PRODUCTOS'!$L452)))),ROW()-7,""))</f>
        <v/>
      </c>
      <c r="P452" s="84" t="str">
        <f>IFERROR(INDEX('05_PRODUCTOS'!$L$8:$L$507,SMALL($O$8:$O$507,ROW()-7)),"")</f>
        <v/>
      </c>
    </row>
    <row r="453" spans="3:16" x14ac:dyDescent="0.25">
      <c r="C453" s="84" t="str">
        <f>IF(AND('05_PRODUCTOS'!$B453&lt;&gt;"",'05_PRODUCTOS'!$C453&lt;&gt;"",'05_PRODUCTOS'!$K453&lt;&gt;"NO",ISNUMBER(MATCH('05_PRODUCTOS'!$D453,lstCategorias,0))),'05_PRODUCTOS'!$D453,"")</f>
        <v/>
      </c>
      <c r="D453" s="84" t="str">
        <f>IF($C453="","",'05_PRODUCTOS'!$L453)</f>
        <v/>
      </c>
      <c r="E453" s="84" t="str">
        <f t="shared" si="27"/>
        <v/>
      </c>
      <c r="G453" s="85">
        <v>446</v>
      </c>
      <c r="H453" s="84" t="str">
        <f t="shared" si="28"/>
        <v/>
      </c>
      <c r="I453" s="84" t="str">
        <f t="shared" si="29"/>
        <v/>
      </c>
      <c r="J453" s="84" t="str">
        <f t="shared" si="30"/>
        <v/>
      </c>
      <c r="O453" s="84" t="str">
        <f>IF('05_PRODUCTOS'!$L453="","",IF(AND(OR(kxCategoria="",'05_PRODUCTOS'!$D453=kxCategoria),OR(kxBuscar="",ISNUMBER(SEARCH(kxBuscar,'05_PRODUCTOS'!$L453)))),ROW()-7,""))</f>
        <v/>
      </c>
      <c r="P453" s="84" t="str">
        <f>IFERROR(INDEX('05_PRODUCTOS'!$L$8:$L$507,SMALL($O$8:$O$507,ROW()-7)),"")</f>
        <v/>
      </c>
    </row>
    <row r="454" spans="3:16" x14ac:dyDescent="0.25">
      <c r="C454" s="84" t="str">
        <f>IF(AND('05_PRODUCTOS'!$B454&lt;&gt;"",'05_PRODUCTOS'!$C454&lt;&gt;"",'05_PRODUCTOS'!$K454&lt;&gt;"NO",ISNUMBER(MATCH('05_PRODUCTOS'!$D454,lstCategorias,0))),'05_PRODUCTOS'!$D454,"")</f>
        <v/>
      </c>
      <c r="D454" s="84" t="str">
        <f>IF($C454="","",'05_PRODUCTOS'!$L454)</f>
        <v/>
      </c>
      <c r="E454" s="84" t="str">
        <f t="shared" si="27"/>
        <v/>
      </c>
      <c r="G454" s="85">
        <v>447</v>
      </c>
      <c r="H454" s="84" t="str">
        <f t="shared" si="28"/>
        <v/>
      </c>
      <c r="I454" s="84" t="str">
        <f t="shared" si="29"/>
        <v/>
      </c>
      <c r="J454" s="84" t="str">
        <f t="shared" si="30"/>
        <v/>
      </c>
      <c r="O454" s="84" t="str">
        <f>IF('05_PRODUCTOS'!$L454="","",IF(AND(OR(kxCategoria="",'05_PRODUCTOS'!$D454=kxCategoria),OR(kxBuscar="",ISNUMBER(SEARCH(kxBuscar,'05_PRODUCTOS'!$L454)))),ROW()-7,""))</f>
        <v/>
      </c>
      <c r="P454" s="84" t="str">
        <f>IFERROR(INDEX('05_PRODUCTOS'!$L$8:$L$507,SMALL($O$8:$O$507,ROW()-7)),"")</f>
        <v/>
      </c>
    </row>
    <row r="455" spans="3:16" x14ac:dyDescent="0.25">
      <c r="C455" s="84" t="str">
        <f>IF(AND('05_PRODUCTOS'!$B455&lt;&gt;"",'05_PRODUCTOS'!$C455&lt;&gt;"",'05_PRODUCTOS'!$K455&lt;&gt;"NO",ISNUMBER(MATCH('05_PRODUCTOS'!$D455,lstCategorias,0))),'05_PRODUCTOS'!$D455,"")</f>
        <v/>
      </c>
      <c r="D455" s="84" t="str">
        <f>IF($C455="","",'05_PRODUCTOS'!$L455)</f>
        <v/>
      </c>
      <c r="E455" s="84" t="str">
        <f t="shared" si="27"/>
        <v/>
      </c>
      <c r="G455" s="85">
        <v>448</v>
      </c>
      <c r="H455" s="84" t="str">
        <f t="shared" si="28"/>
        <v/>
      </c>
      <c r="I455" s="84" t="str">
        <f t="shared" si="29"/>
        <v/>
      </c>
      <c r="J455" s="84" t="str">
        <f t="shared" si="30"/>
        <v/>
      </c>
      <c r="O455" s="84" t="str">
        <f>IF('05_PRODUCTOS'!$L455="","",IF(AND(OR(kxCategoria="",'05_PRODUCTOS'!$D455=kxCategoria),OR(kxBuscar="",ISNUMBER(SEARCH(kxBuscar,'05_PRODUCTOS'!$L455)))),ROW()-7,""))</f>
        <v/>
      </c>
      <c r="P455" s="84" t="str">
        <f>IFERROR(INDEX('05_PRODUCTOS'!$L$8:$L$507,SMALL($O$8:$O$507,ROW()-7)),"")</f>
        <v/>
      </c>
    </row>
    <row r="456" spans="3:16" x14ac:dyDescent="0.25">
      <c r="C456" s="84" t="str">
        <f>IF(AND('05_PRODUCTOS'!$B456&lt;&gt;"",'05_PRODUCTOS'!$C456&lt;&gt;"",'05_PRODUCTOS'!$K456&lt;&gt;"NO",ISNUMBER(MATCH('05_PRODUCTOS'!$D456,lstCategorias,0))),'05_PRODUCTOS'!$D456,"")</f>
        <v/>
      </c>
      <c r="D456" s="84" t="str">
        <f>IF($C456="","",'05_PRODUCTOS'!$L456)</f>
        <v/>
      </c>
      <c r="E456" s="84" t="str">
        <f t="shared" ref="E456:E507" si="31">IF($C456="","",MATCH($C456,lstCategorias,0)*1000+COUNTIFS($C$8:$C$507,$C456,$D$8:$D$507,"&lt;"&amp;$D456)+1+ROW()/100000)</f>
        <v/>
      </c>
      <c r="G456" s="85">
        <v>449</v>
      </c>
      <c r="H456" s="84" t="str">
        <f t="shared" ref="H456:H507" si="32">IFERROR(SMALL($E$8:$E$507,$G456),"")</f>
        <v/>
      </c>
      <c r="I456" s="84" t="str">
        <f t="shared" ref="I456:I507" si="33">IF($H456="","",INDEX($C$8:$C$507,MATCH($H456,$E$8:$E$507,0)))</f>
        <v/>
      </c>
      <c r="J456" s="84" t="str">
        <f t="shared" ref="J456:J507" si="34">IF($H456="","",INDEX($D$8:$D$507,MATCH($H456,$E$8:$E$507,0)))</f>
        <v/>
      </c>
      <c r="O456" s="84" t="str">
        <f>IF('05_PRODUCTOS'!$L456="","",IF(AND(OR(kxCategoria="",'05_PRODUCTOS'!$D456=kxCategoria),OR(kxBuscar="",ISNUMBER(SEARCH(kxBuscar,'05_PRODUCTOS'!$L456)))),ROW()-7,""))</f>
        <v/>
      </c>
      <c r="P456" s="84" t="str">
        <f>IFERROR(INDEX('05_PRODUCTOS'!$L$8:$L$507,SMALL($O$8:$O$507,ROW()-7)),"")</f>
        <v/>
      </c>
    </row>
    <row r="457" spans="3:16" x14ac:dyDescent="0.25">
      <c r="C457" s="84" t="str">
        <f>IF(AND('05_PRODUCTOS'!$B457&lt;&gt;"",'05_PRODUCTOS'!$C457&lt;&gt;"",'05_PRODUCTOS'!$K457&lt;&gt;"NO",ISNUMBER(MATCH('05_PRODUCTOS'!$D457,lstCategorias,0))),'05_PRODUCTOS'!$D457,"")</f>
        <v/>
      </c>
      <c r="D457" s="84" t="str">
        <f>IF($C457="","",'05_PRODUCTOS'!$L457)</f>
        <v/>
      </c>
      <c r="E457" s="84" t="str">
        <f t="shared" si="31"/>
        <v/>
      </c>
      <c r="G457" s="85">
        <v>450</v>
      </c>
      <c r="H457" s="84" t="str">
        <f t="shared" si="32"/>
        <v/>
      </c>
      <c r="I457" s="84" t="str">
        <f t="shared" si="33"/>
        <v/>
      </c>
      <c r="J457" s="84" t="str">
        <f t="shared" si="34"/>
        <v/>
      </c>
      <c r="O457" s="84" t="str">
        <f>IF('05_PRODUCTOS'!$L457="","",IF(AND(OR(kxCategoria="",'05_PRODUCTOS'!$D457=kxCategoria),OR(kxBuscar="",ISNUMBER(SEARCH(kxBuscar,'05_PRODUCTOS'!$L457)))),ROW()-7,""))</f>
        <v/>
      </c>
      <c r="P457" s="84" t="str">
        <f>IFERROR(INDEX('05_PRODUCTOS'!$L$8:$L$507,SMALL($O$8:$O$507,ROW()-7)),"")</f>
        <v/>
      </c>
    </row>
    <row r="458" spans="3:16" x14ac:dyDescent="0.25">
      <c r="C458" s="84" t="str">
        <f>IF(AND('05_PRODUCTOS'!$B458&lt;&gt;"",'05_PRODUCTOS'!$C458&lt;&gt;"",'05_PRODUCTOS'!$K458&lt;&gt;"NO",ISNUMBER(MATCH('05_PRODUCTOS'!$D458,lstCategorias,0))),'05_PRODUCTOS'!$D458,"")</f>
        <v/>
      </c>
      <c r="D458" s="84" t="str">
        <f>IF($C458="","",'05_PRODUCTOS'!$L458)</f>
        <v/>
      </c>
      <c r="E458" s="84" t="str">
        <f t="shared" si="31"/>
        <v/>
      </c>
      <c r="G458" s="85">
        <v>451</v>
      </c>
      <c r="H458" s="84" t="str">
        <f t="shared" si="32"/>
        <v/>
      </c>
      <c r="I458" s="84" t="str">
        <f t="shared" si="33"/>
        <v/>
      </c>
      <c r="J458" s="84" t="str">
        <f t="shared" si="34"/>
        <v/>
      </c>
      <c r="O458" s="84" t="str">
        <f>IF('05_PRODUCTOS'!$L458="","",IF(AND(OR(kxCategoria="",'05_PRODUCTOS'!$D458=kxCategoria),OR(kxBuscar="",ISNUMBER(SEARCH(kxBuscar,'05_PRODUCTOS'!$L458)))),ROW()-7,""))</f>
        <v/>
      </c>
      <c r="P458" s="84" t="str">
        <f>IFERROR(INDEX('05_PRODUCTOS'!$L$8:$L$507,SMALL($O$8:$O$507,ROW()-7)),"")</f>
        <v/>
      </c>
    </row>
    <row r="459" spans="3:16" x14ac:dyDescent="0.25">
      <c r="C459" s="84" t="str">
        <f>IF(AND('05_PRODUCTOS'!$B459&lt;&gt;"",'05_PRODUCTOS'!$C459&lt;&gt;"",'05_PRODUCTOS'!$K459&lt;&gt;"NO",ISNUMBER(MATCH('05_PRODUCTOS'!$D459,lstCategorias,0))),'05_PRODUCTOS'!$D459,"")</f>
        <v/>
      </c>
      <c r="D459" s="84" t="str">
        <f>IF($C459="","",'05_PRODUCTOS'!$L459)</f>
        <v/>
      </c>
      <c r="E459" s="84" t="str">
        <f t="shared" si="31"/>
        <v/>
      </c>
      <c r="G459" s="85">
        <v>452</v>
      </c>
      <c r="H459" s="84" t="str">
        <f t="shared" si="32"/>
        <v/>
      </c>
      <c r="I459" s="84" t="str">
        <f t="shared" si="33"/>
        <v/>
      </c>
      <c r="J459" s="84" t="str">
        <f t="shared" si="34"/>
        <v/>
      </c>
      <c r="O459" s="84" t="str">
        <f>IF('05_PRODUCTOS'!$L459="","",IF(AND(OR(kxCategoria="",'05_PRODUCTOS'!$D459=kxCategoria),OR(kxBuscar="",ISNUMBER(SEARCH(kxBuscar,'05_PRODUCTOS'!$L459)))),ROW()-7,""))</f>
        <v/>
      </c>
      <c r="P459" s="84" t="str">
        <f>IFERROR(INDEX('05_PRODUCTOS'!$L$8:$L$507,SMALL($O$8:$O$507,ROW()-7)),"")</f>
        <v/>
      </c>
    </row>
    <row r="460" spans="3:16" x14ac:dyDescent="0.25">
      <c r="C460" s="84" t="str">
        <f>IF(AND('05_PRODUCTOS'!$B460&lt;&gt;"",'05_PRODUCTOS'!$C460&lt;&gt;"",'05_PRODUCTOS'!$K460&lt;&gt;"NO",ISNUMBER(MATCH('05_PRODUCTOS'!$D460,lstCategorias,0))),'05_PRODUCTOS'!$D460,"")</f>
        <v/>
      </c>
      <c r="D460" s="84" t="str">
        <f>IF($C460="","",'05_PRODUCTOS'!$L460)</f>
        <v/>
      </c>
      <c r="E460" s="84" t="str">
        <f t="shared" si="31"/>
        <v/>
      </c>
      <c r="G460" s="85">
        <v>453</v>
      </c>
      <c r="H460" s="84" t="str">
        <f t="shared" si="32"/>
        <v/>
      </c>
      <c r="I460" s="84" t="str">
        <f t="shared" si="33"/>
        <v/>
      </c>
      <c r="J460" s="84" t="str">
        <f t="shared" si="34"/>
        <v/>
      </c>
      <c r="O460" s="84" t="str">
        <f>IF('05_PRODUCTOS'!$L460="","",IF(AND(OR(kxCategoria="",'05_PRODUCTOS'!$D460=kxCategoria),OR(kxBuscar="",ISNUMBER(SEARCH(kxBuscar,'05_PRODUCTOS'!$L460)))),ROW()-7,""))</f>
        <v/>
      </c>
      <c r="P460" s="84" t="str">
        <f>IFERROR(INDEX('05_PRODUCTOS'!$L$8:$L$507,SMALL($O$8:$O$507,ROW()-7)),"")</f>
        <v/>
      </c>
    </row>
    <row r="461" spans="3:16" x14ac:dyDescent="0.25">
      <c r="C461" s="84" t="str">
        <f>IF(AND('05_PRODUCTOS'!$B461&lt;&gt;"",'05_PRODUCTOS'!$C461&lt;&gt;"",'05_PRODUCTOS'!$K461&lt;&gt;"NO",ISNUMBER(MATCH('05_PRODUCTOS'!$D461,lstCategorias,0))),'05_PRODUCTOS'!$D461,"")</f>
        <v/>
      </c>
      <c r="D461" s="84" t="str">
        <f>IF($C461="","",'05_PRODUCTOS'!$L461)</f>
        <v/>
      </c>
      <c r="E461" s="84" t="str">
        <f t="shared" si="31"/>
        <v/>
      </c>
      <c r="G461" s="85">
        <v>454</v>
      </c>
      <c r="H461" s="84" t="str">
        <f t="shared" si="32"/>
        <v/>
      </c>
      <c r="I461" s="84" t="str">
        <f t="shared" si="33"/>
        <v/>
      </c>
      <c r="J461" s="84" t="str">
        <f t="shared" si="34"/>
        <v/>
      </c>
      <c r="O461" s="84" t="str">
        <f>IF('05_PRODUCTOS'!$L461="","",IF(AND(OR(kxCategoria="",'05_PRODUCTOS'!$D461=kxCategoria),OR(kxBuscar="",ISNUMBER(SEARCH(kxBuscar,'05_PRODUCTOS'!$L461)))),ROW()-7,""))</f>
        <v/>
      </c>
      <c r="P461" s="84" t="str">
        <f>IFERROR(INDEX('05_PRODUCTOS'!$L$8:$L$507,SMALL($O$8:$O$507,ROW()-7)),"")</f>
        <v/>
      </c>
    </row>
    <row r="462" spans="3:16" x14ac:dyDescent="0.25">
      <c r="C462" s="84" t="str">
        <f>IF(AND('05_PRODUCTOS'!$B462&lt;&gt;"",'05_PRODUCTOS'!$C462&lt;&gt;"",'05_PRODUCTOS'!$K462&lt;&gt;"NO",ISNUMBER(MATCH('05_PRODUCTOS'!$D462,lstCategorias,0))),'05_PRODUCTOS'!$D462,"")</f>
        <v/>
      </c>
      <c r="D462" s="84" t="str">
        <f>IF($C462="","",'05_PRODUCTOS'!$L462)</f>
        <v/>
      </c>
      <c r="E462" s="84" t="str">
        <f t="shared" si="31"/>
        <v/>
      </c>
      <c r="G462" s="85">
        <v>455</v>
      </c>
      <c r="H462" s="84" t="str">
        <f t="shared" si="32"/>
        <v/>
      </c>
      <c r="I462" s="84" t="str">
        <f t="shared" si="33"/>
        <v/>
      </c>
      <c r="J462" s="84" t="str">
        <f t="shared" si="34"/>
        <v/>
      </c>
      <c r="O462" s="84" t="str">
        <f>IF('05_PRODUCTOS'!$L462="","",IF(AND(OR(kxCategoria="",'05_PRODUCTOS'!$D462=kxCategoria),OR(kxBuscar="",ISNUMBER(SEARCH(kxBuscar,'05_PRODUCTOS'!$L462)))),ROW()-7,""))</f>
        <v/>
      </c>
      <c r="P462" s="84" t="str">
        <f>IFERROR(INDEX('05_PRODUCTOS'!$L$8:$L$507,SMALL($O$8:$O$507,ROW()-7)),"")</f>
        <v/>
      </c>
    </row>
    <row r="463" spans="3:16" x14ac:dyDescent="0.25">
      <c r="C463" s="84" t="str">
        <f>IF(AND('05_PRODUCTOS'!$B463&lt;&gt;"",'05_PRODUCTOS'!$C463&lt;&gt;"",'05_PRODUCTOS'!$K463&lt;&gt;"NO",ISNUMBER(MATCH('05_PRODUCTOS'!$D463,lstCategorias,0))),'05_PRODUCTOS'!$D463,"")</f>
        <v/>
      </c>
      <c r="D463" s="84" t="str">
        <f>IF($C463="","",'05_PRODUCTOS'!$L463)</f>
        <v/>
      </c>
      <c r="E463" s="84" t="str">
        <f t="shared" si="31"/>
        <v/>
      </c>
      <c r="G463" s="85">
        <v>456</v>
      </c>
      <c r="H463" s="84" t="str">
        <f t="shared" si="32"/>
        <v/>
      </c>
      <c r="I463" s="84" t="str">
        <f t="shared" si="33"/>
        <v/>
      </c>
      <c r="J463" s="84" t="str">
        <f t="shared" si="34"/>
        <v/>
      </c>
      <c r="O463" s="84" t="str">
        <f>IF('05_PRODUCTOS'!$L463="","",IF(AND(OR(kxCategoria="",'05_PRODUCTOS'!$D463=kxCategoria),OR(kxBuscar="",ISNUMBER(SEARCH(kxBuscar,'05_PRODUCTOS'!$L463)))),ROW()-7,""))</f>
        <v/>
      </c>
      <c r="P463" s="84" t="str">
        <f>IFERROR(INDEX('05_PRODUCTOS'!$L$8:$L$507,SMALL($O$8:$O$507,ROW()-7)),"")</f>
        <v/>
      </c>
    </row>
    <row r="464" spans="3:16" x14ac:dyDescent="0.25">
      <c r="C464" s="84" t="str">
        <f>IF(AND('05_PRODUCTOS'!$B464&lt;&gt;"",'05_PRODUCTOS'!$C464&lt;&gt;"",'05_PRODUCTOS'!$K464&lt;&gt;"NO",ISNUMBER(MATCH('05_PRODUCTOS'!$D464,lstCategorias,0))),'05_PRODUCTOS'!$D464,"")</f>
        <v/>
      </c>
      <c r="D464" s="84" t="str">
        <f>IF($C464="","",'05_PRODUCTOS'!$L464)</f>
        <v/>
      </c>
      <c r="E464" s="84" t="str">
        <f t="shared" si="31"/>
        <v/>
      </c>
      <c r="G464" s="85">
        <v>457</v>
      </c>
      <c r="H464" s="84" t="str">
        <f t="shared" si="32"/>
        <v/>
      </c>
      <c r="I464" s="84" t="str">
        <f t="shared" si="33"/>
        <v/>
      </c>
      <c r="J464" s="84" t="str">
        <f t="shared" si="34"/>
        <v/>
      </c>
      <c r="O464" s="84" t="str">
        <f>IF('05_PRODUCTOS'!$L464="","",IF(AND(OR(kxCategoria="",'05_PRODUCTOS'!$D464=kxCategoria),OR(kxBuscar="",ISNUMBER(SEARCH(kxBuscar,'05_PRODUCTOS'!$L464)))),ROW()-7,""))</f>
        <v/>
      </c>
      <c r="P464" s="84" t="str">
        <f>IFERROR(INDEX('05_PRODUCTOS'!$L$8:$L$507,SMALL($O$8:$O$507,ROW()-7)),"")</f>
        <v/>
      </c>
    </row>
    <row r="465" spans="3:16" x14ac:dyDescent="0.25">
      <c r="C465" s="84" t="str">
        <f>IF(AND('05_PRODUCTOS'!$B465&lt;&gt;"",'05_PRODUCTOS'!$C465&lt;&gt;"",'05_PRODUCTOS'!$K465&lt;&gt;"NO",ISNUMBER(MATCH('05_PRODUCTOS'!$D465,lstCategorias,0))),'05_PRODUCTOS'!$D465,"")</f>
        <v/>
      </c>
      <c r="D465" s="84" t="str">
        <f>IF($C465="","",'05_PRODUCTOS'!$L465)</f>
        <v/>
      </c>
      <c r="E465" s="84" t="str">
        <f t="shared" si="31"/>
        <v/>
      </c>
      <c r="G465" s="85">
        <v>458</v>
      </c>
      <c r="H465" s="84" t="str">
        <f t="shared" si="32"/>
        <v/>
      </c>
      <c r="I465" s="84" t="str">
        <f t="shared" si="33"/>
        <v/>
      </c>
      <c r="J465" s="84" t="str">
        <f t="shared" si="34"/>
        <v/>
      </c>
      <c r="O465" s="84" t="str">
        <f>IF('05_PRODUCTOS'!$L465="","",IF(AND(OR(kxCategoria="",'05_PRODUCTOS'!$D465=kxCategoria),OR(kxBuscar="",ISNUMBER(SEARCH(kxBuscar,'05_PRODUCTOS'!$L465)))),ROW()-7,""))</f>
        <v/>
      </c>
      <c r="P465" s="84" t="str">
        <f>IFERROR(INDEX('05_PRODUCTOS'!$L$8:$L$507,SMALL($O$8:$O$507,ROW()-7)),"")</f>
        <v/>
      </c>
    </row>
    <row r="466" spans="3:16" x14ac:dyDescent="0.25">
      <c r="C466" s="84" t="str">
        <f>IF(AND('05_PRODUCTOS'!$B466&lt;&gt;"",'05_PRODUCTOS'!$C466&lt;&gt;"",'05_PRODUCTOS'!$K466&lt;&gt;"NO",ISNUMBER(MATCH('05_PRODUCTOS'!$D466,lstCategorias,0))),'05_PRODUCTOS'!$D466,"")</f>
        <v/>
      </c>
      <c r="D466" s="84" t="str">
        <f>IF($C466="","",'05_PRODUCTOS'!$L466)</f>
        <v/>
      </c>
      <c r="E466" s="84" t="str">
        <f t="shared" si="31"/>
        <v/>
      </c>
      <c r="G466" s="85">
        <v>459</v>
      </c>
      <c r="H466" s="84" t="str">
        <f t="shared" si="32"/>
        <v/>
      </c>
      <c r="I466" s="84" t="str">
        <f t="shared" si="33"/>
        <v/>
      </c>
      <c r="J466" s="84" t="str">
        <f t="shared" si="34"/>
        <v/>
      </c>
      <c r="O466" s="84" t="str">
        <f>IF('05_PRODUCTOS'!$L466="","",IF(AND(OR(kxCategoria="",'05_PRODUCTOS'!$D466=kxCategoria),OR(kxBuscar="",ISNUMBER(SEARCH(kxBuscar,'05_PRODUCTOS'!$L466)))),ROW()-7,""))</f>
        <v/>
      </c>
      <c r="P466" s="84" t="str">
        <f>IFERROR(INDEX('05_PRODUCTOS'!$L$8:$L$507,SMALL($O$8:$O$507,ROW()-7)),"")</f>
        <v/>
      </c>
    </row>
    <row r="467" spans="3:16" x14ac:dyDescent="0.25">
      <c r="C467" s="84" t="str">
        <f>IF(AND('05_PRODUCTOS'!$B467&lt;&gt;"",'05_PRODUCTOS'!$C467&lt;&gt;"",'05_PRODUCTOS'!$K467&lt;&gt;"NO",ISNUMBER(MATCH('05_PRODUCTOS'!$D467,lstCategorias,0))),'05_PRODUCTOS'!$D467,"")</f>
        <v/>
      </c>
      <c r="D467" s="84" t="str">
        <f>IF($C467="","",'05_PRODUCTOS'!$L467)</f>
        <v/>
      </c>
      <c r="E467" s="84" t="str">
        <f t="shared" si="31"/>
        <v/>
      </c>
      <c r="G467" s="85">
        <v>460</v>
      </c>
      <c r="H467" s="84" t="str">
        <f t="shared" si="32"/>
        <v/>
      </c>
      <c r="I467" s="84" t="str">
        <f t="shared" si="33"/>
        <v/>
      </c>
      <c r="J467" s="84" t="str">
        <f t="shared" si="34"/>
        <v/>
      </c>
      <c r="O467" s="84" t="str">
        <f>IF('05_PRODUCTOS'!$L467="","",IF(AND(OR(kxCategoria="",'05_PRODUCTOS'!$D467=kxCategoria),OR(kxBuscar="",ISNUMBER(SEARCH(kxBuscar,'05_PRODUCTOS'!$L467)))),ROW()-7,""))</f>
        <v/>
      </c>
      <c r="P467" s="84" t="str">
        <f>IFERROR(INDEX('05_PRODUCTOS'!$L$8:$L$507,SMALL($O$8:$O$507,ROW()-7)),"")</f>
        <v/>
      </c>
    </row>
    <row r="468" spans="3:16" x14ac:dyDescent="0.25">
      <c r="C468" s="84" t="str">
        <f>IF(AND('05_PRODUCTOS'!$B468&lt;&gt;"",'05_PRODUCTOS'!$C468&lt;&gt;"",'05_PRODUCTOS'!$K468&lt;&gt;"NO",ISNUMBER(MATCH('05_PRODUCTOS'!$D468,lstCategorias,0))),'05_PRODUCTOS'!$D468,"")</f>
        <v/>
      </c>
      <c r="D468" s="84" t="str">
        <f>IF($C468="","",'05_PRODUCTOS'!$L468)</f>
        <v/>
      </c>
      <c r="E468" s="84" t="str">
        <f t="shared" si="31"/>
        <v/>
      </c>
      <c r="G468" s="85">
        <v>461</v>
      </c>
      <c r="H468" s="84" t="str">
        <f t="shared" si="32"/>
        <v/>
      </c>
      <c r="I468" s="84" t="str">
        <f t="shared" si="33"/>
        <v/>
      </c>
      <c r="J468" s="84" t="str">
        <f t="shared" si="34"/>
        <v/>
      </c>
      <c r="O468" s="84" t="str">
        <f>IF('05_PRODUCTOS'!$L468="","",IF(AND(OR(kxCategoria="",'05_PRODUCTOS'!$D468=kxCategoria),OR(kxBuscar="",ISNUMBER(SEARCH(kxBuscar,'05_PRODUCTOS'!$L468)))),ROW()-7,""))</f>
        <v/>
      </c>
      <c r="P468" s="84" t="str">
        <f>IFERROR(INDEX('05_PRODUCTOS'!$L$8:$L$507,SMALL($O$8:$O$507,ROW()-7)),"")</f>
        <v/>
      </c>
    </row>
    <row r="469" spans="3:16" x14ac:dyDescent="0.25">
      <c r="C469" s="84" t="str">
        <f>IF(AND('05_PRODUCTOS'!$B469&lt;&gt;"",'05_PRODUCTOS'!$C469&lt;&gt;"",'05_PRODUCTOS'!$K469&lt;&gt;"NO",ISNUMBER(MATCH('05_PRODUCTOS'!$D469,lstCategorias,0))),'05_PRODUCTOS'!$D469,"")</f>
        <v/>
      </c>
      <c r="D469" s="84" t="str">
        <f>IF($C469="","",'05_PRODUCTOS'!$L469)</f>
        <v/>
      </c>
      <c r="E469" s="84" t="str">
        <f t="shared" si="31"/>
        <v/>
      </c>
      <c r="G469" s="85">
        <v>462</v>
      </c>
      <c r="H469" s="84" t="str">
        <f t="shared" si="32"/>
        <v/>
      </c>
      <c r="I469" s="84" t="str">
        <f t="shared" si="33"/>
        <v/>
      </c>
      <c r="J469" s="84" t="str">
        <f t="shared" si="34"/>
        <v/>
      </c>
      <c r="O469" s="84" t="str">
        <f>IF('05_PRODUCTOS'!$L469="","",IF(AND(OR(kxCategoria="",'05_PRODUCTOS'!$D469=kxCategoria),OR(kxBuscar="",ISNUMBER(SEARCH(kxBuscar,'05_PRODUCTOS'!$L469)))),ROW()-7,""))</f>
        <v/>
      </c>
      <c r="P469" s="84" t="str">
        <f>IFERROR(INDEX('05_PRODUCTOS'!$L$8:$L$507,SMALL($O$8:$O$507,ROW()-7)),"")</f>
        <v/>
      </c>
    </row>
    <row r="470" spans="3:16" x14ac:dyDescent="0.25">
      <c r="C470" s="84" t="str">
        <f>IF(AND('05_PRODUCTOS'!$B470&lt;&gt;"",'05_PRODUCTOS'!$C470&lt;&gt;"",'05_PRODUCTOS'!$K470&lt;&gt;"NO",ISNUMBER(MATCH('05_PRODUCTOS'!$D470,lstCategorias,0))),'05_PRODUCTOS'!$D470,"")</f>
        <v/>
      </c>
      <c r="D470" s="84" t="str">
        <f>IF($C470="","",'05_PRODUCTOS'!$L470)</f>
        <v/>
      </c>
      <c r="E470" s="84" t="str">
        <f t="shared" si="31"/>
        <v/>
      </c>
      <c r="G470" s="85">
        <v>463</v>
      </c>
      <c r="H470" s="84" t="str">
        <f t="shared" si="32"/>
        <v/>
      </c>
      <c r="I470" s="84" t="str">
        <f t="shared" si="33"/>
        <v/>
      </c>
      <c r="J470" s="84" t="str">
        <f t="shared" si="34"/>
        <v/>
      </c>
      <c r="O470" s="84" t="str">
        <f>IF('05_PRODUCTOS'!$L470="","",IF(AND(OR(kxCategoria="",'05_PRODUCTOS'!$D470=kxCategoria),OR(kxBuscar="",ISNUMBER(SEARCH(kxBuscar,'05_PRODUCTOS'!$L470)))),ROW()-7,""))</f>
        <v/>
      </c>
      <c r="P470" s="84" t="str">
        <f>IFERROR(INDEX('05_PRODUCTOS'!$L$8:$L$507,SMALL($O$8:$O$507,ROW()-7)),"")</f>
        <v/>
      </c>
    </row>
    <row r="471" spans="3:16" x14ac:dyDescent="0.25">
      <c r="C471" s="84" t="str">
        <f>IF(AND('05_PRODUCTOS'!$B471&lt;&gt;"",'05_PRODUCTOS'!$C471&lt;&gt;"",'05_PRODUCTOS'!$K471&lt;&gt;"NO",ISNUMBER(MATCH('05_PRODUCTOS'!$D471,lstCategorias,0))),'05_PRODUCTOS'!$D471,"")</f>
        <v/>
      </c>
      <c r="D471" s="84" t="str">
        <f>IF($C471="","",'05_PRODUCTOS'!$L471)</f>
        <v/>
      </c>
      <c r="E471" s="84" t="str">
        <f t="shared" si="31"/>
        <v/>
      </c>
      <c r="G471" s="85">
        <v>464</v>
      </c>
      <c r="H471" s="84" t="str">
        <f t="shared" si="32"/>
        <v/>
      </c>
      <c r="I471" s="84" t="str">
        <f t="shared" si="33"/>
        <v/>
      </c>
      <c r="J471" s="84" t="str">
        <f t="shared" si="34"/>
        <v/>
      </c>
      <c r="O471" s="84" t="str">
        <f>IF('05_PRODUCTOS'!$L471="","",IF(AND(OR(kxCategoria="",'05_PRODUCTOS'!$D471=kxCategoria),OR(kxBuscar="",ISNUMBER(SEARCH(kxBuscar,'05_PRODUCTOS'!$L471)))),ROW()-7,""))</f>
        <v/>
      </c>
      <c r="P471" s="84" t="str">
        <f>IFERROR(INDEX('05_PRODUCTOS'!$L$8:$L$507,SMALL($O$8:$O$507,ROW()-7)),"")</f>
        <v/>
      </c>
    </row>
    <row r="472" spans="3:16" x14ac:dyDescent="0.25">
      <c r="C472" s="84" t="str">
        <f>IF(AND('05_PRODUCTOS'!$B472&lt;&gt;"",'05_PRODUCTOS'!$C472&lt;&gt;"",'05_PRODUCTOS'!$K472&lt;&gt;"NO",ISNUMBER(MATCH('05_PRODUCTOS'!$D472,lstCategorias,0))),'05_PRODUCTOS'!$D472,"")</f>
        <v/>
      </c>
      <c r="D472" s="84" t="str">
        <f>IF($C472="","",'05_PRODUCTOS'!$L472)</f>
        <v/>
      </c>
      <c r="E472" s="84" t="str">
        <f t="shared" si="31"/>
        <v/>
      </c>
      <c r="G472" s="85">
        <v>465</v>
      </c>
      <c r="H472" s="84" t="str">
        <f t="shared" si="32"/>
        <v/>
      </c>
      <c r="I472" s="84" t="str">
        <f t="shared" si="33"/>
        <v/>
      </c>
      <c r="J472" s="84" t="str">
        <f t="shared" si="34"/>
        <v/>
      </c>
      <c r="O472" s="84" t="str">
        <f>IF('05_PRODUCTOS'!$L472="","",IF(AND(OR(kxCategoria="",'05_PRODUCTOS'!$D472=kxCategoria),OR(kxBuscar="",ISNUMBER(SEARCH(kxBuscar,'05_PRODUCTOS'!$L472)))),ROW()-7,""))</f>
        <v/>
      </c>
      <c r="P472" s="84" t="str">
        <f>IFERROR(INDEX('05_PRODUCTOS'!$L$8:$L$507,SMALL($O$8:$O$507,ROW()-7)),"")</f>
        <v/>
      </c>
    </row>
    <row r="473" spans="3:16" x14ac:dyDescent="0.25">
      <c r="C473" s="84" t="str">
        <f>IF(AND('05_PRODUCTOS'!$B473&lt;&gt;"",'05_PRODUCTOS'!$C473&lt;&gt;"",'05_PRODUCTOS'!$K473&lt;&gt;"NO",ISNUMBER(MATCH('05_PRODUCTOS'!$D473,lstCategorias,0))),'05_PRODUCTOS'!$D473,"")</f>
        <v/>
      </c>
      <c r="D473" s="84" t="str">
        <f>IF($C473="","",'05_PRODUCTOS'!$L473)</f>
        <v/>
      </c>
      <c r="E473" s="84" t="str">
        <f t="shared" si="31"/>
        <v/>
      </c>
      <c r="G473" s="85">
        <v>466</v>
      </c>
      <c r="H473" s="84" t="str">
        <f t="shared" si="32"/>
        <v/>
      </c>
      <c r="I473" s="84" t="str">
        <f t="shared" si="33"/>
        <v/>
      </c>
      <c r="J473" s="84" t="str">
        <f t="shared" si="34"/>
        <v/>
      </c>
      <c r="O473" s="84" t="str">
        <f>IF('05_PRODUCTOS'!$L473="","",IF(AND(OR(kxCategoria="",'05_PRODUCTOS'!$D473=kxCategoria),OR(kxBuscar="",ISNUMBER(SEARCH(kxBuscar,'05_PRODUCTOS'!$L473)))),ROW()-7,""))</f>
        <v/>
      </c>
      <c r="P473" s="84" t="str">
        <f>IFERROR(INDEX('05_PRODUCTOS'!$L$8:$L$507,SMALL($O$8:$O$507,ROW()-7)),"")</f>
        <v/>
      </c>
    </row>
    <row r="474" spans="3:16" x14ac:dyDescent="0.25">
      <c r="C474" s="84" t="str">
        <f>IF(AND('05_PRODUCTOS'!$B474&lt;&gt;"",'05_PRODUCTOS'!$C474&lt;&gt;"",'05_PRODUCTOS'!$K474&lt;&gt;"NO",ISNUMBER(MATCH('05_PRODUCTOS'!$D474,lstCategorias,0))),'05_PRODUCTOS'!$D474,"")</f>
        <v/>
      </c>
      <c r="D474" s="84" t="str">
        <f>IF($C474="","",'05_PRODUCTOS'!$L474)</f>
        <v/>
      </c>
      <c r="E474" s="84" t="str">
        <f t="shared" si="31"/>
        <v/>
      </c>
      <c r="G474" s="85">
        <v>467</v>
      </c>
      <c r="H474" s="84" t="str">
        <f t="shared" si="32"/>
        <v/>
      </c>
      <c r="I474" s="84" t="str">
        <f t="shared" si="33"/>
        <v/>
      </c>
      <c r="J474" s="84" t="str">
        <f t="shared" si="34"/>
        <v/>
      </c>
      <c r="O474" s="84" t="str">
        <f>IF('05_PRODUCTOS'!$L474="","",IF(AND(OR(kxCategoria="",'05_PRODUCTOS'!$D474=kxCategoria),OR(kxBuscar="",ISNUMBER(SEARCH(kxBuscar,'05_PRODUCTOS'!$L474)))),ROW()-7,""))</f>
        <v/>
      </c>
      <c r="P474" s="84" t="str">
        <f>IFERROR(INDEX('05_PRODUCTOS'!$L$8:$L$507,SMALL($O$8:$O$507,ROW()-7)),"")</f>
        <v/>
      </c>
    </row>
    <row r="475" spans="3:16" x14ac:dyDescent="0.25">
      <c r="C475" s="84" t="str">
        <f>IF(AND('05_PRODUCTOS'!$B475&lt;&gt;"",'05_PRODUCTOS'!$C475&lt;&gt;"",'05_PRODUCTOS'!$K475&lt;&gt;"NO",ISNUMBER(MATCH('05_PRODUCTOS'!$D475,lstCategorias,0))),'05_PRODUCTOS'!$D475,"")</f>
        <v/>
      </c>
      <c r="D475" s="84" t="str">
        <f>IF($C475="","",'05_PRODUCTOS'!$L475)</f>
        <v/>
      </c>
      <c r="E475" s="84" t="str">
        <f t="shared" si="31"/>
        <v/>
      </c>
      <c r="G475" s="85">
        <v>468</v>
      </c>
      <c r="H475" s="84" t="str">
        <f t="shared" si="32"/>
        <v/>
      </c>
      <c r="I475" s="84" t="str">
        <f t="shared" si="33"/>
        <v/>
      </c>
      <c r="J475" s="84" t="str">
        <f t="shared" si="34"/>
        <v/>
      </c>
      <c r="O475" s="84" t="str">
        <f>IF('05_PRODUCTOS'!$L475="","",IF(AND(OR(kxCategoria="",'05_PRODUCTOS'!$D475=kxCategoria),OR(kxBuscar="",ISNUMBER(SEARCH(kxBuscar,'05_PRODUCTOS'!$L475)))),ROW()-7,""))</f>
        <v/>
      </c>
      <c r="P475" s="84" t="str">
        <f>IFERROR(INDEX('05_PRODUCTOS'!$L$8:$L$507,SMALL($O$8:$O$507,ROW()-7)),"")</f>
        <v/>
      </c>
    </row>
    <row r="476" spans="3:16" x14ac:dyDescent="0.25">
      <c r="C476" s="84" t="str">
        <f>IF(AND('05_PRODUCTOS'!$B476&lt;&gt;"",'05_PRODUCTOS'!$C476&lt;&gt;"",'05_PRODUCTOS'!$K476&lt;&gt;"NO",ISNUMBER(MATCH('05_PRODUCTOS'!$D476,lstCategorias,0))),'05_PRODUCTOS'!$D476,"")</f>
        <v/>
      </c>
      <c r="D476" s="84" t="str">
        <f>IF($C476="","",'05_PRODUCTOS'!$L476)</f>
        <v/>
      </c>
      <c r="E476" s="84" t="str">
        <f t="shared" si="31"/>
        <v/>
      </c>
      <c r="G476" s="85">
        <v>469</v>
      </c>
      <c r="H476" s="84" t="str">
        <f t="shared" si="32"/>
        <v/>
      </c>
      <c r="I476" s="84" t="str">
        <f t="shared" si="33"/>
        <v/>
      </c>
      <c r="J476" s="84" t="str">
        <f t="shared" si="34"/>
        <v/>
      </c>
      <c r="O476" s="84" t="str">
        <f>IF('05_PRODUCTOS'!$L476="","",IF(AND(OR(kxCategoria="",'05_PRODUCTOS'!$D476=kxCategoria),OR(kxBuscar="",ISNUMBER(SEARCH(kxBuscar,'05_PRODUCTOS'!$L476)))),ROW()-7,""))</f>
        <v/>
      </c>
      <c r="P476" s="84" t="str">
        <f>IFERROR(INDEX('05_PRODUCTOS'!$L$8:$L$507,SMALL($O$8:$O$507,ROW()-7)),"")</f>
        <v/>
      </c>
    </row>
    <row r="477" spans="3:16" x14ac:dyDescent="0.25">
      <c r="C477" s="84" t="str">
        <f>IF(AND('05_PRODUCTOS'!$B477&lt;&gt;"",'05_PRODUCTOS'!$C477&lt;&gt;"",'05_PRODUCTOS'!$K477&lt;&gt;"NO",ISNUMBER(MATCH('05_PRODUCTOS'!$D477,lstCategorias,0))),'05_PRODUCTOS'!$D477,"")</f>
        <v/>
      </c>
      <c r="D477" s="84" t="str">
        <f>IF($C477="","",'05_PRODUCTOS'!$L477)</f>
        <v/>
      </c>
      <c r="E477" s="84" t="str">
        <f t="shared" si="31"/>
        <v/>
      </c>
      <c r="G477" s="85">
        <v>470</v>
      </c>
      <c r="H477" s="84" t="str">
        <f t="shared" si="32"/>
        <v/>
      </c>
      <c r="I477" s="84" t="str">
        <f t="shared" si="33"/>
        <v/>
      </c>
      <c r="J477" s="84" t="str">
        <f t="shared" si="34"/>
        <v/>
      </c>
      <c r="O477" s="84" t="str">
        <f>IF('05_PRODUCTOS'!$L477="","",IF(AND(OR(kxCategoria="",'05_PRODUCTOS'!$D477=kxCategoria),OR(kxBuscar="",ISNUMBER(SEARCH(kxBuscar,'05_PRODUCTOS'!$L477)))),ROW()-7,""))</f>
        <v/>
      </c>
      <c r="P477" s="84" t="str">
        <f>IFERROR(INDEX('05_PRODUCTOS'!$L$8:$L$507,SMALL($O$8:$O$507,ROW()-7)),"")</f>
        <v/>
      </c>
    </row>
    <row r="478" spans="3:16" x14ac:dyDescent="0.25">
      <c r="C478" s="84" t="str">
        <f>IF(AND('05_PRODUCTOS'!$B478&lt;&gt;"",'05_PRODUCTOS'!$C478&lt;&gt;"",'05_PRODUCTOS'!$K478&lt;&gt;"NO",ISNUMBER(MATCH('05_PRODUCTOS'!$D478,lstCategorias,0))),'05_PRODUCTOS'!$D478,"")</f>
        <v/>
      </c>
      <c r="D478" s="84" t="str">
        <f>IF($C478="","",'05_PRODUCTOS'!$L478)</f>
        <v/>
      </c>
      <c r="E478" s="84" t="str">
        <f t="shared" si="31"/>
        <v/>
      </c>
      <c r="G478" s="85">
        <v>471</v>
      </c>
      <c r="H478" s="84" t="str">
        <f t="shared" si="32"/>
        <v/>
      </c>
      <c r="I478" s="84" t="str">
        <f t="shared" si="33"/>
        <v/>
      </c>
      <c r="J478" s="84" t="str">
        <f t="shared" si="34"/>
        <v/>
      </c>
      <c r="O478" s="84" t="str">
        <f>IF('05_PRODUCTOS'!$L478="","",IF(AND(OR(kxCategoria="",'05_PRODUCTOS'!$D478=kxCategoria),OR(kxBuscar="",ISNUMBER(SEARCH(kxBuscar,'05_PRODUCTOS'!$L478)))),ROW()-7,""))</f>
        <v/>
      </c>
      <c r="P478" s="84" t="str">
        <f>IFERROR(INDEX('05_PRODUCTOS'!$L$8:$L$507,SMALL($O$8:$O$507,ROW()-7)),"")</f>
        <v/>
      </c>
    </row>
    <row r="479" spans="3:16" x14ac:dyDescent="0.25">
      <c r="C479" s="84" t="str">
        <f>IF(AND('05_PRODUCTOS'!$B479&lt;&gt;"",'05_PRODUCTOS'!$C479&lt;&gt;"",'05_PRODUCTOS'!$K479&lt;&gt;"NO",ISNUMBER(MATCH('05_PRODUCTOS'!$D479,lstCategorias,0))),'05_PRODUCTOS'!$D479,"")</f>
        <v/>
      </c>
      <c r="D479" s="84" t="str">
        <f>IF($C479="","",'05_PRODUCTOS'!$L479)</f>
        <v/>
      </c>
      <c r="E479" s="84" t="str">
        <f t="shared" si="31"/>
        <v/>
      </c>
      <c r="G479" s="85">
        <v>472</v>
      </c>
      <c r="H479" s="84" t="str">
        <f t="shared" si="32"/>
        <v/>
      </c>
      <c r="I479" s="84" t="str">
        <f t="shared" si="33"/>
        <v/>
      </c>
      <c r="J479" s="84" t="str">
        <f t="shared" si="34"/>
        <v/>
      </c>
      <c r="O479" s="84" t="str">
        <f>IF('05_PRODUCTOS'!$L479="","",IF(AND(OR(kxCategoria="",'05_PRODUCTOS'!$D479=kxCategoria),OR(kxBuscar="",ISNUMBER(SEARCH(kxBuscar,'05_PRODUCTOS'!$L479)))),ROW()-7,""))</f>
        <v/>
      </c>
      <c r="P479" s="84" t="str">
        <f>IFERROR(INDEX('05_PRODUCTOS'!$L$8:$L$507,SMALL($O$8:$O$507,ROW()-7)),"")</f>
        <v/>
      </c>
    </row>
    <row r="480" spans="3:16" x14ac:dyDescent="0.25">
      <c r="C480" s="84" t="str">
        <f>IF(AND('05_PRODUCTOS'!$B480&lt;&gt;"",'05_PRODUCTOS'!$C480&lt;&gt;"",'05_PRODUCTOS'!$K480&lt;&gt;"NO",ISNUMBER(MATCH('05_PRODUCTOS'!$D480,lstCategorias,0))),'05_PRODUCTOS'!$D480,"")</f>
        <v/>
      </c>
      <c r="D480" s="84" t="str">
        <f>IF($C480="","",'05_PRODUCTOS'!$L480)</f>
        <v/>
      </c>
      <c r="E480" s="84" t="str">
        <f t="shared" si="31"/>
        <v/>
      </c>
      <c r="G480" s="85">
        <v>473</v>
      </c>
      <c r="H480" s="84" t="str">
        <f t="shared" si="32"/>
        <v/>
      </c>
      <c r="I480" s="84" t="str">
        <f t="shared" si="33"/>
        <v/>
      </c>
      <c r="J480" s="84" t="str">
        <f t="shared" si="34"/>
        <v/>
      </c>
      <c r="O480" s="84" t="str">
        <f>IF('05_PRODUCTOS'!$L480="","",IF(AND(OR(kxCategoria="",'05_PRODUCTOS'!$D480=kxCategoria),OR(kxBuscar="",ISNUMBER(SEARCH(kxBuscar,'05_PRODUCTOS'!$L480)))),ROW()-7,""))</f>
        <v/>
      </c>
      <c r="P480" s="84" t="str">
        <f>IFERROR(INDEX('05_PRODUCTOS'!$L$8:$L$507,SMALL($O$8:$O$507,ROW()-7)),"")</f>
        <v/>
      </c>
    </row>
    <row r="481" spans="3:16" x14ac:dyDescent="0.25">
      <c r="C481" s="84" t="str">
        <f>IF(AND('05_PRODUCTOS'!$B481&lt;&gt;"",'05_PRODUCTOS'!$C481&lt;&gt;"",'05_PRODUCTOS'!$K481&lt;&gt;"NO",ISNUMBER(MATCH('05_PRODUCTOS'!$D481,lstCategorias,0))),'05_PRODUCTOS'!$D481,"")</f>
        <v/>
      </c>
      <c r="D481" s="84" t="str">
        <f>IF($C481="","",'05_PRODUCTOS'!$L481)</f>
        <v/>
      </c>
      <c r="E481" s="84" t="str">
        <f t="shared" si="31"/>
        <v/>
      </c>
      <c r="G481" s="85">
        <v>474</v>
      </c>
      <c r="H481" s="84" t="str">
        <f t="shared" si="32"/>
        <v/>
      </c>
      <c r="I481" s="84" t="str">
        <f t="shared" si="33"/>
        <v/>
      </c>
      <c r="J481" s="84" t="str">
        <f t="shared" si="34"/>
        <v/>
      </c>
      <c r="O481" s="84" t="str">
        <f>IF('05_PRODUCTOS'!$L481="","",IF(AND(OR(kxCategoria="",'05_PRODUCTOS'!$D481=kxCategoria),OR(kxBuscar="",ISNUMBER(SEARCH(kxBuscar,'05_PRODUCTOS'!$L481)))),ROW()-7,""))</f>
        <v/>
      </c>
      <c r="P481" s="84" t="str">
        <f>IFERROR(INDEX('05_PRODUCTOS'!$L$8:$L$507,SMALL($O$8:$O$507,ROW()-7)),"")</f>
        <v/>
      </c>
    </row>
    <row r="482" spans="3:16" x14ac:dyDescent="0.25">
      <c r="C482" s="84" t="str">
        <f>IF(AND('05_PRODUCTOS'!$B482&lt;&gt;"",'05_PRODUCTOS'!$C482&lt;&gt;"",'05_PRODUCTOS'!$K482&lt;&gt;"NO",ISNUMBER(MATCH('05_PRODUCTOS'!$D482,lstCategorias,0))),'05_PRODUCTOS'!$D482,"")</f>
        <v/>
      </c>
      <c r="D482" s="84" t="str">
        <f>IF($C482="","",'05_PRODUCTOS'!$L482)</f>
        <v/>
      </c>
      <c r="E482" s="84" t="str">
        <f t="shared" si="31"/>
        <v/>
      </c>
      <c r="G482" s="85">
        <v>475</v>
      </c>
      <c r="H482" s="84" t="str">
        <f t="shared" si="32"/>
        <v/>
      </c>
      <c r="I482" s="84" t="str">
        <f t="shared" si="33"/>
        <v/>
      </c>
      <c r="J482" s="84" t="str">
        <f t="shared" si="34"/>
        <v/>
      </c>
      <c r="O482" s="84" t="str">
        <f>IF('05_PRODUCTOS'!$L482="","",IF(AND(OR(kxCategoria="",'05_PRODUCTOS'!$D482=kxCategoria),OR(kxBuscar="",ISNUMBER(SEARCH(kxBuscar,'05_PRODUCTOS'!$L482)))),ROW()-7,""))</f>
        <v/>
      </c>
      <c r="P482" s="84" t="str">
        <f>IFERROR(INDEX('05_PRODUCTOS'!$L$8:$L$507,SMALL($O$8:$O$507,ROW()-7)),"")</f>
        <v/>
      </c>
    </row>
    <row r="483" spans="3:16" x14ac:dyDescent="0.25">
      <c r="C483" s="84" t="str">
        <f>IF(AND('05_PRODUCTOS'!$B483&lt;&gt;"",'05_PRODUCTOS'!$C483&lt;&gt;"",'05_PRODUCTOS'!$K483&lt;&gt;"NO",ISNUMBER(MATCH('05_PRODUCTOS'!$D483,lstCategorias,0))),'05_PRODUCTOS'!$D483,"")</f>
        <v/>
      </c>
      <c r="D483" s="84" t="str">
        <f>IF($C483="","",'05_PRODUCTOS'!$L483)</f>
        <v/>
      </c>
      <c r="E483" s="84" t="str">
        <f t="shared" si="31"/>
        <v/>
      </c>
      <c r="G483" s="85">
        <v>476</v>
      </c>
      <c r="H483" s="84" t="str">
        <f t="shared" si="32"/>
        <v/>
      </c>
      <c r="I483" s="84" t="str">
        <f t="shared" si="33"/>
        <v/>
      </c>
      <c r="J483" s="84" t="str">
        <f t="shared" si="34"/>
        <v/>
      </c>
      <c r="O483" s="84" t="str">
        <f>IF('05_PRODUCTOS'!$L483="","",IF(AND(OR(kxCategoria="",'05_PRODUCTOS'!$D483=kxCategoria),OR(kxBuscar="",ISNUMBER(SEARCH(kxBuscar,'05_PRODUCTOS'!$L483)))),ROW()-7,""))</f>
        <v/>
      </c>
      <c r="P483" s="84" t="str">
        <f>IFERROR(INDEX('05_PRODUCTOS'!$L$8:$L$507,SMALL($O$8:$O$507,ROW()-7)),"")</f>
        <v/>
      </c>
    </row>
    <row r="484" spans="3:16" x14ac:dyDescent="0.25">
      <c r="C484" s="84" t="str">
        <f>IF(AND('05_PRODUCTOS'!$B484&lt;&gt;"",'05_PRODUCTOS'!$C484&lt;&gt;"",'05_PRODUCTOS'!$K484&lt;&gt;"NO",ISNUMBER(MATCH('05_PRODUCTOS'!$D484,lstCategorias,0))),'05_PRODUCTOS'!$D484,"")</f>
        <v/>
      </c>
      <c r="D484" s="84" t="str">
        <f>IF($C484="","",'05_PRODUCTOS'!$L484)</f>
        <v/>
      </c>
      <c r="E484" s="84" t="str">
        <f t="shared" si="31"/>
        <v/>
      </c>
      <c r="G484" s="85">
        <v>477</v>
      </c>
      <c r="H484" s="84" t="str">
        <f t="shared" si="32"/>
        <v/>
      </c>
      <c r="I484" s="84" t="str">
        <f t="shared" si="33"/>
        <v/>
      </c>
      <c r="J484" s="84" t="str">
        <f t="shared" si="34"/>
        <v/>
      </c>
      <c r="O484" s="84" t="str">
        <f>IF('05_PRODUCTOS'!$L484="","",IF(AND(OR(kxCategoria="",'05_PRODUCTOS'!$D484=kxCategoria),OR(kxBuscar="",ISNUMBER(SEARCH(kxBuscar,'05_PRODUCTOS'!$L484)))),ROW()-7,""))</f>
        <v/>
      </c>
      <c r="P484" s="84" t="str">
        <f>IFERROR(INDEX('05_PRODUCTOS'!$L$8:$L$507,SMALL($O$8:$O$507,ROW()-7)),"")</f>
        <v/>
      </c>
    </row>
    <row r="485" spans="3:16" x14ac:dyDescent="0.25">
      <c r="C485" s="84" t="str">
        <f>IF(AND('05_PRODUCTOS'!$B485&lt;&gt;"",'05_PRODUCTOS'!$C485&lt;&gt;"",'05_PRODUCTOS'!$K485&lt;&gt;"NO",ISNUMBER(MATCH('05_PRODUCTOS'!$D485,lstCategorias,0))),'05_PRODUCTOS'!$D485,"")</f>
        <v/>
      </c>
      <c r="D485" s="84" t="str">
        <f>IF($C485="","",'05_PRODUCTOS'!$L485)</f>
        <v/>
      </c>
      <c r="E485" s="84" t="str">
        <f t="shared" si="31"/>
        <v/>
      </c>
      <c r="G485" s="85">
        <v>478</v>
      </c>
      <c r="H485" s="84" t="str">
        <f t="shared" si="32"/>
        <v/>
      </c>
      <c r="I485" s="84" t="str">
        <f t="shared" si="33"/>
        <v/>
      </c>
      <c r="J485" s="84" t="str">
        <f t="shared" si="34"/>
        <v/>
      </c>
      <c r="O485" s="84" t="str">
        <f>IF('05_PRODUCTOS'!$L485="","",IF(AND(OR(kxCategoria="",'05_PRODUCTOS'!$D485=kxCategoria),OR(kxBuscar="",ISNUMBER(SEARCH(kxBuscar,'05_PRODUCTOS'!$L485)))),ROW()-7,""))</f>
        <v/>
      </c>
      <c r="P485" s="84" t="str">
        <f>IFERROR(INDEX('05_PRODUCTOS'!$L$8:$L$507,SMALL($O$8:$O$507,ROW()-7)),"")</f>
        <v/>
      </c>
    </row>
    <row r="486" spans="3:16" x14ac:dyDescent="0.25">
      <c r="C486" s="84" t="str">
        <f>IF(AND('05_PRODUCTOS'!$B486&lt;&gt;"",'05_PRODUCTOS'!$C486&lt;&gt;"",'05_PRODUCTOS'!$K486&lt;&gt;"NO",ISNUMBER(MATCH('05_PRODUCTOS'!$D486,lstCategorias,0))),'05_PRODUCTOS'!$D486,"")</f>
        <v/>
      </c>
      <c r="D486" s="84" t="str">
        <f>IF($C486="","",'05_PRODUCTOS'!$L486)</f>
        <v/>
      </c>
      <c r="E486" s="84" t="str">
        <f t="shared" si="31"/>
        <v/>
      </c>
      <c r="G486" s="85">
        <v>479</v>
      </c>
      <c r="H486" s="84" t="str">
        <f t="shared" si="32"/>
        <v/>
      </c>
      <c r="I486" s="84" t="str">
        <f t="shared" si="33"/>
        <v/>
      </c>
      <c r="J486" s="84" t="str">
        <f t="shared" si="34"/>
        <v/>
      </c>
      <c r="O486" s="84" t="str">
        <f>IF('05_PRODUCTOS'!$L486="","",IF(AND(OR(kxCategoria="",'05_PRODUCTOS'!$D486=kxCategoria),OR(kxBuscar="",ISNUMBER(SEARCH(kxBuscar,'05_PRODUCTOS'!$L486)))),ROW()-7,""))</f>
        <v/>
      </c>
      <c r="P486" s="84" t="str">
        <f>IFERROR(INDEX('05_PRODUCTOS'!$L$8:$L$507,SMALL($O$8:$O$507,ROW()-7)),"")</f>
        <v/>
      </c>
    </row>
    <row r="487" spans="3:16" x14ac:dyDescent="0.25">
      <c r="C487" s="84" t="str">
        <f>IF(AND('05_PRODUCTOS'!$B487&lt;&gt;"",'05_PRODUCTOS'!$C487&lt;&gt;"",'05_PRODUCTOS'!$K487&lt;&gt;"NO",ISNUMBER(MATCH('05_PRODUCTOS'!$D487,lstCategorias,0))),'05_PRODUCTOS'!$D487,"")</f>
        <v/>
      </c>
      <c r="D487" s="84" t="str">
        <f>IF($C487="","",'05_PRODUCTOS'!$L487)</f>
        <v/>
      </c>
      <c r="E487" s="84" t="str">
        <f t="shared" si="31"/>
        <v/>
      </c>
      <c r="G487" s="85">
        <v>480</v>
      </c>
      <c r="H487" s="84" t="str">
        <f t="shared" si="32"/>
        <v/>
      </c>
      <c r="I487" s="84" t="str">
        <f t="shared" si="33"/>
        <v/>
      </c>
      <c r="J487" s="84" t="str">
        <f t="shared" si="34"/>
        <v/>
      </c>
      <c r="O487" s="84" t="str">
        <f>IF('05_PRODUCTOS'!$L487="","",IF(AND(OR(kxCategoria="",'05_PRODUCTOS'!$D487=kxCategoria),OR(kxBuscar="",ISNUMBER(SEARCH(kxBuscar,'05_PRODUCTOS'!$L487)))),ROW()-7,""))</f>
        <v/>
      </c>
      <c r="P487" s="84" t="str">
        <f>IFERROR(INDEX('05_PRODUCTOS'!$L$8:$L$507,SMALL($O$8:$O$507,ROW()-7)),"")</f>
        <v/>
      </c>
    </row>
    <row r="488" spans="3:16" x14ac:dyDescent="0.25">
      <c r="C488" s="84" t="str">
        <f>IF(AND('05_PRODUCTOS'!$B488&lt;&gt;"",'05_PRODUCTOS'!$C488&lt;&gt;"",'05_PRODUCTOS'!$K488&lt;&gt;"NO",ISNUMBER(MATCH('05_PRODUCTOS'!$D488,lstCategorias,0))),'05_PRODUCTOS'!$D488,"")</f>
        <v/>
      </c>
      <c r="D488" s="84" t="str">
        <f>IF($C488="","",'05_PRODUCTOS'!$L488)</f>
        <v/>
      </c>
      <c r="E488" s="84" t="str">
        <f t="shared" si="31"/>
        <v/>
      </c>
      <c r="G488" s="85">
        <v>481</v>
      </c>
      <c r="H488" s="84" t="str">
        <f t="shared" si="32"/>
        <v/>
      </c>
      <c r="I488" s="84" t="str">
        <f t="shared" si="33"/>
        <v/>
      </c>
      <c r="J488" s="84" t="str">
        <f t="shared" si="34"/>
        <v/>
      </c>
      <c r="O488" s="84" t="str">
        <f>IF('05_PRODUCTOS'!$L488="","",IF(AND(OR(kxCategoria="",'05_PRODUCTOS'!$D488=kxCategoria),OR(kxBuscar="",ISNUMBER(SEARCH(kxBuscar,'05_PRODUCTOS'!$L488)))),ROW()-7,""))</f>
        <v/>
      </c>
      <c r="P488" s="84" t="str">
        <f>IFERROR(INDEX('05_PRODUCTOS'!$L$8:$L$507,SMALL($O$8:$O$507,ROW()-7)),"")</f>
        <v/>
      </c>
    </row>
    <row r="489" spans="3:16" x14ac:dyDescent="0.25">
      <c r="C489" s="84" t="str">
        <f>IF(AND('05_PRODUCTOS'!$B489&lt;&gt;"",'05_PRODUCTOS'!$C489&lt;&gt;"",'05_PRODUCTOS'!$K489&lt;&gt;"NO",ISNUMBER(MATCH('05_PRODUCTOS'!$D489,lstCategorias,0))),'05_PRODUCTOS'!$D489,"")</f>
        <v/>
      </c>
      <c r="D489" s="84" t="str">
        <f>IF($C489="","",'05_PRODUCTOS'!$L489)</f>
        <v/>
      </c>
      <c r="E489" s="84" t="str">
        <f t="shared" si="31"/>
        <v/>
      </c>
      <c r="G489" s="85">
        <v>482</v>
      </c>
      <c r="H489" s="84" t="str">
        <f t="shared" si="32"/>
        <v/>
      </c>
      <c r="I489" s="84" t="str">
        <f t="shared" si="33"/>
        <v/>
      </c>
      <c r="J489" s="84" t="str">
        <f t="shared" si="34"/>
        <v/>
      </c>
      <c r="O489" s="84" t="str">
        <f>IF('05_PRODUCTOS'!$L489="","",IF(AND(OR(kxCategoria="",'05_PRODUCTOS'!$D489=kxCategoria),OR(kxBuscar="",ISNUMBER(SEARCH(kxBuscar,'05_PRODUCTOS'!$L489)))),ROW()-7,""))</f>
        <v/>
      </c>
      <c r="P489" s="84" t="str">
        <f>IFERROR(INDEX('05_PRODUCTOS'!$L$8:$L$507,SMALL($O$8:$O$507,ROW()-7)),"")</f>
        <v/>
      </c>
    </row>
    <row r="490" spans="3:16" x14ac:dyDescent="0.25">
      <c r="C490" s="84" t="str">
        <f>IF(AND('05_PRODUCTOS'!$B490&lt;&gt;"",'05_PRODUCTOS'!$C490&lt;&gt;"",'05_PRODUCTOS'!$K490&lt;&gt;"NO",ISNUMBER(MATCH('05_PRODUCTOS'!$D490,lstCategorias,0))),'05_PRODUCTOS'!$D490,"")</f>
        <v/>
      </c>
      <c r="D490" s="84" t="str">
        <f>IF($C490="","",'05_PRODUCTOS'!$L490)</f>
        <v/>
      </c>
      <c r="E490" s="84" t="str">
        <f t="shared" si="31"/>
        <v/>
      </c>
      <c r="G490" s="85">
        <v>483</v>
      </c>
      <c r="H490" s="84" t="str">
        <f t="shared" si="32"/>
        <v/>
      </c>
      <c r="I490" s="84" t="str">
        <f t="shared" si="33"/>
        <v/>
      </c>
      <c r="J490" s="84" t="str">
        <f t="shared" si="34"/>
        <v/>
      </c>
      <c r="O490" s="84" t="str">
        <f>IF('05_PRODUCTOS'!$L490="","",IF(AND(OR(kxCategoria="",'05_PRODUCTOS'!$D490=kxCategoria),OR(kxBuscar="",ISNUMBER(SEARCH(kxBuscar,'05_PRODUCTOS'!$L490)))),ROW()-7,""))</f>
        <v/>
      </c>
      <c r="P490" s="84" t="str">
        <f>IFERROR(INDEX('05_PRODUCTOS'!$L$8:$L$507,SMALL($O$8:$O$507,ROW()-7)),"")</f>
        <v/>
      </c>
    </row>
    <row r="491" spans="3:16" x14ac:dyDescent="0.25">
      <c r="C491" s="84" t="str">
        <f>IF(AND('05_PRODUCTOS'!$B491&lt;&gt;"",'05_PRODUCTOS'!$C491&lt;&gt;"",'05_PRODUCTOS'!$K491&lt;&gt;"NO",ISNUMBER(MATCH('05_PRODUCTOS'!$D491,lstCategorias,0))),'05_PRODUCTOS'!$D491,"")</f>
        <v/>
      </c>
      <c r="D491" s="84" t="str">
        <f>IF($C491="","",'05_PRODUCTOS'!$L491)</f>
        <v/>
      </c>
      <c r="E491" s="84" t="str">
        <f t="shared" si="31"/>
        <v/>
      </c>
      <c r="G491" s="85">
        <v>484</v>
      </c>
      <c r="H491" s="84" t="str">
        <f t="shared" si="32"/>
        <v/>
      </c>
      <c r="I491" s="84" t="str">
        <f t="shared" si="33"/>
        <v/>
      </c>
      <c r="J491" s="84" t="str">
        <f t="shared" si="34"/>
        <v/>
      </c>
      <c r="O491" s="84" t="str">
        <f>IF('05_PRODUCTOS'!$L491="","",IF(AND(OR(kxCategoria="",'05_PRODUCTOS'!$D491=kxCategoria),OR(kxBuscar="",ISNUMBER(SEARCH(kxBuscar,'05_PRODUCTOS'!$L491)))),ROW()-7,""))</f>
        <v/>
      </c>
      <c r="P491" s="84" t="str">
        <f>IFERROR(INDEX('05_PRODUCTOS'!$L$8:$L$507,SMALL($O$8:$O$507,ROW()-7)),"")</f>
        <v/>
      </c>
    </row>
    <row r="492" spans="3:16" x14ac:dyDescent="0.25">
      <c r="C492" s="84" t="str">
        <f>IF(AND('05_PRODUCTOS'!$B492&lt;&gt;"",'05_PRODUCTOS'!$C492&lt;&gt;"",'05_PRODUCTOS'!$K492&lt;&gt;"NO",ISNUMBER(MATCH('05_PRODUCTOS'!$D492,lstCategorias,0))),'05_PRODUCTOS'!$D492,"")</f>
        <v/>
      </c>
      <c r="D492" s="84" t="str">
        <f>IF($C492="","",'05_PRODUCTOS'!$L492)</f>
        <v/>
      </c>
      <c r="E492" s="84" t="str">
        <f t="shared" si="31"/>
        <v/>
      </c>
      <c r="G492" s="85">
        <v>485</v>
      </c>
      <c r="H492" s="84" t="str">
        <f t="shared" si="32"/>
        <v/>
      </c>
      <c r="I492" s="84" t="str">
        <f t="shared" si="33"/>
        <v/>
      </c>
      <c r="J492" s="84" t="str">
        <f t="shared" si="34"/>
        <v/>
      </c>
      <c r="O492" s="84" t="str">
        <f>IF('05_PRODUCTOS'!$L492="","",IF(AND(OR(kxCategoria="",'05_PRODUCTOS'!$D492=kxCategoria),OR(kxBuscar="",ISNUMBER(SEARCH(kxBuscar,'05_PRODUCTOS'!$L492)))),ROW()-7,""))</f>
        <v/>
      </c>
      <c r="P492" s="84" t="str">
        <f>IFERROR(INDEX('05_PRODUCTOS'!$L$8:$L$507,SMALL($O$8:$O$507,ROW()-7)),"")</f>
        <v/>
      </c>
    </row>
    <row r="493" spans="3:16" x14ac:dyDescent="0.25">
      <c r="C493" s="84" t="str">
        <f>IF(AND('05_PRODUCTOS'!$B493&lt;&gt;"",'05_PRODUCTOS'!$C493&lt;&gt;"",'05_PRODUCTOS'!$K493&lt;&gt;"NO",ISNUMBER(MATCH('05_PRODUCTOS'!$D493,lstCategorias,0))),'05_PRODUCTOS'!$D493,"")</f>
        <v/>
      </c>
      <c r="D493" s="84" t="str">
        <f>IF($C493="","",'05_PRODUCTOS'!$L493)</f>
        <v/>
      </c>
      <c r="E493" s="84" t="str">
        <f t="shared" si="31"/>
        <v/>
      </c>
      <c r="G493" s="85">
        <v>486</v>
      </c>
      <c r="H493" s="84" t="str">
        <f t="shared" si="32"/>
        <v/>
      </c>
      <c r="I493" s="84" t="str">
        <f t="shared" si="33"/>
        <v/>
      </c>
      <c r="J493" s="84" t="str">
        <f t="shared" si="34"/>
        <v/>
      </c>
      <c r="O493" s="84" t="str">
        <f>IF('05_PRODUCTOS'!$L493="","",IF(AND(OR(kxCategoria="",'05_PRODUCTOS'!$D493=kxCategoria),OR(kxBuscar="",ISNUMBER(SEARCH(kxBuscar,'05_PRODUCTOS'!$L493)))),ROW()-7,""))</f>
        <v/>
      </c>
      <c r="P493" s="84" t="str">
        <f>IFERROR(INDEX('05_PRODUCTOS'!$L$8:$L$507,SMALL($O$8:$O$507,ROW()-7)),"")</f>
        <v/>
      </c>
    </row>
    <row r="494" spans="3:16" x14ac:dyDescent="0.25">
      <c r="C494" s="84" t="str">
        <f>IF(AND('05_PRODUCTOS'!$B494&lt;&gt;"",'05_PRODUCTOS'!$C494&lt;&gt;"",'05_PRODUCTOS'!$K494&lt;&gt;"NO",ISNUMBER(MATCH('05_PRODUCTOS'!$D494,lstCategorias,0))),'05_PRODUCTOS'!$D494,"")</f>
        <v/>
      </c>
      <c r="D494" s="84" t="str">
        <f>IF($C494="","",'05_PRODUCTOS'!$L494)</f>
        <v/>
      </c>
      <c r="E494" s="84" t="str">
        <f t="shared" si="31"/>
        <v/>
      </c>
      <c r="G494" s="85">
        <v>487</v>
      </c>
      <c r="H494" s="84" t="str">
        <f t="shared" si="32"/>
        <v/>
      </c>
      <c r="I494" s="84" t="str">
        <f t="shared" si="33"/>
        <v/>
      </c>
      <c r="J494" s="84" t="str">
        <f t="shared" si="34"/>
        <v/>
      </c>
      <c r="O494" s="84" t="str">
        <f>IF('05_PRODUCTOS'!$L494="","",IF(AND(OR(kxCategoria="",'05_PRODUCTOS'!$D494=kxCategoria),OR(kxBuscar="",ISNUMBER(SEARCH(kxBuscar,'05_PRODUCTOS'!$L494)))),ROW()-7,""))</f>
        <v/>
      </c>
      <c r="P494" s="84" t="str">
        <f>IFERROR(INDEX('05_PRODUCTOS'!$L$8:$L$507,SMALL($O$8:$O$507,ROW()-7)),"")</f>
        <v/>
      </c>
    </row>
    <row r="495" spans="3:16" x14ac:dyDescent="0.25">
      <c r="C495" s="84" t="str">
        <f>IF(AND('05_PRODUCTOS'!$B495&lt;&gt;"",'05_PRODUCTOS'!$C495&lt;&gt;"",'05_PRODUCTOS'!$K495&lt;&gt;"NO",ISNUMBER(MATCH('05_PRODUCTOS'!$D495,lstCategorias,0))),'05_PRODUCTOS'!$D495,"")</f>
        <v/>
      </c>
      <c r="D495" s="84" t="str">
        <f>IF($C495="","",'05_PRODUCTOS'!$L495)</f>
        <v/>
      </c>
      <c r="E495" s="84" t="str">
        <f t="shared" si="31"/>
        <v/>
      </c>
      <c r="G495" s="85">
        <v>488</v>
      </c>
      <c r="H495" s="84" t="str">
        <f t="shared" si="32"/>
        <v/>
      </c>
      <c r="I495" s="84" t="str">
        <f t="shared" si="33"/>
        <v/>
      </c>
      <c r="J495" s="84" t="str">
        <f t="shared" si="34"/>
        <v/>
      </c>
      <c r="O495" s="84" t="str">
        <f>IF('05_PRODUCTOS'!$L495="","",IF(AND(OR(kxCategoria="",'05_PRODUCTOS'!$D495=kxCategoria),OR(kxBuscar="",ISNUMBER(SEARCH(kxBuscar,'05_PRODUCTOS'!$L495)))),ROW()-7,""))</f>
        <v/>
      </c>
      <c r="P495" s="84" t="str">
        <f>IFERROR(INDEX('05_PRODUCTOS'!$L$8:$L$507,SMALL($O$8:$O$507,ROW()-7)),"")</f>
        <v/>
      </c>
    </row>
    <row r="496" spans="3:16" x14ac:dyDescent="0.25">
      <c r="C496" s="84" t="str">
        <f>IF(AND('05_PRODUCTOS'!$B496&lt;&gt;"",'05_PRODUCTOS'!$C496&lt;&gt;"",'05_PRODUCTOS'!$K496&lt;&gt;"NO",ISNUMBER(MATCH('05_PRODUCTOS'!$D496,lstCategorias,0))),'05_PRODUCTOS'!$D496,"")</f>
        <v/>
      </c>
      <c r="D496" s="84" t="str">
        <f>IF($C496="","",'05_PRODUCTOS'!$L496)</f>
        <v/>
      </c>
      <c r="E496" s="84" t="str">
        <f t="shared" si="31"/>
        <v/>
      </c>
      <c r="G496" s="85">
        <v>489</v>
      </c>
      <c r="H496" s="84" t="str">
        <f t="shared" si="32"/>
        <v/>
      </c>
      <c r="I496" s="84" t="str">
        <f t="shared" si="33"/>
        <v/>
      </c>
      <c r="J496" s="84" t="str">
        <f t="shared" si="34"/>
        <v/>
      </c>
      <c r="O496" s="84" t="str">
        <f>IF('05_PRODUCTOS'!$L496="","",IF(AND(OR(kxCategoria="",'05_PRODUCTOS'!$D496=kxCategoria),OR(kxBuscar="",ISNUMBER(SEARCH(kxBuscar,'05_PRODUCTOS'!$L496)))),ROW()-7,""))</f>
        <v/>
      </c>
      <c r="P496" s="84" t="str">
        <f>IFERROR(INDEX('05_PRODUCTOS'!$L$8:$L$507,SMALL($O$8:$O$507,ROW()-7)),"")</f>
        <v/>
      </c>
    </row>
    <row r="497" spans="3:16" x14ac:dyDescent="0.25">
      <c r="C497" s="84" t="str">
        <f>IF(AND('05_PRODUCTOS'!$B497&lt;&gt;"",'05_PRODUCTOS'!$C497&lt;&gt;"",'05_PRODUCTOS'!$K497&lt;&gt;"NO",ISNUMBER(MATCH('05_PRODUCTOS'!$D497,lstCategorias,0))),'05_PRODUCTOS'!$D497,"")</f>
        <v/>
      </c>
      <c r="D497" s="84" t="str">
        <f>IF($C497="","",'05_PRODUCTOS'!$L497)</f>
        <v/>
      </c>
      <c r="E497" s="84" t="str">
        <f t="shared" si="31"/>
        <v/>
      </c>
      <c r="G497" s="85">
        <v>490</v>
      </c>
      <c r="H497" s="84" t="str">
        <f t="shared" si="32"/>
        <v/>
      </c>
      <c r="I497" s="84" t="str">
        <f t="shared" si="33"/>
        <v/>
      </c>
      <c r="J497" s="84" t="str">
        <f t="shared" si="34"/>
        <v/>
      </c>
      <c r="O497" s="84" t="str">
        <f>IF('05_PRODUCTOS'!$L497="","",IF(AND(OR(kxCategoria="",'05_PRODUCTOS'!$D497=kxCategoria),OR(kxBuscar="",ISNUMBER(SEARCH(kxBuscar,'05_PRODUCTOS'!$L497)))),ROW()-7,""))</f>
        <v/>
      </c>
      <c r="P497" s="84" t="str">
        <f>IFERROR(INDEX('05_PRODUCTOS'!$L$8:$L$507,SMALL($O$8:$O$507,ROW()-7)),"")</f>
        <v/>
      </c>
    </row>
    <row r="498" spans="3:16" x14ac:dyDescent="0.25">
      <c r="C498" s="84" t="str">
        <f>IF(AND('05_PRODUCTOS'!$B498&lt;&gt;"",'05_PRODUCTOS'!$C498&lt;&gt;"",'05_PRODUCTOS'!$K498&lt;&gt;"NO",ISNUMBER(MATCH('05_PRODUCTOS'!$D498,lstCategorias,0))),'05_PRODUCTOS'!$D498,"")</f>
        <v/>
      </c>
      <c r="D498" s="84" t="str">
        <f>IF($C498="","",'05_PRODUCTOS'!$L498)</f>
        <v/>
      </c>
      <c r="E498" s="84" t="str">
        <f t="shared" si="31"/>
        <v/>
      </c>
      <c r="G498" s="85">
        <v>491</v>
      </c>
      <c r="H498" s="84" t="str">
        <f t="shared" si="32"/>
        <v/>
      </c>
      <c r="I498" s="84" t="str">
        <f t="shared" si="33"/>
        <v/>
      </c>
      <c r="J498" s="84" t="str">
        <f t="shared" si="34"/>
        <v/>
      </c>
      <c r="O498" s="84" t="str">
        <f>IF('05_PRODUCTOS'!$L498="","",IF(AND(OR(kxCategoria="",'05_PRODUCTOS'!$D498=kxCategoria),OR(kxBuscar="",ISNUMBER(SEARCH(kxBuscar,'05_PRODUCTOS'!$L498)))),ROW()-7,""))</f>
        <v/>
      </c>
      <c r="P498" s="84" t="str">
        <f>IFERROR(INDEX('05_PRODUCTOS'!$L$8:$L$507,SMALL($O$8:$O$507,ROW()-7)),"")</f>
        <v/>
      </c>
    </row>
    <row r="499" spans="3:16" x14ac:dyDescent="0.25">
      <c r="C499" s="84" t="str">
        <f>IF(AND('05_PRODUCTOS'!$B499&lt;&gt;"",'05_PRODUCTOS'!$C499&lt;&gt;"",'05_PRODUCTOS'!$K499&lt;&gt;"NO",ISNUMBER(MATCH('05_PRODUCTOS'!$D499,lstCategorias,0))),'05_PRODUCTOS'!$D499,"")</f>
        <v/>
      </c>
      <c r="D499" s="84" t="str">
        <f>IF($C499="","",'05_PRODUCTOS'!$L499)</f>
        <v/>
      </c>
      <c r="E499" s="84" t="str">
        <f t="shared" si="31"/>
        <v/>
      </c>
      <c r="G499" s="85">
        <v>492</v>
      </c>
      <c r="H499" s="84" t="str">
        <f t="shared" si="32"/>
        <v/>
      </c>
      <c r="I499" s="84" t="str">
        <f t="shared" si="33"/>
        <v/>
      </c>
      <c r="J499" s="84" t="str">
        <f t="shared" si="34"/>
        <v/>
      </c>
      <c r="O499" s="84" t="str">
        <f>IF('05_PRODUCTOS'!$L499="","",IF(AND(OR(kxCategoria="",'05_PRODUCTOS'!$D499=kxCategoria),OR(kxBuscar="",ISNUMBER(SEARCH(kxBuscar,'05_PRODUCTOS'!$L499)))),ROW()-7,""))</f>
        <v/>
      </c>
      <c r="P499" s="84" t="str">
        <f>IFERROR(INDEX('05_PRODUCTOS'!$L$8:$L$507,SMALL($O$8:$O$507,ROW()-7)),"")</f>
        <v/>
      </c>
    </row>
    <row r="500" spans="3:16" x14ac:dyDescent="0.25">
      <c r="C500" s="84" t="str">
        <f>IF(AND('05_PRODUCTOS'!$B500&lt;&gt;"",'05_PRODUCTOS'!$C500&lt;&gt;"",'05_PRODUCTOS'!$K500&lt;&gt;"NO",ISNUMBER(MATCH('05_PRODUCTOS'!$D500,lstCategorias,0))),'05_PRODUCTOS'!$D500,"")</f>
        <v/>
      </c>
      <c r="D500" s="84" t="str">
        <f>IF($C500="","",'05_PRODUCTOS'!$L500)</f>
        <v/>
      </c>
      <c r="E500" s="84" t="str">
        <f t="shared" si="31"/>
        <v/>
      </c>
      <c r="G500" s="85">
        <v>493</v>
      </c>
      <c r="H500" s="84" t="str">
        <f t="shared" si="32"/>
        <v/>
      </c>
      <c r="I500" s="84" t="str">
        <f t="shared" si="33"/>
        <v/>
      </c>
      <c r="J500" s="84" t="str">
        <f t="shared" si="34"/>
        <v/>
      </c>
      <c r="O500" s="84" t="str">
        <f>IF('05_PRODUCTOS'!$L500="","",IF(AND(OR(kxCategoria="",'05_PRODUCTOS'!$D500=kxCategoria),OR(kxBuscar="",ISNUMBER(SEARCH(kxBuscar,'05_PRODUCTOS'!$L500)))),ROW()-7,""))</f>
        <v/>
      </c>
      <c r="P500" s="84" t="str">
        <f>IFERROR(INDEX('05_PRODUCTOS'!$L$8:$L$507,SMALL($O$8:$O$507,ROW()-7)),"")</f>
        <v/>
      </c>
    </row>
    <row r="501" spans="3:16" x14ac:dyDescent="0.25">
      <c r="C501" s="84" t="str">
        <f>IF(AND('05_PRODUCTOS'!$B501&lt;&gt;"",'05_PRODUCTOS'!$C501&lt;&gt;"",'05_PRODUCTOS'!$K501&lt;&gt;"NO",ISNUMBER(MATCH('05_PRODUCTOS'!$D501,lstCategorias,0))),'05_PRODUCTOS'!$D501,"")</f>
        <v/>
      </c>
      <c r="D501" s="84" t="str">
        <f>IF($C501="","",'05_PRODUCTOS'!$L501)</f>
        <v/>
      </c>
      <c r="E501" s="84" t="str">
        <f t="shared" si="31"/>
        <v/>
      </c>
      <c r="G501" s="85">
        <v>494</v>
      </c>
      <c r="H501" s="84" t="str">
        <f t="shared" si="32"/>
        <v/>
      </c>
      <c r="I501" s="84" t="str">
        <f t="shared" si="33"/>
        <v/>
      </c>
      <c r="J501" s="84" t="str">
        <f t="shared" si="34"/>
        <v/>
      </c>
      <c r="O501" s="84" t="str">
        <f>IF('05_PRODUCTOS'!$L501="","",IF(AND(OR(kxCategoria="",'05_PRODUCTOS'!$D501=kxCategoria),OR(kxBuscar="",ISNUMBER(SEARCH(kxBuscar,'05_PRODUCTOS'!$L501)))),ROW()-7,""))</f>
        <v/>
      </c>
      <c r="P501" s="84" t="str">
        <f>IFERROR(INDEX('05_PRODUCTOS'!$L$8:$L$507,SMALL($O$8:$O$507,ROW()-7)),"")</f>
        <v/>
      </c>
    </row>
    <row r="502" spans="3:16" x14ac:dyDescent="0.25">
      <c r="C502" s="84" t="str">
        <f>IF(AND('05_PRODUCTOS'!$B502&lt;&gt;"",'05_PRODUCTOS'!$C502&lt;&gt;"",'05_PRODUCTOS'!$K502&lt;&gt;"NO",ISNUMBER(MATCH('05_PRODUCTOS'!$D502,lstCategorias,0))),'05_PRODUCTOS'!$D502,"")</f>
        <v/>
      </c>
      <c r="D502" s="84" t="str">
        <f>IF($C502="","",'05_PRODUCTOS'!$L502)</f>
        <v/>
      </c>
      <c r="E502" s="84" t="str">
        <f t="shared" si="31"/>
        <v/>
      </c>
      <c r="G502" s="85">
        <v>495</v>
      </c>
      <c r="H502" s="84" t="str">
        <f t="shared" si="32"/>
        <v/>
      </c>
      <c r="I502" s="84" t="str">
        <f t="shared" si="33"/>
        <v/>
      </c>
      <c r="J502" s="84" t="str">
        <f t="shared" si="34"/>
        <v/>
      </c>
      <c r="O502" s="84" t="str">
        <f>IF('05_PRODUCTOS'!$L502="","",IF(AND(OR(kxCategoria="",'05_PRODUCTOS'!$D502=kxCategoria),OR(kxBuscar="",ISNUMBER(SEARCH(kxBuscar,'05_PRODUCTOS'!$L502)))),ROW()-7,""))</f>
        <v/>
      </c>
      <c r="P502" s="84" t="str">
        <f>IFERROR(INDEX('05_PRODUCTOS'!$L$8:$L$507,SMALL($O$8:$O$507,ROW()-7)),"")</f>
        <v/>
      </c>
    </row>
    <row r="503" spans="3:16" x14ac:dyDescent="0.25">
      <c r="C503" s="84" t="str">
        <f>IF(AND('05_PRODUCTOS'!$B503&lt;&gt;"",'05_PRODUCTOS'!$C503&lt;&gt;"",'05_PRODUCTOS'!$K503&lt;&gt;"NO",ISNUMBER(MATCH('05_PRODUCTOS'!$D503,lstCategorias,0))),'05_PRODUCTOS'!$D503,"")</f>
        <v/>
      </c>
      <c r="D503" s="84" t="str">
        <f>IF($C503="","",'05_PRODUCTOS'!$L503)</f>
        <v/>
      </c>
      <c r="E503" s="84" t="str">
        <f t="shared" si="31"/>
        <v/>
      </c>
      <c r="G503" s="85">
        <v>496</v>
      </c>
      <c r="H503" s="84" t="str">
        <f t="shared" si="32"/>
        <v/>
      </c>
      <c r="I503" s="84" t="str">
        <f t="shared" si="33"/>
        <v/>
      </c>
      <c r="J503" s="84" t="str">
        <f t="shared" si="34"/>
        <v/>
      </c>
      <c r="O503" s="84" t="str">
        <f>IF('05_PRODUCTOS'!$L503="","",IF(AND(OR(kxCategoria="",'05_PRODUCTOS'!$D503=kxCategoria),OR(kxBuscar="",ISNUMBER(SEARCH(kxBuscar,'05_PRODUCTOS'!$L503)))),ROW()-7,""))</f>
        <v/>
      </c>
      <c r="P503" s="84" t="str">
        <f>IFERROR(INDEX('05_PRODUCTOS'!$L$8:$L$507,SMALL($O$8:$O$507,ROW()-7)),"")</f>
        <v/>
      </c>
    </row>
    <row r="504" spans="3:16" x14ac:dyDescent="0.25">
      <c r="C504" s="84" t="str">
        <f>IF(AND('05_PRODUCTOS'!$B504&lt;&gt;"",'05_PRODUCTOS'!$C504&lt;&gt;"",'05_PRODUCTOS'!$K504&lt;&gt;"NO",ISNUMBER(MATCH('05_PRODUCTOS'!$D504,lstCategorias,0))),'05_PRODUCTOS'!$D504,"")</f>
        <v/>
      </c>
      <c r="D504" s="84" t="str">
        <f>IF($C504="","",'05_PRODUCTOS'!$L504)</f>
        <v/>
      </c>
      <c r="E504" s="84" t="str">
        <f t="shared" si="31"/>
        <v/>
      </c>
      <c r="G504" s="85">
        <v>497</v>
      </c>
      <c r="H504" s="84" t="str">
        <f t="shared" si="32"/>
        <v/>
      </c>
      <c r="I504" s="84" t="str">
        <f t="shared" si="33"/>
        <v/>
      </c>
      <c r="J504" s="84" t="str">
        <f t="shared" si="34"/>
        <v/>
      </c>
      <c r="O504" s="84" t="str">
        <f>IF('05_PRODUCTOS'!$L504="","",IF(AND(OR(kxCategoria="",'05_PRODUCTOS'!$D504=kxCategoria),OR(kxBuscar="",ISNUMBER(SEARCH(kxBuscar,'05_PRODUCTOS'!$L504)))),ROW()-7,""))</f>
        <v/>
      </c>
      <c r="P504" s="84" t="str">
        <f>IFERROR(INDEX('05_PRODUCTOS'!$L$8:$L$507,SMALL($O$8:$O$507,ROW()-7)),"")</f>
        <v/>
      </c>
    </row>
    <row r="505" spans="3:16" x14ac:dyDescent="0.25">
      <c r="C505" s="84" t="str">
        <f>IF(AND('05_PRODUCTOS'!$B505&lt;&gt;"",'05_PRODUCTOS'!$C505&lt;&gt;"",'05_PRODUCTOS'!$K505&lt;&gt;"NO",ISNUMBER(MATCH('05_PRODUCTOS'!$D505,lstCategorias,0))),'05_PRODUCTOS'!$D505,"")</f>
        <v/>
      </c>
      <c r="D505" s="84" t="str">
        <f>IF($C505="","",'05_PRODUCTOS'!$L505)</f>
        <v/>
      </c>
      <c r="E505" s="84" t="str">
        <f t="shared" si="31"/>
        <v/>
      </c>
      <c r="G505" s="85">
        <v>498</v>
      </c>
      <c r="H505" s="84" t="str">
        <f t="shared" si="32"/>
        <v/>
      </c>
      <c r="I505" s="84" t="str">
        <f t="shared" si="33"/>
        <v/>
      </c>
      <c r="J505" s="84" t="str">
        <f t="shared" si="34"/>
        <v/>
      </c>
      <c r="O505" s="84" t="str">
        <f>IF('05_PRODUCTOS'!$L505="","",IF(AND(OR(kxCategoria="",'05_PRODUCTOS'!$D505=kxCategoria),OR(kxBuscar="",ISNUMBER(SEARCH(kxBuscar,'05_PRODUCTOS'!$L505)))),ROW()-7,""))</f>
        <v/>
      </c>
      <c r="P505" s="84" t="str">
        <f>IFERROR(INDEX('05_PRODUCTOS'!$L$8:$L$507,SMALL($O$8:$O$507,ROW()-7)),"")</f>
        <v/>
      </c>
    </row>
    <row r="506" spans="3:16" x14ac:dyDescent="0.25">
      <c r="C506" s="84" t="str">
        <f>IF(AND('05_PRODUCTOS'!$B506&lt;&gt;"",'05_PRODUCTOS'!$C506&lt;&gt;"",'05_PRODUCTOS'!$K506&lt;&gt;"NO",ISNUMBER(MATCH('05_PRODUCTOS'!$D506,lstCategorias,0))),'05_PRODUCTOS'!$D506,"")</f>
        <v/>
      </c>
      <c r="D506" s="84" t="str">
        <f>IF($C506="","",'05_PRODUCTOS'!$L506)</f>
        <v/>
      </c>
      <c r="E506" s="84" t="str">
        <f t="shared" si="31"/>
        <v/>
      </c>
      <c r="G506" s="85">
        <v>499</v>
      </c>
      <c r="H506" s="84" t="str">
        <f t="shared" si="32"/>
        <v/>
      </c>
      <c r="I506" s="84" t="str">
        <f t="shared" si="33"/>
        <v/>
      </c>
      <c r="J506" s="84" t="str">
        <f t="shared" si="34"/>
        <v/>
      </c>
      <c r="O506" s="84" t="str">
        <f>IF('05_PRODUCTOS'!$L506="","",IF(AND(OR(kxCategoria="",'05_PRODUCTOS'!$D506=kxCategoria),OR(kxBuscar="",ISNUMBER(SEARCH(kxBuscar,'05_PRODUCTOS'!$L506)))),ROW()-7,""))</f>
        <v/>
      </c>
      <c r="P506" s="84" t="str">
        <f>IFERROR(INDEX('05_PRODUCTOS'!$L$8:$L$507,SMALL($O$8:$O$507,ROW()-7)),"")</f>
        <v/>
      </c>
    </row>
    <row r="507" spans="3:16" x14ac:dyDescent="0.25">
      <c r="C507" s="84" t="str">
        <f>IF(AND('05_PRODUCTOS'!$B507&lt;&gt;"",'05_PRODUCTOS'!$C507&lt;&gt;"",'05_PRODUCTOS'!$K507&lt;&gt;"NO",ISNUMBER(MATCH('05_PRODUCTOS'!$D507,lstCategorias,0))),'05_PRODUCTOS'!$D507,"")</f>
        <v/>
      </c>
      <c r="D507" s="84" t="str">
        <f>IF($C507="","",'05_PRODUCTOS'!$L507)</f>
        <v/>
      </c>
      <c r="E507" s="84" t="str">
        <f t="shared" si="31"/>
        <v/>
      </c>
      <c r="G507" s="85">
        <v>500</v>
      </c>
      <c r="H507" s="84" t="str">
        <f t="shared" si="32"/>
        <v/>
      </c>
      <c r="I507" s="84" t="str">
        <f t="shared" si="33"/>
        <v/>
      </c>
      <c r="J507" s="84" t="str">
        <f t="shared" si="34"/>
        <v/>
      </c>
      <c r="O507" s="84" t="str">
        <f>IF('05_PRODUCTOS'!$L507="","",IF(AND(OR(kxCategoria="",'05_PRODUCTOS'!$D507=kxCategoria),OR(kxBuscar="",ISNUMBER(SEARCH(kxBuscar,'05_PRODUCTOS'!$L507)))),ROW()-7,""))</f>
        <v/>
      </c>
      <c r="P507" s="84" t="str">
        <f>IFERROR(INDEX('05_PRODUCTOS'!$L$8:$L$507,SMALL($O$8:$O$507,ROW()-7)),"")</f>
        <v/>
      </c>
    </row>
  </sheetData>
  <sheetProtection password="930D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4A3B8"/>
  </sheetPr>
  <dimension ref="B1:X507"/>
  <sheetViews>
    <sheetView showGridLines="0" workbookViewId="0"/>
  </sheetViews>
  <sheetFormatPr baseColWidth="10" defaultColWidth="9.140625" defaultRowHeight="15" x14ac:dyDescent="0.25"/>
  <cols>
    <col min="1" max="1" width="3.42578125" customWidth="1"/>
    <col min="2" max="2" width="32.85546875" customWidth="1"/>
    <col min="3" max="3" width="21.42578125" customWidth="1"/>
    <col min="4" max="4" width="37.140625" customWidth="1"/>
    <col min="5" max="5" width="3.42578125" customWidth="1"/>
    <col min="6" max="6" width="15.7109375" customWidth="1"/>
    <col min="7" max="8" width="12.85546875" customWidth="1"/>
    <col min="9" max="9" width="21.42578125" customWidth="1"/>
    <col min="10" max="11" width="15.7109375" customWidth="1"/>
    <col min="12" max="14" width="21.42578125" customWidth="1"/>
    <col min="15" max="15" width="8.5703125" customWidth="1"/>
    <col min="16" max="16" width="21.42578125" customWidth="1"/>
    <col min="17" max="17" width="10" customWidth="1"/>
    <col min="18" max="18" width="8.5703125" customWidth="1"/>
    <col min="19" max="19" width="21.42578125" customWidth="1"/>
    <col min="20" max="20" width="10" customWidth="1"/>
    <col min="21" max="21" width="3.42578125" customWidth="1"/>
    <col min="22" max="22" width="7.140625" customWidth="1"/>
    <col min="23" max="24" width="15.7109375" customWidth="1"/>
    <col min="25" max="25" width="3.42578125" customWidth="1"/>
  </cols>
  <sheetData>
    <row r="1" spans="2:24" s="1" customFormat="1" ht="6" customHeight="1" x14ac:dyDescent="0.25"/>
    <row r="2" spans="2:24" s="1" customFormat="1" ht="24" customHeight="1" x14ac:dyDescent="0.25">
      <c r="B2" s="12" t="s">
        <v>239</v>
      </c>
    </row>
    <row r="3" spans="2:24" s="1" customFormat="1" ht="14.25" x14ac:dyDescent="0.25">
      <c r="B3" s="13" t="s">
        <v>240</v>
      </c>
    </row>
    <row r="4" spans="2:24" s="1" customFormat="1" ht="7.5" customHeight="1" x14ac:dyDescent="0.25"/>
    <row r="5" spans="2:24" s="4" customFormat="1" ht="18" customHeight="1" x14ac:dyDescent="0.25">
      <c r="B5" s="14" t="s">
        <v>241</v>
      </c>
      <c r="F5" s="14" t="s">
        <v>242</v>
      </c>
      <c r="L5" s="14" t="s">
        <v>246</v>
      </c>
      <c r="O5" s="14" t="s">
        <v>247</v>
      </c>
      <c r="R5" s="14" t="s">
        <v>248</v>
      </c>
      <c r="V5" s="14" t="s">
        <v>249</v>
      </c>
    </row>
    <row r="6" spans="2:24" s="4" customFormat="1" ht="12" customHeight="1" x14ac:dyDescent="0.25"/>
    <row r="7" spans="2:24" x14ac:dyDescent="0.25">
      <c r="B7" s="15" t="s">
        <v>250</v>
      </c>
      <c r="C7" s="15" t="s">
        <v>4</v>
      </c>
      <c r="D7" s="15" t="s">
        <v>251</v>
      </c>
      <c r="F7" s="15" t="s">
        <v>417</v>
      </c>
      <c r="G7" s="15" t="s">
        <v>418</v>
      </c>
      <c r="H7" s="15" t="s">
        <v>419</v>
      </c>
      <c r="I7" s="15" t="s">
        <v>420</v>
      </c>
      <c r="L7" s="15" t="s">
        <v>435</v>
      </c>
      <c r="M7" s="15" t="s">
        <v>436</v>
      </c>
      <c r="N7" s="15" t="s">
        <v>437</v>
      </c>
      <c r="O7" s="15" t="s">
        <v>226</v>
      </c>
      <c r="P7" s="15" t="s">
        <v>438</v>
      </c>
      <c r="Q7" s="15" t="s">
        <v>439</v>
      </c>
      <c r="R7" s="15" t="s">
        <v>226</v>
      </c>
      <c r="S7" s="15" t="s">
        <v>438</v>
      </c>
      <c r="T7" s="15" t="s">
        <v>439</v>
      </c>
      <c r="V7" s="15" t="s">
        <v>440</v>
      </c>
      <c r="W7" s="15" t="s">
        <v>164</v>
      </c>
      <c r="X7" s="15" t="s">
        <v>167</v>
      </c>
    </row>
    <row r="8" spans="2:24" x14ac:dyDescent="0.25">
      <c r="B8" s="87" t="s">
        <v>252</v>
      </c>
      <c r="C8" s="88">
        <f>COUNTIF(tblStock[SKU],"?*")</f>
        <v>0</v>
      </c>
      <c r="D8" s="89" t="s">
        <v>253</v>
      </c>
      <c r="F8" s="90">
        <f ca="1">DATE(YEAR(TODAY()),MONTH(TODAY())-5,1)</f>
        <v>46113</v>
      </c>
      <c r="G8" s="84" t="str">
        <f t="shared" ref="G8:G13" ca="1" si="0">CHOOSE(MONTH(F8),"Ene","Feb","Mar","Abr","May","Jun","Jul","Ago","Sep","Oct","Nov","Dic")&amp;" "&amp;RIGHT(YEAR(F8),2)</f>
        <v>Abr 26</v>
      </c>
      <c r="H8" s="88">
        <f ca="1">COUNTIFS(tblMovimientos[Fecha],"&gt;="&amp;F8,tblMovimientos[Fecha],"&lt;"&amp;DATE(YEAR(F8),MONTH(F8)+1,1),tblMovimientos[FactorStock],1,tblMovimientos[Tipo],"&lt;&gt;SALDO INICIAL")</f>
        <v>0</v>
      </c>
      <c r="I8" s="88">
        <f ca="1">COUNTIFS(tblMovimientos[Fecha],"&gt;="&amp;F8,tblMovimientos[Fecha],"&lt;"&amp;DATE(YEAR(F8),MONTH(F8)+1,1),tblMovimientos[FactorStock],-1)</f>
        <v>0</v>
      </c>
      <c r="L8" s="91" t="str">
        <f>IF(AND(ISNUMBER('15_STOCK'!$P8),'15_STOCK'!$P8&gt;0),'15_STOCK'!$P8+ROW()/1000000,"")</f>
        <v/>
      </c>
      <c r="M8" s="91" t="str">
        <f>IFERROR(MATCH('15_STOCK'!$N8,{"INCONSISTENTE","AGOTADO","CRÍTICO","BAJO","SOBRESTOCK"},0)*100000+MIN(99,INT(IF(N('15_STOCK'!$K8)&gt;0,MAX(0,N('15_STOCK'!$J8))/'15_STOCK'!$K8,0)*10))*1000+ROW(),"")</f>
        <v/>
      </c>
      <c r="N8" s="91" t="str">
        <f>IF(AND(ISNUMBER(MATCH('15_STOCK'!$N8,{"AGOTADO","CRÍTICO","BAJO"},0)),'15_STOCK'!$G8="SI",OR(pdProveedor="(Todos)",pdProveedor="",'15_STOCK'!$E8=pdProveedor)),IFERROR(MATCH('15_STOCK'!$E8,tblProveedores[Proveedor],0),999)*1000000+MATCH('15_STOCK'!$N8,{"AGOTADO","CRÍTICO","BAJO"},0)*10000+ROW(),"")</f>
        <v/>
      </c>
      <c r="O8" s="92">
        <v>1</v>
      </c>
      <c r="P8" s="91" t="str">
        <f t="shared" ref="P8:P71" si="1">IFERROR(SMALL($M$8:$M$507,O8),"")</f>
        <v/>
      </c>
      <c r="Q8" s="91" t="str">
        <f t="shared" ref="Q8:Q71" si="2">IF(P8="","",MATCH(P8,$M$8:$M$507,0))</f>
        <v/>
      </c>
      <c r="R8" s="92">
        <v>1</v>
      </c>
      <c r="S8" s="91" t="str">
        <f t="shared" ref="S8:S71" si="3">IFERROR(SMALL($N$8:$N$507,R8),"")</f>
        <v/>
      </c>
      <c r="T8" s="91" t="str">
        <f t="shared" ref="T8:T71" si="4">IF(S8="","",MATCH(S8,$N$8:$N$507,0))</f>
        <v/>
      </c>
      <c r="V8" s="92">
        <v>1</v>
      </c>
      <c r="W8" s="93" t="e">
        <f>IF(1&gt;kxMostrados,NA(),INDEX('17_KARDEX'!$C$22:$C$121,kxMostrados-1+1))</f>
        <v>#N/A</v>
      </c>
      <c r="X8" s="91" t="e">
        <f>IF(1&gt;kxMostrados,NA(),INDEX('17_KARDEX'!$G$22:$G$121,kxMostrados-1+1))</f>
        <v>#N/A</v>
      </c>
    </row>
    <row r="9" spans="2:24" x14ac:dyDescent="0.25">
      <c r="B9" s="87" t="s">
        <v>254</v>
      </c>
      <c r="C9" s="88">
        <f>COUNTIFS(tblStock[SKU],"?*",tblStock[Activo],"SI")</f>
        <v>0</v>
      </c>
      <c r="D9" s="89" t="s">
        <v>255</v>
      </c>
      <c r="F9" s="90">
        <f ca="1">DATE(YEAR(F8),MONTH(F8)+1,1)</f>
        <v>46143</v>
      </c>
      <c r="G9" s="84" t="str">
        <f t="shared" ca="1" si="0"/>
        <v>May 26</v>
      </c>
      <c r="H9" s="88">
        <f ca="1">COUNTIFS(tblMovimientos[Fecha],"&gt;="&amp;F9,tblMovimientos[Fecha],"&lt;"&amp;DATE(YEAR(F9),MONTH(F9)+1,1),tblMovimientos[FactorStock],1,tblMovimientos[Tipo],"&lt;&gt;SALDO INICIAL")</f>
        <v>0</v>
      </c>
      <c r="I9" s="88">
        <f ca="1">COUNTIFS(tblMovimientos[Fecha],"&gt;="&amp;F9,tblMovimientos[Fecha],"&lt;"&amp;DATE(YEAR(F9),MONTH(F9)+1,1),tblMovimientos[FactorStock],-1)</f>
        <v>0</v>
      </c>
      <c r="L9" s="91" t="str">
        <f>IF(AND(ISNUMBER('15_STOCK'!$P9),'15_STOCK'!$P9&gt;0),'15_STOCK'!$P9+ROW()/1000000,"")</f>
        <v/>
      </c>
      <c r="M9" s="91" t="str">
        <f>IFERROR(MATCH('15_STOCK'!$N9,{"INCONSISTENTE","AGOTADO","CRÍTICO","BAJO","SOBRESTOCK"},0)*100000+MIN(99,INT(IF(N('15_STOCK'!$K9)&gt;0,MAX(0,N('15_STOCK'!$J9))/'15_STOCK'!$K9,0)*10))*1000+ROW(),"")</f>
        <v/>
      </c>
      <c r="N9" s="91" t="str">
        <f>IF(AND(ISNUMBER(MATCH('15_STOCK'!$N9,{"AGOTADO","CRÍTICO","BAJO"},0)),'15_STOCK'!$G9="SI",OR(pdProveedor="(Todos)",pdProveedor="",'15_STOCK'!$E9=pdProveedor)),IFERROR(MATCH('15_STOCK'!$E9,tblProveedores[Proveedor],0),999)*1000000+MATCH('15_STOCK'!$N9,{"AGOTADO","CRÍTICO","BAJO"},0)*10000+ROW(),"")</f>
        <v/>
      </c>
      <c r="O9" s="92">
        <v>2</v>
      </c>
      <c r="P9" s="91" t="str">
        <f t="shared" si="1"/>
        <v/>
      </c>
      <c r="Q9" s="91" t="str">
        <f t="shared" si="2"/>
        <v/>
      </c>
      <c r="R9" s="92">
        <v>2</v>
      </c>
      <c r="S9" s="91" t="str">
        <f t="shared" si="3"/>
        <v/>
      </c>
      <c r="T9" s="91" t="str">
        <f t="shared" si="4"/>
        <v/>
      </c>
      <c r="V9" s="92">
        <v>2</v>
      </c>
      <c r="W9" s="93" t="e">
        <f>IF(2&gt;kxMostrados,NA(),INDEX('17_KARDEX'!$C$22:$C$121,kxMostrados-2+1))</f>
        <v>#N/A</v>
      </c>
      <c r="X9" s="91" t="e">
        <f>IF(2&gt;kxMostrados,NA(),INDEX('17_KARDEX'!$G$22:$G$121,kxMostrados-2+1))</f>
        <v>#N/A</v>
      </c>
    </row>
    <row r="10" spans="2:24" x14ac:dyDescent="0.25">
      <c r="B10" s="87" t="s">
        <v>256</v>
      </c>
      <c r="C10" s="88">
        <f>COUNTIF(tblStock[Estado],"INCONSISTENTE")</f>
        <v>0</v>
      </c>
      <c r="D10" s="89" t="s">
        <v>257</v>
      </c>
      <c r="F10" s="90">
        <f ca="1">DATE(YEAR(F9),MONTH(F9)+1,1)</f>
        <v>46174</v>
      </c>
      <c r="G10" s="84" t="str">
        <f t="shared" ca="1" si="0"/>
        <v>Jun 26</v>
      </c>
      <c r="H10" s="88">
        <f ca="1">COUNTIFS(tblMovimientos[Fecha],"&gt;="&amp;F10,tblMovimientos[Fecha],"&lt;"&amp;DATE(YEAR(F10),MONTH(F10)+1,1),tblMovimientos[FactorStock],1,tblMovimientos[Tipo],"&lt;&gt;SALDO INICIAL")</f>
        <v>0</v>
      </c>
      <c r="I10" s="88">
        <f ca="1">COUNTIFS(tblMovimientos[Fecha],"&gt;="&amp;F10,tblMovimientos[Fecha],"&lt;"&amp;DATE(YEAR(F10),MONTH(F10)+1,1),tblMovimientos[FactorStock],-1)</f>
        <v>0</v>
      </c>
      <c r="L10" s="91" t="str">
        <f>IF(AND(ISNUMBER('15_STOCK'!$P10),'15_STOCK'!$P10&gt;0),'15_STOCK'!$P10+ROW()/1000000,"")</f>
        <v/>
      </c>
      <c r="M10" s="91" t="str">
        <f>IFERROR(MATCH('15_STOCK'!$N10,{"INCONSISTENTE","AGOTADO","CRÍTICO","BAJO","SOBRESTOCK"},0)*100000+MIN(99,INT(IF(N('15_STOCK'!$K10)&gt;0,MAX(0,N('15_STOCK'!$J10))/'15_STOCK'!$K10,0)*10))*1000+ROW(),"")</f>
        <v/>
      </c>
      <c r="N10" s="91" t="str">
        <f>IF(AND(ISNUMBER(MATCH('15_STOCK'!$N10,{"AGOTADO","CRÍTICO","BAJO"},0)),'15_STOCK'!$G10="SI",OR(pdProveedor="(Todos)",pdProveedor="",'15_STOCK'!$E10=pdProveedor)),IFERROR(MATCH('15_STOCK'!$E10,tblProveedores[Proveedor],0),999)*1000000+MATCH('15_STOCK'!$N10,{"AGOTADO","CRÍTICO","BAJO"},0)*10000+ROW(),"")</f>
        <v/>
      </c>
      <c r="O10" s="92">
        <v>3</v>
      </c>
      <c r="P10" s="91" t="str">
        <f t="shared" si="1"/>
        <v/>
      </c>
      <c r="Q10" s="91" t="str">
        <f t="shared" si="2"/>
        <v/>
      </c>
      <c r="R10" s="92">
        <v>3</v>
      </c>
      <c r="S10" s="91" t="str">
        <f t="shared" si="3"/>
        <v/>
      </c>
      <c r="T10" s="91" t="str">
        <f t="shared" si="4"/>
        <v/>
      </c>
      <c r="V10" s="92">
        <v>3</v>
      </c>
      <c r="W10" s="93" t="e">
        <f>IF(3&gt;kxMostrados,NA(),INDEX('17_KARDEX'!$C$22:$C$121,kxMostrados-3+1))</f>
        <v>#N/A</v>
      </c>
      <c r="X10" s="91" t="e">
        <f>IF(3&gt;kxMostrados,NA(),INDEX('17_KARDEX'!$G$22:$G$121,kxMostrados-3+1))</f>
        <v>#N/A</v>
      </c>
    </row>
    <row r="11" spans="2:24" x14ac:dyDescent="0.25">
      <c r="B11" s="87" t="s">
        <v>258</v>
      </c>
      <c r="C11" s="88">
        <f>COUNTIF(tblStock[Estado],"AGOTADO")</f>
        <v>0</v>
      </c>
      <c r="D11" s="89" t="s">
        <v>259</v>
      </c>
      <c r="F11" s="90">
        <f ca="1">DATE(YEAR(F10),MONTH(F10)+1,1)</f>
        <v>46204</v>
      </c>
      <c r="G11" s="84" t="str">
        <f t="shared" ca="1" si="0"/>
        <v>Jul 26</v>
      </c>
      <c r="H11" s="88">
        <f ca="1">COUNTIFS(tblMovimientos[Fecha],"&gt;="&amp;F11,tblMovimientos[Fecha],"&lt;"&amp;DATE(YEAR(F11),MONTH(F11)+1,1),tblMovimientos[FactorStock],1,tblMovimientos[Tipo],"&lt;&gt;SALDO INICIAL")</f>
        <v>0</v>
      </c>
      <c r="I11" s="88">
        <f ca="1">COUNTIFS(tblMovimientos[Fecha],"&gt;="&amp;F11,tblMovimientos[Fecha],"&lt;"&amp;DATE(YEAR(F11),MONTH(F11)+1,1),tblMovimientos[FactorStock],-1)</f>
        <v>0</v>
      </c>
      <c r="L11" s="91" t="str">
        <f>IF(AND(ISNUMBER('15_STOCK'!$P11),'15_STOCK'!$P11&gt;0),'15_STOCK'!$P11+ROW()/1000000,"")</f>
        <v/>
      </c>
      <c r="M11" s="91" t="str">
        <f>IFERROR(MATCH('15_STOCK'!$N11,{"INCONSISTENTE","AGOTADO","CRÍTICO","BAJO","SOBRESTOCK"},0)*100000+MIN(99,INT(IF(N('15_STOCK'!$K11)&gt;0,MAX(0,N('15_STOCK'!$J11))/'15_STOCK'!$K11,0)*10))*1000+ROW(),"")</f>
        <v/>
      </c>
      <c r="N11" s="91" t="str">
        <f>IF(AND(ISNUMBER(MATCH('15_STOCK'!$N11,{"AGOTADO","CRÍTICO","BAJO"},0)),'15_STOCK'!$G11="SI",OR(pdProveedor="(Todos)",pdProveedor="",'15_STOCK'!$E11=pdProveedor)),IFERROR(MATCH('15_STOCK'!$E11,tblProveedores[Proveedor],0),999)*1000000+MATCH('15_STOCK'!$N11,{"AGOTADO","CRÍTICO","BAJO"},0)*10000+ROW(),"")</f>
        <v/>
      </c>
      <c r="O11" s="92">
        <v>4</v>
      </c>
      <c r="P11" s="91" t="str">
        <f t="shared" si="1"/>
        <v/>
      </c>
      <c r="Q11" s="91" t="str">
        <f t="shared" si="2"/>
        <v/>
      </c>
      <c r="R11" s="92">
        <v>4</v>
      </c>
      <c r="S11" s="91" t="str">
        <f t="shared" si="3"/>
        <v/>
      </c>
      <c r="T11" s="91" t="str">
        <f t="shared" si="4"/>
        <v/>
      </c>
      <c r="V11" s="92">
        <v>4</v>
      </c>
      <c r="W11" s="93" t="e">
        <f>IF(4&gt;kxMostrados,NA(),INDEX('17_KARDEX'!$C$22:$C$121,kxMostrados-4+1))</f>
        <v>#N/A</v>
      </c>
      <c r="X11" s="91" t="e">
        <f>IF(4&gt;kxMostrados,NA(),INDEX('17_KARDEX'!$G$22:$G$121,kxMostrados-4+1))</f>
        <v>#N/A</v>
      </c>
    </row>
    <row r="12" spans="2:24" x14ac:dyDescent="0.25">
      <c r="B12" s="87" t="s">
        <v>260</v>
      </c>
      <c r="C12" s="88">
        <f>COUNTIF(tblStock[Estado],"CRÍTICO")</f>
        <v>0</v>
      </c>
      <c r="D12" s="89" t="s">
        <v>261</v>
      </c>
      <c r="F12" s="90">
        <f ca="1">DATE(YEAR(F11),MONTH(F11)+1,1)</f>
        <v>46235</v>
      </c>
      <c r="G12" s="84" t="str">
        <f t="shared" ca="1" si="0"/>
        <v>Ago 26</v>
      </c>
      <c r="H12" s="88">
        <f ca="1">COUNTIFS(tblMovimientos[Fecha],"&gt;="&amp;F12,tblMovimientos[Fecha],"&lt;"&amp;DATE(YEAR(F12),MONTH(F12)+1,1),tblMovimientos[FactorStock],1,tblMovimientos[Tipo],"&lt;&gt;SALDO INICIAL")</f>
        <v>0</v>
      </c>
      <c r="I12" s="88">
        <f ca="1">COUNTIFS(tblMovimientos[Fecha],"&gt;="&amp;F12,tblMovimientos[Fecha],"&lt;"&amp;DATE(YEAR(F12),MONTH(F12)+1,1),tblMovimientos[FactorStock],-1)</f>
        <v>0</v>
      </c>
      <c r="L12" s="91" t="str">
        <f>IF(AND(ISNUMBER('15_STOCK'!$P12),'15_STOCK'!$P12&gt;0),'15_STOCK'!$P12+ROW()/1000000,"")</f>
        <v/>
      </c>
      <c r="M12" s="91" t="str">
        <f>IFERROR(MATCH('15_STOCK'!$N12,{"INCONSISTENTE","AGOTADO","CRÍTICO","BAJO","SOBRESTOCK"},0)*100000+MIN(99,INT(IF(N('15_STOCK'!$K12)&gt;0,MAX(0,N('15_STOCK'!$J12))/'15_STOCK'!$K12,0)*10))*1000+ROW(),"")</f>
        <v/>
      </c>
      <c r="N12" s="91" t="str">
        <f>IF(AND(ISNUMBER(MATCH('15_STOCK'!$N12,{"AGOTADO","CRÍTICO","BAJO"},0)),'15_STOCK'!$G12="SI",OR(pdProveedor="(Todos)",pdProveedor="",'15_STOCK'!$E12=pdProveedor)),IFERROR(MATCH('15_STOCK'!$E12,tblProveedores[Proveedor],0),999)*1000000+MATCH('15_STOCK'!$N12,{"AGOTADO","CRÍTICO","BAJO"},0)*10000+ROW(),"")</f>
        <v/>
      </c>
      <c r="O12" s="92">
        <v>5</v>
      </c>
      <c r="P12" s="91" t="str">
        <f t="shared" si="1"/>
        <v/>
      </c>
      <c r="Q12" s="91" t="str">
        <f t="shared" si="2"/>
        <v/>
      </c>
      <c r="R12" s="92">
        <v>5</v>
      </c>
      <c r="S12" s="91" t="str">
        <f t="shared" si="3"/>
        <v/>
      </c>
      <c r="T12" s="91" t="str">
        <f t="shared" si="4"/>
        <v/>
      </c>
      <c r="V12" s="92">
        <v>5</v>
      </c>
      <c r="W12" s="93" t="e">
        <f>IF(5&gt;kxMostrados,NA(),INDEX('17_KARDEX'!$C$22:$C$121,kxMostrados-5+1))</f>
        <v>#N/A</v>
      </c>
      <c r="X12" s="91" t="e">
        <f>IF(5&gt;kxMostrados,NA(),INDEX('17_KARDEX'!$G$22:$G$121,kxMostrados-5+1))</f>
        <v>#N/A</v>
      </c>
    </row>
    <row r="13" spans="2:24" x14ac:dyDescent="0.25">
      <c r="B13" s="87" t="s">
        <v>262</v>
      </c>
      <c r="C13" s="88">
        <f>COUNTIF(tblStock[Estado],"BAJO")</f>
        <v>0</v>
      </c>
      <c r="D13" s="89" t="s">
        <v>263</v>
      </c>
      <c r="F13" s="90">
        <f ca="1">DATE(YEAR(F12),MONTH(F12)+1,1)</f>
        <v>46266</v>
      </c>
      <c r="G13" s="84" t="str">
        <f t="shared" ca="1" si="0"/>
        <v>Sep 26</v>
      </c>
      <c r="H13" s="88">
        <f ca="1">COUNTIFS(tblMovimientos[Fecha],"&gt;="&amp;F13,tblMovimientos[Fecha],"&lt;"&amp;DATE(YEAR(F13),MONTH(F13)+1,1),tblMovimientos[FactorStock],1,tblMovimientos[Tipo],"&lt;&gt;SALDO INICIAL")</f>
        <v>0</v>
      </c>
      <c r="I13" s="88">
        <f ca="1">COUNTIFS(tblMovimientos[Fecha],"&gt;="&amp;F13,tblMovimientos[Fecha],"&lt;"&amp;DATE(YEAR(F13),MONTH(F13)+1,1),tblMovimientos[FactorStock],-1)</f>
        <v>0</v>
      </c>
      <c r="L13" s="91" t="str">
        <f>IF(AND(ISNUMBER('15_STOCK'!$P13),'15_STOCK'!$P13&gt;0),'15_STOCK'!$P13+ROW()/1000000,"")</f>
        <v/>
      </c>
      <c r="M13" s="91" t="str">
        <f>IFERROR(MATCH('15_STOCK'!$N13,{"INCONSISTENTE","AGOTADO","CRÍTICO","BAJO","SOBRESTOCK"},0)*100000+MIN(99,INT(IF(N('15_STOCK'!$K13)&gt;0,MAX(0,N('15_STOCK'!$J13))/'15_STOCK'!$K13,0)*10))*1000+ROW(),"")</f>
        <v/>
      </c>
      <c r="N13" s="91" t="str">
        <f>IF(AND(ISNUMBER(MATCH('15_STOCK'!$N13,{"AGOTADO","CRÍTICO","BAJO"},0)),'15_STOCK'!$G13="SI",OR(pdProveedor="(Todos)",pdProveedor="",'15_STOCK'!$E13=pdProveedor)),IFERROR(MATCH('15_STOCK'!$E13,tblProveedores[Proveedor],0),999)*1000000+MATCH('15_STOCK'!$N13,{"AGOTADO","CRÍTICO","BAJO"},0)*10000+ROW(),"")</f>
        <v/>
      </c>
      <c r="O13" s="92">
        <v>6</v>
      </c>
      <c r="P13" s="91" t="str">
        <f t="shared" si="1"/>
        <v/>
      </c>
      <c r="Q13" s="91" t="str">
        <f t="shared" si="2"/>
        <v/>
      </c>
      <c r="R13" s="92">
        <v>6</v>
      </c>
      <c r="S13" s="91" t="str">
        <f t="shared" si="3"/>
        <v/>
      </c>
      <c r="T13" s="91" t="str">
        <f t="shared" si="4"/>
        <v/>
      </c>
      <c r="V13" s="92">
        <v>6</v>
      </c>
      <c r="W13" s="93" t="e">
        <f>IF(6&gt;kxMostrados,NA(),INDEX('17_KARDEX'!$C$22:$C$121,kxMostrados-6+1))</f>
        <v>#N/A</v>
      </c>
      <c r="X13" s="91" t="e">
        <f>IF(6&gt;kxMostrados,NA(),INDEX('17_KARDEX'!$G$22:$G$121,kxMostrados-6+1))</f>
        <v>#N/A</v>
      </c>
    </row>
    <row r="14" spans="2:24" x14ac:dyDescent="0.25">
      <c r="B14" s="87" t="s">
        <v>264</v>
      </c>
      <c r="C14" s="88">
        <f>COUNTIF(tblStock[Estado],"ÓPTIMO")</f>
        <v>0</v>
      </c>
      <c r="D14" s="89" t="s">
        <v>265</v>
      </c>
      <c r="L14" s="91" t="str">
        <f>IF(AND(ISNUMBER('15_STOCK'!$P14),'15_STOCK'!$P14&gt;0),'15_STOCK'!$P14+ROW()/1000000,"")</f>
        <v/>
      </c>
      <c r="M14" s="91" t="str">
        <f>IFERROR(MATCH('15_STOCK'!$N14,{"INCONSISTENTE","AGOTADO","CRÍTICO","BAJO","SOBRESTOCK"},0)*100000+MIN(99,INT(IF(N('15_STOCK'!$K14)&gt;0,MAX(0,N('15_STOCK'!$J14))/'15_STOCK'!$K14,0)*10))*1000+ROW(),"")</f>
        <v/>
      </c>
      <c r="N14" s="91" t="str">
        <f>IF(AND(ISNUMBER(MATCH('15_STOCK'!$N14,{"AGOTADO","CRÍTICO","BAJO"},0)),'15_STOCK'!$G14="SI",OR(pdProveedor="(Todos)",pdProveedor="",'15_STOCK'!$E14=pdProveedor)),IFERROR(MATCH('15_STOCK'!$E14,tblProveedores[Proveedor],0),999)*1000000+MATCH('15_STOCK'!$N14,{"AGOTADO","CRÍTICO","BAJO"},0)*10000+ROW(),"")</f>
        <v/>
      </c>
      <c r="O14" s="92">
        <v>7</v>
      </c>
      <c r="P14" s="91" t="str">
        <f t="shared" si="1"/>
        <v/>
      </c>
      <c r="Q14" s="91" t="str">
        <f t="shared" si="2"/>
        <v/>
      </c>
      <c r="R14" s="92">
        <v>7</v>
      </c>
      <c r="S14" s="91" t="str">
        <f t="shared" si="3"/>
        <v/>
      </c>
      <c r="T14" s="91" t="str">
        <f t="shared" si="4"/>
        <v/>
      </c>
      <c r="V14" s="92">
        <v>7</v>
      </c>
      <c r="W14" s="93" t="e">
        <f>IF(7&gt;kxMostrados,NA(),INDEX('17_KARDEX'!$C$22:$C$121,kxMostrados-7+1))</f>
        <v>#N/A</v>
      </c>
      <c r="X14" s="91" t="e">
        <f>IF(7&gt;kxMostrados,NA(),INDEX('17_KARDEX'!$G$22:$G$121,kxMostrados-7+1))</f>
        <v>#N/A</v>
      </c>
    </row>
    <row r="15" spans="2:24" x14ac:dyDescent="0.25">
      <c r="B15" s="87" t="s">
        <v>266</v>
      </c>
      <c r="C15" s="88">
        <f>COUNTIF(tblStock[Estado],"SOBRESTOCK")</f>
        <v>0</v>
      </c>
      <c r="D15" s="89" t="s">
        <v>267</v>
      </c>
      <c r="L15" s="91" t="str">
        <f>IF(AND(ISNUMBER('15_STOCK'!$P15),'15_STOCK'!$P15&gt;0),'15_STOCK'!$P15+ROW()/1000000,"")</f>
        <v/>
      </c>
      <c r="M15" s="91" t="str">
        <f>IFERROR(MATCH('15_STOCK'!$N15,{"INCONSISTENTE","AGOTADO","CRÍTICO","BAJO","SOBRESTOCK"},0)*100000+MIN(99,INT(IF(N('15_STOCK'!$K15)&gt;0,MAX(0,N('15_STOCK'!$J15))/'15_STOCK'!$K15,0)*10))*1000+ROW(),"")</f>
        <v/>
      </c>
      <c r="N15" s="91" t="str">
        <f>IF(AND(ISNUMBER(MATCH('15_STOCK'!$N15,{"AGOTADO","CRÍTICO","BAJO"},0)),'15_STOCK'!$G15="SI",OR(pdProveedor="(Todos)",pdProveedor="",'15_STOCK'!$E15=pdProveedor)),IFERROR(MATCH('15_STOCK'!$E15,tblProveedores[Proveedor],0),999)*1000000+MATCH('15_STOCK'!$N15,{"AGOTADO","CRÍTICO","BAJO"},0)*10000+ROW(),"")</f>
        <v/>
      </c>
      <c r="O15" s="92">
        <v>8</v>
      </c>
      <c r="P15" s="91" t="str">
        <f t="shared" si="1"/>
        <v/>
      </c>
      <c r="Q15" s="91" t="str">
        <f t="shared" si="2"/>
        <v/>
      </c>
      <c r="R15" s="92">
        <v>8</v>
      </c>
      <c r="S15" s="91" t="str">
        <f t="shared" si="3"/>
        <v/>
      </c>
      <c r="T15" s="91" t="str">
        <f t="shared" si="4"/>
        <v/>
      </c>
      <c r="V15" s="92">
        <v>8</v>
      </c>
      <c r="W15" s="93" t="e">
        <f>IF(8&gt;kxMostrados,NA(),INDEX('17_KARDEX'!$C$22:$C$121,kxMostrados-8+1))</f>
        <v>#N/A</v>
      </c>
      <c r="X15" s="91" t="e">
        <f>IF(8&gt;kxMostrados,NA(),INDEX('17_KARDEX'!$G$22:$G$121,kxMostrados-8+1))</f>
        <v>#N/A</v>
      </c>
    </row>
    <row r="16" spans="2:24" ht="15.75" x14ac:dyDescent="0.25">
      <c r="B16" s="87" t="s">
        <v>268</v>
      </c>
      <c r="C16" s="88">
        <f>COUNTIF(tblStock[Estado],"INACTIVO")</f>
        <v>0</v>
      </c>
      <c r="D16" s="89" t="s">
        <v>269</v>
      </c>
      <c r="F16" s="14" t="s">
        <v>243</v>
      </c>
      <c r="L16" s="91" t="str">
        <f>IF(AND(ISNUMBER('15_STOCK'!$P16),'15_STOCK'!$P16&gt;0),'15_STOCK'!$P16+ROW()/1000000,"")</f>
        <v/>
      </c>
      <c r="M16" s="91" t="str">
        <f>IFERROR(MATCH('15_STOCK'!$N16,{"INCONSISTENTE","AGOTADO","CRÍTICO","BAJO","SOBRESTOCK"},0)*100000+MIN(99,INT(IF(N('15_STOCK'!$K16)&gt;0,MAX(0,N('15_STOCK'!$J16))/'15_STOCK'!$K16,0)*10))*1000+ROW(),"")</f>
        <v/>
      </c>
      <c r="N16" s="91" t="str">
        <f>IF(AND(ISNUMBER(MATCH('15_STOCK'!$N16,{"AGOTADO","CRÍTICO","BAJO"},0)),'15_STOCK'!$G16="SI",OR(pdProveedor="(Todos)",pdProveedor="",'15_STOCK'!$E16=pdProveedor)),IFERROR(MATCH('15_STOCK'!$E16,tblProveedores[Proveedor],0),999)*1000000+MATCH('15_STOCK'!$N16,{"AGOTADO","CRÍTICO","BAJO"},0)*10000+ROW(),"")</f>
        <v/>
      </c>
      <c r="O16" s="92">
        <v>9</v>
      </c>
      <c r="P16" s="91" t="str">
        <f t="shared" si="1"/>
        <v/>
      </c>
      <c r="Q16" s="91" t="str">
        <f t="shared" si="2"/>
        <v/>
      </c>
      <c r="R16" s="92">
        <v>9</v>
      </c>
      <c r="S16" s="91" t="str">
        <f t="shared" si="3"/>
        <v/>
      </c>
      <c r="T16" s="91" t="str">
        <f t="shared" si="4"/>
        <v/>
      </c>
      <c r="V16" s="92">
        <v>9</v>
      </c>
      <c r="W16" s="93" t="e">
        <f>IF(9&gt;kxMostrados,NA(),INDEX('17_KARDEX'!$C$22:$C$121,kxMostrados-9+1))</f>
        <v>#N/A</v>
      </c>
      <c r="X16" s="91" t="e">
        <f>IF(9&gt;kxMostrados,NA(),INDEX('17_KARDEX'!$G$22:$G$121,kxMostrados-9+1))</f>
        <v>#N/A</v>
      </c>
    </row>
    <row r="17" spans="2:24" x14ac:dyDescent="0.25">
      <c r="B17" s="87" t="s">
        <v>270</v>
      </c>
      <c r="C17" s="88">
        <f>kpiInconsistentes+kpiAgotados+kpiCriticos+kpiBajos</f>
        <v>0</v>
      </c>
      <c r="D17" s="89" t="s">
        <v>271</v>
      </c>
      <c r="F17" s="15" t="s">
        <v>226</v>
      </c>
      <c r="G17" s="15" t="s">
        <v>421</v>
      </c>
      <c r="H17" s="15" t="s">
        <v>422</v>
      </c>
      <c r="I17" s="15" t="s">
        <v>153</v>
      </c>
      <c r="J17" s="15" t="s">
        <v>4</v>
      </c>
      <c r="L17" s="91" t="str">
        <f>IF(AND(ISNUMBER('15_STOCK'!$P17),'15_STOCK'!$P17&gt;0),'15_STOCK'!$P17+ROW()/1000000,"")</f>
        <v/>
      </c>
      <c r="M17" s="91" t="str">
        <f>IFERROR(MATCH('15_STOCK'!$N17,{"INCONSISTENTE","AGOTADO","CRÍTICO","BAJO","SOBRESTOCK"},0)*100000+MIN(99,INT(IF(N('15_STOCK'!$K17)&gt;0,MAX(0,N('15_STOCK'!$J17))/'15_STOCK'!$K17,0)*10))*1000+ROW(),"")</f>
        <v/>
      </c>
      <c r="N17" s="91" t="str">
        <f>IF(AND(ISNUMBER(MATCH('15_STOCK'!$N17,{"AGOTADO","CRÍTICO","BAJO"},0)),'15_STOCK'!$G17="SI",OR(pdProveedor="(Todos)",pdProveedor="",'15_STOCK'!$E17=pdProveedor)),IFERROR(MATCH('15_STOCK'!$E17,tblProveedores[Proveedor],0),999)*1000000+MATCH('15_STOCK'!$N17,{"AGOTADO","CRÍTICO","BAJO"},0)*10000+ROW(),"")</f>
        <v/>
      </c>
      <c r="O17" s="92">
        <v>10</v>
      </c>
      <c r="P17" s="91" t="str">
        <f t="shared" si="1"/>
        <v/>
      </c>
      <c r="Q17" s="91" t="str">
        <f t="shared" si="2"/>
        <v/>
      </c>
      <c r="R17" s="92">
        <v>10</v>
      </c>
      <c r="S17" s="91" t="str">
        <f t="shared" si="3"/>
        <v/>
      </c>
      <c r="T17" s="91" t="str">
        <f t="shared" si="4"/>
        <v/>
      </c>
      <c r="V17" s="92">
        <v>10</v>
      </c>
      <c r="W17" s="93" t="e">
        <f>IF(10&gt;kxMostrados,NA(),INDEX('17_KARDEX'!$C$22:$C$121,kxMostrados-10+1))</f>
        <v>#N/A</v>
      </c>
      <c r="X17" s="91" t="e">
        <f>IF(10&gt;kxMostrados,NA(),INDEX('17_KARDEX'!$G$22:$G$121,kxMostrados-10+1))</f>
        <v>#N/A</v>
      </c>
    </row>
    <row r="18" spans="2:24" x14ac:dyDescent="0.25">
      <c r="B18" s="87" t="s">
        <v>272</v>
      </c>
      <c r="C18" s="94">
        <f>SUM(tblStock[ValorInventario])</f>
        <v>0</v>
      </c>
      <c r="D18" s="89" t="s">
        <v>273</v>
      </c>
      <c r="F18" s="85">
        <v>1</v>
      </c>
      <c r="G18" s="84" t="str">
        <f t="shared" ref="G18:G25" si="5">IFERROR(LARGE($L$8:$L$507,F18),"")</f>
        <v/>
      </c>
      <c r="H18" s="84" t="str">
        <f t="shared" ref="H18:H25" si="6">IF(G18="","",MATCH(G18,$L$8:$L$507,0))</f>
        <v/>
      </c>
      <c r="I18" s="84" t="str">
        <f>IF(H18="","",LEFT(INDEX(tblStock[Producto],H18),34))</f>
        <v/>
      </c>
      <c r="J18" s="95" t="str">
        <f>IF(H18="","",INDEX(tblStock[ValorInventario],H18))</f>
        <v/>
      </c>
      <c r="L18" s="91" t="str">
        <f>IF(AND(ISNUMBER('15_STOCK'!$P18),'15_STOCK'!$P18&gt;0),'15_STOCK'!$P18+ROW()/1000000,"")</f>
        <v/>
      </c>
      <c r="M18" s="91" t="str">
        <f>IFERROR(MATCH('15_STOCK'!$N18,{"INCONSISTENTE","AGOTADO","CRÍTICO","BAJO","SOBRESTOCK"},0)*100000+MIN(99,INT(IF(N('15_STOCK'!$K18)&gt;0,MAX(0,N('15_STOCK'!$J18))/'15_STOCK'!$K18,0)*10))*1000+ROW(),"")</f>
        <v/>
      </c>
      <c r="N18" s="91" t="str">
        <f>IF(AND(ISNUMBER(MATCH('15_STOCK'!$N18,{"AGOTADO","CRÍTICO","BAJO"},0)),'15_STOCK'!$G18="SI",OR(pdProveedor="(Todos)",pdProveedor="",'15_STOCK'!$E18=pdProveedor)),IFERROR(MATCH('15_STOCK'!$E18,tblProveedores[Proveedor],0),999)*1000000+MATCH('15_STOCK'!$N18,{"AGOTADO","CRÍTICO","BAJO"},0)*10000+ROW(),"")</f>
        <v/>
      </c>
      <c r="O18" s="92">
        <v>11</v>
      </c>
      <c r="P18" s="91" t="str">
        <f t="shared" si="1"/>
        <v/>
      </c>
      <c r="Q18" s="91" t="str">
        <f t="shared" si="2"/>
        <v/>
      </c>
      <c r="R18" s="92">
        <v>11</v>
      </c>
      <c r="S18" s="91" t="str">
        <f t="shared" si="3"/>
        <v/>
      </c>
      <c r="T18" s="91" t="str">
        <f t="shared" si="4"/>
        <v/>
      </c>
      <c r="V18" s="92">
        <v>11</v>
      </c>
      <c r="W18" s="93" t="e">
        <f>IF(11&gt;kxMostrados,NA(),INDEX('17_KARDEX'!$C$22:$C$121,kxMostrados-11+1))</f>
        <v>#N/A</v>
      </c>
      <c r="X18" s="91" t="e">
        <f>IF(11&gt;kxMostrados,NA(),INDEX('17_KARDEX'!$G$22:$G$121,kxMostrados-11+1))</f>
        <v>#N/A</v>
      </c>
    </row>
    <row r="19" spans="2:24" x14ac:dyDescent="0.25">
      <c r="B19" s="87" t="s">
        <v>274</v>
      </c>
      <c r="C19" s="88">
        <f ca="1">COUNTIFS(tblStock[DiasSinMov],"&gt;"&amp;cfgDiasSinRotacion,tblStock[Activo],"SI",tblStock[StockActual],"&gt;0")</f>
        <v>0</v>
      </c>
      <c r="D19" s="89" t="s">
        <v>275</v>
      </c>
      <c r="F19" s="85">
        <v>2</v>
      </c>
      <c r="G19" s="84" t="str">
        <f t="shared" si="5"/>
        <v/>
      </c>
      <c r="H19" s="84" t="str">
        <f t="shared" si="6"/>
        <v/>
      </c>
      <c r="I19" s="84" t="str">
        <f>IF(H19="","",LEFT(INDEX(tblStock[Producto],H19),34))</f>
        <v/>
      </c>
      <c r="J19" s="95" t="str">
        <f>IF(H19="","",INDEX(tblStock[ValorInventario],H19))</f>
        <v/>
      </c>
      <c r="L19" s="91" t="str">
        <f>IF(AND(ISNUMBER('15_STOCK'!$P19),'15_STOCK'!$P19&gt;0),'15_STOCK'!$P19+ROW()/1000000,"")</f>
        <v/>
      </c>
      <c r="M19" s="91" t="str">
        <f>IFERROR(MATCH('15_STOCK'!$N19,{"INCONSISTENTE","AGOTADO","CRÍTICO","BAJO","SOBRESTOCK"},0)*100000+MIN(99,INT(IF(N('15_STOCK'!$K19)&gt;0,MAX(0,N('15_STOCK'!$J19))/'15_STOCK'!$K19,0)*10))*1000+ROW(),"")</f>
        <v/>
      </c>
      <c r="N19" s="91" t="str">
        <f>IF(AND(ISNUMBER(MATCH('15_STOCK'!$N19,{"AGOTADO","CRÍTICO","BAJO"},0)),'15_STOCK'!$G19="SI",OR(pdProveedor="(Todos)",pdProveedor="",'15_STOCK'!$E19=pdProveedor)),IFERROR(MATCH('15_STOCK'!$E19,tblProveedores[Proveedor],0),999)*1000000+MATCH('15_STOCK'!$N19,{"AGOTADO","CRÍTICO","BAJO"},0)*10000+ROW(),"")</f>
        <v/>
      </c>
      <c r="O19" s="92">
        <v>12</v>
      </c>
      <c r="P19" s="91" t="str">
        <f t="shared" si="1"/>
        <v/>
      </c>
      <c r="Q19" s="91" t="str">
        <f t="shared" si="2"/>
        <v/>
      </c>
      <c r="R19" s="92">
        <v>12</v>
      </c>
      <c r="S19" s="91" t="str">
        <f t="shared" si="3"/>
        <v/>
      </c>
      <c r="T19" s="91" t="str">
        <f t="shared" si="4"/>
        <v/>
      </c>
      <c r="V19" s="92">
        <v>12</v>
      </c>
      <c r="W19" s="93" t="e">
        <f>IF(12&gt;kxMostrados,NA(),INDEX('17_KARDEX'!$C$22:$C$121,kxMostrados-12+1))</f>
        <v>#N/A</v>
      </c>
      <c r="X19" s="91" t="e">
        <f>IF(12&gt;kxMostrados,NA(),INDEX('17_KARDEX'!$G$22:$G$121,kxMostrados-12+1))</f>
        <v>#N/A</v>
      </c>
    </row>
    <row r="20" spans="2:24" x14ac:dyDescent="0.25">
      <c r="B20" s="87" t="s">
        <v>276</v>
      </c>
      <c r="C20" s="94">
        <f ca="1">SUMIFS(tblStock[ValorInventario],tblStock[DiasSinMov],"&gt;"&amp;cfgDiasSinRotacion,tblStock[Activo],"SI",tblStock[StockActual],"&gt;0")</f>
        <v>0</v>
      </c>
      <c r="D20" s="89" t="s">
        <v>277</v>
      </c>
      <c r="F20" s="85">
        <v>3</v>
      </c>
      <c r="G20" s="84" t="str">
        <f t="shared" si="5"/>
        <v/>
      </c>
      <c r="H20" s="84" t="str">
        <f t="shared" si="6"/>
        <v/>
      </c>
      <c r="I20" s="84" t="str">
        <f>IF(H20="","",LEFT(INDEX(tblStock[Producto],H20),34))</f>
        <v/>
      </c>
      <c r="J20" s="95" t="str">
        <f>IF(H20="","",INDEX(tblStock[ValorInventario],H20))</f>
        <v/>
      </c>
      <c r="L20" s="91" t="str">
        <f>IF(AND(ISNUMBER('15_STOCK'!$P20),'15_STOCK'!$P20&gt;0),'15_STOCK'!$P20+ROW()/1000000,"")</f>
        <v/>
      </c>
      <c r="M20" s="91" t="str">
        <f>IFERROR(MATCH('15_STOCK'!$N20,{"INCONSISTENTE","AGOTADO","CRÍTICO","BAJO","SOBRESTOCK"},0)*100000+MIN(99,INT(IF(N('15_STOCK'!$K20)&gt;0,MAX(0,N('15_STOCK'!$J20))/'15_STOCK'!$K20,0)*10))*1000+ROW(),"")</f>
        <v/>
      </c>
      <c r="N20" s="91" t="str">
        <f>IF(AND(ISNUMBER(MATCH('15_STOCK'!$N20,{"AGOTADO","CRÍTICO","BAJO"},0)),'15_STOCK'!$G20="SI",OR(pdProveedor="(Todos)",pdProveedor="",'15_STOCK'!$E20=pdProveedor)),IFERROR(MATCH('15_STOCK'!$E20,tblProveedores[Proveedor],0),999)*1000000+MATCH('15_STOCK'!$N20,{"AGOTADO","CRÍTICO","BAJO"},0)*10000+ROW(),"")</f>
        <v/>
      </c>
      <c r="O20" s="92">
        <v>13</v>
      </c>
      <c r="P20" s="91" t="str">
        <f t="shared" si="1"/>
        <v/>
      </c>
      <c r="Q20" s="91" t="str">
        <f t="shared" si="2"/>
        <v/>
      </c>
      <c r="R20" s="92">
        <v>13</v>
      </c>
      <c r="S20" s="91" t="str">
        <f t="shared" si="3"/>
        <v/>
      </c>
      <c r="T20" s="91" t="str">
        <f t="shared" si="4"/>
        <v/>
      </c>
      <c r="V20" s="92">
        <v>13</v>
      </c>
      <c r="W20" s="93" t="e">
        <f>IF(13&gt;kxMostrados,NA(),INDEX('17_KARDEX'!$C$22:$C$121,kxMostrados-13+1))</f>
        <v>#N/A</v>
      </c>
      <c r="X20" s="91" t="e">
        <f>IF(13&gt;kxMostrados,NA(),INDEX('17_KARDEX'!$G$22:$G$121,kxMostrados-13+1))</f>
        <v>#N/A</v>
      </c>
    </row>
    <row r="21" spans="2:24" x14ac:dyDescent="0.25">
      <c r="B21" s="87" t="s">
        <v>278</v>
      </c>
      <c r="C21" s="88">
        <f>COUNTIF(tblProveedores[Proveedor],"?*")</f>
        <v>0</v>
      </c>
      <c r="D21" s="89" t="s">
        <v>279</v>
      </c>
      <c r="F21" s="85">
        <v>4</v>
      </c>
      <c r="G21" s="84" t="str">
        <f t="shared" si="5"/>
        <v/>
      </c>
      <c r="H21" s="84" t="str">
        <f t="shared" si="6"/>
        <v/>
      </c>
      <c r="I21" s="84" t="str">
        <f>IF(H21="","",LEFT(INDEX(tblStock[Producto],H21),34))</f>
        <v/>
      </c>
      <c r="J21" s="95" t="str">
        <f>IF(H21="","",INDEX(tblStock[ValorInventario],H21))</f>
        <v/>
      </c>
      <c r="L21" s="91" t="str">
        <f>IF(AND(ISNUMBER('15_STOCK'!$P21),'15_STOCK'!$P21&gt;0),'15_STOCK'!$P21+ROW()/1000000,"")</f>
        <v/>
      </c>
      <c r="M21" s="91" t="str">
        <f>IFERROR(MATCH('15_STOCK'!$N21,{"INCONSISTENTE","AGOTADO","CRÍTICO","BAJO","SOBRESTOCK"},0)*100000+MIN(99,INT(IF(N('15_STOCK'!$K21)&gt;0,MAX(0,N('15_STOCK'!$J21))/'15_STOCK'!$K21,0)*10))*1000+ROW(),"")</f>
        <v/>
      </c>
      <c r="N21" s="91" t="str">
        <f>IF(AND(ISNUMBER(MATCH('15_STOCK'!$N21,{"AGOTADO","CRÍTICO","BAJO"},0)),'15_STOCK'!$G21="SI",OR(pdProveedor="(Todos)",pdProveedor="",'15_STOCK'!$E21=pdProveedor)),IFERROR(MATCH('15_STOCK'!$E21,tblProveedores[Proveedor],0),999)*1000000+MATCH('15_STOCK'!$N21,{"AGOTADO","CRÍTICO","BAJO"},0)*10000+ROW(),"")</f>
        <v/>
      </c>
      <c r="O21" s="92">
        <v>14</v>
      </c>
      <c r="P21" s="91" t="str">
        <f t="shared" si="1"/>
        <v/>
      </c>
      <c r="Q21" s="91" t="str">
        <f t="shared" si="2"/>
        <v/>
      </c>
      <c r="R21" s="92">
        <v>14</v>
      </c>
      <c r="S21" s="91" t="str">
        <f t="shared" si="3"/>
        <v/>
      </c>
      <c r="T21" s="91" t="str">
        <f t="shared" si="4"/>
        <v/>
      </c>
      <c r="V21" s="92">
        <v>14</v>
      </c>
      <c r="W21" s="93" t="e">
        <f>IF(14&gt;kxMostrados,NA(),INDEX('17_KARDEX'!$C$22:$C$121,kxMostrados-14+1))</f>
        <v>#N/A</v>
      </c>
      <c r="X21" s="91" t="e">
        <f>IF(14&gt;kxMostrados,NA(),INDEX('17_KARDEX'!$G$22:$G$121,kxMostrados-14+1))</f>
        <v>#N/A</v>
      </c>
    </row>
    <row r="22" spans="2:24" x14ac:dyDescent="0.25">
      <c r="B22" s="87" t="s">
        <v>83</v>
      </c>
      <c r="C22" s="88">
        <f>COUNTIF(tblCategorias[Categoría],"?*")</f>
        <v>6</v>
      </c>
      <c r="D22" s="89" t="s">
        <v>280</v>
      </c>
      <c r="F22" s="85">
        <v>5</v>
      </c>
      <c r="G22" s="84" t="str">
        <f t="shared" si="5"/>
        <v/>
      </c>
      <c r="H22" s="84" t="str">
        <f t="shared" si="6"/>
        <v/>
      </c>
      <c r="I22" s="84" t="str">
        <f>IF(H22="","",LEFT(INDEX(tblStock[Producto],H22),34))</f>
        <v/>
      </c>
      <c r="J22" s="95" t="str">
        <f>IF(H22="","",INDEX(tblStock[ValorInventario],H22))</f>
        <v/>
      </c>
      <c r="L22" s="91" t="str">
        <f>IF(AND(ISNUMBER('15_STOCK'!$P22),'15_STOCK'!$P22&gt;0),'15_STOCK'!$P22+ROW()/1000000,"")</f>
        <v/>
      </c>
      <c r="M22" s="91" t="str">
        <f>IFERROR(MATCH('15_STOCK'!$N22,{"INCONSISTENTE","AGOTADO","CRÍTICO","BAJO","SOBRESTOCK"},0)*100000+MIN(99,INT(IF(N('15_STOCK'!$K22)&gt;0,MAX(0,N('15_STOCK'!$J22))/'15_STOCK'!$K22,0)*10))*1000+ROW(),"")</f>
        <v/>
      </c>
      <c r="N22" s="91" t="str">
        <f>IF(AND(ISNUMBER(MATCH('15_STOCK'!$N22,{"AGOTADO","CRÍTICO","BAJO"},0)),'15_STOCK'!$G22="SI",OR(pdProveedor="(Todos)",pdProveedor="",'15_STOCK'!$E22=pdProveedor)),IFERROR(MATCH('15_STOCK'!$E22,tblProveedores[Proveedor],0),999)*1000000+MATCH('15_STOCK'!$N22,{"AGOTADO","CRÍTICO","BAJO"},0)*10000+ROW(),"")</f>
        <v/>
      </c>
      <c r="O22" s="92">
        <v>15</v>
      </c>
      <c r="P22" s="91" t="str">
        <f t="shared" si="1"/>
        <v/>
      </c>
      <c r="Q22" s="91" t="str">
        <f t="shared" si="2"/>
        <v/>
      </c>
      <c r="R22" s="92">
        <v>15</v>
      </c>
      <c r="S22" s="91" t="str">
        <f t="shared" si="3"/>
        <v/>
      </c>
      <c r="T22" s="91" t="str">
        <f t="shared" si="4"/>
        <v/>
      </c>
      <c r="V22" s="92">
        <v>15</v>
      </c>
      <c r="W22" s="93" t="e">
        <f>IF(15&gt;kxMostrados,NA(),INDEX('17_KARDEX'!$C$22:$C$121,kxMostrados-15+1))</f>
        <v>#N/A</v>
      </c>
      <c r="X22" s="91" t="e">
        <f>IF(15&gt;kxMostrados,NA(),INDEX('17_KARDEX'!$G$22:$G$121,kxMostrados-15+1))</f>
        <v>#N/A</v>
      </c>
    </row>
    <row r="23" spans="2:24" x14ac:dyDescent="0.25">
      <c r="B23" s="87" t="s">
        <v>281</v>
      </c>
      <c r="C23" s="88">
        <f>COUNT(tblMovimientos[ID])</f>
        <v>0</v>
      </c>
      <c r="D23" s="89" t="s">
        <v>282</v>
      </c>
      <c r="F23" s="85">
        <v>6</v>
      </c>
      <c r="G23" s="84" t="str">
        <f t="shared" si="5"/>
        <v/>
      </c>
      <c r="H23" s="84" t="str">
        <f t="shared" si="6"/>
        <v/>
      </c>
      <c r="I23" s="84" t="str">
        <f>IF(H23="","",LEFT(INDEX(tblStock[Producto],H23),34))</f>
        <v/>
      </c>
      <c r="J23" s="95" t="str">
        <f>IF(H23="","",INDEX(tblStock[ValorInventario],H23))</f>
        <v/>
      </c>
      <c r="L23" s="91" t="str">
        <f>IF(AND(ISNUMBER('15_STOCK'!$P23),'15_STOCK'!$P23&gt;0),'15_STOCK'!$P23+ROW()/1000000,"")</f>
        <v/>
      </c>
      <c r="M23" s="91" t="str">
        <f>IFERROR(MATCH('15_STOCK'!$N23,{"INCONSISTENTE","AGOTADO","CRÍTICO","BAJO","SOBRESTOCK"},0)*100000+MIN(99,INT(IF(N('15_STOCK'!$K23)&gt;0,MAX(0,N('15_STOCK'!$J23))/'15_STOCK'!$K23,0)*10))*1000+ROW(),"")</f>
        <v/>
      </c>
      <c r="N23" s="91" t="str">
        <f>IF(AND(ISNUMBER(MATCH('15_STOCK'!$N23,{"AGOTADO","CRÍTICO","BAJO"},0)),'15_STOCK'!$G23="SI",OR(pdProveedor="(Todos)",pdProveedor="",'15_STOCK'!$E23=pdProveedor)),IFERROR(MATCH('15_STOCK'!$E23,tblProveedores[Proveedor],0),999)*1000000+MATCH('15_STOCK'!$N23,{"AGOTADO","CRÍTICO","BAJO"},0)*10000+ROW(),"")</f>
        <v/>
      </c>
      <c r="O23" s="92">
        <v>16</v>
      </c>
      <c r="P23" s="91" t="str">
        <f t="shared" si="1"/>
        <v/>
      </c>
      <c r="Q23" s="91" t="str">
        <f t="shared" si="2"/>
        <v/>
      </c>
      <c r="R23" s="92">
        <v>16</v>
      </c>
      <c r="S23" s="91" t="str">
        <f t="shared" si="3"/>
        <v/>
      </c>
      <c r="T23" s="91" t="str">
        <f t="shared" si="4"/>
        <v/>
      </c>
      <c r="V23" s="92">
        <v>16</v>
      </c>
      <c r="W23" s="93" t="e">
        <f>IF(16&gt;kxMostrados,NA(),INDEX('17_KARDEX'!$C$22:$C$121,kxMostrados-16+1))</f>
        <v>#N/A</v>
      </c>
      <c r="X23" s="91" t="e">
        <f>IF(16&gt;kxMostrados,NA(),INDEX('17_KARDEX'!$G$22:$G$121,kxMostrados-16+1))</f>
        <v>#N/A</v>
      </c>
    </row>
    <row r="24" spans="2:24" x14ac:dyDescent="0.25">
      <c r="B24" s="87" t="s">
        <v>283</v>
      </c>
      <c r="C24" s="88">
        <f>ROWS(tblMovimientos[ID])</f>
        <v>5000</v>
      </c>
      <c r="D24" s="89" t="s">
        <v>284</v>
      </c>
      <c r="F24" s="85">
        <v>7</v>
      </c>
      <c r="G24" s="84" t="str">
        <f t="shared" si="5"/>
        <v/>
      </c>
      <c r="H24" s="84" t="str">
        <f t="shared" si="6"/>
        <v/>
      </c>
      <c r="I24" s="84" t="str">
        <f>IF(H24="","",LEFT(INDEX(tblStock[Producto],H24),34))</f>
        <v/>
      </c>
      <c r="J24" s="95" t="str">
        <f>IF(H24="","",INDEX(tblStock[ValorInventario],H24))</f>
        <v/>
      </c>
      <c r="L24" s="91" t="str">
        <f>IF(AND(ISNUMBER('15_STOCK'!$P24),'15_STOCK'!$P24&gt;0),'15_STOCK'!$P24+ROW()/1000000,"")</f>
        <v/>
      </c>
      <c r="M24" s="91" t="str">
        <f>IFERROR(MATCH('15_STOCK'!$N24,{"INCONSISTENTE","AGOTADO","CRÍTICO","BAJO","SOBRESTOCK"},0)*100000+MIN(99,INT(IF(N('15_STOCK'!$K24)&gt;0,MAX(0,N('15_STOCK'!$J24))/'15_STOCK'!$K24,0)*10))*1000+ROW(),"")</f>
        <v/>
      </c>
      <c r="N24" s="91" t="str">
        <f>IF(AND(ISNUMBER(MATCH('15_STOCK'!$N24,{"AGOTADO","CRÍTICO","BAJO"},0)),'15_STOCK'!$G24="SI",OR(pdProveedor="(Todos)",pdProveedor="",'15_STOCK'!$E24=pdProveedor)),IFERROR(MATCH('15_STOCK'!$E24,tblProveedores[Proveedor],0),999)*1000000+MATCH('15_STOCK'!$N24,{"AGOTADO","CRÍTICO","BAJO"},0)*10000+ROW(),"")</f>
        <v/>
      </c>
      <c r="O24" s="92">
        <v>17</v>
      </c>
      <c r="P24" s="91" t="str">
        <f t="shared" si="1"/>
        <v/>
      </c>
      <c r="Q24" s="91" t="str">
        <f t="shared" si="2"/>
        <v/>
      </c>
      <c r="R24" s="92">
        <v>17</v>
      </c>
      <c r="S24" s="91" t="str">
        <f t="shared" si="3"/>
        <v/>
      </c>
      <c r="T24" s="91" t="str">
        <f t="shared" si="4"/>
        <v/>
      </c>
      <c r="V24" s="92">
        <v>17</v>
      </c>
      <c r="W24" s="93" t="e">
        <f>IF(17&gt;kxMostrados,NA(),INDEX('17_KARDEX'!$C$22:$C$121,kxMostrados-17+1))</f>
        <v>#N/A</v>
      </c>
      <c r="X24" s="91" t="e">
        <f>IF(17&gt;kxMostrados,NA(),INDEX('17_KARDEX'!$G$22:$G$121,kxMostrados-17+1))</f>
        <v>#N/A</v>
      </c>
    </row>
    <row r="25" spans="2:24" x14ac:dyDescent="0.25">
      <c r="B25" s="87" t="s">
        <v>285</v>
      </c>
      <c r="C25" s="88">
        <f>MAX(tblMovimientos[ID])</f>
        <v>0</v>
      </c>
      <c r="D25" s="89" t="s">
        <v>286</v>
      </c>
      <c r="F25" s="85">
        <v>8</v>
      </c>
      <c r="G25" s="84" t="str">
        <f t="shared" si="5"/>
        <v/>
      </c>
      <c r="H25" s="84" t="str">
        <f t="shared" si="6"/>
        <v/>
      </c>
      <c r="I25" s="84" t="str">
        <f>IF(H25="","",LEFT(INDEX(tblStock[Producto],H25),34))</f>
        <v/>
      </c>
      <c r="J25" s="95" t="str">
        <f>IF(H25="","",INDEX(tblStock[ValorInventario],H25))</f>
        <v/>
      </c>
      <c r="L25" s="91" t="str">
        <f>IF(AND(ISNUMBER('15_STOCK'!$P25),'15_STOCK'!$P25&gt;0),'15_STOCK'!$P25+ROW()/1000000,"")</f>
        <v/>
      </c>
      <c r="M25" s="91" t="str">
        <f>IFERROR(MATCH('15_STOCK'!$N25,{"INCONSISTENTE","AGOTADO","CRÍTICO","BAJO","SOBRESTOCK"},0)*100000+MIN(99,INT(IF(N('15_STOCK'!$K25)&gt;0,MAX(0,N('15_STOCK'!$J25))/'15_STOCK'!$K25,0)*10))*1000+ROW(),"")</f>
        <v/>
      </c>
      <c r="N25" s="91" t="str">
        <f>IF(AND(ISNUMBER(MATCH('15_STOCK'!$N25,{"AGOTADO","CRÍTICO","BAJO"},0)),'15_STOCK'!$G25="SI",OR(pdProveedor="(Todos)",pdProveedor="",'15_STOCK'!$E25=pdProveedor)),IFERROR(MATCH('15_STOCK'!$E25,tblProveedores[Proveedor],0),999)*1000000+MATCH('15_STOCK'!$N25,{"AGOTADO","CRÍTICO","BAJO"},0)*10000+ROW(),"")</f>
        <v/>
      </c>
      <c r="O25" s="92">
        <v>18</v>
      </c>
      <c r="P25" s="91" t="str">
        <f t="shared" si="1"/>
        <v/>
      </c>
      <c r="Q25" s="91" t="str">
        <f t="shared" si="2"/>
        <v/>
      </c>
      <c r="R25" s="92">
        <v>18</v>
      </c>
      <c r="S25" s="91" t="str">
        <f t="shared" si="3"/>
        <v/>
      </c>
      <c r="T25" s="91" t="str">
        <f t="shared" si="4"/>
        <v/>
      </c>
      <c r="V25" s="92">
        <v>18</v>
      </c>
      <c r="W25" s="93" t="e">
        <f>IF(18&gt;kxMostrados,NA(),INDEX('17_KARDEX'!$C$22:$C$121,kxMostrados-18+1))</f>
        <v>#N/A</v>
      </c>
      <c r="X25" s="91" t="e">
        <f>IF(18&gt;kxMostrados,NA(),INDEX('17_KARDEX'!$G$22:$G$121,kxMostrados-18+1))</f>
        <v>#N/A</v>
      </c>
    </row>
    <row r="26" spans="2:24" x14ac:dyDescent="0.25">
      <c r="B26" s="87" t="s">
        <v>287</v>
      </c>
      <c r="C26" s="96">
        <f>ROW(tblMovimientos[#Headers])+MIN(kpiUltimoID+1,kpiCapacidad)</f>
        <v>8</v>
      </c>
      <c r="D26" s="89" t="s">
        <v>288</v>
      </c>
      <c r="L26" s="91" t="str">
        <f>IF(AND(ISNUMBER('15_STOCK'!$P26),'15_STOCK'!$P26&gt;0),'15_STOCK'!$P26+ROW()/1000000,"")</f>
        <v/>
      </c>
      <c r="M26" s="91" t="str">
        <f>IFERROR(MATCH('15_STOCK'!$N26,{"INCONSISTENTE","AGOTADO","CRÍTICO","BAJO","SOBRESTOCK"},0)*100000+MIN(99,INT(IF(N('15_STOCK'!$K26)&gt;0,MAX(0,N('15_STOCK'!$J26))/'15_STOCK'!$K26,0)*10))*1000+ROW(),"")</f>
        <v/>
      </c>
      <c r="N26" s="91" t="str">
        <f>IF(AND(ISNUMBER(MATCH('15_STOCK'!$N26,{"AGOTADO","CRÍTICO","BAJO"},0)),'15_STOCK'!$G26="SI",OR(pdProveedor="(Todos)",pdProveedor="",'15_STOCK'!$E26=pdProveedor)),IFERROR(MATCH('15_STOCK'!$E26,tblProveedores[Proveedor],0),999)*1000000+MATCH('15_STOCK'!$N26,{"AGOTADO","CRÍTICO","BAJO"},0)*10000+ROW(),"")</f>
        <v/>
      </c>
      <c r="O26" s="92">
        <v>19</v>
      </c>
      <c r="P26" s="91" t="str">
        <f t="shared" si="1"/>
        <v/>
      </c>
      <c r="Q26" s="91" t="str">
        <f t="shared" si="2"/>
        <v/>
      </c>
      <c r="R26" s="92">
        <v>19</v>
      </c>
      <c r="S26" s="91" t="str">
        <f t="shared" si="3"/>
        <v/>
      </c>
      <c r="T26" s="91" t="str">
        <f t="shared" si="4"/>
        <v/>
      </c>
      <c r="V26" s="92">
        <v>19</v>
      </c>
      <c r="W26" s="93" t="e">
        <f>IF(19&gt;kxMostrados,NA(),INDEX('17_KARDEX'!$C$22:$C$121,kxMostrados-19+1))</f>
        <v>#N/A</v>
      </c>
      <c r="X26" s="91" t="e">
        <f>IF(19&gt;kxMostrados,NA(),INDEX('17_KARDEX'!$G$22:$G$121,kxMostrados-19+1))</f>
        <v>#N/A</v>
      </c>
    </row>
    <row r="27" spans="2:24" x14ac:dyDescent="0.25">
      <c r="B27" s="87" t="s">
        <v>289</v>
      </c>
      <c r="C27" s="96">
        <f>ROW(tblProductos[#Headers])+MIN(IFERROR(LOOKUP(2,1/(tblProductos[SKU]&lt;&gt;""),ROW(tblProductos[SKU])-ROW(tblProductos[#Headers])),0)+1,ROWS(tblProductos[SKU]))</f>
        <v>8</v>
      </c>
      <c r="D27" s="89" t="s">
        <v>290</v>
      </c>
      <c r="L27" s="91" t="str">
        <f>IF(AND(ISNUMBER('15_STOCK'!$P27),'15_STOCK'!$P27&gt;0),'15_STOCK'!$P27+ROW()/1000000,"")</f>
        <v/>
      </c>
      <c r="M27" s="91" t="str">
        <f>IFERROR(MATCH('15_STOCK'!$N27,{"INCONSISTENTE","AGOTADO","CRÍTICO","BAJO","SOBRESTOCK"},0)*100000+MIN(99,INT(IF(N('15_STOCK'!$K27)&gt;0,MAX(0,N('15_STOCK'!$J27))/'15_STOCK'!$K27,0)*10))*1000+ROW(),"")</f>
        <v/>
      </c>
      <c r="N27" s="91" t="str">
        <f>IF(AND(ISNUMBER(MATCH('15_STOCK'!$N27,{"AGOTADO","CRÍTICO","BAJO"},0)),'15_STOCK'!$G27="SI",OR(pdProveedor="(Todos)",pdProveedor="",'15_STOCK'!$E27=pdProveedor)),IFERROR(MATCH('15_STOCK'!$E27,tblProveedores[Proveedor],0),999)*1000000+MATCH('15_STOCK'!$N27,{"AGOTADO","CRÍTICO","BAJO"},0)*10000+ROW(),"")</f>
        <v/>
      </c>
      <c r="O27" s="92">
        <v>20</v>
      </c>
      <c r="P27" s="91" t="str">
        <f t="shared" si="1"/>
        <v/>
      </c>
      <c r="Q27" s="91" t="str">
        <f t="shared" si="2"/>
        <v/>
      </c>
      <c r="R27" s="92">
        <v>20</v>
      </c>
      <c r="S27" s="91" t="str">
        <f t="shared" si="3"/>
        <v/>
      </c>
      <c r="T27" s="91" t="str">
        <f t="shared" si="4"/>
        <v/>
      </c>
      <c r="V27" s="92">
        <v>20</v>
      </c>
      <c r="W27" s="93" t="e">
        <f>IF(20&gt;kxMostrados,NA(),INDEX('17_KARDEX'!$C$22:$C$121,kxMostrados-20+1))</f>
        <v>#N/A</v>
      </c>
      <c r="X27" s="91" t="e">
        <f>IF(20&gt;kxMostrados,NA(),INDEX('17_KARDEX'!$G$22:$G$121,kxMostrados-20+1))</f>
        <v>#N/A</v>
      </c>
    </row>
    <row r="28" spans="2:24" ht="15.75" x14ac:dyDescent="0.25">
      <c r="B28" s="87" t="s">
        <v>291</v>
      </c>
      <c r="C28" s="96">
        <f>ROW(tblProveedores[#Headers])+MIN(IFERROR(LOOKUP(2,1/(tblProveedores[Proveedor]&lt;&gt;""),ROW(tblProveedores[Proveedor])-ROW(tblProveedores[#Headers])),0)+1,ROWS(tblProveedores[Proveedor]))</f>
        <v>8</v>
      </c>
      <c r="D28" s="89" t="s">
        <v>292</v>
      </c>
      <c r="F28" s="14" t="s">
        <v>244</v>
      </c>
      <c r="L28" s="91" t="str">
        <f>IF(AND(ISNUMBER('15_STOCK'!$P28),'15_STOCK'!$P28&gt;0),'15_STOCK'!$P28+ROW()/1000000,"")</f>
        <v/>
      </c>
      <c r="M28" s="91" t="str">
        <f>IFERROR(MATCH('15_STOCK'!$N28,{"INCONSISTENTE","AGOTADO","CRÍTICO","BAJO","SOBRESTOCK"},0)*100000+MIN(99,INT(IF(N('15_STOCK'!$K28)&gt;0,MAX(0,N('15_STOCK'!$J28))/'15_STOCK'!$K28,0)*10))*1000+ROW(),"")</f>
        <v/>
      </c>
      <c r="N28" s="91" t="str">
        <f>IF(AND(ISNUMBER(MATCH('15_STOCK'!$N28,{"AGOTADO","CRÍTICO","BAJO"},0)),'15_STOCK'!$G28="SI",OR(pdProveedor="(Todos)",pdProveedor="",'15_STOCK'!$E28=pdProveedor)),IFERROR(MATCH('15_STOCK'!$E28,tblProveedores[Proveedor],0),999)*1000000+MATCH('15_STOCK'!$N28,{"AGOTADO","CRÍTICO","BAJO"},0)*10000+ROW(),"")</f>
        <v/>
      </c>
      <c r="O28" s="92">
        <v>21</v>
      </c>
      <c r="P28" s="91" t="str">
        <f t="shared" si="1"/>
        <v/>
      </c>
      <c r="Q28" s="91" t="str">
        <f t="shared" si="2"/>
        <v/>
      </c>
      <c r="R28" s="92">
        <v>21</v>
      </c>
      <c r="S28" s="91" t="str">
        <f t="shared" si="3"/>
        <v/>
      </c>
      <c r="T28" s="91" t="str">
        <f t="shared" si="4"/>
        <v/>
      </c>
      <c r="V28" s="92">
        <v>21</v>
      </c>
      <c r="W28" s="93" t="e">
        <f>IF(21&gt;kxMostrados,NA(),INDEX('17_KARDEX'!$C$22:$C$121,kxMostrados-21+1))</f>
        <v>#N/A</v>
      </c>
      <c r="X28" s="91" t="e">
        <f>IF(21&gt;kxMostrados,NA(),INDEX('17_KARDEX'!$G$22:$G$121,kxMostrados-21+1))</f>
        <v>#N/A</v>
      </c>
    </row>
    <row r="29" spans="2:24" x14ac:dyDescent="0.25">
      <c r="B29" s="87" t="s">
        <v>293</v>
      </c>
      <c r="C29" s="88">
        <f ca="1">COUNTIFS(tblMovimientos[Fecha],"&gt;="&amp;DATE(YEAR(TODAY()),MONTH(TODAY()),1),tblMovimientos[Fecha],"&lt;"&amp;DATE(YEAR(TODAY()),MONTH(TODAY())+1,1))</f>
        <v>0</v>
      </c>
      <c r="D29" s="89" t="s">
        <v>294</v>
      </c>
      <c r="F29" s="15" t="s">
        <v>50</v>
      </c>
      <c r="G29" s="15" t="s">
        <v>145</v>
      </c>
      <c r="H29" s="15" t="s">
        <v>423</v>
      </c>
      <c r="L29" s="91" t="str">
        <f>IF(AND(ISNUMBER('15_STOCK'!$P29),'15_STOCK'!$P29&gt;0),'15_STOCK'!$P29+ROW()/1000000,"")</f>
        <v/>
      </c>
      <c r="M29" s="91" t="str">
        <f>IFERROR(MATCH('15_STOCK'!$N29,{"INCONSISTENTE","AGOTADO","CRÍTICO","BAJO","SOBRESTOCK"},0)*100000+MIN(99,INT(IF(N('15_STOCK'!$K29)&gt;0,MAX(0,N('15_STOCK'!$J29))/'15_STOCK'!$K29,0)*10))*1000+ROW(),"")</f>
        <v/>
      </c>
      <c r="N29" s="91" t="str">
        <f>IF(AND(ISNUMBER(MATCH('15_STOCK'!$N29,{"AGOTADO","CRÍTICO","BAJO"},0)),'15_STOCK'!$G29="SI",OR(pdProveedor="(Todos)",pdProveedor="",'15_STOCK'!$E29=pdProveedor)),IFERROR(MATCH('15_STOCK'!$E29,tblProveedores[Proveedor],0),999)*1000000+MATCH('15_STOCK'!$N29,{"AGOTADO","CRÍTICO","BAJO"},0)*10000+ROW(),"")</f>
        <v/>
      </c>
      <c r="O29" s="92">
        <v>22</v>
      </c>
      <c r="P29" s="91" t="str">
        <f t="shared" si="1"/>
        <v/>
      </c>
      <c r="Q29" s="91" t="str">
        <f t="shared" si="2"/>
        <v/>
      </c>
      <c r="R29" s="92">
        <v>22</v>
      </c>
      <c r="S29" s="91" t="str">
        <f t="shared" si="3"/>
        <v/>
      </c>
      <c r="T29" s="91" t="str">
        <f t="shared" si="4"/>
        <v/>
      </c>
      <c r="V29" s="92">
        <v>22</v>
      </c>
      <c r="W29" s="93" t="e">
        <f>IF(22&gt;kxMostrados,NA(),INDEX('17_KARDEX'!$C$22:$C$121,kxMostrados-22+1))</f>
        <v>#N/A</v>
      </c>
      <c r="X29" s="91" t="e">
        <f>IF(22&gt;kxMostrados,NA(),INDEX('17_KARDEX'!$G$22:$G$121,kxMostrados-22+1))</f>
        <v>#N/A</v>
      </c>
    </row>
    <row r="30" spans="2:24" x14ac:dyDescent="0.25">
      <c r="B30" s="87" t="s">
        <v>295</v>
      </c>
      <c r="C30" s="88">
        <f ca="1">COUNTIFS(tblMovimientos[Fecha],"&gt;="&amp;DATE(YEAR(TODAY()),MONTH(TODAY()),1),tblMovimientos[Fecha],"&lt;"&amp;DATE(YEAR(TODAY()),MONTH(TODAY())+1,1),tblMovimientos[FactorStock],1,tblMovimientos[Tipo],"&lt;&gt;SALDO INICIAL")</f>
        <v>0</v>
      </c>
      <c r="D30" s="89" t="s">
        <v>296</v>
      </c>
      <c r="F30" s="97" t="s">
        <v>424</v>
      </c>
      <c r="G30" s="88">
        <f>kpiAgotados</f>
        <v>0</v>
      </c>
      <c r="H30" s="98" t="s">
        <v>425</v>
      </c>
      <c r="L30" s="91" t="str">
        <f>IF(AND(ISNUMBER('15_STOCK'!$P30),'15_STOCK'!$P30&gt;0),'15_STOCK'!$P30+ROW()/1000000,"")</f>
        <v/>
      </c>
      <c r="M30" s="91" t="str">
        <f>IFERROR(MATCH('15_STOCK'!$N30,{"INCONSISTENTE","AGOTADO","CRÍTICO","BAJO","SOBRESTOCK"},0)*100000+MIN(99,INT(IF(N('15_STOCK'!$K30)&gt;0,MAX(0,N('15_STOCK'!$J30))/'15_STOCK'!$K30,0)*10))*1000+ROW(),"")</f>
        <v/>
      </c>
      <c r="N30" s="91" t="str">
        <f>IF(AND(ISNUMBER(MATCH('15_STOCK'!$N30,{"AGOTADO","CRÍTICO","BAJO"},0)),'15_STOCK'!$G30="SI",OR(pdProveedor="(Todos)",pdProveedor="",'15_STOCK'!$E30=pdProveedor)),IFERROR(MATCH('15_STOCK'!$E30,tblProveedores[Proveedor],0),999)*1000000+MATCH('15_STOCK'!$N30,{"AGOTADO","CRÍTICO","BAJO"},0)*10000+ROW(),"")</f>
        <v/>
      </c>
      <c r="O30" s="92">
        <v>23</v>
      </c>
      <c r="P30" s="91" t="str">
        <f t="shared" si="1"/>
        <v/>
      </c>
      <c r="Q30" s="91" t="str">
        <f t="shared" si="2"/>
        <v/>
      </c>
      <c r="R30" s="92">
        <v>23</v>
      </c>
      <c r="S30" s="91" t="str">
        <f t="shared" si="3"/>
        <v/>
      </c>
      <c r="T30" s="91" t="str">
        <f t="shared" si="4"/>
        <v/>
      </c>
      <c r="V30" s="92">
        <v>23</v>
      </c>
      <c r="W30" s="93" t="e">
        <f>IF(23&gt;kxMostrados,NA(),INDEX('17_KARDEX'!$C$22:$C$121,kxMostrados-23+1))</f>
        <v>#N/A</v>
      </c>
      <c r="X30" s="91" t="e">
        <f>IF(23&gt;kxMostrados,NA(),INDEX('17_KARDEX'!$G$22:$G$121,kxMostrados-23+1))</f>
        <v>#N/A</v>
      </c>
    </row>
    <row r="31" spans="2:24" x14ac:dyDescent="0.25">
      <c r="B31" s="87" t="s">
        <v>297</v>
      </c>
      <c r="C31" s="88">
        <f ca="1">COUNTIFS(tblMovimientos[Fecha],"&gt;="&amp;DATE(YEAR(TODAY()),MONTH(TODAY()),1),tblMovimientos[Fecha],"&lt;"&amp;DATE(YEAR(TODAY()),MONTH(TODAY())+1,1),tblMovimientos[FactorStock],-1)</f>
        <v>0</v>
      </c>
      <c r="D31" s="89" t="s">
        <v>298</v>
      </c>
      <c r="F31" s="97" t="s">
        <v>426</v>
      </c>
      <c r="G31" s="88">
        <f>kpiCriticos</f>
        <v>0</v>
      </c>
      <c r="H31" s="99" t="s">
        <v>427</v>
      </c>
      <c r="L31" s="91" t="str">
        <f>IF(AND(ISNUMBER('15_STOCK'!$P31),'15_STOCK'!$P31&gt;0),'15_STOCK'!$P31+ROW()/1000000,"")</f>
        <v/>
      </c>
      <c r="M31" s="91" t="str">
        <f>IFERROR(MATCH('15_STOCK'!$N31,{"INCONSISTENTE","AGOTADO","CRÍTICO","BAJO","SOBRESTOCK"},0)*100000+MIN(99,INT(IF(N('15_STOCK'!$K31)&gt;0,MAX(0,N('15_STOCK'!$J31))/'15_STOCK'!$K31,0)*10))*1000+ROW(),"")</f>
        <v/>
      </c>
      <c r="N31" s="91" t="str">
        <f>IF(AND(ISNUMBER(MATCH('15_STOCK'!$N31,{"AGOTADO","CRÍTICO","BAJO"},0)),'15_STOCK'!$G31="SI",OR(pdProveedor="(Todos)",pdProveedor="",'15_STOCK'!$E31=pdProveedor)),IFERROR(MATCH('15_STOCK'!$E31,tblProveedores[Proveedor],0),999)*1000000+MATCH('15_STOCK'!$N31,{"AGOTADO","CRÍTICO","BAJO"},0)*10000+ROW(),"")</f>
        <v/>
      </c>
      <c r="O31" s="92">
        <v>24</v>
      </c>
      <c r="P31" s="91" t="str">
        <f t="shared" si="1"/>
        <v/>
      </c>
      <c r="Q31" s="91" t="str">
        <f t="shared" si="2"/>
        <v/>
      </c>
      <c r="R31" s="92">
        <v>24</v>
      </c>
      <c r="S31" s="91" t="str">
        <f t="shared" si="3"/>
        <v/>
      </c>
      <c r="T31" s="91" t="str">
        <f t="shared" si="4"/>
        <v/>
      </c>
      <c r="V31" s="92">
        <v>24</v>
      </c>
      <c r="W31" s="93" t="e">
        <f>IF(24&gt;kxMostrados,NA(),INDEX('17_KARDEX'!$C$22:$C$121,kxMostrados-24+1))</f>
        <v>#N/A</v>
      </c>
      <c r="X31" s="91" t="e">
        <f>IF(24&gt;kxMostrados,NA(),INDEX('17_KARDEX'!$G$22:$G$121,kxMostrados-24+1))</f>
        <v>#N/A</v>
      </c>
    </row>
    <row r="32" spans="2:24" x14ac:dyDescent="0.25">
      <c r="B32" s="87" t="s">
        <v>299</v>
      </c>
      <c r="C32" s="100" t="str">
        <f>IF(COUNT(tblMovimientos[Fecha])=0,"",MAX(tblMovimientos[Fecha]))</f>
        <v/>
      </c>
      <c r="D32" s="89" t="s">
        <v>300</v>
      </c>
      <c r="F32" s="97" t="s">
        <v>428</v>
      </c>
      <c r="G32" s="88">
        <f>kpiBajos</f>
        <v>0</v>
      </c>
      <c r="H32" s="101" t="s">
        <v>429</v>
      </c>
      <c r="L32" s="91" t="str">
        <f>IF(AND(ISNUMBER('15_STOCK'!$P32),'15_STOCK'!$P32&gt;0),'15_STOCK'!$P32+ROW()/1000000,"")</f>
        <v/>
      </c>
      <c r="M32" s="91" t="str">
        <f>IFERROR(MATCH('15_STOCK'!$N32,{"INCONSISTENTE","AGOTADO","CRÍTICO","BAJO","SOBRESTOCK"},0)*100000+MIN(99,INT(IF(N('15_STOCK'!$K32)&gt;0,MAX(0,N('15_STOCK'!$J32))/'15_STOCK'!$K32,0)*10))*1000+ROW(),"")</f>
        <v/>
      </c>
      <c r="N32" s="91" t="str">
        <f>IF(AND(ISNUMBER(MATCH('15_STOCK'!$N32,{"AGOTADO","CRÍTICO","BAJO"},0)),'15_STOCK'!$G32="SI",OR(pdProveedor="(Todos)",pdProveedor="",'15_STOCK'!$E32=pdProveedor)),IFERROR(MATCH('15_STOCK'!$E32,tblProveedores[Proveedor],0),999)*1000000+MATCH('15_STOCK'!$N32,{"AGOTADO","CRÍTICO","BAJO"},0)*10000+ROW(),"")</f>
        <v/>
      </c>
      <c r="O32" s="92">
        <v>25</v>
      </c>
      <c r="P32" s="91" t="str">
        <f t="shared" si="1"/>
        <v/>
      </c>
      <c r="Q32" s="91" t="str">
        <f t="shared" si="2"/>
        <v/>
      </c>
      <c r="R32" s="92">
        <v>25</v>
      </c>
      <c r="S32" s="91" t="str">
        <f t="shared" si="3"/>
        <v/>
      </c>
      <c r="T32" s="91" t="str">
        <f t="shared" si="4"/>
        <v/>
      </c>
      <c r="V32" s="92">
        <v>25</v>
      </c>
      <c r="W32" s="93" t="e">
        <f>IF(25&gt;kxMostrados,NA(),INDEX('17_KARDEX'!$C$22:$C$121,kxMostrados-25+1))</f>
        <v>#N/A</v>
      </c>
      <c r="X32" s="91" t="e">
        <f>IF(25&gt;kxMostrados,NA(),INDEX('17_KARDEX'!$G$22:$G$121,kxMostrados-25+1))</f>
        <v>#N/A</v>
      </c>
    </row>
    <row r="33" spans="2:24" x14ac:dyDescent="0.25">
      <c r="B33" s="87" t="s">
        <v>301</v>
      </c>
      <c r="C33" s="88">
        <f>COUNTIF(tblMovimientos[Estado],"✖*")</f>
        <v>0</v>
      </c>
      <c r="D33" s="89" t="s">
        <v>302</v>
      </c>
      <c r="F33" s="97" t="s">
        <v>430</v>
      </c>
      <c r="G33" s="88">
        <f>kpiOptimos</f>
        <v>0</v>
      </c>
      <c r="H33" s="102" t="s">
        <v>431</v>
      </c>
      <c r="L33" s="91" t="str">
        <f>IF(AND(ISNUMBER('15_STOCK'!$P33),'15_STOCK'!$P33&gt;0),'15_STOCK'!$P33+ROW()/1000000,"")</f>
        <v/>
      </c>
      <c r="M33" s="91" t="str">
        <f>IFERROR(MATCH('15_STOCK'!$N33,{"INCONSISTENTE","AGOTADO","CRÍTICO","BAJO","SOBRESTOCK"},0)*100000+MIN(99,INT(IF(N('15_STOCK'!$K33)&gt;0,MAX(0,N('15_STOCK'!$J33))/'15_STOCK'!$K33,0)*10))*1000+ROW(),"")</f>
        <v/>
      </c>
      <c r="N33" s="91" t="str">
        <f>IF(AND(ISNUMBER(MATCH('15_STOCK'!$N33,{"AGOTADO","CRÍTICO","BAJO"},0)),'15_STOCK'!$G33="SI",OR(pdProveedor="(Todos)",pdProveedor="",'15_STOCK'!$E33=pdProveedor)),IFERROR(MATCH('15_STOCK'!$E33,tblProveedores[Proveedor],0),999)*1000000+MATCH('15_STOCK'!$N33,{"AGOTADO","CRÍTICO","BAJO"},0)*10000+ROW(),"")</f>
        <v/>
      </c>
      <c r="O33" s="92">
        <v>26</v>
      </c>
      <c r="P33" s="91" t="str">
        <f t="shared" si="1"/>
        <v/>
      </c>
      <c r="Q33" s="91" t="str">
        <f t="shared" si="2"/>
        <v/>
      </c>
      <c r="R33" s="92">
        <v>26</v>
      </c>
      <c r="S33" s="91" t="str">
        <f t="shared" si="3"/>
        <v/>
      </c>
      <c r="T33" s="91" t="str">
        <f t="shared" si="4"/>
        <v/>
      </c>
      <c r="V33" s="92">
        <v>26</v>
      </c>
      <c r="W33" s="93" t="e">
        <f>IF(26&gt;kxMostrados,NA(),INDEX('17_KARDEX'!$C$22:$C$121,kxMostrados-26+1))</f>
        <v>#N/A</v>
      </c>
      <c r="X33" s="91" t="e">
        <f>IF(26&gt;kxMostrados,NA(),INDEX('17_KARDEX'!$G$22:$G$121,kxMostrados-26+1))</f>
        <v>#N/A</v>
      </c>
    </row>
    <row r="34" spans="2:24" x14ac:dyDescent="0.25">
      <c r="B34" s="87" t="s">
        <v>303</v>
      </c>
      <c r="C34" s="88">
        <f>COUNTIF(tblMovimientos[Estado],"⚠*")</f>
        <v>0</v>
      </c>
      <c r="D34" s="89" t="s">
        <v>304</v>
      </c>
      <c r="F34" s="97" t="s">
        <v>266</v>
      </c>
      <c r="G34" s="88">
        <f>kpiSobrestock</f>
        <v>0</v>
      </c>
      <c r="H34" s="103" t="s">
        <v>432</v>
      </c>
      <c r="L34" s="91" t="str">
        <f>IF(AND(ISNUMBER('15_STOCK'!$P34),'15_STOCK'!$P34&gt;0),'15_STOCK'!$P34+ROW()/1000000,"")</f>
        <v/>
      </c>
      <c r="M34" s="91" t="str">
        <f>IFERROR(MATCH('15_STOCK'!$N34,{"INCONSISTENTE","AGOTADO","CRÍTICO","BAJO","SOBRESTOCK"},0)*100000+MIN(99,INT(IF(N('15_STOCK'!$K34)&gt;0,MAX(0,N('15_STOCK'!$J34))/'15_STOCK'!$K34,0)*10))*1000+ROW(),"")</f>
        <v/>
      </c>
      <c r="N34" s="91" t="str">
        <f>IF(AND(ISNUMBER(MATCH('15_STOCK'!$N34,{"AGOTADO","CRÍTICO","BAJO"},0)),'15_STOCK'!$G34="SI",OR(pdProveedor="(Todos)",pdProveedor="",'15_STOCK'!$E34=pdProveedor)),IFERROR(MATCH('15_STOCK'!$E34,tblProveedores[Proveedor],0),999)*1000000+MATCH('15_STOCK'!$N34,{"AGOTADO","CRÍTICO","BAJO"},0)*10000+ROW(),"")</f>
        <v/>
      </c>
      <c r="O34" s="92">
        <v>27</v>
      </c>
      <c r="P34" s="91" t="str">
        <f t="shared" si="1"/>
        <v/>
      </c>
      <c r="Q34" s="91" t="str">
        <f t="shared" si="2"/>
        <v/>
      </c>
      <c r="R34" s="92">
        <v>27</v>
      </c>
      <c r="S34" s="91" t="str">
        <f t="shared" si="3"/>
        <v/>
      </c>
      <c r="T34" s="91" t="str">
        <f t="shared" si="4"/>
        <v/>
      </c>
      <c r="V34" s="92">
        <v>27</v>
      </c>
      <c r="W34" s="93" t="e">
        <f>IF(27&gt;kxMostrados,NA(),INDEX('17_KARDEX'!$C$22:$C$121,kxMostrados-27+1))</f>
        <v>#N/A</v>
      </c>
      <c r="X34" s="91" t="e">
        <f>IF(27&gt;kxMostrados,NA(),INDEX('17_KARDEX'!$G$22:$G$121,kxMostrados-27+1))</f>
        <v>#N/A</v>
      </c>
    </row>
    <row r="35" spans="2:24" x14ac:dyDescent="0.25">
      <c r="B35" s="87" t="s">
        <v>305</v>
      </c>
      <c r="C35" s="88">
        <f>SUMPRODUCT((tblStock[SKU]&lt;&gt;"")*(tblStock[Activo]="SI")*(COUNTIFS(tblMovimientos[SKU],tblStock[SKU]&amp;"",tblMovimientos[Tipo],"SALDO INICIAL")&gt;0))</f>
        <v>0</v>
      </c>
      <c r="D35" s="89" t="s">
        <v>306</v>
      </c>
      <c r="F35" s="97" t="s">
        <v>433</v>
      </c>
      <c r="G35" s="88">
        <f>kpiInconsistentes</f>
        <v>0</v>
      </c>
      <c r="H35" s="104" t="s">
        <v>434</v>
      </c>
      <c r="L35" s="91" t="str">
        <f>IF(AND(ISNUMBER('15_STOCK'!$P35),'15_STOCK'!$P35&gt;0),'15_STOCK'!$P35+ROW()/1000000,"")</f>
        <v/>
      </c>
      <c r="M35" s="91" t="str">
        <f>IFERROR(MATCH('15_STOCK'!$N35,{"INCONSISTENTE","AGOTADO","CRÍTICO","BAJO","SOBRESTOCK"},0)*100000+MIN(99,INT(IF(N('15_STOCK'!$K35)&gt;0,MAX(0,N('15_STOCK'!$J35))/'15_STOCK'!$K35,0)*10))*1000+ROW(),"")</f>
        <v/>
      </c>
      <c r="N35" s="91" t="str">
        <f>IF(AND(ISNUMBER(MATCH('15_STOCK'!$N35,{"AGOTADO","CRÍTICO","BAJO"},0)),'15_STOCK'!$G35="SI",OR(pdProveedor="(Todos)",pdProveedor="",'15_STOCK'!$E35=pdProveedor)),IFERROR(MATCH('15_STOCK'!$E35,tblProveedores[Proveedor],0),999)*1000000+MATCH('15_STOCK'!$N35,{"AGOTADO","CRÍTICO","BAJO"},0)*10000+ROW(),"")</f>
        <v/>
      </c>
      <c r="O35" s="92">
        <v>28</v>
      </c>
      <c r="P35" s="91" t="str">
        <f t="shared" si="1"/>
        <v/>
      </c>
      <c r="Q35" s="91" t="str">
        <f t="shared" si="2"/>
        <v/>
      </c>
      <c r="R35" s="92">
        <v>28</v>
      </c>
      <c r="S35" s="91" t="str">
        <f t="shared" si="3"/>
        <v/>
      </c>
      <c r="T35" s="91" t="str">
        <f t="shared" si="4"/>
        <v/>
      </c>
      <c r="V35" s="92">
        <v>28</v>
      </c>
      <c r="W35" s="93" t="e">
        <f>IF(28&gt;kxMostrados,NA(),INDEX('17_KARDEX'!$C$22:$C$121,kxMostrados-28+1))</f>
        <v>#N/A</v>
      </c>
      <c r="X35" s="91" t="e">
        <f>IF(28&gt;kxMostrados,NA(),INDEX('17_KARDEX'!$G$22:$G$121,kxMostrados-28+1))</f>
        <v>#N/A</v>
      </c>
    </row>
    <row r="36" spans="2:24" x14ac:dyDescent="0.25">
      <c r="B36" s="87" t="s">
        <v>307</v>
      </c>
      <c r="C36" s="88">
        <f>COUNTIFS(tblMovimientos[ID],"&gt;0",tblMovimientos[Tipo],"&lt;&gt;SALDO INICIAL")</f>
        <v>0</v>
      </c>
      <c r="D36" s="89" t="s">
        <v>308</v>
      </c>
      <c r="L36" s="91" t="str">
        <f>IF(AND(ISNUMBER('15_STOCK'!$P36),'15_STOCK'!$P36&gt;0),'15_STOCK'!$P36+ROW()/1000000,"")</f>
        <v/>
      </c>
      <c r="M36" s="91" t="str">
        <f>IFERROR(MATCH('15_STOCK'!$N36,{"INCONSISTENTE","AGOTADO","CRÍTICO","BAJO","SOBRESTOCK"},0)*100000+MIN(99,INT(IF(N('15_STOCK'!$K36)&gt;0,MAX(0,N('15_STOCK'!$J36))/'15_STOCK'!$K36,0)*10))*1000+ROW(),"")</f>
        <v/>
      </c>
      <c r="N36" s="91" t="str">
        <f>IF(AND(ISNUMBER(MATCH('15_STOCK'!$N36,{"AGOTADO","CRÍTICO","BAJO"},0)),'15_STOCK'!$G36="SI",OR(pdProveedor="(Todos)",pdProveedor="",'15_STOCK'!$E36=pdProveedor)),IFERROR(MATCH('15_STOCK'!$E36,tblProveedores[Proveedor],0),999)*1000000+MATCH('15_STOCK'!$N36,{"AGOTADO","CRÍTICO","BAJO"},0)*10000+ROW(),"")</f>
        <v/>
      </c>
      <c r="O36" s="92">
        <v>29</v>
      </c>
      <c r="P36" s="91" t="str">
        <f t="shared" si="1"/>
        <v/>
      </c>
      <c r="Q36" s="91" t="str">
        <f t="shared" si="2"/>
        <v/>
      </c>
      <c r="R36" s="92">
        <v>29</v>
      </c>
      <c r="S36" s="91" t="str">
        <f t="shared" si="3"/>
        <v/>
      </c>
      <c r="T36" s="91" t="str">
        <f t="shared" si="4"/>
        <v/>
      </c>
      <c r="V36" s="92">
        <v>29</v>
      </c>
      <c r="W36" s="93" t="e">
        <f>IF(29&gt;kxMostrados,NA(),INDEX('17_KARDEX'!$C$22:$C$121,kxMostrados-29+1))</f>
        <v>#N/A</v>
      </c>
      <c r="X36" s="91" t="e">
        <f>IF(29&gt;kxMostrados,NA(),INDEX('17_KARDEX'!$G$22:$G$121,kxMostrados-29+1))</f>
        <v>#N/A</v>
      </c>
    </row>
    <row r="37" spans="2:24" x14ac:dyDescent="0.25">
      <c r="B37" s="87" t="s">
        <v>309</v>
      </c>
      <c r="C37" s="88">
        <f>COUNT(tblConteo[Conteo])</f>
        <v>0</v>
      </c>
      <c r="D37" s="89" t="s">
        <v>310</v>
      </c>
      <c r="L37" s="91" t="str">
        <f>IF(AND(ISNUMBER('15_STOCK'!$P37),'15_STOCK'!$P37&gt;0),'15_STOCK'!$P37+ROW()/1000000,"")</f>
        <v/>
      </c>
      <c r="M37" s="91" t="str">
        <f>IFERROR(MATCH('15_STOCK'!$N37,{"INCONSISTENTE","AGOTADO","CRÍTICO","BAJO","SOBRESTOCK"},0)*100000+MIN(99,INT(IF(N('15_STOCK'!$K37)&gt;0,MAX(0,N('15_STOCK'!$J37))/'15_STOCK'!$K37,0)*10))*1000+ROW(),"")</f>
        <v/>
      </c>
      <c r="N37" s="91" t="str">
        <f>IF(AND(ISNUMBER(MATCH('15_STOCK'!$N37,{"AGOTADO","CRÍTICO","BAJO"},0)),'15_STOCK'!$G37="SI",OR(pdProveedor="(Todos)",pdProveedor="",'15_STOCK'!$E37=pdProveedor)),IFERROR(MATCH('15_STOCK'!$E37,tblProveedores[Proveedor],0),999)*1000000+MATCH('15_STOCK'!$N37,{"AGOTADO","CRÍTICO","BAJO"},0)*10000+ROW(),"")</f>
        <v/>
      </c>
      <c r="O37" s="92">
        <v>30</v>
      </c>
      <c r="P37" s="91" t="str">
        <f t="shared" si="1"/>
        <v/>
      </c>
      <c r="Q37" s="91" t="str">
        <f t="shared" si="2"/>
        <v/>
      </c>
      <c r="R37" s="92">
        <v>30</v>
      </c>
      <c r="S37" s="91" t="str">
        <f t="shared" si="3"/>
        <v/>
      </c>
      <c r="T37" s="91" t="str">
        <f t="shared" si="4"/>
        <v/>
      </c>
      <c r="V37" s="92">
        <v>30</v>
      </c>
      <c r="W37" s="93" t="e">
        <f>IF(30&gt;kxMostrados,NA(),INDEX('17_KARDEX'!$C$22:$C$121,kxMostrados-30+1))</f>
        <v>#N/A</v>
      </c>
      <c r="X37" s="91" t="e">
        <f>IF(30&gt;kxMostrados,NA(),INDEX('17_KARDEX'!$G$22:$G$121,kxMostrados-30+1))</f>
        <v>#N/A</v>
      </c>
    </row>
    <row r="38" spans="2:24" ht="15.75" x14ac:dyDescent="0.25">
      <c r="B38" s="87" t="s">
        <v>311</v>
      </c>
      <c r="C38" s="88">
        <f>COUNTIF(tblConteo[Diferencia],"&gt;0")+COUNTIF(tblConteo[Diferencia],"&lt;0")</f>
        <v>0</v>
      </c>
      <c r="D38" s="89" t="s">
        <v>312</v>
      </c>
      <c r="F38" s="14" t="s">
        <v>245</v>
      </c>
      <c r="L38" s="91" t="str">
        <f>IF(AND(ISNUMBER('15_STOCK'!$P38),'15_STOCK'!$P38&gt;0),'15_STOCK'!$P38+ROW()/1000000,"")</f>
        <v/>
      </c>
      <c r="M38" s="91" t="str">
        <f>IFERROR(MATCH('15_STOCK'!$N38,{"INCONSISTENTE","AGOTADO","CRÍTICO","BAJO","SOBRESTOCK"},0)*100000+MIN(99,INT(IF(N('15_STOCK'!$K38)&gt;0,MAX(0,N('15_STOCK'!$J38))/'15_STOCK'!$K38,0)*10))*1000+ROW(),"")</f>
        <v/>
      </c>
      <c r="N38" s="91" t="str">
        <f>IF(AND(ISNUMBER(MATCH('15_STOCK'!$N38,{"AGOTADO","CRÍTICO","BAJO"},0)),'15_STOCK'!$G38="SI",OR(pdProveedor="(Todos)",pdProveedor="",'15_STOCK'!$E38=pdProveedor)),IFERROR(MATCH('15_STOCK'!$E38,tblProveedores[Proveedor],0),999)*1000000+MATCH('15_STOCK'!$N38,{"AGOTADO","CRÍTICO","BAJO"},0)*10000+ROW(),"")</f>
        <v/>
      </c>
      <c r="O38" s="92">
        <v>31</v>
      </c>
      <c r="P38" s="91" t="str">
        <f t="shared" si="1"/>
        <v/>
      </c>
      <c r="Q38" s="91" t="str">
        <f t="shared" si="2"/>
        <v/>
      </c>
      <c r="R38" s="92">
        <v>31</v>
      </c>
      <c r="S38" s="91" t="str">
        <f t="shared" si="3"/>
        <v/>
      </c>
      <c r="T38" s="91" t="str">
        <f t="shared" si="4"/>
        <v/>
      </c>
      <c r="V38" s="92">
        <v>31</v>
      </c>
      <c r="W38" s="93" t="e">
        <f>IF(31&gt;kxMostrados,NA(),INDEX('17_KARDEX'!$C$22:$C$121,kxMostrados-31+1))</f>
        <v>#N/A</v>
      </c>
      <c r="X38" s="91" t="e">
        <f>IF(31&gt;kxMostrados,NA(),INDEX('17_KARDEX'!$G$22:$G$121,kxMostrados-31+1))</f>
        <v>#N/A</v>
      </c>
    </row>
    <row r="39" spans="2:24" x14ac:dyDescent="0.25">
      <c r="B39" s="87" t="s">
        <v>313</v>
      </c>
      <c r="C39" s="94">
        <f>SUM(tblConteo[ValorDiferencia])</f>
        <v>0</v>
      </c>
      <c r="D39" s="89" t="s">
        <v>314</v>
      </c>
      <c r="F39" s="15" t="s">
        <v>86</v>
      </c>
      <c r="G39" s="15" t="s">
        <v>424</v>
      </c>
      <c r="H39" s="15" t="s">
        <v>426</v>
      </c>
      <c r="I39" s="15" t="s">
        <v>428</v>
      </c>
      <c r="J39" s="15" t="s">
        <v>430</v>
      </c>
      <c r="K39" s="15" t="s">
        <v>266</v>
      </c>
      <c r="L39" s="91" t="str">
        <f>IF(AND(ISNUMBER('15_STOCK'!$P39),'15_STOCK'!$P39&gt;0),'15_STOCK'!$P39+ROW()/1000000,"")</f>
        <v/>
      </c>
      <c r="M39" s="91" t="str">
        <f>IFERROR(MATCH('15_STOCK'!$N39,{"INCONSISTENTE","AGOTADO","CRÍTICO","BAJO","SOBRESTOCK"},0)*100000+MIN(99,INT(IF(N('15_STOCK'!$K39)&gt;0,MAX(0,N('15_STOCK'!$J39))/'15_STOCK'!$K39,0)*10))*1000+ROW(),"")</f>
        <v/>
      </c>
      <c r="N39" s="91" t="str">
        <f>IF(AND(ISNUMBER(MATCH('15_STOCK'!$N39,{"AGOTADO","CRÍTICO","BAJO"},0)),'15_STOCK'!$G39="SI",OR(pdProveedor="(Todos)",pdProveedor="",'15_STOCK'!$E39=pdProveedor)),IFERROR(MATCH('15_STOCK'!$E39,tblProveedores[Proveedor],0),999)*1000000+MATCH('15_STOCK'!$N39,{"AGOTADO","CRÍTICO","BAJO"},0)*10000+ROW(),"")</f>
        <v/>
      </c>
      <c r="O39" s="92">
        <v>32</v>
      </c>
      <c r="P39" s="91" t="str">
        <f t="shared" si="1"/>
        <v/>
      </c>
      <c r="Q39" s="91" t="str">
        <f t="shared" si="2"/>
        <v/>
      </c>
      <c r="R39" s="92">
        <v>32</v>
      </c>
      <c r="S39" s="91" t="str">
        <f t="shared" si="3"/>
        <v/>
      </c>
      <c r="T39" s="91" t="str">
        <f t="shared" si="4"/>
        <v/>
      </c>
      <c r="V39" s="92">
        <v>32</v>
      </c>
      <c r="W39" s="93" t="e">
        <f>IF(32&gt;kxMostrados,NA(),INDEX('17_KARDEX'!$C$22:$C$121,kxMostrados-32+1))</f>
        <v>#N/A</v>
      </c>
      <c r="X39" s="91" t="e">
        <f>IF(32&gt;kxMostrados,NA(),INDEX('17_KARDEX'!$G$22:$G$121,kxMostrados-32+1))</f>
        <v>#N/A</v>
      </c>
    </row>
    <row r="40" spans="2:24" x14ac:dyDescent="0.25">
      <c r="B40" s="87" t="s">
        <v>315</v>
      </c>
      <c r="C40" s="96" t="str">
        <f>IFERROR(MATCH(pdProveedor,tblProveedores[Proveedor],0),"")</f>
        <v/>
      </c>
      <c r="D40" s="89" t="s">
        <v>316</v>
      </c>
      <c r="G40" s="105" t="s">
        <v>57</v>
      </c>
      <c r="H40" s="105" t="s">
        <v>60</v>
      </c>
      <c r="I40" s="105" t="s">
        <v>63</v>
      </c>
      <c r="J40" s="105" t="s">
        <v>66</v>
      </c>
      <c r="K40" s="105" t="s">
        <v>69</v>
      </c>
      <c r="L40" s="91" t="str">
        <f>IF(AND(ISNUMBER('15_STOCK'!$P40),'15_STOCK'!$P40&gt;0),'15_STOCK'!$P40+ROW()/1000000,"")</f>
        <v/>
      </c>
      <c r="M40" s="91" t="str">
        <f>IFERROR(MATCH('15_STOCK'!$N40,{"INCONSISTENTE","AGOTADO","CRÍTICO","BAJO","SOBRESTOCK"},0)*100000+MIN(99,INT(IF(N('15_STOCK'!$K40)&gt;0,MAX(0,N('15_STOCK'!$J40))/'15_STOCK'!$K40,0)*10))*1000+ROW(),"")</f>
        <v/>
      </c>
      <c r="N40" s="91" t="str">
        <f>IF(AND(ISNUMBER(MATCH('15_STOCK'!$N40,{"AGOTADO","CRÍTICO","BAJO"},0)),'15_STOCK'!$G40="SI",OR(pdProveedor="(Todos)",pdProveedor="",'15_STOCK'!$E40=pdProveedor)),IFERROR(MATCH('15_STOCK'!$E40,tblProveedores[Proveedor],0),999)*1000000+MATCH('15_STOCK'!$N40,{"AGOTADO","CRÍTICO","BAJO"},0)*10000+ROW(),"")</f>
        <v/>
      </c>
      <c r="O40" s="92">
        <v>33</v>
      </c>
      <c r="P40" s="91" t="str">
        <f t="shared" si="1"/>
        <v/>
      </c>
      <c r="Q40" s="91" t="str">
        <f t="shared" si="2"/>
        <v/>
      </c>
      <c r="R40" s="92">
        <v>33</v>
      </c>
      <c r="S40" s="91" t="str">
        <f t="shared" si="3"/>
        <v/>
      </c>
      <c r="T40" s="91" t="str">
        <f t="shared" si="4"/>
        <v/>
      </c>
      <c r="V40" s="92">
        <v>33</v>
      </c>
      <c r="W40" s="93" t="e">
        <f>IF(33&gt;kxMostrados,NA(),INDEX('17_KARDEX'!$C$22:$C$121,kxMostrados-33+1))</f>
        <v>#N/A</v>
      </c>
      <c r="X40" s="91" t="e">
        <f>IF(33&gt;kxMostrados,NA(),INDEX('17_KARDEX'!$G$22:$G$121,kxMostrados-33+1))</f>
        <v>#N/A</v>
      </c>
    </row>
    <row r="41" spans="2:24" x14ac:dyDescent="0.25">
      <c r="B41" s="87" t="s">
        <v>317</v>
      </c>
      <c r="C41" s="88">
        <f>COUNT('18_PEDIDO'!$B$15:$B$514)</f>
        <v>0</v>
      </c>
      <c r="D41" s="89" t="s">
        <v>318</v>
      </c>
      <c r="F41" s="84" t="str">
        <f>IFERROR(INDEX(tblCategorias[Categoría],1),"")</f>
        <v>MATERIA PRIMA</v>
      </c>
      <c r="G41" s="88">
        <f>IF($F41="","",COUNTIFS(tblStock[Categoría],$F41,tblStock[Estado],G$40))</f>
        <v>0</v>
      </c>
      <c r="H41" s="88">
        <f>IF($F41="","",COUNTIFS(tblStock[Categoría],$F41,tblStock[Estado],H$40))</f>
        <v>0</v>
      </c>
      <c r="I41" s="88">
        <f>IF($F41="","",COUNTIFS(tblStock[Categoría],$F41,tblStock[Estado],I$40))</f>
        <v>0</v>
      </c>
      <c r="J41" s="88">
        <f>IF($F41="","",COUNTIFS(tblStock[Categoría],$F41,tblStock[Estado],J$40))</f>
        <v>0</v>
      </c>
      <c r="K41" s="88">
        <f>IF($F41="","",COUNTIFS(tblStock[Categoría],$F41,tblStock[Estado],K$40))</f>
        <v>0</v>
      </c>
      <c r="L41" s="91" t="str">
        <f>IF(AND(ISNUMBER('15_STOCK'!$P41),'15_STOCK'!$P41&gt;0),'15_STOCK'!$P41+ROW()/1000000,"")</f>
        <v/>
      </c>
      <c r="M41" s="91" t="str">
        <f>IFERROR(MATCH('15_STOCK'!$N41,{"INCONSISTENTE","AGOTADO","CRÍTICO","BAJO","SOBRESTOCK"},0)*100000+MIN(99,INT(IF(N('15_STOCK'!$K41)&gt;0,MAX(0,N('15_STOCK'!$J41))/'15_STOCK'!$K41,0)*10))*1000+ROW(),"")</f>
        <v/>
      </c>
      <c r="N41" s="91" t="str">
        <f>IF(AND(ISNUMBER(MATCH('15_STOCK'!$N41,{"AGOTADO","CRÍTICO","BAJO"},0)),'15_STOCK'!$G41="SI",OR(pdProveedor="(Todos)",pdProveedor="",'15_STOCK'!$E41=pdProveedor)),IFERROR(MATCH('15_STOCK'!$E41,tblProveedores[Proveedor],0),999)*1000000+MATCH('15_STOCK'!$N41,{"AGOTADO","CRÍTICO","BAJO"},0)*10000+ROW(),"")</f>
        <v/>
      </c>
      <c r="O41" s="92">
        <v>34</v>
      </c>
      <c r="P41" s="91" t="str">
        <f t="shared" si="1"/>
        <v/>
      </c>
      <c r="Q41" s="91" t="str">
        <f t="shared" si="2"/>
        <v/>
      </c>
      <c r="R41" s="92">
        <v>34</v>
      </c>
      <c r="S41" s="91" t="str">
        <f t="shared" si="3"/>
        <v/>
      </c>
      <c r="T41" s="91" t="str">
        <f t="shared" si="4"/>
        <v/>
      </c>
      <c r="V41" s="92">
        <v>34</v>
      </c>
      <c r="W41" s="93" t="e">
        <f>IF(34&gt;kxMostrados,NA(),INDEX('17_KARDEX'!$C$22:$C$121,kxMostrados-34+1))</f>
        <v>#N/A</v>
      </c>
      <c r="X41" s="91" t="e">
        <f>IF(34&gt;kxMostrados,NA(),INDEX('17_KARDEX'!$G$22:$G$121,kxMostrados-34+1))</f>
        <v>#N/A</v>
      </c>
    </row>
    <row r="42" spans="2:24" x14ac:dyDescent="0.25">
      <c r="B42" s="87" t="s">
        <v>319</v>
      </c>
      <c r="C42" s="94">
        <f>SUM('18_PEDIDO'!$M$15:$M$514)</f>
        <v>0</v>
      </c>
      <c r="D42" s="89" t="s">
        <v>320</v>
      </c>
      <c r="F42" s="84" t="str">
        <f>IFERROR(INDEX(tblCategorias[Categoría],2),"")</f>
        <v>PRODUCTO TERMINADO</v>
      </c>
      <c r="G42" s="88">
        <f>IF($F42="","",COUNTIFS(tblStock[Categoría],$F42,tblStock[Estado],G$40))</f>
        <v>0</v>
      </c>
      <c r="H42" s="88">
        <f>IF($F42="","",COUNTIFS(tblStock[Categoría],$F42,tblStock[Estado],H$40))</f>
        <v>0</v>
      </c>
      <c r="I42" s="88">
        <f>IF($F42="","",COUNTIFS(tblStock[Categoría],$F42,tblStock[Estado],I$40))</f>
        <v>0</v>
      </c>
      <c r="J42" s="88">
        <f>IF($F42="","",COUNTIFS(tblStock[Categoría],$F42,tblStock[Estado],J$40))</f>
        <v>0</v>
      </c>
      <c r="K42" s="88">
        <f>IF($F42="","",COUNTIFS(tblStock[Categoría],$F42,tblStock[Estado],K$40))</f>
        <v>0</v>
      </c>
      <c r="L42" s="91" t="str">
        <f>IF(AND(ISNUMBER('15_STOCK'!$P42),'15_STOCK'!$P42&gt;0),'15_STOCK'!$P42+ROW()/1000000,"")</f>
        <v/>
      </c>
      <c r="M42" s="91" t="str">
        <f>IFERROR(MATCH('15_STOCK'!$N42,{"INCONSISTENTE","AGOTADO","CRÍTICO","BAJO","SOBRESTOCK"},0)*100000+MIN(99,INT(IF(N('15_STOCK'!$K42)&gt;0,MAX(0,N('15_STOCK'!$J42))/'15_STOCK'!$K42,0)*10))*1000+ROW(),"")</f>
        <v/>
      </c>
      <c r="N42" s="91" t="str">
        <f>IF(AND(ISNUMBER(MATCH('15_STOCK'!$N42,{"AGOTADO","CRÍTICO","BAJO"},0)),'15_STOCK'!$G42="SI",OR(pdProveedor="(Todos)",pdProveedor="",'15_STOCK'!$E42=pdProveedor)),IFERROR(MATCH('15_STOCK'!$E42,tblProveedores[Proveedor],0),999)*1000000+MATCH('15_STOCK'!$N42,{"AGOTADO","CRÍTICO","BAJO"},0)*10000+ROW(),"")</f>
        <v/>
      </c>
      <c r="O42" s="92">
        <v>35</v>
      </c>
      <c r="P42" s="91" t="str">
        <f t="shared" si="1"/>
        <v/>
      </c>
      <c r="Q42" s="91" t="str">
        <f t="shared" si="2"/>
        <v/>
      </c>
      <c r="R42" s="92">
        <v>35</v>
      </c>
      <c r="S42" s="91" t="str">
        <f t="shared" si="3"/>
        <v/>
      </c>
      <c r="T42" s="91" t="str">
        <f t="shared" si="4"/>
        <v/>
      </c>
      <c r="V42" s="92">
        <v>35</v>
      </c>
      <c r="W42" s="93" t="e">
        <f>IF(35&gt;kxMostrados,NA(),INDEX('17_KARDEX'!$C$22:$C$121,kxMostrados-35+1))</f>
        <v>#N/A</v>
      </c>
      <c r="X42" s="91" t="e">
        <f>IF(35&gt;kxMostrados,NA(),INDEX('17_KARDEX'!$G$22:$G$121,kxMostrados-35+1))</f>
        <v>#N/A</v>
      </c>
    </row>
    <row r="43" spans="2:24" x14ac:dyDescent="0.25">
      <c r="B43" s="87" t="s">
        <v>321</v>
      </c>
      <c r="C43" s="88">
        <f>SUMPRODUCT(('18_PEDIDO'!$C$15:$C$514&lt;&gt;"")/COUNTIF('18_PEDIDO'!$C$15:$C$514,'18_PEDIDO'!$C$15:$C$514&amp;""))</f>
        <v>0</v>
      </c>
      <c r="D43" s="89" t="s">
        <v>322</v>
      </c>
      <c r="F43" s="84" t="str">
        <f>IFERROR(INDEX(tblCategorias[Categoría],3),"")</f>
        <v>INSUMOS</v>
      </c>
      <c r="G43" s="88">
        <f>IF($F43="","",COUNTIFS(tblStock[Categoría],$F43,tblStock[Estado],G$40))</f>
        <v>0</v>
      </c>
      <c r="H43" s="88">
        <f>IF($F43="","",COUNTIFS(tblStock[Categoría],$F43,tblStock[Estado],H$40))</f>
        <v>0</v>
      </c>
      <c r="I43" s="88">
        <f>IF($F43="","",COUNTIFS(tblStock[Categoría],$F43,tblStock[Estado],I$40))</f>
        <v>0</v>
      </c>
      <c r="J43" s="88">
        <f>IF($F43="","",COUNTIFS(tblStock[Categoría],$F43,tblStock[Estado],J$40))</f>
        <v>0</v>
      </c>
      <c r="K43" s="88">
        <f>IF($F43="","",COUNTIFS(tblStock[Categoría],$F43,tblStock[Estado],K$40))</f>
        <v>0</v>
      </c>
      <c r="L43" s="91" t="str">
        <f>IF(AND(ISNUMBER('15_STOCK'!$P43),'15_STOCK'!$P43&gt;0),'15_STOCK'!$P43+ROW()/1000000,"")</f>
        <v/>
      </c>
      <c r="M43" s="91" t="str">
        <f>IFERROR(MATCH('15_STOCK'!$N43,{"INCONSISTENTE","AGOTADO","CRÍTICO","BAJO","SOBRESTOCK"},0)*100000+MIN(99,INT(IF(N('15_STOCK'!$K43)&gt;0,MAX(0,N('15_STOCK'!$J43))/'15_STOCK'!$K43,0)*10))*1000+ROW(),"")</f>
        <v/>
      </c>
      <c r="N43" s="91" t="str">
        <f>IF(AND(ISNUMBER(MATCH('15_STOCK'!$N43,{"AGOTADO","CRÍTICO","BAJO"},0)),'15_STOCK'!$G43="SI",OR(pdProveedor="(Todos)",pdProveedor="",'15_STOCK'!$E43=pdProveedor)),IFERROR(MATCH('15_STOCK'!$E43,tblProveedores[Proveedor],0),999)*1000000+MATCH('15_STOCK'!$N43,{"AGOTADO","CRÍTICO","BAJO"},0)*10000+ROW(),"")</f>
        <v/>
      </c>
      <c r="O43" s="92">
        <v>36</v>
      </c>
      <c r="P43" s="91" t="str">
        <f t="shared" si="1"/>
        <v/>
      </c>
      <c r="Q43" s="91" t="str">
        <f t="shared" si="2"/>
        <v/>
      </c>
      <c r="R43" s="92">
        <v>36</v>
      </c>
      <c r="S43" s="91" t="str">
        <f t="shared" si="3"/>
        <v/>
      </c>
      <c r="T43" s="91" t="str">
        <f t="shared" si="4"/>
        <v/>
      </c>
      <c r="V43" s="92">
        <v>36</v>
      </c>
      <c r="W43" s="93" t="e">
        <f>IF(36&gt;kxMostrados,NA(),INDEX('17_KARDEX'!$C$22:$C$121,kxMostrados-36+1))</f>
        <v>#N/A</v>
      </c>
      <c r="X43" s="91" t="e">
        <f>IF(36&gt;kxMostrados,NA(),INDEX('17_KARDEX'!$G$22:$G$121,kxMostrados-36+1))</f>
        <v>#N/A</v>
      </c>
    </row>
    <row r="44" spans="2:24" x14ac:dyDescent="0.25">
      <c r="B44" s="87" t="s">
        <v>323</v>
      </c>
      <c r="C44" s="106" t="str">
        <f>IF(kxProducto="","",TRIM(LEFT(kxProducto,FIND(" · ",kxProducto&amp;" · ")-1)))</f>
        <v/>
      </c>
      <c r="D44" s="89" t="s">
        <v>324</v>
      </c>
      <c r="F44" s="84" t="str">
        <f>IFERROR(INDEX(tblCategorias[Categoría],4),"")</f>
        <v>REPUESTOS</v>
      </c>
      <c r="G44" s="88">
        <f>IF($F44="","",COUNTIFS(tblStock[Categoría],$F44,tblStock[Estado],G$40))</f>
        <v>0</v>
      </c>
      <c r="H44" s="88">
        <f>IF($F44="","",COUNTIFS(tblStock[Categoría],$F44,tblStock[Estado],H$40))</f>
        <v>0</v>
      </c>
      <c r="I44" s="88">
        <f>IF($F44="","",COUNTIFS(tblStock[Categoría],$F44,tblStock[Estado],I$40))</f>
        <v>0</v>
      </c>
      <c r="J44" s="88">
        <f>IF($F44="","",COUNTIFS(tblStock[Categoría],$F44,tblStock[Estado],J$40))</f>
        <v>0</v>
      </c>
      <c r="K44" s="88">
        <f>IF($F44="","",COUNTIFS(tblStock[Categoría],$F44,tblStock[Estado],K$40))</f>
        <v>0</v>
      </c>
      <c r="L44" s="91" t="str">
        <f>IF(AND(ISNUMBER('15_STOCK'!$P44),'15_STOCK'!$P44&gt;0),'15_STOCK'!$P44+ROW()/1000000,"")</f>
        <v/>
      </c>
      <c r="M44" s="91" t="str">
        <f>IFERROR(MATCH('15_STOCK'!$N44,{"INCONSISTENTE","AGOTADO","CRÍTICO","BAJO","SOBRESTOCK"},0)*100000+MIN(99,INT(IF(N('15_STOCK'!$K44)&gt;0,MAX(0,N('15_STOCK'!$J44))/'15_STOCK'!$K44,0)*10))*1000+ROW(),"")</f>
        <v/>
      </c>
      <c r="N44" s="91" t="str">
        <f>IF(AND(ISNUMBER(MATCH('15_STOCK'!$N44,{"AGOTADO","CRÍTICO","BAJO"},0)),'15_STOCK'!$G44="SI",OR(pdProveedor="(Todos)",pdProveedor="",'15_STOCK'!$E44=pdProveedor)),IFERROR(MATCH('15_STOCK'!$E44,tblProveedores[Proveedor],0),999)*1000000+MATCH('15_STOCK'!$N44,{"AGOTADO","CRÍTICO","BAJO"},0)*10000+ROW(),"")</f>
        <v/>
      </c>
      <c r="O44" s="92">
        <v>37</v>
      </c>
      <c r="P44" s="91" t="str">
        <f t="shared" si="1"/>
        <v/>
      </c>
      <c r="Q44" s="91" t="str">
        <f t="shared" si="2"/>
        <v/>
      </c>
      <c r="R44" s="92">
        <v>37</v>
      </c>
      <c r="S44" s="91" t="str">
        <f t="shared" si="3"/>
        <v/>
      </c>
      <c r="T44" s="91" t="str">
        <f t="shared" si="4"/>
        <v/>
      </c>
      <c r="V44" s="92">
        <v>37</v>
      </c>
      <c r="W44" s="93" t="e">
        <f>IF(37&gt;kxMostrados,NA(),INDEX('17_KARDEX'!$C$22:$C$121,kxMostrados-37+1))</f>
        <v>#N/A</v>
      </c>
      <c r="X44" s="91" t="e">
        <f>IF(37&gt;kxMostrados,NA(),INDEX('17_KARDEX'!$G$22:$G$121,kxMostrados-37+1))</f>
        <v>#N/A</v>
      </c>
    </row>
    <row r="45" spans="2:24" x14ac:dyDescent="0.25">
      <c r="B45" s="87" t="s">
        <v>325</v>
      </c>
      <c r="C45" s="96" t="str">
        <f>IF(kxSKU="","",IFERROR(MATCH(kxSKU,tblStock[SKU],0),""))</f>
        <v/>
      </c>
      <c r="D45" s="89" t="s">
        <v>326</v>
      </c>
      <c r="F45" s="84" t="str">
        <f>IFERROR(INDEX(tblCategorias[Categoría],5),"")</f>
        <v>EMPAQUES</v>
      </c>
      <c r="G45" s="88">
        <f>IF($F45="","",COUNTIFS(tblStock[Categoría],$F45,tblStock[Estado],G$40))</f>
        <v>0</v>
      </c>
      <c r="H45" s="88">
        <f>IF($F45="","",COUNTIFS(tblStock[Categoría],$F45,tblStock[Estado],H$40))</f>
        <v>0</v>
      </c>
      <c r="I45" s="88">
        <f>IF($F45="","",COUNTIFS(tblStock[Categoría],$F45,tblStock[Estado],I$40))</f>
        <v>0</v>
      </c>
      <c r="J45" s="88">
        <f>IF($F45="","",COUNTIFS(tblStock[Categoría],$F45,tblStock[Estado],J$40))</f>
        <v>0</v>
      </c>
      <c r="K45" s="88">
        <f>IF($F45="","",COUNTIFS(tblStock[Categoría],$F45,tblStock[Estado],K$40))</f>
        <v>0</v>
      </c>
      <c r="L45" s="91" t="str">
        <f>IF(AND(ISNUMBER('15_STOCK'!$P45),'15_STOCK'!$P45&gt;0),'15_STOCK'!$P45+ROW()/1000000,"")</f>
        <v/>
      </c>
      <c r="M45" s="91" t="str">
        <f>IFERROR(MATCH('15_STOCK'!$N45,{"INCONSISTENTE","AGOTADO","CRÍTICO","BAJO","SOBRESTOCK"},0)*100000+MIN(99,INT(IF(N('15_STOCK'!$K45)&gt;0,MAX(0,N('15_STOCK'!$J45))/'15_STOCK'!$K45,0)*10))*1000+ROW(),"")</f>
        <v/>
      </c>
      <c r="N45" s="91" t="str">
        <f>IF(AND(ISNUMBER(MATCH('15_STOCK'!$N45,{"AGOTADO","CRÍTICO","BAJO"},0)),'15_STOCK'!$G45="SI",OR(pdProveedor="(Todos)",pdProveedor="",'15_STOCK'!$E45=pdProveedor)),IFERROR(MATCH('15_STOCK'!$E45,tblProveedores[Proveedor],0),999)*1000000+MATCH('15_STOCK'!$N45,{"AGOTADO","CRÍTICO","BAJO"},0)*10000+ROW(),"")</f>
        <v/>
      </c>
      <c r="O45" s="92">
        <v>38</v>
      </c>
      <c r="P45" s="91" t="str">
        <f t="shared" si="1"/>
        <v/>
      </c>
      <c r="Q45" s="91" t="str">
        <f t="shared" si="2"/>
        <v/>
      </c>
      <c r="R45" s="92">
        <v>38</v>
      </c>
      <c r="S45" s="91" t="str">
        <f t="shared" si="3"/>
        <v/>
      </c>
      <c r="T45" s="91" t="str">
        <f t="shared" si="4"/>
        <v/>
      </c>
      <c r="V45" s="92">
        <v>38</v>
      </c>
      <c r="W45" s="93" t="e">
        <f>IF(38&gt;kxMostrados,NA(),INDEX('17_KARDEX'!$C$22:$C$121,kxMostrados-38+1))</f>
        <v>#N/A</v>
      </c>
      <c r="X45" s="91" t="e">
        <f>IF(38&gt;kxMostrados,NA(),INDEX('17_KARDEX'!$G$22:$G$121,kxMostrados-38+1))</f>
        <v>#N/A</v>
      </c>
    </row>
    <row r="46" spans="2:24" x14ac:dyDescent="0.25">
      <c r="B46" s="87" t="s">
        <v>327</v>
      </c>
      <c r="C46" s="107" t="b">
        <f>ISNUMBER(kxFila)</f>
        <v>0</v>
      </c>
      <c r="D46" s="89" t="s">
        <v>328</v>
      </c>
      <c r="F46" s="84" t="str">
        <f>IFERROR(INDEX(tblCategorias[Categoría],6),"")</f>
        <v>GENERAL</v>
      </c>
      <c r="G46" s="88">
        <f>IF($F46="","",COUNTIFS(tblStock[Categoría],$F46,tblStock[Estado],G$40))</f>
        <v>0</v>
      </c>
      <c r="H46" s="88">
        <f>IF($F46="","",COUNTIFS(tblStock[Categoría],$F46,tblStock[Estado],H$40))</f>
        <v>0</v>
      </c>
      <c r="I46" s="88">
        <f>IF($F46="","",COUNTIFS(tblStock[Categoría],$F46,tblStock[Estado],I$40))</f>
        <v>0</v>
      </c>
      <c r="J46" s="88">
        <f>IF($F46="","",COUNTIFS(tblStock[Categoría],$F46,tblStock[Estado],J$40))</f>
        <v>0</v>
      </c>
      <c r="K46" s="88">
        <f>IF($F46="","",COUNTIFS(tblStock[Categoría],$F46,tblStock[Estado],K$40))</f>
        <v>0</v>
      </c>
      <c r="L46" s="91" t="str">
        <f>IF(AND(ISNUMBER('15_STOCK'!$P46),'15_STOCK'!$P46&gt;0),'15_STOCK'!$P46+ROW()/1000000,"")</f>
        <v/>
      </c>
      <c r="M46" s="91" t="str">
        <f>IFERROR(MATCH('15_STOCK'!$N46,{"INCONSISTENTE","AGOTADO","CRÍTICO","BAJO","SOBRESTOCK"},0)*100000+MIN(99,INT(IF(N('15_STOCK'!$K46)&gt;0,MAX(0,N('15_STOCK'!$J46))/'15_STOCK'!$K46,0)*10))*1000+ROW(),"")</f>
        <v/>
      </c>
      <c r="N46" s="91" t="str">
        <f>IF(AND(ISNUMBER(MATCH('15_STOCK'!$N46,{"AGOTADO","CRÍTICO","BAJO"},0)),'15_STOCK'!$G46="SI",OR(pdProveedor="(Todos)",pdProveedor="",'15_STOCK'!$E46=pdProveedor)),IFERROR(MATCH('15_STOCK'!$E46,tblProveedores[Proveedor],0),999)*1000000+MATCH('15_STOCK'!$N46,{"AGOTADO","CRÍTICO","BAJO"},0)*10000+ROW(),"")</f>
        <v/>
      </c>
      <c r="O46" s="92">
        <v>39</v>
      </c>
      <c r="P46" s="91" t="str">
        <f t="shared" si="1"/>
        <v/>
      </c>
      <c r="Q46" s="91" t="str">
        <f t="shared" si="2"/>
        <v/>
      </c>
      <c r="R46" s="92">
        <v>39</v>
      </c>
      <c r="S46" s="91" t="str">
        <f t="shared" si="3"/>
        <v/>
      </c>
      <c r="T46" s="91" t="str">
        <f t="shared" si="4"/>
        <v/>
      </c>
      <c r="V46" s="92">
        <v>39</v>
      </c>
      <c r="W46" s="93" t="e">
        <f>IF(39&gt;kxMostrados,NA(),INDEX('17_KARDEX'!$C$22:$C$121,kxMostrados-39+1))</f>
        <v>#N/A</v>
      </c>
      <c r="X46" s="91" t="e">
        <f>IF(39&gt;kxMostrados,NA(),INDEX('17_KARDEX'!$G$22:$G$121,kxMostrados-39+1))</f>
        <v>#N/A</v>
      </c>
    </row>
    <row r="47" spans="2:24" x14ac:dyDescent="0.25">
      <c r="B47" s="87" t="s">
        <v>329</v>
      </c>
      <c r="C47" s="88">
        <f>IF(kxSKU="",0,COUNTIF(tblMovimientos[SKU],kxSKU))</f>
        <v>0</v>
      </c>
      <c r="D47" s="89" t="s">
        <v>330</v>
      </c>
      <c r="L47" s="91" t="str">
        <f>IF(AND(ISNUMBER('15_STOCK'!$P47),'15_STOCK'!$P47&gt;0),'15_STOCK'!$P47+ROW()/1000000,"")</f>
        <v/>
      </c>
      <c r="M47" s="91" t="str">
        <f>IFERROR(MATCH('15_STOCK'!$N47,{"INCONSISTENTE","AGOTADO","CRÍTICO","BAJO","SOBRESTOCK"},0)*100000+MIN(99,INT(IF(N('15_STOCK'!$K47)&gt;0,MAX(0,N('15_STOCK'!$J47))/'15_STOCK'!$K47,0)*10))*1000+ROW(),"")</f>
        <v/>
      </c>
      <c r="N47" s="91" t="str">
        <f>IF(AND(ISNUMBER(MATCH('15_STOCK'!$N47,{"AGOTADO","CRÍTICO","BAJO"},0)),'15_STOCK'!$G47="SI",OR(pdProveedor="(Todos)",pdProveedor="",'15_STOCK'!$E47=pdProveedor)),IFERROR(MATCH('15_STOCK'!$E47,tblProveedores[Proveedor],0),999)*1000000+MATCH('15_STOCK'!$N47,{"AGOTADO","CRÍTICO","BAJO"},0)*10000+ROW(),"")</f>
        <v/>
      </c>
      <c r="O47" s="92">
        <v>40</v>
      </c>
      <c r="P47" s="91" t="str">
        <f t="shared" si="1"/>
        <v/>
      </c>
      <c r="Q47" s="91" t="str">
        <f t="shared" si="2"/>
        <v/>
      </c>
      <c r="R47" s="92">
        <v>40</v>
      </c>
      <c r="S47" s="91" t="str">
        <f t="shared" si="3"/>
        <v/>
      </c>
      <c r="T47" s="91" t="str">
        <f t="shared" si="4"/>
        <v/>
      </c>
      <c r="V47" s="92">
        <v>40</v>
      </c>
      <c r="W47" s="93" t="e">
        <f>IF(40&gt;kxMostrados,NA(),INDEX('17_KARDEX'!$C$22:$C$121,kxMostrados-40+1))</f>
        <v>#N/A</v>
      </c>
      <c r="X47" s="91" t="e">
        <f>IF(40&gt;kxMostrados,NA(),INDEX('17_KARDEX'!$G$22:$G$121,kxMostrados-40+1))</f>
        <v>#N/A</v>
      </c>
    </row>
    <row r="48" spans="2:24" x14ac:dyDescent="0.25">
      <c r="B48" s="87" t="s">
        <v>331</v>
      </c>
      <c r="C48" s="108">
        <f>IF(kxExiste,N(INDEX(tblStock[StockActual],kxFila)),0)</f>
        <v>0</v>
      </c>
      <c r="D48" s="89" t="s">
        <v>332</v>
      </c>
      <c r="L48" s="91" t="str">
        <f>IF(AND(ISNUMBER('15_STOCK'!$P48),'15_STOCK'!$P48&gt;0),'15_STOCK'!$P48+ROW()/1000000,"")</f>
        <v/>
      </c>
      <c r="M48" s="91" t="str">
        <f>IFERROR(MATCH('15_STOCK'!$N48,{"INCONSISTENTE","AGOTADO","CRÍTICO","BAJO","SOBRESTOCK"},0)*100000+MIN(99,INT(IF(N('15_STOCK'!$K48)&gt;0,MAX(0,N('15_STOCK'!$J48))/'15_STOCK'!$K48,0)*10))*1000+ROW(),"")</f>
        <v/>
      </c>
      <c r="N48" s="91" t="str">
        <f>IF(AND(ISNUMBER(MATCH('15_STOCK'!$N48,{"AGOTADO","CRÍTICO","BAJO"},0)),'15_STOCK'!$G48="SI",OR(pdProveedor="(Todos)",pdProveedor="",'15_STOCK'!$E48=pdProveedor)),IFERROR(MATCH('15_STOCK'!$E48,tblProveedores[Proveedor],0),999)*1000000+MATCH('15_STOCK'!$N48,{"AGOTADO","CRÍTICO","BAJO"},0)*10000+ROW(),"")</f>
        <v/>
      </c>
      <c r="O48" s="92">
        <v>41</v>
      </c>
      <c r="P48" s="91" t="str">
        <f t="shared" si="1"/>
        <v/>
      </c>
      <c r="Q48" s="91" t="str">
        <f t="shared" si="2"/>
        <v/>
      </c>
      <c r="R48" s="92">
        <v>41</v>
      </c>
      <c r="S48" s="91" t="str">
        <f t="shared" si="3"/>
        <v/>
      </c>
      <c r="T48" s="91" t="str">
        <f t="shared" si="4"/>
        <v/>
      </c>
      <c r="V48" s="92">
        <v>41</v>
      </c>
      <c r="W48" s="93" t="e">
        <f>IF(41&gt;kxMostrados,NA(),INDEX('17_KARDEX'!$C$22:$C$121,kxMostrados-41+1))</f>
        <v>#N/A</v>
      </c>
      <c r="X48" s="91" t="e">
        <f>IF(41&gt;kxMostrados,NA(),INDEX('17_KARDEX'!$G$22:$G$121,kxMostrados-41+1))</f>
        <v>#N/A</v>
      </c>
    </row>
    <row r="49" spans="2:24" x14ac:dyDescent="0.25">
      <c r="B49" s="87" t="s">
        <v>333</v>
      </c>
      <c r="C49" s="88">
        <f>COUNT('17_KARDEX'!$B$22:$B$121)</f>
        <v>0</v>
      </c>
      <c r="D49" s="89" t="s">
        <v>334</v>
      </c>
      <c r="L49" s="91" t="str">
        <f>IF(AND(ISNUMBER('15_STOCK'!$P49),'15_STOCK'!$P49&gt;0),'15_STOCK'!$P49+ROW()/1000000,"")</f>
        <v/>
      </c>
      <c r="M49" s="91" t="str">
        <f>IFERROR(MATCH('15_STOCK'!$N49,{"INCONSISTENTE","AGOTADO","CRÍTICO","BAJO","SOBRESTOCK"},0)*100000+MIN(99,INT(IF(N('15_STOCK'!$K49)&gt;0,MAX(0,N('15_STOCK'!$J49))/'15_STOCK'!$K49,0)*10))*1000+ROW(),"")</f>
        <v/>
      </c>
      <c r="N49" s="91" t="str">
        <f>IF(AND(ISNUMBER(MATCH('15_STOCK'!$N49,{"AGOTADO","CRÍTICO","BAJO"},0)),'15_STOCK'!$G49="SI",OR(pdProveedor="(Todos)",pdProveedor="",'15_STOCK'!$E49=pdProveedor)),IFERROR(MATCH('15_STOCK'!$E49,tblProveedores[Proveedor],0),999)*1000000+MATCH('15_STOCK'!$N49,{"AGOTADO","CRÍTICO","BAJO"},0)*10000+ROW(),"")</f>
        <v/>
      </c>
      <c r="O49" s="92">
        <v>42</v>
      </c>
      <c r="P49" s="91" t="str">
        <f t="shared" si="1"/>
        <v/>
      </c>
      <c r="Q49" s="91" t="str">
        <f t="shared" si="2"/>
        <v/>
      </c>
      <c r="R49" s="92">
        <v>42</v>
      </c>
      <c r="S49" s="91" t="str">
        <f t="shared" si="3"/>
        <v/>
      </c>
      <c r="T49" s="91" t="str">
        <f t="shared" si="4"/>
        <v/>
      </c>
      <c r="V49" s="92">
        <v>42</v>
      </c>
      <c r="W49" s="93" t="e">
        <f>IF(42&gt;kxMostrados,NA(),INDEX('17_KARDEX'!$C$22:$C$121,kxMostrados-42+1))</f>
        <v>#N/A</v>
      </c>
      <c r="X49" s="91" t="e">
        <f>IF(42&gt;kxMostrados,NA(),INDEX('17_KARDEX'!$G$22:$G$121,kxMostrados-42+1))</f>
        <v>#N/A</v>
      </c>
    </row>
    <row r="50" spans="2:24" x14ac:dyDescent="0.25">
      <c r="B50" s="87" t="s">
        <v>335</v>
      </c>
      <c r="C50" s="88">
        <f>COUNT('90_LISTAS'!$O$8:$O$507)</f>
        <v>0</v>
      </c>
      <c r="D50" s="89" t="s">
        <v>336</v>
      </c>
      <c r="L50" s="91" t="str">
        <f>IF(AND(ISNUMBER('15_STOCK'!$P50),'15_STOCK'!$P50&gt;0),'15_STOCK'!$P50+ROW()/1000000,"")</f>
        <v/>
      </c>
      <c r="M50" s="91" t="str">
        <f>IFERROR(MATCH('15_STOCK'!$N50,{"INCONSISTENTE","AGOTADO","CRÍTICO","BAJO","SOBRESTOCK"},0)*100000+MIN(99,INT(IF(N('15_STOCK'!$K50)&gt;0,MAX(0,N('15_STOCK'!$J50))/'15_STOCK'!$K50,0)*10))*1000+ROW(),"")</f>
        <v/>
      </c>
      <c r="N50" s="91" t="str">
        <f>IF(AND(ISNUMBER(MATCH('15_STOCK'!$N50,{"AGOTADO","CRÍTICO","BAJO"},0)),'15_STOCK'!$G50="SI",OR(pdProveedor="(Todos)",pdProveedor="",'15_STOCK'!$E50=pdProveedor)),IFERROR(MATCH('15_STOCK'!$E50,tblProveedores[Proveedor],0),999)*1000000+MATCH('15_STOCK'!$N50,{"AGOTADO","CRÍTICO","BAJO"},0)*10000+ROW(),"")</f>
        <v/>
      </c>
      <c r="O50" s="92">
        <v>43</v>
      </c>
      <c r="P50" s="91" t="str">
        <f t="shared" si="1"/>
        <v/>
      </c>
      <c r="Q50" s="91" t="str">
        <f t="shared" si="2"/>
        <v/>
      </c>
      <c r="R50" s="92">
        <v>43</v>
      </c>
      <c r="S50" s="91" t="str">
        <f t="shared" si="3"/>
        <v/>
      </c>
      <c r="T50" s="91" t="str">
        <f t="shared" si="4"/>
        <v/>
      </c>
      <c r="V50" s="92">
        <v>43</v>
      </c>
      <c r="W50" s="93" t="e">
        <f>IF(43&gt;kxMostrados,NA(),INDEX('17_KARDEX'!$C$22:$C$121,kxMostrados-43+1))</f>
        <v>#N/A</v>
      </c>
      <c r="X50" s="91" t="e">
        <f>IF(43&gt;kxMostrados,NA(),INDEX('17_KARDEX'!$G$22:$G$121,kxMostrados-43+1))</f>
        <v>#N/A</v>
      </c>
    </row>
    <row r="51" spans="2:24" x14ac:dyDescent="0.25">
      <c r="B51" s="87" t="s">
        <v>337</v>
      </c>
      <c r="C51" s="96">
        <f>IF(kpiErrores&gt;0,1,IF(cfgEmpresa="NOMBRE DE SU EMPRESA",2,IF(kpiCatalogo=0,3,IF(kpiRegistros=0,4,IF(kpiAdvertencias&gt;0,5,IF(kpiConteoContados&gt;0,6,IF(kpiAgotados&gt;0,7,IF(kpiEnAlerta&gt;0,8,IF(kpiSinRotacion&gt;0,9,10)))))))))</f>
        <v>2</v>
      </c>
      <c r="D51" s="89" t="s">
        <v>338</v>
      </c>
      <c r="L51" s="91" t="str">
        <f>IF(AND(ISNUMBER('15_STOCK'!$P51),'15_STOCK'!$P51&gt;0),'15_STOCK'!$P51+ROW()/1000000,"")</f>
        <v/>
      </c>
      <c r="M51" s="91" t="str">
        <f>IFERROR(MATCH('15_STOCK'!$N51,{"INCONSISTENTE","AGOTADO","CRÍTICO","BAJO","SOBRESTOCK"},0)*100000+MIN(99,INT(IF(N('15_STOCK'!$K51)&gt;0,MAX(0,N('15_STOCK'!$J51))/'15_STOCK'!$K51,0)*10))*1000+ROW(),"")</f>
        <v/>
      </c>
      <c r="N51" s="91" t="str">
        <f>IF(AND(ISNUMBER(MATCH('15_STOCK'!$N51,{"AGOTADO","CRÍTICO","BAJO"},0)),'15_STOCK'!$G51="SI",OR(pdProveedor="(Todos)",pdProveedor="",'15_STOCK'!$E51=pdProveedor)),IFERROR(MATCH('15_STOCK'!$E51,tblProveedores[Proveedor],0),999)*1000000+MATCH('15_STOCK'!$N51,{"AGOTADO","CRÍTICO","BAJO"},0)*10000+ROW(),"")</f>
        <v/>
      </c>
      <c r="O51" s="92">
        <v>44</v>
      </c>
      <c r="P51" s="91" t="str">
        <f t="shared" si="1"/>
        <v/>
      </c>
      <c r="Q51" s="91" t="str">
        <f t="shared" si="2"/>
        <v/>
      </c>
      <c r="R51" s="92">
        <v>44</v>
      </c>
      <c r="S51" s="91" t="str">
        <f t="shared" si="3"/>
        <v/>
      </c>
      <c r="T51" s="91" t="str">
        <f t="shared" si="4"/>
        <v/>
      </c>
      <c r="V51" s="92">
        <v>44</v>
      </c>
      <c r="W51" s="93" t="e">
        <f>IF(44&gt;kxMostrados,NA(),INDEX('17_KARDEX'!$C$22:$C$121,kxMostrados-44+1))</f>
        <v>#N/A</v>
      </c>
      <c r="X51" s="91" t="e">
        <f>IF(44&gt;kxMostrados,NA(),INDEX('17_KARDEX'!$G$22:$G$121,kxMostrados-44+1))</f>
        <v>#N/A</v>
      </c>
    </row>
    <row r="52" spans="2:24" x14ac:dyDescent="0.25">
      <c r="B52" s="87" t="s">
        <v>339</v>
      </c>
      <c r="C52" s="96">
        <f>CHOOSE(kpiPaso,1,3,3,3,2,2,1,2,3,4)</f>
        <v>3</v>
      </c>
      <c r="D52" s="89" t="s">
        <v>340</v>
      </c>
      <c r="L52" s="91" t="str">
        <f>IF(AND(ISNUMBER('15_STOCK'!$P52),'15_STOCK'!$P52&gt;0),'15_STOCK'!$P52+ROW()/1000000,"")</f>
        <v/>
      </c>
      <c r="M52" s="91" t="str">
        <f>IFERROR(MATCH('15_STOCK'!$N52,{"INCONSISTENTE","AGOTADO","CRÍTICO","BAJO","SOBRESTOCK"},0)*100000+MIN(99,INT(IF(N('15_STOCK'!$K52)&gt;0,MAX(0,N('15_STOCK'!$J52))/'15_STOCK'!$K52,0)*10))*1000+ROW(),"")</f>
        <v/>
      </c>
      <c r="N52" s="91" t="str">
        <f>IF(AND(ISNUMBER(MATCH('15_STOCK'!$N52,{"AGOTADO","CRÍTICO","BAJO"},0)),'15_STOCK'!$G52="SI",OR(pdProveedor="(Todos)",pdProveedor="",'15_STOCK'!$E52=pdProveedor)),IFERROR(MATCH('15_STOCK'!$E52,tblProveedores[Proveedor],0),999)*1000000+MATCH('15_STOCK'!$N52,{"AGOTADO","CRÍTICO","BAJO"},0)*10000+ROW(),"")</f>
        <v/>
      </c>
      <c r="O52" s="92">
        <v>45</v>
      </c>
      <c r="P52" s="91" t="str">
        <f t="shared" si="1"/>
        <v/>
      </c>
      <c r="Q52" s="91" t="str">
        <f t="shared" si="2"/>
        <v/>
      </c>
      <c r="R52" s="92">
        <v>45</v>
      </c>
      <c r="S52" s="91" t="str">
        <f t="shared" si="3"/>
        <v/>
      </c>
      <c r="T52" s="91" t="str">
        <f t="shared" si="4"/>
        <v/>
      </c>
      <c r="V52" s="92">
        <v>45</v>
      </c>
      <c r="W52" s="93" t="e">
        <f>IF(45&gt;kxMostrados,NA(),INDEX('17_KARDEX'!$C$22:$C$121,kxMostrados-45+1))</f>
        <v>#N/A</v>
      </c>
      <c r="X52" s="91" t="e">
        <f>IF(45&gt;kxMostrados,NA(),INDEX('17_KARDEX'!$G$22:$G$121,kxMostrados-45+1))</f>
        <v>#N/A</v>
      </c>
    </row>
    <row r="53" spans="2:24" x14ac:dyDescent="0.25">
      <c r="B53" s="87" t="s">
        <v>341</v>
      </c>
      <c r="C53" s="106" t="str">
        <f>CHOOSE(kpiPaso,"✖  "&amp;kpiErrores&amp;" registro(s) con error en la bitácora: corríjalos con un AJUSTE justificado.","①  Primeros pasos: el administrador debe personalizar el nombre de la empresa y las categorías.","②  Registre sus productos en el Catálogo (SKU, nombre, categoría, unidad, mínimos y proveedor).","③  Cargue el SALDO INICIAL de cada producto (conteo físico de arranque) para activar el tablero.","⚠  "&amp;kpiAdvertencias&amp;" registro(s) incompletos en la bitácora: complételos.","⚠  Hay un conteo físico en curso ("&amp;kpiConteoContados&amp;" productos): registre los ajustes sugeridos y borre el conteo.","●  "&amp;kpiAgotados&amp;" producto(s) agotado(s): prepare hoy el pedido sugerido.","●  "&amp;kpiEnAlerta&amp;" producto(s) por reponer: revise el pedido sugerido.","●  "&amp;kpiSinRotacion&amp;" producto(s) sin movimiento hace más de "&amp;cfgDiasSinRotacion&amp;" días: evalúe promociones o devolución.","✔  Todo en orden: inventario saludable y bitácora íntegra.")</f>
        <v>①  Primeros pasos: el administrador debe personalizar el nombre de la empresa y las categorías.</v>
      </c>
      <c r="D53" s="89" t="s">
        <v>342</v>
      </c>
      <c r="L53" s="91" t="str">
        <f>IF(AND(ISNUMBER('15_STOCK'!$P53),'15_STOCK'!$P53&gt;0),'15_STOCK'!$P53+ROW()/1000000,"")</f>
        <v/>
      </c>
      <c r="M53" s="91" t="str">
        <f>IFERROR(MATCH('15_STOCK'!$N53,{"INCONSISTENTE","AGOTADO","CRÍTICO","BAJO","SOBRESTOCK"},0)*100000+MIN(99,INT(IF(N('15_STOCK'!$K53)&gt;0,MAX(0,N('15_STOCK'!$J53))/'15_STOCK'!$K53,0)*10))*1000+ROW(),"")</f>
        <v/>
      </c>
      <c r="N53" s="91" t="str">
        <f>IF(AND(ISNUMBER(MATCH('15_STOCK'!$N53,{"AGOTADO","CRÍTICO","BAJO"},0)),'15_STOCK'!$G53="SI",OR(pdProveedor="(Todos)",pdProveedor="",'15_STOCK'!$E53=pdProveedor)),IFERROR(MATCH('15_STOCK'!$E53,tblProveedores[Proveedor],0),999)*1000000+MATCH('15_STOCK'!$N53,{"AGOTADO","CRÍTICO","BAJO"},0)*10000+ROW(),"")</f>
        <v/>
      </c>
      <c r="O53" s="92">
        <v>46</v>
      </c>
      <c r="P53" s="91" t="str">
        <f t="shared" si="1"/>
        <v/>
      </c>
      <c r="Q53" s="91" t="str">
        <f t="shared" si="2"/>
        <v/>
      </c>
      <c r="R53" s="92">
        <v>46</v>
      </c>
      <c r="S53" s="91" t="str">
        <f t="shared" si="3"/>
        <v/>
      </c>
      <c r="T53" s="91" t="str">
        <f t="shared" si="4"/>
        <v/>
      </c>
      <c r="V53" s="92">
        <v>46</v>
      </c>
      <c r="W53" s="93" t="e">
        <f>IF(46&gt;kxMostrados,NA(),INDEX('17_KARDEX'!$C$22:$C$121,kxMostrados-46+1))</f>
        <v>#N/A</v>
      </c>
      <c r="X53" s="91" t="e">
        <f>IF(46&gt;kxMostrados,NA(),INDEX('17_KARDEX'!$G$22:$G$121,kxMostrados-46+1))</f>
        <v>#N/A</v>
      </c>
    </row>
    <row r="54" spans="2:24" x14ac:dyDescent="0.25">
      <c r="B54" s="87" t="s">
        <v>343</v>
      </c>
      <c r="C54" s="106" t="str">
        <f>CHOOSE(kpiPaso,"Ver errores  ➜","Ver guía  ➜","Ir al catálogo  ➜","Registrar  ➜","Completar  ➜","Ir al conteo  ➜","Ver pedido  ➜","Ver pedido  ➜","Ver stock  ➜","Ver stock  ➜")</f>
        <v>Ver guía  ➜</v>
      </c>
      <c r="D54" s="89" t="s">
        <v>344</v>
      </c>
      <c r="L54" s="91" t="str">
        <f>IF(AND(ISNUMBER('15_STOCK'!$P54),'15_STOCK'!$P54&gt;0),'15_STOCK'!$P54+ROW()/1000000,"")</f>
        <v/>
      </c>
      <c r="M54" s="91" t="str">
        <f>IFERROR(MATCH('15_STOCK'!$N54,{"INCONSISTENTE","AGOTADO","CRÍTICO","BAJO","SOBRESTOCK"},0)*100000+MIN(99,INT(IF(N('15_STOCK'!$K54)&gt;0,MAX(0,N('15_STOCK'!$J54))/'15_STOCK'!$K54,0)*10))*1000+ROW(),"")</f>
        <v/>
      </c>
      <c r="N54" s="91" t="str">
        <f>IF(AND(ISNUMBER(MATCH('15_STOCK'!$N54,{"AGOTADO","CRÍTICO","BAJO"},0)),'15_STOCK'!$G54="SI",OR(pdProveedor="(Todos)",pdProveedor="",'15_STOCK'!$E54=pdProveedor)),IFERROR(MATCH('15_STOCK'!$E54,tblProveedores[Proveedor],0),999)*1000000+MATCH('15_STOCK'!$N54,{"AGOTADO","CRÍTICO","BAJO"},0)*10000+ROW(),"")</f>
        <v/>
      </c>
      <c r="O54" s="92">
        <v>47</v>
      </c>
      <c r="P54" s="91" t="str">
        <f t="shared" si="1"/>
        <v/>
      </c>
      <c r="Q54" s="91" t="str">
        <f t="shared" si="2"/>
        <v/>
      </c>
      <c r="R54" s="92">
        <v>47</v>
      </c>
      <c r="S54" s="91" t="str">
        <f t="shared" si="3"/>
        <v/>
      </c>
      <c r="T54" s="91" t="str">
        <f t="shared" si="4"/>
        <v/>
      </c>
      <c r="V54" s="92">
        <v>47</v>
      </c>
      <c r="W54" s="93" t="e">
        <f>IF(47&gt;kxMostrados,NA(),INDEX('17_KARDEX'!$C$22:$C$121,kxMostrados-47+1))</f>
        <v>#N/A</v>
      </c>
      <c r="X54" s="91" t="e">
        <f>IF(47&gt;kxMostrados,NA(),INDEX('17_KARDEX'!$G$22:$G$121,kxMostrados-47+1))</f>
        <v>#N/A</v>
      </c>
    </row>
    <row r="55" spans="2:24" x14ac:dyDescent="0.25">
      <c r="B55" s="87" t="s">
        <v>345</v>
      </c>
      <c r="C55" s="109">
        <f>kpiCatalogo</f>
        <v>0</v>
      </c>
      <c r="D55" s="89" t="s">
        <v>346</v>
      </c>
      <c r="L55" s="91" t="str">
        <f>IF(AND(ISNUMBER('15_STOCK'!$P55),'15_STOCK'!$P55&gt;0),'15_STOCK'!$P55+ROW()/1000000,"")</f>
        <v/>
      </c>
      <c r="M55" s="91" t="str">
        <f>IFERROR(MATCH('15_STOCK'!$N55,{"INCONSISTENTE","AGOTADO","CRÍTICO","BAJO","SOBRESTOCK"},0)*100000+MIN(99,INT(IF(N('15_STOCK'!$K55)&gt;0,MAX(0,N('15_STOCK'!$J55))/'15_STOCK'!$K55,0)*10))*1000+ROW(),"")</f>
        <v/>
      </c>
      <c r="N55" s="91" t="str">
        <f>IF(AND(ISNUMBER(MATCH('15_STOCK'!$N55,{"AGOTADO","CRÍTICO","BAJO"},0)),'15_STOCK'!$G55="SI",OR(pdProveedor="(Todos)",pdProveedor="",'15_STOCK'!$E55=pdProveedor)),IFERROR(MATCH('15_STOCK'!$E55,tblProveedores[Proveedor],0),999)*1000000+MATCH('15_STOCK'!$N55,{"AGOTADO","CRÍTICO","BAJO"},0)*10000+ROW(),"")</f>
        <v/>
      </c>
      <c r="O55" s="92">
        <v>48</v>
      </c>
      <c r="P55" s="91" t="str">
        <f t="shared" si="1"/>
        <v/>
      </c>
      <c r="Q55" s="91" t="str">
        <f t="shared" si="2"/>
        <v/>
      </c>
      <c r="R55" s="92">
        <v>48</v>
      </c>
      <c r="S55" s="91" t="str">
        <f t="shared" si="3"/>
        <v/>
      </c>
      <c r="T55" s="91" t="str">
        <f t="shared" si="4"/>
        <v/>
      </c>
      <c r="V55" s="92">
        <v>48</v>
      </c>
      <c r="W55" s="93" t="e">
        <f>IF(48&gt;kxMostrados,NA(),INDEX('17_KARDEX'!$C$22:$C$121,kxMostrados-48+1))</f>
        <v>#N/A</v>
      </c>
      <c r="X55" s="91" t="e">
        <f>IF(48&gt;kxMostrados,NA(),INDEX('17_KARDEX'!$G$22:$G$121,kxMostrados-48+1))</f>
        <v>#N/A</v>
      </c>
    </row>
    <row r="56" spans="2:24" x14ac:dyDescent="0.25">
      <c r="B56" s="87" t="s">
        <v>347</v>
      </c>
      <c r="C56" s="110">
        <f>IF(kpiActivos=0,0,kpiAgotados/kpiActivos)</f>
        <v>0</v>
      </c>
      <c r="D56" s="89" t="s">
        <v>348</v>
      </c>
      <c r="L56" s="91" t="str">
        <f>IF(AND(ISNUMBER('15_STOCK'!$P56),'15_STOCK'!$P56&gt;0),'15_STOCK'!$P56+ROW()/1000000,"")</f>
        <v/>
      </c>
      <c r="M56" s="91" t="str">
        <f>IFERROR(MATCH('15_STOCK'!$N56,{"INCONSISTENTE","AGOTADO","CRÍTICO","BAJO","SOBRESTOCK"},0)*100000+MIN(99,INT(IF(N('15_STOCK'!$K56)&gt;0,MAX(0,N('15_STOCK'!$J56))/'15_STOCK'!$K56,0)*10))*1000+ROW(),"")</f>
        <v/>
      </c>
      <c r="N56" s="91" t="str">
        <f>IF(AND(ISNUMBER(MATCH('15_STOCK'!$N56,{"AGOTADO","CRÍTICO","BAJO"},0)),'15_STOCK'!$G56="SI",OR(pdProveedor="(Todos)",pdProveedor="",'15_STOCK'!$E56=pdProveedor)),IFERROR(MATCH('15_STOCK'!$E56,tblProveedores[Proveedor],0),999)*1000000+MATCH('15_STOCK'!$N56,{"AGOTADO","CRÍTICO","BAJO"},0)*10000+ROW(),"")</f>
        <v/>
      </c>
      <c r="O56" s="92">
        <v>49</v>
      </c>
      <c r="P56" s="91" t="str">
        <f t="shared" si="1"/>
        <v/>
      </c>
      <c r="Q56" s="91" t="str">
        <f t="shared" si="2"/>
        <v/>
      </c>
      <c r="R56" s="92">
        <v>49</v>
      </c>
      <c r="S56" s="91" t="str">
        <f t="shared" si="3"/>
        <v/>
      </c>
      <c r="T56" s="91" t="str">
        <f t="shared" si="4"/>
        <v/>
      </c>
      <c r="V56" s="92">
        <v>49</v>
      </c>
      <c r="W56" s="93" t="e">
        <f>IF(49&gt;kxMostrados,NA(),INDEX('17_KARDEX'!$C$22:$C$121,kxMostrados-49+1))</f>
        <v>#N/A</v>
      </c>
      <c r="X56" s="91" t="e">
        <f>IF(49&gt;kxMostrados,NA(),INDEX('17_KARDEX'!$G$22:$G$121,kxMostrados-49+1))</f>
        <v>#N/A</v>
      </c>
    </row>
    <row r="57" spans="2:24" x14ac:dyDescent="0.25">
      <c r="B57" s="87" t="s">
        <v>349</v>
      </c>
      <c r="C57" s="106" t="str">
        <f>"en o por debajo del stock mínimo"</f>
        <v>en o por debajo del stock mínimo</v>
      </c>
      <c r="D57" s="89" t="s">
        <v>350</v>
      </c>
      <c r="L57" s="91" t="str">
        <f>IF(AND(ISNUMBER('15_STOCK'!$P57),'15_STOCK'!$P57&gt;0),'15_STOCK'!$P57+ROW()/1000000,"")</f>
        <v/>
      </c>
      <c r="M57" s="91" t="str">
        <f>IFERROR(MATCH('15_STOCK'!$N57,{"INCONSISTENTE","AGOTADO","CRÍTICO","BAJO","SOBRESTOCK"},0)*100000+MIN(99,INT(IF(N('15_STOCK'!$K57)&gt;0,MAX(0,N('15_STOCK'!$J57))/'15_STOCK'!$K57,0)*10))*1000+ROW(),"")</f>
        <v/>
      </c>
      <c r="N57" s="91" t="str">
        <f>IF(AND(ISNUMBER(MATCH('15_STOCK'!$N57,{"AGOTADO","CRÍTICO","BAJO"},0)),'15_STOCK'!$G57="SI",OR(pdProveedor="(Todos)",pdProveedor="",'15_STOCK'!$E57=pdProveedor)),IFERROR(MATCH('15_STOCK'!$E57,tblProveedores[Proveedor],0),999)*1000000+MATCH('15_STOCK'!$N57,{"AGOTADO","CRÍTICO","BAJO"},0)*10000+ROW(),"")</f>
        <v/>
      </c>
      <c r="O57" s="92">
        <v>50</v>
      </c>
      <c r="P57" s="91" t="str">
        <f t="shared" si="1"/>
        <v/>
      </c>
      <c r="Q57" s="91" t="str">
        <f t="shared" si="2"/>
        <v/>
      </c>
      <c r="R57" s="92">
        <v>50</v>
      </c>
      <c r="S57" s="91" t="str">
        <f t="shared" si="3"/>
        <v/>
      </c>
      <c r="T57" s="91" t="str">
        <f t="shared" si="4"/>
        <v/>
      </c>
      <c r="V57" s="92">
        <v>50</v>
      </c>
      <c r="W57" s="93" t="e">
        <f>IF(50&gt;kxMostrados,NA(),INDEX('17_KARDEX'!$C$22:$C$121,kxMostrados-50+1))</f>
        <v>#N/A</v>
      </c>
      <c r="X57" s="91" t="e">
        <f>IF(50&gt;kxMostrados,NA(),INDEX('17_KARDEX'!$G$22:$G$121,kxMostrados-50+1))</f>
        <v>#N/A</v>
      </c>
    </row>
    <row r="58" spans="2:24" x14ac:dyDescent="0.25">
      <c r="B58" s="87" t="s">
        <v>351</v>
      </c>
      <c r="C58" s="111">
        <f>cfgMargenAlerta</f>
        <v>0.2</v>
      </c>
      <c r="D58" s="89" t="s">
        <v>352</v>
      </c>
      <c r="L58" s="91" t="str">
        <f>IF(AND(ISNUMBER('15_STOCK'!$P58),'15_STOCK'!$P58&gt;0),'15_STOCK'!$P58+ROW()/1000000,"")</f>
        <v/>
      </c>
      <c r="M58" s="91" t="str">
        <f>IFERROR(MATCH('15_STOCK'!$N58,{"INCONSISTENTE","AGOTADO","CRÍTICO","BAJO","SOBRESTOCK"},0)*100000+MIN(99,INT(IF(N('15_STOCK'!$K58)&gt;0,MAX(0,N('15_STOCK'!$J58))/'15_STOCK'!$K58,0)*10))*1000+ROW(),"")</f>
        <v/>
      </c>
      <c r="N58" s="91" t="str">
        <f>IF(AND(ISNUMBER(MATCH('15_STOCK'!$N58,{"AGOTADO","CRÍTICO","BAJO"},0)),'15_STOCK'!$G58="SI",OR(pdProveedor="(Todos)",pdProveedor="",'15_STOCK'!$E58=pdProveedor)),IFERROR(MATCH('15_STOCK'!$E58,tblProveedores[Proveedor],0),999)*1000000+MATCH('15_STOCK'!$N58,{"AGOTADO","CRÍTICO","BAJO"},0)*10000+ROW(),"")</f>
        <v/>
      </c>
      <c r="O58" s="92">
        <v>51</v>
      </c>
      <c r="P58" s="91" t="str">
        <f t="shared" si="1"/>
        <v/>
      </c>
      <c r="Q58" s="91" t="str">
        <f t="shared" si="2"/>
        <v/>
      </c>
      <c r="R58" s="92">
        <v>51</v>
      </c>
      <c r="S58" s="91" t="str">
        <f t="shared" si="3"/>
        <v/>
      </c>
      <c r="T58" s="91" t="str">
        <f t="shared" si="4"/>
        <v/>
      </c>
      <c r="V58" s="92">
        <v>51</v>
      </c>
      <c r="W58" s="93" t="e">
        <f>IF(51&gt;kxMostrados,NA(),INDEX('17_KARDEX'!$C$22:$C$121,kxMostrados-51+1))</f>
        <v>#N/A</v>
      </c>
      <c r="X58" s="91" t="e">
        <f>IF(51&gt;kxMostrados,NA(),INDEX('17_KARDEX'!$G$22:$G$121,kxMostrados-51+1))</f>
        <v>#N/A</v>
      </c>
    </row>
    <row r="59" spans="2:24" x14ac:dyDescent="0.25">
      <c r="B59" s="87" t="s">
        <v>353</v>
      </c>
      <c r="C59" s="110">
        <f>IF(kpiActivos=0,0,kpiOptimos/kpiActivos)</f>
        <v>0</v>
      </c>
      <c r="D59" s="89" t="s">
        <v>354</v>
      </c>
      <c r="L59" s="91" t="str">
        <f>IF(AND(ISNUMBER('15_STOCK'!$P59),'15_STOCK'!$P59&gt;0),'15_STOCK'!$P59+ROW()/1000000,"")</f>
        <v/>
      </c>
      <c r="M59" s="91" t="str">
        <f>IFERROR(MATCH('15_STOCK'!$N59,{"INCONSISTENTE","AGOTADO","CRÍTICO","BAJO","SOBRESTOCK"},0)*100000+MIN(99,INT(IF(N('15_STOCK'!$K59)&gt;0,MAX(0,N('15_STOCK'!$J59))/'15_STOCK'!$K59,0)*10))*1000+ROW(),"")</f>
        <v/>
      </c>
      <c r="N59" s="91" t="str">
        <f>IF(AND(ISNUMBER(MATCH('15_STOCK'!$N59,{"AGOTADO","CRÍTICO","BAJO"},0)),'15_STOCK'!$G59="SI",OR(pdProveedor="(Todos)",pdProveedor="",'15_STOCK'!$E59=pdProveedor)),IFERROR(MATCH('15_STOCK'!$E59,tblProveedores[Proveedor],0),999)*1000000+MATCH('15_STOCK'!$N59,{"AGOTADO","CRÍTICO","BAJO"},0)*10000+ROW(),"")</f>
        <v/>
      </c>
      <c r="O59" s="92">
        <v>52</v>
      </c>
      <c r="P59" s="91" t="str">
        <f t="shared" si="1"/>
        <v/>
      </c>
      <c r="Q59" s="91" t="str">
        <f t="shared" si="2"/>
        <v/>
      </c>
      <c r="R59" s="92">
        <v>52</v>
      </c>
      <c r="S59" s="91" t="str">
        <f t="shared" si="3"/>
        <v/>
      </c>
      <c r="T59" s="91" t="str">
        <f t="shared" si="4"/>
        <v/>
      </c>
      <c r="V59" s="92">
        <v>52</v>
      </c>
      <c r="W59" s="93" t="e">
        <f>IF(52&gt;kxMostrados,NA(),INDEX('17_KARDEX'!$C$22:$C$121,kxMostrados-52+1))</f>
        <v>#N/A</v>
      </c>
      <c r="X59" s="91" t="e">
        <f>IF(52&gt;kxMostrados,NA(),INDEX('17_KARDEX'!$G$22:$G$121,kxMostrados-52+1))</f>
        <v>#N/A</v>
      </c>
    </row>
    <row r="60" spans="2:24" x14ac:dyDescent="0.25">
      <c r="B60" s="87" t="s">
        <v>355</v>
      </c>
      <c r="C60" s="106" t="str">
        <f>"a costo unitario de catálogo"</f>
        <v>a costo unitario de catálogo</v>
      </c>
      <c r="D60" s="89" t="s">
        <v>356</v>
      </c>
      <c r="L60" s="91" t="str">
        <f>IF(AND(ISNUMBER('15_STOCK'!$P60),'15_STOCK'!$P60&gt;0),'15_STOCK'!$P60+ROW()/1000000,"")</f>
        <v/>
      </c>
      <c r="M60" s="91" t="str">
        <f>IFERROR(MATCH('15_STOCK'!$N60,{"INCONSISTENTE","AGOTADO","CRÍTICO","BAJO","SOBRESTOCK"},0)*100000+MIN(99,INT(IF(N('15_STOCK'!$K60)&gt;0,MAX(0,N('15_STOCK'!$J60))/'15_STOCK'!$K60,0)*10))*1000+ROW(),"")</f>
        <v/>
      </c>
      <c r="N60" s="91" t="str">
        <f>IF(AND(ISNUMBER(MATCH('15_STOCK'!$N60,{"AGOTADO","CRÍTICO","BAJO"},0)),'15_STOCK'!$G60="SI",OR(pdProveedor="(Todos)",pdProveedor="",'15_STOCK'!$E60=pdProveedor)),IFERROR(MATCH('15_STOCK'!$E60,tblProveedores[Proveedor],0),999)*1000000+MATCH('15_STOCK'!$N60,{"AGOTADO","CRÍTICO","BAJO"},0)*10000+ROW(),"")</f>
        <v/>
      </c>
      <c r="O60" s="92">
        <v>53</v>
      </c>
      <c r="P60" s="91" t="str">
        <f t="shared" si="1"/>
        <v/>
      </c>
      <c r="Q60" s="91" t="str">
        <f t="shared" si="2"/>
        <v/>
      </c>
      <c r="R60" s="92">
        <v>53</v>
      </c>
      <c r="S60" s="91" t="str">
        <f t="shared" si="3"/>
        <v/>
      </c>
      <c r="T60" s="91" t="str">
        <f t="shared" si="4"/>
        <v/>
      </c>
      <c r="V60" s="92">
        <v>53</v>
      </c>
      <c r="W60" s="93" t="e">
        <f>IF(53&gt;kxMostrados,NA(),INDEX('17_KARDEX'!$C$22:$C$121,kxMostrados-53+1))</f>
        <v>#N/A</v>
      </c>
      <c r="X60" s="91" t="e">
        <f>IF(53&gt;kxMostrados,NA(),INDEX('17_KARDEX'!$G$22:$G$121,kxMostrados-53+1))</f>
        <v>#N/A</v>
      </c>
    </row>
    <row r="61" spans="2:24" x14ac:dyDescent="0.25">
      <c r="B61" s="87" t="s">
        <v>357</v>
      </c>
      <c r="C61" s="106" t="str">
        <f ca="1">"▲ "&amp;kpiIngMes&amp;" ingresos    ▼ "&amp;kpiEgrMes&amp;" egresos"</f>
        <v>▲ 0 ingresos    ▼ 0 egresos</v>
      </c>
      <c r="D61" s="89" t="s">
        <v>358</v>
      </c>
      <c r="L61" s="91" t="str">
        <f>IF(AND(ISNUMBER('15_STOCK'!$P61),'15_STOCK'!$P61&gt;0),'15_STOCK'!$P61+ROW()/1000000,"")</f>
        <v/>
      </c>
      <c r="M61" s="91" t="str">
        <f>IFERROR(MATCH('15_STOCK'!$N61,{"INCONSISTENTE","AGOTADO","CRÍTICO","BAJO","SOBRESTOCK"},0)*100000+MIN(99,INT(IF(N('15_STOCK'!$K61)&gt;0,MAX(0,N('15_STOCK'!$J61))/'15_STOCK'!$K61,0)*10))*1000+ROW(),"")</f>
        <v/>
      </c>
      <c r="N61" s="91" t="str">
        <f>IF(AND(ISNUMBER(MATCH('15_STOCK'!$N61,{"AGOTADO","CRÍTICO","BAJO"},0)),'15_STOCK'!$G61="SI",OR(pdProveedor="(Todos)",pdProveedor="",'15_STOCK'!$E61=pdProveedor)),IFERROR(MATCH('15_STOCK'!$E61,tblProveedores[Proveedor],0),999)*1000000+MATCH('15_STOCK'!$N61,{"AGOTADO","CRÍTICO","BAJO"},0)*10000+ROW(),"")</f>
        <v/>
      </c>
      <c r="O61" s="92">
        <v>54</v>
      </c>
      <c r="P61" s="91" t="str">
        <f t="shared" si="1"/>
        <v/>
      </c>
      <c r="Q61" s="91" t="str">
        <f t="shared" si="2"/>
        <v/>
      </c>
      <c r="R61" s="92">
        <v>54</v>
      </c>
      <c r="S61" s="91" t="str">
        <f t="shared" si="3"/>
        <v/>
      </c>
      <c r="T61" s="91" t="str">
        <f t="shared" si="4"/>
        <v/>
      </c>
      <c r="V61" s="92">
        <v>54</v>
      </c>
      <c r="W61" s="93" t="e">
        <f>IF(54&gt;kxMostrados,NA(),INDEX('17_KARDEX'!$C$22:$C$121,kxMostrados-54+1))</f>
        <v>#N/A</v>
      </c>
      <c r="X61" s="91" t="e">
        <f>IF(54&gt;kxMostrados,NA(),INDEX('17_KARDEX'!$G$22:$G$121,kxMostrados-54+1))</f>
        <v>#N/A</v>
      </c>
    </row>
    <row r="62" spans="2:24" x14ac:dyDescent="0.25">
      <c r="B62" s="87" t="s">
        <v>359</v>
      </c>
      <c r="C62" s="106" t="str">
        <f ca="1">"+"&amp;cfgDiasSinRotacion&amp;" días sin movimiento · $ "&amp;FIXED(kpiValorSinRot,0)</f>
        <v>+60 días sin movimiento · $ 0</v>
      </c>
      <c r="D62" s="89" t="s">
        <v>360</v>
      </c>
      <c r="L62" s="91" t="str">
        <f>IF(AND(ISNUMBER('15_STOCK'!$P62),'15_STOCK'!$P62&gt;0),'15_STOCK'!$P62+ROW()/1000000,"")</f>
        <v/>
      </c>
      <c r="M62" s="91" t="str">
        <f>IFERROR(MATCH('15_STOCK'!$N62,{"INCONSISTENTE","AGOTADO","CRÍTICO","BAJO","SOBRESTOCK"},0)*100000+MIN(99,INT(IF(N('15_STOCK'!$K62)&gt;0,MAX(0,N('15_STOCK'!$J62))/'15_STOCK'!$K62,0)*10))*1000+ROW(),"")</f>
        <v/>
      </c>
      <c r="N62" s="91" t="str">
        <f>IF(AND(ISNUMBER(MATCH('15_STOCK'!$N62,{"AGOTADO","CRÍTICO","BAJO"},0)),'15_STOCK'!$G62="SI",OR(pdProveedor="(Todos)",pdProveedor="",'15_STOCK'!$E62=pdProveedor)),IFERROR(MATCH('15_STOCK'!$E62,tblProveedores[Proveedor],0),999)*1000000+MATCH('15_STOCK'!$N62,{"AGOTADO","CRÍTICO","BAJO"},0)*10000+ROW(),"")</f>
        <v/>
      </c>
      <c r="O62" s="92">
        <v>55</v>
      </c>
      <c r="P62" s="91" t="str">
        <f t="shared" si="1"/>
        <v/>
      </c>
      <c r="Q62" s="91" t="str">
        <f t="shared" si="2"/>
        <v/>
      </c>
      <c r="R62" s="92">
        <v>55</v>
      </c>
      <c r="S62" s="91" t="str">
        <f t="shared" si="3"/>
        <v/>
      </c>
      <c r="T62" s="91" t="str">
        <f t="shared" si="4"/>
        <v/>
      </c>
      <c r="V62" s="92">
        <v>55</v>
      </c>
      <c r="W62" s="93" t="e">
        <f>IF(55&gt;kxMostrados,NA(),INDEX('17_KARDEX'!$C$22:$C$121,kxMostrados-55+1))</f>
        <v>#N/A</v>
      </c>
      <c r="X62" s="91" t="e">
        <f>IF(55&gt;kxMostrados,NA(),INDEX('17_KARDEX'!$G$22:$G$121,kxMostrados-55+1))</f>
        <v>#N/A</v>
      </c>
    </row>
    <row r="63" spans="2:24" x14ac:dyDescent="0.25">
      <c r="B63" s="87" t="s">
        <v>361</v>
      </c>
      <c r="C63" s="106" t="str">
        <f>IF(kpiErrores&gt;0,"✖ "&amp;kpiErrores&amp;" registro(s) con error en la bitácora",IF(kpiAdvertencias&gt;0,"⚠ "&amp;kpiAdvertencias&amp;" registro(s) por completar","✔ Bitácora íntegra · sin errores"))</f>
        <v>✔ Bitácora íntegra · sin errores</v>
      </c>
      <c r="D63" s="89" t="s">
        <v>362</v>
      </c>
      <c r="L63" s="91" t="str">
        <f>IF(AND(ISNUMBER('15_STOCK'!$P63),'15_STOCK'!$P63&gt;0),'15_STOCK'!$P63+ROW()/1000000,"")</f>
        <v/>
      </c>
      <c r="M63" s="91" t="str">
        <f>IFERROR(MATCH('15_STOCK'!$N63,{"INCONSISTENTE","AGOTADO","CRÍTICO","BAJO","SOBRESTOCK"},0)*100000+MIN(99,INT(IF(N('15_STOCK'!$K63)&gt;0,MAX(0,N('15_STOCK'!$J63))/'15_STOCK'!$K63,0)*10))*1000+ROW(),"")</f>
        <v/>
      </c>
      <c r="N63" s="91" t="str">
        <f>IF(AND(ISNUMBER(MATCH('15_STOCK'!$N63,{"AGOTADO","CRÍTICO","BAJO"},0)),'15_STOCK'!$G63="SI",OR(pdProveedor="(Todos)",pdProveedor="",'15_STOCK'!$E63=pdProveedor)),IFERROR(MATCH('15_STOCK'!$E63,tblProveedores[Proveedor],0),999)*1000000+MATCH('15_STOCK'!$N63,{"AGOTADO","CRÍTICO","BAJO"},0)*10000+ROW(),"")</f>
        <v/>
      </c>
      <c r="O63" s="92">
        <v>56</v>
      </c>
      <c r="P63" s="91" t="str">
        <f t="shared" si="1"/>
        <v/>
      </c>
      <c r="Q63" s="91" t="str">
        <f t="shared" si="2"/>
        <v/>
      </c>
      <c r="R63" s="92">
        <v>56</v>
      </c>
      <c r="S63" s="91" t="str">
        <f t="shared" si="3"/>
        <v/>
      </c>
      <c r="T63" s="91" t="str">
        <f t="shared" si="4"/>
        <v/>
      </c>
      <c r="V63" s="92">
        <v>56</v>
      </c>
      <c r="W63" s="93" t="e">
        <f>IF(56&gt;kxMostrados,NA(),INDEX('17_KARDEX'!$C$22:$C$121,kxMostrados-56+1))</f>
        <v>#N/A</v>
      </c>
      <c r="X63" s="91" t="e">
        <f>IF(56&gt;kxMostrados,NA(),INDEX('17_KARDEX'!$G$22:$G$121,kxMostrados-56+1))</f>
        <v>#N/A</v>
      </c>
    </row>
    <row r="64" spans="2:24" x14ac:dyDescent="0.25">
      <c r="B64" s="87" t="s">
        <v>363</v>
      </c>
      <c r="C64" s="106" t="str">
        <f>"ALERTAS ("&amp;kpiEnAlerta&amp;")"</f>
        <v>ALERTAS (0)</v>
      </c>
      <c r="D64" s="89" t="s">
        <v>364</v>
      </c>
      <c r="L64" s="91" t="str">
        <f>IF(AND(ISNUMBER('15_STOCK'!$P64),'15_STOCK'!$P64&gt;0),'15_STOCK'!$P64+ROW()/1000000,"")</f>
        <v/>
      </c>
      <c r="M64" s="91" t="str">
        <f>IFERROR(MATCH('15_STOCK'!$N64,{"INCONSISTENTE","AGOTADO","CRÍTICO","BAJO","SOBRESTOCK"},0)*100000+MIN(99,INT(IF(N('15_STOCK'!$K64)&gt;0,MAX(0,N('15_STOCK'!$J64))/'15_STOCK'!$K64,0)*10))*1000+ROW(),"")</f>
        <v/>
      </c>
      <c r="N64" s="91" t="str">
        <f>IF(AND(ISNUMBER(MATCH('15_STOCK'!$N64,{"AGOTADO","CRÍTICO","BAJO"},0)),'15_STOCK'!$G64="SI",OR(pdProveedor="(Todos)",pdProveedor="",'15_STOCK'!$E64=pdProveedor)),IFERROR(MATCH('15_STOCK'!$E64,tblProveedores[Proveedor],0),999)*1000000+MATCH('15_STOCK'!$N64,{"AGOTADO","CRÍTICO","BAJO"},0)*10000+ROW(),"")</f>
        <v/>
      </c>
      <c r="O64" s="92">
        <v>57</v>
      </c>
      <c r="P64" s="91" t="str">
        <f t="shared" si="1"/>
        <v/>
      </c>
      <c r="Q64" s="91" t="str">
        <f t="shared" si="2"/>
        <v/>
      </c>
      <c r="R64" s="92">
        <v>57</v>
      </c>
      <c r="S64" s="91" t="str">
        <f t="shared" si="3"/>
        <v/>
      </c>
      <c r="T64" s="91" t="str">
        <f t="shared" si="4"/>
        <v/>
      </c>
      <c r="V64" s="92">
        <v>57</v>
      </c>
      <c r="W64" s="93" t="e">
        <f>IF(57&gt;kxMostrados,NA(),INDEX('17_KARDEX'!$C$22:$C$121,kxMostrados-57+1))</f>
        <v>#N/A</v>
      </c>
      <c r="X64" s="91" t="e">
        <f>IF(57&gt;kxMostrados,NA(),INDEX('17_KARDEX'!$G$22:$G$121,kxMostrados-57+1))</f>
        <v>#N/A</v>
      </c>
    </row>
    <row r="65" spans="2:24" x14ac:dyDescent="0.25">
      <c r="B65" s="87" t="s">
        <v>365</v>
      </c>
      <c r="C65" s="106" t="str">
        <f>"Registros: "&amp;FIXED(kpiRegistros,0)&amp;" de "&amp;FIXED(kpiCapacidad,0)</f>
        <v>Registros: 0 de 5.000</v>
      </c>
      <c r="D65" s="89" t="s">
        <v>366</v>
      </c>
      <c r="L65" s="91" t="str">
        <f>IF(AND(ISNUMBER('15_STOCK'!$P65),'15_STOCK'!$P65&gt;0),'15_STOCK'!$P65+ROW()/1000000,"")</f>
        <v/>
      </c>
      <c r="M65" s="91" t="str">
        <f>IFERROR(MATCH('15_STOCK'!$N65,{"INCONSISTENTE","AGOTADO","CRÍTICO","BAJO","SOBRESTOCK"},0)*100000+MIN(99,INT(IF(N('15_STOCK'!$K65)&gt;0,MAX(0,N('15_STOCK'!$J65))/'15_STOCK'!$K65,0)*10))*1000+ROW(),"")</f>
        <v/>
      </c>
      <c r="N65" s="91" t="str">
        <f>IF(AND(ISNUMBER(MATCH('15_STOCK'!$N65,{"AGOTADO","CRÍTICO","BAJO"},0)),'15_STOCK'!$G65="SI",OR(pdProveedor="(Todos)",pdProveedor="",'15_STOCK'!$E65=pdProveedor)),IFERROR(MATCH('15_STOCK'!$E65,tblProveedores[Proveedor],0),999)*1000000+MATCH('15_STOCK'!$N65,{"AGOTADO","CRÍTICO","BAJO"},0)*10000+ROW(),"")</f>
        <v/>
      </c>
      <c r="O65" s="92">
        <v>58</v>
      </c>
      <c r="P65" s="91" t="str">
        <f t="shared" si="1"/>
        <v/>
      </c>
      <c r="Q65" s="91" t="str">
        <f t="shared" si="2"/>
        <v/>
      </c>
      <c r="R65" s="92">
        <v>58</v>
      </c>
      <c r="S65" s="91" t="str">
        <f t="shared" si="3"/>
        <v/>
      </c>
      <c r="T65" s="91" t="str">
        <f t="shared" si="4"/>
        <v/>
      </c>
      <c r="V65" s="92">
        <v>58</v>
      </c>
      <c r="W65" s="93" t="e">
        <f>IF(58&gt;kxMostrados,NA(),INDEX('17_KARDEX'!$C$22:$C$121,kxMostrados-58+1))</f>
        <v>#N/A</v>
      </c>
      <c r="X65" s="91" t="e">
        <f>IF(58&gt;kxMostrados,NA(),INDEX('17_KARDEX'!$G$22:$G$121,kxMostrados-58+1))</f>
        <v>#N/A</v>
      </c>
    </row>
    <row r="66" spans="2:24" x14ac:dyDescent="0.25">
      <c r="B66" s="87" t="s">
        <v>367</v>
      </c>
      <c r="C66" s="106" t="str">
        <f>"Productos: "&amp;FIXED(kpiCatalogo,0)&amp;" de "&amp;FIXED(ROWS(tblProductos[SKU]),0)</f>
        <v>Productos: 0 de 500</v>
      </c>
      <c r="D66" s="89" t="s">
        <v>368</v>
      </c>
      <c r="L66" s="91" t="str">
        <f>IF(AND(ISNUMBER('15_STOCK'!$P66),'15_STOCK'!$P66&gt;0),'15_STOCK'!$P66+ROW()/1000000,"")</f>
        <v/>
      </c>
      <c r="M66" s="91" t="str">
        <f>IFERROR(MATCH('15_STOCK'!$N66,{"INCONSISTENTE","AGOTADO","CRÍTICO","BAJO","SOBRESTOCK"},0)*100000+MIN(99,INT(IF(N('15_STOCK'!$K66)&gt;0,MAX(0,N('15_STOCK'!$J66))/'15_STOCK'!$K66,0)*10))*1000+ROW(),"")</f>
        <v/>
      </c>
      <c r="N66" s="91" t="str">
        <f>IF(AND(ISNUMBER(MATCH('15_STOCK'!$N66,{"AGOTADO","CRÍTICO","BAJO"},0)),'15_STOCK'!$G66="SI",OR(pdProveedor="(Todos)",pdProveedor="",'15_STOCK'!$E66=pdProveedor)),IFERROR(MATCH('15_STOCK'!$E66,tblProveedores[Proveedor],0),999)*1000000+MATCH('15_STOCK'!$N66,{"AGOTADO","CRÍTICO","BAJO"},0)*10000+ROW(),"")</f>
        <v/>
      </c>
      <c r="O66" s="92">
        <v>59</v>
      </c>
      <c r="P66" s="91" t="str">
        <f t="shared" si="1"/>
        <v/>
      </c>
      <c r="Q66" s="91" t="str">
        <f t="shared" si="2"/>
        <v/>
      </c>
      <c r="R66" s="92">
        <v>59</v>
      </c>
      <c r="S66" s="91" t="str">
        <f t="shared" si="3"/>
        <v/>
      </c>
      <c r="T66" s="91" t="str">
        <f t="shared" si="4"/>
        <v/>
      </c>
      <c r="V66" s="92">
        <v>59</v>
      </c>
      <c r="W66" s="93" t="e">
        <f>IF(59&gt;kxMostrados,NA(),INDEX('17_KARDEX'!$C$22:$C$121,kxMostrados-59+1))</f>
        <v>#N/A</v>
      </c>
      <c r="X66" s="91" t="e">
        <f>IF(59&gt;kxMostrados,NA(),INDEX('17_KARDEX'!$G$22:$G$121,kxMostrados-59+1))</f>
        <v>#N/A</v>
      </c>
    </row>
    <row r="67" spans="2:24" x14ac:dyDescent="0.25">
      <c r="B67" s="87" t="s">
        <v>369</v>
      </c>
      <c r="C67" s="106" t="str">
        <f>"Proveedores: "&amp;FIXED(kpiProveedores,0)&amp;" de "&amp;FIXED(ROWS(tblProveedores[Proveedor]),0)</f>
        <v>Proveedores: 0 de 100</v>
      </c>
      <c r="D67" s="89" t="s">
        <v>370</v>
      </c>
      <c r="L67" s="91" t="str">
        <f>IF(AND(ISNUMBER('15_STOCK'!$P67),'15_STOCK'!$P67&gt;0),'15_STOCK'!$P67+ROW()/1000000,"")</f>
        <v/>
      </c>
      <c r="M67" s="91" t="str">
        <f>IFERROR(MATCH('15_STOCK'!$N67,{"INCONSISTENTE","AGOTADO","CRÍTICO","BAJO","SOBRESTOCK"},0)*100000+MIN(99,INT(IF(N('15_STOCK'!$K67)&gt;0,MAX(0,N('15_STOCK'!$J67))/'15_STOCK'!$K67,0)*10))*1000+ROW(),"")</f>
        <v/>
      </c>
      <c r="N67" s="91" t="str">
        <f>IF(AND(ISNUMBER(MATCH('15_STOCK'!$N67,{"AGOTADO","CRÍTICO","BAJO"},0)),'15_STOCK'!$G67="SI",OR(pdProveedor="(Todos)",pdProveedor="",'15_STOCK'!$E67=pdProveedor)),IFERROR(MATCH('15_STOCK'!$E67,tblProveedores[Proveedor],0),999)*1000000+MATCH('15_STOCK'!$N67,{"AGOTADO","CRÍTICO","BAJO"},0)*10000+ROW(),"")</f>
        <v/>
      </c>
      <c r="O67" s="92">
        <v>60</v>
      </c>
      <c r="P67" s="91" t="str">
        <f t="shared" si="1"/>
        <v/>
      </c>
      <c r="Q67" s="91" t="str">
        <f t="shared" si="2"/>
        <v/>
      </c>
      <c r="R67" s="92">
        <v>60</v>
      </c>
      <c r="S67" s="91" t="str">
        <f t="shared" si="3"/>
        <v/>
      </c>
      <c r="T67" s="91" t="str">
        <f t="shared" si="4"/>
        <v/>
      </c>
      <c r="V67" s="92">
        <v>60</v>
      </c>
      <c r="W67" s="93" t="e">
        <f>IF(60&gt;kxMostrados,NA(),INDEX('17_KARDEX'!$C$22:$C$121,kxMostrados-60+1))</f>
        <v>#N/A</v>
      </c>
      <c r="X67" s="91" t="e">
        <f>IF(60&gt;kxMostrados,NA(),INDEX('17_KARDEX'!$G$22:$G$121,kxMostrados-60+1))</f>
        <v>#N/A</v>
      </c>
    </row>
    <row r="68" spans="2:24" x14ac:dyDescent="0.25">
      <c r="B68" s="87" t="s">
        <v>371</v>
      </c>
      <c r="C68" s="106" t="str">
        <f>"Valor del inventario: $ "&amp;FIXED(kpiValor,0)</f>
        <v>Valor del inventario: $ 0</v>
      </c>
      <c r="D68" s="89" t="s">
        <v>372</v>
      </c>
      <c r="L68" s="91" t="str">
        <f>IF(AND(ISNUMBER('15_STOCK'!$P68),'15_STOCK'!$P68&gt;0),'15_STOCK'!$P68+ROW()/1000000,"")</f>
        <v/>
      </c>
      <c r="M68" s="91" t="str">
        <f>IFERROR(MATCH('15_STOCK'!$N68,{"INCONSISTENTE","AGOTADO","CRÍTICO","BAJO","SOBRESTOCK"},0)*100000+MIN(99,INT(IF(N('15_STOCK'!$K68)&gt;0,MAX(0,N('15_STOCK'!$J68))/'15_STOCK'!$K68,0)*10))*1000+ROW(),"")</f>
        <v/>
      </c>
      <c r="N68" s="91" t="str">
        <f>IF(AND(ISNUMBER(MATCH('15_STOCK'!$N68,{"AGOTADO","CRÍTICO","BAJO"},0)),'15_STOCK'!$G68="SI",OR(pdProveedor="(Todos)",pdProveedor="",'15_STOCK'!$E68=pdProveedor)),IFERROR(MATCH('15_STOCK'!$E68,tblProveedores[Proveedor],0),999)*1000000+MATCH('15_STOCK'!$N68,{"AGOTADO","CRÍTICO","BAJO"},0)*10000+ROW(),"")</f>
        <v/>
      </c>
      <c r="O68" s="92">
        <v>61</v>
      </c>
      <c r="P68" s="91" t="str">
        <f t="shared" si="1"/>
        <v/>
      </c>
      <c r="Q68" s="91" t="str">
        <f t="shared" si="2"/>
        <v/>
      </c>
      <c r="R68" s="92">
        <v>61</v>
      </c>
      <c r="S68" s="91" t="str">
        <f t="shared" si="3"/>
        <v/>
      </c>
      <c r="T68" s="91" t="str">
        <f t="shared" si="4"/>
        <v/>
      </c>
      <c r="V68" s="92">
        <v>61</v>
      </c>
      <c r="W68" s="93" t="e">
        <f>IF(61&gt;kxMostrados,NA(),INDEX('17_KARDEX'!$C$22:$C$121,kxMostrados-61+1))</f>
        <v>#N/A</v>
      </c>
      <c r="X68" s="91" t="e">
        <f>IF(61&gt;kxMostrados,NA(),INDEX('17_KARDEX'!$G$22:$G$121,kxMostrados-61+1))</f>
        <v>#N/A</v>
      </c>
    </row>
    <row r="69" spans="2:24" x14ac:dyDescent="0.25">
      <c r="B69" s="87" t="s">
        <v>373</v>
      </c>
      <c r="C69" s="106" t="str">
        <f>"Requieren acción: "&amp;kpiEnAlerta</f>
        <v>Requieren acción: 0</v>
      </c>
      <c r="D69" s="89" t="s">
        <v>374</v>
      </c>
      <c r="L69" s="91" t="str">
        <f>IF(AND(ISNUMBER('15_STOCK'!$P69),'15_STOCK'!$P69&gt;0),'15_STOCK'!$P69+ROW()/1000000,"")</f>
        <v/>
      </c>
      <c r="M69" s="91" t="str">
        <f>IFERROR(MATCH('15_STOCK'!$N69,{"INCONSISTENTE","AGOTADO","CRÍTICO","BAJO","SOBRESTOCK"},0)*100000+MIN(99,INT(IF(N('15_STOCK'!$K69)&gt;0,MAX(0,N('15_STOCK'!$J69))/'15_STOCK'!$K69,0)*10))*1000+ROW(),"")</f>
        <v/>
      </c>
      <c r="N69" s="91" t="str">
        <f>IF(AND(ISNUMBER(MATCH('15_STOCK'!$N69,{"AGOTADO","CRÍTICO","BAJO"},0)),'15_STOCK'!$G69="SI",OR(pdProveedor="(Todos)",pdProveedor="",'15_STOCK'!$E69=pdProveedor)),IFERROR(MATCH('15_STOCK'!$E69,tblProveedores[Proveedor],0),999)*1000000+MATCH('15_STOCK'!$N69,{"AGOTADO","CRÍTICO","BAJO"},0)*10000+ROW(),"")</f>
        <v/>
      </c>
      <c r="O69" s="92">
        <v>62</v>
      </c>
      <c r="P69" s="91" t="str">
        <f t="shared" si="1"/>
        <v/>
      </c>
      <c r="Q69" s="91" t="str">
        <f t="shared" si="2"/>
        <v/>
      </c>
      <c r="R69" s="92">
        <v>62</v>
      </c>
      <c r="S69" s="91" t="str">
        <f t="shared" si="3"/>
        <v/>
      </c>
      <c r="T69" s="91" t="str">
        <f t="shared" si="4"/>
        <v/>
      </c>
      <c r="V69" s="92">
        <v>62</v>
      </c>
      <c r="W69" s="93" t="e">
        <f>IF(62&gt;kxMostrados,NA(),INDEX('17_KARDEX'!$C$22:$C$121,kxMostrados-62+1))</f>
        <v>#N/A</v>
      </c>
      <c r="X69" s="91" t="e">
        <f>IF(62&gt;kxMostrados,NA(),INDEX('17_KARDEX'!$G$22:$G$121,kxMostrados-62+1))</f>
        <v>#N/A</v>
      </c>
    </row>
    <row r="70" spans="2:24" x14ac:dyDescent="0.25">
      <c r="B70" s="87" t="s">
        <v>375</v>
      </c>
      <c r="C70" s="106" t="str">
        <f>"● Agotados: "&amp;kpiAgotados</f>
        <v>● Agotados: 0</v>
      </c>
      <c r="D70" s="89" t="s">
        <v>376</v>
      </c>
      <c r="L70" s="91" t="str">
        <f>IF(AND(ISNUMBER('15_STOCK'!$P70),'15_STOCK'!$P70&gt;0),'15_STOCK'!$P70+ROW()/1000000,"")</f>
        <v/>
      </c>
      <c r="M70" s="91" t="str">
        <f>IFERROR(MATCH('15_STOCK'!$N70,{"INCONSISTENTE","AGOTADO","CRÍTICO","BAJO","SOBRESTOCK"},0)*100000+MIN(99,INT(IF(N('15_STOCK'!$K70)&gt;0,MAX(0,N('15_STOCK'!$J70))/'15_STOCK'!$K70,0)*10))*1000+ROW(),"")</f>
        <v/>
      </c>
      <c r="N70" s="91" t="str">
        <f>IF(AND(ISNUMBER(MATCH('15_STOCK'!$N70,{"AGOTADO","CRÍTICO","BAJO"},0)),'15_STOCK'!$G70="SI",OR(pdProveedor="(Todos)",pdProveedor="",'15_STOCK'!$E70=pdProveedor)),IFERROR(MATCH('15_STOCK'!$E70,tblProveedores[Proveedor],0),999)*1000000+MATCH('15_STOCK'!$N70,{"AGOTADO","CRÍTICO","BAJO"},0)*10000+ROW(),"")</f>
        <v/>
      </c>
      <c r="O70" s="92">
        <v>63</v>
      </c>
      <c r="P70" s="91" t="str">
        <f t="shared" si="1"/>
        <v/>
      </c>
      <c r="Q70" s="91" t="str">
        <f t="shared" si="2"/>
        <v/>
      </c>
      <c r="R70" s="92">
        <v>63</v>
      </c>
      <c r="S70" s="91" t="str">
        <f t="shared" si="3"/>
        <v/>
      </c>
      <c r="T70" s="91" t="str">
        <f t="shared" si="4"/>
        <v/>
      </c>
      <c r="V70" s="92">
        <v>63</v>
      </c>
      <c r="W70" s="93" t="e">
        <f>IF(63&gt;kxMostrados,NA(),INDEX('17_KARDEX'!$C$22:$C$121,kxMostrados-63+1))</f>
        <v>#N/A</v>
      </c>
      <c r="X70" s="91" t="e">
        <f>IF(63&gt;kxMostrados,NA(),INDEX('17_KARDEX'!$G$22:$G$121,kxMostrados-63+1))</f>
        <v>#N/A</v>
      </c>
    </row>
    <row r="71" spans="2:24" x14ac:dyDescent="0.25">
      <c r="B71" s="87" t="s">
        <v>377</v>
      </c>
      <c r="C71" s="106" t="str">
        <f>"● Críticos: "&amp;kpiCriticos</f>
        <v>● Críticos: 0</v>
      </c>
      <c r="D71" s="89" t="s">
        <v>378</v>
      </c>
      <c r="L71" s="91" t="str">
        <f>IF(AND(ISNUMBER('15_STOCK'!$P71),'15_STOCK'!$P71&gt;0),'15_STOCK'!$P71+ROW()/1000000,"")</f>
        <v/>
      </c>
      <c r="M71" s="91" t="str">
        <f>IFERROR(MATCH('15_STOCK'!$N71,{"INCONSISTENTE","AGOTADO","CRÍTICO","BAJO","SOBRESTOCK"},0)*100000+MIN(99,INT(IF(N('15_STOCK'!$K71)&gt;0,MAX(0,N('15_STOCK'!$J71))/'15_STOCK'!$K71,0)*10))*1000+ROW(),"")</f>
        <v/>
      </c>
      <c r="N71" s="91" t="str">
        <f>IF(AND(ISNUMBER(MATCH('15_STOCK'!$N71,{"AGOTADO","CRÍTICO","BAJO"},0)),'15_STOCK'!$G71="SI",OR(pdProveedor="(Todos)",pdProveedor="",'15_STOCK'!$E71=pdProveedor)),IFERROR(MATCH('15_STOCK'!$E71,tblProveedores[Proveedor],0),999)*1000000+MATCH('15_STOCK'!$N71,{"AGOTADO","CRÍTICO","BAJO"},0)*10000+ROW(),"")</f>
        <v/>
      </c>
      <c r="O71" s="92">
        <v>64</v>
      </c>
      <c r="P71" s="91" t="str">
        <f t="shared" si="1"/>
        <v/>
      </c>
      <c r="Q71" s="91" t="str">
        <f t="shared" si="2"/>
        <v/>
      </c>
      <c r="R71" s="92">
        <v>64</v>
      </c>
      <c r="S71" s="91" t="str">
        <f t="shared" si="3"/>
        <v/>
      </c>
      <c r="T71" s="91" t="str">
        <f t="shared" si="4"/>
        <v/>
      </c>
      <c r="V71" s="92">
        <v>64</v>
      </c>
      <c r="W71" s="93" t="e">
        <f>IF(64&gt;kxMostrados,NA(),INDEX('17_KARDEX'!$C$22:$C$121,kxMostrados-64+1))</f>
        <v>#N/A</v>
      </c>
      <c r="X71" s="91" t="e">
        <f>IF(64&gt;kxMostrados,NA(),INDEX('17_KARDEX'!$G$22:$G$121,kxMostrados-64+1))</f>
        <v>#N/A</v>
      </c>
    </row>
    <row r="72" spans="2:24" x14ac:dyDescent="0.25">
      <c r="B72" s="87" t="s">
        <v>379</v>
      </c>
      <c r="C72" s="106" t="str">
        <f>"● Preventivos: "&amp;kpiBajos</f>
        <v>● Preventivos: 0</v>
      </c>
      <c r="D72" s="89" t="s">
        <v>380</v>
      </c>
      <c r="L72" s="91" t="str">
        <f>IF(AND(ISNUMBER('15_STOCK'!$P72),'15_STOCK'!$P72&gt;0),'15_STOCK'!$P72+ROW()/1000000,"")</f>
        <v/>
      </c>
      <c r="M72" s="91" t="str">
        <f>IFERROR(MATCH('15_STOCK'!$N72,{"INCONSISTENTE","AGOTADO","CRÍTICO","BAJO","SOBRESTOCK"},0)*100000+MIN(99,INT(IF(N('15_STOCK'!$K72)&gt;0,MAX(0,N('15_STOCK'!$J72))/'15_STOCK'!$K72,0)*10))*1000+ROW(),"")</f>
        <v/>
      </c>
      <c r="N72" s="91" t="str">
        <f>IF(AND(ISNUMBER(MATCH('15_STOCK'!$N72,{"AGOTADO","CRÍTICO","BAJO"},0)),'15_STOCK'!$G72="SI",OR(pdProveedor="(Todos)",pdProveedor="",'15_STOCK'!$E72=pdProveedor)),IFERROR(MATCH('15_STOCK'!$E72,tblProveedores[Proveedor],0),999)*1000000+MATCH('15_STOCK'!$N72,{"AGOTADO","CRÍTICO","BAJO"},0)*10000+ROW(),"")</f>
        <v/>
      </c>
      <c r="O72" s="92">
        <v>65</v>
      </c>
      <c r="P72" s="91" t="str">
        <f t="shared" ref="P72:P135" si="7">IFERROR(SMALL($M$8:$M$507,O72),"")</f>
        <v/>
      </c>
      <c r="Q72" s="91" t="str">
        <f t="shared" ref="Q72:Q135" si="8">IF(P72="","",MATCH(P72,$M$8:$M$507,0))</f>
        <v/>
      </c>
      <c r="R72" s="92">
        <v>65</v>
      </c>
      <c r="S72" s="91" t="str">
        <f t="shared" ref="S72:S135" si="9">IFERROR(SMALL($N$8:$N$507,R72),"")</f>
        <v/>
      </c>
      <c r="T72" s="91" t="str">
        <f t="shared" ref="T72:T135" si="10">IF(S72="","",MATCH(S72,$N$8:$N$507,0))</f>
        <v/>
      </c>
      <c r="V72" s="92">
        <v>65</v>
      </c>
      <c r="W72" s="93" t="e">
        <f>IF(65&gt;kxMostrados,NA(),INDEX('17_KARDEX'!$C$22:$C$121,kxMostrados-65+1))</f>
        <v>#N/A</v>
      </c>
      <c r="X72" s="91" t="e">
        <f>IF(65&gt;kxMostrados,NA(),INDEX('17_KARDEX'!$G$22:$G$121,kxMostrados-65+1))</f>
        <v>#N/A</v>
      </c>
    </row>
    <row r="73" spans="2:24" x14ac:dyDescent="0.25">
      <c r="B73" s="87" t="s">
        <v>381</v>
      </c>
      <c r="C73" s="106" t="str">
        <f>"● Sobrestock: "&amp;kpiSobrestock</f>
        <v>● Sobrestock: 0</v>
      </c>
      <c r="D73" s="89" t="s">
        <v>382</v>
      </c>
      <c r="L73" s="91" t="str">
        <f>IF(AND(ISNUMBER('15_STOCK'!$P73),'15_STOCK'!$P73&gt;0),'15_STOCK'!$P73+ROW()/1000000,"")</f>
        <v/>
      </c>
      <c r="M73" s="91" t="str">
        <f>IFERROR(MATCH('15_STOCK'!$N73,{"INCONSISTENTE","AGOTADO","CRÍTICO","BAJO","SOBRESTOCK"},0)*100000+MIN(99,INT(IF(N('15_STOCK'!$K73)&gt;0,MAX(0,N('15_STOCK'!$J73))/'15_STOCK'!$K73,0)*10))*1000+ROW(),"")</f>
        <v/>
      </c>
      <c r="N73" s="91" t="str">
        <f>IF(AND(ISNUMBER(MATCH('15_STOCK'!$N73,{"AGOTADO","CRÍTICO","BAJO"},0)),'15_STOCK'!$G73="SI",OR(pdProveedor="(Todos)",pdProveedor="",'15_STOCK'!$E73=pdProveedor)),IFERROR(MATCH('15_STOCK'!$E73,tblProveedores[Proveedor],0),999)*1000000+MATCH('15_STOCK'!$N73,{"AGOTADO","CRÍTICO","BAJO"},0)*10000+ROW(),"")</f>
        <v/>
      </c>
      <c r="O73" s="92">
        <v>66</v>
      </c>
      <c r="P73" s="91" t="str">
        <f t="shared" si="7"/>
        <v/>
      </c>
      <c r="Q73" s="91" t="str">
        <f t="shared" si="8"/>
        <v/>
      </c>
      <c r="R73" s="92">
        <v>66</v>
      </c>
      <c r="S73" s="91" t="str">
        <f t="shared" si="9"/>
        <v/>
      </c>
      <c r="T73" s="91" t="str">
        <f t="shared" si="10"/>
        <v/>
      </c>
      <c r="V73" s="92">
        <v>66</v>
      </c>
      <c r="W73" s="93" t="e">
        <f>IF(66&gt;kxMostrados,NA(),INDEX('17_KARDEX'!$C$22:$C$121,kxMostrados-66+1))</f>
        <v>#N/A</v>
      </c>
      <c r="X73" s="91" t="e">
        <f>IF(66&gt;kxMostrados,NA(),INDEX('17_KARDEX'!$G$22:$G$121,kxMostrados-66+1))</f>
        <v>#N/A</v>
      </c>
    </row>
    <row r="74" spans="2:24" x14ac:dyDescent="0.25">
      <c r="B74" s="87" t="s">
        <v>383</v>
      </c>
      <c r="C74" s="106" t="str">
        <f>"● Inconsistentes: "&amp;kpiInconsistentes</f>
        <v>● Inconsistentes: 0</v>
      </c>
      <c r="D74" s="89" t="s">
        <v>384</v>
      </c>
      <c r="L74" s="91" t="str">
        <f>IF(AND(ISNUMBER('15_STOCK'!$P74),'15_STOCK'!$P74&gt;0),'15_STOCK'!$P74+ROW()/1000000,"")</f>
        <v/>
      </c>
      <c r="M74" s="91" t="str">
        <f>IFERROR(MATCH('15_STOCK'!$N74,{"INCONSISTENTE","AGOTADO","CRÍTICO","BAJO","SOBRESTOCK"},0)*100000+MIN(99,INT(IF(N('15_STOCK'!$K74)&gt;0,MAX(0,N('15_STOCK'!$J74))/'15_STOCK'!$K74,0)*10))*1000+ROW(),"")</f>
        <v/>
      </c>
      <c r="N74" s="91" t="str">
        <f>IF(AND(ISNUMBER(MATCH('15_STOCK'!$N74,{"AGOTADO","CRÍTICO","BAJO"},0)),'15_STOCK'!$G74="SI",OR(pdProveedor="(Todos)",pdProveedor="",'15_STOCK'!$E74=pdProveedor)),IFERROR(MATCH('15_STOCK'!$E74,tblProveedores[Proveedor],0),999)*1000000+MATCH('15_STOCK'!$N74,{"AGOTADO","CRÍTICO","BAJO"},0)*10000+ROW(),"")</f>
        <v/>
      </c>
      <c r="O74" s="92">
        <v>67</v>
      </c>
      <c r="P74" s="91" t="str">
        <f t="shared" si="7"/>
        <v/>
      </c>
      <c r="Q74" s="91" t="str">
        <f t="shared" si="8"/>
        <v/>
      </c>
      <c r="R74" s="92">
        <v>67</v>
      </c>
      <c r="S74" s="91" t="str">
        <f t="shared" si="9"/>
        <v/>
      </c>
      <c r="T74" s="91" t="str">
        <f t="shared" si="10"/>
        <v/>
      </c>
      <c r="V74" s="92">
        <v>67</v>
      </c>
      <c r="W74" s="93" t="e">
        <f>IF(67&gt;kxMostrados,NA(),INDEX('17_KARDEX'!$C$22:$C$121,kxMostrados-67+1))</f>
        <v>#N/A</v>
      </c>
      <c r="X74" s="91" t="e">
        <f>IF(67&gt;kxMostrados,NA(),INDEX('17_KARDEX'!$G$22:$G$121,kxMostrados-67+1))</f>
        <v>#N/A</v>
      </c>
    </row>
    <row r="75" spans="2:24" x14ac:dyDescent="0.25">
      <c r="B75" s="87" t="s">
        <v>385</v>
      </c>
      <c r="C75" s="106" t="str">
        <f>"Bitácora: "&amp;FIXED(kpiRegistros,0)&amp;" de "&amp;FIXED(kpiCapacidad,0)&amp;" registros · "&amp;FIXED(IF(kpiCapacidad=0,0,kpiRegistros/kpiCapacidad*100),0)&amp;"% de capacidad"</f>
        <v>Bitácora: 0 de 5.000 registros · 0% de capacidad</v>
      </c>
      <c r="D75" s="89" t="s">
        <v>386</v>
      </c>
      <c r="L75" s="91" t="str">
        <f>IF(AND(ISNUMBER('15_STOCK'!$P75),'15_STOCK'!$P75&gt;0),'15_STOCK'!$P75+ROW()/1000000,"")</f>
        <v/>
      </c>
      <c r="M75" s="91" t="str">
        <f>IFERROR(MATCH('15_STOCK'!$N75,{"INCONSISTENTE","AGOTADO","CRÍTICO","BAJO","SOBRESTOCK"},0)*100000+MIN(99,INT(IF(N('15_STOCK'!$K75)&gt;0,MAX(0,N('15_STOCK'!$J75))/'15_STOCK'!$K75,0)*10))*1000+ROW(),"")</f>
        <v/>
      </c>
      <c r="N75" s="91" t="str">
        <f>IF(AND(ISNUMBER(MATCH('15_STOCK'!$N75,{"AGOTADO","CRÍTICO","BAJO"},0)),'15_STOCK'!$G75="SI",OR(pdProveedor="(Todos)",pdProveedor="",'15_STOCK'!$E75=pdProveedor)),IFERROR(MATCH('15_STOCK'!$E75,tblProveedores[Proveedor],0),999)*1000000+MATCH('15_STOCK'!$N75,{"AGOTADO","CRÍTICO","BAJO"},0)*10000+ROW(),"")</f>
        <v/>
      </c>
      <c r="O75" s="92">
        <v>68</v>
      </c>
      <c r="P75" s="91" t="str">
        <f t="shared" si="7"/>
        <v/>
      </c>
      <c r="Q75" s="91" t="str">
        <f t="shared" si="8"/>
        <v/>
      </c>
      <c r="R75" s="92">
        <v>68</v>
      </c>
      <c r="S75" s="91" t="str">
        <f t="shared" si="9"/>
        <v/>
      </c>
      <c r="T75" s="91" t="str">
        <f t="shared" si="10"/>
        <v/>
      </c>
      <c r="V75" s="92">
        <v>68</v>
      </c>
      <c r="W75" s="93" t="e">
        <f>IF(68&gt;kxMostrados,NA(),INDEX('17_KARDEX'!$C$22:$C$121,kxMostrados-68+1))</f>
        <v>#N/A</v>
      </c>
      <c r="X75" s="91" t="e">
        <f>IF(68&gt;kxMostrados,NA(),INDEX('17_KARDEX'!$G$22:$G$121,kxMostrados-68+1))</f>
        <v>#N/A</v>
      </c>
    </row>
    <row r="76" spans="2:24" x14ac:dyDescent="0.25">
      <c r="B76" s="87" t="s">
        <v>387</v>
      </c>
      <c r="C76" s="106" t="str">
        <f>cfgEmpresa&amp;"   ·   "&amp;cfgBodega</f>
        <v>NOMBRE DE SU EMPRESA   ·   Bodega principal</v>
      </c>
      <c r="D76" s="89" t="s">
        <v>388</v>
      </c>
      <c r="L76" s="91" t="str">
        <f>IF(AND(ISNUMBER('15_STOCK'!$P76),'15_STOCK'!$P76&gt;0),'15_STOCK'!$P76+ROW()/1000000,"")</f>
        <v/>
      </c>
      <c r="M76" s="91" t="str">
        <f>IFERROR(MATCH('15_STOCK'!$N76,{"INCONSISTENTE","AGOTADO","CRÍTICO","BAJO","SOBRESTOCK"},0)*100000+MIN(99,INT(IF(N('15_STOCK'!$K76)&gt;0,MAX(0,N('15_STOCK'!$J76))/'15_STOCK'!$K76,0)*10))*1000+ROW(),"")</f>
        <v/>
      </c>
      <c r="N76" s="91" t="str">
        <f>IF(AND(ISNUMBER(MATCH('15_STOCK'!$N76,{"AGOTADO","CRÍTICO","BAJO"},0)),'15_STOCK'!$G76="SI",OR(pdProveedor="(Todos)",pdProveedor="",'15_STOCK'!$E76=pdProveedor)),IFERROR(MATCH('15_STOCK'!$E76,tblProveedores[Proveedor],0),999)*1000000+MATCH('15_STOCK'!$N76,{"AGOTADO","CRÍTICO","BAJO"},0)*10000+ROW(),"")</f>
        <v/>
      </c>
      <c r="O76" s="92">
        <v>69</v>
      </c>
      <c r="P76" s="91" t="str">
        <f t="shared" si="7"/>
        <v/>
      </c>
      <c r="Q76" s="91" t="str">
        <f t="shared" si="8"/>
        <v/>
      </c>
      <c r="R76" s="92">
        <v>69</v>
      </c>
      <c r="S76" s="91" t="str">
        <f t="shared" si="9"/>
        <v/>
      </c>
      <c r="T76" s="91" t="str">
        <f t="shared" si="10"/>
        <v/>
      </c>
      <c r="V76" s="92">
        <v>69</v>
      </c>
      <c r="W76" s="93" t="e">
        <f>IF(69&gt;kxMostrados,NA(),INDEX('17_KARDEX'!$C$22:$C$121,kxMostrados-69+1))</f>
        <v>#N/A</v>
      </c>
      <c r="X76" s="91" t="e">
        <f>IF(69&gt;kxMostrados,NA(),INDEX('17_KARDEX'!$G$22:$G$121,kxMostrados-69+1))</f>
        <v>#N/A</v>
      </c>
    </row>
    <row r="77" spans="2:24" x14ac:dyDescent="0.25">
      <c r="B77" s="87" t="s">
        <v>389</v>
      </c>
      <c r="C77" s="106" t="str">
        <f>IF(kpiUltimoID&lt;1,"Aún no hay movimientos registrados","Último registro: #"&amp;kpiUltimoID&amp;"  ·  "&amp;INDEX(tblMovimientos[Tipo],kpiUltimoID)&amp;"  "&amp;IF(N(INDEX(tblMovimientos[CantidadNeta],kpiUltimoID))&gt;0,"+","")&amp;INDEX(tblMovimientos[CantidadNeta],kpiUltimoID)&amp;" "&amp;INDEX(tblMovimientos[Unidad],kpiUltimoID)&amp;"  ·  "&amp;INDEX(tblMovimientos[SKU],kpiUltimoID))</f>
        <v>Aún no hay movimientos registrados</v>
      </c>
      <c r="D77" s="89" t="s">
        <v>390</v>
      </c>
      <c r="L77" s="91" t="str">
        <f>IF(AND(ISNUMBER('15_STOCK'!$P77),'15_STOCK'!$P77&gt;0),'15_STOCK'!$P77+ROW()/1000000,"")</f>
        <v/>
      </c>
      <c r="M77" s="91" t="str">
        <f>IFERROR(MATCH('15_STOCK'!$N77,{"INCONSISTENTE","AGOTADO","CRÍTICO","BAJO","SOBRESTOCK"},0)*100000+MIN(99,INT(IF(N('15_STOCK'!$K77)&gt;0,MAX(0,N('15_STOCK'!$J77))/'15_STOCK'!$K77,0)*10))*1000+ROW(),"")</f>
        <v/>
      </c>
      <c r="N77" s="91" t="str">
        <f>IF(AND(ISNUMBER(MATCH('15_STOCK'!$N77,{"AGOTADO","CRÍTICO","BAJO"},0)),'15_STOCK'!$G77="SI",OR(pdProveedor="(Todos)",pdProveedor="",'15_STOCK'!$E77=pdProveedor)),IFERROR(MATCH('15_STOCK'!$E77,tblProveedores[Proveedor],0),999)*1000000+MATCH('15_STOCK'!$N77,{"AGOTADO","CRÍTICO","BAJO"},0)*10000+ROW(),"")</f>
        <v/>
      </c>
      <c r="O77" s="92">
        <v>70</v>
      </c>
      <c r="P77" s="91" t="str">
        <f t="shared" si="7"/>
        <v/>
      </c>
      <c r="Q77" s="91" t="str">
        <f t="shared" si="8"/>
        <v/>
      </c>
      <c r="R77" s="92">
        <v>70</v>
      </c>
      <c r="S77" s="91" t="str">
        <f t="shared" si="9"/>
        <v/>
      </c>
      <c r="T77" s="91" t="str">
        <f t="shared" si="10"/>
        <v/>
      </c>
      <c r="V77" s="92">
        <v>70</v>
      </c>
      <c r="W77" s="93" t="e">
        <f>IF(70&gt;kxMostrados,NA(),INDEX('17_KARDEX'!$C$22:$C$121,kxMostrados-70+1))</f>
        <v>#N/A</v>
      </c>
      <c r="X77" s="91" t="e">
        <f>IF(70&gt;kxMostrados,NA(),INDEX('17_KARDEX'!$G$22:$G$121,kxMostrados-70+1))</f>
        <v>#N/A</v>
      </c>
    </row>
    <row r="78" spans="2:24" x14ac:dyDescent="0.25">
      <c r="B78" s="87" t="s">
        <v>391</v>
      </c>
      <c r="C78" s="106" t="str">
        <f>"Contados: "&amp;kpiConteoContados&amp;" de "&amp;kpiActivos</f>
        <v>Contados: 0 de 0</v>
      </c>
      <c r="D78" s="89" t="s">
        <v>392</v>
      </c>
      <c r="L78" s="91" t="str">
        <f>IF(AND(ISNUMBER('15_STOCK'!$P78),'15_STOCK'!$P78&gt;0),'15_STOCK'!$P78+ROW()/1000000,"")</f>
        <v/>
      </c>
      <c r="M78" s="91" t="str">
        <f>IFERROR(MATCH('15_STOCK'!$N78,{"INCONSISTENTE","AGOTADO","CRÍTICO","BAJO","SOBRESTOCK"},0)*100000+MIN(99,INT(IF(N('15_STOCK'!$K78)&gt;0,MAX(0,N('15_STOCK'!$J78))/'15_STOCK'!$K78,0)*10))*1000+ROW(),"")</f>
        <v/>
      </c>
      <c r="N78" s="91" t="str">
        <f>IF(AND(ISNUMBER(MATCH('15_STOCK'!$N78,{"AGOTADO","CRÍTICO","BAJO"},0)),'15_STOCK'!$G78="SI",OR(pdProveedor="(Todos)",pdProveedor="",'15_STOCK'!$E78=pdProveedor)),IFERROR(MATCH('15_STOCK'!$E78,tblProveedores[Proveedor],0),999)*1000000+MATCH('15_STOCK'!$N78,{"AGOTADO","CRÍTICO","BAJO"},0)*10000+ROW(),"")</f>
        <v/>
      </c>
      <c r="O78" s="92">
        <v>71</v>
      </c>
      <c r="P78" s="91" t="str">
        <f t="shared" si="7"/>
        <v/>
      </c>
      <c r="Q78" s="91" t="str">
        <f t="shared" si="8"/>
        <v/>
      </c>
      <c r="R78" s="92">
        <v>71</v>
      </c>
      <c r="S78" s="91" t="str">
        <f t="shared" si="9"/>
        <v/>
      </c>
      <c r="T78" s="91" t="str">
        <f t="shared" si="10"/>
        <v/>
      </c>
      <c r="V78" s="92">
        <v>71</v>
      </c>
      <c r="W78" s="93" t="e">
        <f>IF(71&gt;kxMostrados,NA(),INDEX('17_KARDEX'!$C$22:$C$121,kxMostrados-71+1))</f>
        <v>#N/A</v>
      </c>
      <c r="X78" s="91" t="e">
        <f>IF(71&gt;kxMostrados,NA(),INDEX('17_KARDEX'!$G$22:$G$121,kxMostrados-71+1))</f>
        <v>#N/A</v>
      </c>
    </row>
    <row r="79" spans="2:24" x14ac:dyDescent="0.25">
      <c r="B79" s="87" t="s">
        <v>393</v>
      </c>
      <c r="C79" s="106" t="str">
        <f>"Con diferencia: "&amp;kpiConteoDif</f>
        <v>Con diferencia: 0</v>
      </c>
      <c r="D79" s="89" t="s">
        <v>394</v>
      </c>
      <c r="L79" s="91" t="str">
        <f>IF(AND(ISNUMBER('15_STOCK'!$P79),'15_STOCK'!$P79&gt;0),'15_STOCK'!$P79+ROW()/1000000,"")</f>
        <v/>
      </c>
      <c r="M79" s="91" t="str">
        <f>IFERROR(MATCH('15_STOCK'!$N79,{"INCONSISTENTE","AGOTADO","CRÍTICO","BAJO","SOBRESTOCK"},0)*100000+MIN(99,INT(IF(N('15_STOCK'!$K79)&gt;0,MAX(0,N('15_STOCK'!$J79))/'15_STOCK'!$K79,0)*10))*1000+ROW(),"")</f>
        <v/>
      </c>
      <c r="N79" s="91" t="str">
        <f>IF(AND(ISNUMBER(MATCH('15_STOCK'!$N79,{"AGOTADO","CRÍTICO","BAJO"},0)),'15_STOCK'!$G79="SI",OR(pdProveedor="(Todos)",pdProveedor="",'15_STOCK'!$E79=pdProveedor)),IFERROR(MATCH('15_STOCK'!$E79,tblProveedores[Proveedor],0),999)*1000000+MATCH('15_STOCK'!$N79,{"AGOTADO","CRÍTICO","BAJO"},0)*10000+ROW(),"")</f>
        <v/>
      </c>
      <c r="O79" s="92">
        <v>72</v>
      </c>
      <c r="P79" s="91" t="str">
        <f t="shared" si="7"/>
        <v/>
      </c>
      <c r="Q79" s="91" t="str">
        <f t="shared" si="8"/>
        <v/>
      </c>
      <c r="R79" s="92">
        <v>72</v>
      </c>
      <c r="S79" s="91" t="str">
        <f t="shared" si="9"/>
        <v/>
      </c>
      <c r="T79" s="91" t="str">
        <f t="shared" si="10"/>
        <v/>
      </c>
      <c r="V79" s="92">
        <v>72</v>
      </c>
      <c r="W79" s="93" t="e">
        <f>IF(72&gt;kxMostrados,NA(),INDEX('17_KARDEX'!$C$22:$C$121,kxMostrados-72+1))</f>
        <v>#N/A</v>
      </c>
      <c r="X79" s="91" t="e">
        <f>IF(72&gt;kxMostrados,NA(),INDEX('17_KARDEX'!$G$22:$G$121,kxMostrados-72+1))</f>
        <v>#N/A</v>
      </c>
    </row>
    <row r="80" spans="2:24" x14ac:dyDescent="0.25">
      <c r="B80" s="87" t="s">
        <v>395</v>
      </c>
      <c r="C80" s="106" t="str">
        <f>"Valor neto: $ "&amp;FIXED(kpiConteoValor,0)</f>
        <v>Valor neto: $ 0</v>
      </c>
      <c r="D80" s="89" t="s">
        <v>396</v>
      </c>
      <c r="L80" s="91" t="str">
        <f>IF(AND(ISNUMBER('15_STOCK'!$P80),'15_STOCK'!$P80&gt;0),'15_STOCK'!$P80+ROW()/1000000,"")</f>
        <v/>
      </c>
      <c r="M80" s="91" t="str">
        <f>IFERROR(MATCH('15_STOCK'!$N80,{"INCONSISTENTE","AGOTADO","CRÍTICO","BAJO","SOBRESTOCK"},0)*100000+MIN(99,INT(IF(N('15_STOCK'!$K80)&gt;0,MAX(0,N('15_STOCK'!$J80))/'15_STOCK'!$K80,0)*10))*1000+ROW(),"")</f>
        <v/>
      </c>
      <c r="N80" s="91" t="str">
        <f>IF(AND(ISNUMBER(MATCH('15_STOCK'!$N80,{"AGOTADO","CRÍTICO","BAJO"},0)),'15_STOCK'!$G80="SI",OR(pdProveedor="(Todos)",pdProveedor="",'15_STOCK'!$E80=pdProveedor)),IFERROR(MATCH('15_STOCK'!$E80,tblProveedores[Proveedor],0),999)*1000000+MATCH('15_STOCK'!$N80,{"AGOTADO","CRÍTICO","BAJO"},0)*10000+ROW(),"")</f>
        <v/>
      </c>
      <c r="O80" s="92">
        <v>73</v>
      </c>
      <c r="P80" s="91" t="str">
        <f t="shared" si="7"/>
        <v/>
      </c>
      <c r="Q80" s="91" t="str">
        <f t="shared" si="8"/>
        <v/>
      </c>
      <c r="R80" s="92">
        <v>73</v>
      </c>
      <c r="S80" s="91" t="str">
        <f t="shared" si="9"/>
        <v/>
      </c>
      <c r="T80" s="91" t="str">
        <f t="shared" si="10"/>
        <v/>
      </c>
      <c r="V80" s="92">
        <v>73</v>
      </c>
      <c r="W80" s="93" t="e">
        <f>IF(73&gt;kxMostrados,NA(),INDEX('17_KARDEX'!$C$22:$C$121,kxMostrados-73+1))</f>
        <v>#N/A</v>
      </c>
      <c r="X80" s="91" t="e">
        <f>IF(73&gt;kxMostrados,NA(),INDEX('17_KARDEX'!$G$22:$G$121,kxMostrados-73+1))</f>
        <v>#N/A</v>
      </c>
    </row>
    <row r="81" spans="2:24" x14ac:dyDescent="0.25">
      <c r="B81" s="87" t="s">
        <v>397</v>
      </c>
      <c r="C81" s="106" t="str">
        <f>"Líneas: "&amp;kpiPedidoLineas</f>
        <v>Líneas: 0</v>
      </c>
      <c r="D81" s="89" t="s">
        <v>398</v>
      </c>
      <c r="L81" s="91" t="str">
        <f>IF(AND(ISNUMBER('15_STOCK'!$P81),'15_STOCK'!$P81&gt;0),'15_STOCK'!$P81+ROW()/1000000,"")</f>
        <v/>
      </c>
      <c r="M81" s="91" t="str">
        <f>IFERROR(MATCH('15_STOCK'!$N81,{"INCONSISTENTE","AGOTADO","CRÍTICO","BAJO","SOBRESTOCK"},0)*100000+MIN(99,INT(IF(N('15_STOCK'!$K81)&gt;0,MAX(0,N('15_STOCK'!$J81))/'15_STOCK'!$K81,0)*10))*1000+ROW(),"")</f>
        <v/>
      </c>
      <c r="N81" s="91" t="str">
        <f>IF(AND(ISNUMBER(MATCH('15_STOCK'!$N81,{"AGOTADO","CRÍTICO","BAJO"},0)),'15_STOCK'!$G81="SI",OR(pdProveedor="(Todos)",pdProveedor="",'15_STOCK'!$E81=pdProveedor)),IFERROR(MATCH('15_STOCK'!$E81,tblProveedores[Proveedor],0),999)*1000000+MATCH('15_STOCK'!$N81,{"AGOTADO","CRÍTICO","BAJO"},0)*10000+ROW(),"")</f>
        <v/>
      </c>
      <c r="O81" s="92">
        <v>74</v>
      </c>
      <c r="P81" s="91" t="str">
        <f t="shared" si="7"/>
        <v/>
      </c>
      <c r="Q81" s="91" t="str">
        <f t="shared" si="8"/>
        <v/>
      </c>
      <c r="R81" s="92">
        <v>74</v>
      </c>
      <c r="S81" s="91" t="str">
        <f t="shared" si="9"/>
        <v/>
      </c>
      <c r="T81" s="91" t="str">
        <f t="shared" si="10"/>
        <v/>
      </c>
      <c r="V81" s="92">
        <v>74</v>
      </c>
      <c r="W81" s="93" t="e">
        <f>IF(74&gt;kxMostrados,NA(),INDEX('17_KARDEX'!$C$22:$C$121,kxMostrados-74+1))</f>
        <v>#N/A</v>
      </c>
      <c r="X81" s="91" t="e">
        <f>IF(74&gt;kxMostrados,NA(),INDEX('17_KARDEX'!$G$22:$G$121,kxMostrados-74+1))</f>
        <v>#N/A</v>
      </c>
    </row>
    <row r="82" spans="2:24" x14ac:dyDescent="0.25">
      <c r="B82" s="87" t="s">
        <v>399</v>
      </c>
      <c r="C82" s="106" t="str">
        <f>"Total estimado: $ "&amp;FIXED(kpiPedidoTotal,0)</f>
        <v>Total estimado: $ 0</v>
      </c>
      <c r="D82" s="89" t="s">
        <v>400</v>
      </c>
      <c r="L82" s="91" t="str">
        <f>IF(AND(ISNUMBER('15_STOCK'!$P82),'15_STOCK'!$P82&gt;0),'15_STOCK'!$P82+ROW()/1000000,"")</f>
        <v/>
      </c>
      <c r="M82" s="91" t="str">
        <f>IFERROR(MATCH('15_STOCK'!$N82,{"INCONSISTENTE","AGOTADO","CRÍTICO","BAJO","SOBRESTOCK"},0)*100000+MIN(99,INT(IF(N('15_STOCK'!$K82)&gt;0,MAX(0,N('15_STOCK'!$J82))/'15_STOCK'!$K82,0)*10))*1000+ROW(),"")</f>
        <v/>
      </c>
      <c r="N82" s="91" t="str">
        <f>IF(AND(ISNUMBER(MATCH('15_STOCK'!$N82,{"AGOTADO","CRÍTICO","BAJO"},0)),'15_STOCK'!$G82="SI",OR(pdProveedor="(Todos)",pdProveedor="",'15_STOCK'!$E82=pdProveedor)),IFERROR(MATCH('15_STOCK'!$E82,tblProveedores[Proveedor],0),999)*1000000+MATCH('15_STOCK'!$N82,{"AGOTADO","CRÍTICO","BAJO"},0)*10000+ROW(),"")</f>
        <v/>
      </c>
      <c r="O82" s="92">
        <v>75</v>
      </c>
      <c r="P82" s="91" t="str">
        <f t="shared" si="7"/>
        <v/>
      </c>
      <c r="Q82" s="91" t="str">
        <f t="shared" si="8"/>
        <v/>
      </c>
      <c r="R82" s="92">
        <v>75</v>
      </c>
      <c r="S82" s="91" t="str">
        <f t="shared" si="9"/>
        <v/>
      </c>
      <c r="T82" s="91" t="str">
        <f t="shared" si="10"/>
        <v/>
      </c>
      <c r="V82" s="92">
        <v>75</v>
      </c>
      <c r="W82" s="93" t="e">
        <f>IF(75&gt;kxMostrados,NA(),INDEX('17_KARDEX'!$C$22:$C$121,kxMostrados-75+1))</f>
        <v>#N/A</v>
      </c>
      <c r="X82" s="91" t="e">
        <f>IF(75&gt;kxMostrados,NA(),INDEX('17_KARDEX'!$G$22:$G$121,kxMostrados-75+1))</f>
        <v>#N/A</v>
      </c>
    </row>
    <row r="83" spans="2:24" x14ac:dyDescent="0.25">
      <c r="B83" s="87" t="s">
        <v>401</v>
      </c>
      <c r="C83" s="106" t="str">
        <f>kpiPedidoLineas&amp;" línea(s) · "&amp;kpiPedidoProv&amp;" proveedor(es)"</f>
        <v>0 línea(s) · 0 proveedor(es)</v>
      </c>
      <c r="D83" s="89" t="s">
        <v>402</v>
      </c>
      <c r="L83" s="91" t="str">
        <f>IF(AND(ISNUMBER('15_STOCK'!$P83),'15_STOCK'!$P83&gt;0),'15_STOCK'!$P83+ROW()/1000000,"")</f>
        <v/>
      </c>
      <c r="M83" s="91" t="str">
        <f>IFERROR(MATCH('15_STOCK'!$N83,{"INCONSISTENTE","AGOTADO","CRÍTICO","BAJO","SOBRESTOCK"},0)*100000+MIN(99,INT(IF(N('15_STOCK'!$K83)&gt;0,MAX(0,N('15_STOCK'!$J83))/'15_STOCK'!$K83,0)*10))*1000+ROW(),"")</f>
        <v/>
      </c>
      <c r="N83" s="91" t="str">
        <f>IF(AND(ISNUMBER(MATCH('15_STOCK'!$N83,{"AGOTADO","CRÍTICO","BAJO"},0)),'15_STOCK'!$G83="SI",OR(pdProveedor="(Todos)",pdProveedor="",'15_STOCK'!$E83=pdProveedor)),IFERROR(MATCH('15_STOCK'!$E83,tblProveedores[Proveedor],0),999)*1000000+MATCH('15_STOCK'!$N83,{"AGOTADO","CRÍTICO","BAJO"},0)*10000+ROW(),"")</f>
        <v/>
      </c>
      <c r="O83" s="92">
        <v>76</v>
      </c>
      <c r="P83" s="91" t="str">
        <f t="shared" si="7"/>
        <v/>
      </c>
      <c r="Q83" s="91" t="str">
        <f t="shared" si="8"/>
        <v/>
      </c>
      <c r="R83" s="92">
        <v>76</v>
      </c>
      <c r="S83" s="91" t="str">
        <f t="shared" si="9"/>
        <v/>
      </c>
      <c r="T83" s="91" t="str">
        <f t="shared" si="10"/>
        <v/>
      </c>
      <c r="V83" s="92">
        <v>76</v>
      </c>
      <c r="W83" s="93" t="e">
        <f>IF(76&gt;kxMostrados,NA(),INDEX('17_KARDEX'!$C$22:$C$121,kxMostrados-76+1))</f>
        <v>#N/A</v>
      </c>
      <c r="X83" s="91" t="e">
        <f>IF(76&gt;kxMostrados,NA(),INDEX('17_KARDEX'!$G$22:$G$121,kxMostrados-76+1))</f>
        <v>#N/A</v>
      </c>
    </row>
    <row r="84" spans="2:24" x14ac:dyDescent="0.25">
      <c r="B84" s="87" t="s">
        <v>403</v>
      </c>
      <c r="C84" s="106" t="str">
        <f>IF(ISNUMBER(pdProvFila),"Contacto: "&amp;INDEX(tblProveedores[Contacto],pdProvFila)&amp;"  ·  Tel. "&amp;INDEX(tblProveedores[Teléfono],pdProvFila)&amp;"  ·  "&amp;INDEX(tblProveedores[Correo],pdProvFila),"Todos los proveedores. Para enviar un pedido, elija el proveedor e imprima.")</f>
        <v>Todos los proveedores. Para enviar un pedido, elija el proveedor e imprima.</v>
      </c>
      <c r="D84" s="89" t="s">
        <v>404</v>
      </c>
      <c r="L84" s="91" t="str">
        <f>IF(AND(ISNUMBER('15_STOCK'!$P84),'15_STOCK'!$P84&gt;0),'15_STOCK'!$P84+ROW()/1000000,"")</f>
        <v/>
      </c>
      <c r="M84" s="91" t="str">
        <f>IFERROR(MATCH('15_STOCK'!$N84,{"INCONSISTENTE","AGOTADO","CRÍTICO","BAJO","SOBRESTOCK"},0)*100000+MIN(99,INT(IF(N('15_STOCK'!$K84)&gt;0,MAX(0,N('15_STOCK'!$J84))/'15_STOCK'!$K84,0)*10))*1000+ROW(),"")</f>
        <v/>
      </c>
      <c r="N84" s="91" t="str">
        <f>IF(AND(ISNUMBER(MATCH('15_STOCK'!$N84,{"AGOTADO","CRÍTICO","BAJO"},0)),'15_STOCK'!$G84="SI",OR(pdProveedor="(Todos)",pdProveedor="",'15_STOCK'!$E84=pdProveedor)),IFERROR(MATCH('15_STOCK'!$E84,tblProveedores[Proveedor],0),999)*1000000+MATCH('15_STOCK'!$N84,{"AGOTADO","CRÍTICO","BAJO"},0)*10000+ROW(),"")</f>
        <v/>
      </c>
      <c r="O84" s="92">
        <v>77</v>
      </c>
      <c r="P84" s="91" t="str">
        <f t="shared" si="7"/>
        <v/>
      </c>
      <c r="Q84" s="91" t="str">
        <f t="shared" si="8"/>
        <v/>
      </c>
      <c r="R84" s="92">
        <v>77</v>
      </c>
      <c r="S84" s="91" t="str">
        <f t="shared" si="9"/>
        <v/>
      </c>
      <c r="T84" s="91" t="str">
        <f t="shared" si="10"/>
        <v/>
      </c>
      <c r="V84" s="92">
        <v>77</v>
      </c>
      <c r="W84" s="93" t="e">
        <f>IF(77&gt;kxMostrados,NA(),INDEX('17_KARDEX'!$C$22:$C$121,kxMostrados-77+1))</f>
        <v>#N/A</v>
      </c>
      <c r="X84" s="91" t="e">
        <f>IF(77&gt;kxMostrados,NA(),INDEX('17_KARDEX'!$G$22:$G$121,kxMostrados-77+1))</f>
        <v>#N/A</v>
      </c>
    </row>
    <row r="85" spans="2:24" x14ac:dyDescent="0.25">
      <c r="B85" s="87" t="s">
        <v>405</v>
      </c>
      <c r="C85" s="106" t="str">
        <f ca="1">IF(ISNUMBER(pdProvFila),"Entrega estimada: "&amp;RIGHT("0"&amp;DAY(TODAY()+N(INDEX(tblProveedores[DiasEntrega],pdProvFila))),2)&amp;"/"&amp;RIGHT("0"&amp;MONTH(TODAY()+N(INDEX(tblProveedores[DiasEntrega],pdProvFila))),2)&amp;"/"&amp;YEAR(TODAY()+N(INDEX(tblProveedores[DiasEntrega],pdProvFila)))&amp;"  ("&amp;N(INDEX(tblProveedores[DiasEntrega],pdProvFila))&amp;" días)","")</f>
        <v/>
      </c>
      <c r="D85" s="89" t="s">
        <v>406</v>
      </c>
      <c r="L85" s="91" t="str">
        <f>IF(AND(ISNUMBER('15_STOCK'!$P85),'15_STOCK'!$P85&gt;0),'15_STOCK'!$P85+ROW()/1000000,"")</f>
        <v/>
      </c>
      <c r="M85" s="91" t="str">
        <f>IFERROR(MATCH('15_STOCK'!$N85,{"INCONSISTENTE","AGOTADO","CRÍTICO","BAJO","SOBRESTOCK"},0)*100000+MIN(99,INT(IF(N('15_STOCK'!$K85)&gt;0,MAX(0,N('15_STOCK'!$J85))/'15_STOCK'!$K85,0)*10))*1000+ROW(),"")</f>
        <v/>
      </c>
      <c r="N85" s="91" t="str">
        <f>IF(AND(ISNUMBER(MATCH('15_STOCK'!$N85,{"AGOTADO","CRÍTICO","BAJO"},0)),'15_STOCK'!$G85="SI",OR(pdProveedor="(Todos)",pdProveedor="",'15_STOCK'!$E85=pdProveedor)),IFERROR(MATCH('15_STOCK'!$E85,tblProveedores[Proveedor],0),999)*1000000+MATCH('15_STOCK'!$N85,{"AGOTADO","CRÍTICO","BAJO"},0)*10000+ROW(),"")</f>
        <v/>
      </c>
      <c r="O85" s="92">
        <v>78</v>
      </c>
      <c r="P85" s="91" t="str">
        <f t="shared" si="7"/>
        <v/>
      </c>
      <c r="Q85" s="91" t="str">
        <f t="shared" si="8"/>
        <v/>
      </c>
      <c r="R85" s="92">
        <v>78</v>
      </c>
      <c r="S85" s="91" t="str">
        <f t="shared" si="9"/>
        <v/>
      </c>
      <c r="T85" s="91" t="str">
        <f t="shared" si="10"/>
        <v/>
      </c>
      <c r="V85" s="92">
        <v>78</v>
      </c>
      <c r="W85" s="93" t="e">
        <f>IF(78&gt;kxMostrados,NA(),INDEX('17_KARDEX'!$C$22:$C$121,kxMostrados-78+1))</f>
        <v>#N/A</v>
      </c>
      <c r="X85" s="91" t="e">
        <f>IF(78&gt;kxMostrados,NA(),INDEX('17_KARDEX'!$G$22:$G$121,kxMostrados-78+1))</f>
        <v>#N/A</v>
      </c>
    </row>
    <row r="86" spans="2:24" x14ac:dyDescent="0.25">
      <c r="B86" s="87" t="s">
        <v>407</v>
      </c>
      <c r="C86" s="106" t="str">
        <f>IF(kxExiste,"Consultando "&amp;kxSKU&amp;"  ·  "&amp;kxN&amp;" movimiento(s)","Elija un producto para consultarlo")</f>
        <v>Elija un producto para consultarlo</v>
      </c>
      <c r="D86" s="89" t="s">
        <v>408</v>
      </c>
      <c r="L86" s="91" t="str">
        <f>IF(AND(ISNUMBER('15_STOCK'!$P86),'15_STOCK'!$P86&gt;0),'15_STOCK'!$P86+ROW()/1000000,"")</f>
        <v/>
      </c>
      <c r="M86" s="91" t="str">
        <f>IFERROR(MATCH('15_STOCK'!$N86,{"INCONSISTENTE","AGOTADO","CRÍTICO","BAJO","SOBRESTOCK"},0)*100000+MIN(99,INT(IF(N('15_STOCK'!$K86)&gt;0,MAX(0,N('15_STOCK'!$J86))/'15_STOCK'!$K86,0)*10))*1000+ROW(),"")</f>
        <v/>
      </c>
      <c r="N86" s="91" t="str">
        <f>IF(AND(ISNUMBER(MATCH('15_STOCK'!$N86,{"AGOTADO","CRÍTICO","BAJO"},0)),'15_STOCK'!$G86="SI",OR(pdProveedor="(Todos)",pdProveedor="",'15_STOCK'!$E86=pdProveedor)),IFERROR(MATCH('15_STOCK'!$E86,tblProveedores[Proveedor],0),999)*1000000+MATCH('15_STOCK'!$N86,{"AGOTADO","CRÍTICO","BAJO"},0)*10000+ROW(),"")</f>
        <v/>
      </c>
      <c r="O86" s="92">
        <v>79</v>
      </c>
      <c r="P86" s="91" t="str">
        <f t="shared" si="7"/>
        <v/>
      </c>
      <c r="Q86" s="91" t="str">
        <f t="shared" si="8"/>
        <v/>
      </c>
      <c r="R86" s="92">
        <v>79</v>
      </c>
      <c r="S86" s="91" t="str">
        <f t="shared" si="9"/>
        <v/>
      </c>
      <c r="T86" s="91" t="str">
        <f t="shared" si="10"/>
        <v/>
      </c>
      <c r="V86" s="92">
        <v>79</v>
      </c>
      <c r="W86" s="93" t="e">
        <f>IF(79&gt;kxMostrados,NA(),INDEX('17_KARDEX'!$C$22:$C$121,kxMostrados-79+1))</f>
        <v>#N/A</v>
      </c>
      <c r="X86" s="91" t="e">
        <f>IF(79&gt;kxMostrados,NA(),INDEX('17_KARDEX'!$G$22:$G$121,kxMostrados-79+1))</f>
        <v>#N/A</v>
      </c>
    </row>
    <row r="87" spans="2:24" x14ac:dyDescent="0.25">
      <c r="B87" s="87" t="s">
        <v>409</v>
      </c>
      <c r="C87" s="106" t="str">
        <f>IF(AND(kxCategoria="",kxBuscar=""),kxCoinciden&amp;" producto(s) en el catálogo · use Buscar para filtrar",kxCoinciden&amp;" producto(s) coinciden con el filtro")</f>
        <v>0 producto(s) en el catálogo · use Buscar para filtrar</v>
      </c>
      <c r="D87" s="89" t="s">
        <v>410</v>
      </c>
      <c r="L87" s="91" t="str">
        <f>IF(AND(ISNUMBER('15_STOCK'!$P87),'15_STOCK'!$P87&gt;0),'15_STOCK'!$P87+ROW()/1000000,"")</f>
        <v/>
      </c>
      <c r="M87" s="91" t="str">
        <f>IFERROR(MATCH('15_STOCK'!$N87,{"INCONSISTENTE","AGOTADO","CRÍTICO","BAJO","SOBRESTOCK"},0)*100000+MIN(99,INT(IF(N('15_STOCK'!$K87)&gt;0,MAX(0,N('15_STOCK'!$J87))/'15_STOCK'!$K87,0)*10))*1000+ROW(),"")</f>
        <v/>
      </c>
      <c r="N87" s="91" t="str">
        <f>IF(AND(ISNUMBER(MATCH('15_STOCK'!$N87,{"AGOTADO","CRÍTICO","BAJO"},0)),'15_STOCK'!$G87="SI",OR(pdProveedor="(Todos)",pdProveedor="",'15_STOCK'!$E87=pdProveedor)),IFERROR(MATCH('15_STOCK'!$E87,tblProveedores[Proveedor],0),999)*1000000+MATCH('15_STOCK'!$N87,{"AGOTADO","CRÍTICO","BAJO"},0)*10000+ROW(),"")</f>
        <v/>
      </c>
      <c r="O87" s="92">
        <v>80</v>
      </c>
      <c r="P87" s="91" t="str">
        <f t="shared" si="7"/>
        <v/>
      </c>
      <c r="Q87" s="91" t="str">
        <f t="shared" si="8"/>
        <v/>
      </c>
      <c r="R87" s="92">
        <v>80</v>
      </c>
      <c r="S87" s="91" t="str">
        <f t="shared" si="9"/>
        <v/>
      </c>
      <c r="T87" s="91" t="str">
        <f t="shared" si="10"/>
        <v/>
      </c>
      <c r="V87" s="92">
        <v>80</v>
      </c>
      <c r="W87" s="93" t="e">
        <f>IF(80&gt;kxMostrados,NA(),INDEX('17_KARDEX'!$C$22:$C$121,kxMostrados-80+1))</f>
        <v>#N/A</v>
      </c>
      <c r="X87" s="91" t="e">
        <f>IF(80&gt;kxMostrados,NA(),INDEX('17_KARDEX'!$G$22:$G$121,kxMostrados-80+1))</f>
        <v>#N/A</v>
      </c>
    </row>
    <row r="88" spans="2:24" x14ac:dyDescent="0.25">
      <c r="B88" s="87" t="s">
        <v>411</v>
      </c>
      <c r="C88" s="106" t="str">
        <f>IF(kxExiste,INDEX(tblStock[Categoría],kxFila)&amp;"  ·  "&amp;IF(INDEX(tblStock[Proveedor],kxFila)="","Sin proveedor",INDEX(tblStock[Proveedor],kxFila))&amp;"  ·  Ubicación "&amp;INDEX(tblProductos[Ubicación],MATCH(kxSKU,tblProductos[SKU],0))&amp;"  ·  "&amp;INDEX(tblStock[Unidad],kxFila),"")</f>
        <v/>
      </c>
      <c r="D88" s="89" t="s">
        <v>412</v>
      </c>
      <c r="L88" s="91" t="str">
        <f>IF(AND(ISNUMBER('15_STOCK'!$P88),'15_STOCK'!$P88&gt;0),'15_STOCK'!$P88+ROW()/1000000,"")</f>
        <v/>
      </c>
      <c r="M88" s="91" t="str">
        <f>IFERROR(MATCH('15_STOCK'!$N88,{"INCONSISTENTE","AGOTADO","CRÍTICO","BAJO","SOBRESTOCK"},0)*100000+MIN(99,INT(IF(N('15_STOCK'!$K88)&gt;0,MAX(0,N('15_STOCK'!$J88))/'15_STOCK'!$K88,0)*10))*1000+ROW(),"")</f>
        <v/>
      </c>
      <c r="N88" s="91" t="str">
        <f>IF(AND(ISNUMBER(MATCH('15_STOCK'!$N88,{"AGOTADO","CRÍTICO","BAJO"},0)),'15_STOCK'!$G88="SI",OR(pdProveedor="(Todos)",pdProveedor="",'15_STOCK'!$E88=pdProveedor)),IFERROR(MATCH('15_STOCK'!$E88,tblProveedores[Proveedor],0),999)*1000000+MATCH('15_STOCK'!$N88,{"AGOTADO","CRÍTICO","BAJO"},0)*10000+ROW(),"")</f>
        <v/>
      </c>
      <c r="O88" s="92">
        <v>81</v>
      </c>
      <c r="P88" s="91" t="str">
        <f t="shared" si="7"/>
        <v/>
      </c>
      <c r="Q88" s="91" t="str">
        <f t="shared" si="8"/>
        <v/>
      </c>
      <c r="R88" s="92">
        <v>81</v>
      </c>
      <c r="S88" s="91" t="str">
        <f t="shared" si="9"/>
        <v/>
      </c>
      <c r="T88" s="91" t="str">
        <f t="shared" si="10"/>
        <v/>
      </c>
      <c r="V88" s="92">
        <v>81</v>
      </c>
      <c r="W88" s="93" t="e">
        <f>IF(81&gt;kxMostrados,NA(),INDEX('17_KARDEX'!$C$22:$C$121,kxMostrados-81+1))</f>
        <v>#N/A</v>
      </c>
      <c r="X88" s="91" t="e">
        <f>IF(81&gt;kxMostrados,NA(),INDEX('17_KARDEX'!$G$22:$G$121,kxMostrados-81+1))</f>
        <v>#N/A</v>
      </c>
    </row>
    <row r="89" spans="2:24" x14ac:dyDescent="0.25">
      <c r="B89" s="87" t="s">
        <v>413</v>
      </c>
      <c r="C89" s="106" t="str">
        <f>IF(kxExiste,"Entradas: "&amp;INDEX(tblStock[Entradas],kxFila)&amp;"    ·    Salidas: "&amp;INDEX(tblStock[Salidas],kxFila)&amp;"    ·    Movimientos: "&amp;kxN,"")</f>
        <v/>
      </c>
      <c r="D89" s="89" t="s">
        <v>414</v>
      </c>
      <c r="L89" s="91" t="str">
        <f>IF(AND(ISNUMBER('15_STOCK'!$P89),'15_STOCK'!$P89&gt;0),'15_STOCK'!$P89+ROW()/1000000,"")</f>
        <v/>
      </c>
      <c r="M89" s="91" t="str">
        <f>IFERROR(MATCH('15_STOCK'!$N89,{"INCONSISTENTE","AGOTADO","CRÍTICO","BAJO","SOBRESTOCK"},0)*100000+MIN(99,INT(IF(N('15_STOCK'!$K89)&gt;0,MAX(0,N('15_STOCK'!$J89))/'15_STOCK'!$K89,0)*10))*1000+ROW(),"")</f>
        <v/>
      </c>
      <c r="N89" s="91" t="str">
        <f>IF(AND(ISNUMBER(MATCH('15_STOCK'!$N89,{"AGOTADO","CRÍTICO","BAJO"},0)),'15_STOCK'!$G89="SI",OR(pdProveedor="(Todos)",pdProveedor="",'15_STOCK'!$E89=pdProveedor)),IFERROR(MATCH('15_STOCK'!$E89,tblProveedores[Proveedor],0),999)*1000000+MATCH('15_STOCK'!$N89,{"AGOTADO","CRÍTICO","BAJO"},0)*10000+ROW(),"")</f>
        <v/>
      </c>
      <c r="O89" s="92">
        <v>82</v>
      </c>
      <c r="P89" s="91" t="str">
        <f t="shared" si="7"/>
        <v/>
      </c>
      <c r="Q89" s="91" t="str">
        <f t="shared" si="8"/>
        <v/>
      </c>
      <c r="R89" s="92">
        <v>82</v>
      </c>
      <c r="S89" s="91" t="str">
        <f t="shared" si="9"/>
        <v/>
      </c>
      <c r="T89" s="91" t="str">
        <f t="shared" si="10"/>
        <v/>
      </c>
      <c r="V89" s="92">
        <v>82</v>
      </c>
      <c r="W89" s="93" t="e">
        <f>IF(82&gt;kxMostrados,NA(),INDEX('17_KARDEX'!$C$22:$C$121,kxMostrados-82+1))</f>
        <v>#N/A</v>
      </c>
      <c r="X89" s="91" t="e">
        <f>IF(82&gt;kxMostrados,NA(),INDEX('17_KARDEX'!$G$22:$G$121,kxMostrados-82+1))</f>
        <v>#N/A</v>
      </c>
    </row>
    <row r="90" spans="2:24" x14ac:dyDescent="0.25">
      <c r="B90" s="87" t="s">
        <v>415</v>
      </c>
      <c r="C90" s="106" t="str">
        <f>IF(kxExiste,"Mostrando "&amp;kxMostrados&amp;" de "&amp;kxN&amp;" movimiento(s)","")</f>
        <v/>
      </c>
      <c r="D90" s="89" t="s">
        <v>416</v>
      </c>
      <c r="L90" s="91" t="str">
        <f>IF(AND(ISNUMBER('15_STOCK'!$P90),'15_STOCK'!$P90&gt;0),'15_STOCK'!$P90+ROW()/1000000,"")</f>
        <v/>
      </c>
      <c r="M90" s="91" t="str">
        <f>IFERROR(MATCH('15_STOCK'!$N90,{"INCONSISTENTE","AGOTADO","CRÍTICO","BAJO","SOBRESTOCK"},0)*100000+MIN(99,INT(IF(N('15_STOCK'!$K90)&gt;0,MAX(0,N('15_STOCK'!$J90))/'15_STOCK'!$K90,0)*10))*1000+ROW(),"")</f>
        <v/>
      </c>
      <c r="N90" s="91" t="str">
        <f>IF(AND(ISNUMBER(MATCH('15_STOCK'!$N90,{"AGOTADO","CRÍTICO","BAJO"},0)),'15_STOCK'!$G90="SI",OR(pdProveedor="(Todos)",pdProveedor="",'15_STOCK'!$E90=pdProveedor)),IFERROR(MATCH('15_STOCK'!$E90,tblProveedores[Proveedor],0),999)*1000000+MATCH('15_STOCK'!$N90,{"AGOTADO","CRÍTICO","BAJO"},0)*10000+ROW(),"")</f>
        <v/>
      </c>
      <c r="O90" s="92">
        <v>83</v>
      </c>
      <c r="P90" s="91" t="str">
        <f t="shared" si="7"/>
        <v/>
      </c>
      <c r="Q90" s="91" t="str">
        <f t="shared" si="8"/>
        <v/>
      </c>
      <c r="R90" s="92">
        <v>83</v>
      </c>
      <c r="S90" s="91" t="str">
        <f t="shared" si="9"/>
        <v/>
      </c>
      <c r="T90" s="91" t="str">
        <f t="shared" si="10"/>
        <v/>
      </c>
      <c r="V90" s="92">
        <v>83</v>
      </c>
      <c r="W90" s="93" t="e">
        <f>IF(83&gt;kxMostrados,NA(),INDEX('17_KARDEX'!$C$22:$C$121,kxMostrados-83+1))</f>
        <v>#N/A</v>
      </c>
      <c r="X90" s="91" t="e">
        <f>IF(83&gt;kxMostrados,NA(),INDEX('17_KARDEX'!$G$22:$G$121,kxMostrados-83+1))</f>
        <v>#N/A</v>
      </c>
    </row>
    <row r="91" spans="2:24" x14ac:dyDescent="0.25">
      <c r="L91" s="91" t="str">
        <f>IF(AND(ISNUMBER('15_STOCK'!$P91),'15_STOCK'!$P91&gt;0),'15_STOCK'!$P91+ROW()/1000000,"")</f>
        <v/>
      </c>
      <c r="M91" s="91" t="str">
        <f>IFERROR(MATCH('15_STOCK'!$N91,{"INCONSISTENTE","AGOTADO","CRÍTICO","BAJO","SOBRESTOCK"},0)*100000+MIN(99,INT(IF(N('15_STOCK'!$K91)&gt;0,MAX(0,N('15_STOCK'!$J91))/'15_STOCK'!$K91,0)*10))*1000+ROW(),"")</f>
        <v/>
      </c>
      <c r="N91" s="91" t="str">
        <f>IF(AND(ISNUMBER(MATCH('15_STOCK'!$N91,{"AGOTADO","CRÍTICO","BAJO"},0)),'15_STOCK'!$G91="SI",OR(pdProveedor="(Todos)",pdProveedor="",'15_STOCK'!$E91=pdProveedor)),IFERROR(MATCH('15_STOCK'!$E91,tblProveedores[Proveedor],0),999)*1000000+MATCH('15_STOCK'!$N91,{"AGOTADO","CRÍTICO","BAJO"},0)*10000+ROW(),"")</f>
        <v/>
      </c>
      <c r="O91" s="92">
        <v>84</v>
      </c>
      <c r="P91" s="91" t="str">
        <f t="shared" si="7"/>
        <v/>
      </c>
      <c r="Q91" s="91" t="str">
        <f t="shared" si="8"/>
        <v/>
      </c>
      <c r="R91" s="92">
        <v>84</v>
      </c>
      <c r="S91" s="91" t="str">
        <f t="shared" si="9"/>
        <v/>
      </c>
      <c r="T91" s="91" t="str">
        <f t="shared" si="10"/>
        <v/>
      </c>
      <c r="V91" s="92">
        <v>84</v>
      </c>
      <c r="W91" s="93" t="e">
        <f>IF(84&gt;kxMostrados,NA(),INDEX('17_KARDEX'!$C$22:$C$121,kxMostrados-84+1))</f>
        <v>#N/A</v>
      </c>
      <c r="X91" s="91" t="e">
        <f>IF(84&gt;kxMostrados,NA(),INDEX('17_KARDEX'!$G$22:$G$121,kxMostrados-84+1))</f>
        <v>#N/A</v>
      </c>
    </row>
    <row r="92" spans="2:24" x14ac:dyDescent="0.25">
      <c r="L92" s="91" t="str">
        <f>IF(AND(ISNUMBER('15_STOCK'!$P92),'15_STOCK'!$P92&gt;0),'15_STOCK'!$P92+ROW()/1000000,"")</f>
        <v/>
      </c>
      <c r="M92" s="91" t="str">
        <f>IFERROR(MATCH('15_STOCK'!$N92,{"INCONSISTENTE","AGOTADO","CRÍTICO","BAJO","SOBRESTOCK"},0)*100000+MIN(99,INT(IF(N('15_STOCK'!$K92)&gt;0,MAX(0,N('15_STOCK'!$J92))/'15_STOCK'!$K92,0)*10))*1000+ROW(),"")</f>
        <v/>
      </c>
      <c r="N92" s="91" t="str">
        <f>IF(AND(ISNUMBER(MATCH('15_STOCK'!$N92,{"AGOTADO","CRÍTICO","BAJO"},0)),'15_STOCK'!$G92="SI",OR(pdProveedor="(Todos)",pdProveedor="",'15_STOCK'!$E92=pdProveedor)),IFERROR(MATCH('15_STOCK'!$E92,tblProveedores[Proveedor],0),999)*1000000+MATCH('15_STOCK'!$N92,{"AGOTADO","CRÍTICO","BAJO"},0)*10000+ROW(),"")</f>
        <v/>
      </c>
      <c r="O92" s="92">
        <v>85</v>
      </c>
      <c r="P92" s="91" t="str">
        <f t="shared" si="7"/>
        <v/>
      </c>
      <c r="Q92" s="91" t="str">
        <f t="shared" si="8"/>
        <v/>
      </c>
      <c r="R92" s="92">
        <v>85</v>
      </c>
      <c r="S92" s="91" t="str">
        <f t="shared" si="9"/>
        <v/>
      </c>
      <c r="T92" s="91" t="str">
        <f t="shared" si="10"/>
        <v/>
      </c>
      <c r="V92" s="92">
        <v>85</v>
      </c>
      <c r="W92" s="93" t="e">
        <f>IF(85&gt;kxMostrados,NA(),INDEX('17_KARDEX'!$C$22:$C$121,kxMostrados-85+1))</f>
        <v>#N/A</v>
      </c>
      <c r="X92" s="91" t="e">
        <f>IF(85&gt;kxMostrados,NA(),INDEX('17_KARDEX'!$G$22:$G$121,kxMostrados-85+1))</f>
        <v>#N/A</v>
      </c>
    </row>
    <row r="93" spans="2:24" x14ac:dyDescent="0.25">
      <c r="L93" s="91" t="str">
        <f>IF(AND(ISNUMBER('15_STOCK'!$P93),'15_STOCK'!$P93&gt;0),'15_STOCK'!$P93+ROW()/1000000,"")</f>
        <v/>
      </c>
      <c r="M93" s="91" t="str">
        <f>IFERROR(MATCH('15_STOCK'!$N93,{"INCONSISTENTE","AGOTADO","CRÍTICO","BAJO","SOBRESTOCK"},0)*100000+MIN(99,INT(IF(N('15_STOCK'!$K93)&gt;0,MAX(0,N('15_STOCK'!$J93))/'15_STOCK'!$K93,0)*10))*1000+ROW(),"")</f>
        <v/>
      </c>
      <c r="N93" s="91" t="str">
        <f>IF(AND(ISNUMBER(MATCH('15_STOCK'!$N93,{"AGOTADO","CRÍTICO","BAJO"},0)),'15_STOCK'!$G93="SI",OR(pdProveedor="(Todos)",pdProveedor="",'15_STOCK'!$E93=pdProveedor)),IFERROR(MATCH('15_STOCK'!$E93,tblProveedores[Proveedor],0),999)*1000000+MATCH('15_STOCK'!$N93,{"AGOTADO","CRÍTICO","BAJO"},0)*10000+ROW(),"")</f>
        <v/>
      </c>
      <c r="O93" s="92">
        <v>86</v>
      </c>
      <c r="P93" s="91" t="str">
        <f t="shared" si="7"/>
        <v/>
      </c>
      <c r="Q93" s="91" t="str">
        <f t="shared" si="8"/>
        <v/>
      </c>
      <c r="R93" s="92">
        <v>86</v>
      </c>
      <c r="S93" s="91" t="str">
        <f t="shared" si="9"/>
        <v/>
      </c>
      <c r="T93" s="91" t="str">
        <f t="shared" si="10"/>
        <v/>
      </c>
      <c r="V93" s="92">
        <v>86</v>
      </c>
      <c r="W93" s="93" t="e">
        <f>IF(86&gt;kxMostrados,NA(),INDEX('17_KARDEX'!$C$22:$C$121,kxMostrados-86+1))</f>
        <v>#N/A</v>
      </c>
      <c r="X93" s="91" t="e">
        <f>IF(86&gt;kxMostrados,NA(),INDEX('17_KARDEX'!$G$22:$G$121,kxMostrados-86+1))</f>
        <v>#N/A</v>
      </c>
    </row>
    <row r="94" spans="2:24" x14ac:dyDescent="0.25">
      <c r="L94" s="91" t="str">
        <f>IF(AND(ISNUMBER('15_STOCK'!$P94),'15_STOCK'!$P94&gt;0),'15_STOCK'!$P94+ROW()/1000000,"")</f>
        <v/>
      </c>
      <c r="M94" s="91" t="str">
        <f>IFERROR(MATCH('15_STOCK'!$N94,{"INCONSISTENTE","AGOTADO","CRÍTICO","BAJO","SOBRESTOCK"},0)*100000+MIN(99,INT(IF(N('15_STOCK'!$K94)&gt;0,MAX(0,N('15_STOCK'!$J94))/'15_STOCK'!$K94,0)*10))*1000+ROW(),"")</f>
        <v/>
      </c>
      <c r="N94" s="91" t="str">
        <f>IF(AND(ISNUMBER(MATCH('15_STOCK'!$N94,{"AGOTADO","CRÍTICO","BAJO"},0)),'15_STOCK'!$G94="SI",OR(pdProveedor="(Todos)",pdProveedor="",'15_STOCK'!$E94=pdProveedor)),IFERROR(MATCH('15_STOCK'!$E94,tblProveedores[Proveedor],0),999)*1000000+MATCH('15_STOCK'!$N94,{"AGOTADO","CRÍTICO","BAJO"},0)*10000+ROW(),"")</f>
        <v/>
      </c>
      <c r="O94" s="92">
        <v>87</v>
      </c>
      <c r="P94" s="91" t="str">
        <f t="shared" si="7"/>
        <v/>
      </c>
      <c r="Q94" s="91" t="str">
        <f t="shared" si="8"/>
        <v/>
      </c>
      <c r="R94" s="92">
        <v>87</v>
      </c>
      <c r="S94" s="91" t="str">
        <f t="shared" si="9"/>
        <v/>
      </c>
      <c r="T94" s="91" t="str">
        <f t="shared" si="10"/>
        <v/>
      </c>
      <c r="V94" s="92">
        <v>87</v>
      </c>
      <c r="W94" s="93" t="e">
        <f>IF(87&gt;kxMostrados,NA(),INDEX('17_KARDEX'!$C$22:$C$121,kxMostrados-87+1))</f>
        <v>#N/A</v>
      </c>
      <c r="X94" s="91" t="e">
        <f>IF(87&gt;kxMostrados,NA(),INDEX('17_KARDEX'!$G$22:$G$121,kxMostrados-87+1))</f>
        <v>#N/A</v>
      </c>
    </row>
    <row r="95" spans="2:24" x14ac:dyDescent="0.25">
      <c r="L95" s="91" t="str">
        <f>IF(AND(ISNUMBER('15_STOCK'!$P95),'15_STOCK'!$P95&gt;0),'15_STOCK'!$P95+ROW()/1000000,"")</f>
        <v/>
      </c>
      <c r="M95" s="91" t="str">
        <f>IFERROR(MATCH('15_STOCK'!$N95,{"INCONSISTENTE","AGOTADO","CRÍTICO","BAJO","SOBRESTOCK"},0)*100000+MIN(99,INT(IF(N('15_STOCK'!$K95)&gt;0,MAX(0,N('15_STOCK'!$J95))/'15_STOCK'!$K95,0)*10))*1000+ROW(),"")</f>
        <v/>
      </c>
      <c r="N95" s="91" t="str">
        <f>IF(AND(ISNUMBER(MATCH('15_STOCK'!$N95,{"AGOTADO","CRÍTICO","BAJO"},0)),'15_STOCK'!$G95="SI",OR(pdProveedor="(Todos)",pdProveedor="",'15_STOCK'!$E95=pdProveedor)),IFERROR(MATCH('15_STOCK'!$E95,tblProveedores[Proveedor],0),999)*1000000+MATCH('15_STOCK'!$N95,{"AGOTADO","CRÍTICO","BAJO"},0)*10000+ROW(),"")</f>
        <v/>
      </c>
      <c r="O95" s="92">
        <v>88</v>
      </c>
      <c r="P95" s="91" t="str">
        <f t="shared" si="7"/>
        <v/>
      </c>
      <c r="Q95" s="91" t="str">
        <f t="shared" si="8"/>
        <v/>
      </c>
      <c r="R95" s="92">
        <v>88</v>
      </c>
      <c r="S95" s="91" t="str">
        <f t="shared" si="9"/>
        <v/>
      </c>
      <c r="T95" s="91" t="str">
        <f t="shared" si="10"/>
        <v/>
      </c>
      <c r="V95" s="92">
        <v>88</v>
      </c>
      <c r="W95" s="93" t="e">
        <f>IF(88&gt;kxMostrados,NA(),INDEX('17_KARDEX'!$C$22:$C$121,kxMostrados-88+1))</f>
        <v>#N/A</v>
      </c>
      <c r="X95" s="91" t="e">
        <f>IF(88&gt;kxMostrados,NA(),INDEX('17_KARDEX'!$G$22:$G$121,kxMostrados-88+1))</f>
        <v>#N/A</v>
      </c>
    </row>
    <row r="96" spans="2:24" x14ac:dyDescent="0.25">
      <c r="L96" s="91" t="str">
        <f>IF(AND(ISNUMBER('15_STOCK'!$P96),'15_STOCK'!$P96&gt;0),'15_STOCK'!$P96+ROW()/1000000,"")</f>
        <v/>
      </c>
      <c r="M96" s="91" t="str">
        <f>IFERROR(MATCH('15_STOCK'!$N96,{"INCONSISTENTE","AGOTADO","CRÍTICO","BAJO","SOBRESTOCK"},0)*100000+MIN(99,INT(IF(N('15_STOCK'!$K96)&gt;0,MAX(0,N('15_STOCK'!$J96))/'15_STOCK'!$K96,0)*10))*1000+ROW(),"")</f>
        <v/>
      </c>
      <c r="N96" s="91" t="str">
        <f>IF(AND(ISNUMBER(MATCH('15_STOCK'!$N96,{"AGOTADO","CRÍTICO","BAJO"},0)),'15_STOCK'!$G96="SI",OR(pdProveedor="(Todos)",pdProveedor="",'15_STOCK'!$E96=pdProveedor)),IFERROR(MATCH('15_STOCK'!$E96,tblProveedores[Proveedor],0),999)*1000000+MATCH('15_STOCK'!$N96,{"AGOTADO","CRÍTICO","BAJO"},0)*10000+ROW(),"")</f>
        <v/>
      </c>
      <c r="O96" s="92">
        <v>89</v>
      </c>
      <c r="P96" s="91" t="str">
        <f t="shared" si="7"/>
        <v/>
      </c>
      <c r="Q96" s="91" t="str">
        <f t="shared" si="8"/>
        <v/>
      </c>
      <c r="R96" s="92">
        <v>89</v>
      </c>
      <c r="S96" s="91" t="str">
        <f t="shared" si="9"/>
        <v/>
      </c>
      <c r="T96" s="91" t="str">
        <f t="shared" si="10"/>
        <v/>
      </c>
      <c r="V96" s="92">
        <v>89</v>
      </c>
      <c r="W96" s="93" t="e">
        <f>IF(89&gt;kxMostrados,NA(),INDEX('17_KARDEX'!$C$22:$C$121,kxMostrados-89+1))</f>
        <v>#N/A</v>
      </c>
      <c r="X96" s="91" t="e">
        <f>IF(89&gt;kxMostrados,NA(),INDEX('17_KARDEX'!$G$22:$G$121,kxMostrados-89+1))</f>
        <v>#N/A</v>
      </c>
    </row>
    <row r="97" spans="12:24" x14ac:dyDescent="0.25">
      <c r="L97" s="91" t="str">
        <f>IF(AND(ISNUMBER('15_STOCK'!$P97),'15_STOCK'!$P97&gt;0),'15_STOCK'!$P97+ROW()/1000000,"")</f>
        <v/>
      </c>
      <c r="M97" s="91" t="str">
        <f>IFERROR(MATCH('15_STOCK'!$N97,{"INCONSISTENTE","AGOTADO","CRÍTICO","BAJO","SOBRESTOCK"},0)*100000+MIN(99,INT(IF(N('15_STOCK'!$K97)&gt;0,MAX(0,N('15_STOCK'!$J97))/'15_STOCK'!$K97,0)*10))*1000+ROW(),"")</f>
        <v/>
      </c>
      <c r="N97" s="91" t="str">
        <f>IF(AND(ISNUMBER(MATCH('15_STOCK'!$N97,{"AGOTADO","CRÍTICO","BAJO"},0)),'15_STOCK'!$G97="SI",OR(pdProveedor="(Todos)",pdProveedor="",'15_STOCK'!$E97=pdProveedor)),IFERROR(MATCH('15_STOCK'!$E97,tblProveedores[Proveedor],0),999)*1000000+MATCH('15_STOCK'!$N97,{"AGOTADO","CRÍTICO","BAJO"},0)*10000+ROW(),"")</f>
        <v/>
      </c>
      <c r="O97" s="92">
        <v>90</v>
      </c>
      <c r="P97" s="91" t="str">
        <f t="shared" si="7"/>
        <v/>
      </c>
      <c r="Q97" s="91" t="str">
        <f t="shared" si="8"/>
        <v/>
      </c>
      <c r="R97" s="92">
        <v>90</v>
      </c>
      <c r="S97" s="91" t="str">
        <f t="shared" si="9"/>
        <v/>
      </c>
      <c r="T97" s="91" t="str">
        <f t="shared" si="10"/>
        <v/>
      </c>
      <c r="V97" s="92">
        <v>90</v>
      </c>
      <c r="W97" s="93" t="e">
        <f>IF(90&gt;kxMostrados,NA(),INDEX('17_KARDEX'!$C$22:$C$121,kxMostrados-90+1))</f>
        <v>#N/A</v>
      </c>
      <c r="X97" s="91" t="e">
        <f>IF(90&gt;kxMostrados,NA(),INDEX('17_KARDEX'!$G$22:$G$121,kxMostrados-90+1))</f>
        <v>#N/A</v>
      </c>
    </row>
    <row r="98" spans="12:24" x14ac:dyDescent="0.25">
      <c r="L98" s="91" t="str">
        <f>IF(AND(ISNUMBER('15_STOCK'!$P98),'15_STOCK'!$P98&gt;0),'15_STOCK'!$P98+ROW()/1000000,"")</f>
        <v/>
      </c>
      <c r="M98" s="91" t="str">
        <f>IFERROR(MATCH('15_STOCK'!$N98,{"INCONSISTENTE","AGOTADO","CRÍTICO","BAJO","SOBRESTOCK"},0)*100000+MIN(99,INT(IF(N('15_STOCK'!$K98)&gt;0,MAX(0,N('15_STOCK'!$J98))/'15_STOCK'!$K98,0)*10))*1000+ROW(),"")</f>
        <v/>
      </c>
      <c r="N98" s="91" t="str">
        <f>IF(AND(ISNUMBER(MATCH('15_STOCK'!$N98,{"AGOTADO","CRÍTICO","BAJO"},0)),'15_STOCK'!$G98="SI",OR(pdProveedor="(Todos)",pdProveedor="",'15_STOCK'!$E98=pdProveedor)),IFERROR(MATCH('15_STOCK'!$E98,tblProveedores[Proveedor],0),999)*1000000+MATCH('15_STOCK'!$N98,{"AGOTADO","CRÍTICO","BAJO"},0)*10000+ROW(),"")</f>
        <v/>
      </c>
      <c r="O98" s="92">
        <v>91</v>
      </c>
      <c r="P98" s="91" t="str">
        <f t="shared" si="7"/>
        <v/>
      </c>
      <c r="Q98" s="91" t="str">
        <f t="shared" si="8"/>
        <v/>
      </c>
      <c r="R98" s="92">
        <v>91</v>
      </c>
      <c r="S98" s="91" t="str">
        <f t="shared" si="9"/>
        <v/>
      </c>
      <c r="T98" s="91" t="str">
        <f t="shared" si="10"/>
        <v/>
      </c>
      <c r="V98" s="92">
        <v>91</v>
      </c>
      <c r="W98" s="93" t="e">
        <f>IF(91&gt;kxMostrados,NA(),INDEX('17_KARDEX'!$C$22:$C$121,kxMostrados-91+1))</f>
        <v>#N/A</v>
      </c>
      <c r="X98" s="91" t="e">
        <f>IF(91&gt;kxMostrados,NA(),INDEX('17_KARDEX'!$G$22:$G$121,kxMostrados-91+1))</f>
        <v>#N/A</v>
      </c>
    </row>
    <row r="99" spans="12:24" x14ac:dyDescent="0.25">
      <c r="L99" s="91" t="str">
        <f>IF(AND(ISNUMBER('15_STOCK'!$P99),'15_STOCK'!$P99&gt;0),'15_STOCK'!$P99+ROW()/1000000,"")</f>
        <v/>
      </c>
      <c r="M99" s="91" t="str">
        <f>IFERROR(MATCH('15_STOCK'!$N99,{"INCONSISTENTE","AGOTADO","CRÍTICO","BAJO","SOBRESTOCK"},0)*100000+MIN(99,INT(IF(N('15_STOCK'!$K99)&gt;0,MAX(0,N('15_STOCK'!$J99))/'15_STOCK'!$K99,0)*10))*1000+ROW(),"")</f>
        <v/>
      </c>
      <c r="N99" s="91" t="str">
        <f>IF(AND(ISNUMBER(MATCH('15_STOCK'!$N99,{"AGOTADO","CRÍTICO","BAJO"},0)),'15_STOCK'!$G99="SI",OR(pdProveedor="(Todos)",pdProveedor="",'15_STOCK'!$E99=pdProveedor)),IFERROR(MATCH('15_STOCK'!$E99,tblProveedores[Proveedor],0),999)*1000000+MATCH('15_STOCK'!$N99,{"AGOTADO","CRÍTICO","BAJO"},0)*10000+ROW(),"")</f>
        <v/>
      </c>
      <c r="O99" s="92">
        <v>92</v>
      </c>
      <c r="P99" s="91" t="str">
        <f t="shared" si="7"/>
        <v/>
      </c>
      <c r="Q99" s="91" t="str">
        <f t="shared" si="8"/>
        <v/>
      </c>
      <c r="R99" s="92">
        <v>92</v>
      </c>
      <c r="S99" s="91" t="str">
        <f t="shared" si="9"/>
        <v/>
      </c>
      <c r="T99" s="91" t="str">
        <f t="shared" si="10"/>
        <v/>
      </c>
      <c r="V99" s="92">
        <v>92</v>
      </c>
      <c r="W99" s="93" t="e">
        <f>IF(92&gt;kxMostrados,NA(),INDEX('17_KARDEX'!$C$22:$C$121,kxMostrados-92+1))</f>
        <v>#N/A</v>
      </c>
      <c r="X99" s="91" t="e">
        <f>IF(92&gt;kxMostrados,NA(),INDEX('17_KARDEX'!$G$22:$G$121,kxMostrados-92+1))</f>
        <v>#N/A</v>
      </c>
    </row>
    <row r="100" spans="12:24" x14ac:dyDescent="0.25">
      <c r="L100" s="91" t="str">
        <f>IF(AND(ISNUMBER('15_STOCK'!$P100),'15_STOCK'!$P100&gt;0),'15_STOCK'!$P100+ROW()/1000000,"")</f>
        <v/>
      </c>
      <c r="M100" s="91" t="str">
        <f>IFERROR(MATCH('15_STOCK'!$N100,{"INCONSISTENTE","AGOTADO","CRÍTICO","BAJO","SOBRESTOCK"},0)*100000+MIN(99,INT(IF(N('15_STOCK'!$K100)&gt;0,MAX(0,N('15_STOCK'!$J100))/'15_STOCK'!$K100,0)*10))*1000+ROW(),"")</f>
        <v/>
      </c>
      <c r="N100" s="91" t="str">
        <f>IF(AND(ISNUMBER(MATCH('15_STOCK'!$N100,{"AGOTADO","CRÍTICO","BAJO"},0)),'15_STOCK'!$G100="SI",OR(pdProveedor="(Todos)",pdProveedor="",'15_STOCK'!$E100=pdProveedor)),IFERROR(MATCH('15_STOCK'!$E100,tblProveedores[Proveedor],0),999)*1000000+MATCH('15_STOCK'!$N100,{"AGOTADO","CRÍTICO","BAJO"},0)*10000+ROW(),"")</f>
        <v/>
      </c>
      <c r="O100" s="92">
        <v>93</v>
      </c>
      <c r="P100" s="91" t="str">
        <f t="shared" si="7"/>
        <v/>
      </c>
      <c r="Q100" s="91" t="str">
        <f t="shared" si="8"/>
        <v/>
      </c>
      <c r="R100" s="92">
        <v>93</v>
      </c>
      <c r="S100" s="91" t="str">
        <f t="shared" si="9"/>
        <v/>
      </c>
      <c r="T100" s="91" t="str">
        <f t="shared" si="10"/>
        <v/>
      </c>
      <c r="V100" s="92">
        <v>93</v>
      </c>
      <c r="W100" s="93" t="e">
        <f>IF(93&gt;kxMostrados,NA(),INDEX('17_KARDEX'!$C$22:$C$121,kxMostrados-93+1))</f>
        <v>#N/A</v>
      </c>
      <c r="X100" s="91" t="e">
        <f>IF(93&gt;kxMostrados,NA(),INDEX('17_KARDEX'!$G$22:$G$121,kxMostrados-93+1))</f>
        <v>#N/A</v>
      </c>
    </row>
    <row r="101" spans="12:24" x14ac:dyDescent="0.25">
      <c r="L101" s="91" t="str">
        <f>IF(AND(ISNUMBER('15_STOCK'!$P101),'15_STOCK'!$P101&gt;0),'15_STOCK'!$P101+ROW()/1000000,"")</f>
        <v/>
      </c>
      <c r="M101" s="91" t="str">
        <f>IFERROR(MATCH('15_STOCK'!$N101,{"INCONSISTENTE","AGOTADO","CRÍTICO","BAJO","SOBRESTOCK"},0)*100000+MIN(99,INT(IF(N('15_STOCK'!$K101)&gt;0,MAX(0,N('15_STOCK'!$J101))/'15_STOCK'!$K101,0)*10))*1000+ROW(),"")</f>
        <v/>
      </c>
      <c r="N101" s="91" t="str">
        <f>IF(AND(ISNUMBER(MATCH('15_STOCK'!$N101,{"AGOTADO","CRÍTICO","BAJO"},0)),'15_STOCK'!$G101="SI",OR(pdProveedor="(Todos)",pdProveedor="",'15_STOCK'!$E101=pdProveedor)),IFERROR(MATCH('15_STOCK'!$E101,tblProveedores[Proveedor],0),999)*1000000+MATCH('15_STOCK'!$N101,{"AGOTADO","CRÍTICO","BAJO"},0)*10000+ROW(),"")</f>
        <v/>
      </c>
      <c r="O101" s="92">
        <v>94</v>
      </c>
      <c r="P101" s="91" t="str">
        <f t="shared" si="7"/>
        <v/>
      </c>
      <c r="Q101" s="91" t="str">
        <f t="shared" si="8"/>
        <v/>
      </c>
      <c r="R101" s="92">
        <v>94</v>
      </c>
      <c r="S101" s="91" t="str">
        <f t="shared" si="9"/>
        <v/>
      </c>
      <c r="T101" s="91" t="str">
        <f t="shared" si="10"/>
        <v/>
      </c>
      <c r="V101" s="92">
        <v>94</v>
      </c>
      <c r="W101" s="93" t="e">
        <f>IF(94&gt;kxMostrados,NA(),INDEX('17_KARDEX'!$C$22:$C$121,kxMostrados-94+1))</f>
        <v>#N/A</v>
      </c>
      <c r="X101" s="91" t="e">
        <f>IF(94&gt;kxMostrados,NA(),INDEX('17_KARDEX'!$G$22:$G$121,kxMostrados-94+1))</f>
        <v>#N/A</v>
      </c>
    </row>
    <row r="102" spans="12:24" x14ac:dyDescent="0.25">
      <c r="L102" s="91" t="str">
        <f>IF(AND(ISNUMBER('15_STOCK'!$P102),'15_STOCK'!$P102&gt;0),'15_STOCK'!$P102+ROW()/1000000,"")</f>
        <v/>
      </c>
      <c r="M102" s="91" t="str">
        <f>IFERROR(MATCH('15_STOCK'!$N102,{"INCONSISTENTE","AGOTADO","CRÍTICO","BAJO","SOBRESTOCK"},0)*100000+MIN(99,INT(IF(N('15_STOCK'!$K102)&gt;0,MAX(0,N('15_STOCK'!$J102))/'15_STOCK'!$K102,0)*10))*1000+ROW(),"")</f>
        <v/>
      </c>
      <c r="N102" s="91" t="str">
        <f>IF(AND(ISNUMBER(MATCH('15_STOCK'!$N102,{"AGOTADO","CRÍTICO","BAJO"},0)),'15_STOCK'!$G102="SI",OR(pdProveedor="(Todos)",pdProveedor="",'15_STOCK'!$E102=pdProveedor)),IFERROR(MATCH('15_STOCK'!$E102,tblProveedores[Proveedor],0),999)*1000000+MATCH('15_STOCK'!$N102,{"AGOTADO","CRÍTICO","BAJO"},0)*10000+ROW(),"")</f>
        <v/>
      </c>
      <c r="O102" s="92">
        <v>95</v>
      </c>
      <c r="P102" s="91" t="str">
        <f t="shared" si="7"/>
        <v/>
      </c>
      <c r="Q102" s="91" t="str">
        <f t="shared" si="8"/>
        <v/>
      </c>
      <c r="R102" s="92">
        <v>95</v>
      </c>
      <c r="S102" s="91" t="str">
        <f t="shared" si="9"/>
        <v/>
      </c>
      <c r="T102" s="91" t="str">
        <f t="shared" si="10"/>
        <v/>
      </c>
      <c r="V102" s="92">
        <v>95</v>
      </c>
      <c r="W102" s="93" t="e">
        <f>IF(95&gt;kxMostrados,NA(),INDEX('17_KARDEX'!$C$22:$C$121,kxMostrados-95+1))</f>
        <v>#N/A</v>
      </c>
      <c r="X102" s="91" t="e">
        <f>IF(95&gt;kxMostrados,NA(),INDEX('17_KARDEX'!$G$22:$G$121,kxMostrados-95+1))</f>
        <v>#N/A</v>
      </c>
    </row>
    <row r="103" spans="12:24" x14ac:dyDescent="0.25">
      <c r="L103" s="91" t="str">
        <f>IF(AND(ISNUMBER('15_STOCK'!$P103),'15_STOCK'!$P103&gt;0),'15_STOCK'!$P103+ROW()/1000000,"")</f>
        <v/>
      </c>
      <c r="M103" s="91" t="str">
        <f>IFERROR(MATCH('15_STOCK'!$N103,{"INCONSISTENTE","AGOTADO","CRÍTICO","BAJO","SOBRESTOCK"},0)*100000+MIN(99,INT(IF(N('15_STOCK'!$K103)&gt;0,MAX(0,N('15_STOCK'!$J103))/'15_STOCK'!$K103,0)*10))*1000+ROW(),"")</f>
        <v/>
      </c>
      <c r="N103" s="91" t="str">
        <f>IF(AND(ISNUMBER(MATCH('15_STOCK'!$N103,{"AGOTADO","CRÍTICO","BAJO"},0)),'15_STOCK'!$G103="SI",OR(pdProveedor="(Todos)",pdProveedor="",'15_STOCK'!$E103=pdProveedor)),IFERROR(MATCH('15_STOCK'!$E103,tblProveedores[Proveedor],0),999)*1000000+MATCH('15_STOCK'!$N103,{"AGOTADO","CRÍTICO","BAJO"},0)*10000+ROW(),"")</f>
        <v/>
      </c>
      <c r="O103" s="92">
        <v>96</v>
      </c>
      <c r="P103" s="91" t="str">
        <f t="shared" si="7"/>
        <v/>
      </c>
      <c r="Q103" s="91" t="str">
        <f t="shared" si="8"/>
        <v/>
      </c>
      <c r="R103" s="92">
        <v>96</v>
      </c>
      <c r="S103" s="91" t="str">
        <f t="shared" si="9"/>
        <v/>
      </c>
      <c r="T103" s="91" t="str">
        <f t="shared" si="10"/>
        <v/>
      </c>
      <c r="V103" s="92">
        <v>96</v>
      </c>
      <c r="W103" s="93" t="e">
        <f>IF(96&gt;kxMostrados,NA(),INDEX('17_KARDEX'!$C$22:$C$121,kxMostrados-96+1))</f>
        <v>#N/A</v>
      </c>
      <c r="X103" s="91" t="e">
        <f>IF(96&gt;kxMostrados,NA(),INDEX('17_KARDEX'!$G$22:$G$121,kxMostrados-96+1))</f>
        <v>#N/A</v>
      </c>
    </row>
    <row r="104" spans="12:24" x14ac:dyDescent="0.25">
      <c r="L104" s="91" t="str">
        <f>IF(AND(ISNUMBER('15_STOCK'!$P104),'15_STOCK'!$P104&gt;0),'15_STOCK'!$P104+ROW()/1000000,"")</f>
        <v/>
      </c>
      <c r="M104" s="91" t="str">
        <f>IFERROR(MATCH('15_STOCK'!$N104,{"INCONSISTENTE","AGOTADO","CRÍTICO","BAJO","SOBRESTOCK"},0)*100000+MIN(99,INT(IF(N('15_STOCK'!$K104)&gt;0,MAX(0,N('15_STOCK'!$J104))/'15_STOCK'!$K104,0)*10))*1000+ROW(),"")</f>
        <v/>
      </c>
      <c r="N104" s="91" t="str">
        <f>IF(AND(ISNUMBER(MATCH('15_STOCK'!$N104,{"AGOTADO","CRÍTICO","BAJO"},0)),'15_STOCK'!$G104="SI",OR(pdProveedor="(Todos)",pdProveedor="",'15_STOCK'!$E104=pdProveedor)),IFERROR(MATCH('15_STOCK'!$E104,tblProveedores[Proveedor],0),999)*1000000+MATCH('15_STOCK'!$N104,{"AGOTADO","CRÍTICO","BAJO"},0)*10000+ROW(),"")</f>
        <v/>
      </c>
      <c r="O104" s="92">
        <v>97</v>
      </c>
      <c r="P104" s="91" t="str">
        <f t="shared" si="7"/>
        <v/>
      </c>
      <c r="Q104" s="91" t="str">
        <f t="shared" si="8"/>
        <v/>
      </c>
      <c r="R104" s="92">
        <v>97</v>
      </c>
      <c r="S104" s="91" t="str">
        <f t="shared" si="9"/>
        <v/>
      </c>
      <c r="T104" s="91" t="str">
        <f t="shared" si="10"/>
        <v/>
      </c>
      <c r="V104" s="92">
        <v>97</v>
      </c>
      <c r="W104" s="93" t="e">
        <f>IF(97&gt;kxMostrados,NA(),INDEX('17_KARDEX'!$C$22:$C$121,kxMostrados-97+1))</f>
        <v>#N/A</v>
      </c>
      <c r="X104" s="91" t="e">
        <f>IF(97&gt;kxMostrados,NA(),INDEX('17_KARDEX'!$G$22:$G$121,kxMostrados-97+1))</f>
        <v>#N/A</v>
      </c>
    </row>
    <row r="105" spans="12:24" x14ac:dyDescent="0.25">
      <c r="L105" s="91" t="str">
        <f>IF(AND(ISNUMBER('15_STOCK'!$P105),'15_STOCK'!$P105&gt;0),'15_STOCK'!$P105+ROW()/1000000,"")</f>
        <v/>
      </c>
      <c r="M105" s="91" t="str">
        <f>IFERROR(MATCH('15_STOCK'!$N105,{"INCONSISTENTE","AGOTADO","CRÍTICO","BAJO","SOBRESTOCK"},0)*100000+MIN(99,INT(IF(N('15_STOCK'!$K105)&gt;0,MAX(0,N('15_STOCK'!$J105))/'15_STOCK'!$K105,0)*10))*1000+ROW(),"")</f>
        <v/>
      </c>
      <c r="N105" s="91" t="str">
        <f>IF(AND(ISNUMBER(MATCH('15_STOCK'!$N105,{"AGOTADO","CRÍTICO","BAJO"},0)),'15_STOCK'!$G105="SI",OR(pdProveedor="(Todos)",pdProveedor="",'15_STOCK'!$E105=pdProveedor)),IFERROR(MATCH('15_STOCK'!$E105,tblProveedores[Proveedor],0),999)*1000000+MATCH('15_STOCK'!$N105,{"AGOTADO","CRÍTICO","BAJO"},0)*10000+ROW(),"")</f>
        <v/>
      </c>
      <c r="O105" s="92">
        <v>98</v>
      </c>
      <c r="P105" s="91" t="str">
        <f t="shared" si="7"/>
        <v/>
      </c>
      <c r="Q105" s="91" t="str">
        <f t="shared" si="8"/>
        <v/>
      </c>
      <c r="R105" s="92">
        <v>98</v>
      </c>
      <c r="S105" s="91" t="str">
        <f t="shared" si="9"/>
        <v/>
      </c>
      <c r="T105" s="91" t="str">
        <f t="shared" si="10"/>
        <v/>
      </c>
      <c r="V105" s="92">
        <v>98</v>
      </c>
      <c r="W105" s="93" t="e">
        <f>IF(98&gt;kxMostrados,NA(),INDEX('17_KARDEX'!$C$22:$C$121,kxMostrados-98+1))</f>
        <v>#N/A</v>
      </c>
      <c r="X105" s="91" t="e">
        <f>IF(98&gt;kxMostrados,NA(),INDEX('17_KARDEX'!$G$22:$G$121,kxMostrados-98+1))</f>
        <v>#N/A</v>
      </c>
    </row>
    <row r="106" spans="12:24" x14ac:dyDescent="0.25">
      <c r="L106" s="91" t="str">
        <f>IF(AND(ISNUMBER('15_STOCK'!$P106),'15_STOCK'!$P106&gt;0),'15_STOCK'!$P106+ROW()/1000000,"")</f>
        <v/>
      </c>
      <c r="M106" s="91" t="str">
        <f>IFERROR(MATCH('15_STOCK'!$N106,{"INCONSISTENTE","AGOTADO","CRÍTICO","BAJO","SOBRESTOCK"},0)*100000+MIN(99,INT(IF(N('15_STOCK'!$K106)&gt;0,MAX(0,N('15_STOCK'!$J106))/'15_STOCK'!$K106,0)*10))*1000+ROW(),"")</f>
        <v/>
      </c>
      <c r="N106" s="91" t="str">
        <f>IF(AND(ISNUMBER(MATCH('15_STOCK'!$N106,{"AGOTADO","CRÍTICO","BAJO"},0)),'15_STOCK'!$G106="SI",OR(pdProveedor="(Todos)",pdProveedor="",'15_STOCK'!$E106=pdProveedor)),IFERROR(MATCH('15_STOCK'!$E106,tblProveedores[Proveedor],0),999)*1000000+MATCH('15_STOCK'!$N106,{"AGOTADO","CRÍTICO","BAJO"},0)*10000+ROW(),"")</f>
        <v/>
      </c>
      <c r="O106" s="92">
        <v>99</v>
      </c>
      <c r="P106" s="91" t="str">
        <f t="shared" si="7"/>
        <v/>
      </c>
      <c r="Q106" s="91" t="str">
        <f t="shared" si="8"/>
        <v/>
      </c>
      <c r="R106" s="92">
        <v>99</v>
      </c>
      <c r="S106" s="91" t="str">
        <f t="shared" si="9"/>
        <v/>
      </c>
      <c r="T106" s="91" t="str">
        <f t="shared" si="10"/>
        <v/>
      </c>
      <c r="V106" s="92">
        <v>99</v>
      </c>
      <c r="W106" s="93" t="e">
        <f>IF(99&gt;kxMostrados,NA(),INDEX('17_KARDEX'!$C$22:$C$121,kxMostrados-99+1))</f>
        <v>#N/A</v>
      </c>
      <c r="X106" s="91" t="e">
        <f>IF(99&gt;kxMostrados,NA(),INDEX('17_KARDEX'!$G$22:$G$121,kxMostrados-99+1))</f>
        <v>#N/A</v>
      </c>
    </row>
    <row r="107" spans="12:24" x14ac:dyDescent="0.25">
      <c r="L107" s="91" t="str">
        <f>IF(AND(ISNUMBER('15_STOCK'!$P107),'15_STOCK'!$P107&gt;0),'15_STOCK'!$P107+ROW()/1000000,"")</f>
        <v/>
      </c>
      <c r="M107" s="91" t="str">
        <f>IFERROR(MATCH('15_STOCK'!$N107,{"INCONSISTENTE","AGOTADO","CRÍTICO","BAJO","SOBRESTOCK"},0)*100000+MIN(99,INT(IF(N('15_STOCK'!$K107)&gt;0,MAX(0,N('15_STOCK'!$J107))/'15_STOCK'!$K107,0)*10))*1000+ROW(),"")</f>
        <v/>
      </c>
      <c r="N107" s="91" t="str">
        <f>IF(AND(ISNUMBER(MATCH('15_STOCK'!$N107,{"AGOTADO","CRÍTICO","BAJO"},0)),'15_STOCK'!$G107="SI",OR(pdProveedor="(Todos)",pdProveedor="",'15_STOCK'!$E107=pdProveedor)),IFERROR(MATCH('15_STOCK'!$E107,tblProveedores[Proveedor],0),999)*1000000+MATCH('15_STOCK'!$N107,{"AGOTADO","CRÍTICO","BAJO"},0)*10000+ROW(),"")</f>
        <v/>
      </c>
      <c r="O107" s="92">
        <v>100</v>
      </c>
      <c r="P107" s="91" t="str">
        <f t="shared" si="7"/>
        <v/>
      </c>
      <c r="Q107" s="91" t="str">
        <f t="shared" si="8"/>
        <v/>
      </c>
      <c r="R107" s="92">
        <v>100</v>
      </c>
      <c r="S107" s="91" t="str">
        <f t="shared" si="9"/>
        <v/>
      </c>
      <c r="T107" s="91" t="str">
        <f t="shared" si="10"/>
        <v/>
      </c>
      <c r="V107" s="92">
        <v>100</v>
      </c>
      <c r="W107" s="93" t="e">
        <f>IF(100&gt;kxMostrados,NA(),INDEX('17_KARDEX'!$C$22:$C$121,kxMostrados-100+1))</f>
        <v>#N/A</v>
      </c>
      <c r="X107" s="91" t="e">
        <f>IF(100&gt;kxMostrados,NA(),INDEX('17_KARDEX'!$G$22:$G$121,kxMostrados-100+1))</f>
        <v>#N/A</v>
      </c>
    </row>
    <row r="108" spans="12:24" x14ac:dyDescent="0.25">
      <c r="L108" s="91" t="str">
        <f>IF(AND(ISNUMBER('15_STOCK'!$P108),'15_STOCK'!$P108&gt;0),'15_STOCK'!$P108+ROW()/1000000,"")</f>
        <v/>
      </c>
      <c r="M108" s="91" t="str">
        <f>IFERROR(MATCH('15_STOCK'!$N108,{"INCONSISTENTE","AGOTADO","CRÍTICO","BAJO","SOBRESTOCK"},0)*100000+MIN(99,INT(IF(N('15_STOCK'!$K108)&gt;0,MAX(0,N('15_STOCK'!$J108))/'15_STOCK'!$K108,0)*10))*1000+ROW(),"")</f>
        <v/>
      </c>
      <c r="N108" s="91" t="str">
        <f>IF(AND(ISNUMBER(MATCH('15_STOCK'!$N108,{"AGOTADO","CRÍTICO","BAJO"},0)),'15_STOCK'!$G108="SI",OR(pdProveedor="(Todos)",pdProveedor="",'15_STOCK'!$E108=pdProveedor)),IFERROR(MATCH('15_STOCK'!$E108,tblProveedores[Proveedor],0),999)*1000000+MATCH('15_STOCK'!$N108,{"AGOTADO","CRÍTICO","BAJO"},0)*10000+ROW(),"")</f>
        <v/>
      </c>
      <c r="O108" s="92">
        <v>101</v>
      </c>
      <c r="P108" s="91" t="str">
        <f t="shared" si="7"/>
        <v/>
      </c>
      <c r="Q108" s="91" t="str">
        <f t="shared" si="8"/>
        <v/>
      </c>
      <c r="R108" s="92">
        <v>101</v>
      </c>
      <c r="S108" s="91" t="str">
        <f t="shared" si="9"/>
        <v/>
      </c>
      <c r="T108" s="91" t="str">
        <f t="shared" si="10"/>
        <v/>
      </c>
    </row>
    <row r="109" spans="12:24" x14ac:dyDescent="0.25">
      <c r="L109" s="91" t="str">
        <f>IF(AND(ISNUMBER('15_STOCK'!$P109),'15_STOCK'!$P109&gt;0),'15_STOCK'!$P109+ROW()/1000000,"")</f>
        <v/>
      </c>
      <c r="M109" s="91" t="str">
        <f>IFERROR(MATCH('15_STOCK'!$N109,{"INCONSISTENTE","AGOTADO","CRÍTICO","BAJO","SOBRESTOCK"},0)*100000+MIN(99,INT(IF(N('15_STOCK'!$K109)&gt;0,MAX(0,N('15_STOCK'!$J109))/'15_STOCK'!$K109,0)*10))*1000+ROW(),"")</f>
        <v/>
      </c>
      <c r="N109" s="91" t="str">
        <f>IF(AND(ISNUMBER(MATCH('15_STOCK'!$N109,{"AGOTADO","CRÍTICO","BAJO"},0)),'15_STOCK'!$G109="SI",OR(pdProveedor="(Todos)",pdProveedor="",'15_STOCK'!$E109=pdProveedor)),IFERROR(MATCH('15_STOCK'!$E109,tblProveedores[Proveedor],0),999)*1000000+MATCH('15_STOCK'!$N109,{"AGOTADO","CRÍTICO","BAJO"},0)*10000+ROW(),"")</f>
        <v/>
      </c>
      <c r="O109" s="92">
        <v>102</v>
      </c>
      <c r="P109" s="91" t="str">
        <f t="shared" si="7"/>
        <v/>
      </c>
      <c r="Q109" s="91" t="str">
        <f t="shared" si="8"/>
        <v/>
      </c>
      <c r="R109" s="92">
        <v>102</v>
      </c>
      <c r="S109" s="91" t="str">
        <f t="shared" si="9"/>
        <v/>
      </c>
      <c r="T109" s="91" t="str">
        <f t="shared" si="10"/>
        <v/>
      </c>
    </row>
    <row r="110" spans="12:24" x14ac:dyDescent="0.25">
      <c r="L110" s="91" t="str">
        <f>IF(AND(ISNUMBER('15_STOCK'!$P110),'15_STOCK'!$P110&gt;0),'15_STOCK'!$P110+ROW()/1000000,"")</f>
        <v/>
      </c>
      <c r="M110" s="91" t="str">
        <f>IFERROR(MATCH('15_STOCK'!$N110,{"INCONSISTENTE","AGOTADO","CRÍTICO","BAJO","SOBRESTOCK"},0)*100000+MIN(99,INT(IF(N('15_STOCK'!$K110)&gt;0,MAX(0,N('15_STOCK'!$J110))/'15_STOCK'!$K110,0)*10))*1000+ROW(),"")</f>
        <v/>
      </c>
      <c r="N110" s="91" t="str">
        <f>IF(AND(ISNUMBER(MATCH('15_STOCK'!$N110,{"AGOTADO","CRÍTICO","BAJO"},0)),'15_STOCK'!$G110="SI",OR(pdProveedor="(Todos)",pdProveedor="",'15_STOCK'!$E110=pdProveedor)),IFERROR(MATCH('15_STOCK'!$E110,tblProveedores[Proveedor],0),999)*1000000+MATCH('15_STOCK'!$N110,{"AGOTADO","CRÍTICO","BAJO"},0)*10000+ROW(),"")</f>
        <v/>
      </c>
      <c r="O110" s="92">
        <v>103</v>
      </c>
      <c r="P110" s="91" t="str">
        <f t="shared" si="7"/>
        <v/>
      </c>
      <c r="Q110" s="91" t="str">
        <f t="shared" si="8"/>
        <v/>
      </c>
      <c r="R110" s="92">
        <v>103</v>
      </c>
      <c r="S110" s="91" t="str">
        <f t="shared" si="9"/>
        <v/>
      </c>
      <c r="T110" s="91" t="str">
        <f t="shared" si="10"/>
        <v/>
      </c>
    </row>
    <row r="111" spans="12:24" x14ac:dyDescent="0.25">
      <c r="L111" s="91" t="str">
        <f>IF(AND(ISNUMBER('15_STOCK'!$P111),'15_STOCK'!$P111&gt;0),'15_STOCK'!$P111+ROW()/1000000,"")</f>
        <v/>
      </c>
      <c r="M111" s="91" t="str">
        <f>IFERROR(MATCH('15_STOCK'!$N111,{"INCONSISTENTE","AGOTADO","CRÍTICO","BAJO","SOBRESTOCK"},0)*100000+MIN(99,INT(IF(N('15_STOCK'!$K111)&gt;0,MAX(0,N('15_STOCK'!$J111))/'15_STOCK'!$K111,0)*10))*1000+ROW(),"")</f>
        <v/>
      </c>
      <c r="N111" s="91" t="str">
        <f>IF(AND(ISNUMBER(MATCH('15_STOCK'!$N111,{"AGOTADO","CRÍTICO","BAJO"},0)),'15_STOCK'!$G111="SI",OR(pdProveedor="(Todos)",pdProveedor="",'15_STOCK'!$E111=pdProveedor)),IFERROR(MATCH('15_STOCK'!$E111,tblProveedores[Proveedor],0),999)*1000000+MATCH('15_STOCK'!$N111,{"AGOTADO","CRÍTICO","BAJO"},0)*10000+ROW(),"")</f>
        <v/>
      </c>
      <c r="O111" s="92">
        <v>104</v>
      </c>
      <c r="P111" s="91" t="str">
        <f t="shared" si="7"/>
        <v/>
      </c>
      <c r="Q111" s="91" t="str">
        <f t="shared" si="8"/>
        <v/>
      </c>
      <c r="R111" s="92">
        <v>104</v>
      </c>
      <c r="S111" s="91" t="str">
        <f t="shared" si="9"/>
        <v/>
      </c>
      <c r="T111" s="91" t="str">
        <f t="shared" si="10"/>
        <v/>
      </c>
    </row>
    <row r="112" spans="12:24" x14ac:dyDescent="0.25">
      <c r="L112" s="91" t="str">
        <f>IF(AND(ISNUMBER('15_STOCK'!$P112),'15_STOCK'!$P112&gt;0),'15_STOCK'!$P112+ROW()/1000000,"")</f>
        <v/>
      </c>
      <c r="M112" s="91" t="str">
        <f>IFERROR(MATCH('15_STOCK'!$N112,{"INCONSISTENTE","AGOTADO","CRÍTICO","BAJO","SOBRESTOCK"},0)*100000+MIN(99,INT(IF(N('15_STOCK'!$K112)&gt;0,MAX(0,N('15_STOCK'!$J112))/'15_STOCK'!$K112,0)*10))*1000+ROW(),"")</f>
        <v/>
      </c>
      <c r="N112" s="91" t="str">
        <f>IF(AND(ISNUMBER(MATCH('15_STOCK'!$N112,{"AGOTADO","CRÍTICO","BAJO"},0)),'15_STOCK'!$G112="SI",OR(pdProveedor="(Todos)",pdProveedor="",'15_STOCK'!$E112=pdProveedor)),IFERROR(MATCH('15_STOCK'!$E112,tblProveedores[Proveedor],0),999)*1000000+MATCH('15_STOCK'!$N112,{"AGOTADO","CRÍTICO","BAJO"},0)*10000+ROW(),"")</f>
        <v/>
      </c>
      <c r="O112" s="92">
        <v>105</v>
      </c>
      <c r="P112" s="91" t="str">
        <f t="shared" si="7"/>
        <v/>
      </c>
      <c r="Q112" s="91" t="str">
        <f t="shared" si="8"/>
        <v/>
      </c>
      <c r="R112" s="92">
        <v>105</v>
      </c>
      <c r="S112" s="91" t="str">
        <f t="shared" si="9"/>
        <v/>
      </c>
      <c r="T112" s="91" t="str">
        <f t="shared" si="10"/>
        <v/>
      </c>
    </row>
    <row r="113" spans="12:20" x14ac:dyDescent="0.25">
      <c r="L113" s="91" t="str">
        <f>IF(AND(ISNUMBER('15_STOCK'!$P113),'15_STOCK'!$P113&gt;0),'15_STOCK'!$P113+ROW()/1000000,"")</f>
        <v/>
      </c>
      <c r="M113" s="91" t="str">
        <f>IFERROR(MATCH('15_STOCK'!$N113,{"INCONSISTENTE","AGOTADO","CRÍTICO","BAJO","SOBRESTOCK"},0)*100000+MIN(99,INT(IF(N('15_STOCK'!$K113)&gt;0,MAX(0,N('15_STOCK'!$J113))/'15_STOCK'!$K113,0)*10))*1000+ROW(),"")</f>
        <v/>
      </c>
      <c r="N113" s="91" t="str">
        <f>IF(AND(ISNUMBER(MATCH('15_STOCK'!$N113,{"AGOTADO","CRÍTICO","BAJO"},0)),'15_STOCK'!$G113="SI",OR(pdProveedor="(Todos)",pdProveedor="",'15_STOCK'!$E113=pdProveedor)),IFERROR(MATCH('15_STOCK'!$E113,tblProveedores[Proveedor],0),999)*1000000+MATCH('15_STOCK'!$N113,{"AGOTADO","CRÍTICO","BAJO"},0)*10000+ROW(),"")</f>
        <v/>
      </c>
      <c r="O113" s="92">
        <v>106</v>
      </c>
      <c r="P113" s="91" t="str">
        <f t="shared" si="7"/>
        <v/>
      </c>
      <c r="Q113" s="91" t="str">
        <f t="shared" si="8"/>
        <v/>
      </c>
      <c r="R113" s="92">
        <v>106</v>
      </c>
      <c r="S113" s="91" t="str">
        <f t="shared" si="9"/>
        <v/>
      </c>
      <c r="T113" s="91" t="str">
        <f t="shared" si="10"/>
        <v/>
      </c>
    </row>
    <row r="114" spans="12:20" x14ac:dyDescent="0.25">
      <c r="L114" s="91" t="str">
        <f>IF(AND(ISNUMBER('15_STOCK'!$P114),'15_STOCK'!$P114&gt;0),'15_STOCK'!$P114+ROW()/1000000,"")</f>
        <v/>
      </c>
      <c r="M114" s="91" t="str">
        <f>IFERROR(MATCH('15_STOCK'!$N114,{"INCONSISTENTE","AGOTADO","CRÍTICO","BAJO","SOBRESTOCK"},0)*100000+MIN(99,INT(IF(N('15_STOCK'!$K114)&gt;0,MAX(0,N('15_STOCK'!$J114))/'15_STOCK'!$K114,0)*10))*1000+ROW(),"")</f>
        <v/>
      </c>
      <c r="N114" s="91" t="str">
        <f>IF(AND(ISNUMBER(MATCH('15_STOCK'!$N114,{"AGOTADO","CRÍTICO","BAJO"},0)),'15_STOCK'!$G114="SI",OR(pdProveedor="(Todos)",pdProveedor="",'15_STOCK'!$E114=pdProveedor)),IFERROR(MATCH('15_STOCK'!$E114,tblProveedores[Proveedor],0),999)*1000000+MATCH('15_STOCK'!$N114,{"AGOTADO","CRÍTICO","BAJO"},0)*10000+ROW(),"")</f>
        <v/>
      </c>
      <c r="O114" s="92">
        <v>107</v>
      </c>
      <c r="P114" s="91" t="str">
        <f t="shared" si="7"/>
        <v/>
      </c>
      <c r="Q114" s="91" t="str">
        <f t="shared" si="8"/>
        <v/>
      </c>
      <c r="R114" s="92">
        <v>107</v>
      </c>
      <c r="S114" s="91" t="str">
        <f t="shared" si="9"/>
        <v/>
      </c>
      <c r="T114" s="91" t="str">
        <f t="shared" si="10"/>
        <v/>
      </c>
    </row>
    <row r="115" spans="12:20" x14ac:dyDescent="0.25">
      <c r="L115" s="91" t="str">
        <f>IF(AND(ISNUMBER('15_STOCK'!$P115),'15_STOCK'!$P115&gt;0),'15_STOCK'!$P115+ROW()/1000000,"")</f>
        <v/>
      </c>
      <c r="M115" s="91" t="str">
        <f>IFERROR(MATCH('15_STOCK'!$N115,{"INCONSISTENTE","AGOTADO","CRÍTICO","BAJO","SOBRESTOCK"},0)*100000+MIN(99,INT(IF(N('15_STOCK'!$K115)&gt;0,MAX(0,N('15_STOCK'!$J115))/'15_STOCK'!$K115,0)*10))*1000+ROW(),"")</f>
        <v/>
      </c>
      <c r="N115" s="91" t="str">
        <f>IF(AND(ISNUMBER(MATCH('15_STOCK'!$N115,{"AGOTADO","CRÍTICO","BAJO"},0)),'15_STOCK'!$G115="SI",OR(pdProveedor="(Todos)",pdProveedor="",'15_STOCK'!$E115=pdProveedor)),IFERROR(MATCH('15_STOCK'!$E115,tblProveedores[Proveedor],0),999)*1000000+MATCH('15_STOCK'!$N115,{"AGOTADO","CRÍTICO","BAJO"},0)*10000+ROW(),"")</f>
        <v/>
      </c>
      <c r="O115" s="92">
        <v>108</v>
      </c>
      <c r="P115" s="91" t="str">
        <f t="shared" si="7"/>
        <v/>
      </c>
      <c r="Q115" s="91" t="str">
        <f t="shared" si="8"/>
        <v/>
      </c>
      <c r="R115" s="92">
        <v>108</v>
      </c>
      <c r="S115" s="91" t="str">
        <f t="shared" si="9"/>
        <v/>
      </c>
      <c r="T115" s="91" t="str">
        <f t="shared" si="10"/>
        <v/>
      </c>
    </row>
    <row r="116" spans="12:20" x14ac:dyDescent="0.25">
      <c r="L116" s="91" t="str">
        <f>IF(AND(ISNUMBER('15_STOCK'!$P116),'15_STOCK'!$P116&gt;0),'15_STOCK'!$P116+ROW()/1000000,"")</f>
        <v/>
      </c>
      <c r="M116" s="91" t="str">
        <f>IFERROR(MATCH('15_STOCK'!$N116,{"INCONSISTENTE","AGOTADO","CRÍTICO","BAJO","SOBRESTOCK"},0)*100000+MIN(99,INT(IF(N('15_STOCK'!$K116)&gt;0,MAX(0,N('15_STOCK'!$J116))/'15_STOCK'!$K116,0)*10))*1000+ROW(),"")</f>
        <v/>
      </c>
      <c r="N116" s="91" t="str">
        <f>IF(AND(ISNUMBER(MATCH('15_STOCK'!$N116,{"AGOTADO","CRÍTICO","BAJO"},0)),'15_STOCK'!$G116="SI",OR(pdProveedor="(Todos)",pdProveedor="",'15_STOCK'!$E116=pdProveedor)),IFERROR(MATCH('15_STOCK'!$E116,tblProveedores[Proveedor],0),999)*1000000+MATCH('15_STOCK'!$N116,{"AGOTADO","CRÍTICO","BAJO"},0)*10000+ROW(),"")</f>
        <v/>
      </c>
      <c r="O116" s="92">
        <v>109</v>
      </c>
      <c r="P116" s="91" t="str">
        <f t="shared" si="7"/>
        <v/>
      </c>
      <c r="Q116" s="91" t="str">
        <f t="shared" si="8"/>
        <v/>
      </c>
      <c r="R116" s="92">
        <v>109</v>
      </c>
      <c r="S116" s="91" t="str">
        <f t="shared" si="9"/>
        <v/>
      </c>
      <c r="T116" s="91" t="str">
        <f t="shared" si="10"/>
        <v/>
      </c>
    </row>
    <row r="117" spans="12:20" x14ac:dyDescent="0.25">
      <c r="L117" s="91" t="str">
        <f>IF(AND(ISNUMBER('15_STOCK'!$P117),'15_STOCK'!$P117&gt;0),'15_STOCK'!$P117+ROW()/1000000,"")</f>
        <v/>
      </c>
      <c r="M117" s="91" t="str">
        <f>IFERROR(MATCH('15_STOCK'!$N117,{"INCONSISTENTE","AGOTADO","CRÍTICO","BAJO","SOBRESTOCK"},0)*100000+MIN(99,INT(IF(N('15_STOCK'!$K117)&gt;0,MAX(0,N('15_STOCK'!$J117))/'15_STOCK'!$K117,0)*10))*1000+ROW(),"")</f>
        <v/>
      </c>
      <c r="N117" s="91" t="str">
        <f>IF(AND(ISNUMBER(MATCH('15_STOCK'!$N117,{"AGOTADO","CRÍTICO","BAJO"},0)),'15_STOCK'!$G117="SI",OR(pdProveedor="(Todos)",pdProveedor="",'15_STOCK'!$E117=pdProveedor)),IFERROR(MATCH('15_STOCK'!$E117,tblProveedores[Proveedor],0),999)*1000000+MATCH('15_STOCK'!$N117,{"AGOTADO","CRÍTICO","BAJO"},0)*10000+ROW(),"")</f>
        <v/>
      </c>
      <c r="O117" s="92">
        <v>110</v>
      </c>
      <c r="P117" s="91" t="str">
        <f t="shared" si="7"/>
        <v/>
      </c>
      <c r="Q117" s="91" t="str">
        <f t="shared" si="8"/>
        <v/>
      </c>
      <c r="R117" s="92">
        <v>110</v>
      </c>
      <c r="S117" s="91" t="str">
        <f t="shared" si="9"/>
        <v/>
      </c>
      <c r="T117" s="91" t="str">
        <f t="shared" si="10"/>
        <v/>
      </c>
    </row>
    <row r="118" spans="12:20" x14ac:dyDescent="0.25">
      <c r="L118" s="91" t="str">
        <f>IF(AND(ISNUMBER('15_STOCK'!$P118),'15_STOCK'!$P118&gt;0),'15_STOCK'!$P118+ROW()/1000000,"")</f>
        <v/>
      </c>
      <c r="M118" s="91" t="str">
        <f>IFERROR(MATCH('15_STOCK'!$N118,{"INCONSISTENTE","AGOTADO","CRÍTICO","BAJO","SOBRESTOCK"},0)*100000+MIN(99,INT(IF(N('15_STOCK'!$K118)&gt;0,MAX(0,N('15_STOCK'!$J118))/'15_STOCK'!$K118,0)*10))*1000+ROW(),"")</f>
        <v/>
      </c>
      <c r="N118" s="91" t="str">
        <f>IF(AND(ISNUMBER(MATCH('15_STOCK'!$N118,{"AGOTADO","CRÍTICO","BAJO"},0)),'15_STOCK'!$G118="SI",OR(pdProveedor="(Todos)",pdProveedor="",'15_STOCK'!$E118=pdProveedor)),IFERROR(MATCH('15_STOCK'!$E118,tblProveedores[Proveedor],0),999)*1000000+MATCH('15_STOCK'!$N118,{"AGOTADO","CRÍTICO","BAJO"},0)*10000+ROW(),"")</f>
        <v/>
      </c>
      <c r="O118" s="92">
        <v>111</v>
      </c>
      <c r="P118" s="91" t="str">
        <f t="shared" si="7"/>
        <v/>
      </c>
      <c r="Q118" s="91" t="str">
        <f t="shared" si="8"/>
        <v/>
      </c>
      <c r="R118" s="92">
        <v>111</v>
      </c>
      <c r="S118" s="91" t="str">
        <f t="shared" si="9"/>
        <v/>
      </c>
      <c r="T118" s="91" t="str">
        <f t="shared" si="10"/>
        <v/>
      </c>
    </row>
    <row r="119" spans="12:20" x14ac:dyDescent="0.25">
      <c r="L119" s="91" t="str">
        <f>IF(AND(ISNUMBER('15_STOCK'!$P119),'15_STOCK'!$P119&gt;0),'15_STOCK'!$P119+ROW()/1000000,"")</f>
        <v/>
      </c>
      <c r="M119" s="91" t="str">
        <f>IFERROR(MATCH('15_STOCK'!$N119,{"INCONSISTENTE","AGOTADO","CRÍTICO","BAJO","SOBRESTOCK"},0)*100000+MIN(99,INT(IF(N('15_STOCK'!$K119)&gt;0,MAX(0,N('15_STOCK'!$J119))/'15_STOCK'!$K119,0)*10))*1000+ROW(),"")</f>
        <v/>
      </c>
      <c r="N119" s="91" t="str">
        <f>IF(AND(ISNUMBER(MATCH('15_STOCK'!$N119,{"AGOTADO","CRÍTICO","BAJO"},0)),'15_STOCK'!$G119="SI",OR(pdProveedor="(Todos)",pdProveedor="",'15_STOCK'!$E119=pdProveedor)),IFERROR(MATCH('15_STOCK'!$E119,tblProveedores[Proveedor],0),999)*1000000+MATCH('15_STOCK'!$N119,{"AGOTADO","CRÍTICO","BAJO"},0)*10000+ROW(),"")</f>
        <v/>
      </c>
      <c r="O119" s="92">
        <v>112</v>
      </c>
      <c r="P119" s="91" t="str">
        <f t="shared" si="7"/>
        <v/>
      </c>
      <c r="Q119" s="91" t="str">
        <f t="shared" si="8"/>
        <v/>
      </c>
      <c r="R119" s="92">
        <v>112</v>
      </c>
      <c r="S119" s="91" t="str">
        <f t="shared" si="9"/>
        <v/>
      </c>
      <c r="T119" s="91" t="str">
        <f t="shared" si="10"/>
        <v/>
      </c>
    </row>
    <row r="120" spans="12:20" x14ac:dyDescent="0.25">
      <c r="L120" s="91" t="str">
        <f>IF(AND(ISNUMBER('15_STOCK'!$P120),'15_STOCK'!$P120&gt;0),'15_STOCK'!$P120+ROW()/1000000,"")</f>
        <v/>
      </c>
      <c r="M120" s="91" t="str">
        <f>IFERROR(MATCH('15_STOCK'!$N120,{"INCONSISTENTE","AGOTADO","CRÍTICO","BAJO","SOBRESTOCK"},0)*100000+MIN(99,INT(IF(N('15_STOCK'!$K120)&gt;0,MAX(0,N('15_STOCK'!$J120))/'15_STOCK'!$K120,0)*10))*1000+ROW(),"")</f>
        <v/>
      </c>
      <c r="N120" s="91" t="str">
        <f>IF(AND(ISNUMBER(MATCH('15_STOCK'!$N120,{"AGOTADO","CRÍTICO","BAJO"},0)),'15_STOCK'!$G120="SI",OR(pdProveedor="(Todos)",pdProveedor="",'15_STOCK'!$E120=pdProveedor)),IFERROR(MATCH('15_STOCK'!$E120,tblProveedores[Proveedor],0),999)*1000000+MATCH('15_STOCK'!$N120,{"AGOTADO","CRÍTICO","BAJO"},0)*10000+ROW(),"")</f>
        <v/>
      </c>
      <c r="O120" s="92">
        <v>113</v>
      </c>
      <c r="P120" s="91" t="str">
        <f t="shared" si="7"/>
        <v/>
      </c>
      <c r="Q120" s="91" t="str">
        <f t="shared" si="8"/>
        <v/>
      </c>
      <c r="R120" s="92">
        <v>113</v>
      </c>
      <c r="S120" s="91" t="str">
        <f t="shared" si="9"/>
        <v/>
      </c>
      <c r="T120" s="91" t="str">
        <f t="shared" si="10"/>
        <v/>
      </c>
    </row>
    <row r="121" spans="12:20" x14ac:dyDescent="0.25">
      <c r="L121" s="91" t="str">
        <f>IF(AND(ISNUMBER('15_STOCK'!$P121),'15_STOCK'!$P121&gt;0),'15_STOCK'!$P121+ROW()/1000000,"")</f>
        <v/>
      </c>
      <c r="M121" s="91" t="str">
        <f>IFERROR(MATCH('15_STOCK'!$N121,{"INCONSISTENTE","AGOTADO","CRÍTICO","BAJO","SOBRESTOCK"},0)*100000+MIN(99,INT(IF(N('15_STOCK'!$K121)&gt;0,MAX(0,N('15_STOCK'!$J121))/'15_STOCK'!$K121,0)*10))*1000+ROW(),"")</f>
        <v/>
      </c>
      <c r="N121" s="91" t="str">
        <f>IF(AND(ISNUMBER(MATCH('15_STOCK'!$N121,{"AGOTADO","CRÍTICO","BAJO"},0)),'15_STOCK'!$G121="SI",OR(pdProveedor="(Todos)",pdProveedor="",'15_STOCK'!$E121=pdProveedor)),IFERROR(MATCH('15_STOCK'!$E121,tblProveedores[Proveedor],0),999)*1000000+MATCH('15_STOCK'!$N121,{"AGOTADO","CRÍTICO","BAJO"},0)*10000+ROW(),"")</f>
        <v/>
      </c>
      <c r="O121" s="92">
        <v>114</v>
      </c>
      <c r="P121" s="91" t="str">
        <f t="shared" si="7"/>
        <v/>
      </c>
      <c r="Q121" s="91" t="str">
        <f t="shared" si="8"/>
        <v/>
      </c>
      <c r="R121" s="92">
        <v>114</v>
      </c>
      <c r="S121" s="91" t="str">
        <f t="shared" si="9"/>
        <v/>
      </c>
      <c r="T121" s="91" t="str">
        <f t="shared" si="10"/>
        <v/>
      </c>
    </row>
    <row r="122" spans="12:20" x14ac:dyDescent="0.25">
      <c r="L122" s="91" t="str">
        <f>IF(AND(ISNUMBER('15_STOCK'!$P122),'15_STOCK'!$P122&gt;0),'15_STOCK'!$P122+ROW()/1000000,"")</f>
        <v/>
      </c>
      <c r="M122" s="91" t="str">
        <f>IFERROR(MATCH('15_STOCK'!$N122,{"INCONSISTENTE","AGOTADO","CRÍTICO","BAJO","SOBRESTOCK"},0)*100000+MIN(99,INT(IF(N('15_STOCK'!$K122)&gt;0,MAX(0,N('15_STOCK'!$J122))/'15_STOCK'!$K122,0)*10))*1000+ROW(),"")</f>
        <v/>
      </c>
      <c r="N122" s="91" t="str">
        <f>IF(AND(ISNUMBER(MATCH('15_STOCK'!$N122,{"AGOTADO","CRÍTICO","BAJO"},0)),'15_STOCK'!$G122="SI",OR(pdProveedor="(Todos)",pdProveedor="",'15_STOCK'!$E122=pdProveedor)),IFERROR(MATCH('15_STOCK'!$E122,tblProveedores[Proveedor],0),999)*1000000+MATCH('15_STOCK'!$N122,{"AGOTADO","CRÍTICO","BAJO"},0)*10000+ROW(),"")</f>
        <v/>
      </c>
      <c r="O122" s="92">
        <v>115</v>
      </c>
      <c r="P122" s="91" t="str">
        <f t="shared" si="7"/>
        <v/>
      </c>
      <c r="Q122" s="91" t="str">
        <f t="shared" si="8"/>
        <v/>
      </c>
      <c r="R122" s="92">
        <v>115</v>
      </c>
      <c r="S122" s="91" t="str">
        <f t="shared" si="9"/>
        <v/>
      </c>
      <c r="T122" s="91" t="str">
        <f t="shared" si="10"/>
        <v/>
      </c>
    </row>
    <row r="123" spans="12:20" x14ac:dyDescent="0.25">
      <c r="L123" s="91" t="str">
        <f>IF(AND(ISNUMBER('15_STOCK'!$P123),'15_STOCK'!$P123&gt;0),'15_STOCK'!$P123+ROW()/1000000,"")</f>
        <v/>
      </c>
      <c r="M123" s="91" t="str">
        <f>IFERROR(MATCH('15_STOCK'!$N123,{"INCONSISTENTE","AGOTADO","CRÍTICO","BAJO","SOBRESTOCK"},0)*100000+MIN(99,INT(IF(N('15_STOCK'!$K123)&gt;0,MAX(0,N('15_STOCK'!$J123))/'15_STOCK'!$K123,0)*10))*1000+ROW(),"")</f>
        <v/>
      </c>
      <c r="N123" s="91" t="str">
        <f>IF(AND(ISNUMBER(MATCH('15_STOCK'!$N123,{"AGOTADO","CRÍTICO","BAJO"},0)),'15_STOCK'!$G123="SI",OR(pdProveedor="(Todos)",pdProveedor="",'15_STOCK'!$E123=pdProveedor)),IFERROR(MATCH('15_STOCK'!$E123,tblProveedores[Proveedor],0),999)*1000000+MATCH('15_STOCK'!$N123,{"AGOTADO","CRÍTICO","BAJO"},0)*10000+ROW(),"")</f>
        <v/>
      </c>
      <c r="O123" s="92">
        <v>116</v>
      </c>
      <c r="P123" s="91" t="str">
        <f t="shared" si="7"/>
        <v/>
      </c>
      <c r="Q123" s="91" t="str">
        <f t="shared" si="8"/>
        <v/>
      </c>
      <c r="R123" s="92">
        <v>116</v>
      </c>
      <c r="S123" s="91" t="str">
        <f t="shared" si="9"/>
        <v/>
      </c>
      <c r="T123" s="91" t="str">
        <f t="shared" si="10"/>
        <v/>
      </c>
    </row>
    <row r="124" spans="12:20" x14ac:dyDescent="0.25">
      <c r="L124" s="91" t="str">
        <f>IF(AND(ISNUMBER('15_STOCK'!$P124),'15_STOCK'!$P124&gt;0),'15_STOCK'!$P124+ROW()/1000000,"")</f>
        <v/>
      </c>
      <c r="M124" s="91" t="str">
        <f>IFERROR(MATCH('15_STOCK'!$N124,{"INCONSISTENTE","AGOTADO","CRÍTICO","BAJO","SOBRESTOCK"},0)*100000+MIN(99,INT(IF(N('15_STOCK'!$K124)&gt;0,MAX(0,N('15_STOCK'!$J124))/'15_STOCK'!$K124,0)*10))*1000+ROW(),"")</f>
        <v/>
      </c>
      <c r="N124" s="91" t="str">
        <f>IF(AND(ISNUMBER(MATCH('15_STOCK'!$N124,{"AGOTADO","CRÍTICO","BAJO"},0)),'15_STOCK'!$G124="SI",OR(pdProveedor="(Todos)",pdProveedor="",'15_STOCK'!$E124=pdProveedor)),IFERROR(MATCH('15_STOCK'!$E124,tblProveedores[Proveedor],0),999)*1000000+MATCH('15_STOCK'!$N124,{"AGOTADO","CRÍTICO","BAJO"},0)*10000+ROW(),"")</f>
        <v/>
      </c>
      <c r="O124" s="92">
        <v>117</v>
      </c>
      <c r="P124" s="91" t="str">
        <f t="shared" si="7"/>
        <v/>
      </c>
      <c r="Q124" s="91" t="str">
        <f t="shared" si="8"/>
        <v/>
      </c>
      <c r="R124" s="92">
        <v>117</v>
      </c>
      <c r="S124" s="91" t="str">
        <f t="shared" si="9"/>
        <v/>
      </c>
      <c r="T124" s="91" t="str">
        <f t="shared" si="10"/>
        <v/>
      </c>
    </row>
    <row r="125" spans="12:20" x14ac:dyDescent="0.25">
      <c r="L125" s="91" t="str">
        <f>IF(AND(ISNUMBER('15_STOCK'!$P125),'15_STOCK'!$P125&gt;0),'15_STOCK'!$P125+ROW()/1000000,"")</f>
        <v/>
      </c>
      <c r="M125" s="91" t="str">
        <f>IFERROR(MATCH('15_STOCK'!$N125,{"INCONSISTENTE","AGOTADO","CRÍTICO","BAJO","SOBRESTOCK"},0)*100000+MIN(99,INT(IF(N('15_STOCK'!$K125)&gt;0,MAX(0,N('15_STOCK'!$J125))/'15_STOCK'!$K125,0)*10))*1000+ROW(),"")</f>
        <v/>
      </c>
      <c r="N125" s="91" t="str">
        <f>IF(AND(ISNUMBER(MATCH('15_STOCK'!$N125,{"AGOTADO","CRÍTICO","BAJO"},0)),'15_STOCK'!$G125="SI",OR(pdProveedor="(Todos)",pdProveedor="",'15_STOCK'!$E125=pdProveedor)),IFERROR(MATCH('15_STOCK'!$E125,tblProveedores[Proveedor],0),999)*1000000+MATCH('15_STOCK'!$N125,{"AGOTADO","CRÍTICO","BAJO"},0)*10000+ROW(),"")</f>
        <v/>
      </c>
      <c r="O125" s="92">
        <v>118</v>
      </c>
      <c r="P125" s="91" t="str">
        <f t="shared" si="7"/>
        <v/>
      </c>
      <c r="Q125" s="91" t="str">
        <f t="shared" si="8"/>
        <v/>
      </c>
      <c r="R125" s="92">
        <v>118</v>
      </c>
      <c r="S125" s="91" t="str">
        <f t="shared" si="9"/>
        <v/>
      </c>
      <c r="T125" s="91" t="str">
        <f t="shared" si="10"/>
        <v/>
      </c>
    </row>
    <row r="126" spans="12:20" x14ac:dyDescent="0.25">
      <c r="L126" s="91" t="str">
        <f>IF(AND(ISNUMBER('15_STOCK'!$P126),'15_STOCK'!$P126&gt;0),'15_STOCK'!$P126+ROW()/1000000,"")</f>
        <v/>
      </c>
      <c r="M126" s="91" t="str">
        <f>IFERROR(MATCH('15_STOCK'!$N126,{"INCONSISTENTE","AGOTADO","CRÍTICO","BAJO","SOBRESTOCK"},0)*100000+MIN(99,INT(IF(N('15_STOCK'!$K126)&gt;0,MAX(0,N('15_STOCK'!$J126))/'15_STOCK'!$K126,0)*10))*1000+ROW(),"")</f>
        <v/>
      </c>
      <c r="N126" s="91" t="str">
        <f>IF(AND(ISNUMBER(MATCH('15_STOCK'!$N126,{"AGOTADO","CRÍTICO","BAJO"},0)),'15_STOCK'!$G126="SI",OR(pdProveedor="(Todos)",pdProveedor="",'15_STOCK'!$E126=pdProveedor)),IFERROR(MATCH('15_STOCK'!$E126,tblProveedores[Proveedor],0),999)*1000000+MATCH('15_STOCK'!$N126,{"AGOTADO","CRÍTICO","BAJO"},0)*10000+ROW(),"")</f>
        <v/>
      </c>
      <c r="O126" s="92">
        <v>119</v>
      </c>
      <c r="P126" s="91" t="str">
        <f t="shared" si="7"/>
        <v/>
      </c>
      <c r="Q126" s="91" t="str">
        <f t="shared" si="8"/>
        <v/>
      </c>
      <c r="R126" s="92">
        <v>119</v>
      </c>
      <c r="S126" s="91" t="str">
        <f t="shared" si="9"/>
        <v/>
      </c>
      <c r="T126" s="91" t="str">
        <f t="shared" si="10"/>
        <v/>
      </c>
    </row>
    <row r="127" spans="12:20" x14ac:dyDescent="0.25">
      <c r="L127" s="91" t="str">
        <f>IF(AND(ISNUMBER('15_STOCK'!$P127),'15_STOCK'!$P127&gt;0),'15_STOCK'!$P127+ROW()/1000000,"")</f>
        <v/>
      </c>
      <c r="M127" s="91" t="str">
        <f>IFERROR(MATCH('15_STOCK'!$N127,{"INCONSISTENTE","AGOTADO","CRÍTICO","BAJO","SOBRESTOCK"},0)*100000+MIN(99,INT(IF(N('15_STOCK'!$K127)&gt;0,MAX(0,N('15_STOCK'!$J127))/'15_STOCK'!$K127,0)*10))*1000+ROW(),"")</f>
        <v/>
      </c>
      <c r="N127" s="91" t="str">
        <f>IF(AND(ISNUMBER(MATCH('15_STOCK'!$N127,{"AGOTADO","CRÍTICO","BAJO"},0)),'15_STOCK'!$G127="SI",OR(pdProveedor="(Todos)",pdProveedor="",'15_STOCK'!$E127=pdProveedor)),IFERROR(MATCH('15_STOCK'!$E127,tblProveedores[Proveedor],0),999)*1000000+MATCH('15_STOCK'!$N127,{"AGOTADO","CRÍTICO","BAJO"},0)*10000+ROW(),"")</f>
        <v/>
      </c>
      <c r="O127" s="92">
        <v>120</v>
      </c>
      <c r="P127" s="91" t="str">
        <f t="shared" si="7"/>
        <v/>
      </c>
      <c r="Q127" s="91" t="str">
        <f t="shared" si="8"/>
        <v/>
      </c>
      <c r="R127" s="92">
        <v>120</v>
      </c>
      <c r="S127" s="91" t="str">
        <f t="shared" si="9"/>
        <v/>
      </c>
      <c r="T127" s="91" t="str">
        <f t="shared" si="10"/>
        <v/>
      </c>
    </row>
    <row r="128" spans="12:20" x14ac:dyDescent="0.25">
      <c r="L128" s="91" t="str">
        <f>IF(AND(ISNUMBER('15_STOCK'!$P128),'15_STOCK'!$P128&gt;0),'15_STOCK'!$P128+ROW()/1000000,"")</f>
        <v/>
      </c>
      <c r="M128" s="91" t="str">
        <f>IFERROR(MATCH('15_STOCK'!$N128,{"INCONSISTENTE","AGOTADO","CRÍTICO","BAJO","SOBRESTOCK"},0)*100000+MIN(99,INT(IF(N('15_STOCK'!$K128)&gt;0,MAX(0,N('15_STOCK'!$J128))/'15_STOCK'!$K128,0)*10))*1000+ROW(),"")</f>
        <v/>
      </c>
      <c r="N128" s="91" t="str">
        <f>IF(AND(ISNUMBER(MATCH('15_STOCK'!$N128,{"AGOTADO","CRÍTICO","BAJO"},0)),'15_STOCK'!$G128="SI",OR(pdProveedor="(Todos)",pdProveedor="",'15_STOCK'!$E128=pdProveedor)),IFERROR(MATCH('15_STOCK'!$E128,tblProveedores[Proveedor],0),999)*1000000+MATCH('15_STOCK'!$N128,{"AGOTADO","CRÍTICO","BAJO"},0)*10000+ROW(),"")</f>
        <v/>
      </c>
      <c r="O128" s="92">
        <v>121</v>
      </c>
      <c r="P128" s="91" t="str">
        <f t="shared" si="7"/>
        <v/>
      </c>
      <c r="Q128" s="91" t="str">
        <f t="shared" si="8"/>
        <v/>
      </c>
      <c r="R128" s="92">
        <v>121</v>
      </c>
      <c r="S128" s="91" t="str">
        <f t="shared" si="9"/>
        <v/>
      </c>
      <c r="T128" s="91" t="str">
        <f t="shared" si="10"/>
        <v/>
      </c>
    </row>
    <row r="129" spans="12:20" x14ac:dyDescent="0.25">
      <c r="L129" s="91" t="str">
        <f>IF(AND(ISNUMBER('15_STOCK'!$P129),'15_STOCK'!$P129&gt;0),'15_STOCK'!$P129+ROW()/1000000,"")</f>
        <v/>
      </c>
      <c r="M129" s="91" t="str">
        <f>IFERROR(MATCH('15_STOCK'!$N129,{"INCONSISTENTE","AGOTADO","CRÍTICO","BAJO","SOBRESTOCK"},0)*100000+MIN(99,INT(IF(N('15_STOCK'!$K129)&gt;0,MAX(0,N('15_STOCK'!$J129))/'15_STOCK'!$K129,0)*10))*1000+ROW(),"")</f>
        <v/>
      </c>
      <c r="N129" s="91" t="str">
        <f>IF(AND(ISNUMBER(MATCH('15_STOCK'!$N129,{"AGOTADO","CRÍTICO","BAJO"},0)),'15_STOCK'!$G129="SI",OR(pdProveedor="(Todos)",pdProveedor="",'15_STOCK'!$E129=pdProveedor)),IFERROR(MATCH('15_STOCK'!$E129,tblProveedores[Proveedor],0),999)*1000000+MATCH('15_STOCK'!$N129,{"AGOTADO","CRÍTICO","BAJO"},0)*10000+ROW(),"")</f>
        <v/>
      </c>
      <c r="O129" s="92">
        <v>122</v>
      </c>
      <c r="P129" s="91" t="str">
        <f t="shared" si="7"/>
        <v/>
      </c>
      <c r="Q129" s="91" t="str">
        <f t="shared" si="8"/>
        <v/>
      </c>
      <c r="R129" s="92">
        <v>122</v>
      </c>
      <c r="S129" s="91" t="str">
        <f t="shared" si="9"/>
        <v/>
      </c>
      <c r="T129" s="91" t="str">
        <f t="shared" si="10"/>
        <v/>
      </c>
    </row>
    <row r="130" spans="12:20" x14ac:dyDescent="0.25">
      <c r="L130" s="91" t="str">
        <f>IF(AND(ISNUMBER('15_STOCK'!$P130),'15_STOCK'!$P130&gt;0),'15_STOCK'!$P130+ROW()/1000000,"")</f>
        <v/>
      </c>
      <c r="M130" s="91" t="str">
        <f>IFERROR(MATCH('15_STOCK'!$N130,{"INCONSISTENTE","AGOTADO","CRÍTICO","BAJO","SOBRESTOCK"},0)*100000+MIN(99,INT(IF(N('15_STOCK'!$K130)&gt;0,MAX(0,N('15_STOCK'!$J130))/'15_STOCK'!$K130,0)*10))*1000+ROW(),"")</f>
        <v/>
      </c>
      <c r="N130" s="91" t="str">
        <f>IF(AND(ISNUMBER(MATCH('15_STOCK'!$N130,{"AGOTADO","CRÍTICO","BAJO"},0)),'15_STOCK'!$G130="SI",OR(pdProveedor="(Todos)",pdProveedor="",'15_STOCK'!$E130=pdProveedor)),IFERROR(MATCH('15_STOCK'!$E130,tblProveedores[Proveedor],0),999)*1000000+MATCH('15_STOCK'!$N130,{"AGOTADO","CRÍTICO","BAJO"},0)*10000+ROW(),"")</f>
        <v/>
      </c>
      <c r="O130" s="92">
        <v>123</v>
      </c>
      <c r="P130" s="91" t="str">
        <f t="shared" si="7"/>
        <v/>
      </c>
      <c r="Q130" s="91" t="str">
        <f t="shared" si="8"/>
        <v/>
      </c>
      <c r="R130" s="92">
        <v>123</v>
      </c>
      <c r="S130" s="91" t="str">
        <f t="shared" si="9"/>
        <v/>
      </c>
      <c r="T130" s="91" t="str">
        <f t="shared" si="10"/>
        <v/>
      </c>
    </row>
    <row r="131" spans="12:20" x14ac:dyDescent="0.25">
      <c r="L131" s="91" t="str">
        <f>IF(AND(ISNUMBER('15_STOCK'!$P131),'15_STOCK'!$P131&gt;0),'15_STOCK'!$P131+ROW()/1000000,"")</f>
        <v/>
      </c>
      <c r="M131" s="91" t="str">
        <f>IFERROR(MATCH('15_STOCK'!$N131,{"INCONSISTENTE","AGOTADO","CRÍTICO","BAJO","SOBRESTOCK"},0)*100000+MIN(99,INT(IF(N('15_STOCK'!$K131)&gt;0,MAX(0,N('15_STOCK'!$J131))/'15_STOCK'!$K131,0)*10))*1000+ROW(),"")</f>
        <v/>
      </c>
      <c r="N131" s="91" t="str">
        <f>IF(AND(ISNUMBER(MATCH('15_STOCK'!$N131,{"AGOTADO","CRÍTICO","BAJO"},0)),'15_STOCK'!$G131="SI",OR(pdProveedor="(Todos)",pdProveedor="",'15_STOCK'!$E131=pdProveedor)),IFERROR(MATCH('15_STOCK'!$E131,tblProveedores[Proveedor],0),999)*1000000+MATCH('15_STOCK'!$N131,{"AGOTADO","CRÍTICO","BAJO"},0)*10000+ROW(),"")</f>
        <v/>
      </c>
      <c r="O131" s="92">
        <v>124</v>
      </c>
      <c r="P131" s="91" t="str">
        <f t="shared" si="7"/>
        <v/>
      </c>
      <c r="Q131" s="91" t="str">
        <f t="shared" si="8"/>
        <v/>
      </c>
      <c r="R131" s="92">
        <v>124</v>
      </c>
      <c r="S131" s="91" t="str">
        <f t="shared" si="9"/>
        <v/>
      </c>
      <c r="T131" s="91" t="str">
        <f t="shared" si="10"/>
        <v/>
      </c>
    </row>
    <row r="132" spans="12:20" x14ac:dyDescent="0.25">
      <c r="L132" s="91" t="str">
        <f>IF(AND(ISNUMBER('15_STOCK'!$P132),'15_STOCK'!$P132&gt;0),'15_STOCK'!$P132+ROW()/1000000,"")</f>
        <v/>
      </c>
      <c r="M132" s="91" t="str">
        <f>IFERROR(MATCH('15_STOCK'!$N132,{"INCONSISTENTE","AGOTADO","CRÍTICO","BAJO","SOBRESTOCK"},0)*100000+MIN(99,INT(IF(N('15_STOCK'!$K132)&gt;0,MAX(0,N('15_STOCK'!$J132))/'15_STOCK'!$K132,0)*10))*1000+ROW(),"")</f>
        <v/>
      </c>
      <c r="N132" s="91" t="str">
        <f>IF(AND(ISNUMBER(MATCH('15_STOCK'!$N132,{"AGOTADO","CRÍTICO","BAJO"},0)),'15_STOCK'!$G132="SI",OR(pdProveedor="(Todos)",pdProveedor="",'15_STOCK'!$E132=pdProveedor)),IFERROR(MATCH('15_STOCK'!$E132,tblProveedores[Proveedor],0),999)*1000000+MATCH('15_STOCK'!$N132,{"AGOTADO","CRÍTICO","BAJO"},0)*10000+ROW(),"")</f>
        <v/>
      </c>
      <c r="O132" s="92">
        <v>125</v>
      </c>
      <c r="P132" s="91" t="str">
        <f t="shared" si="7"/>
        <v/>
      </c>
      <c r="Q132" s="91" t="str">
        <f t="shared" si="8"/>
        <v/>
      </c>
      <c r="R132" s="92">
        <v>125</v>
      </c>
      <c r="S132" s="91" t="str">
        <f t="shared" si="9"/>
        <v/>
      </c>
      <c r="T132" s="91" t="str">
        <f t="shared" si="10"/>
        <v/>
      </c>
    </row>
    <row r="133" spans="12:20" x14ac:dyDescent="0.25">
      <c r="L133" s="91" t="str">
        <f>IF(AND(ISNUMBER('15_STOCK'!$P133),'15_STOCK'!$P133&gt;0),'15_STOCK'!$P133+ROW()/1000000,"")</f>
        <v/>
      </c>
      <c r="M133" s="91" t="str">
        <f>IFERROR(MATCH('15_STOCK'!$N133,{"INCONSISTENTE","AGOTADO","CRÍTICO","BAJO","SOBRESTOCK"},0)*100000+MIN(99,INT(IF(N('15_STOCK'!$K133)&gt;0,MAX(0,N('15_STOCK'!$J133))/'15_STOCK'!$K133,0)*10))*1000+ROW(),"")</f>
        <v/>
      </c>
      <c r="N133" s="91" t="str">
        <f>IF(AND(ISNUMBER(MATCH('15_STOCK'!$N133,{"AGOTADO","CRÍTICO","BAJO"},0)),'15_STOCK'!$G133="SI",OR(pdProveedor="(Todos)",pdProveedor="",'15_STOCK'!$E133=pdProveedor)),IFERROR(MATCH('15_STOCK'!$E133,tblProveedores[Proveedor],0),999)*1000000+MATCH('15_STOCK'!$N133,{"AGOTADO","CRÍTICO","BAJO"},0)*10000+ROW(),"")</f>
        <v/>
      </c>
      <c r="O133" s="92">
        <v>126</v>
      </c>
      <c r="P133" s="91" t="str">
        <f t="shared" si="7"/>
        <v/>
      </c>
      <c r="Q133" s="91" t="str">
        <f t="shared" si="8"/>
        <v/>
      </c>
      <c r="R133" s="92">
        <v>126</v>
      </c>
      <c r="S133" s="91" t="str">
        <f t="shared" si="9"/>
        <v/>
      </c>
      <c r="T133" s="91" t="str">
        <f t="shared" si="10"/>
        <v/>
      </c>
    </row>
    <row r="134" spans="12:20" x14ac:dyDescent="0.25">
      <c r="L134" s="91" t="str">
        <f>IF(AND(ISNUMBER('15_STOCK'!$P134),'15_STOCK'!$P134&gt;0),'15_STOCK'!$P134+ROW()/1000000,"")</f>
        <v/>
      </c>
      <c r="M134" s="91" t="str">
        <f>IFERROR(MATCH('15_STOCK'!$N134,{"INCONSISTENTE","AGOTADO","CRÍTICO","BAJO","SOBRESTOCK"},0)*100000+MIN(99,INT(IF(N('15_STOCK'!$K134)&gt;0,MAX(0,N('15_STOCK'!$J134))/'15_STOCK'!$K134,0)*10))*1000+ROW(),"")</f>
        <v/>
      </c>
      <c r="N134" s="91" t="str">
        <f>IF(AND(ISNUMBER(MATCH('15_STOCK'!$N134,{"AGOTADO","CRÍTICO","BAJO"},0)),'15_STOCK'!$G134="SI",OR(pdProveedor="(Todos)",pdProveedor="",'15_STOCK'!$E134=pdProveedor)),IFERROR(MATCH('15_STOCK'!$E134,tblProveedores[Proveedor],0),999)*1000000+MATCH('15_STOCK'!$N134,{"AGOTADO","CRÍTICO","BAJO"},0)*10000+ROW(),"")</f>
        <v/>
      </c>
      <c r="O134" s="92">
        <v>127</v>
      </c>
      <c r="P134" s="91" t="str">
        <f t="shared" si="7"/>
        <v/>
      </c>
      <c r="Q134" s="91" t="str">
        <f t="shared" si="8"/>
        <v/>
      </c>
      <c r="R134" s="92">
        <v>127</v>
      </c>
      <c r="S134" s="91" t="str">
        <f t="shared" si="9"/>
        <v/>
      </c>
      <c r="T134" s="91" t="str">
        <f t="shared" si="10"/>
        <v/>
      </c>
    </row>
    <row r="135" spans="12:20" x14ac:dyDescent="0.25">
      <c r="L135" s="91" t="str">
        <f>IF(AND(ISNUMBER('15_STOCK'!$P135),'15_STOCK'!$P135&gt;0),'15_STOCK'!$P135+ROW()/1000000,"")</f>
        <v/>
      </c>
      <c r="M135" s="91" t="str">
        <f>IFERROR(MATCH('15_STOCK'!$N135,{"INCONSISTENTE","AGOTADO","CRÍTICO","BAJO","SOBRESTOCK"},0)*100000+MIN(99,INT(IF(N('15_STOCK'!$K135)&gt;0,MAX(0,N('15_STOCK'!$J135))/'15_STOCK'!$K135,0)*10))*1000+ROW(),"")</f>
        <v/>
      </c>
      <c r="N135" s="91" t="str">
        <f>IF(AND(ISNUMBER(MATCH('15_STOCK'!$N135,{"AGOTADO","CRÍTICO","BAJO"},0)),'15_STOCK'!$G135="SI",OR(pdProveedor="(Todos)",pdProveedor="",'15_STOCK'!$E135=pdProveedor)),IFERROR(MATCH('15_STOCK'!$E135,tblProveedores[Proveedor],0),999)*1000000+MATCH('15_STOCK'!$N135,{"AGOTADO","CRÍTICO","BAJO"},0)*10000+ROW(),"")</f>
        <v/>
      </c>
      <c r="O135" s="92">
        <v>128</v>
      </c>
      <c r="P135" s="91" t="str">
        <f t="shared" si="7"/>
        <v/>
      </c>
      <c r="Q135" s="91" t="str">
        <f t="shared" si="8"/>
        <v/>
      </c>
      <c r="R135" s="92">
        <v>128</v>
      </c>
      <c r="S135" s="91" t="str">
        <f t="shared" si="9"/>
        <v/>
      </c>
      <c r="T135" s="91" t="str">
        <f t="shared" si="10"/>
        <v/>
      </c>
    </row>
    <row r="136" spans="12:20" x14ac:dyDescent="0.25">
      <c r="L136" s="91" t="str">
        <f>IF(AND(ISNUMBER('15_STOCK'!$P136),'15_STOCK'!$P136&gt;0),'15_STOCK'!$P136+ROW()/1000000,"")</f>
        <v/>
      </c>
      <c r="M136" s="91" t="str">
        <f>IFERROR(MATCH('15_STOCK'!$N136,{"INCONSISTENTE","AGOTADO","CRÍTICO","BAJO","SOBRESTOCK"},0)*100000+MIN(99,INT(IF(N('15_STOCK'!$K136)&gt;0,MAX(0,N('15_STOCK'!$J136))/'15_STOCK'!$K136,0)*10))*1000+ROW(),"")</f>
        <v/>
      </c>
      <c r="N136" s="91" t="str">
        <f>IF(AND(ISNUMBER(MATCH('15_STOCK'!$N136,{"AGOTADO","CRÍTICO","BAJO"},0)),'15_STOCK'!$G136="SI",OR(pdProveedor="(Todos)",pdProveedor="",'15_STOCK'!$E136=pdProveedor)),IFERROR(MATCH('15_STOCK'!$E136,tblProveedores[Proveedor],0),999)*1000000+MATCH('15_STOCK'!$N136,{"AGOTADO","CRÍTICO","BAJO"},0)*10000+ROW(),"")</f>
        <v/>
      </c>
      <c r="O136" s="92">
        <v>129</v>
      </c>
      <c r="P136" s="91" t="str">
        <f t="shared" ref="P136:P199" si="11">IFERROR(SMALL($M$8:$M$507,O136),"")</f>
        <v/>
      </c>
      <c r="Q136" s="91" t="str">
        <f t="shared" ref="Q136:Q199" si="12">IF(P136="","",MATCH(P136,$M$8:$M$507,0))</f>
        <v/>
      </c>
      <c r="R136" s="92">
        <v>129</v>
      </c>
      <c r="S136" s="91" t="str">
        <f t="shared" ref="S136:S199" si="13">IFERROR(SMALL($N$8:$N$507,R136),"")</f>
        <v/>
      </c>
      <c r="T136" s="91" t="str">
        <f t="shared" ref="T136:T199" si="14">IF(S136="","",MATCH(S136,$N$8:$N$507,0))</f>
        <v/>
      </c>
    </row>
    <row r="137" spans="12:20" x14ac:dyDescent="0.25">
      <c r="L137" s="91" t="str">
        <f>IF(AND(ISNUMBER('15_STOCK'!$P137),'15_STOCK'!$P137&gt;0),'15_STOCK'!$P137+ROW()/1000000,"")</f>
        <v/>
      </c>
      <c r="M137" s="91" t="str">
        <f>IFERROR(MATCH('15_STOCK'!$N137,{"INCONSISTENTE","AGOTADO","CRÍTICO","BAJO","SOBRESTOCK"},0)*100000+MIN(99,INT(IF(N('15_STOCK'!$K137)&gt;0,MAX(0,N('15_STOCK'!$J137))/'15_STOCK'!$K137,0)*10))*1000+ROW(),"")</f>
        <v/>
      </c>
      <c r="N137" s="91" t="str">
        <f>IF(AND(ISNUMBER(MATCH('15_STOCK'!$N137,{"AGOTADO","CRÍTICO","BAJO"},0)),'15_STOCK'!$G137="SI",OR(pdProveedor="(Todos)",pdProveedor="",'15_STOCK'!$E137=pdProveedor)),IFERROR(MATCH('15_STOCK'!$E137,tblProveedores[Proveedor],0),999)*1000000+MATCH('15_STOCK'!$N137,{"AGOTADO","CRÍTICO","BAJO"},0)*10000+ROW(),"")</f>
        <v/>
      </c>
      <c r="O137" s="92">
        <v>130</v>
      </c>
      <c r="P137" s="91" t="str">
        <f t="shared" si="11"/>
        <v/>
      </c>
      <c r="Q137" s="91" t="str">
        <f t="shared" si="12"/>
        <v/>
      </c>
      <c r="R137" s="92">
        <v>130</v>
      </c>
      <c r="S137" s="91" t="str">
        <f t="shared" si="13"/>
        <v/>
      </c>
      <c r="T137" s="91" t="str">
        <f t="shared" si="14"/>
        <v/>
      </c>
    </row>
    <row r="138" spans="12:20" x14ac:dyDescent="0.25">
      <c r="L138" s="91" t="str">
        <f>IF(AND(ISNUMBER('15_STOCK'!$P138),'15_STOCK'!$P138&gt;0),'15_STOCK'!$P138+ROW()/1000000,"")</f>
        <v/>
      </c>
      <c r="M138" s="91" t="str">
        <f>IFERROR(MATCH('15_STOCK'!$N138,{"INCONSISTENTE","AGOTADO","CRÍTICO","BAJO","SOBRESTOCK"},0)*100000+MIN(99,INT(IF(N('15_STOCK'!$K138)&gt;0,MAX(0,N('15_STOCK'!$J138))/'15_STOCK'!$K138,0)*10))*1000+ROW(),"")</f>
        <v/>
      </c>
      <c r="N138" s="91" t="str">
        <f>IF(AND(ISNUMBER(MATCH('15_STOCK'!$N138,{"AGOTADO","CRÍTICO","BAJO"},0)),'15_STOCK'!$G138="SI",OR(pdProveedor="(Todos)",pdProveedor="",'15_STOCK'!$E138=pdProveedor)),IFERROR(MATCH('15_STOCK'!$E138,tblProveedores[Proveedor],0),999)*1000000+MATCH('15_STOCK'!$N138,{"AGOTADO","CRÍTICO","BAJO"},0)*10000+ROW(),"")</f>
        <v/>
      </c>
      <c r="O138" s="92">
        <v>131</v>
      </c>
      <c r="P138" s="91" t="str">
        <f t="shared" si="11"/>
        <v/>
      </c>
      <c r="Q138" s="91" t="str">
        <f t="shared" si="12"/>
        <v/>
      </c>
      <c r="R138" s="92">
        <v>131</v>
      </c>
      <c r="S138" s="91" t="str">
        <f t="shared" si="13"/>
        <v/>
      </c>
      <c r="T138" s="91" t="str">
        <f t="shared" si="14"/>
        <v/>
      </c>
    </row>
    <row r="139" spans="12:20" x14ac:dyDescent="0.25">
      <c r="L139" s="91" t="str">
        <f>IF(AND(ISNUMBER('15_STOCK'!$P139),'15_STOCK'!$P139&gt;0),'15_STOCK'!$P139+ROW()/1000000,"")</f>
        <v/>
      </c>
      <c r="M139" s="91" t="str">
        <f>IFERROR(MATCH('15_STOCK'!$N139,{"INCONSISTENTE","AGOTADO","CRÍTICO","BAJO","SOBRESTOCK"},0)*100000+MIN(99,INT(IF(N('15_STOCK'!$K139)&gt;0,MAX(0,N('15_STOCK'!$J139))/'15_STOCK'!$K139,0)*10))*1000+ROW(),"")</f>
        <v/>
      </c>
      <c r="N139" s="91" t="str">
        <f>IF(AND(ISNUMBER(MATCH('15_STOCK'!$N139,{"AGOTADO","CRÍTICO","BAJO"},0)),'15_STOCK'!$G139="SI",OR(pdProveedor="(Todos)",pdProveedor="",'15_STOCK'!$E139=pdProveedor)),IFERROR(MATCH('15_STOCK'!$E139,tblProveedores[Proveedor],0),999)*1000000+MATCH('15_STOCK'!$N139,{"AGOTADO","CRÍTICO","BAJO"},0)*10000+ROW(),"")</f>
        <v/>
      </c>
      <c r="O139" s="92">
        <v>132</v>
      </c>
      <c r="P139" s="91" t="str">
        <f t="shared" si="11"/>
        <v/>
      </c>
      <c r="Q139" s="91" t="str">
        <f t="shared" si="12"/>
        <v/>
      </c>
      <c r="R139" s="92">
        <v>132</v>
      </c>
      <c r="S139" s="91" t="str">
        <f t="shared" si="13"/>
        <v/>
      </c>
      <c r="T139" s="91" t="str">
        <f t="shared" si="14"/>
        <v/>
      </c>
    </row>
    <row r="140" spans="12:20" x14ac:dyDescent="0.25">
      <c r="L140" s="91" t="str">
        <f>IF(AND(ISNUMBER('15_STOCK'!$P140),'15_STOCK'!$P140&gt;0),'15_STOCK'!$P140+ROW()/1000000,"")</f>
        <v/>
      </c>
      <c r="M140" s="91" t="str">
        <f>IFERROR(MATCH('15_STOCK'!$N140,{"INCONSISTENTE","AGOTADO","CRÍTICO","BAJO","SOBRESTOCK"},0)*100000+MIN(99,INT(IF(N('15_STOCK'!$K140)&gt;0,MAX(0,N('15_STOCK'!$J140))/'15_STOCK'!$K140,0)*10))*1000+ROW(),"")</f>
        <v/>
      </c>
      <c r="N140" s="91" t="str">
        <f>IF(AND(ISNUMBER(MATCH('15_STOCK'!$N140,{"AGOTADO","CRÍTICO","BAJO"},0)),'15_STOCK'!$G140="SI",OR(pdProveedor="(Todos)",pdProveedor="",'15_STOCK'!$E140=pdProveedor)),IFERROR(MATCH('15_STOCK'!$E140,tblProveedores[Proveedor],0),999)*1000000+MATCH('15_STOCK'!$N140,{"AGOTADO","CRÍTICO","BAJO"},0)*10000+ROW(),"")</f>
        <v/>
      </c>
      <c r="O140" s="92">
        <v>133</v>
      </c>
      <c r="P140" s="91" t="str">
        <f t="shared" si="11"/>
        <v/>
      </c>
      <c r="Q140" s="91" t="str">
        <f t="shared" si="12"/>
        <v/>
      </c>
      <c r="R140" s="92">
        <v>133</v>
      </c>
      <c r="S140" s="91" t="str">
        <f t="shared" si="13"/>
        <v/>
      </c>
      <c r="T140" s="91" t="str">
        <f t="shared" si="14"/>
        <v/>
      </c>
    </row>
    <row r="141" spans="12:20" x14ac:dyDescent="0.25">
      <c r="L141" s="91" t="str">
        <f>IF(AND(ISNUMBER('15_STOCK'!$P141),'15_STOCK'!$P141&gt;0),'15_STOCK'!$P141+ROW()/1000000,"")</f>
        <v/>
      </c>
      <c r="M141" s="91" t="str">
        <f>IFERROR(MATCH('15_STOCK'!$N141,{"INCONSISTENTE","AGOTADO","CRÍTICO","BAJO","SOBRESTOCK"},0)*100000+MIN(99,INT(IF(N('15_STOCK'!$K141)&gt;0,MAX(0,N('15_STOCK'!$J141))/'15_STOCK'!$K141,0)*10))*1000+ROW(),"")</f>
        <v/>
      </c>
      <c r="N141" s="91" t="str">
        <f>IF(AND(ISNUMBER(MATCH('15_STOCK'!$N141,{"AGOTADO","CRÍTICO","BAJO"},0)),'15_STOCK'!$G141="SI",OR(pdProveedor="(Todos)",pdProveedor="",'15_STOCK'!$E141=pdProveedor)),IFERROR(MATCH('15_STOCK'!$E141,tblProveedores[Proveedor],0),999)*1000000+MATCH('15_STOCK'!$N141,{"AGOTADO","CRÍTICO","BAJO"},0)*10000+ROW(),"")</f>
        <v/>
      </c>
      <c r="O141" s="92">
        <v>134</v>
      </c>
      <c r="P141" s="91" t="str">
        <f t="shared" si="11"/>
        <v/>
      </c>
      <c r="Q141" s="91" t="str">
        <f t="shared" si="12"/>
        <v/>
      </c>
      <c r="R141" s="92">
        <v>134</v>
      </c>
      <c r="S141" s="91" t="str">
        <f t="shared" si="13"/>
        <v/>
      </c>
      <c r="T141" s="91" t="str">
        <f t="shared" si="14"/>
        <v/>
      </c>
    </row>
    <row r="142" spans="12:20" x14ac:dyDescent="0.25">
      <c r="L142" s="91" t="str">
        <f>IF(AND(ISNUMBER('15_STOCK'!$P142),'15_STOCK'!$P142&gt;0),'15_STOCK'!$P142+ROW()/1000000,"")</f>
        <v/>
      </c>
      <c r="M142" s="91" t="str">
        <f>IFERROR(MATCH('15_STOCK'!$N142,{"INCONSISTENTE","AGOTADO","CRÍTICO","BAJO","SOBRESTOCK"},0)*100000+MIN(99,INT(IF(N('15_STOCK'!$K142)&gt;0,MAX(0,N('15_STOCK'!$J142))/'15_STOCK'!$K142,0)*10))*1000+ROW(),"")</f>
        <v/>
      </c>
      <c r="N142" s="91" t="str">
        <f>IF(AND(ISNUMBER(MATCH('15_STOCK'!$N142,{"AGOTADO","CRÍTICO","BAJO"},0)),'15_STOCK'!$G142="SI",OR(pdProveedor="(Todos)",pdProveedor="",'15_STOCK'!$E142=pdProveedor)),IFERROR(MATCH('15_STOCK'!$E142,tblProveedores[Proveedor],0),999)*1000000+MATCH('15_STOCK'!$N142,{"AGOTADO","CRÍTICO","BAJO"},0)*10000+ROW(),"")</f>
        <v/>
      </c>
      <c r="O142" s="92">
        <v>135</v>
      </c>
      <c r="P142" s="91" t="str">
        <f t="shared" si="11"/>
        <v/>
      </c>
      <c r="Q142" s="91" t="str">
        <f t="shared" si="12"/>
        <v/>
      </c>
      <c r="R142" s="92">
        <v>135</v>
      </c>
      <c r="S142" s="91" t="str">
        <f t="shared" si="13"/>
        <v/>
      </c>
      <c r="T142" s="91" t="str">
        <f t="shared" si="14"/>
        <v/>
      </c>
    </row>
    <row r="143" spans="12:20" x14ac:dyDescent="0.25">
      <c r="L143" s="91" t="str">
        <f>IF(AND(ISNUMBER('15_STOCK'!$P143),'15_STOCK'!$P143&gt;0),'15_STOCK'!$P143+ROW()/1000000,"")</f>
        <v/>
      </c>
      <c r="M143" s="91" t="str">
        <f>IFERROR(MATCH('15_STOCK'!$N143,{"INCONSISTENTE","AGOTADO","CRÍTICO","BAJO","SOBRESTOCK"},0)*100000+MIN(99,INT(IF(N('15_STOCK'!$K143)&gt;0,MAX(0,N('15_STOCK'!$J143))/'15_STOCK'!$K143,0)*10))*1000+ROW(),"")</f>
        <v/>
      </c>
      <c r="N143" s="91" t="str">
        <f>IF(AND(ISNUMBER(MATCH('15_STOCK'!$N143,{"AGOTADO","CRÍTICO","BAJO"},0)),'15_STOCK'!$G143="SI",OR(pdProveedor="(Todos)",pdProveedor="",'15_STOCK'!$E143=pdProveedor)),IFERROR(MATCH('15_STOCK'!$E143,tblProveedores[Proveedor],0),999)*1000000+MATCH('15_STOCK'!$N143,{"AGOTADO","CRÍTICO","BAJO"},0)*10000+ROW(),"")</f>
        <v/>
      </c>
      <c r="O143" s="92">
        <v>136</v>
      </c>
      <c r="P143" s="91" t="str">
        <f t="shared" si="11"/>
        <v/>
      </c>
      <c r="Q143" s="91" t="str">
        <f t="shared" si="12"/>
        <v/>
      </c>
      <c r="R143" s="92">
        <v>136</v>
      </c>
      <c r="S143" s="91" t="str">
        <f t="shared" si="13"/>
        <v/>
      </c>
      <c r="T143" s="91" t="str">
        <f t="shared" si="14"/>
        <v/>
      </c>
    </row>
    <row r="144" spans="12:20" x14ac:dyDescent="0.25">
      <c r="L144" s="91" t="str">
        <f>IF(AND(ISNUMBER('15_STOCK'!$P144),'15_STOCK'!$P144&gt;0),'15_STOCK'!$P144+ROW()/1000000,"")</f>
        <v/>
      </c>
      <c r="M144" s="91" t="str">
        <f>IFERROR(MATCH('15_STOCK'!$N144,{"INCONSISTENTE","AGOTADO","CRÍTICO","BAJO","SOBRESTOCK"},0)*100000+MIN(99,INT(IF(N('15_STOCK'!$K144)&gt;0,MAX(0,N('15_STOCK'!$J144))/'15_STOCK'!$K144,0)*10))*1000+ROW(),"")</f>
        <v/>
      </c>
      <c r="N144" s="91" t="str">
        <f>IF(AND(ISNUMBER(MATCH('15_STOCK'!$N144,{"AGOTADO","CRÍTICO","BAJO"},0)),'15_STOCK'!$G144="SI",OR(pdProveedor="(Todos)",pdProveedor="",'15_STOCK'!$E144=pdProveedor)),IFERROR(MATCH('15_STOCK'!$E144,tblProveedores[Proveedor],0),999)*1000000+MATCH('15_STOCK'!$N144,{"AGOTADO","CRÍTICO","BAJO"},0)*10000+ROW(),"")</f>
        <v/>
      </c>
      <c r="O144" s="92">
        <v>137</v>
      </c>
      <c r="P144" s="91" t="str">
        <f t="shared" si="11"/>
        <v/>
      </c>
      <c r="Q144" s="91" t="str">
        <f t="shared" si="12"/>
        <v/>
      </c>
      <c r="R144" s="92">
        <v>137</v>
      </c>
      <c r="S144" s="91" t="str">
        <f t="shared" si="13"/>
        <v/>
      </c>
      <c r="T144" s="91" t="str">
        <f t="shared" si="14"/>
        <v/>
      </c>
    </row>
    <row r="145" spans="12:20" x14ac:dyDescent="0.25">
      <c r="L145" s="91" t="str">
        <f>IF(AND(ISNUMBER('15_STOCK'!$P145),'15_STOCK'!$P145&gt;0),'15_STOCK'!$P145+ROW()/1000000,"")</f>
        <v/>
      </c>
      <c r="M145" s="91" t="str">
        <f>IFERROR(MATCH('15_STOCK'!$N145,{"INCONSISTENTE","AGOTADO","CRÍTICO","BAJO","SOBRESTOCK"},0)*100000+MIN(99,INT(IF(N('15_STOCK'!$K145)&gt;0,MAX(0,N('15_STOCK'!$J145))/'15_STOCK'!$K145,0)*10))*1000+ROW(),"")</f>
        <v/>
      </c>
      <c r="N145" s="91" t="str">
        <f>IF(AND(ISNUMBER(MATCH('15_STOCK'!$N145,{"AGOTADO","CRÍTICO","BAJO"},0)),'15_STOCK'!$G145="SI",OR(pdProveedor="(Todos)",pdProveedor="",'15_STOCK'!$E145=pdProveedor)),IFERROR(MATCH('15_STOCK'!$E145,tblProveedores[Proveedor],0),999)*1000000+MATCH('15_STOCK'!$N145,{"AGOTADO","CRÍTICO","BAJO"},0)*10000+ROW(),"")</f>
        <v/>
      </c>
      <c r="O145" s="92">
        <v>138</v>
      </c>
      <c r="P145" s="91" t="str">
        <f t="shared" si="11"/>
        <v/>
      </c>
      <c r="Q145" s="91" t="str">
        <f t="shared" si="12"/>
        <v/>
      </c>
      <c r="R145" s="92">
        <v>138</v>
      </c>
      <c r="S145" s="91" t="str">
        <f t="shared" si="13"/>
        <v/>
      </c>
      <c r="T145" s="91" t="str">
        <f t="shared" si="14"/>
        <v/>
      </c>
    </row>
    <row r="146" spans="12:20" x14ac:dyDescent="0.25">
      <c r="L146" s="91" t="str">
        <f>IF(AND(ISNUMBER('15_STOCK'!$P146),'15_STOCK'!$P146&gt;0),'15_STOCK'!$P146+ROW()/1000000,"")</f>
        <v/>
      </c>
      <c r="M146" s="91" t="str">
        <f>IFERROR(MATCH('15_STOCK'!$N146,{"INCONSISTENTE","AGOTADO","CRÍTICO","BAJO","SOBRESTOCK"},0)*100000+MIN(99,INT(IF(N('15_STOCK'!$K146)&gt;0,MAX(0,N('15_STOCK'!$J146))/'15_STOCK'!$K146,0)*10))*1000+ROW(),"")</f>
        <v/>
      </c>
      <c r="N146" s="91" t="str">
        <f>IF(AND(ISNUMBER(MATCH('15_STOCK'!$N146,{"AGOTADO","CRÍTICO","BAJO"},0)),'15_STOCK'!$G146="SI",OR(pdProveedor="(Todos)",pdProveedor="",'15_STOCK'!$E146=pdProveedor)),IFERROR(MATCH('15_STOCK'!$E146,tblProveedores[Proveedor],0),999)*1000000+MATCH('15_STOCK'!$N146,{"AGOTADO","CRÍTICO","BAJO"},0)*10000+ROW(),"")</f>
        <v/>
      </c>
      <c r="O146" s="92">
        <v>139</v>
      </c>
      <c r="P146" s="91" t="str">
        <f t="shared" si="11"/>
        <v/>
      </c>
      <c r="Q146" s="91" t="str">
        <f t="shared" si="12"/>
        <v/>
      </c>
      <c r="R146" s="92">
        <v>139</v>
      </c>
      <c r="S146" s="91" t="str">
        <f t="shared" si="13"/>
        <v/>
      </c>
      <c r="T146" s="91" t="str">
        <f t="shared" si="14"/>
        <v/>
      </c>
    </row>
    <row r="147" spans="12:20" x14ac:dyDescent="0.25">
      <c r="L147" s="91" t="str">
        <f>IF(AND(ISNUMBER('15_STOCK'!$P147),'15_STOCK'!$P147&gt;0),'15_STOCK'!$P147+ROW()/1000000,"")</f>
        <v/>
      </c>
      <c r="M147" s="91" t="str">
        <f>IFERROR(MATCH('15_STOCK'!$N147,{"INCONSISTENTE","AGOTADO","CRÍTICO","BAJO","SOBRESTOCK"},0)*100000+MIN(99,INT(IF(N('15_STOCK'!$K147)&gt;0,MAX(0,N('15_STOCK'!$J147))/'15_STOCK'!$K147,0)*10))*1000+ROW(),"")</f>
        <v/>
      </c>
      <c r="N147" s="91" t="str">
        <f>IF(AND(ISNUMBER(MATCH('15_STOCK'!$N147,{"AGOTADO","CRÍTICO","BAJO"},0)),'15_STOCK'!$G147="SI",OR(pdProveedor="(Todos)",pdProveedor="",'15_STOCK'!$E147=pdProveedor)),IFERROR(MATCH('15_STOCK'!$E147,tblProveedores[Proveedor],0),999)*1000000+MATCH('15_STOCK'!$N147,{"AGOTADO","CRÍTICO","BAJO"},0)*10000+ROW(),"")</f>
        <v/>
      </c>
      <c r="O147" s="92">
        <v>140</v>
      </c>
      <c r="P147" s="91" t="str">
        <f t="shared" si="11"/>
        <v/>
      </c>
      <c r="Q147" s="91" t="str">
        <f t="shared" si="12"/>
        <v/>
      </c>
      <c r="R147" s="92">
        <v>140</v>
      </c>
      <c r="S147" s="91" t="str">
        <f t="shared" si="13"/>
        <v/>
      </c>
      <c r="T147" s="91" t="str">
        <f t="shared" si="14"/>
        <v/>
      </c>
    </row>
    <row r="148" spans="12:20" x14ac:dyDescent="0.25">
      <c r="L148" s="91" t="str">
        <f>IF(AND(ISNUMBER('15_STOCK'!$P148),'15_STOCK'!$P148&gt;0),'15_STOCK'!$P148+ROW()/1000000,"")</f>
        <v/>
      </c>
      <c r="M148" s="91" t="str">
        <f>IFERROR(MATCH('15_STOCK'!$N148,{"INCONSISTENTE","AGOTADO","CRÍTICO","BAJO","SOBRESTOCK"},0)*100000+MIN(99,INT(IF(N('15_STOCK'!$K148)&gt;0,MAX(0,N('15_STOCK'!$J148))/'15_STOCK'!$K148,0)*10))*1000+ROW(),"")</f>
        <v/>
      </c>
      <c r="N148" s="91" t="str">
        <f>IF(AND(ISNUMBER(MATCH('15_STOCK'!$N148,{"AGOTADO","CRÍTICO","BAJO"},0)),'15_STOCK'!$G148="SI",OR(pdProveedor="(Todos)",pdProveedor="",'15_STOCK'!$E148=pdProveedor)),IFERROR(MATCH('15_STOCK'!$E148,tblProveedores[Proveedor],0),999)*1000000+MATCH('15_STOCK'!$N148,{"AGOTADO","CRÍTICO","BAJO"},0)*10000+ROW(),"")</f>
        <v/>
      </c>
      <c r="O148" s="92">
        <v>141</v>
      </c>
      <c r="P148" s="91" t="str">
        <f t="shared" si="11"/>
        <v/>
      </c>
      <c r="Q148" s="91" t="str">
        <f t="shared" si="12"/>
        <v/>
      </c>
      <c r="R148" s="92">
        <v>141</v>
      </c>
      <c r="S148" s="91" t="str">
        <f t="shared" si="13"/>
        <v/>
      </c>
      <c r="T148" s="91" t="str">
        <f t="shared" si="14"/>
        <v/>
      </c>
    </row>
    <row r="149" spans="12:20" x14ac:dyDescent="0.25">
      <c r="L149" s="91" t="str">
        <f>IF(AND(ISNUMBER('15_STOCK'!$P149),'15_STOCK'!$P149&gt;0),'15_STOCK'!$P149+ROW()/1000000,"")</f>
        <v/>
      </c>
      <c r="M149" s="91" t="str">
        <f>IFERROR(MATCH('15_STOCK'!$N149,{"INCONSISTENTE","AGOTADO","CRÍTICO","BAJO","SOBRESTOCK"},0)*100000+MIN(99,INT(IF(N('15_STOCK'!$K149)&gt;0,MAX(0,N('15_STOCK'!$J149))/'15_STOCK'!$K149,0)*10))*1000+ROW(),"")</f>
        <v/>
      </c>
      <c r="N149" s="91" t="str">
        <f>IF(AND(ISNUMBER(MATCH('15_STOCK'!$N149,{"AGOTADO","CRÍTICO","BAJO"},0)),'15_STOCK'!$G149="SI",OR(pdProveedor="(Todos)",pdProveedor="",'15_STOCK'!$E149=pdProveedor)),IFERROR(MATCH('15_STOCK'!$E149,tblProveedores[Proveedor],0),999)*1000000+MATCH('15_STOCK'!$N149,{"AGOTADO","CRÍTICO","BAJO"},0)*10000+ROW(),"")</f>
        <v/>
      </c>
      <c r="O149" s="92">
        <v>142</v>
      </c>
      <c r="P149" s="91" t="str">
        <f t="shared" si="11"/>
        <v/>
      </c>
      <c r="Q149" s="91" t="str">
        <f t="shared" si="12"/>
        <v/>
      </c>
      <c r="R149" s="92">
        <v>142</v>
      </c>
      <c r="S149" s="91" t="str">
        <f t="shared" si="13"/>
        <v/>
      </c>
      <c r="T149" s="91" t="str">
        <f t="shared" si="14"/>
        <v/>
      </c>
    </row>
    <row r="150" spans="12:20" x14ac:dyDescent="0.25">
      <c r="L150" s="91" t="str">
        <f>IF(AND(ISNUMBER('15_STOCK'!$P150),'15_STOCK'!$P150&gt;0),'15_STOCK'!$P150+ROW()/1000000,"")</f>
        <v/>
      </c>
      <c r="M150" s="91" t="str">
        <f>IFERROR(MATCH('15_STOCK'!$N150,{"INCONSISTENTE","AGOTADO","CRÍTICO","BAJO","SOBRESTOCK"},0)*100000+MIN(99,INT(IF(N('15_STOCK'!$K150)&gt;0,MAX(0,N('15_STOCK'!$J150))/'15_STOCK'!$K150,0)*10))*1000+ROW(),"")</f>
        <v/>
      </c>
      <c r="N150" s="91" t="str">
        <f>IF(AND(ISNUMBER(MATCH('15_STOCK'!$N150,{"AGOTADO","CRÍTICO","BAJO"},0)),'15_STOCK'!$G150="SI",OR(pdProveedor="(Todos)",pdProveedor="",'15_STOCK'!$E150=pdProveedor)),IFERROR(MATCH('15_STOCK'!$E150,tblProveedores[Proveedor],0),999)*1000000+MATCH('15_STOCK'!$N150,{"AGOTADO","CRÍTICO","BAJO"},0)*10000+ROW(),"")</f>
        <v/>
      </c>
      <c r="O150" s="92">
        <v>143</v>
      </c>
      <c r="P150" s="91" t="str">
        <f t="shared" si="11"/>
        <v/>
      </c>
      <c r="Q150" s="91" t="str">
        <f t="shared" si="12"/>
        <v/>
      </c>
      <c r="R150" s="92">
        <v>143</v>
      </c>
      <c r="S150" s="91" t="str">
        <f t="shared" si="13"/>
        <v/>
      </c>
      <c r="T150" s="91" t="str">
        <f t="shared" si="14"/>
        <v/>
      </c>
    </row>
    <row r="151" spans="12:20" x14ac:dyDescent="0.25">
      <c r="L151" s="91" t="str">
        <f>IF(AND(ISNUMBER('15_STOCK'!$P151),'15_STOCK'!$P151&gt;0),'15_STOCK'!$P151+ROW()/1000000,"")</f>
        <v/>
      </c>
      <c r="M151" s="91" t="str">
        <f>IFERROR(MATCH('15_STOCK'!$N151,{"INCONSISTENTE","AGOTADO","CRÍTICO","BAJO","SOBRESTOCK"},0)*100000+MIN(99,INT(IF(N('15_STOCK'!$K151)&gt;0,MAX(0,N('15_STOCK'!$J151))/'15_STOCK'!$K151,0)*10))*1000+ROW(),"")</f>
        <v/>
      </c>
      <c r="N151" s="91" t="str">
        <f>IF(AND(ISNUMBER(MATCH('15_STOCK'!$N151,{"AGOTADO","CRÍTICO","BAJO"},0)),'15_STOCK'!$G151="SI",OR(pdProveedor="(Todos)",pdProveedor="",'15_STOCK'!$E151=pdProveedor)),IFERROR(MATCH('15_STOCK'!$E151,tblProveedores[Proveedor],0),999)*1000000+MATCH('15_STOCK'!$N151,{"AGOTADO","CRÍTICO","BAJO"},0)*10000+ROW(),"")</f>
        <v/>
      </c>
      <c r="O151" s="92">
        <v>144</v>
      </c>
      <c r="P151" s="91" t="str">
        <f t="shared" si="11"/>
        <v/>
      </c>
      <c r="Q151" s="91" t="str">
        <f t="shared" si="12"/>
        <v/>
      </c>
      <c r="R151" s="92">
        <v>144</v>
      </c>
      <c r="S151" s="91" t="str">
        <f t="shared" si="13"/>
        <v/>
      </c>
      <c r="T151" s="91" t="str">
        <f t="shared" si="14"/>
        <v/>
      </c>
    </row>
    <row r="152" spans="12:20" x14ac:dyDescent="0.25">
      <c r="L152" s="91" t="str">
        <f>IF(AND(ISNUMBER('15_STOCK'!$P152),'15_STOCK'!$P152&gt;0),'15_STOCK'!$P152+ROW()/1000000,"")</f>
        <v/>
      </c>
      <c r="M152" s="91" t="str">
        <f>IFERROR(MATCH('15_STOCK'!$N152,{"INCONSISTENTE","AGOTADO","CRÍTICO","BAJO","SOBRESTOCK"},0)*100000+MIN(99,INT(IF(N('15_STOCK'!$K152)&gt;0,MAX(0,N('15_STOCK'!$J152))/'15_STOCK'!$K152,0)*10))*1000+ROW(),"")</f>
        <v/>
      </c>
      <c r="N152" s="91" t="str">
        <f>IF(AND(ISNUMBER(MATCH('15_STOCK'!$N152,{"AGOTADO","CRÍTICO","BAJO"},0)),'15_STOCK'!$G152="SI",OR(pdProveedor="(Todos)",pdProveedor="",'15_STOCK'!$E152=pdProveedor)),IFERROR(MATCH('15_STOCK'!$E152,tblProveedores[Proveedor],0),999)*1000000+MATCH('15_STOCK'!$N152,{"AGOTADO","CRÍTICO","BAJO"},0)*10000+ROW(),"")</f>
        <v/>
      </c>
      <c r="O152" s="92">
        <v>145</v>
      </c>
      <c r="P152" s="91" t="str">
        <f t="shared" si="11"/>
        <v/>
      </c>
      <c r="Q152" s="91" t="str">
        <f t="shared" si="12"/>
        <v/>
      </c>
      <c r="R152" s="92">
        <v>145</v>
      </c>
      <c r="S152" s="91" t="str">
        <f t="shared" si="13"/>
        <v/>
      </c>
      <c r="T152" s="91" t="str">
        <f t="shared" si="14"/>
        <v/>
      </c>
    </row>
    <row r="153" spans="12:20" x14ac:dyDescent="0.25">
      <c r="L153" s="91" t="str">
        <f>IF(AND(ISNUMBER('15_STOCK'!$P153),'15_STOCK'!$P153&gt;0),'15_STOCK'!$P153+ROW()/1000000,"")</f>
        <v/>
      </c>
      <c r="M153" s="91" t="str">
        <f>IFERROR(MATCH('15_STOCK'!$N153,{"INCONSISTENTE","AGOTADO","CRÍTICO","BAJO","SOBRESTOCK"},0)*100000+MIN(99,INT(IF(N('15_STOCK'!$K153)&gt;0,MAX(0,N('15_STOCK'!$J153))/'15_STOCK'!$K153,0)*10))*1000+ROW(),"")</f>
        <v/>
      </c>
      <c r="N153" s="91" t="str">
        <f>IF(AND(ISNUMBER(MATCH('15_STOCK'!$N153,{"AGOTADO","CRÍTICO","BAJO"},0)),'15_STOCK'!$G153="SI",OR(pdProveedor="(Todos)",pdProveedor="",'15_STOCK'!$E153=pdProveedor)),IFERROR(MATCH('15_STOCK'!$E153,tblProveedores[Proveedor],0),999)*1000000+MATCH('15_STOCK'!$N153,{"AGOTADO","CRÍTICO","BAJO"},0)*10000+ROW(),"")</f>
        <v/>
      </c>
      <c r="O153" s="92">
        <v>146</v>
      </c>
      <c r="P153" s="91" t="str">
        <f t="shared" si="11"/>
        <v/>
      </c>
      <c r="Q153" s="91" t="str">
        <f t="shared" si="12"/>
        <v/>
      </c>
      <c r="R153" s="92">
        <v>146</v>
      </c>
      <c r="S153" s="91" t="str">
        <f t="shared" si="13"/>
        <v/>
      </c>
      <c r="T153" s="91" t="str">
        <f t="shared" si="14"/>
        <v/>
      </c>
    </row>
    <row r="154" spans="12:20" x14ac:dyDescent="0.25">
      <c r="L154" s="91" t="str">
        <f>IF(AND(ISNUMBER('15_STOCK'!$P154),'15_STOCK'!$P154&gt;0),'15_STOCK'!$P154+ROW()/1000000,"")</f>
        <v/>
      </c>
      <c r="M154" s="91" t="str">
        <f>IFERROR(MATCH('15_STOCK'!$N154,{"INCONSISTENTE","AGOTADO","CRÍTICO","BAJO","SOBRESTOCK"},0)*100000+MIN(99,INT(IF(N('15_STOCK'!$K154)&gt;0,MAX(0,N('15_STOCK'!$J154))/'15_STOCK'!$K154,0)*10))*1000+ROW(),"")</f>
        <v/>
      </c>
      <c r="N154" s="91" t="str">
        <f>IF(AND(ISNUMBER(MATCH('15_STOCK'!$N154,{"AGOTADO","CRÍTICO","BAJO"},0)),'15_STOCK'!$G154="SI",OR(pdProveedor="(Todos)",pdProveedor="",'15_STOCK'!$E154=pdProveedor)),IFERROR(MATCH('15_STOCK'!$E154,tblProveedores[Proveedor],0),999)*1000000+MATCH('15_STOCK'!$N154,{"AGOTADO","CRÍTICO","BAJO"},0)*10000+ROW(),"")</f>
        <v/>
      </c>
      <c r="O154" s="92">
        <v>147</v>
      </c>
      <c r="P154" s="91" t="str">
        <f t="shared" si="11"/>
        <v/>
      </c>
      <c r="Q154" s="91" t="str">
        <f t="shared" si="12"/>
        <v/>
      </c>
      <c r="R154" s="92">
        <v>147</v>
      </c>
      <c r="S154" s="91" t="str">
        <f t="shared" si="13"/>
        <v/>
      </c>
      <c r="T154" s="91" t="str">
        <f t="shared" si="14"/>
        <v/>
      </c>
    </row>
    <row r="155" spans="12:20" x14ac:dyDescent="0.25">
      <c r="L155" s="91" t="str">
        <f>IF(AND(ISNUMBER('15_STOCK'!$P155),'15_STOCK'!$P155&gt;0),'15_STOCK'!$P155+ROW()/1000000,"")</f>
        <v/>
      </c>
      <c r="M155" s="91" t="str">
        <f>IFERROR(MATCH('15_STOCK'!$N155,{"INCONSISTENTE","AGOTADO","CRÍTICO","BAJO","SOBRESTOCK"},0)*100000+MIN(99,INT(IF(N('15_STOCK'!$K155)&gt;0,MAX(0,N('15_STOCK'!$J155))/'15_STOCK'!$K155,0)*10))*1000+ROW(),"")</f>
        <v/>
      </c>
      <c r="N155" s="91" t="str">
        <f>IF(AND(ISNUMBER(MATCH('15_STOCK'!$N155,{"AGOTADO","CRÍTICO","BAJO"},0)),'15_STOCK'!$G155="SI",OR(pdProveedor="(Todos)",pdProveedor="",'15_STOCK'!$E155=pdProveedor)),IFERROR(MATCH('15_STOCK'!$E155,tblProveedores[Proveedor],0),999)*1000000+MATCH('15_STOCK'!$N155,{"AGOTADO","CRÍTICO","BAJO"},0)*10000+ROW(),"")</f>
        <v/>
      </c>
      <c r="O155" s="92">
        <v>148</v>
      </c>
      <c r="P155" s="91" t="str">
        <f t="shared" si="11"/>
        <v/>
      </c>
      <c r="Q155" s="91" t="str">
        <f t="shared" si="12"/>
        <v/>
      </c>
      <c r="R155" s="92">
        <v>148</v>
      </c>
      <c r="S155" s="91" t="str">
        <f t="shared" si="13"/>
        <v/>
      </c>
      <c r="T155" s="91" t="str">
        <f t="shared" si="14"/>
        <v/>
      </c>
    </row>
    <row r="156" spans="12:20" x14ac:dyDescent="0.25">
      <c r="L156" s="91" t="str">
        <f>IF(AND(ISNUMBER('15_STOCK'!$P156),'15_STOCK'!$P156&gt;0),'15_STOCK'!$P156+ROW()/1000000,"")</f>
        <v/>
      </c>
      <c r="M156" s="91" t="str">
        <f>IFERROR(MATCH('15_STOCK'!$N156,{"INCONSISTENTE","AGOTADO","CRÍTICO","BAJO","SOBRESTOCK"},0)*100000+MIN(99,INT(IF(N('15_STOCK'!$K156)&gt;0,MAX(0,N('15_STOCK'!$J156))/'15_STOCK'!$K156,0)*10))*1000+ROW(),"")</f>
        <v/>
      </c>
      <c r="N156" s="91" t="str">
        <f>IF(AND(ISNUMBER(MATCH('15_STOCK'!$N156,{"AGOTADO","CRÍTICO","BAJO"},0)),'15_STOCK'!$G156="SI",OR(pdProveedor="(Todos)",pdProveedor="",'15_STOCK'!$E156=pdProveedor)),IFERROR(MATCH('15_STOCK'!$E156,tblProveedores[Proveedor],0),999)*1000000+MATCH('15_STOCK'!$N156,{"AGOTADO","CRÍTICO","BAJO"},0)*10000+ROW(),"")</f>
        <v/>
      </c>
      <c r="O156" s="92">
        <v>149</v>
      </c>
      <c r="P156" s="91" t="str">
        <f t="shared" si="11"/>
        <v/>
      </c>
      <c r="Q156" s="91" t="str">
        <f t="shared" si="12"/>
        <v/>
      </c>
      <c r="R156" s="92">
        <v>149</v>
      </c>
      <c r="S156" s="91" t="str">
        <f t="shared" si="13"/>
        <v/>
      </c>
      <c r="T156" s="91" t="str">
        <f t="shared" si="14"/>
        <v/>
      </c>
    </row>
    <row r="157" spans="12:20" x14ac:dyDescent="0.25">
      <c r="L157" s="91" t="str">
        <f>IF(AND(ISNUMBER('15_STOCK'!$P157),'15_STOCK'!$P157&gt;0),'15_STOCK'!$P157+ROW()/1000000,"")</f>
        <v/>
      </c>
      <c r="M157" s="91" t="str">
        <f>IFERROR(MATCH('15_STOCK'!$N157,{"INCONSISTENTE","AGOTADO","CRÍTICO","BAJO","SOBRESTOCK"},0)*100000+MIN(99,INT(IF(N('15_STOCK'!$K157)&gt;0,MAX(0,N('15_STOCK'!$J157))/'15_STOCK'!$K157,0)*10))*1000+ROW(),"")</f>
        <v/>
      </c>
      <c r="N157" s="91" t="str">
        <f>IF(AND(ISNUMBER(MATCH('15_STOCK'!$N157,{"AGOTADO","CRÍTICO","BAJO"},0)),'15_STOCK'!$G157="SI",OR(pdProveedor="(Todos)",pdProveedor="",'15_STOCK'!$E157=pdProveedor)),IFERROR(MATCH('15_STOCK'!$E157,tblProveedores[Proveedor],0),999)*1000000+MATCH('15_STOCK'!$N157,{"AGOTADO","CRÍTICO","BAJO"},0)*10000+ROW(),"")</f>
        <v/>
      </c>
      <c r="O157" s="92">
        <v>150</v>
      </c>
      <c r="P157" s="91" t="str">
        <f t="shared" si="11"/>
        <v/>
      </c>
      <c r="Q157" s="91" t="str">
        <f t="shared" si="12"/>
        <v/>
      </c>
      <c r="R157" s="92">
        <v>150</v>
      </c>
      <c r="S157" s="91" t="str">
        <f t="shared" si="13"/>
        <v/>
      </c>
      <c r="T157" s="91" t="str">
        <f t="shared" si="14"/>
        <v/>
      </c>
    </row>
    <row r="158" spans="12:20" x14ac:dyDescent="0.25">
      <c r="L158" s="91" t="str">
        <f>IF(AND(ISNUMBER('15_STOCK'!$P158),'15_STOCK'!$P158&gt;0),'15_STOCK'!$P158+ROW()/1000000,"")</f>
        <v/>
      </c>
      <c r="M158" s="91" t="str">
        <f>IFERROR(MATCH('15_STOCK'!$N158,{"INCONSISTENTE","AGOTADO","CRÍTICO","BAJO","SOBRESTOCK"},0)*100000+MIN(99,INT(IF(N('15_STOCK'!$K158)&gt;0,MAX(0,N('15_STOCK'!$J158))/'15_STOCK'!$K158,0)*10))*1000+ROW(),"")</f>
        <v/>
      </c>
      <c r="N158" s="91" t="str">
        <f>IF(AND(ISNUMBER(MATCH('15_STOCK'!$N158,{"AGOTADO","CRÍTICO","BAJO"},0)),'15_STOCK'!$G158="SI",OR(pdProveedor="(Todos)",pdProveedor="",'15_STOCK'!$E158=pdProveedor)),IFERROR(MATCH('15_STOCK'!$E158,tblProveedores[Proveedor],0),999)*1000000+MATCH('15_STOCK'!$N158,{"AGOTADO","CRÍTICO","BAJO"},0)*10000+ROW(),"")</f>
        <v/>
      </c>
      <c r="O158" s="92">
        <v>151</v>
      </c>
      <c r="P158" s="91" t="str">
        <f t="shared" si="11"/>
        <v/>
      </c>
      <c r="Q158" s="91" t="str">
        <f t="shared" si="12"/>
        <v/>
      </c>
      <c r="R158" s="92">
        <v>151</v>
      </c>
      <c r="S158" s="91" t="str">
        <f t="shared" si="13"/>
        <v/>
      </c>
      <c r="T158" s="91" t="str">
        <f t="shared" si="14"/>
        <v/>
      </c>
    </row>
    <row r="159" spans="12:20" x14ac:dyDescent="0.25">
      <c r="L159" s="91" t="str">
        <f>IF(AND(ISNUMBER('15_STOCK'!$P159),'15_STOCK'!$P159&gt;0),'15_STOCK'!$P159+ROW()/1000000,"")</f>
        <v/>
      </c>
      <c r="M159" s="91" t="str">
        <f>IFERROR(MATCH('15_STOCK'!$N159,{"INCONSISTENTE","AGOTADO","CRÍTICO","BAJO","SOBRESTOCK"},0)*100000+MIN(99,INT(IF(N('15_STOCK'!$K159)&gt;0,MAX(0,N('15_STOCK'!$J159))/'15_STOCK'!$K159,0)*10))*1000+ROW(),"")</f>
        <v/>
      </c>
      <c r="N159" s="91" t="str">
        <f>IF(AND(ISNUMBER(MATCH('15_STOCK'!$N159,{"AGOTADO","CRÍTICO","BAJO"},0)),'15_STOCK'!$G159="SI",OR(pdProveedor="(Todos)",pdProveedor="",'15_STOCK'!$E159=pdProveedor)),IFERROR(MATCH('15_STOCK'!$E159,tblProveedores[Proveedor],0),999)*1000000+MATCH('15_STOCK'!$N159,{"AGOTADO","CRÍTICO","BAJO"},0)*10000+ROW(),"")</f>
        <v/>
      </c>
      <c r="O159" s="92">
        <v>152</v>
      </c>
      <c r="P159" s="91" t="str">
        <f t="shared" si="11"/>
        <v/>
      </c>
      <c r="Q159" s="91" t="str">
        <f t="shared" si="12"/>
        <v/>
      </c>
      <c r="R159" s="92">
        <v>152</v>
      </c>
      <c r="S159" s="91" t="str">
        <f t="shared" si="13"/>
        <v/>
      </c>
      <c r="T159" s="91" t="str">
        <f t="shared" si="14"/>
        <v/>
      </c>
    </row>
    <row r="160" spans="12:20" x14ac:dyDescent="0.25">
      <c r="L160" s="91" t="str">
        <f>IF(AND(ISNUMBER('15_STOCK'!$P160),'15_STOCK'!$P160&gt;0),'15_STOCK'!$P160+ROW()/1000000,"")</f>
        <v/>
      </c>
      <c r="M160" s="91" t="str">
        <f>IFERROR(MATCH('15_STOCK'!$N160,{"INCONSISTENTE","AGOTADO","CRÍTICO","BAJO","SOBRESTOCK"},0)*100000+MIN(99,INT(IF(N('15_STOCK'!$K160)&gt;0,MAX(0,N('15_STOCK'!$J160))/'15_STOCK'!$K160,0)*10))*1000+ROW(),"")</f>
        <v/>
      </c>
      <c r="N160" s="91" t="str">
        <f>IF(AND(ISNUMBER(MATCH('15_STOCK'!$N160,{"AGOTADO","CRÍTICO","BAJO"},0)),'15_STOCK'!$G160="SI",OR(pdProveedor="(Todos)",pdProveedor="",'15_STOCK'!$E160=pdProveedor)),IFERROR(MATCH('15_STOCK'!$E160,tblProveedores[Proveedor],0),999)*1000000+MATCH('15_STOCK'!$N160,{"AGOTADO","CRÍTICO","BAJO"},0)*10000+ROW(),"")</f>
        <v/>
      </c>
      <c r="O160" s="92">
        <v>153</v>
      </c>
      <c r="P160" s="91" t="str">
        <f t="shared" si="11"/>
        <v/>
      </c>
      <c r="Q160" s="91" t="str">
        <f t="shared" si="12"/>
        <v/>
      </c>
      <c r="R160" s="92">
        <v>153</v>
      </c>
      <c r="S160" s="91" t="str">
        <f t="shared" si="13"/>
        <v/>
      </c>
      <c r="T160" s="91" t="str">
        <f t="shared" si="14"/>
        <v/>
      </c>
    </row>
    <row r="161" spans="12:20" x14ac:dyDescent="0.25">
      <c r="L161" s="91" t="str">
        <f>IF(AND(ISNUMBER('15_STOCK'!$P161),'15_STOCK'!$P161&gt;0),'15_STOCK'!$P161+ROW()/1000000,"")</f>
        <v/>
      </c>
      <c r="M161" s="91" t="str">
        <f>IFERROR(MATCH('15_STOCK'!$N161,{"INCONSISTENTE","AGOTADO","CRÍTICO","BAJO","SOBRESTOCK"},0)*100000+MIN(99,INT(IF(N('15_STOCK'!$K161)&gt;0,MAX(0,N('15_STOCK'!$J161))/'15_STOCK'!$K161,0)*10))*1000+ROW(),"")</f>
        <v/>
      </c>
      <c r="N161" s="91" t="str">
        <f>IF(AND(ISNUMBER(MATCH('15_STOCK'!$N161,{"AGOTADO","CRÍTICO","BAJO"},0)),'15_STOCK'!$G161="SI",OR(pdProveedor="(Todos)",pdProveedor="",'15_STOCK'!$E161=pdProveedor)),IFERROR(MATCH('15_STOCK'!$E161,tblProveedores[Proveedor],0),999)*1000000+MATCH('15_STOCK'!$N161,{"AGOTADO","CRÍTICO","BAJO"},0)*10000+ROW(),"")</f>
        <v/>
      </c>
      <c r="O161" s="92">
        <v>154</v>
      </c>
      <c r="P161" s="91" t="str">
        <f t="shared" si="11"/>
        <v/>
      </c>
      <c r="Q161" s="91" t="str">
        <f t="shared" si="12"/>
        <v/>
      </c>
      <c r="R161" s="92">
        <v>154</v>
      </c>
      <c r="S161" s="91" t="str">
        <f t="shared" si="13"/>
        <v/>
      </c>
      <c r="T161" s="91" t="str">
        <f t="shared" si="14"/>
        <v/>
      </c>
    </row>
    <row r="162" spans="12:20" x14ac:dyDescent="0.25">
      <c r="L162" s="91" t="str">
        <f>IF(AND(ISNUMBER('15_STOCK'!$P162),'15_STOCK'!$P162&gt;0),'15_STOCK'!$P162+ROW()/1000000,"")</f>
        <v/>
      </c>
      <c r="M162" s="91" t="str">
        <f>IFERROR(MATCH('15_STOCK'!$N162,{"INCONSISTENTE","AGOTADO","CRÍTICO","BAJO","SOBRESTOCK"},0)*100000+MIN(99,INT(IF(N('15_STOCK'!$K162)&gt;0,MAX(0,N('15_STOCK'!$J162))/'15_STOCK'!$K162,0)*10))*1000+ROW(),"")</f>
        <v/>
      </c>
      <c r="N162" s="91" t="str">
        <f>IF(AND(ISNUMBER(MATCH('15_STOCK'!$N162,{"AGOTADO","CRÍTICO","BAJO"},0)),'15_STOCK'!$G162="SI",OR(pdProveedor="(Todos)",pdProveedor="",'15_STOCK'!$E162=pdProveedor)),IFERROR(MATCH('15_STOCK'!$E162,tblProveedores[Proveedor],0),999)*1000000+MATCH('15_STOCK'!$N162,{"AGOTADO","CRÍTICO","BAJO"},0)*10000+ROW(),"")</f>
        <v/>
      </c>
      <c r="O162" s="92">
        <v>155</v>
      </c>
      <c r="P162" s="91" t="str">
        <f t="shared" si="11"/>
        <v/>
      </c>
      <c r="Q162" s="91" t="str">
        <f t="shared" si="12"/>
        <v/>
      </c>
      <c r="R162" s="92">
        <v>155</v>
      </c>
      <c r="S162" s="91" t="str">
        <f t="shared" si="13"/>
        <v/>
      </c>
      <c r="T162" s="91" t="str">
        <f t="shared" si="14"/>
        <v/>
      </c>
    </row>
    <row r="163" spans="12:20" x14ac:dyDescent="0.25">
      <c r="L163" s="91" t="str">
        <f>IF(AND(ISNUMBER('15_STOCK'!$P163),'15_STOCK'!$P163&gt;0),'15_STOCK'!$P163+ROW()/1000000,"")</f>
        <v/>
      </c>
      <c r="M163" s="91" t="str">
        <f>IFERROR(MATCH('15_STOCK'!$N163,{"INCONSISTENTE","AGOTADO","CRÍTICO","BAJO","SOBRESTOCK"},0)*100000+MIN(99,INT(IF(N('15_STOCK'!$K163)&gt;0,MAX(0,N('15_STOCK'!$J163))/'15_STOCK'!$K163,0)*10))*1000+ROW(),"")</f>
        <v/>
      </c>
      <c r="N163" s="91" t="str">
        <f>IF(AND(ISNUMBER(MATCH('15_STOCK'!$N163,{"AGOTADO","CRÍTICO","BAJO"},0)),'15_STOCK'!$G163="SI",OR(pdProveedor="(Todos)",pdProveedor="",'15_STOCK'!$E163=pdProveedor)),IFERROR(MATCH('15_STOCK'!$E163,tblProveedores[Proveedor],0),999)*1000000+MATCH('15_STOCK'!$N163,{"AGOTADO","CRÍTICO","BAJO"},0)*10000+ROW(),"")</f>
        <v/>
      </c>
      <c r="O163" s="92">
        <v>156</v>
      </c>
      <c r="P163" s="91" t="str">
        <f t="shared" si="11"/>
        <v/>
      </c>
      <c r="Q163" s="91" t="str">
        <f t="shared" si="12"/>
        <v/>
      </c>
      <c r="R163" s="92">
        <v>156</v>
      </c>
      <c r="S163" s="91" t="str">
        <f t="shared" si="13"/>
        <v/>
      </c>
      <c r="T163" s="91" t="str">
        <f t="shared" si="14"/>
        <v/>
      </c>
    </row>
    <row r="164" spans="12:20" x14ac:dyDescent="0.25">
      <c r="L164" s="91" t="str">
        <f>IF(AND(ISNUMBER('15_STOCK'!$P164),'15_STOCK'!$P164&gt;0),'15_STOCK'!$P164+ROW()/1000000,"")</f>
        <v/>
      </c>
      <c r="M164" s="91" t="str">
        <f>IFERROR(MATCH('15_STOCK'!$N164,{"INCONSISTENTE","AGOTADO","CRÍTICO","BAJO","SOBRESTOCK"},0)*100000+MIN(99,INT(IF(N('15_STOCK'!$K164)&gt;0,MAX(0,N('15_STOCK'!$J164))/'15_STOCK'!$K164,0)*10))*1000+ROW(),"")</f>
        <v/>
      </c>
      <c r="N164" s="91" t="str">
        <f>IF(AND(ISNUMBER(MATCH('15_STOCK'!$N164,{"AGOTADO","CRÍTICO","BAJO"},0)),'15_STOCK'!$G164="SI",OR(pdProveedor="(Todos)",pdProveedor="",'15_STOCK'!$E164=pdProveedor)),IFERROR(MATCH('15_STOCK'!$E164,tblProveedores[Proveedor],0),999)*1000000+MATCH('15_STOCK'!$N164,{"AGOTADO","CRÍTICO","BAJO"},0)*10000+ROW(),"")</f>
        <v/>
      </c>
      <c r="O164" s="92">
        <v>157</v>
      </c>
      <c r="P164" s="91" t="str">
        <f t="shared" si="11"/>
        <v/>
      </c>
      <c r="Q164" s="91" t="str">
        <f t="shared" si="12"/>
        <v/>
      </c>
      <c r="R164" s="92">
        <v>157</v>
      </c>
      <c r="S164" s="91" t="str">
        <f t="shared" si="13"/>
        <v/>
      </c>
      <c r="T164" s="91" t="str">
        <f t="shared" si="14"/>
        <v/>
      </c>
    </row>
    <row r="165" spans="12:20" x14ac:dyDescent="0.25">
      <c r="L165" s="91" t="str">
        <f>IF(AND(ISNUMBER('15_STOCK'!$P165),'15_STOCK'!$P165&gt;0),'15_STOCK'!$P165+ROW()/1000000,"")</f>
        <v/>
      </c>
      <c r="M165" s="91" t="str">
        <f>IFERROR(MATCH('15_STOCK'!$N165,{"INCONSISTENTE","AGOTADO","CRÍTICO","BAJO","SOBRESTOCK"},0)*100000+MIN(99,INT(IF(N('15_STOCK'!$K165)&gt;0,MAX(0,N('15_STOCK'!$J165))/'15_STOCK'!$K165,0)*10))*1000+ROW(),"")</f>
        <v/>
      </c>
      <c r="N165" s="91" t="str">
        <f>IF(AND(ISNUMBER(MATCH('15_STOCK'!$N165,{"AGOTADO","CRÍTICO","BAJO"},0)),'15_STOCK'!$G165="SI",OR(pdProveedor="(Todos)",pdProveedor="",'15_STOCK'!$E165=pdProveedor)),IFERROR(MATCH('15_STOCK'!$E165,tblProveedores[Proveedor],0),999)*1000000+MATCH('15_STOCK'!$N165,{"AGOTADO","CRÍTICO","BAJO"},0)*10000+ROW(),"")</f>
        <v/>
      </c>
      <c r="O165" s="92">
        <v>158</v>
      </c>
      <c r="P165" s="91" t="str">
        <f t="shared" si="11"/>
        <v/>
      </c>
      <c r="Q165" s="91" t="str">
        <f t="shared" si="12"/>
        <v/>
      </c>
      <c r="R165" s="92">
        <v>158</v>
      </c>
      <c r="S165" s="91" t="str">
        <f t="shared" si="13"/>
        <v/>
      </c>
      <c r="T165" s="91" t="str">
        <f t="shared" si="14"/>
        <v/>
      </c>
    </row>
    <row r="166" spans="12:20" x14ac:dyDescent="0.25">
      <c r="L166" s="91" t="str">
        <f>IF(AND(ISNUMBER('15_STOCK'!$P166),'15_STOCK'!$P166&gt;0),'15_STOCK'!$P166+ROW()/1000000,"")</f>
        <v/>
      </c>
      <c r="M166" s="91" t="str">
        <f>IFERROR(MATCH('15_STOCK'!$N166,{"INCONSISTENTE","AGOTADO","CRÍTICO","BAJO","SOBRESTOCK"},0)*100000+MIN(99,INT(IF(N('15_STOCK'!$K166)&gt;0,MAX(0,N('15_STOCK'!$J166))/'15_STOCK'!$K166,0)*10))*1000+ROW(),"")</f>
        <v/>
      </c>
      <c r="N166" s="91" t="str">
        <f>IF(AND(ISNUMBER(MATCH('15_STOCK'!$N166,{"AGOTADO","CRÍTICO","BAJO"},0)),'15_STOCK'!$G166="SI",OR(pdProveedor="(Todos)",pdProveedor="",'15_STOCK'!$E166=pdProveedor)),IFERROR(MATCH('15_STOCK'!$E166,tblProveedores[Proveedor],0),999)*1000000+MATCH('15_STOCK'!$N166,{"AGOTADO","CRÍTICO","BAJO"},0)*10000+ROW(),"")</f>
        <v/>
      </c>
      <c r="O166" s="92">
        <v>159</v>
      </c>
      <c r="P166" s="91" t="str">
        <f t="shared" si="11"/>
        <v/>
      </c>
      <c r="Q166" s="91" t="str">
        <f t="shared" si="12"/>
        <v/>
      </c>
      <c r="R166" s="92">
        <v>159</v>
      </c>
      <c r="S166" s="91" t="str">
        <f t="shared" si="13"/>
        <v/>
      </c>
      <c r="T166" s="91" t="str">
        <f t="shared" si="14"/>
        <v/>
      </c>
    </row>
    <row r="167" spans="12:20" x14ac:dyDescent="0.25">
      <c r="L167" s="91" t="str">
        <f>IF(AND(ISNUMBER('15_STOCK'!$P167),'15_STOCK'!$P167&gt;0),'15_STOCK'!$P167+ROW()/1000000,"")</f>
        <v/>
      </c>
      <c r="M167" s="91" t="str">
        <f>IFERROR(MATCH('15_STOCK'!$N167,{"INCONSISTENTE","AGOTADO","CRÍTICO","BAJO","SOBRESTOCK"},0)*100000+MIN(99,INT(IF(N('15_STOCK'!$K167)&gt;0,MAX(0,N('15_STOCK'!$J167))/'15_STOCK'!$K167,0)*10))*1000+ROW(),"")</f>
        <v/>
      </c>
      <c r="N167" s="91" t="str">
        <f>IF(AND(ISNUMBER(MATCH('15_STOCK'!$N167,{"AGOTADO","CRÍTICO","BAJO"},0)),'15_STOCK'!$G167="SI",OR(pdProveedor="(Todos)",pdProveedor="",'15_STOCK'!$E167=pdProveedor)),IFERROR(MATCH('15_STOCK'!$E167,tblProveedores[Proveedor],0),999)*1000000+MATCH('15_STOCK'!$N167,{"AGOTADO","CRÍTICO","BAJO"},0)*10000+ROW(),"")</f>
        <v/>
      </c>
      <c r="O167" s="92">
        <v>160</v>
      </c>
      <c r="P167" s="91" t="str">
        <f t="shared" si="11"/>
        <v/>
      </c>
      <c r="Q167" s="91" t="str">
        <f t="shared" si="12"/>
        <v/>
      </c>
      <c r="R167" s="92">
        <v>160</v>
      </c>
      <c r="S167" s="91" t="str">
        <f t="shared" si="13"/>
        <v/>
      </c>
      <c r="T167" s="91" t="str">
        <f t="shared" si="14"/>
        <v/>
      </c>
    </row>
    <row r="168" spans="12:20" x14ac:dyDescent="0.25">
      <c r="L168" s="91" t="str">
        <f>IF(AND(ISNUMBER('15_STOCK'!$P168),'15_STOCK'!$P168&gt;0),'15_STOCK'!$P168+ROW()/1000000,"")</f>
        <v/>
      </c>
      <c r="M168" s="91" t="str">
        <f>IFERROR(MATCH('15_STOCK'!$N168,{"INCONSISTENTE","AGOTADO","CRÍTICO","BAJO","SOBRESTOCK"},0)*100000+MIN(99,INT(IF(N('15_STOCK'!$K168)&gt;0,MAX(0,N('15_STOCK'!$J168))/'15_STOCK'!$K168,0)*10))*1000+ROW(),"")</f>
        <v/>
      </c>
      <c r="N168" s="91" t="str">
        <f>IF(AND(ISNUMBER(MATCH('15_STOCK'!$N168,{"AGOTADO","CRÍTICO","BAJO"},0)),'15_STOCK'!$G168="SI",OR(pdProveedor="(Todos)",pdProveedor="",'15_STOCK'!$E168=pdProveedor)),IFERROR(MATCH('15_STOCK'!$E168,tblProveedores[Proveedor],0),999)*1000000+MATCH('15_STOCK'!$N168,{"AGOTADO","CRÍTICO","BAJO"},0)*10000+ROW(),"")</f>
        <v/>
      </c>
      <c r="O168" s="92">
        <v>161</v>
      </c>
      <c r="P168" s="91" t="str">
        <f t="shared" si="11"/>
        <v/>
      </c>
      <c r="Q168" s="91" t="str">
        <f t="shared" si="12"/>
        <v/>
      </c>
      <c r="R168" s="92">
        <v>161</v>
      </c>
      <c r="S168" s="91" t="str">
        <f t="shared" si="13"/>
        <v/>
      </c>
      <c r="T168" s="91" t="str">
        <f t="shared" si="14"/>
        <v/>
      </c>
    </row>
    <row r="169" spans="12:20" x14ac:dyDescent="0.25">
      <c r="L169" s="91" t="str">
        <f>IF(AND(ISNUMBER('15_STOCK'!$P169),'15_STOCK'!$P169&gt;0),'15_STOCK'!$P169+ROW()/1000000,"")</f>
        <v/>
      </c>
      <c r="M169" s="91" t="str">
        <f>IFERROR(MATCH('15_STOCK'!$N169,{"INCONSISTENTE","AGOTADO","CRÍTICO","BAJO","SOBRESTOCK"},0)*100000+MIN(99,INT(IF(N('15_STOCK'!$K169)&gt;0,MAX(0,N('15_STOCK'!$J169))/'15_STOCK'!$K169,0)*10))*1000+ROW(),"")</f>
        <v/>
      </c>
      <c r="N169" s="91" t="str">
        <f>IF(AND(ISNUMBER(MATCH('15_STOCK'!$N169,{"AGOTADO","CRÍTICO","BAJO"},0)),'15_STOCK'!$G169="SI",OR(pdProveedor="(Todos)",pdProveedor="",'15_STOCK'!$E169=pdProveedor)),IFERROR(MATCH('15_STOCK'!$E169,tblProveedores[Proveedor],0),999)*1000000+MATCH('15_STOCK'!$N169,{"AGOTADO","CRÍTICO","BAJO"},0)*10000+ROW(),"")</f>
        <v/>
      </c>
      <c r="O169" s="92">
        <v>162</v>
      </c>
      <c r="P169" s="91" t="str">
        <f t="shared" si="11"/>
        <v/>
      </c>
      <c r="Q169" s="91" t="str">
        <f t="shared" si="12"/>
        <v/>
      </c>
      <c r="R169" s="92">
        <v>162</v>
      </c>
      <c r="S169" s="91" t="str">
        <f t="shared" si="13"/>
        <v/>
      </c>
      <c r="T169" s="91" t="str">
        <f t="shared" si="14"/>
        <v/>
      </c>
    </row>
    <row r="170" spans="12:20" x14ac:dyDescent="0.25">
      <c r="L170" s="91" t="str">
        <f>IF(AND(ISNUMBER('15_STOCK'!$P170),'15_STOCK'!$P170&gt;0),'15_STOCK'!$P170+ROW()/1000000,"")</f>
        <v/>
      </c>
      <c r="M170" s="91" t="str">
        <f>IFERROR(MATCH('15_STOCK'!$N170,{"INCONSISTENTE","AGOTADO","CRÍTICO","BAJO","SOBRESTOCK"},0)*100000+MIN(99,INT(IF(N('15_STOCK'!$K170)&gt;0,MAX(0,N('15_STOCK'!$J170))/'15_STOCK'!$K170,0)*10))*1000+ROW(),"")</f>
        <v/>
      </c>
      <c r="N170" s="91" t="str">
        <f>IF(AND(ISNUMBER(MATCH('15_STOCK'!$N170,{"AGOTADO","CRÍTICO","BAJO"},0)),'15_STOCK'!$G170="SI",OR(pdProveedor="(Todos)",pdProveedor="",'15_STOCK'!$E170=pdProveedor)),IFERROR(MATCH('15_STOCK'!$E170,tblProveedores[Proveedor],0),999)*1000000+MATCH('15_STOCK'!$N170,{"AGOTADO","CRÍTICO","BAJO"},0)*10000+ROW(),"")</f>
        <v/>
      </c>
      <c r="O170" s="92">
        <v>163</v>
      </c>
      <c r="P170" s="91" t="str">
        <f t="shared" si="11"/>
        <v/>
      </c>
      <c r="Q170" s="91" t="str">
        <f t="shared" si="12"/>
        <v/>
      </c>
      <c r="R170" s="92">
        <v>163</v>
      </c>
      <c r="S170" s="91" t="str">
        <f t="shared" si="13"/>
        <v/>
      </c>
      <c r="T170" s="91" t="str">
        <f t="shared" si="14"/>
        <v/>
      </c>
    </row>
    <row r="171" spans="12:20" x14ac:dyDescent="0.25">
      <c r="L171" s="91" t="str">
        <f>IF(AND(ISNUMBER('15_STOCK'!$P171),'15_STOCK'!$P171&gt;0),'15_STOCK'!$P171+ROW()/1000000,"")</f>
        <v/>
      </c>
      <c r="M171" s="91" t="str">
        <f>IFERROR(MATCH('15_STOCK'!$N171,{"INCONSISTENTE","AGOTADO","CRÍTICO","BAJO","SOBRESTOCK"},0)*100000+MIN(99,INT(IF(N('15_STOCK'!$K171)&gt;0,MAX(0,N('15_STOCK'!$J171))/'15_STOCK'!$K171,0)*10))*1000+ROW(),"")</f>
        <v/>
      </c>
      <c r="N171" s="91" t="str">
        <f>IF(AND(ISNUMBER(MATCH('15_STOCK'!$N171,{"AGOTADO","CRÍTICO","BAJO"},0)),'15_STOCK'!$G171="SI",OR(pdProveedor="(Todos)",pdProveedor="",'15_STOCK'!$E171=pdProveedor)),IFERROR(MATCH('15_STOCK'!$E171,tblProveedores[Proveedor],0),999)*1000000+MATCH('15_STOCK'!$N171,{"AGOTADO","CRÍTICO","BAJO"},0)*10000+ROW(),"")</f>
        <v/>
      </c>
      <c r="O171" s="92">
        <v>164</v>
      </c>
      <c r="P171" s="91" t="str">
        <f t="shared" si="11"/>
        <v/>
      </c>
      <c r="Q171" s="91" t="str">
        <f t="shared" si="12"/>
        <v/>
      </c>
      <c r="R171" s="92">
        <v>164</v>
      </c>
      <c r="S171" s="91" t="str">
        <f t="shared" si="13"/>
        <v/>
      </c>
      <c r="T171" s="91" t="str">
        <f t="shared" si="14"/>
        <v/>
      </c>
    </row>
    <row r="172" spans="12:20" x14ac:dyDescent="0.25">
      <c r="L172" s="91" t="str">
        <f>IF(AND(ISNUMBER('15_STOCK'!$P172),'15_STOCK'!$P172&gt;0),'15_STOCK'!$P172+ROW()/1000000,"")</f>
        <v/>
      </c>
      <c r="M172" s="91" t="str">
        <f>IFERROR(MATCH('15_STOCK'!$N172,{"INCONSISTENTE","AGOTADO","CRÍTICO","BAJO","SOBRESTOCK"},0)*100000+MIN(99,INT(IF(N('15_STOCK'!$K172)&gt;0,MAX(0,N('15_STOCK'!$J172))/'15_STOCK'!$K172,0)*10))*1000+ROW(),"")</f>
        <v/>
      </c>
      <c r="N172" s="91" t="str">
        <f>IF(AND(ISNUMBER(MATCH('15_STOCK'!$N172,{"AGOTADO","CRÍTICO","BAJO"},0)),'15_STOCK'!$G172="SI",OR(pdProveedor="(Todos)",pdProveedor="",'15_STOCK'!$E172=pdProveedor)),IFERROR(MATCH('15_STOCK'!$E172,tblProveedores[Proveedor],0),999)*1000000+MATCH('15_STOCK'!$N172,{"AGOTADO","CRÍTICO","BAJO"},0)*10000+ROW(),"")</f>
        <v/>
      </c>
      <c r="O172" s="92">
        <v>165</v>
      </c>
      <c r="P172" s="91" t="str">
        <f t="shared" si="11"/>
        <v/>
      </c>
      <c r="Q172" s="91" t="str">
        <f t="shared" si="12"/>
        <v/>
      </c>
      <c r="R172" s="92">
        <v>165</v>
      </c>
      <c r="S172" s="91" t="str">
        <f t="shared" si="13"/>
        <v/>
      </c>
      <c r="T172" s="91" t="str">
        <f t="shared" si="14"/>
        <v/>
      </c>
    </row>
    <row r="173" spans="12:20" x14ac:dyDescent="0.25">
      <c r="L173" s="91" t="str">
        <f>IF(AND(ISNUMBER('15_STOCK'!$P173),'15_STOCK'!$P173&gt;0),'15_STOCK'!$P173+ROW()/1000000,"")</f>
        <v/>
      </c>
      <c r="M173" s="91" t="str">
        <f>IFERROR(MATCH('15_STOCK'!$N173,{"INCONSISTENTE","AGOTADO","CRÍTICO","BAJO","SOBRESTOCK"},0)*100000+MIN(99,INT(IF(N('15_STOCK'!$K173)&gt;0,MAX(0,N('15_STOCK'!$J173))/'15_STOCK'!$K173,0)*10))*1000+ROW(),"")</f>
        <v/>
      </c>
      <c r="N173" s="91" t="str">
        <f>IF(AND(ISNUMBER(MATCH('15_STOCK'!$N173,{"AGOTADO","CRÍTICO","BAJO"},0)),'15_STOCK'!$G173="SI",OR(pdProveedor="(Todos)",pdProveedor="",'15_STOCK'!$E173=pdProveedor)),IFERROR(MATCH('15_STOCK'!$E173,tblProveedores[Proveedor],0),999)*1000000+MATCH('15_STOCK'!$N173,{"AGOTADO","CRÍTICO","BAJO"},0)*10000+ROW(),"")</f>
        <v/>
      </c>
      <c r="O173" s="92">
        <v>166</v>
      </c>
      <c r="P173" s="91" t="str">
        <f t="shared" si="11"/>
        <v/>
      </c>
      <c r="Q173" s="91" t="str">
        <f t="shared" si="12"/>
        <v/>
      </c>
      <c r="R173" s="92">
        <v>166</v>
      </c>
      <c r="S173" s="91" t="str">
        <f t="shared" si="13"/>
        <v/>
      </c>
      <c r="T173" s="91" t="str">
        <f t="shared" si="14"/>
        <v/>
      </c>
    </row>
    <row r="174" spans="12:20" x14ac:dyDescent="0.25">
      <c r="L174" s="91" t="str">
        <f>IF(AND(ISNUMBER('15_STOCK'!$P174),'15_STOCK'!$P174&gt;0),'15_STOCK'!$P174+ROW()/1000000,"")</f>
        <v/>
      </c>
      <c r="M174" s="91" t="str">
        <f>IFERROR(MATCH('15_STOCK'!$N174,{"INCONSISTENTE","AGOTADO","CRÍTICO","BAJO","SOBRESTOCK"},0)*100000+MIN(99,INT(IF(N('15_STOCK'!$K174)&gt;0,MAX(0,N('15_STOCK'!$J174))/'15_STOCK'!$K174,0)*10))*1000+ROW(),"")</f>
        <v/>
      </c>
      <c r="N174" s="91" t="str">
        <f>IF(AND(ISNUMBER(MATCH('15_STOCK'!$N174,{"AGOTADO","CRÍTICO","BAJO"},0)),'15_STOCK'!$G174="SI",OR(pdProveedor="(Todos)",pdProveedor="",'15_STOCK'!$E174=pdProveedor)),IFERROR(MATCH('15_STOCK'!$E174,tblProveedores[Proveedor],0),999)*1000000+MATCH('15_STOCK'!$N174,{"AGOTADO","CRÍTICO","BAJO"},0)*10000+ROW(),"")</f>
        <v/>
      </c>
      <c r="O174" s="92">
        <v>167</v>
      </c>
      <c r="P174" s="91" t="str">
        <f t="shared" si="11"/>
        <v/>
      </c>
      <c r="Q174" s="91" t="str">
        <f t="shared" si="12"/>
        <v/>
      </c>
      <c r="R174" s="92">
        <v>167</v>
      </c>
      <c r="S174" s="91" t="str">
        <f t="shared" si="13"/>
        <v/>
      </c>
      <c r="T174" s="91" t="str">
        <f t="shared" si="14"/>
        <v/>
      </c>
    </row>
    <row r="175" spans="12:20" x14ac:dyDescent="0.25">
      <c r="L175" s="91" t="str">
        <f>IF(AND(ISNUMBER('15_STOCK'!$P175),'15_STOCK'!$P175&gt;0),'15_STOCK'!$P175+ROW()/1000000,"")</f>
        <v/>
      </c>
      <c r="M175" s="91" t="str">
        <f>IFERROR(MATCH('15_STOCK'!$N175,{"INCONSISTENTE","AGOTADO","CRÍTICO","BAJO","SOBRESTOCK"},0)*100000+MIN(99,INT(IF(N('15_STOCK'!$K175)&gt;0,MAX(0,N('15_STOCK'!$J175))/'15_STOCK'!$K175,0)*10))*1000+ROW(),"")</f>
        <v/>
      </c>
      <c r="N175" s="91" t="str">
        <f>IF(AND(ISNUMBER(MATCH('15_STOCK'!$N175,{"AGOTADO","CRÍTICO","BAJO"},0)),'15_STOCK'!$G175="SI",OR(pdProveedor="(Todos)",pdProveedor="",'15_STOCK'!$E175=pdProveedor)),IFERROR(MATCH('15_STOCK'!$E175,tblProveedores[Proveedor],0),999)*1000000+MATCH('15_STOCK'!$N175,{"AGOTADO","CRÍTICO","BAJO"},0)*10000+ROW(),"")</f>
        <v/>
      </c>
      <c r="O175" s="92">
        <v>168</v>
      </c>
      <c r="P175" s="91" t="str">
        <f t="shared" si="11"/>
        <v/>
      </c>
      <c r="Q175" s="91" t="str">
        <f t="shared" si="12"/>
        <v/>
      </c>
      <c r="R175" s="92">
        <v>168</v>
      </c>
      <c r="S175" s="91" t="str">
        <f t="shared" si="13"/>
        <v/>
      </c>
      <c r="T175" s="91" t="str">
        <f t="shared" si="14"/>
        <v/>
      </c>
    </row>
    <row r="176" spans="12:20" x14ac:dyDescent="0.25">
      <c r="L176" s="91" t="str">
        <f>IF(AND(ISNUMBER('15_STOCK'!$P176),'15_STOCK'!$P176&gt;0),'15_STOCK'!$P176+ROW()/1000000,"")</f>
        <v/>
      </c>
      <c r="M176" s="91" t="str">
        <f>IFERROR(MATCH('15_STOCK'!$N176,{"INCONSISTENTE","AGOTADO","CRÍTICO","BAJO","SOBRESTOCK"},0)*100000+MIN(99,INT(IF(N('15_STOCK'!$K176)&gt;0,MAX(0,N('15_STOCK'!$J176))/'15_STOCK'!$K176,0)*10))*1000+ROW(),"")</f>
        <v/>
      </c>
      <c r="N176" s="91" t="str">
        <f>IF(AND(ISNUMBER(MATCH('15_STOCK'!$N176,{"AGOTADO","CRÍTICO","BAJO"},0)),'15_STOCK'!$G176="SI",OR(pdProveedor="(Todos)",pdProveedor="",'15_STOCK'!$E176=pdProveedor)),IFERROR(MATCH('15_STOCK'!$E176,tblProveedores[Proveedor],0),999)*1000000+MATCH('15_STOCK'!$N176,{"AGOTADO","CRÍTICO","BAJO"},0)*10000+ROW(),"")</f>
        <v/>
      </c>
      <c r="O176" s="92">
        <v>169</v>
      </c>
      <c r="P176" s="91" t="str">
        <f t="shared" si="11"/>
        <v/>
      </c>
      <c r="Q176" s="91" t="str">
        <f t="shared" si="12"/>
        <v/>
      </c>
      <c r="R176" s="92">
        <v>169</v>
      </c>
      <c r="S176" s="91" t="str">
        <f t="shared" si="13"/>
        <v/>
      </c>
      <c r="T176" s="91" t="str">
        <f t="shared" si="14"/>
        <v/>
      </c>
    </row>
    <row r="177" spans="12:20" x14ac:dyDescent="0.25">
      <c r="L177" s="91" t="str">
        <f>IF(AND(ISNUMBER('15_STOCK'!$P177),'15_STOCK'!$P177&gt;0),'15_STOCK'!$P177+ROW()/1000000,"")</f>
        <v/>
      </c>
      <c r="M177" s="91" t="str">
        <f>IFERROR(MATCH('15_STOCK'!$N177,{"INCONSISTENTE","AGOTADO","CRÍTICO","BAJO","SOBRESTOCK"},0)*100000+MIN(99,INT(IF(N('15_STOCK'!$K177)&gt;0,MAX(0,N('15_STOCK'!$J177))/'15_STOCK'!$K177,0)*10))*1000+ROW(),"")</f>
        <v/>
      </c>
      <c r="N177" s="91" t="str">
        <f>IF(AND(ISNUMBER(MATCH('15_STOCK'!$N177,{"AGOTADO","CRÍTICO","BAJO"},0)),'15_STOCK'!$G177="SI",OR(pdProveedor="(Todos)",pdProveedor="",'15_STOCK'!$E177=pdProveedor)),IFERROR(MATCH('15_STOCK'!$E177,tblProveedores[Proveedor],0),999)*1000000+MATCH('15_STOCK'!$N177,{"AGOTADO","CRÍTICO","BAJO"},0)*10000+ROW(),"")</f>
        <v/>
      </c>
      <c r="O177" s="92">
        <v>170</v>
      </c>
      <c r="P177" s="91" t="str">
        <f t="shared" si="11"/>
        <v/>
      </c>
      <c r="Q177" s="91" t="str">
        <f t="shared" si="12"/>
        <v/>
      </c>
      <c r="R177" s="92">
        <v>170</v>
      </c>
      <c r="S177" s="91" t="str">
        <f t="shared" si="13"/>
        <v/>
      </c>
      <c r="T177" s="91" t="str">
        <f t="shared" si="14"/>
        <v/>
      </c>
    </row>
    <row r="178" spans="12:20" x14ac:dyDescent="0.25">
      <c r="L178" s="91" t="str">
        <f>IF(AND(ISNUMBER('15_STOCK'!$P178),'15_STOCK'!$P178&gt;0),'15_STOCK'!$P178+ROW()/1000000,"")</f>
        <v/>
      </c>
      <c r="M178" s="91" t="str">
        <f>IFERROR(MATCH('15_STOCK'!$N178,{"INCONSISTENTE","AGOTADO","CRÍTICO","BAJO","SOBRESTOCK"},0)*100000+MIN(99,INT(IF(N('15_STOCK'!$K178)&gt;0,MAX(0,N('15_STOCK'!$J178))/'15_STOCK'!$K178,0)*10))*1000+ROW(),"")</f>
        <v/>
      </c>
      <c r="N178" s="91" t="str">
        <f>IF(AND(ISNUMBER(MATCH('15_STOCK'!$N178,{"AGOTADO","CRÍTICO","BAJO"},0)),'15_STOCK'!$G178="SI",OR(pdProveedor="(Todos)",pdProveedor="",'15_STOCK'!$E178=pdProveedor)),IFERROR(MATCH('15_STOCK'!$E178,tblProveedores[Proveedor],0),999)*1000000+MATCH('15_STOCK'!$N178,{"AGOTADO","CRÍTICO","BAJO"},0)*10000+ROW(),"")</f>
        <v/>
      </c>
      <c r="O178" s="92">
        <v>171</v>
      </c>
      <c r="P178" s="91" t="str">
        <f t="shared" si="11"/>
        <v/>
      </c>
      <c r="Q178" s="91" t="str">
        <f t="shared" si="12"/>
        <v/>
      </c>
      <c r="R178" s="92">
        <v>171</v>
      </c>
      <c r="S178" s="91" t="str">
        <f t="shared" si="13"/>
        <v/>
      </c>
      <c r="T178" s="91" t="str">
        <f t="shared" si="14"/>
        <v/>
      </c>
    </row>
    <row r="179" spans="12:20" x14ac:dyDescent="0.25">
      <c r="L179" s="91" t="str">
        <f>IF(AND(ISNUMBER('15_STOCK'!$P179),'15_STOCK'!$P179&gt;0),'15_STOCK'!$P179+ROW()/1000000,"")</f>
        <v/>
      </c>
      <c r="M179" s="91" t="str">
        <f>IFERROR(MATCH('15_STOCK'!$N179,{"INCONSISTENTE","AGOTADO","CRÍTICO","BAJO","SOBRESTOCK"},0)*100000+MIN(99,INT(IF(N('15_STOCK'!$K179)&gt;0,MAX(0,N('15_STOCK'!$J179))/'15_STOCK'!$K179,0)*10))*1000+ROW(),"")</f>
        <v/>
      </c>
      <c r="N179" s="91" t="str">
        <f>IF(AND(ISNUMBER(MATCH('15_STOCK'!$N179,{"AGOTADO","CRÍTICO","BAJO"},0)),'15_STOCK'!$G179="SI",OR(pdProveedor="(Todos)",pdProveedor="",'15_STOCK'!$E179=pdProveedor)),IFERROR(MATCH('15_STOCK'!$E179,tblProveedores[Proveedor],0),999)*1000000+MATCH('15_STOCK'!$N179,{"AGOTADO","CRÍTICO","BAJO"},0)*10000+ROW(),"")</f>
        <v/>
      </c>
      <c r="O179" s="92">
        <v>172</v>
      </c>
      <c r="P179" s="91" t="str">
        <f t="shared" si="11"/>
        <v/>
      </c>
      <c r="Q179" s="91" t="str">
        <f t="shared" si="12"/>
        <v/>
      </c>
      <c r="R179" s="92">
        <v>172</v>
      </c>
      <c r="S179" s="91" t="str">
        <f t="shared" si="13"/>
        <v/>
      </c>
      <c r="T179" s="91" t="str">
        <f t="shared" si="14"/>
        <v/>
      </c>
    </row>
    <row r="180" spans="12:20" x14ac:dyDescent="0.25">
      <c r="L180" s="91" t="str">
        <f>IF(AND(ISNUMBER('15_STOCK'!$P180),'15_STOCK'!$P180&gt;0),'15_STOCK'!$P180+ROW()/1000000,"")</f>
        <v/>
      </c>
      <c r="M180" s="91" t="str">
        <f>IFERROR(MATCH('15_STOCK'!$N180,{"INCONSISTENTE","AGOTADO","CRÍTICO","BAJO","SOBRESTOCK"},0)*100000+MIN(99,INT(IF(N('15_STOCK'!$K180)&gt;0,MAX(0,N('15_STOCK'!$J180))/'15_STOCK'!$K180,0)*10))*1000+ROW(),"")</f>
        <v/>
      </c>
      <c r="N180" s="91" t="str">
        <f>IF(AND(ISNUMBER(MATCH('15_STOCK'!$N180,{"AGOTADO","CRÍTICO","BAJO"},0)),'15_STOCK'!$G180="SI",OR(pdProveedor="(Todos)",pdProveedor="",'15_STOCK'!$E180=pdProveedor)),IFERROR(MATCH('15_STOCK'!$E180,tblProveedores[Proveedor],0),999)*1000000+MATCH('15_STOCK'!$N180,{"AGOTADO","CRÍTICO","BAJO"},0)*10000+ROW(),"")</f>
        <v/>
      </c>
      <c r="O180" s="92">
        <v>173</v>
      </c>
      <c r="P180" s="91" t="str">
        <f t="shared" si="11"/>
        <v/>
      </c>
      <c r="Q180" s="91" t="str">
        <f t="shared" si="12"/>
        <v/>
      </c>
      <c r="R180" s="92">
        <v>173</v>
      </c>
      <c r="S180" s="91" t="str">
        <f t="shared" si="13"/>
        <v/>
      </c>
      <c r="T180" s="91" t="str">
        <f t="shared" si="14"/>
        <v/>
      </c>
    </row>
    <row r="181" spans="12:20" x14ac:dyDescent="0.25">
      <c r="L181" s="91" t="str">
        <f>IF(AND(ISNUMBER('15_STOCK'!$P181),'15_STOCK'!$P181&gt;0),'15_STOCK'!$P181+ROW()/1000000,"")</f>
        <v/>
      </c>
      <c r="M181" s="91" t="str">
        <f>IFERROR(MATCH('15_STOCK'!$N181,{"INCONSISTENTE","AGOTADO","CRÍTICO","BAJO","SOBRESTOCK"},0)*100000+MIN(99,INT(IF(N('15_STOCK'!$K181)&gt;0,MAX(0,N('15_STOCK'!$J181))/'15_STOCK'!$K181,0)*10))*1000+ROW(),"")</f>
        <v/>
      </c>
      <c r="N181" s="91" t="str">
        <f>IF(AND(ISNUMBER(MATCH('15_STOCK'!$N181,{"AGOTADO","CRÍTICO","BAJO"},0)),'15_STOCK'!$G181="SI",OR(pdProveedor="(Todos)",pdProveedor="",'15_STOCK'!$E181=pdProveedor)),IFERROR(MATCH('15_STOCK'!$E181,tblProveedores[Proveedor],0),999)*1000000+MATCH('15_STOCK'!$N181,{"AGOTADO","CRÍTICO","BAJO"},0)*10000+ROW(),"")</f>
        <v/>
      </c>
      <c r="O181" s="92">
        <v>174</v>
      </c>
      <c r="P181" s="91" t="str">
        <f t="shared" si="11"/>
        <v/>
      </c>
      <c r="Q181" s="91" t="str">
        <f t="shared" si="12"/>
        <v/>
      </c>
      <c r="R181" s="92">
        <v>174</v>
      </c>
      <c r="S181" s="91" t="str">
        <f t="shared" si="13"/>
        <v/>
      </c>
      <c r="T181" s="91" t="str">
        <f t="shared" si="14"/>
        <v/>
      </c>
    </row>
    <row r="182" spans="12:20" x14ac:dyDescent="0.25">
      <c r="L182" s="91" t="str">
        <f>IF(AND(ISNUMBER('15_STOCK'!$P182),'15_STOCK'!$P182&gt;0),'15_STOCK'!$P182+ROW()/1000000,"")</f>
        <v/>
      </c>
      <c r="M182" s="91" t="str">
        <f>IFERROR(MATCH('15_STOCK'!$N182,{"INCONSISTENTE","AGOTADO","CRÍTICO","BAJO","SOBRESTOCK"},0)*100000+MIN(99,INT(IF(N('15_STOCK'!$K182)&gt;0,MAX(0,N('15_STOCK'!$J182))/'15_STOCK'!$K182,0)*10))*1000+ROW(),"")</f>
        <v/>
      </c>
      <c r="N182" s="91" t="str">
        <f>IF(AND(ISNUMBER(MATCH('15_STOCK'!$N182,{"AGOTADO","CRÍTICO","BAJO"},0)),'15_STOCK'!$G182="SI",OR(pdProveedor="(Todos)",pdProveedor="",'15_STOCK'!$E182=pdProveedor)),IFERROR(MATCH('15_STOCK'!$E182,tblProveedores[Proveedor],0),999)*1000000+MATCH('15_STOCK'!$N182,{"AGOTADO","CRÍTICO","BAJO"},0)*10000+ROW(),"")</f>
        <v/>
      </c>
      <c r="O182" s="92">
        <v>175</v>
      </c>
      <c r="P182" s="91" t="str">
        <f t="shared" si="11"/>
        <v/>
      </c>
      <c r="Q182" s="91" t="str">
        <f t="shared" si="12"/>
        <v/>
      </c>
      <c r="R182" s="92">
        <v>175</v>
      </c>
      <c r="S182" s="91" t="str">
        <f t="shared" si="13"/>
        <v/>
      </c>
      <c r="T182" s="91" t="str">
        <f t="shared" si="14"/>
        <v/>
      </c>
    </row>
    <row r="183" spans="12:20" x14ac:dyDescent="0.25">
      <c r="L183" s="91" t="str">
        <f>IF(AND(ISNUMBER('15_STOCK'!$P183),'15_STOCK'!$P183&gt;0),'15_STOCK'!$P183+ROW()/1000000,"")</f>
        <v/>
      </c>
      <c r="M183" s="91" t="str">
        <f>IFERROR(MATCH('15_STOCK'!$N183,{"INCONSISTENTE","AGOTADO","CRÍTICO","BAJO","SOBRESTOCK"},0)*100000+MIN(99,INT(IF(N('15_STOCK'!$K183)&gt;0,MAX(0,N('15_STOCK'!$J183))/'15_STOCK'!$K183,0)*10))*1000+ROW(),"")</f>
        <v/>
      </c>
      <c r="N183" s="91" t="str">
        <f>IF(AND(ISNUMBER(MATCH('15_STOCK'!$N183,{"AGOTADO","CRÍTICO","BAJO"},0)),'15_STOCK'!$G183="SI",OR(pdProveedor="(Todos)",pdProveedor="",'15_STOCK'!$E183=pdProveedor)),IFERROR(MATCH('15_STOCK'!$E183,tblProveedores[Proveedor],0),999)*1000000+MATCH('15_STOCK'!$N183,{"AGOTADO","CRÍTICO","BAJO"},0)*10000+ROW(),"")</f>
        <v/>
      </c>
      <c r="O183" s="92">
        <v>176</v>
      </c>
      <c r="P183" s="91" t="str">
        <f t="shared" si="11"/>
        <v/>
      </c>
      <c r="Q183" s="91" t="str">
        <f t="shared" si="12"/>
        <v/>
      </c>
      <c r="R183" s="92">
        <v>176</v>
      </c>
      <c r="S183" s="91" t="str">
        <f t="shared" si="13"/>
        <v/>
      </c>
      <c r="T183" s="91" t="str">
        <f t="shared" si="14"/>
        <v/>
      </c>
    </row>
    <row r="184" spans="12:20" x14ac:dyDescent="0.25">
      <c r="L184" s="91" t="str">
        <f>IF(AND(ISNUMBER('15_STOCK'!$P184),'15_STOCK'!$P184&gt;0),'15_STOCK'!$P184+ROW()/1000000,"")</f>
        <v/>
      </c>
      <c r="M184" s="91" t="str">
        <f>IFERROR(MATCH('15_STOCK'!$N184,{"INCONSISTENTE","AGOTADO","CRÍTICO","BAJO","SOBRESTOCK"},0)*100000+MIN(99,INT(IF(N('15_STOCK'!$K184)&gt;0,MAX(0,N('15_STOCK'!$J184))/'15_STOCK'!$K184,0)*10))*1000+ROW(),"")</f>
        <v/>
      </c>
      <c r="N184" s="91" t="str">
        <f>IF(AND(ISNUMBER(MATCH('15_STOCK'!$N184,{"AGOTADO","CRÍTICO","BAJO"},0)),'15_STOCK'!$G184="SI",OR(pdProveedor="(Todos)",pdProveedor="",'15_STOCK'!$E184=pdProveedor)),IFERROR(MATCH('15_STOCK'!$E184,tblProveedores[Proveedor],0),999)*1000000+MATCH('15_STOCK'!$N184,{"AGOTADO","CRÍTICO","BAJO"},0)*10000+ROW(),"")</f>
        <v/>
      </c>
      <c r="O184" s="92">
        <v>177</v>
      </c>
      <c r="P184" s="91" t="str">
        <f t="shared" si="11"/>
        <v/>
      </c>
      <c r="Q184" s="91" t="str">
        <f t="shared" si="12"/>
        <v/>
      </c>
      <c r="R184" s="92">
        <v>177</v>
      </c>
      <c r="S184" s="91" t="str">
        <f t="shared" si="13"/>
        <v/>
      </c>
      <c r="T184" s="91" t="str">
        <f t="shared" si="14"/>
        <v/>
      </c>
    </row>
    <row r="185" spans="12:20" x14ac:dyDescent="0.25">
      <c r="L185" s="91" t="str">
        <f>IF(AND(ISNUMBER('15_STOCK'!$P185),'15_STOCK'!$P185&gt;0),'15_STOCK'!$P185+ROW()/1000000,"")</f>
        <v/>
      </c>
      <c r="M185" s="91" t="str">
        <f>IFERROR(MATCH('15_STOCK'!$N185,{"INCONSISTENTE","AGOTADO","CRÍTICO","BAJO","SOBRESTOCK"},0)*100000+MIN(99,INT(IF(N('15_STOCK'!$K185)&gt;0,MAX(0,N('15_STOCK'!$J185))/'15_STOCK'!$K185,0)*10))*1000+ROW(),"")</f>
        <v/>
      </c>
      <c r="N185" s="91" t="str">
        <f>IF(AND(ISNUMBER(MATCH('15_STOCK'!$N185,{"AGOTADO","CRÍTICO","BAJO"},0)),'15_STOCK'!$G185="SI",OR(pdProveedor="(Todos)",pdProveedor="",'15_STOCK'!$E185=pdProveedor)),IFERROR(MATCH('15_STOCK'!$E185,tblProveedores[Proveedor],0),999)*1000000+MATCH('15_STOCK'!$N185,{"AGOTADO","CRÍTICO","BAJO"},0)*10000+ROW(),"")</f>
        <v/>
      </c>
      <c r="O185" s="92">
        <v>178</v>
      </c>
      <c r="P185" s="91" t="str">
        <f t="shared" si="11"/>
        <v/>
      </c>
      <c r="Q185" s="91" t="str">
        <f t="shared" si="12"/>
        <v/>
      </c>
      <c r="R185" s="92">
        <v>178</v>
      </c>
      <c r="S185" s="91" t="str">
        <f t="shared" si="13"/>
        <v/>
      </c>
      <c r="T185" s="91" t="str">
        <f t="shared" si="14"/>
        <v/>
      </c>
    </row>
    <row r="186" spans="12:20" x14ac:dyDescent="0.25">
      <c r="L186" s="91" t="str">
        <f>IF(AND(ISNUMBER('15_STOCK'!$P186),'15_STOCK'!$P186&gt;0),'15_STOCK'!$P186+ROW()/1000000,"")</f>
        <v/>
      </c>
      <c r="M186" s="91" t="str">
        <f>IFERROR(MATCH('15_STOCK'!$N186,{"INCONSISTENTE","AGOTADO","CRÍTICO","BAJO","SOBRESTOCK"},0)*100000+MIN(99,INT(IF(N('15_STOCK'!$K186)&gt;0,MAX(0,N('15_STOCK'!$J186))/'15_STOCK'!$K186,0)*10))*1000+ROW(),"")</f>
        <v/>
      </c>
      <c r="N186" s="91" t="str">
        <f>IF(AND(ISNUMBER(MATCH('15_STOCK'!$N186,{"AGOTADO","CRÍTICO","BAJO"},0)),'15_STOCK'!$G186="SI",OR(pdProveedor="(Todos)",pdProveedor="",'15_STOCK'!$E186=pdProveedor)),IFERROR(MATCH('15_STOCK'!$E186,tblProveedores[Proveedor],0),999)*1000000+MATCH('15_STOCK'!$N186,{"AGOTADO","CRÍTICO","BAJO"},0)*10000+ROW(),"")</f>
        <v/>
      </c>
      <c r="O186" s="92">
        <v>179</v>
      </c>
      <c r="P186" s="91" t="str">
        <f t="shared" si="11"/>
        <v/>
      </c>
      <c r="Q186" s="91" t="str">
        <f t="shared" si="12"/>
        <v/>
      </c>
      <c r="R186" s="92">
        <v>179</v>
      </c>
      <c r="S186" s="91" t="str">
        <f t="shared" si="13"/>
        <v/>
      </c>
      <c r="T186" s="91" t="str">
        <f t="shared" si="14"/>
        <v/>
      </c>
    </row>
    <row r="187" spans="12:20" x14ac:dyDescent="0.25">
      <c r="L187" s="91" t="str">
        <f>IF(AND(ISNUMBER('15_STOCK'!$P187),'15_STOCK'!$P187&gt;0),'15_STOCK'!$P187+ROW()/1000000,"")</f>
        <v/>
      </c>
      <c r="M187" s="91" t="str">
        <f>IFERROR(MATCH('15_STOCK'!$N187,{"INCONSISTENTE","AGOTADO","CRÍTICO","BAJO","SOBRESTOCK"},0)*100000+MIN(99,INT(IF(N('15_STOCK'!$K187)&gt;0,MAX(0,N('15_STOCK'!$J187))/'15_STOCK'!$K187,0)*10))*1000+ROW(),"")</f>
        <v/>
      </c>
      <c r="N187" s="91" t="str">
        <f>IF(AND(ISNUMBER(MATCH('15_STOCK'!$N187,{"AGOTADO","CRÍTICO","BAJO"},0)),'15_STOCK'!$G187="SI",OR(pdProveedor="(Todos)",pdProveedor="",'15_STOCK'!$E187=pdProveedor)),IFERROR(MATCH('15_STOCK'!$E187,tblProveedores[Proveedor],0),999)*1000000+MATCH('15_STOCK'!$N187,{"AGOTADO","CRÍTICO","BAJO"},0)*10000+ROW(),"")</f>
        <v/>
      </c>
      <c r="O187" s="92">
        <v>180</v>
      </c>
      <c r="P187" s="91" t="str">
        <f t="shared" si="11"/>
        <v/>
      </c>
      <c r="Q187" s="91" t="str">
        <f t="shared" si="12"/>
        <v/>
      </c>
      <c r="R187" s="92">
        <v>180</v>
      </c>
      <c r="S187" s="91" t="str">
        <f t="shared" si="13"/>
        <v/>
      </c>
      <c r="T187" s="91" t="str">
        <f t="shared" si="14"/>
        <v/>
      </c>
    </row>
    <row r="188" spans="12:20" x14ac:dyDescent="0.25">
      <c r="L188" s="91" t="str">
        <f>IF(AND(ISNUMBER('15_STOCK'!$P188),'15_STOCK'!$P188&gt;0),'15_STOCK'!$P188+ROW()/1000000,"")</f>
        <v/>
      </c>
      <c r="M188" s="91" t="str">
        <f>IFERROR(MATCH('15_STOCK'!$N188,{"INCONSISTENTE","AGOTADO","CRÍTICO","BAJO","SOBRESTOCK"},0)*100000+MIN(99,INT(IF(N('15_STOCK'!$K188)&gt;0,MAX(0,N('15_STOCK'!$J188))/'15_STOCK'!$K188,0)*10))*1000+ROW(),"")</f>
        <v/>
      </c>
      <c r="N188" s="91" t="str">
        <f>IF(AND(ISNUMBER(MATCH('15_STOCK'!$N188,{"AGOTADO","CRÍTICO","BAJO"},0)),'15_STOCK'!$G188="SI",OR(pdProveedor="(Todos)",pdProveedor="",'15_STOCK'!$E188=pdProveedor)),IFERROR(MATCH('15_STOCK'!$E188,tblProveedores[Proveedor],0),999)*1000000+MATCH('15_STOCK'!$N188,{"AGOTADO","CRÍTICO","BAJO"},0)*10000+ROW(),"")</f>
        <v/>
      </c>
      <c r="O188" s="92">
        <v>181</v>
      </c>
      <c r="P188" s="91" t="str">
        <f t="shared" si="11"/>
        <v/>
      </c>
      <c r="Q188" s="91" t="str">
        <f t="shared" si="12"/>
        <v/>
      </c>
      <c r="R188" s="92">
        <v>181</v>
      </c>
      <c r="S188" s="91" t="str">
        <f t="shared" si="13"/>
        <v/>
      </c>
      <c r="T188" s="91" t="str">
        <f t="shared" si="14"/>
        <v/>
      </c>
    </row>
    <row r="189" spans="12:20" x14ac:dyDescent="0.25">
      <c r="L189" s="91" t="str">
        <f>IF(AND(ISNUMBER('15_STOCK'!$P189),'15_STOCK'!$P189&gt;0),'15_STOCK'!$P189+ROW()/1000000,"")</f>
        <v/>
      </c>
      <c r="M189" s="91" t="str">
        <f>IFERROR(MATCH('15_STOCK'!$N189,{"INCONSISTENTE","AGOTADO","CRÍTICO","BAJO","SOBRESTOCK"},0)*100000+MIN(99,INT(IF(N('15_STOCK'!$K189)&gt;0,MAX(0,N('15_STOCK'!$J189))/'15_STOCK'!$K189,0)*10))*1000+ROW(),"")</f>
        <v/>
      </c>
      <c r="N189" s="91" t="str">
        <f>IF(AND(ISNUMBER(MATCH('15_STOCK'!$N189,{"AGOTADO","CRÍTICO","BAJO"},0)),'15_STOCK'!$G189="SI",OR(pdProveedor="(Todos)",pdProveedor="",'15_STOCK'!$E189=pdProveedor)),IFERROR(MATCH('15_STOCK'!$E189,tblProveedores[Proveedor],0),999)*1000000+MATCH('15_STOCK'!$N189,{"AGOTADO","CRÍTICO","BAJO"},0)*10000+ROW(),"")</f>
        <v/>
      </c>
      <c r="O189" s="92">
        <v>182</v>
      </c>
      <c r="P189" s="91" t="str">
        <f t="shared" si="11"/>
        <v/>
      </c>
      <c r="Q189" s="91" t="str">
        <f t="shared" si="12"/>
        <v/>
      </c>
      <c r="R189" s="92">
        <v>182</v>
      </c>
      <c r="S189" s="91" t="str">
        <f t="shared" si="13"/>
        <v/>
      </c>
      <c r="T189" s="91" t="str">
        <f t="shared" si="14"/>
        <v/>
      </c>
    </row>
    <row r="190" spans="12:20" x14ac:dyDescent="0.25">
      <c r="L190" s="91" t="str">
        <f>IF(AND(ISNUMBER('15_STOCK'!$P190),'15_STOCK'!$P190&gt;0),'15_STOCK'!$P190+ROW()/1000000,"")</f>
        <v/>
      </c>
      <c r="M190" s="91" t="str">
        <f>IFERROR(MATCH('15_STOCK'!$N190,{"INCONSISTENTE","AGOTADO","CRÍTICO","BAJO","SOBRESTOCK"},0)*100000+MIN(99,INT(IF(N('15_STOCK'!$K190)&gt;0,MAX(0,N('15_STOCK'!$J190))/'15_STOCK'!$K190,0)*10))*1000+ROW(),"")</f>
        <v/>
      </c>
      <c r="N190" s="91" t="str">
        <f>IF(AND(ISNUMBER(MATCH('15_STOCK'!$N190,{"AGOTADO","CRÍTICO","BAJO"},0)),'15_STOCK'!$G190="SI",OR(pdProveedor="(Todos)",pdProveedor="",'15_STOCK'!$E190=pdProveedor)),IFERROR(MATCH('15_STOCK'!$E190,tblProveedores[Proveedor],0),999)*1000000+MATCH('15_STOCK'!$N190,{"AGOTADO","CRÍTICO","BAJO"},0)*10000+ROW(),"")</f>
        <v/>
      </c>
      <c r="O190" s="92">
        <v>183</v>
      </c>
      <c r="P190" s="91" t="str">
        <f t="shared" si="11"/>
        <v/>
      </c>
      <c r="Q190" s="91" t="str">
        <f t="shared" si="12"/>
        <v/>
      </c>
      <c r="R190" s="92">
        <v>183</v>
      </c>
      <c r="S190" s="91" t="str">
        <f t="shared" si="13"/>
        <v/>
      </c>
      <c r="T190" s="91" t="str">
        <f t="shared" si="14"/>
        <v/>
      </c>
    </row>
    <row r="191" spans="12:20" x14ac:dyDescent="0.25">
      <c r="L191" s="91" t="str">
        <f>IF(AND(ISNUMBER('15_STOCK'!$P191),'15_STOCK'!$P191&gt;0),'15_STOCK'!$P191+ROW()/1000000,"")</f>
        <v/>
      </c>
      <c r="M191" s="91" t="str">
        <f>IFERROR(MATCH('15_STOCK'!$N191,{"INCONSISTENTE","AGOTADO","CRÍTICO","BAJO","SOBRESTOCK"},0)*100000+MIN(99,INT(IF(N('15_STOCK'!$K191)&gt;0,MAX(0,N('15_STOCK'!$J191))/'15_STOCK'!$K191,0)*10))*1000+ROW(),"")</f>
        <v/>
      </c>
      <c r="N191" s="91" t="str">
        <f>IF(AND(ISNUMBER(MATCH('15_STOCK'!$N191,{"AGOTADO","CRÍTICO","BAJO"},0)),'15_STOCK'!$G191="SI",OR(pdProveedor="(Todos)",pdProveedor="",'15_STOCK'!$E191=pdProveedor)),IFERROR(MATCH('15_STOCK'!$E191,tblProveedores[Proveedor],0),999)*1000000+MATCH('15_STOCK'!$N191,{"AGOTADO","CRÍTICO","BAJO"},0)*10000+ROW(),"")</f>
        <v/>
      </c>
      <c r="O191" s="92">
        <v>184</v>
      </c>
      <c r="P191" s="91" t="str">
        <f t="shared" si="11"/>
        <v/>
      </c>
      <c r="Q191" s="91" t="str">
        <f t="shared" si="12"/>
        <v/>
      </c>
      <c r="R191" s="92">
        <v>184</v>
      </c>
      <c r="S191" s="91" t="str">
        <f t="shared" si="13"/>
        <v/>
      </c>
      <c r="T191" s="91" t="str">
        <f t="shared" si="14"/>
        <v/>
      </c>
    </row>
    <row r="192" spans="12:20" x14ac:dyDescent="0.25">
      <c r="L192" s="91" t="str">
        <f>IF(AND(ISNUMBER('15_STOCK'!$P192),'15_STOCK'!$P192&gt;0),'15_STOCK'!$P192+ROW()/1000000,"")</f>
        <v/>
      </c>
      <c r="M192" s="91" t="str">
        <f>IFERROR(MATCH('15_STOCK'!$N192,{"INCONSISTENTE","AGOTADO","CRÍTICO","BAJO","SOBRESTOCK"},0)*100000+MIN(99,INT(IF(N('15_STOCK'!$K192)&gt;0,MAX(0,N('15_STOCK'!$J192))/'15_STOCK'!$K192,0)*10))*1000+ROW(),"")</f>
        <v/>
      </c>
      <c r="N192" s="91" t="str">
        <f>IF(AND(ISNUMBER(MATCH('15_STOCK'!$N192,{"AGOTADO","CRÍTICO","BAJO"},0)),'15_STOCK'!$G192="SI",OR(pdProveedor="(Todos)",pdProveedor="",'15_STOCK'!$E192=pdProveedor)),IFERROR(MATCH('15_STOCK'!$E192,tblProveedores[Proveedor],0),999)*1000000+MATCH('15_STOCK'!$N192,{"AGOTADO","CRÍTICO","BAJO"},0)*10000+ROW(),"")</f>
        <v/>
      </c>
      <c r="O192" s="92">
        <v>185</v>
      </c>
      <c r="P192" s="91" t="str">
        <f t="shared" si="11"/>
        <v/>
      </c>
      <c r="Q192" s="91" t="str">
        <f t="shared" si="12"/>
        <v/>
      </c>
      <c r="R192" s="92">
        <v>185</v>
      </c>
      <c r="S192" s="91" t="str">
        <f t="shared" si="13"/>
        <v/>
      </c>
      <c r="T192" s="91" t="str">
        <f t="shared" si="14"/>
        <v/>
      </c>
    </row>
    <row r="193" spans="12:20" x14ac:dyDescent="0.25">
      <c r="L193" s="91" t="str">
        <f>IF(AND(ISNUMBER('15_STOCK'!$P193),'15_STOCK'!$P193&gt;0),'15_STOCK'!$P193+ROW()/1000000,"")</f>
        <v/>
      </c>
      <c r="M193" s="91" t="str">
        <f>IFERROR(MATCH('15_STOCK'!$N193,{"INCONSISTENTE","AGOTADO","CRÍTICO","BAJO","SOBRESTOCK"},0)*100000+MIN(99,INT(IF(N('15_STOCK'!$K193)&gt;0,MAX(0,N('15_STOCK'!$J193))/'15_STOCK'!$K193,0)*10))*1000+ROW(),"")</f>
        <v/>
      </c>
      <c r="N193" s="91" t="str">
        <f>IF(AND(ISNUMBER(MATCH('15_STOCK'!$N193,{"AGOTADO","CRÍTICO","BAJO"},0)),'15_STOCK'!$G193="SI",OR(pdProveedor="(Todos)",pdProveedor="",'15_STOCK'!$E193=pdProveedor)),IFERROR(MATCH('15_STOCK'!$E193,tblProveedores[Proveedor],0),999)*1000000+MATCH('15_STOCK'!$N193,{"AGOTADO","CRÍTICO","BAJO"},0)*10000+ROW(),"")</f>
        <v/>
      </c>
      <c r="O193" s="92">
        <v>186</v>
      </c>
      <c r="P193" s="91" t="str">
        <f t="shared" si="11"/>
        <v/>
      </c>
      <c r="Q193" s="91" t="str">
        <f t="shared" si="12"/>
        <v/>
      </c>
      <c r="R193" s="92">
        <v>186</v>
      </c>
      <c r="S193" s="91" t="str">
        <f t="shared" si="13"/>
        <v/>
      </c>
      <c r="T193" s="91" t="str">
        <f t="shared" si="14"/>
        <v/>
      </c>
    </row>
    <row r="194" spans="12:20" x14ac:dyDescent="0.25">
      <c r="L194" s="91" t="str">
        <f>IF(AND(ISNUMBER('15_STOCK'!$P194),'15_STOCK'!$P194&gt;0),'15_STOCK'!$P194+ROW()/1000000,"")</f>
        <v/>
      </c>
      <c r="M194" s="91" t="str">
        <f>IFERROR(MATCH('15_STOCK'!$N194,{"INCONSISTENTE","AGOTADO","CRÍTICO","BAJO","SOBRESTOCK"},0)*100000+MIN(99,INT(IF(N('15_STOCK'!$K194)&gt;0,MAX(0,N('15_STOCK'!$J194))/'15_STOCK'!$K194,0)*10))*1000+ROW(),"")</f>
        <v/>
      </c>
      <c r="N194" s="91" t="str">
        <f>IF(AND(ISNUMBER(MATCH('15_STOCK'!$N194,{"AGOTADO","CRÍTICO","BAJO"},0)),'15_STOCK'!$G194="SI",OR(pdProveedor="(Todos)",pdProveedor="",'15_STOCK'!$E194=pdProveedor)),IFERROR(MATCH('15_STOCK'!$E194,tblProveedores[Proveedor],0),999)*1000000+MATCH('15_STOCK'!$N194,{"AGOTADO","CRÍTICO","BAJO"},0)*10000+ROW(),"")</f>
        <v/>
      </c>
      <c r="O194" s="92">
        <v>187</v>
      </c>
      <c r="P194" s="91" t="str">
        <f t="shared" si="11"/>
        <v/>
      </c>
      <c r="Q194" s="91" t="str">
        <f t="shared" si="12"/>
        <v/>
      </c>
      <c r="R194" s="92">
        <v>187</v>
      </c>
      <c r="S194" s="91" t="str">
        <f t="shared" si="13"/>
        <v/>
      </c>
      <c r="T194" s="91" t="str">
        <f t="shared" si="14"/>
        <v/>
      </c>
    </row>
    <row r="195" spans="12:20" x14ac:dyDescent="0.25">
      <c r="L195" s="91" t="str">
        <f>IF(AND(ISNUMBER('15_STOCK'!$P195),'15_STOCK'!$P195&gt;0),'15_STOCK'!$P195+ROW()/1000000,"")</f>
        <v/>
      </c>
      <c r="M195" s="91" t="str">
        <f>IFERROR(MATCH('15_STOCK'!$N195,{"INCONSISTENTE","AGOTADO","CRÍTICO","BAJO","SOBRESTOCK"},0)*100000+MIN(99,INT(IF(N('15_STOCK'!$K195)&gt;0,MAX(0,N('15_STOCK'!$J195))/'15_STOCK'!$K195,0)*10))*1000+ROW(),"")</f>
        <v/>
      </c>
      <c r="N195" s="91" t="str">
        <f>IF(AND(ISNUMBER(MATCH('15_STOCK'!$N195,{"AGOTADO","CRÍTICO","BAJO"},0)),'15_STOCK'!$G195="SI",OR(pdProveedor="(Todos)",pdProveedor="",'15_STOCK'!$E195=pdProveedor)),IFERROR(MATCH('15_STOCK'!$E195,tblProveedores[Proveedor],0),999)*1000000+MATCH('15_STOCK'!$N195,{"AGOTADO","CRÍTICO","BAJO"},0)*10000+ROW(),"")</f>
        <v/>
      </c>
      <c r="O195" s="92">
        <v>188</v>
      </c>
      <c r="P195" s="91" t="str">
        <f t="shared" si="11"/>
        <v/>
      </c>
      <c r="Q195" s="91" t="str">
        <f t="shared" si="12"/>
        <v/>
      </c>
      <c r="R195" s="92">
        <v>188</v>
      </c>
      <c r="S195" s="91" t="str">
        <f t="shared" si="13"/>
        <v/>
      </c>
      <c r="T195" s="91" t="str">
        <f t="shared" si="14"/>
        <v/>
      </c>
    </row>
    <row r="196" spans="12:20" x14ac:dyDescent="0.25">
      <c r="L196" s="91" t="str">
        <f>IF(AND(ISNUMBER('15_STOCK'!$P196),'15_STOCK'!$P196&gt;0),'15_STOCK'!$P196+ROW()/1000000,"")</f>
        <v/>
      </c>
      <c r="M196" s="91" t="str">
        <f>IFERROR(MATCH('15_STOCK'!$N196,{"INCONSISTENTE","AGOTADO","CRÍTICO","BAJO","SOBRESTOCK"},0)*100000+MIN(99,INT(IF(N('15_STOCK'!$K196)&gt;0,MAX(0,N('15_STOCK'!$J196))/'15_STOCK'!$K196,0)*10))*1000+ROW(),"")</f>
        <v/>
      </c>
      <c r="N196" s="91" t="str">
        <f>IF(AND(ISNUMBER(MATCH('15_STOCK'!$N196,{"AGOTADO","CRÍTICO","BAJO"},0)),'15_STOCK'!$G196="SI",OR(pdProveedor="(Todos)",pdProveedor="",'15_STOCK'!$E196=pdProveedor)),IFERROR(MATCH('15_STOCK'!$E196,tblProveedores[Proveedor],0),999)*1000000+MATCH('15_STOCK'!$N196,{"AGOTADO","CRÍTICO","BAJO"},0)*10000+ROW(),"")</f>
        <v/>
      </c>
      <c r="O196" s="92">
        <v>189</v>
      </c>
      <c r="P196" s="91" t="str">
        <f t="shared" si="11"/>
        <v/>
      </c>
      <c r="Q196" s="91" t="str">
        <f t="shared" si="12"/>
        <v/>
      </c>
      <c r="R196" s="92">
        <v>189</v>
      </c>
      <c r="S196" s="91" t="str">
        <f t="shared" si="13"/>
        <v/>
      </c>
      <c r="T196" s="91" t="str">
        <f t="shared" si="14"/>
        <v/>
      </c>
    </row>
    <row r="197" spans="12:20" x14ac:dyDescent="0.25">
      <c r="L197" s="91" t="str">
        <f>IF(AND(ISNUMBER('15_STOCK'!$P197),'15_STOCK'!$P197&gt;0),'15_STOCK'!$P197+ROW()/1000000,"")</f>
        <v/>
      </c>
      <c r="M197" s="91" t="str">
        <f>IFERROR(MATCH('15_STOCK'!$N197,{"INCONSISTENTE","AGOTADO","CRÍTICO","BAJO","SOBRESTOCK"},0)*100000+MIN(99,INT(IF(N('15_STOCK'!$K197)&gt;0,MAX(0,N('15_STOCK'!$J197))/'15_STOCK'!$K197,0)*10))*1000+ROW(),"")</f>
        <v/>
      </c>
      <c r="N197" s="91" t="str">
        <f>IF(AND(ISNUMBER(MATCH('15_STOCK'!$N197,{"AGOTADO","CRÍTICO","BAJO"},0)),'15_STOCK'!$G197="SI",OR(pdProveedor="(Todos)",pdProveedor="",'15_STOCK'!$E197=pdProveedor)),IFERROR(MATCH('15_STOCK'!$E197,tblProveedores[Proveedor],0),999)*1000000+MATCH('15_STOCK'!$N197,{"AGOTADO","CRÍTICO","BAJO"},0)*10000+ROW(),"")</f>
        <v/>
      </c>
      <c r="O197" s="92">
        <v>190</v>
      </c>
      <c r="P197" s="91" t="str">
        <f t="shared" si="11"/>
        <v/>
      </c>
      <c r="Q197" s="91" t="str">
        <f t="shared" si="12"/>
        <v/>
      </c>
      <c r="R197" s="92">
        <v>190</v>
      </c>
      <c r="S197" s="91" t="str">
        <f t="shared" si="13"/>
        <v/>
      </c>
      <c r="T197" s="91" t="str">
        <f t="shared" si="14"/>
        <v/>
      </c>
    </row>
    <row r="198" spans="12:20" x14ac:dyDescent="0.25">
      <c r="L198" s="91" t="str">
        <f>IF(AND(ISNUMBER('15_STOCK'!$P198),'15_STOCK'!$P198&gt;0),'15_STOCK'!$P198+ROW()/1000000,"")</f>
        <v/>
      </c>
      <c r="M198" s="91" t="str">
        <f>IFERROR(MATCH('15_STOCK'!$N198,{"INCONSISTENTE","AGOTADO","CRÍTICO","BAJO","SOBRESTOCK"},0)*100000+MIN(99,INT(IF(N('15_STOCK'!$K198)&gt;0,MAX(0,N('15_STOCK'!$J198))/'15_STOCK'!$K198,0)*10))*1000+ROW(),"")</f>
        <v/>
      </c>
      <c r="N198" s="91" t="str">
        <f>IF(AND(ISNUMBER(MATCH('15_STOCK'!$N198,{"AGOTADO","CRÍTICO","BAJO"},0)),'15_STOCK'!$G198="SI",OR(pdProveedor="(Todos)",pdProveedor="",'15_STOCK'!$E198=pdProveedor)),IFERROR(MATCH('15_STOCK'!$E198,tblProveedores[Proveedor],0),999)*1000000+MATCH('15_STOCK'!$N198,{"AGOTADO","CRÍTICO","BAJO"},0)*10000+ROW(),"")</f>
        <v/>
      </c>
      <c r="O198" s="92">
        <v>191</v>
      </c>
      <c r="P198" s="91" t="str">
        <f t="shared" si="11"/>
        <v/>
      </c>
      <c r="Q198" s="91" t="str">
        <f t="shared" si="12"/>
        <v/>
      </c>
      <c r="R198" s="92">
        <v>191</v>
      </c>
      <c r="S198" s="91" t="str">
        <f t="shared" si="13"/>
        <v/>
      </c>
      <c r="T198" s="91" t="str">
        <f t="shared" si="14"/>
        <v/>
      </c>
    </row>
    <row r="199" spans="12:20" x14ac:dyDescent="0.25">
      <c r="L199" s="91" t="str">
        <f>IF(AND(ISNUMBER('15_STOCK'!$P199),'15_STOCK'!$P199&gt;0),'15_STOCK'!$P199+ROW()/1000000,"")</f>
        <v/>
      </c>
      <c r="M199" s="91" t="str">
        <f>IFERROR(MATCH('15_STOCK'!$N199,{"INCONSISTENTE","AGOTADO","CRÍTICO","BAJO","SOBRESTOCK"},0)*100000+MIN(99,INT(IF(N('15_STOCK'!$K199)&gt;0,MAX(0,N('15_STOCK'!$J199))/'15_STOCK'!$K199,0)*10))*1000+ROW(),"")</f>
        <v/>
      </c>
      <c r="N199" s="91" t="str">
        <f>IF(AND(ISNUMBER(MATCH('15_STOCK'!$N199,{"AGOTADO","CRÍTICO","BAJO"},0)),'15_STOCK'!$G199="SI",OR(pdProveedor="(Todos)",pdProveedor="",'15_STOCK'!$E199=pdProveedor)),IFERROR(MATCH('15_STOCK'!$E199,tblProveedores[Proveedor],0),999)*1000000+MATCH('15_STOCK'!$N199,{"AGOTADO","CRÍTICO","BAJO"},0)*10000+ROW(),"")</f>
        <v/>
      </c>
      <c r="O199" s="92">
        <v>192</v>
      </c>
      <c r="P199" s="91" t="str">
        <f t="shared" si="11"/>
        <v/>
      </c>
      <c r="Q199" s="91" t="str">
        <f t="shared" si="12"/>
        <v/>
      </c>
      <c r="R199" s="92">
        <v>192</v>
      </c>
      <c r="S199" s="91" t="str">
        <f t="shared" si="13"/>
        <v/>
      </c>
      <c r="T199" s="91" t="str">
        <f t="shared" si="14"/>
        <v/>
      </c>
    </row>
    <row r="200" spans="12:20" x14ac:dyDescent="0.25">
      <c r="L200" s="91" t="str">
        <f>IF(AND(ISNUMBER('15_STOCK'!$P200),'15_STOCK'!$P200&gt;0),'15_STOCK'!$P200+ROW()/1000000,"")</f>
        <v/>
      </c>
      <c r="M200" s="91" t="str">
        <f>IFERROR(MATCH('15_STOCK'!$N200,{"INCONSISTENTE","AGOTADO","CRÍTICO","BAJO","SOBRESTOCK"},0)*100000+MIN(99,INT(IF(N('15_STOCK'!$K200)&gt;0,MAX(0,N('15_STOCK'!$J200))/'15_STOCK'!$K200,0)*10))*1000+ROW(),"")</f>
        <v/>
      </c>
      <c r="N200" s="91" t="str">
        <f>IF(AND(ISNUMBER(MATCH('15_STOCK'!$N200,{"AGOTADO","CRÍTICO","BAJO"},0)),'15_STOCK'!$G200="SI",OR(pdProveedor="(Todos)",pdProveedor="",'15_STOCK'!$E200=pdProveedor)),IFERROR(MATCH('15_STOCK'!$E200,tblProveedores[Proveedor],0),999)*1000000+MATCH('15_STOCK'!$N200,{"AGOTADO","CRÍTICO","BAJO"},0)*10000+ROW(),"")</f>
        <v/>
      </c>
      <c r="O200" s="92">
        <v>193</v>
      </c>
      <c r="P200" s="91" t="str">
        <f t="shared" ref="P200:P263" si="15">IFERROR(SMALL($M$8:$M$507,O200),"")</f>
        <v/>
      </c>
      <c r="Q200" s="91" t="str">
        <f t="shared" ref="Q200:Q263" si="16">IF(P200="","",MATCH(P200,$M$8:$M$507,0))</f>
        <v/>
      </c>
      <c r="R200" s="92">
        <v>193</v>
      </c>
      <c r="S200" s="91" t="str">
        <f t="shared" ref="S200:S263" si="17">IFERROR(SMALL($N$8:$N$507,R200),"")</f>
        <v/>
      </c>
      <c r="T200" s="91" t="str">
        <f t="shared" ref="T200:T263" si="18">IF(S200="","",MATCH(S200,$N$8:$N$507,0))</f>
        <v/>
      </c>
    </row>
    <row r="201" spans="12:20" x14ac:dyDescent="0.25">
      <c r="L201" s="91" t="str">
        <f>IF(AND(ISNUMBER('15_STOCK'!$P201),'15_STOCK'!$P201&gt;0),'15_STOCK'!$P201+ROW()/1000000,"")</f>
        <v/>
      </c>
      <c r="M201" s="91" t="str">
        <f>IFERROR(MATCH('15_STOCK'!$N201,{"INCONSISTENTE","AGOTADO","CRÍTICO","BAJO","SOBRESTOCK"},0)*100000+MIN(99,INT(IF(N('15_STOCK'!$K201)&gt;0,MAX(0,N('15_STOCK'!$J201))/'15_STOCK'!$K201,0)*10))*1000+ROW(),"")</f>
        <v/>
      </c>
      <c r="N201" s="91" t="str">
        <f>IF(AND(ISNUMBER(MATCH('15_STOCK'!$N201,{"AGOTADO","CRÍTICO","BAJO"},0)),'15_STOCK'!$G201="SI",OR(pdProveedor="(Todos)",pdProveedor="",'15_STOCK'!$E201=pdProveedor)),IFERROR(MATCH('15_STOCK'!$E201,tblProveedores[Proveedor],0),999)*1000000+MATCH('15_STOCK'!$N201,{"AGOTADO","CRÍTICO","BAJO"},0)*10000+ROW(),"")</f>
        <v/>
      </c>
      <c r="O201" s="92">
        <v>194</v>
      </c>
      <c r="P201" s="91" t="str">
        <f t="shared" si="15"/>
        <v/>
      </c>
      <c r="Q201" s="91" t="str">
        <f t="shared" si="16"/>
        <v/>
      </c>
      <c r="R201" s="92">
        <v>194</v>
      </c>
      <c r="S201" s="91" t="str">
        <f t="shared" si="17"/>
        <v/>
      </c>
      <c r="T201" s="91" t="str">
        <f t="shared" si="18"/>
        <v/>
      </c>
    </row>
    <row r="202" spans="12:20" x14ac:dyDescent="0.25">
      <c r="L202" s="91" t="str">
        <f>IF(AND(ISNUMBER('15_STOCK'!$P202),'15_STOCK'!$P202&gt;0),'15_STOCK'!$P202+ROW()/1000000,"")</f>
        <v/>
      </c>
      <c r="M202" s="91" t="str">
        <f>IFERROR(MATCH('15_STOCK'!$N202,{"INCONSISTENTE","AGOTADO","CRÍTICO","BAJO","SOBRESTOCK"},0)*100000+MIN(99,INT(IF(N('15_STOCK'!$K202)&gt;0,MAX(0,N('15_STOCK'!$J202))/'15_STOCK'!$K202,0)*10))*1000+ROW(),"")</f>
        <v/>
      </c>
      <c r="N202" s="91" t="str">
        <f>IF(AND(ISNUMBER(MATCH('15_STOCK'!$N202,{"AGOTADO","CRÍTICO","BAJO"},0)),'15_STOCK'!$G202="SI",OR(pdProveedor="(Todos)",pdProveedor="",'15_STOCK'!$E202=pdProveedor)),IFERROR(MATCH('15_STOCK'!$E202,tblProveedores[Proveedor],0),999)*1000000+MATCH('15_STOCK'!$N202,{"AGOTADO","CRÍTICO","BAJO"},0)*10000+ROW(),"")</f>
        <v/>
      </c>
      <c r="O202" s="92">
        <v>195</v>
      </c>
      <c r="P202" s="91" t="str">
        <f t="shared" si="15"/>
        <v/>
      </c>
      <c r="Q202" s="91" t="str">
        <f t="shared" si="16"/>
        <v/>
      </c>
      <c r="R202" s="92">
        <v>195</v>
      </c>
      <c r="S202" s="91" t="str">
        <f t="shared" si="17"/>
        <v/>
      </c>
      <c r="T202" s="91" t="str">
        <f t="shared" si="18"/>
        <v/>
      </c>
    </row>
    <row r="203" spans="12:20" x14ac:dyDescent="0.25">
      <c r="L203" s="91" t="str">
        <f>IF(AND(ISNUMBER('15_STOCK'!$P203),'15_STOCK'!$P203&gt;0),'15_STOCK'!$P203+ROW()/1000000,"")</f>
        <v/>
      </c>
      <c r="M203" s="91" t="str">
        <f>IFERROR(MATCH('15_STOCK'!$N203,{"INCONSISTENTE","AGOTADO","CRÍTICO","BAJO","SOBRESTOCK"},0)*100000+MIN(99,INT(IF(N('15_STOCK'!$K203)&gt;0,MAX(0,N('15_STOCK'!$J203))/'15_STOCK'!$K203,0)*10))*1000+ROW(),"")</f>
        <v/>
      </c>
      <c r="N203" s="91" t="str">
        <f>IF(AND(ISNUMBER(MATCH('15_STOCK'!$N203,{"AGOTADO","CRÍTICO","BAJO"},0)),'15_STOCK'!$G203="SI",OR(pdProveedor="(Todos)",pdProveedor="",'15_STOCK'!$E203=pdProveedor)),IFERROR(MATCH('15_STOCK'!$E203,tblProveedores[Proveedor],0),999)*1000000+MATCH('15_STOCK'!$N203,{"AGOTADO","CRÍTICO","BAJO"},0)*10000+ROW(),"")</f>
        <v/>
      </c>
      <c r="O203" s="92">
        <v>196</v>
      </c>
      <c r="P203" s="91" t="str">
        <f t="shared" si="15"/>
        <v/>
      </c>
      <c r="Q203" s="91" t="str">
        <f t="shared" si="16"/>
        <v/>
      </c>
      <c r="R203" s="92">
        <v>196</v>
      </c>
      <c r="S203" s="91" t="str">
        <f t="shared" si="17"/>
        <v/>
      </c>
      <c r="T203" s="91" t="str">
        <f t="shared" si="18"/>
        <v/>
      </c>
    </row>
    <row r="204" spans="12:20" x14ac:dyDescent="0.25">
      <c r="L204" s="91" t="str">
        <f>IF(AND(ISNUMBER('15_STOCK'!$P204),'15_STOCK'!$P204&gt;0),'15_STOCK'!$P204+ROW()/1000000,"")</f>
        <v/>
      </c>
      <c r="M204" s="91" t="str">
        <f>IFERROR(MATCH('15_STOCK'!$N204,{"INCONSISTENTE","AGOTADO","CRÍTICO","BAJO","SOBRESTOCK"},0)*100000+MIN(99,INT(IF(N('15_STOCK'!$K204)&gt;0,MAX(0,N('15_STOCK'!$J204))/'15_STOCK'!$K204,0)*10))*1000+ROW(),"")</f>
        <v/>
      </c>
      <c r="N204" s="91" t="str">
        <f>IF(AND(ISNUMBER(MATCH('15_STOCK'!$N204,{"AGOTADO","CRÍTICO","BAJO"},0)),'15_STOCK'!$G204="SI",OR(pdProveedor="(Todos)",pdProveedor="",'15_STOCK'!$E204=pdProveedor)),IFERROR(MATCH('15_STOCK'!$E204,tblProveedores[Proveedor],0),999)*1000000+MATCH('15_STOCK'!$N204,{"AGOTADO","CRÍTICO","BAJO"},0)*10000+ROW(),"")</f>
        <v/>
      </c>
      <c r="O204" s="92">
        <v>197</v>
      </c>
      <c r="P204" s="91" t="str">
        <f t="shared" si="15"/>
        <v/>
      </c>
      <c r="Q204" s="91" t="str">
        <f t="shared" si="16"/>
        <v/>
      </c>
      <c r="R204" s="92">
        <v>197</v>
      </c>
      <c r="S204" s="91" t="str">
        <f t="shared" si="17"/>
        <v/>
      </c>
      <c r="T204" s="91" t="str">
        <f t="shared" si="18"/>
        <v/>
      </c>
    </row>
    <row r="205" spans="12:20" x14ac:dyDescent="0.25">
      <c r="L205" s="91" t="str">
        <f>IF(AND(ISNUMBER('15_STOCK'!$P205),'15_STOCK'!$P205&gt;0),'15_STOCK'!$P205+ROW()/1000000,"")</f>
        <v/>
      </c>
      <c r="M205" s="91" t="str">
        <f>IFERROR(MATCH('15_STOCK'!$N205,{"INCONSISTENTE","AGOTADO","CRÍTICO","BAJO","SOBRESTOCK"},0)*100000+MIN(99,INT(IF(N('15_STOCK'!$K205)&gt;0,MAX(0,N('15_STOCK'!$J205))/'15_STOCK'!$K205,0)*10))*1000+ROW(),"")</f>
        <v/>
      </c>
      <c r="N205" s="91" t="str">
        <f>IF(AND(ISNUMBER(MATCH('15_STOCK'!$N205,{"AGOTADO","CRÍTICO","BAJO"},0)),'15_STOCK'!$G205="SI",OR(pdProveedor="(Todos)",pdProveedor="",'15_STOCK'!$E205=pdProveedor)),IFERROR(MATCH('15_STOCK'!$E205,tblProveedores[Proveedor],0),999)*1000000+MATCH('15_STOCK'!$N205,{"AGOTADO","CRÍTICO","BAJO"},0)*10000+ROW(),"")</f>
        <v/>
      </c>
      <c r="O205" s="92">
        <v>198</v>
      </c>
      <c r="P205" s="91" t="str">
        <f t="shared" si="15"/>
        <v/>
      </c>
      <c r="Q205" s="91" t="str">
        <f t="shared" si="16"/>
        <v/>
      </c>
      <c r="R205" s="92">
        <v>198</v>
      </c>
      <c r="S205" s="91" t="str">
        <f t="shared" si="17"/>
        <v/>
      </c>
      <c r="T205" s="91" t="str">
        <f t="shared" si="18"/>
        <v/>
      </c>
    </row>
    <row r="206" spans="12:20" x14ac:dyDescent="0.25">
      <c r="L206" s="91" t="str">
        <f>IF(AND(ISNUMBER('15_STOCK'!$P206),'15_STOCK'!$P206&gt;0),'15_STOCK'!$P206+ROW()/1000000,"")</f>
        <v/>
      </c>
      <c r="M206" s="91" t="str">
        <f>IFERROR(MATCH('15_STOCK'!$N206,{"INCONSISTENTE","AGOTADO","CRÍTICO","BAJO","SOBRESTOCK"},0)*100000+MIN(99,INT(IF(N('15_STOCK'!$K206)&gt;0,MAX(0,N('15_STOCK'!$J206))/'15_STOCK'!$K206,0)*10))*1000+ROW(),"")</f>
        <v/>
      </c>
      <c r="N206" s="91" t="str">
        <f>IF(AND(ISNUMBER(MATCH('15_STOCK'!$N206,{"AGOTADO","CRÍTICO","BAJO"},0)),'15_STOCK'!$G206="SI",OR(pdProveedor="(Todos)",pdProveedor="",'15_STOCK'!$E206=pdProveedor)),IFERROR(MATCH('15_STOCK'!$E206,tblProveedores[Proveedor],0),999)*1000000+MATCH('15_STOCK'!$N206,{"AGOTADO","CRÍTICO","BAJO"},0)*10000+ROW(),"")</f>
        <v/>
      </c>
      <c r="O206" s="92">
        <v>199</v>
      </c>
      <c r="P206" s="91" t="str">
        <f t="shared" si="15"/>
        <v/>
      </c>
      <c r="Q206" s="91" t="str">
        <f t="shared" si="16"/>
        <v/>
      </c>
      <c r="R206" s="92">
        <v>199</v>
      </c>
      <c r="S206" s="91" t="str">
        <f t="shared" si="17"/>
        <v/>
      </c>
      <c r="T206" s="91" t="str">
        <f t="shared" si="18"/>
        <v/>
      </c>
    </row>
    <row r="207" spans="12:20" x14ac:dyDescent="0.25">
      <c r="L207" s="91" t="str">
        <f>IF(AND(ISNUMBER('15_STOCK'!$P207),'15_STOCK'!$P207&gt;0),'15_STOCK'!$P207+ROW()/1000000,"")</f>
        <v/>
      </c>
      <c r="M207" s="91" t="str">
        <f>IFERROR(MATCH('15_STOCK'!$N207,{"INCONSISTENTE","AGOTADO","CRÍTICO","BAJO","SOBRESTOCK"},0)*100000+MIN(99,INT(IF(N('15_STOCK'!$K207)&gt;0,MAX(0,N('15_STOCK'!$J207))/'15_STOCK'!$K207,0)*10))*1000+ROW(),"")</f>
        <v/>
      </c>
      <c r="N207" s="91" t="str">
        <f>IF(AND(ISNUMBER(MATCH('15_STOCK'!$N207,{"AGOTADO","CRÍTICO","BAJO"},0)),'15_STOCK'!$G207="SI",OR(pdProveedor="(Todos)",pdProveedor="",'15_STOCK'!$E207=pdProveedor)),IFERROR(MATCH('15_STOCK'!$E207,tblProveedores[Proveedor],0),999)*1000000+MATCH('15_STOCK'!$N207,{"AGOTADO","CRÍTICO","BAJO"},0)*10000+ROW(),"")</f>
        <v/>
      </c>
      <c r="O207" s="92">
        <v>200</v>
      </c>
      <c r="P207" s="91" t="str">
        <f t="shared" si="15"/>
        <v/>
      </c>
      <c r="Q207" s="91" t="str">
        <f t="shared" si="16"/>
        <v/>
      </c>
      <c r="R207" s="92">
        <v>200</v>
      </c>
      <c r="S207" s="91" t="str">
        <f t="shared" si="17"/>
        <v/>
      </c>
      <c r="T207" s="91" t="str">
        <f t="shared" si="18"/>
        <v/>
      </c>
    </row>
    <row r="208" spans="12:20" x14ac:dyDescent="0.25">
      <c r="L208" s="91" t="str">
        <f>IF(AND(ISNUMBER('15_STOCK'!$P208),'15_STOCK'!$P208&gt;0),'15_STOCK'!$P208+ROW()/1000000,"")</f>
        <v/>
      </c>
      <c r="M208" s="91" t="str">
        <f>IFERROR(MATCH('15_STOCK'!$N208,{"INCONSISTENTE","AGOTADO","CRÍTICO","BAJO","SOBRESTOCK"},0)*100000+MIN(99,INT(IF(N('15_STOCK'!$K208)&gt;0,MAX(0,N('15_STOCK'!$J208))/'15_STOCK'!$K208,0)*10))*1000+ROW(),"")</f>
        <v/>
      </c>
      <c r="N208" s="91" t="str">
        <f>IF(AND(ISNUMBER(MATCH('15_STOCK'!$N208,{"AGOTADO","CRÍTICO","BAJO"},0)),'15_STOCK'!$G208="SI",OR(pdProveedor="(Todos)",pdProveedor="",'15_STOCK'!$E208=pdProveedor)),IFERROR(MATCH('15_STOCK'!$E208,tblProveedores[Proveedor],0),999)*1000000+MATCH('15_STOCK'!$N208,{"AGOTADO","CRÍTICO","BAJO"},0)*10000+ROW(),"")</f>
        <v/>
      </c>
      <c r="O208" s="92">
        <v>201</v>
      </c>
      <c r="P208" s="91" t="str">
        <f t="shared" si="15"/>
        <v/>
      </c>
      <c r="Q208" s="91" t="str">
        <f t="shared" si="16"/>
        <v/>
      </c>
      <c r="R208" s="92">
        <v>201</v>
      </c>
      <c r="S208" s="91" t="str">
        <f t="shared" si="17"/>
        <v/>
      </c>
      <c r="T208" s="91" t="str">
        <f t="shared" si="18"/>
        <v/>
      </c>
    </row>
    <row r="209" spans="12:20" x14ac:dyDescent="0.25">
      <c r="L209" s="91" t="str">
        <f>IF(AND(ISNUMBER('15_STOCK'!$P209),'15_STOCK'!$P209&gt;0),'15_STOCK'!$P209+ROW()/1000000,"")</f>
        <v/>
      </c>
      <c r="M209" s="91" t="str">
        <f>IFERROR(MATCH('15_STOCK'!$N209,{"INCONSISTENTE","AGOTADO","CRÍTICO","BAJO","SOBRESTOCK"},0)*100000+MIN(99,INT(IF(N('15_STOCK'!$K209)&gt;0,MAX(0,N('15_STOCK'!$J209))/'15_STOCK'!$K209,0)*10))*1000+ROW(),"")</f>
        <v/>
      </c>
      <c r="N209" s="91" t="str">
        <f>IF(AND(ISNUMBER(MATCH('15_STOCK'!$N209,{"AGOTADO","CRÍTICO","BAJO"},0)),'15_STOCK'!$G209="SI",OR(pdProveedor="(Todos)",pdProveedor="",'15_STOCK'!$E209=pdProveedor)),IFERROR(MATCH('15_STOCK'!$E209,tblProveedores[Proveedor],0),999)*1000000+MATCH('15_STOCK'!$N209,{"AGOTADO","CRÍTICO","BAJO"},0)*10000+ROW(),"")</f>
        <v/>
      </c>
      <c r="O209" s="92">
        <v>202</v>
      </c>
      <c r="P209" s="91" t="str">
        <f t="shared" si="15"/>
        <v/>
      </c>
      <c r="Q209" s="91" t="str">
        <f t="shared" si="16"/>
        <v/>
      </c>
      <c r="R209" s="92">
        <v>202</v>
      </c>
      <c r="S209" s="91" t="str">
        <f t="shared" si="17"/>
        <v/>
      </c>
      <c r="T209" s="91" t="str">
        <f t="shared" si="18"/>
        <v/>
      </c>
    </row>
    <row r="210" spans="12:20" x14ac:dyDescent="0.25">
      <c r="L210" s="91" t="str">
        <f>IF(AND(ISNUMBER('15_STOCK'!$P210),'15_STOCK'!$P210&gt;0),'15_STOCK'!$P210+ROW()/1000000,"")</f>
        <v/>
      </c>
      <c r="M210" s="91" t="str">
        <f>IFERROR(MATCH('15_STOCK'!$N210,{"INCONSISTENTE","AGOTADO","CRÍTICO","BAJO","SOBRESTOCK"},0)*100000+MIN(99,INT(IF(N('15_STOCK'!$K210)&gt;0,MAX(0,N('15_STOCK'!$J210))/'15_STOCK'!$K210,0)*10))*1000+ROW(),"")</f>
        <v/>
      </c>
      <c r="N210" s="91" t="str">
        <f>IF(AND(ISNUMBER(MATCH('15_STOCK'!$N210,{"AGOTADO","CRÍTICO","BAJO"},0)),'15_STOCK'!$G210="SI",OR(pdProveedor="(Todos)",pdProveedor="",'15_STOCK'!$E210=pdProveedor)),IFERROR(MATCH('15_STOCK'!$E210,tblProveedores[Proveedor],0),999)*1000000+MATCH('15_STOCK'!$N210,{"AGOTADO","CRÍTICO","BAJO"},0)*10000+ROW(),"")</f>
        <v/>
      </c>
      <c r="O210" s="92">
        <v>203</v>
      </c>
      <c r="P210" s="91" t="str">
        <f t="shared" si="15"/>
        <v/>
      </c>
      <c r="Q210" s="91" t="str">
        <f t="shared" si="16"/>
        <v/>
      </c>
      <c r="R210" s="92">
        <v>203</v>
      </c>
      <c r="S210" s="91" t="str">
        <f t="shared" si="17"/>
        <v/>
      </c>
      <c r="T210" s="91" t="str">
        <f t="shared" si="18"/>
        <v/>
      </c>
    </row>
    <row r="211" spans="12:20" x14ac:dyDescent="0.25">
      <c r="L211" s="91" t="str">
        <f>IF(AND(ISNUMBER('15_STOCK'!$P211),'15_STOCK'!$P211&gt;0),'15_STOCK'!$P211+ROW()/1000000,"")</f>
        <v/>
      </c>
      <c r="M211" s="91" t="str">
        <f>IFERROR(MATCH('15_STOCK'!$N211,{"INCONSISTENTE","AGOTADO","CRÍTICO","BAJO","SOBRESTOCK"},0)*100000+MIN(99,INT(IF(N('15_STOCK'!$K211)&gt;0,MAX(0,N('15_STOCK'!$J211))/'15_STOCK'!$K211,0)*10))*1000+ROW(),"")</f>
        <v/>
      </c>
      <c r="N211" s="91" t="str">
        <f>IF(AND(ISNUMBER(MATCH('15_STOCK'!$N211,{"AGOTADO","CRÍTICO","BAJO"},0)),'15_STOCK'!$G211="SI",OR(pdProveedor="(Todos)",pdProveedor="",'15_STOCK'!$E211=pdProveedor)),IFERROR(MATCH('15_STOCK'!$E211,tblProveedores[Proveedor],0),999)*1000000+MATCH('15_STOCK'!$N211,{"AGOTADO","CRÍTICO","BAJO"},0)*10000+ROW(),"")</f>
        <v/>
      </c>
      <c r="O211" s="92">
        <v>204</v>
      </c>
      <c r="P211" s="91" t="str">
        <f t="shared" si="15"/>
        <v/>
      </c>
      <c r="Q211" s="91" t="str">
        <f t="shared" si="16"/>
        <v/>
      </c>
      <c r="R211" s="92">
        <v>204</v>
      </c>
      <c r="S211" s="91" t="str">
        <f t="shared" si="17"/>
        <v/>
      </c>
      <c r="T211" s="91" t="str">
        <f t="shared" si="18"/>
        <v/>
      </c>
    </row>
    <row r="212" spans="12:20" x14ac:dyDescent="0.25">
      <c r="L212" s="91" t="str">
        <f>IF(AND(ISNUMBER('15_STOCK'!$P212),'15_STOCK'!$P212&gt;0),'15_STOCK'!$P212+ROW()/1000000,"")</f>
        <v/>
      </c>
      <c r="M212" s="91" t="str">
        <f>IFERROR(MATCH('15_STOCK'!$N212,{"INCONSISTENTE","AGOTADO","CRÍTICO","BAJO","SOBRESTOCK"},0)*100000+MIN(99,INT(IF(N('15_STOCK'!$K212)&gt;0,MAX(0,N('15_STOCK'!$J212))/'15_STOCK'!$K212,0)*10))*1000+ROW(),"")</f>
        <v/>
      </c>
      <c r="N212" s="91" t="str">
        <f>IF(AND(ISNUMBER(MATCH('15_STOCK'!$N212,{"AGOTADO","CRÍTICO","BAJO"},0)),'15_STOCK'!$G212="SI",OR(pdProveedor="(Todos)",pdProveedor="",'15_STOCK'!$E212=pdProveedor)),IFERROR(MATCH('15_STOCK'!$E212,tblProveedores[Proveedor],0),999)*1000000+MATCH('15_STOCK'!$N212,{"AGOTADO","CRÍTICO","BAJO"},0)*10000+ROW(),"")</f>
        <v/>
      </c>
      <c r="O212" s="92">
        <v>205</v>
      </c>
      <c r="P212" s="91" t="str">
        <f t="shared" si="15"/>
        <v/>
      </c>
      <c r="Q212" s="91" t="str">
        <f t="shared" si="16"/>
        <v/>
      </c>
      <c r="R212" s="92">
        <v>205</v>
      </c>
      <c r="S212" s="91" t="str">
        <f t="shared" si="17"/>
        <v/>
      </c>
      <c r="T212" s="91" t="str">
        <f t="shared" si="18"/>
        <v/>
      </c>
    </row>
    <row r="213" spans="12:20" x14ac:dyDescent="0.25">
      <c r="L213" s="91" t="str">
        <f>IF(AND(ISNUMBER('15_STOCK'!$P213),'15_STOCK'!$P213&gt;0),'15_STOCK'!$P213+ROW()/1000000,"")</f>
        <v/>
      </c>
      <c r="M213" s="91" t="str">
        <f>IFERROR(MATCH('15_STOCK'!$N213,{"INCONSISTENTE","AGOTADO","CRÍTICO","BAJO","SOBRESTOCK"},0)*100000+MIN(99,INT(IF(N('15_STOCK'!$K213)&gt;0,MAX(0,N('15_STOCK'!$J213))/'15_STOCK'!$K213,0)*10))*1000+ROW(),"")</f>
        <v/>
      </c>
      <c r="N213" s="91" t="str">
        <f>IF(AND(ISNUMBER(MATCH('15_STOCK'!$N213,{"AGOTADO","CRÍTICO","BAJO"},0)),'15_STOCK'!$G213="SI",OR(pdProveedor="(Todos)",pdProveedor="",'15_STOCK'!$E213=pdProveedor)),IFERROR(MATCH('15_STOCK'!$E213,tblProveedores[Proveedor],0),999)*1000000+MATCH('15_STOCK'!$N213,{"AGOTADO","CRÍTICO","BAJO"},0)*10000+ROW(),"")</f>
        <v/>
      </c>
      <c r="O213" s="92">
        <v>206</v>
      </c>
      <c r="P213" s="91" t="str">
        <f t="shared" si="15"/>
        <v/>
      </c>
      <c r="Q213" s="91" t="str">
        <f t="shared" si="16"/>
        <v/>
      </c>
      <c r="R213" s="92">
        <v>206</v>
      </c>
      <c r="S213" s="91" t="str">
        <f t="shared" si="17"/>
        <v/>
      </c>
      <c r="T213" s="91" t="str">
        <f t="shared" si="18"/>
        <v/>
      </c>
    </row>
    <row r="214" spans="12:20" x14ac:dyDescent="0.25">
      <c r="L214" s="91" t="str">
        <f>IF(AND(ISNUMBER('15_STOCK'!$P214),'15_STOCK'!$P214&gt;0),'15_STOCK'!$P214+ROW()/1000000,"")</f>
        <v/>
      </c>
      <c r="M214" s="91" t="str">
        <f>IFERROR(MATCH('15_STOCK'!$N214,{"INCONSISTENTE","AGOTADO","CRÍTICO","BAJO","SOBRESTOCK"},0)*100000+MIN(99,INT(IF(N('15_STOCK'!$K214)&gt;0,MAX(0,N('15_STOCK'!$J214))/'15_STOCK'!$K214,0)*10))*1000+ROW(),"")</f>
        <v/>
      </c>
      <c r="N214" s="91" t="str">
        <f>IF(AND(ISNUMBER(MATCH('15_STOCK'!$N214,{"AGOTADO","CRÍTICO","BAJO"},0)),'15_STOCK'!$G214="SI",OR(pdProveedor="(Todos)",pdProveedor="",'15_STOCK'!$E214=pdProveedor)),IFERROR(MATCH('15_STOCK'!$E214,tblProveedores[Proveedor],0),999)*1000000+MATCH('15_STOCK'!$N214,{"AGOTADO","CRÍTICO","BAJO"},0)*10000+ROW(),"")</f>
        <v/>
      </c>
      <c r="O214" s="92">
        <v>207</v>
      </c>
      <c r="P214" s="91" t="str">
        <f t="shared" si="15"/>
        <v/>
      </c>
      <c r="Q214" s="91" t="str">
        <f t="shared" si="16"/>
        <v/>
      </c>
      <c r="R214" s="92">
        <v>207</v>
      </c>
      <c r="S214" s="91" t="str">
        <f t="shared" si="17"/>
        <v/>
      </c>
      <c r="T214" s="91" t="str">
        <f t="shared" si="18"/>
        <v/>
      </c>
    </row>
    <row r="215" spans="12:20" x14ac:dyDescent="0.25">
      <c r="L215" s="91" t="str">
        <f>IF(AND(ISNUMBER('15_STOCK'!$P215),'15_STOCK'!$P215&gt;0),'15_STOCK'!$P215+ROW()/1000000,"")</f>
        <v/>
      </c>
      <c r="M215" s="91" t="str">
        <f>IFERROR(MATCH('15_STOCK'!$N215,{"INCONSISTENTE","AGOTADO","CRÍTICO","BAJO","SOBRESTOCK"},0)*100000+MIN(99,INT(IF(N('15_STOCK'!$K215)&gt;0,MAX(0,N('15_STOCK'!$J215))/'15_STOCK'!$K215,0)*10))*1000+ROW(),"")</f>
        <v/>
      </c>
      <c r="N215" s="91" t="str">
        <f>IF(AND(ISNUMBER(MATCH('15_STOCK'!$N215,{"AGOTADO","CRÍTICO","BAJO"},0)),'15_STOCK'!$G215="SI",OR(pdProveedor="(Todos)",pdProveedor="",'15_STOCK'!$E215=pdProveedor)),IFERROR(MATCH('15_STOCK'!$E215,tblProveedores[Proveedor],0),999)*1000000+MATCH('15_STOCK'!$N215,{"AGOTADO","CRÍTICO","BAJO"},0)*10000+ROW(),"")</f>
        <v/>
      </c>
      <c r="O215" s="92">
        <v>208</v>
      </c>
      <c r="P215" s="91" t="str">
        <f t="shared" si="15"/>
        <v/>
      </c>
      <c r="Q215" s="91" t="str">
        <f t="shared" si="16"/>
        <v/>
      </c>
      <c r="R215" s="92">
        <v>208</v>
      </c>
      <c r="S215" s="91" t="str">
        <f t="shared" si="17"/>
        <v/>
      </c>
      <c r="T215" s="91" t="str">
        <f t="shared" si="18"/>
        <v/>
      </c>
    </row>
    <row r="216" spans="12:20" x14ac:dyDescent="0.25">
      <c r="L216" s="91" t="str">
        <f>IF(AND(ISNUMBER('15_STOCK'!$P216),'15_STOCK'!$P216&gt;0),'15_STOCK'!$P216+ROW()/1000000,"")</f>
        <v/>
      </c>
      <c r="M216" s="91" t="str">
        <f>IFERROR(MATCH('15_STOCK'!$N216,{"INCONSISTENTE","AGOTADO","CRÍTICO","BAJO","SOBRESTOCK"},0)*100000+MIN(99,INT(IF(N('15_STOCK'!$K216)&gt;0,MAX(0,N('15_STOCK'!$J216))/'15_STOCK'!$K216,0)*10))*1000+ROW(),"")</f>
        <v/>
      </c>
      <c r="N216" s="91" t="str">
        <f>IF(AND(ISNUMBER(MATCH('15_STOCK'!$N216,{"AGOTADO","CRÍTICO","BAJO"},0)),'15_STOCK'!$G216="SI",OR(pdProveedor="(Todos)",pdProveedor="",'15_STOCK'!$E216=pdProveedor)),IFERROR(MATCH('15_STOCK'!$E216,tblProveedores[Proveedor],0),999)*1000000+MATCH('15_STOCK'!$N216,{"AGOTADO","CRÍTICO","BAJO"},0)*10000+ROW(),"")</f>
        <v/>
      </c>
      <c r="O216" s="92">
        <v>209</v>
      </c>
      <c r="P216" s="91" t="str">
        <f t="shared" si="15"/>
        <v/>
      </c>
      <c r="Q216" s="91" t="str">
        <f t="shared" si="16"/>
        <v/>
      </c>
      <c r="R216" s="92">
        <v>209</v>
      </c>
      <c r="S216" s="91" t="str">
        <f t="shared" si="17"/>
        <v/>
      </c>
      <c r="T216" s="91" t="str">
        <f t="shared" si="18"/>
        <v/>
      </c>
    </row>
    <row r="217" spans="12:20" x14ac:dyDescent="0.25">
      <c r="L217" s="91" t="str">
        <f>IF(AND(ISNUMBER('15_STOCK'!$P217),'15_STOCK'!$P217&gt;0),'15_STOCK'!$P217+ROW()/1000000,"")</f>
        <v/>
      </c>
      <c r="M217" s="91" t="str">
        <f>IFERROR(MATCH('15_STOCK'!$N217,{"INCONSISTENTE","AGOTADO","CRÍTICO","BAJO","SOBRESTOCK"},0)*100000+MIN(99,INT(IF(N('15_STOCK'!$K217)&gt;0,MAX(0,N('15_STOCK'!$J217))/'15_STOCK'!$K217,0)*10))*1000+ROW(),"")</f>
        <v/>
      </c>
      <c r="N217" s="91" t="str">
        <f>IF(AND(ISNUMBER(MATCH('15_STOCK'!$N217,{"AGOTADO","CRÍTICO","BAJO"},0)),'15_STOCK'!$G217="SI",OR(pdProveedor="(Todos)",pdProveedor="",'15_STOCK'!$E217=pdProveedor)),IFERROR(MATCH('15_STOCK'!$E217,tblProveedores[Proveedor],0),999)*1000000+MATCH('15_STOCK'!$N217,{"AGOTADO","CRÍTICO","BAJO"},0)*10000+ROW(),"")</f>
        <v/>
      </c>
      <c r="O217" s="92">
        <v>210</v>
      </c>
      <c r="P217" s="91" t="str">
        <f t="shared" si="15"/>
        <v/>
      </c>
      <c r="Q217" s="91" t="str">
        <f t="shared" si="16"/>
        <v/>
      </c>
      <c r="R217" s="92">
        <v>210</v>
      </c>
      <c r="S217" s="91" t="str">
        <f t="shared" si="17"/>
        <v/>
      </c>
      <c r="T217" s="91" t="str">
        <f t="shared" si="18"/>
        <v/>
      </c>
    </row>
    <row r="218" spans="12:20" x14ac:dyDescent="0.25">
      <c r="L218" s="91" t="str">
        <f>IF(AND(ISNUMBER('15_STOCK'!$P218),'15_STOCK'!$P218&gt;0),'15_STOCK'!$P218+ROW()/1000000,"")</f>
        <v/>
      </c>
      <c r="M218" s="91" t="str">
        <f>IFERROR(MATCH('15_STOCK'!$N218,{"INCONSISTENTE","AGOTADO","CRÍTICO","BAJO","SOBRESTOCK"},0)*100000+MIN(99,INT(IF(N('15_STOCK'!$K218)&gt;0,MAX(0,N('15_STOCK'!$J218))/'15_STOCK'!$K218,0)*10))*1000+ROW(),"")</f>
        <v/>
      </c>
      <c r="N218" s="91" t="str">
        <f>IF(AND(ISNUMBER(MATCH('15_STOCK'!$N218,{"AGOTADO","CRÍTICO","BAJO"},0)),'15_STOCK'!$G218="SI",OR(pdProveedor="(Todos)",pdProveedor="",'15_STOCK'!$E218=pdProveedor)),IFERROR(MATCH('15_STOCK'!$E218,tblProveedores[Proveedor],0),999)*1000000+MATCH('15_STOCK'!$N218,{"AGOTADO","CRÍTICO","BAJO"},0)*10000+ROW(),"")</f>
        <v/>
      </c>
      <c r="O218" s="92">
        <v>211</v>
      </c>
      <c r="P218" s="91" t="str">
        <f t="shared" si="15"/>
        <v/>
      </c>
      <c r="Q218" s="91" t="str">
        <f t="shared" si="16"/>
        <v/>
      </c>
      <c r="R218" s="92">
        <v>211</v>
      </c>
      <c r="S218" s="91" t="str">
        <f t="shared" si="17"/>
        <v/>
      </c>
      <c r="T218" s="91" t="str">
        <f t="shared" si="18"/>
        <v/>
      </c>
    </row>
    <row r="219" spans="12:20" x14ac:dyDescent="0.25">
      <c r="L219" s="91" t="str">
        <f>IF(AND(ISNUMBER('15_STOCK'!$P219),'15_STOCK'!$P219&gt;0),'15_STOCK'!$P219+ROW()/1000000,"")</f>
        <v/>
      </c>
      <c r="M219" s="91" t="str">
        <f>IFERROR(MATCH('15_STOCK'!$N219,{"INCONSISTENTE","AGOTADO","CRÍTICO","BAJO","SOBRESTOCK"},0)*100000+MIN(99,INT(IF(N('15_STOCK'!$K219)&gt;0,MAX(0,N('15_STOCK'!$J219))/'15_STOCK'!$K219,0)*10))*1000+ROW(),"")</f>
        <v/>
      </c>
      <c r="N219" s="91" t="str">
        <f>IF(AND(ISNUMBER(MATCH('15_STOCK'!$N219,{"AGOTADO","CRÍTICO","BAJO"},0)),'15_STOCK'!$G219="SI",OR(pdProveedor="(Todos)",pdProveedor="",'15_STOCK'!$E219=pdProveedor)),IFERROR(MATCH('15_STOCK'!$E219,tblProveedores[Proveedor],0),999)*1000000+MATCH('15_STOCK'!$N219,{"AGOTADO","CRÍTICO","BAJO"},0)*10000+ROW(),"")</f>
        <v/>
      </c>
      <c r="O219" s="92">
        <v>212</v>
      </c>
      <c r="P219" s="91" t="str">
        <f t="shared" si="15"/>
        <v/>
      </c>
      <c r="Q219" s="91" t="str">
        <f t="shared" si="16"/>
        <v/>
      </c>
      <c r="R219" s="92">
        <v>212</v>
      </c>
      <c r="S219" s="91" t="str">
        <f t="shared" si="17"/>
        <v/>
      </c>
      <c r="T219" s="91" t="str">
        <f t="shared" si="18"/>
        <v/>
      </c>
    </row>
    <row r="220" spans="12:20" x14ac:dyDescent="0.25">
      <c r="L220" s="91" t="str">
        <f>IF(AND(ISNUMBER('15_STOCK'!$P220),'15_STOCK'!$P220&gt;0),'15_STOCK'!$P220+ROW()/1000000,"")</f>
        <v/>
      </c>
      <c r="M220" s="91" t="str">
        <f>IFERROR(MATCH('15_STOCK'!$N220,{"INCONSISTENTE","AGOTADO","CRÍTICO","BAJO","SOBRESTOCK"},0)*100000+MIN(99,INT(IF(N('15_STOCK'!$K220)&gt;0,MAX(0,N('15_STOCK'!$J220))/'15_STOCK'!$K220,0)*10))*1000+ROW(),"")</f>
        <v/>
      </c>
      <c r="N220" s="91" t="str">
        <f>IF(AND(ISNUMBER(MATCH('15_STOCK'!$N220,{"AGOTADO","CRÍTICO","BAJO"},0)),'15_STOCK'!$G220="SI",OR(pdProveedor="(Todos)",pdProveedor="",'15_STOCK'!$E220=pdProveedor)),IFERROR(MATCH('15_STOCK'!$E220,tblProveedores[Proveedor],0),999)*1000000+MATCH('15_STOCK'!$N220,{"AGOTADO","CRÍTICO","BAJO"},0)*10000+ROW(),"")</f>
        <v/>
      </c>
      <c r="O220" s="92">
        <v>213</v>
      </c>
      <c r="P220" s="91" t="str">
        <f t="shared" si="15"/>
        <v/>
      </c>
      <c r="Q220" s="91" t="str">
        <f t="shared" si="16"/>
        <v/>
      </c>
      <c r="R220" s="92">
        <v>213</v>
      </c>
      <c r="S220" s="91" t="str">
        <f t="shared" si="17"/>
        <v/>
      </c>
      <c r="T220" s="91" t="str">
        <f t="shared" si="18"/>
        <v/>
      </c>
    </row>
    <row r="221" spans="12:20" x14ac:dyDescent="0.25">
      <c r="L221" s="91" t="str">
        <f>IF(AND(ISNUMBER('15_STOCK'!$P221),'15_STOCK'!$P221&gt;0),'15_STOCK'!$P221+ROW()/1000000,"")</f>
        <v/>
      </c>
      <c r="M221" s="91" t="str">
        <f>IFERROR(MATCH('15_STOCK'!$N221,{"INCONSISTENTE","AGOTADO","CRÍTICO","BAJO","SOBRESTOCK"},0)*100000+MIN(99,INT(IF(N('15_STOCK'!$K221)&gt;0,MAX(0,N('15_STOCK'!$J221))/'15_STOCK'!$K221,0)*10))*1000+ROW(),"")</f>
        <v/>
      </c>
      <c r="N221" s="91" t="str">
        <f>IF(AND(ISNUMBER(MATCH('15_STOCK'!$N221,{"AGOTADO","CRÍTICO","BAJO"},0)),'15_STOCK'!$G221="SI",OR(pdProveedor="(Todos)",pdProveedor="",'15_STOCK'!$E221=pdProveedor)),IFERROR(MATCH('15_STOCK'!$E221,tblProveedores[Proveedor],0),999)*1000000+MATCH('15_STOCK'!$N221,{"AGOTADO","CRÍTICO","BAJO"},0)*10000+ROW(),"")</f>
        <v/>
      </c>
      <c r="O221" s="92">
        <v>214</v>
      </c>
      <c r="P221" s="91" t="str">
        <f t="shared" si="15"/>
        <v/>
      </c>
      <c r="Q221" s="91" t="str">
        <f t="shared" si="16"/>
        <v/>
      </c>
      <c r="R221" s="92">
        <v>214</v>
      </c>
      <c r="S221" s="91" t="str">
        <f t="shared" si="17"/>
        <v/>
      </c>
      <c r="T221" s="91" t="str">
        <f t="shared" si="18"/>
        <v/>
      </c>
    </row>
    <row r="222" spans="12:20" x14ac:dyDescent="0.25">
      <c r="L222" s="91" t="str">
        <f>IF(AND(ISNUMBER('15_STOCK'!$P222),'15_STOCK'!$P222&gt;0),'15_STOCK'!$P222+ROW()/1000000,"")</f>
        <v/>
      </c>
      <c r="M222" s="91" t="str">
        <f>IFERROR(MATCH('15_STOCK'!$N222,{"INCONSISTENTE","AGOTADO","CRÍTICO","BAJO","SOBRESTOCK"},0)*100000+MIN(99,INT(IF(N('15_STOCK'!$K222)&gt;0,MAX(0,N('15_STOCK'!$J222))/'15_STOCK'!$K222,0)*10))*1000+ROW(),"")</f>
        <v/>
      </c>
      <c r="N222" s="91" t="str">
        <f>IF(AND(ISNUMBER(MATCH('15_STOCK'!$N222,{"AGOTADO","CRÍTICO","BAJO"},0)),'15_STOCK'!$G222="SI",OR(pdProveedor="(Todos)",pdProveedor="",'15_STOCK'!$E222=pdProveedor)),IFERROR(MATCH('15_STOCK'!$E222,tblProveedores[Proveedor],0),999)*1000000+MATCH('15_STOCK'!$N222,{"AGOTADO","CRÍTICO","BAJO"},0)*10000+ROW(),"")</f>
        <v/>
      </c>
      <c r="O222" s="92">
        <v>215</v>
      </c>
      <c r="P222" s="91" t="str">
        <f t="shared" si="15"/>
        <v/>
      </c>
      <c r="Q222" s="91" t="str">
        <f t="shared" si="16"/>
        <v/>
      </c>
      <c r="R222" s="92">
        <v>215</v>
      </c>
      <c r="S222" s="91" t="str">
        <f t="shared" si="17"/>
        <v/>
      </c>
      <c r="T222" s="91" t="str">
        <f t="shared" si="18"/>
        <v/>
      </c>
    </row>
    <row r="223" spans="12:20" x14ac:dyDescent="0.25">
      <c r="L223" s="91" t="str">
        <f>IF(AND(ISNUMBER('15_STOCK'!$P223),'15_STOCK'!$P223&gt;0),'15_STOCK'!$P223+ROW()/1000000,"")</f>
        <v/>
      </c>
      <c r="M223" s="91" t="str">
        <f>IFERROR(MATCH('15_STOCK'!$N223,{"INCONSISTENTE","AGOTADO","CRÍTICO","BAJO","SOBRESTOCK"},0)*100000+MIN(99,INT(IF(N('15_STOCK'!$K223)&gt;0,MAX(0,N('15_STOCK'!$J223))/'15_STOCK'!$K223,0)*10))*1000+ROW(),"")</f>
        <v/>
      </c>
      <c r="N223" s="91" t="str">
        <f>IF(AND(ISNUMBER(MATCH('15_STOCK'!$N223,{"AGOTADO","CRÍTICO","BAJO"},0)),'15_STOCK'!$G223="SI",OR(pdProveedor="(Todos)",pdProveedor="",'15_STOCK'!$E223=pdProveedor)),IFERROR(MATCH('15_STOCK'!$E223,tblProveedores[Proveedor],0),999)*1000000+MATCH('15_STOCK'!$N223,{"AGOTADO","CRÍTICO","BAJO"},0)*10000+ROW(),"")</f>
        <v/>
      </c>
      <c r="O223" s="92">
        <v>216</v>
      </c>
      <c r="P223" s="91" t="str">
        <f t="shared" si="15"/>
        <v/>
      </c>
      <c r="Q223" s="91" t="str">
        <f t="shared" si="16"/>
        <v/>
      </c>
      <c r="R223" s="92">
        <v>216</v>
      </c>
      <c r="S223" s="91" t="str">
        <f t="shared" si="17"/>
        <v/>
      </c>
      <c r="T223" s="91" t="str">
        <f t="shared" si="18"/>
        <v/>
      </c>
    </row>
    <row r="224" spans="12:20" x14ac:dyDescent="0.25">
      <c r="L224" s="91" t="str">
        <f>IF(AND(ISNUMBER('15_STOCK'!$P224),'15_STOCK'!$P224&gt;0),'15_STOCK'!$P224+ROW()/1000000,"")</f>
        <v/>
      </c>
      <c r="M224" s="91" t="str">
        <f>IFERROR(MATCH('15_STOCK'!$N224,{"INCONSISTENTE","AGOTADO","CRÍTICO","BAJO","SOBRESTOCK"},0)*100000+MIN(99,INT(IF(N('15_STOCK'!$K224)&gt;0,MAX(0,N('15_STOCK'!$J224))/'15_STOCK'!$K224,0)*10))*1000+ROW(),"")</f>
        <v/>
      </c>
      <c r="N224" s="91" t="str">
        <f>IF(AND(ISNUMBER(MATCH('15_STOCK'!$N224,{"AGOTADO","CRÍTICO","BAJO"},0)),'15_STOCK'!$G224="SI",OR(pdProveedor="(Todos)",pdProveedor="",'15_STOCK'!$E224=pdProveedor)),IFERROR(MATCH('15_STOCK'!$E224,tblProveedores[Proveedor],0),999)*1000000+MATCH('15_STOCK'!$N224,{"AGOTADO","CRÍTICO","BAJO"},0)*10000+ROW(),"")</f>
        <v/>
      </c>
      <c r="O224" s="92">
        <v>217</v>
      </c>
      <c r="P224" s="91" t="str">
        <f t="shared" si="15"/>
        <v/>
      </c>
      <c r="Q224" s="91" t="str">
        <f t="shared" si="16"/>
        <v/>
      </c>
      <c r="R224" s="92">
        <v>217</v>
      </c>
      <c r="S224" s="91" t="str">
        <f t="shared" si="17"/>
        <v/>
      </c>
      <c r="T224" s="91" t="str">
        <f t="shared" si="18"/>
        <v/>
      </c>
    </row>
    <row r="225" spans="12:20" x14ac:dyDescent="0.25">
      <c r="L225" s="91" t="str">
        <f>IF(AND(ISNUMBER('15_STOCK'!$P225),'15_STOCK'!$P225&gt;0),'15_STOCK'!$P225+ROW()/1000000,"")</f>
        <v/>
      </c>
      <c r="M225" s="91" t="str">
        <f>IFERROR(MATCH('15_STOCK'!$N225,{"INCONSISTENTE","AGOTADO","CRÍTICO","BAJO","SOBRESTOCK"},0)*100000+MIN(99,INT(IF(N('15_STOCK'!$K225)&gt;0,MAX(0,N('15_STOCK'!$J225))/'15_STOCK'!$K225,0)*10))*1000+ROW(),"")</f>
        <v/>
      </c>
      <c r="N225" s="91" t="str">
        <f>IF(AND(ISNUMBER(MATCH('15_STOCK'!$N225,{"AGOTADO","CRÍTICO","BAJO"},0)),'15_STOCK'!$G225="SI",OR(pdProveedor="(Todos)",pdProveedor="",'15_STOCK'!$E225=pdProveedor)),IFERROR(MATCH('15_STOCK'!$E225,tblProveedores[Proveedor],0),999)*1000000+MATCH('15_STOCK'!$N225,{"AGOTADO","CRÍTICO","BAJO"},0)*10000+ROW(),"")</f>
        <v/>
      </c>
      <c r="O225" s="92">
        <v>218</v>
      </c>
      <c r="P225" s="91" t="str">
        <f t="shared" si="15"/>
        <v/>
      </c>
      <c r="Q225" s="91" t="str">
        <f t="shared" si="16"/>
        <v/>
      </c>
      <c r="R225" s="92">
        <v>218</v>
      </c>
      <c r="S225" s="91" t="str">
        <f t="shared" si="17"/>
        <v/>
      </c>
      <c r="T225" s="91" t="str">
        <f t="shared" si="18"/>
        <v/>
      </c>
    </row>
    <row r="226" spans="12:20" x14ac:dyDescent="0.25">
      <c r="L226" s="91" t="str">
        <f>IF(AND(ISNUMBER('15_STOCK'!$P226),'15_STOCK'!$P226&gt;0),'15_STOCK'!$P226+ROW()/1000000,"")</f>
        <v/>
      </c>
      <c r="M226" s="91" t="str">
        <f>IFERROR(MATCH('15_STOCK'!$N226,{"INCONSISTENTE","AGOTADO","CRÍTICO","BAJO","SOBRESTOCK"},0)*100000+MIN(99,INT(IF(N('15_STOCK'!$K226)&gt;0,MAX(0,N('15_STOCK'!$J226))/'15_STOCK'!$K226,0)*10))*1000+ROW(),"")</f>
        <v/>
      </c>
      <c r="N226" s="91" t="str">
        <f>IF(AND(ISNUMBER(MATCH('15_STOCK'!$N226,{"AGOTADO","CRÍTICO","BAJO"},0)),'15_STOCK'!$G226="SI",OR(pdProveedor="(Todos)",pdProveedor="",'15_STOCK'!$E226=pdProveedor)),IFERROR(MATCH('15_STOCK'!$E226,tblProveedores[Proveedor],0),999)*1000000+MATCH('15_STOCK'!$N226,{"AGOTADO","CRÍTICO","BAJO"},0)*10000+ROW(),"")</f>
        <v/>
      </c>
      <c r="O226" s="92">
        <v>219</v>
      </c>
      <c r="P226" s="91" t="str">
        <f t="shared" si="15"/>
        <v/>
      </c>
      <c r="Q226" s="91" t="str">
        <f t="shared" si="16"/>
        <v/>
      </c>
      <c r="R226" s="92">
        <v>219</v>
      </c>
      <c r="S226" s="91" t="str">
        <f t="shared" si="17"/>
        <v/>
      </c>
      <c r="T226" s="91" t="str">
        <f t="shared" si="18"/>
        <v/>
      </c>
    </row>
    <row r="227" spans="12:20" x14ac:dyDescent="0.25">
      <c r="L227" s="91" t="str">
        <f>IF(AND(ISNUMBER('15_STOCK'!$P227),'15_STOCK'!$P227&gt;0),'15_STOCK'!$P227+ROW()/1000000,"")</f>
        <v/>
      </c>
      <c r="M227" s="91" t="str">
        <f>IFERROR(MATCH('15_STOCK'!$N227,{"INCONSISTENTE","AGOTADO","CRÍTICO","BAJO","SOBRESTOCK"},0)*100000+MIN(99,INT(IF(N('15_STOCK'!$K227)&gt;0,MAX(0,N('15_STOCK'!$J227))/'15_STOCK'!$K227,0)*10))*1000+ROW(),"")</f>
        <v/>
      </c>
      <c r="N227" s="91" t="str">
        <f>IF(AND(ISNUMBER(MATCH('15_STOCK'!$N227,{"AGOTADO","CRÍTICO","BAJO"},0)),'15_STOCK'!$G227="SI",OR(pdProveedor="(Todos)",pdProveedor="",'15_STOCK'!$E227=pdProveedor)),IFERROR(MATCH('15_STOCK'!$E227,tblProveedores[Proveedor],0),999)*1000000+MATCH('15_STOCK'!$N227,{"AGOTADO","CRÍTICO","BAJO"},0)*10000+ROW(),"")</f>
        <v/>
      </c>
      <c r="O227" s="92">
        <v>220</v>
      </c>
      <c r="P227" s="91" t="str">
        <f t="shared" si="15"/>
        <v/>
      </c>
      <c r="Q227" s="91" t="str">
        <f t="shared" si="16"/>
        <v/>
      </c>
      <c r="R227" s="92">
        <v>220</v>
      </c>
      <c r="S227" s="91" t="str">
        <f t="shared" si="17"/>
        <v/>
      </c>
      <c r="T227" s="91" t="str">
        <f t="shared" si="18"/>
        <v/>
      </c>
    </row>
    <row r="228" spans="12:20" x14ac:dyDescent="0.25">
      <c r="L228" s="91" t="str">
        <f>IF(AND(ISNUMBER('15_STOCK'!$P228),'15_STOCK'!$P228&gt;0),'15_STOCK'!$P228+ROW()/1000000,"")</f>
        <v/>
      </c>
      <c r="M228" s="91" t="str">
        <f>IFERROR(MATCH('15_STOCK'!$N228,{"INCONSISTENTE","AGOTADO","CRÍTICO","BAJO","SOBRESTOCK"},0)*100000+MIN(99,INT(IF(N('15_STOCK'!$K228)&gt;0,MAX(0,N('15_STOCK'!$J228))/'15_STOCK'!$K228,0)*10))*1000+ROW(),"")</f>
        <v/>
      </c>
      <c r="N228" s="91" t="str">
        <f>IF(AND(ISNUMBER(MATCH('15_STOCK'!$N228,{"AGOTADO","CRÍTICO","BAJO"},0)),'15_STOCK'!$G228="SI",OR(pdProveedor="(Todos)",pdProveedor="",'15_STOCK'!$E228=pdProveedor)),IFERROR(MATCH('15_STOCK'!$E228,tblProveedores[Proveedor],0),999)*1000000+MATCH('15_STOCK'!$N228,{"AGOTADO","CRÍTICO","BAJO"},0)*10000+ROW(),"")</f>
        <v/>
      </c>
      <c r="O228" s="92">
        <v>221</v>
      </c>
      <c r="P228" s="91" t="str">
        <f t="shared" si="15"/>
        <v/>
      </c>
      <c r="Q228" s="91" t="str">
        <f t="shared" si="16"/>
        <v/>
      </c>
      <c r="R228" s="92">
        <v>221</v>
      </c>
      <c r="S228" s="91" t="str">
        <f t="shared" si="17"/>
        <v/>
      </c>
      <c r="T228" s="91" t="str">
        <f t="shared" si="18"/>
        <v/>
      </c>
    </row>
    <row r="229" spans="12:20" x14ac:dyDescent="0.25">
      <c r="L229" s="91" t="str">
        <f>IF(AND(ISNUMBER('15_STOCK'!$P229),'15_STOCK'!$P229&gt;0),'15_STOCK'!$P229+ROW()/1000000,"")</f>
        <v/>
      </c>
      <c r="M229" s="91" t="str">
        <f>IFERROR(MATCH('15_STOCK'!$N229,{"INCONSISTENTE","AGOTADO","CRÍTICO","BAJO","SOBRESTOCK"},0)*100000+MIN(99,INT(IF(N('15_STOCK'!$K229)&gt;0,MAX(0,N('15_STOCK'!$J229))/'15_STOCK'!$K229,0)*10))*1000+ROW(),"")</f>
        <v/>
      </c>
      <c r="N229" s="91" t="str">
        <f>IF(AND(ISNUMBER(MATCH('15_STOCK'!$N229,{"AGOTADO","CRÍTICO","BAJO"},0)),'15_STOCK'!$G229="SI",OR(pdProveedor="(Todos)",pdProveedor="",'15_STOCK'!$E229=pdProveedor)),IFERROR(MATCH('15_STOCK'!$E229,tblProveedores[Proveedor],0),999)*1000000+MATCH('15_STOCK'!$N229,{"AGOTADO","CRÍTICO","BAJO"},0)*10000+ROW(),"")</f>
        <v/>
      </c>
      <c r="O229" s="92">
        <v>222</v>
      </c>
      <c r="P229" s="91" t="str">
        <f t="shared" si="15"/>
        <v/>
      </c>
      <c r="Q229" s="91" t="str">
        <f t="shared" si="16"/>
        <v/>
      </c>
      <c r="R229" s="92">
        <v>222</v>
      </c>
      <c r="S229" s="91" t="str">
        <f t="shared" si="17"/>
        <v/>
      </c>
      <c r="T229" s="91" t="str">
        <f t="shared" si="18"/>
        <v/>
      </c>
    </row>
    <row r="230" spans="12:20" x14ac:dyDescent="0.25">
      <c r="L230" s="91" t="str">
        <f>IF(AND(ISNUMBER('15_STOCK'!$P230),'15_STOCK'!$P230&gt;0),'15_STOCK'!$P230+ROW()/1000000,"")</f>
        <v/>
      </c>
      <c r="M230" s="91" t="str">
        <f>IFERROR(MATCH('15_STOCK'!$N230,{"INCONSISTENTE","AGOTADO","CRÍTICO","BAJO","SOBRESTOCK"},0)*100000+MIN(99,INT(IF(N('15_STOCK'!$K230)&gt;0,MAX(0,N('15_STOCK'!$J230))/'15_STOCK'!$K230,0)*10))*1000+ROW(),"")</f>
        <v/>
      </c>
      <c r="N230" s="91" t="str">
        <f>IF(AND(ISNUMBER(MATCH('15_STOCK'!$N230,{"AGOTADO","CRÍTICO","BAJO"},0)),'15_STOCK'!$G230="SI",OR(pdProveedor="(Todos)",pdProveedor="",'15_STOCK'!$E230=pdProveedor)),IFERROR(MATCH('15_STOCK'!$E230,tblProveedores[Proveedor],0),999)*1000000+MATCH('15_STOCK'!$N230,{"AGOTADO","CRÍTICO","BAJO"},0)*10000+ROW(),"")</f>
        <v/>
      </c>
      <c r="O230" s="92">
        <v>223</v>
      </c>
      <c r="P230" s="91" t="str">
        <f t="shared" si="15"/>
        <v/>
      </c>
      <c r="Q230" s="91" t="str">
        <f t="shared" si="16"/>
        <v/>
      </c>
      <c r="R230" s="92">
        <v>223</v>
      </c>
      <c r="S230" s="91" t="str">
        <f t="shared" si="17"/>
        <v/>
      </c>
      <c r="T230" s="91" t="str">
        <f t="shared" si="18"/>
        <v/>
      </c>
    </row>
    <row r="231" spans="12:20" x14ac:dyDescent="0.25">
      <c r="L231" s="91" t="str">
        <f>IF(AND(ISNUMBER('15_STOCK'!$P231),'15_STOCK'!$P231&gt;0),'15_STOCK'!$P231+ROW()/1000000,"")</f>
        <v/>
      </c>
      <c r="M231" s="91" t="str">
        <f>IFERROR(MATCH('15_STOCK'!$N231,{"INCONSISTENTE","AGOTADO","CRÍTICO","BAJO","SOBRESTOCK"},0)*100000+MIN(99,INT(IF(N('15_STOCK'!$K231)&gt;0,MAX(0,N('15_STOCK'!$J231))/'15_STOCK'!$K231,0)*10))*1000+ROW(),"")</f>
        <v/>
      </c>
      <c r="N231" s="91" t="str">
        <f>IF(AND(ISNUMBER(MATCH('15_STOCK'!$N231,{"AGOTADO","CRÍTICO","BAJO"},0)),'15_STOCK'!$G231="SI",OR(pdProveedor="(Todos)",pdProveedor="",'15_STOCK'!$E231=pdProveedor)),IFERROR(MATCH('15_STOCK'!$E231,tblProveedores[Proveedor],0),999)*1000000+MATCH('15_STOCK'!$N231,{"AGOTADO","CRÍTICO","BAJO"},0)*10000+ROW(),"")</f>
        <v/>
      </c>
      <c r="O231" s="92">
        <v>224</v>
      </c>
      <c r="P231" s="91" t="str">
        <f t="shared" si="15"/>
        <v/>
      </c>
      <c r="Q231" s="91" t="str">
        <f t="shared" si="16"/>
        <v/>
      </c>
      <c r="R231" s="92">
        <v>224</v>
      </c>
      <c r="S231" s="91" t="str">
        <f t="shared" si="17"/>
        <v/>
      </c>
      <c r="T231" s="91" t="str">
        <f t="shared" si="18"/>
        <v/>
      </c>
    </row>
    <row r="232" spans="12:20" x14ac:dyDescent="0.25">
      <c r="L232" s="91" t="str">
        <f>IF(AND(ISNUMBER('15_STOCK'!$P232),'15_STOCK'!$P232&gt;0),'15_STOCK'!$P232+ROW()/1000000,"")</f>
        <v/>
      </c>
      <c r="M232" s="91" t="str">
        <f>IFERROR(MATCH('15_STOCK'!$N232,{"INCONSISTENTE","AGOTADO","CRÍTICO","BAJO","SOBRESTOCK"},0)*100000+MIN(99,INT(IF(N('15_STOCK'!$K232)&gt;0,MAX(0,N('15_STOCK'!$J232))/'15_STOCK'!$K232,0)*10))*1000+ROW(),"")</f>
        <v/>
      </c>
      <c r="N232" s="91" t="str">
        <f>IF(AND(ISNUMBER(MATCH('15_STOCK'!$N232,{"AGOTADO","CRÍTICO","BAJO"},0)),'15_STOCK'!$G232="SI",OR(pdProveedor="(Todos)",pdProveedor="",'15_STOCK'!$E232=pdProveedor)),IFERROR(MATCH('15_STOCK'!$E232,tblProveedores[Proveedor],0),999)*1000000+MATCH('15_STOCK'!$N232,{"AGOTADO","CRÍTICO","BAJO"},0)*10000+ROW(),"")</f>
        <v/>
      </c>
      <c r="O232" s="92">
        <v>225</v>
      </c>
      <c r="P232" s="91" t="str">
        <f t="shared" si="15"/>
        <v/>
      </c>
      <c r="Q232" s="91" t="str">
        <f t="shared" si="16"/>
        <v/>
      </c>
      <c r="R232" s="92">
        <v>225</v>
      </c>
      <c r="S232" s="91" t="str">
        <f t="shared" si="17"/>
        <v/>
      </c>
      <c r="T232" s="91" t="str">
        <f t="shared" si="18"/>
        <v/>
      </c>
    </row>
    <row r="233" spans="12:20" x14ac:dyDescent="0.25">
      <c r="L233" s="91" t="str">
        <f>IF(AND(ISNUMBER('15_STOCK'!$P233),'15_STOCK'!$P233&gt;0),'15_STOCK'!$P233+ROW()/1000000,"")</f>
        <v/>
      </c>
      <c r="M233" s="91" t="str">
        <f>IFERROR(MATCH('15_STOCK'!$N233,{"INCONSISTENTE","AGOTADO","CRÍTICO","BAJO","SOBRESTOCK"},0)*100000+MIN(99,INT(IF(N('15_STOCK'!$K233)&gt;0,MAX(0,N('15_STOCK'!$J233))/'15_STOCK'!$K233,0)*10))*1000+ROW(),"")</f>
        <v/>
      </c>
      <c r="N233" s="91" t="str">
        <f>IF(AND(ISNUMBER(MATCH('15_STOCK'!$N233,{"AGOTADO","CRÍTICO","BAJO"},0)),'15_STOCK'!$G233="SI",OR(pdProveedor="(Todos)",pdProveedor="",'15_STOCK'!$E233=pdProveedor)),IFERROR(MATCH('15_STOCK'!$E233,tblProveedores[Proveedor],0),999)*1000000+MATCH('15_STOCK'!$N233,{"AGOTADO","CRÍTICO","BAJO"},0)*10000+ROW(),"")</f>
        <v/>
      </c>
      <c r="O233" s="92">
        <v>226</v>
      </c>
      <c r="P233" s="91" t="str">
        <f t="shared" si="15"/>
        <v/>
      </c>
      <c r="Q233" s="91" t="str">
        <f t="shared" si="16"/>
        <v/>
      </c>
      <c r="R233" s="92">
        <v>226</v>
      </c>
      <c r="S233" s="91" t="str">
        <f t="shared" si="17"/>
        <v/>
      </c>
      <c r="T233" s="91" t="str">
        <f t="shared" si="18"/>
        <v/>
      </c>
    </row>
    <row r="234" spans="12:20" x14ac:dyDescent="0.25">
      <c r="L234" s="91" t="str">
        <f>IF(AND(ISNUMBER('15_STOCK'!$P234),'15_STOCK'!$P234&gt;0),'15_STOCK'!$P234+ROW()/1000000,"")</f>
        <v/>
      </c>
      <c r="M234" s="91" t="str">
        <f>IFERROR(MATCH('15_STOCK'!$N234,{"INCONSISTENTE","AGOTADO","CRÍTICO","BAJO","SOBRESTOCK"},0)*100000+MIN(99,INT(IF(N('15_STOCK'!$K234)&gt;0,MAX(0,N('15_STOCK'!$J234))/'15_STOCK'!$K234,0)*10))*1000+ROW(),"")</f>
        <v/>
      </c>
      <c r="N234" s="91" t="str">
        <f>IF(AND(ISNUMBER(MATCH('15_STOCK'!$N234,{"AGOTADO","CRÍTICO","BAJO"},0)),'15_STOCK'!$G234="SI",OR(pdProveedor="(Todos)",pdProveedor="",'15_STOCK'!$E234=pdProveedor)),IFERROR(MATCH('15_STOCK'!$E234,tblProveedores[Proveedor],0),999)*1000000+MATCH('15_STOCK'!$N234,{"AGOTADO","CRÍTICO","BAJO"},0)*10000+ROW(),"")</f>
        <v/>
      </c>
      <c r="O234" s="92">
        <v>227</v>
      </c>
      <c r="P234" s="91" t="str">
        <f t="shared" si="15"/>
        <v/>
      </c>
      <c r="Q234" s="91" t="str">
        <f t="shared" si="16"/>
        <v/>
      </c>
      <c r="R234" s="92">
        <v>227</v>
      </c>
      <c r="S234" s="91" t="str">
        <f t="shared" si="17"/>
        <v/>
      </c>
      <c r="T234" s="91" t="str">
        <f t="shared" si="18"/>
        <v/>
      </c>
    </row>
    <row r="235" spans="12:20" x14ac:dyDescent="0.25">
      <c r="L235" s="91" t="str">
        <f>IF(AND(ISNUMBER('15_STOCK'!$P235),'15_STOCK'!$P235&gt;0),'15_STOCK'!$P235+ROW()/1000000,"")</f>
        <v/>
      </c>
      <c r="M235" s="91" t="str">
        <f>IFERROR(MATCH('15_STOCK'!$N235,{"INCONSISTENTE","AGOTADO","CRÍTICO","BAJO","SOBRESTOCK"},0)*100000+MIN(99,INT(IF(N('15_STOCK'!$K235)&gt;0,MAX(0,N('15_STOCK'!$J235))/'15_STOCK'!$K235,0)*10))*1000+ROW(),"")</f>
        <v/>
      </c>
      <c r="N235" s="91" t="str">
        <f>IF(AND(ISNUMBER(MATCH('15_STOCK'!$N235,{"AGOTADO","CRÍTICO","BAJO"},0)),'15_STOCK'!$G235="SI",OR(pdProveedor="(Todos)",pdProveedor="",'15_STOCK'!$E235=pdProveedor)),IFERROR(MATCH('15_STOCK'!$E235,tblProveedores[Proveedor],0),999)*1000000+MATCH('15_STOCK'!$N235,{"AGOTADO","CRÍTICO","BAJO"},0)*10000+ROW(),"")</f>
        <v/>
      </c>
      <c r="O235" s="92">
        <v>228</v>
      </c>
      <c r="P235" s="91" t="str">
        <f t="shared" si="15"/>
        <v/>
      </c>
      <c r="Q235" s="91" t="str">
        <f t="shared" si="16"/>
        <v/>
      </c>
      <c r="R235" s="92">
        <v>228</v>
      </c>
      <c r="S235" s="91" t="str">
        <f t="shared" si="17"/>
        <v/>
      </c>
      <c r="T235" s="91" t="str">
        <f t="shared" si="18"/>
        <v/>
      </c>
    </row>
    <row r="236" spans="12:20" x14ac:dyDescent="0.25">
      <c r="L236" s="91" t="str">
        <f>IF(AND(ISNUMBER('15_STOCK'!$P236),'15_STOCK'!$P236&gt;0),'15_STOCK'!$P236+ROW()/1000000,"")</f>
        <v/>
      </c>
      <c r="M236" s="91" t="str">
        <f>IFERROR(MATCH('15_STOCK'!$N236,{"INCONSISTENTE","AGOTADO","CRÍTICO","BAJO","SOBRESTOCK"},0)*100000+MIN(99,INT(IF(N('15_STOCK'!$K236)&gt;0,MAX(0,N('15_STOCK'!$J236))/'15_STOCK'!$K236,0)*10))*1000+ROW(),"")</f>
        <v/>
      </c>
      <c r="N236" s="91" t="str">
        <f>IF(AND(ISNUMBER(MATCH('15_STOCK'!$N236,{"AGOTADO","CRÍTICO","BAJO"},0)),'15_STOCK'!$G236="SI",OR(pdProveedor="(Todos)",pdProveedor="",'15_STOCK'!$E236=pdProveedor)),IFERROR(MATCH('15_STOCK'!$E236,tblProveedores[Proveedor],0),999)*1000000+MATCH('15_STOCK'!$N236,{"AGOTADO","CRÍTICO","BAJO"},0)*10000+ROW(),"")</f>
        <v/>
      </c>
      <c r="O236" s="92">
        <v>229</v>
      </c>
      <c r="P236" s="91" t="str">
        <f t="shared" si="15"/>
        <v/>
      </c>
      <c r="Q236" s="91" t="str">
        <f t="shared" si="16"/>
        <v/>
      </c>
      <c r="R236" s="92">
        <v>229</v>
      </c>
      <c r="S236" s="91" t="str">
        <f t="shared" si="17"/>
        <v/>
      </c>
      <c r="T236" s="91" t="str">
        <f t="shared" si="18"/>
        <v/>
      </c>
    </row>
    <row r="237" spans="12:20" x14ac:dyDescent="0.25">
      <c r="L237" s="91" t="str">
        <f>IF(AND(ISNUMBER('15_STOCK'!$P237),'15_STOCK'!$P237&gt;0),'15_STOCK'!$P237+ROW()/1000000,"")</f>
        <v/>
      </c>
      <c r="M237" s="91" t="str">
        <f>IFERROR(MATCH('15_STOCK'!$N237,{"INCONSISTENTE","AGOTADO","CRÍTICO","BAJO","SOBRESTOCK"},0)*100000+MIN(99,INT(IF(N('15_STOCK'!$K237)&gt;0,MAX(0,N('15_STOCK'!$J237))/'15_STOCK'!$K237,0)*10))*1000+ROW(),"")</f>
        <v/>
      </c>
      <c r="N237" s="91" t="str">
        <f>IF(AND(ISNUMBER(MATCH('15_STOCK'!$N237,{"AGOTADO","CRÍTICO","BAJO"},0)),'15_STOCK'!$G237="SI",OR(pdProveedor="(Todos)",pdProveedor="",'15_STOCK'!$E237=pdProveedor)),IFERROR(MATCH('15_STOCK'!$E237,tblProveedores[Proveedor],0),999)*1000000+MATCH('15_STOCK'!$N237,{"AGOTADO","CRÍTICO","BAJO"},0)*10000+ROW(),"")</f>
        <v/>
      </c>
      <c r="O237" s="92">
        <v>230</v>
      </c>
      <c r="P237" s="91" t="str">
        <f t="shared" si="15"/>
        <v/>
      </c>
      <c r="Q237" s="91" t="str">
        <f t="shared" si="16"/>
        <v/>
      </c>
      <c r="R237" s="92">
        <v>230</v>
      </c>
      <c r="S237" s="91" t="str">
        <f t="shared" si="17"/>
        <v/>
      </c>
      <c r="T237" s="91" t="str">
        <f t="shared" si="18"/>
        <v/>
      </c>
    </row>
    <row r="238" spans="12:20" x14ac:dyDescent="0.25">
      <c r="L238" s="91" t="str">
        <f>IF(AND(ISNUMBER('15_STOCK'!$P238),'15_STOCK'!$P238&gt;0),'15_STOCK'!$P238+ROW()/1000000,"")</f>
        <v/>
      </c>
      <c r="M238" s="91" t="str">
        <f>IFERROR(MATCH('15_STOCK'!$N238,{"INCONSISTENTE","AGOTADO","CRÍTICO","BAJO","SOBRESTOCK"},0)*100000+MIN(99,INT(IF(N('15_STOCK'!$K238)&gt;0,MAX(0,N('15_STOCK'!$J238))/'15_STOCK'!$K238,0)*10))*1000+ROW(),"")</f>
        <v/>
      </c>
      <c r="N238" s="91" t="str">
        <f>IF(AND(ISNUMBER(MATCH('15_STOCK'!$N238,{"AGOTADO","CRÍTICO","BAJO"},0)),'15_STOCK'!$G238="SI",OR(pdProveedor="(Todos)",pdProveedor="",'15_STOCK'!$E238=pdProveedor)),IFERROR(MATCH('15_STOCK'!$E238,tblProveedores[Proveedor],0),999)*1000000+MATCH('15_STOCK'!$N238,{"AGOTADO","CRÍTICO","BAJO"},0)*10000+ROW(),"")</f>
        <v/>
      </c>
      <c r="O238" s="92">
        <v>231</v>
      </c>
      <c r="P238" s="91" t="str">
        <f t="shared" si="15"/>
        <v/>
      </c>
      <c r="Q238" s="91" t="str">
        <f t="shared" si="16"/>
        <v/>
      </c>
      <c r="R238" s="92">
        <v>231</v>
      </c>
      <c r="S238" s="91" t="str">
        <f t="shared" si="17"/>
        <v/>
      </c>
      <c r="T238" s="91" t="str">
        <f t="shared" si="18"/>
        <v/>
      </c>
    </row>
    <row r="239" spans="12:20" x14ac:dyDescent="0.25">
      <c r="L239" s="91" t="str">
        <f>IF(AND(ISNUMBER('15_STOCK'!$P239),'15_STOCK'!$P239&gt;0),'15_STOCK'!$P239+ROW()/1000000,"")</f>
        <v/>
      </c>
      <c r="M239" s="91" t="str">
        <f>IFERROR(MATCH('15_STOCK'!$N239,{"INCONSISTENTE","AGOTADO","CRÍTICO","BAJO","SOBRESTOCK"},0)*100000+MIN(99,INT(IF(N('15_STOCK'!$K239)&gt;0,MAX(0,N('15_STOCK'!$J239))/'15_STOCK'!$K239,0)*10))*1000+ROW(),"")</f>
        <v/>
      </c>
      <c r="N239" s="91" t="str">
        <f>IF(AND(ISNUMBER(MATCH('15_STOCK'!$N239,{"AGOTADO","CRÍTICO","BAJO"},0)),'15_STOCK'!$G239="SI",OR(pdProveedor="(Todos)",pdProveedor="",'15_STOCK'!$E239=pdProveedor)),IFERROR(MATCH('15_STOCK'!$E239,tblProveedores[Proveedor],0),999)*1000000+MATCH('15_STOCK'!$N239,{"AGOTADO","CRÍTICO","BAJO"},0)*10000+ROW(),"")</f>
        <v/>
      </c>
      <c r="O239" s="92">
        <v>232</v>
      </c>
      <c r="P239" s="91" t="str">
        <f t="shared" si="15"/>
        <v/>
      </c>
      <c r="Q239" s="91" t="str">
        <f t="shared" si="16"/>
        <v/>
      </c>
      <c r="R239" s="92">
        <v>232</v>
      </c>
      <c r="S239" s="91" t="str">
        <f t="shared" si="17"/>
        <v/>
      </c>
      <c r="T239" s="91" t="str">
        <f t="shared" si="18"/>
        <v/>
      </c>
    </row>
    <row r="240" spans="12:20" x14ac:dyDescent="0.25">
      <c r="L240" s="91" t="str">
        <f>IF(AND(ISNUMBER('15_STOCK'!$P240),'15_STOCK'!$P240&gt;0),'15_STOCK'!$P240+ROW()/1000000,"")</f>
        <v/>
      </c>
      <c r="M240" s="91" t="str">
        <f>IFERROR(MATCH('15_STOCK'!$N240,{"INCONSISTENTE","AGOTADO","CRÍTICO","BAJO","SOBRESTOCK"},0)*100000+MIN(99,INT(IF(N('15_STOCK'!$K240)&gt;0,MAX(0,N('15_STOCK'!$J240))/'15_STOCK'!$K240,0)*10))*1000+ROW(),"")</f>
        <v/>
      </c>
      <c r="N240" s="91" t="str">
        <f>IF(AND(ISNUMBER(MATCH('15_STOCK'!$N240,{"AGOTADO","CRÍTICO","BAJO"},0)),'15_STOCK'!$G240="SI",OR(pdProveedor="(Todos)",pdProveedor="",'15_STOCK'!$E240=pdProveedor)),IFERROR(MATCH('15_STOCK'!$E240,tblProveedores[Proveedor],0),999)*1000000+MATCH('15_STOCK'!$N240,{"AGOTADO","CRÍTICO","BAJO"},0)*10000+ROW(),"")</f>
        <v/>
      </c>
      <c r="O240" s="92">
        <v>233</v>
      </c>
      <c r="P240" s="91" t="str">
        <f t="shared" si="15"/>
        <v/>
      </c>
      <c r="Q240" s="91" t="str">
        <f t="shared" si="16"/>
        <v/>
      </c>
      <c r="R240" s="92">
        <v>233</v>
      </c>
      <c r="S240" s="91" t="str">
        <f t="shared" si="17"/>
        <v/>
      </c>
      <c r="T240" s="91" t="str">
        <f t="shared" si="18"/>
        <v/>
      </c>
    </row>
    <row r="241" spans="12:20" x14ac:dyDescent="0.25">
      <c r="L241" s="91" t="str">
        <f>IF(AND(ISNUMBER('15_STOCK'!$P241),'15_STOCK'!$P241&gt;0),'15_STOCK'!$P241+ROW()/1000000,"")</f>
        <v/>
      </c>
      <c r="M241" s="91" t="str">
        <f>IFERROR(MATCH('15_STOCK'!$N241,{"INCONSISTENTE","AGOTADO","CRÍTICO","BAJO","SOBRESTOCK"},0)*100000+MIN(99,INT(IF(N('15_STOCK'!$K241)&gt;0,MAX(0,N('15_STOCK'!$J241))/'15_STOCK'!$K241,0)*10))*1000+ROW(),"")</f>
        <v/>
      </c>
      <c r="N241" s="91" t="str">
        <f>IF(AND(ISNUMBER(MATCH('15_STOCK'!$N241,{"AGOTADO","CRÍTICO","BAJO"},0)),'15_STOCK'!$G241="SI",OR(pdProveedor="(Todos)",pdProveedor="",'15_STOCK'!$E241=pdProveedor)),IFERROR(MATCH('15_STOCK'!$E241,tblProveedores[Proveedor],0),999)*1000000+MATCH('15_STOCK'!$N241,{"AGOTADO","CRÍTICO","BAJO"},0)*10000+ROW(),"")</f>
        <v/>
      </c>
      <c r="O241" s="92">
        <v>234</v>
      </c>
      <c r="P241" s="91" t="str">
        <f t="shared" si="15"/>
        <v/>
      </c>
      <c r="Q241" s="91" t="str">
        <f t="shared" si="16"/>
        <v/>
      </c>
      <c r="R241" s="92">
        <v>234</v>
      </c>
      <c r="S241" s="91" t="str">
        <f t="shared" si="17"/>
        <v/>
      </c>
      <c r="T241" s="91" t="str">
        <f t="shared" si="18"/>
        <v/>
      </c>
    </row>
    <row r="242" spans="12:20" x14ac:dyDescent="0.25">
      <c r="L242" s="91" t="str">
        <f>IF(AND(ISNUMBER('15_STOCK'!$P242),'15_STOCK'!$P242&gt;0),'15_STOCK'!$P242+ROW()/1000000,"")</f>
        <v/>
      </c>
      <c r="M242" s="91" t="str">
        <f>IFERROR(MATCH('15_STOCK'!$N242,{"INCONSISTENTE","AGOTADO","CRÍTICO","BAJO","SOBRESTOCK"},0)*100000+MIN(99,INT(IF(N('15_STOCK'!$K242)&gt;0,MAX(0,N('15_STOCK'!$J242))/'15_STOCK'!$K242,0)*10))*1000+ROW(),"")</f>
        <v/>
      </c>
      <c r="N242" s="91" t="str">
        <f>IF(AND(ISNUMBER(MATCH('15_STOCK'!$N242,{"AGOTADO","CRÍTICO","BAJO"},0)),'15_STOCK'!$G242="SI",OR(pdProveedor="(Todos)",pdProveedor="",'15_STOCK'!$E242=pdProveedor)),IFERROR(MATCH('15_STOCK'!$E242,tblProveedores[Proveedor],0),999)*1000000+MATCH('15_STOCK'!$N242,{"AGOTADO","CRÍTICO","BAJO"},0)*10000+ROW(),"")</f>
        <v/>
      </c>
      <c r="O242" s="92">
        <v>235</v>
      </c>
      <c r="P242" s="91" t="str">
        <f t="shared" si="15"/>
        <v/>
      </c>
      <c r="Q242" s="91" t="str">
        <f t="shared" si="16"/>
        <v/>
      </c>
      <c r="R242" s="92">
        <v>235</v>
      </c>
      <c r="S242" s="91" t="str">
        <f t="shared" si="17"/>
        <v/>
      </c>
      <c r="T242" s="91" t="str">
        <f t="shared" si="18"/>
        <v/>
      </c>
    </row>
    <row r="243" spans="12:20" x14ac:dyDescent="0.25">
      <c r="L243" s="91" t="str">
        <f>IF(AND(ISNUMBER('15_STOCK'!$P243),'15_STOCK'!$P243&gt;0),'15_STOCK'!$P243+ROW()/1000000,"")</f>
        <v/>
      </c>
      <c r="M243" s="91" t="str">
        <f>IFERROR(MATCH('15_STOCK'!$N243,{"INCONSISTENTE","AGOTADO","CRÍTICO","BAJO","SOBRESTOCK"},0)*100000+MIN(99,INT(IF(N('15_STOCK'!$K243)&gt;0,MAX(0,N('15_STOCK'!$J243))/'15_STOCK'!$K243,0)*10))*1000+ROW(),"")</f>
        <v/>
      </c>
      <c r="N243" s="91" t="str">
        <f>IF(AND(ISNUMBER(MATCH('15_STOCK'!$N243,{"AGOTADO","CRÍTICO","BAJO"},0)),'15_STOCK'!$G243="SI",OR(pdProveedor="(Todos)",pdProveedor="",'15_STOCK'!$E243=pdProveedor)),IFERROR(MATCH('15_STOCK'!$E243,tblProveedores[Proveedor],0),999)*1000000+MATCH('15_STOCK'!$N243,{"AGOTADO","CRÍTICO","BAJO"},0)*10000+ROW(),"")</f>
        <v/>
      </c>
      <c r="O243" s="92">
        <v>236</v>
      </c>
      <c r="P243" s="91" t="str">
        <f t="shared" si="15"/>
        <v/>
      </c>
      <c r="Q243" s="91" t="str">
        <f t="shared" si="16"/>
        <v/>
      </c>
      <c r="R243" s="92">
        <v>236</v>
      </c>
      <c r="S243" s="91" t="str">
        <f t="shared" si="17"/>
        <v/>
      </c>
      <c r="T243" s="91" t="str">
        <f t="shared" si="18"/>
        <v/>
      </c>
    </row>
    <row r="244" spans="12:20" x14ac:dyDescent="0.25">
      <c r="L244" s="91" t="str">
        <f>IF(AND(ISNUMBER('15_STOCK'!$P244),'15_STOCK'!$P244&gt;0),'15_STOCK'!$P244+ROW()/1000000,"")</f>
        <v/>
      </c>
      <c r="M244" s="91" t="str">
        <f>IFERROR(MATCH('15_STOCK'!$N244,{"INCONSISTENTE","AGOTADO","CRÍTICO","BAJO","SOBRESTOCK"},0)*100000+MIN(99,INT(IF(N('15_STOCK'!$K244)&gt;0,MAX(0,N('15_STOCK'!$J244))/'15_STOCK'!$K244,0)*10))*1000+ROW(),"")</f>
        <v/>
      </c>
      <c r="N244" s="91" t="str">
        <f>IF(AND(ISNUMBER(MATCH('15_STOCK'!$N244,{"AGOTADO","CRÍTICO","BAJO"},0)),'15_STOCK'!$G244="SI",OR(pdProveedor="(Todos)",pdProveedor="",'15_STOCK'!$E244=pdProveedor)),IFERROR(MATCH('15_STOCK'!$E244,tblProveedores[Proveedor],0),999)*1000000+MATCH('15_STOCK'!$N244,{"AGOTADO","CRÍTICO","BAJO"},0)*10000+ROW(),"")</f>
        <v/>
      </c>
      <c r="O244" s="92">
        <v>237</v>
      </c>
      <c r="P244" s="91" t="str">
        <f t="shared" si="15"/>
        <v/>
      </c>
      <c r="Q244" s="91" t="str">
        <f t="shared" si="16"/>
        <v/>
      </c>
      <c r="R244" s="92">
        <v>237</v>
      </c>
      <c r="S244" s="91" t="str">
        <f t="shared" si="17"/>
        <v/>
      </c>
      <c r="T244" s="91" t="str">
        <f t="shared" si="18"/>
        <v/>
      </c>
    </row>
    <row r="245" spans="12:20" x14ac:dyDescent="0.25">
      <c r="L245" s="91" t="str">
        <f>IF(AND(ISNUMBER('15_STOCK'!$P245),'15_STOCK'!$P245&gt;0),'15_STOCK'!$P245+ROW()/1000000,"")</f>
        <v/>
      </c>
      <c r="M245" s="91" t="str">
        <f>IFERROR(MATCH('15_STOCK'!$N245,{"INCONSISTENTE","AGOTADO","CRÍTICO","BAJO","SOBRESTOCK"},0)*100000+MIN(99,INT(IF(N('15_STOCK'!$K245)&gt;0,MAX(0,N('15_STOCK'!$J245))/'15_STOCK'!$K245,0)*10))*1000+ROW(),"")</f>
        <v/>
      </c>
      <c r="N245" s="91" t="str">
        <f>IF(AND(ISNUMBER(MATCH('15_STOCK'!$N245,{"AGOTADO","CRÍTICO","BAJO"},0)),'15_STOCK'!$G245="SI",OR(pdProveedor="(Todos)",pdProveedor="",'15_STOCK'!$E245=pdProveedor)),IFERROR(MATCH('15_STOCK'!$E245,tblProveedores[Proveedor],0),999)*1000000+MATCH('15_STOCK'!$N245,{"AGOTADO","CRÍTICO","BAJO"},0)*10000+ROW(),"")</f>
        <v/>
      </c>
      <c r="O245" s="92">
        <v>238</v>
      </c>
      <c r="P245" s="91" t="str">
        <f t="shared" si="15"/>
        <v/>
      </c>
      <c r="Q245" s="91" t="str">
        <f t="shared" si="16"/>
        <v/>
      </c>
      <c r="R245" s="92">
        <v>238</v>
      </c>
      <c r="S245" s="91" t="str">
        <f t="shared" si="17"/>
        <v/>
      </c>
      <c r="T245" s="91" t="str">
        <f t="shared" si="18"/>
        <v/>
      </c>
    </row>
    <row r="246" spans="12:20" x14ac:dyDescent="0.25">
      <c r="L246" s="91" t="str">
        <f>IF(AND(ISNUMBER('15_STOCK'!$P246),'15_STOCK'!$P246&gt;0),'15_STOCK'!$P246+ROW()/1000000,"")</f>
        <v/>
      </c>
      <c r="M246" s="91" t="str">
        <f>IFERROR(MATCH('15_STOCK'!$N246,{"INCONSISTENTE","AGOTADO","CRÍTICO","BAJO","SOBRESTOCK"},0)*100000+MIN(99,INT(IF(N('15_STOCK'!$K246)&gt;0,MAX(0,N('15_STOCK'!$J246))/'15_STOCK'!$K246,0)*10))*1000+ROW(),"")</f>
        <v/>
      </c>
      <c r="N246" s="91" t="str">
        <f>IF(AND(ISNUMBER(MATCH('15_STOCK'!$N246,{"AGOTADO","CRÍTICO","BAJO"},0)),'15_STOCK'!$G246="SI",OR(pdProveedor="(Todos)",pdProveedor="",'15_STOCK'!$E246=pdProveedor)),IFERROR(MATCH('15_STOCK'!$E246,tblProveedores[Proveedor],0),999)*1000000+MATCH('15_STOCK'!$N246,{"AGOTADO","CRÍTICO","BAJO"},0)*10000+ROW(),"")</f>
        <v/>
      </c>
      <c r="O246" s="92">
        <v>239</v>
      </c>
      <c r="P246" s="91" t="str">
        <f t="shared" si="15"/>
        <v/>
      </c>
      <c r="Q246" s="91" t="str">
        <f t="shared" si="16"/>
        <v/>
      </c>
      <c r="R246" s="92">
        <v>239</v>
      </c>
      <c r="S246" s="91" t="str">
        <f t="shared" si="17"/>
        <v/>
      </c>
      <c r="T246" s="91" t="str">
        <f t="shared" si="18"/>
        <v/>
      </c>
    </row>
    <row r="247" spans="12:20" x14ac:dyDescent="0.25">
      <c r="L247" s="91" t="str">
        <f>IF(AND(ISNUMBER('15_STOCK'!$P247),'15_STOCK'!$P247&gt;0),'15_STOCK'!$P247+ROW()/1000000,"")</f>
        <v/>
      </c>
      <c r="M247" s="91" t="str">
        <f>IFERROR(MATCH('15_STOCK'!$N247,{"INCONSISTENTE","AGOTADO","CRÍTICO","BAJO","SOBRESTOCK"},0)*100000+MIN(99,INT(IF(N('15_STOCK'!$K247)&gt;0,MAX(0,N('15_STOCK'!$J247))/'15_STOCK'!$K247,0)*10))*1000+ROW(),"")</f>
        <v/>
      </c>
      <c r="N247" s="91" t="str">
        <f>IF(AND(ISNUMBER(MATCH('15_STOCK'!$N247,{"AGOTADO","CRÍTICO","BAJO"},0)),'15_STOCK'!$G247="SI",OR(pdProveedor="(Todos)",pdProveedor="",'15_STOCK'!$E247=pdProveedor)),IFERROR(MATCH('15_STOCK'!$E247,tblProveedores[Proveedor],0),999)*1000000+MATCH('15_STOCK'!$N247,{"AGOTADO","CRÍTICO","BAJO"},0)*10000+ROW(),"")</f>
        <v/>
      </c>
      <c r="O247" s="92">
        <v>240</v>
      </c>
      <c r="P247" s="91" t="str">
        <f t="shared" si="15"/>
        <v/>
      </c>
      <c r="Q247" s="91" t="str">
        <f t="shared" si="16"/>
        <v/>
      </c>
      <c r="R247" s="92">
        <v>240</v>
      </c>
      <c r="S247" s="91" t="str">
        <f t="shared" si="17"/>
        <v/>
      </c>
      <c r="T247" s="91" t="str">
        <f t="shared" si="18"/>
        <v/>
      </c>
    </row>
    <row r="248" spans="12:20" x14ac:dyDescent="0.25">
      <c r="L248" s="91" t="str">
        <f>IF(AND(ISNUMBER('15_STOCK'!$P248),'15_STOCK'!$P248&gt;0),'15_STOCK'!$P248+ROW()/1000000,"")</f>
        <v/>
      </c>
      <c r="M248" s="91" t="str">
        <f>IFERROR(MATCH('15_STOCK'!$N248,{"INCONSISTENTE","AGOTADO","CRÍTICO","BAJO","SOBRESTOCK"},0)*100000+MIN(99,INT(IF(N('15_STOCK'!$K248)&gt;0,MAX(0,N('15_STOCK'!$J248))/'15_STOCK'!$K248,0)*10))*1000+ROW(),"")</f>
        <v/>
      </c>
      <c r="N248" s="91" t="str">
        <f>IF(AND(ISNUMBER(MATCH('15_STOCK'!$N248,{"AGOTADO","CRÍTICO","BAJO"},0)),'15_STOCK'!$G248="SI",OR(pdProveedor="(Todos)",pdProveedor="",'15_STOCK'!$E248=pdProveedor)),IFERROR(MATCH('15_STOCK'!$E248,tblProveedores[Proveedor],0),999)*1000000+MATCH('15_STOCK'!$N248,{"AGOTADO","CRÍTICO","BAJO"},0)*10000+ROW(),"")</f>
        <v/>
      </c>
      <c r="O248" s="92">
        <v>241</v>
      </c>
      <c r="P248" s="91" t="str">
        <f t="shared" si="15"/>
        <v/>
      </c>
      <c r="Q248" s="91" t="str">
        <f t="shared" si="16"/>
        <v/>
      </c>
      <c r="R248" s="92">
        <v>241</v>
      </c>
      <c r="S248" s="91" t="str">
        <f t="shared" si="17"/>
        <v/>
      </c>
      <c r="T248" s="91" t="str">
        <f t="shared" si="18"/>
        <v/>
      </c>
    </row>
    <row r="249" spans="12:20" x14ac:dyDescent="0.25">
      <c r="L249" s="91" t="str">
        <f>IF(AND(ISNUMBER('15_STOCK'!$P249),'15_STOCK'!$P249&gt;0),'15_STOCK'!$P249+ROW()/1000000,"")</f>
        <v/>
      </c>
      <c r="M249" s="91" t="str">
        <f>IFERROR(MATCH('15_STOCK'!$N249,{"INCONSISTENTE","AGOTADO","CRÍTICO","BAJO","SOBRESTOCK"},0)*100000+MIN(99,INT(IF(N('15_STOCK'!$K249)&gt;0,MAX(0,N('15_STOCK'!$J249))/'15_STOCK'!$K249,0)*10))*1000+ROW(),"")</f>
        <v/>
      </c>
      <c r="N249" s="91" t="str">
        <f>IF(AND(ISNUMBER(MATCH('15_STOCK'!$N249,{"AGOTADO","CRÍTICO","BAJO"},0)),'15_STOCK'!$G249="SI",OR(pdProveedor="(Todos)",pdProveedor="",'15_STOCK'!$E249=pdProveedor)),IFERROR(MATCH('15_STOCK'!$E249,tblProveedores[Proveedor],0),999)*1000000+MATCH('15_STOCK'!$N249,{"AGOTADO","CRÍTICO","BAJO"},0)*10000+ROW(),"")</f>
        <v/>
      </c>
      <c r="O249" s="92">
        <v>242</v>
      </c>
      <c r="P249" s="91" t="str">
        <f t="shared" si="15"/>
        <v/>
      </c>
      <c r="Q249" s="91" t="str">
        <f t="shared" si="16"/>
        <v/>
      </c>
      <c r="R249" s="92">
        <v>242</v>
      </c>
      <c r="S249" s="91" t="str">
        <f t="shared" si="17"/>
        <v/>
      </c>
      <c r="T249" s="91" t="str">
        <f t="shared" si="18"/>
        <v/>
      </c>
    </row>
    <row r="250" spans="12:20" x14ac:dyDescent="0.25">
      <c r="L250" s="91" t="str">
        <f>IF(AND(ISNUMBER('15_STOCK'!$P250),'15_STOCK'!$P250&gt;0),'15_STOCK'!$P250+ROW()/1000000,"")</f>
        <v/>
      </c>
      <c r="M250" s="91" t="str">
        <f>IFERROR(MATCH('15_STOCK'!$N250,{"INCONSISTENTE","AGOTADO","CRÍTICO","BAJO","SOBRESTOCK"},0)*100000+MIN(99,INT(IF(N('15_STOCK'!$K250)&gt;0,MAX(0,N('15_STOCK'!$J250))/'15_STOCK'!$K250,0)*10))*1000+ROW(),"")</f>
        <v/>
      </c>
      <c r="N250" s="91" t="str">
        <f>IF(AND(ISNUMBER(MATCH('15_STOCK'!$N250,{"AGOTADO","CRÍTICO","BAJO"},0)),'15_STOCK'!$G250="SI",OR(pdProveedor="(Todos)",pdProveedor="",'15_STOCK'!$E250=pdProveedor)),IFERROR(MATCH('15_STOCK'!$E250,tblProveedores[Proveedor],0),999)*1000000+MATCH('15_STOCK'!$N250,{"AGOTADO","CRÍTICO","BAJO"},0)*10000+ROW(),"")</f>
        <v/>
      </c>
      <c r="O250" s="92">
        <v>243</v>
      </c>
      <c r="P250" s="91" t="str">
        <f t="shared" si="15"/>
        <v/>
      </c>
      <c r="Q250" s="91" t="str">
        <f t="shared" si="16"/>
        <v/>
      </c>
      <c r="R250" s="92">
        <v>243</v>
      </c>
      <c r="S250" s="91" t="str">
        <f t="shared" si="17"/>
        <v/>
      </c>
      <c r="T250" s="91" t="str">
        <f t="shared" si="18"/>
        <v/>
      </c>
    </row>
    <row r="251" spans="12:20" x14ac:dyDescent="0.25">
      <c r="L251" s="91" t="str">
        <f>IF(AND(ISNUMBER('15_STOCK'!$P251),'15_STOCK'!$P251&gt;0),'15_STOCK'!$P251+ROW()/1000000,"")</f>
        <v/>
      </c>
      <c r="M251" s="91" t="str">
        <f>IFERROR(MATCH('15_STOCK'!$N251,{"INCONSISTENTE","AGOTADO","CRÍTICO","BAJO","SOBRESTOCK"},0)*100000+MIN(99,INT(IF(N('15_STOCK'!$K251)&gt;0,MAX(0,N('15_STOCK'!$J251))/'15_STOCK'!$K251,0)*10))*1000+ROW(),"")</f>
        <v/>
      </c>
      <c r="N251" s="91" t="str">
        <f>IF(AND(ISNUMBER(MATCH('15_STOCK'!$N251,{"AGOTADO","CRÍTICO","BAJO"},0)),'15_STOCK'!$G251="SI",OR(pdProveedor="(Todos)",pdProveedor="",'15_STOCK'!$E251=pdProveedor)),IFERROR(MATCH('15_STOCK'!$E251,tblProveedores[Proveedor],0),999)*1000000+MATCH('15_STOCK'!$N251,{"AGOTADO","CRÍTICO","BAJO"},0)*10000+ROW(),"")</f>
        <v/>
      </c>
      <c r="O251" s="92">
        <v>244</v>
      </c>
      <c r="P251" s="91" t="str">
        <f t="shared" si="15"/>
        <v/>
      </c>
      <c r="Q251" s="91" t="str">
        <f t="shared" si="16"/>
        <v/>
      </c>
      <c r="R251" s="92">
        <v>244</v>
      </c>
      <c r="S251" s="91" t="str">
        <f t="shared" si="17"/>
        <v/>
      </c>
      <c r="T251" s="91" t="str">
        <f t="shared" si="18"/>
        <v/>
      </c>
    </row>
    <row r="252" spans="12:20" x14ac:dyDescent="0.25">
      <c r="L252" s="91" t="str">
        <f>IF(AND(ISNUMBER('15_STOCK'!$P252),'15_STOCK'!$P252&gt;0),'15_STOCK'!$P252+ROW()/1000000,"")</f>
        <v/>
      </c>
      <c r="M252" s="91" t="str">
        <f>IFERROR(MATCH('15_STOCK'!$N252,{"INCONSISTENTE","AGOTADO","CRÍTICO","BAJO","SOBRESTOCK"},0)*100000+MIN(99,INT(IF(N('15_STOCK'!$K252)&gt;0,MAX(0,N('15_STOCK'!$J252))/'15_STOCK'!$K252,0)*10))*1000+ROW(),"")</f>
        <v/>
      </c>
      <c r="N252" s="91" t="str">
        <f>IF(AND(ISNUMBER(MATCH('15_STOCK'!$N252,{"AGOTADO","CRÍTICO","BAJO"},0)),'15_STOCK'!$G252="SI",OR(pdProveedor="(Todos)",pdProveedor="",'15_STOCK'!$E252=pdProveedor)),IFERROR(MATCH('15_STOCK'!$E252,tblProveedores[Proveedor],0),999)*1000000+MATCH('15_STOCK'!$N252,{"AGOTADO","CRÍTICO","BAJO"},0)*10000+ROW(),"")</f>
        <v/>
      </c>
      <c r="O252" s="92">
        <v>245</v>
      </c>
      <c r="P252" s="91" t="str">
        <f t="shared" si="15"/>
        <v/>
      </c>
      <c r="Q252" s="91" t="str">
        <f t="shared" si="16"/>
        <v/>
      </c>
      <c r="R252" s="92">
        <v>245</v>
      </c>
      <c r="S252" s="91" t="str">
        <f t="shared" si="17"/>
        <v/>
      </c>
      <c r="T252" s="91" t="str">
        <f t="shared" si="18"/>
        <v/>
      </c>
    </row>
    <row r="253" spans="12:20" x14ac:dyDescent="0.25">
      <c r="L253" s="91" t="str">
        <f>IF(AND(ISNUMBER('15_STOCK'!$P253),'15_STOCK'!$P253&gt;0),'15_STOCK'!$P253+ROW()/1000000,"")</f>
        <v/>
      </c>
      <c r="M253" s="91" t="str">
        <f>IFERROR(MATCH('15_STOCK'!$N253,{"INCONSISTENTE","AGOTADO","CRÍTICO","BAJO","SOBRESTOCK"},0)*100000+MIN(99,INT(IF(N('15_STOCK'!$K253)&gt;0,MAX(0,N('15_STOCK'!$J253))/'15_STOCK'!$K253,0)*10))*1000+ROW(),"")</f>
        <v/>
      </c>
      <c r="N253" s="91" t="str">
        <f>IF(AND(ISNUMBER(MATCH('15_STOCK'!$N253,{"AGOTADO","CRÍTICO","BAJO"},0)),'15_STOCK'!$G253="SI",OR(pdProveedor="(Todos)",pdProveedor="",'15_STOCK'!$E253=pdProveedor)),IFERROR(MATCH('15_STOCK'!$E253,tblProveedores[Proveedor],0),999)*1000000+MATCH('15_STOCK'!$N253,{"AGOTADO","CRÍTICO","BAJO"},0)*10000+ROW(),"")</f>
        <v/>
      </c>
      <c r="O253" s="92">
        <v>246</v>
      </c>
      <c r="P253" s="91" t="str">
        <f t="shared" si="15"/>
        <v/>
      </c>
      <c r="Q253" s="91" t="str">
        <f t="shared" si="16"/>
        <v/>
      </c>
      <c r="R253" s="92">
        <v>246</v>
      </c>
      <c r="S253" s="91" t="str">
        <f t="shared" si="17"/>
        <v/>
      </c>
      <c r="T253" s="91" t="str">
        <f t="shared" si="18"/>
        <v/>
      </c>
    </row>
    <row r="254" spans="12:20" x14ac:dyDescent="0.25">
      <c r="L254" s="91" t="str">
        <f>IF(AND(ISNUMBER('15_STOCK'!$P254),'15_STOCK'!$P254&gt;0),'15_STOCK'!$P254+ROW()/1000000,"")</f>
        <v/>
      </c>
      <c r="M254" s="91" t="str">
        <f>IFERROR(MATCH('15_STOCK'!$N254,{"INCONSISTENTE","AGOTADO","CRÍTICO","BAJO","SOBRESTOCK"},0)*100000+MIN(99,INT(IF(N('15_STOCK'!$K254)&gt;0,MAX(0,N('15_STOCK'!$J254))/'15_STOCK'!$K254,0)*10))*1000+ROW(),"")</f>
        <v/>
      </c>
      <c r="N254" s="91" t="str">
        <f>IF(AND(ISNUMBER(MATCH('15_STOCK'!$N254,{"AGOTADO","CRÍTICO","BAJO"},0)),'15_STOCK'!$G254="SI",OR(pdProveedor="(Todos)",pdProveedor="",'15_STOCK'!$E254=pdProveedor)),IFERROR(MATCH('15_STOCK'!$E254,tblProveedores[Proveedor],0),999)*1000000+MATCH('15_STOCK'!$N254,{"AGOTADO","CRÍTICO","BAJO"},0)*10000+ROW(),"")</f>
        <v/>
      </c>
      <c r="O254" s="92">
        <v>247</v>
      </c>
      <c r="P254" s="91" t="str">
        <f t="shared" si="15"/>
        <v/>
      </c>
      <c r="Q254" s="91" t="str">
        <f t="shared" si="16"/>
        <v/>
      </c>
      <c r="R254" s="92">
        <v>247</v>
      </c>
      <c r="S254" s="91" t="str">
        <f t="shared" si="17"/>
        <v/>
      </c>
      <c r="T254" s="91" t="str">
        <f t="shared" si="18"/>
        <v/>
      </c>
    </row>
    <row r="255" spans="12:20" x14ac:dyDescent="0.25">
      <c r="L255" s="91" t="str">
        <f>IF(AND(ISNUMBER('15_STOCK'!$P255),'15_STOCK'!$P255&gt;0),'15_STOCK'!$P255+ROW()/1000000,"")</f>
        <v/>
      </c>
      <c r="M255" s="91" t="str">
        <f>IFERROR(MATCH('15_STOCK'!$N255,{"INCONSISTENTE","AGOTADO","CRÍTICO","BAJO","SOBRESTOCK"},0)*100000+MIN(99,INT(IF(N('15_STOCK'!$K255)&gt;0,MAX(0,N('15_STOCK'!$J255))/'15_STOCK'!$K255,0)*10))*1000+ROW(),"")</f>
        <v/>
      </c>
      <c r="N255" s="91" t="str">
        <f>IF(AND(ISNUMBER(MATCH('15_STOCK'!$N255,{"AGOTADO","CRÍTICO","BAJO"},0)),'15_STOCK'!$G255="SI",OR(pdProveedor="(Todos)",pdProveedor="",'15_STOCK'!$E255=pdProveedor)),IFERROR(MATCH('15_STOCK'!$E255,tblProveedores[Proveedor],0),999)*1000000+MATCH('15_STOCK'!$N255,{"AGOTADO","CRÍTICO","BAJO"},0)*10000+ROW(),"")</f>
        <v/>
      </c>
      <c r="O255" s="92">
        <v>248</v>
      </c>
      <c r="P255" s="91" t="str">
        <f t="shared" si="15"/>
        <v/>
      </c>
      <c r="Q255" s="91" t="str">
        <f t="shared" si="16"/>
        <v/>
      </c>
      <c r="R255" s="92">
        <v>248</v>
      </c>
      <c r="S255" s="91" t="str">
        <f t="shared" si="17"/>
        <v/>
      </c>
      <c r="T255" s="91" t="str">
        <f t="shared" si="18"/>
        <v/>
      </c>
    </row>
    <row r="256" spans="12:20" x14ac:dyDescent="0.25">
      <c r="L256" s="91" t="str">
        <f>IF(AND(ISNUMBER('15_STOCK'!$P256),'15_STOCK'!$P256&gt;0),'15_STOCK'!$P256+ROW()/1000000,"")</f>
        <v/>
      </c>
      <c r="M256" s="91" t="str">
        <f>IFERROR(MATCH('15_STOCK'!$N256,{"INCONSISTENTE","AGOTADO","CRÍTICO","BAJO","SOBRESTOCK"},0)*100000+MIN(99,INT(IF(N('15_STOCK'!$K256)&gt;0,MAX(0,N('15_STOCK'!$J256))/'15_STOCK'!$K256,0)*10))*1000+ROW(),"")</f>
        <v/>
      </c>
      <c r="N256" s="91" t="str">
        <f>IF(AND(ISNUMBER(MATCH('15_STOCK'!$N256,{"AGOTADO","CRÍTICO","BAJO"},0)),'15_STOCK'!$G256="SI",OR(pdProveedor="(Todos)",pdProveedor="",'15_STOCK'!$E256=pdProveedor)),IFERROR(MATCH('15_STOCK'!$E256,tblProveedores[Proveedor],0),999)*1000000+MATCH('15_STOCK'!$N256,{"AGOTADO","CRÍTICO","BAJO"},0)*10000+ROW(),"")</f>
        <v/>
      </c>
      <c r="O256" s="92">
        <v>249</v>
      </c>
      <c r="P256" s="91" t="str">
        <f t="shared" si="15"/>
        <v/>
      </c>
      <c r="Q256" s="91" t="str">
        <f t="shared" si="16"/>
        <v/>
      </c>
      <c r="R256" s="92">
        <v>249</v>
      </c>
      <c r="S256" s="91" t="str">
        <f t="shared" si="17"/>
        <v/>
      </c>
      <c r="T256" s="91" t="str">
        <f t="shared" si="18"/>
        <v/>
      </c>
    </row>
    <row r="257" spans="12:20" x14ac:dyDescent="0.25">
      <c r="L257" s="91" t="str">
        <f>IF(AND(ISNUMBER('15_STOCK'!$P257),'15_STOCK'!$P257&gt;0),'15_STOCK'!$P257+ROW()/1000000,"")</f>
        <v/>
      </c>
      <c r="M257" s="91" t="str">
        <f>IFERROR(MATCH('15_STOCK'!$N257,{"INCONSISTENTE","AGOTADO","CRÍTICO","BAJO","SOBRESTOCK"},0)*100000+MIN(99,INT(IF(N('15_STOCK'!$K257)&gt;0,MAX(0,N('15_STOCK'!$J257))/'15_STOCK'!$K257,0)*10))*1000+ROW(),"")</f>
        <v/>
      </c>
      <c r="N257" s="91" t="str">
        <f>IF(AND(ISNUMBER(MATCH('15_STOCK'!$N257,{"AGOTADO","CRÍTICO","BAJO"},0)),'15_STOCK'!$G257="SI",OR(pdProveedor="(Todos)",pdProveedor="",'15_STOCK'!$E257=pdProveedor)),IFERROR(MATCH('15_STOCK'!$E257,tblProveedores[Proveedor],0),999)*1000000+MATCH('15_STOCK'!$N257,{"AGOTADO","CRÍTICO","BAJO"},0)*10000+ROW(),"")</f>
        <v/>
      </c>
      <c r="O257" s="92">
        <v>250</v>
      </c>
      <c r="P257" s="91" t="str">
        <f t="shared" si="15"/>
        <v/>
      </c>
      <c r="Q257" s="91" t="str">
        <f t="shared" si="16"/>
        <v/>
      </c>
      <c r="R257" s="92">
        <v>250</v>
      </c>
      <c r="S257" s="91" t="str">
        <f t="shared" si="17"/>
        <v/>
      </c>
      <c r="T257" s="91" t="str">
        <f t="shared" si="18"/>
        <v/>
      </c>
    </row>
    <row r="258" spans="12:20" x14ac:dyDescent="0.25">
      <c r="L258" s="91" t="str">
        <f>IF(AND(ISNUMBER('15_STOCK'!$P258),'15_STOCK'!$P258&gt;0),'15_STOCK'!$P258+ROW()/1000000,"")</f>
        <v/>
      </c>
      <c r="M258" s="91" t="str">
        <f>IFERROR(MATCH('15_STOCK'!$N258,{"INCONSISTENTE","AGOTADO","CRÍTICO","BAJO","SOBRESTOCK"},0)*100000+MIN(99,INT(IF(N('15_STOCK'!$K258)&gt;0,MAX(0,N('15_STOCK'!$J258))/'15_STOCK'!$K258,0)*10))*1000+ROW(),"")</f>
        <v/>
      </c>
      <c r="N258" s="91" t="str">
        <f>IF(AND(ISNUMBER(MATCH('15_STOCK'!$N258,{"AGOTADO","CRÍTICO","BAJO"},0)),'15_STOCK'!$G258="SI",OR(pdProveedor="(Todos)",pdProveedor="",'15_STOCK'!$E258=pdProveedor)),IFERROR(MATCH('15_STOCK'!$E258,tblProveedores[Proveedor],0),999)*1000000+MATCH('15_STOCK'!$N258,{"AGOTADO","CRÍTICO","BAJO"},0)*10000+ROW(),"")</f>
        <v/>
      </c>
      <c r="O258" s="92">
        <v>251</v>
      </c>
      <c r="P258" s="91" t="str">
        <f t="shared" si="15"/>
        <v/>
      </c>
      <c r="Q258" s="91" t="str">
        <f t="shared" si="16"/>
        <v/>
      </c>
      <c r="R258" s="92">
        <v>251</v>
      </c>
      <c r="S258" s="91" t="str">
        <f t="shared" si="17"/>
        <v/>
      </c>
      <c r="T258" s="91" t="str">
        <f t="shared" si="18"/>
        <v/>
      </c>
    </row>
    <row r="259" spans="12:20" x14ac:dyDescent="0.25">
      <c r="L259" s="91" t="str">
        <f>IF(AND(ISNUMBER('15_STOCK'!$P259),'15_STOCK'!$P259&gt;0),'15_STOCK'!$P259+ROW()/1000000,"")</f>
        <v/>
      </c>
      <c r="M259" s="91" t="str">
        <f>IFERROR(MATCH('15_STOCK'!$N259,{"INCONSISTENTE","AGOTADO","CRÍTICO","BAJO","SOBRESTOCK"},0)*100000+MIN(99,INT(IF(N('15_STOCK'!$K259)&gt;0,MAX(0,N('15_STOCK'!$J259))/'15_STOCK'!$K259,0)*10))*1000+ROW(),"")</f>
        <v/>
      </c>
      <c r="N259" s="91" t="str">
        <f>IF(AND(ISNUMBER(MATCH('15_STOCK'!$N259,{"AGOTADO","CRÍTICO","BAJO"},0)),'15_STOCK'!$G259="SI",OR(pdProveedor="(Todos)",pdProveedor="",'15_STOCK'!$E259=pdProveedor)),IFERROR(MATCH('15_STOCK'!$E259,tblProveedores[Proveedor],0),999)*1000000+MATCH('15_STOCK'!$N259,{"AGOTADO","CRÍTICO","BAJO"},0)*10000+ROW(),"")</f>
        <v/>
      </c>
      <c r="O259" s="92">
        <v>252</v>
      </c>
      <c r="P259" s="91" t="str">
        <f t="shared" si="15"/>
        <v/>
      </c>
      <c r="Q259" s="91" t="str">
        <f t="shared" si="16"/>
        <v/>
      </c>
      <c r="R259" s="92">
        <v>252</v>
      </c>
      <c r="S259" s="91" t="str">
        <f t="shared" si="17"/>
        <v/>
      </c>
      <c r="T259" s="91" t="str">
        <f t="shared" si="18"/>
        <v/>
      </c>
    </row>
    <row r="260" spans="12:20" x14ac:dyDescent="0.25">
      <c r="L260" s="91" t="str">
        <f>IF(AND(ISNUMBER('15_STOCK'!$P260),'15_STOCK'!$P260&gt;0),'15_STOCK'!$P260+ROW()/1000000,"")</f>
        <v/>
      </c>
      <c r="M260" s="91" t="str">
        <f>IFERROR(MATCH('15_STOCK'!$N260,{"INCONSISTENTE","AGOTADO","CRÍTICO","BAJO","SOBRESTOCK"},0)*100000+MIN(99,INT(IF(N('15_STOCK'!$K260)&gt;0,MAX(0,N('15_STOCK'!$J260))/'15_STOCK'!$K260,0)*10))*1000+ROW(),"")</f>
        <v/>
      </c>
      <c r="N260" s="91" t="str">
        <f>IF(AND(ISNUMBER(MATCH('15_STOCK'!$N260,{"AGOTADO","CRÍTICO","BAJO"},0)),'15_STOCK'!$G260="SI",OR(pdProveedor="(Todos)",pdProveedor="",'15_STOCK'!$E260=pdProveedor)),IFERROR(MATCH('15_STOCK'!$E260,tblProveedores[Proveedor],0),999)*1000000+MATCH('15_STOCK'!$N260,{"AGOTADO","CRÍTICO","BAJO"},0)*10000+ROW(),"")</f>
        <v/>
      </c>
      <c r="O260" s="92">
        <v>253</v>
      </c>
      <c r="P260" s="91" t="str">
        <f t="shared" si="15"/>
        <v/>
      </c>
      <c r="Q260" s="91" t="str">
        <f t="shared" si="16"/>
        <v/>
      </c>
      <c r="R260" s="92">
        <v>253</v>
      </c>
      <c r="S260" s="91" t="str">
        <f t="shared" si="17"/>
        <v/>
      </c>
      <c r="T260" s="91" t="str">
        <f t="shared" si="18"/>
        <v/>
      </c>
    </row>
    <row r="261" spans="12:20" x14ac:dyDescent="0.25">
      <c r="L261" s="91" t="str">
        <f>IF(AND(ISNUMBER('15_STOCK'!$P261),'15_STOCK'!$P261&gt;0),'15_STOCK'!$P261+ROW()/1000000,"")</f>
        <v/>
      </c>
      <c r="M261" s="91" t="str">
        <f>IFERROR(MATCH('15_STOCK'!$N261,{"INCONSISTENTE","AGOTADO","CRÍTICO","BAJO","SOBRESTOCK"},0)*100000+MIN(99,INT(IF(N('15_STOCK'!$K261)&gt;0,MAX(0,N('15_STOCK'!$J261))/'15_STOCK'!$K261,0)*10))*1000+ROW(),"")</f>
        <v/>
      </c>
      <c r="N261" s="91" t="str">
        <f>IF(AND(ISNUMBER(MATCH('15_STOCK'!$N261,{"AGOTADO","CRÍTICO","BAJO"},0)),'15_STOCK'!$G261="SI",OR(pdProveedor="(Todos)",pdProveedor="",'15_STOCK'!$E261=pdProveedor)),IFERROR(MATCH('15_STOCK'!$E261,tblProveedores[Proveedor],0),999)*1000000+MATCH('15_STOCK'!$N261,{"AGOTADO","CRÍTICO","BAJO"},0)*10000+ROW(),"")</f>
        <v/>
      </c>
      <c r="O261" s="92">
        <v>254</v>
      </c>
      <c r="P261" s="91" t="str">
        <f t="shared" si="15"/>
        <v/>
      </c>
      <c r="Q261" s="91" t="str">
        <f t="shared" si="16"/>
        <v/>
      </c>
      <c r="R261" s="92">
        <v>254</v>
      </c>
      <c r="S261" s="91" t="str">
        <f t="shared" si="17"/>
        <v/>
      </c>
      <c r="T261" s="91" t="str">
        <f t="shared" si="18"/>
        <v/>
      </c>
    </row>
    <row r="262" spans="12:20" x14ac:dyDescent="0.25">
      <c r="L262" s="91" t="str">
        <f>IF(AND(ISNUMBER('15_STOCK'!$P262),'15_STOCK'!$P262&gt;0),'15_STOCK'!$P262+ROW()/1000000,"")</f>
        <v/>
      </c>
      <c r="M262" s="91" t="str">
        <f>IFERROR(MATCH('15_STOCK'!$N262,{"INCONSISTENTE","AGOTADO","CRÍTICO","BAJO","SOBRESTOCK"},0)*100000+MIN(99,INT(IF(N('15_STOCK'!$K262)&gt;0,MAX(0,N('15_STOCK'!$J262))/'15_STOCK'!$K262,0)*10))*1000+ROW(),"")</f>
        <v/>
      </c>
      <c r="N262" s="91" t="str">
        <f>IF(AND(ISNUMBER(MATCH('15_STOCK'!$N262,{"AGOTADO","CRÍTICO","BAJO"},0)),'15_STOCK'!$G262="SI",OR(pdProveedor="(Todos)",pdProveedor="",'15_STOCK'!$E262=pdProveedor)),IFERROR(MATCH('15_STOCK'!$E262,tblProveedores[Proveedor],0),999)*1000000+MATCH('15_STOCK'!$N262,{"AGOTADO","CRÍTICO","BAJO"},0)*10000+ROW(),"")</f>
        <v/>
      </c>
      <c r="O262" s="92">
        <v>255</v>
      </c>
      <c r="P262" s="91" t="str">
        <f t="shared" si="15"/>
        <v/>
      </c>
      <c r="Q262" s="91" t="str">
        <f t="shared" si="16"/>
        <v/>
      </c>
      <c r="R262" s="92">
        <v>255</v>
      </c>
      <c r="S262" s="91" t="str">
        <f t="shared" si="17"/>
        <v/>
      </c>
      <c r="T262" s="91" t="str">
        <f t="shared" si="18"/>
        <v/>
      </c>
    </row>
    <row r="263" spans="12:20" x14ac:dyDescent="0.25">
      <c r="L263" s="91" t="str">
        <f>IF(AND(ISNUMBER('15_STOCK'!$P263),'15_STOCK'!$P263&gt;0),'15_STOCK'!$P263+ROW()/1000000,"")</f>
        <v/>
      </c>
      <c r="M263" s="91" t="str">
        <f>IFERROR(MATCH('15_STOCK'!$N263,{"INCONSISTENTE","AGOTADO","CRÍTICO","BAJO","SOBRESTOCK"},0)*100000+MIN(99,INT(IF(N('15_STOCK'!$K263)&gt;0,MAX(0,N('15_STOCK'!$J263))/'15_STOCK'!$K263,0)*10))*1000+ROW(),"")</f>
        <v/>
      </c>
      <c r="N263" s="91" t="str">
        <f>IF(AND(ISNUMBER(MATCH('15_STOCK'!$N263,{"AGOTADO","CRÍTICO","BAJO"},0)),'15_STOCK'!$G263="SI",OR(pdProveedor="(Todos)",pdProveedor="",'15_STOCK'!$E263=pdProveedor)),IFERROR(MATCH('15_STOCK'!$E263,tblProveedores[Proveedor],0),999)*1000000+MATCH('15_STOCK'!$N263,{"AGOTADO","CRÍTICO","BAJO"},0)*10000+ROW(),"")</f>
        <v/>
      </c>
      <c r="O263" s="92">
        <v>256</v>
      </c>
      <c r="P263" s="91" t="str">
        <f t="shared" si="15"/>
        <v/>
      </c>
      <c r="Q263" s="91" t="str">
        <f t="shared" si="16"/>
        <v/>
      </c>
      <c r="R263" s="92">
        <v>256</v>
      </c>
      <c r="S263" s="91" t="str">
        <f t="shared" si="17"/>
        <v/>
      </c>
      <c r="T263" s="91" t="str">
        <f t="shared" si="18"/>
        <v/>
      </c>
    </row>
    <row r="264" spans="12:20" x14ac:dyDescent="0.25">
      <c r="L264" s="91" t="str">
        <f>IF(AND(ISNUMBER('15_STOCK'!$P264),'15_STOCK'!$P264&gt;0),'15_STOCK'!$P264+ROW()/1000000,"")</f>
        <v/>
      </c>
      <c r="M264" s="91" t="str">
        <f>IFERROR(MATCH('15_STOCK'!$N264,{"INCONSISTENTE","AGOTADO","CRÍTICO","BAJO","SOBRESTOCK"},0)*100000+MIN(99,INT(IF(N('15_STOCK'!$K264)&gt;0,MAX(0,N('15_STOCK'!$J264))/'15_STOCK'!$K264,0)*10))*1000+ROW(),"")</f>
        <v/>
      </c>
      <c r="N264" s="91" t="str">
        <f>IF(AND(ISNUMBER(MATCH('15_STOCK'!$N264,{"AGOTADO","CRÍTICO","BAJO"},0)),'15_STOCK'!$G264="SI",OR(pdProveedor="(Todos)",pdProveedor="",'15_STOCK'!$E264=pdProveedor)),IFERROR(MATCH('15_STOCK'!$E264,tblProveedores[Proveedor],0),999)*1000000+MATCH('15_STOCK'!$N264,{"AGOTADO","CRÍTICO","BAJO"},0)*10000+ROW(),"")</f>
        <v/>
      </c>
      <c r="O264" s="92">
        <v>257</v>
      </c>
      <c r="P264" s="91" t="str">
        <f t="shared" ref="P264:P327" si="19">IFERROR(SMALL($M$8:$M$507,O264),"")</f>
        <v/>
      </c>
      <c r="Q264" s="91" t="str">
        <f t="shared" ref="Q264:Q327" si="20">IF(P264="","",MATCH(P264,$M$8:$M$507,0))</f>
        <v/>
      </c>
      <c r="R264" s="92">
        <v>257</v>
      </c>
      <c r="S264" s="91" t="str">
        <f t="shared" ref="S264:S327" si="21">IFERROR(SMALL($N$8:$N$507,R264),"")</f>
        <v/>
      </c>
      <c r="T264" s="91" t="str">
        <f t="shared" ref="T264:T327" si="22">IF(S264="","",MATCH(S264,$N$8:$N$507,0))</f>
        <v/>
      </c>
    </row>
    <row r="265" spans="12:20" x14ac:dyDescent="0.25">
      <c r="L265" s="91" t="str">
        <f>IF(AND(ISNUMBER('15_STOCK'!$P265),'15_STOCK'!$P265&gt;0),'15_STOCK'!$P265+ROW()/1000000,"")</f>
        <v/>
      </c>
      <c r="M265" s="91" t="str">
        <f>IFERROR(MATCH('15_STOCK'!$N265,{"INCONSISTENTE","AGOTADO","CRÍTICO","BAJO","SOBRESTOCK"},0)*100000+MIN(99,INT(IF(N('15_STOCK'!$K265)&gt;0,MAX(0,N('15_STOCK'!$J265))/'15_STOCK'!$K265,0)*10))*1000+ROW(),"")</f>
        <v/>
      </c>
      <c r="N265" s="91" t="str">
        <f>IF(AND(ISNUMBER(MATCH('15_STOCK'!$N265,{"AGOTADO","CRÍTICO","BAJO"},0)),'15_STOCK'!$G265="SI",OR(pdProveedor="(Todos)",pdProveedor="",'15_STOCK'!$E265=pdProveedor)),IFERROR(MATCH('15_STOCK'!$E265,tblProveedores[Proveedor],0),999)*1000000+MATCH('15_STOCK'!$N265,{"AGOTADO","CRÍTICO","BAJO"},0)*10000+ROW(),"")</f>
        <v/>
      </c>
      <c r="O265" s="92">
        <v>258</v>
      </c>
      <c r="P265" s="91" t="str">
        <f t="shared" si="19"/>
        <v/>
      </c>
      <c r="Q265" s="91" t="str">
        <f t="shared" si="20"/>
        <v/>
      </c>
      <c r="R265" s="92">
        <v>258</v>
      </c>
      <c r="S265" s="91" t="str">
        <f t="shared" si="21"/>
        <v/>
      </c>
      <c r="T265" s="91" t="str">
        <f t="shared" si="22"/>
        <v/>
      </c>
    </row>
    <row r="266" spans="12:20" x14ac:dyDescent="0.25">
      <c r="L266" s="91" t="str">
        <f>IF(AND(ISNUMBER('15_STOCK'!$P266),'15_STOCK'!$P266&gt;0),'15_STOCK'!$P266+ROW()/1000000,"")</f>
        <v/>
      </c>
      <c r="M266" s="91" t="str">
        <f>IFERROR(MATCH('15_STOCK'!$N266,{"INCONSISTENTE","AGOTADO","CRÍTICO","BAJO","SOBRESTOCK"},0)*100000+MIN(99,INT(IF(N('15_STOCK'!$K266)&gt;0,MAX(0,N('15_STOCK'!$J266))/'15_STOCK'!$K266,0)*10))*1000+ROW(),"")</f>
        <v/>
      </c>
      <c r="N266" s="91" t="str">
        <f>IF(AND(ISNUMBER(MATCH('15_STOCK'!$N266,{"AGOTADO","CRÍTICO","BAJO"},0)),'15_STOCK'!$G266="SI",OR(pdProveedor="(Todos)",pdProveedor="",'15_STOCK'!$E266=pdProveedor)),IFERROR(MATCH('15_STOCK'!$E266,tblProveedores[Proveedor],0),999)*1000000+MATCH('15_STOCK'!$N266,{"AGOTADO","CRÍTICO","BAJO"},0)*10000+ROW(),"")</f>
        <v/>
      </c>
      <c r="O266" s="92">
        <v>259</v>
      </c>
      <c r="P266" s="91" t="str">
        <f t="shared" si="19"/>
        <v/>
      </c>
      <c r="Q266" s="91" t="str">
        <f t="shared" si="20"/>
        <v/>
      </c>
      <c r="R266" s="92">
        <v>259</v>
      </c>
      <c r="S266" s="91" t="str">
        <f t="shared" si="21"/>
        <v/>
      </c>
      <c r="T266" s="91" t="str">
        <f t="shared" si="22"/>
        <v/>
      </c>
    </row>
    <row r="267" spans="12:20" x14ac:dyDescent="0.25">
      <c r="L267" s="91" t="str">
        <f>IF(AND(ISNUMBER('15_STOCK'!$P267),'15_STOCK'!$P267&gt;0),'15_STOCK'!$P267+ROW()/1000000,"")</f>
        <v/>
      </c>
      <c r="M267" s="91" t="str">
        <f>IFERROR(MATCH('15_STOCK'!$N267,{"INCONSISTENTE","AGOTADO","CRÍTICO","BAJO","SOBRESTOCK"},0)*100000+MIN(99,INT(IF(N('15_STOCK'!$K267)&gt;0,MAX(0,N('15_STOCK'!$J267))/'15_STOCK'!$K267,0)*10))*1000+ROW(),"")</f>
        <v/>
      </c>
      <c r="N267" s="91" t="str">
        <f>IF(AND(ISNUMBER(MATCH('15_STOCK'!$N267,{"AGOTADO","CRÍTICO","BAJO"},0)),'15_STOCK'!$G267="SI",OR(pdProveedor="(Todos)",pdProveedor="",'15_STOCK'!$E267=pdProveedor)),IFERROR(MATCH('15_STOCK'!$E267,tblProveedores[Proveedor],0),999)*1000000+MATCH('15_STOCK'!$N267,{"AGOTADO","CRÍTICO","BAJO"},0)*10000+ROW(),"")</f>
        <v/>
      </c>
      <c r="O267" s="92">
        <v>260</v>
      </c>
      <c r="P267" s="91" t="str">
        <f t="shared" si="19"/>
        <v/>
      </c>
      <c r="Q267" s="91" t="str">
        <f t="shared" si="20"/>
        <v/>
      </c>
      <c r="R267" s="92">
        <v>260</v>
      </c>
      <c r="S267" s="91" t="str">
        <f t="shared" si="21"/>
        <v/>
      </c>
      <c r="T267" s="91" t="str">
        <f t="shared" si="22"/>
        <v/>
      </c>
    </row>
    <row r="268" spans="12:20" x14ac:dyDescent="0.25">
      <c r="L268" s="91" t="str">
        <f>IF(AND(ISNUMBER('15_STOCK'!$P268),'15_STOCK'!$P268&gt;0),'15_STOCK'!$P268+ROW()/1000000,"")</f>
        <v/>
      </c>
      <c r="M268" s="91" t="str">
        <f>IFERROR(MATCH('15_STOCK'!$N268,{"INCONSISTENTE","AGOTADO","CRÍTICO","BAJO","SOBRESTOCK"},0)*100000+MIN(99,INT(IF(N('15_STOCK'!$K268)&gt;0,MAX(0,N('15_STOCK'!$J268))/'15_STOCK'!$K268,0)*10))*1000+ROW(),"")</f>
        <v/>
      </c>
      <c r="N268" s="91" t="str">
        <f>IF(AND(ISNUMBER(MATCH('15_STOCK'!$N268,{"AGOTADO","CRÍTICO","BAJO"},0)),'15_STOCK'!$G268="SI",OR(pdProveedor="(Todos)",pdProveedor="",'15_STOCK'!$E268=pdProveedor)),IFERROR(MATCH('15_STOCK'!$E268,tblProveedores[Proveedor],0),999)*1000000+MATCH('15_STOCK'!$N268,{"AGOTADO","CRÍTICO","BAJO"},0)*10000+ROW(),"")</f>
        <v/>
      </c>
      <c r="O268" s="92">
        <v>261</v>
      </c>
      <c r="P268" s="91" t="str">
        <f t="shared" si="19"/>
        <v/>
      </c>
      <c r="Q268" s="91" t="str">
        <f t="shared" si="20"/>
        <v/>
      </c>
      <c r="R268" s="92">
        <v>261</v>
      </c>
      <c r="S268" s="91" t="str">
        <f t="shared" si="21"/>
        <v/>
      </c>
      <c r="T268" s="91" t="str">
        <f t="shared" si="22"/>
        <v/>
      </c>
    </row>
    <row r="269" spans="12:20" x14ac:dyDescent="0.25">
      <c r="L269" s="91" t="str">
        <f>IF(AND(ISNUMBER('15_STOCK'!$P269),'15_STOCK'!$P269&gt;0),'15_STOCK'!$P269+ROW()/1000000,"")</f>
        <v/>
      </c>
      <c r="M269" s="91" t="str">
        <f>IFERROR(MATCH('15_STOCK'!$N269,{"INCONSISTENTE","AGOTADO","CRÍTICO","BAJO","SOBRESTOCK"},0)*100000+MIN(99,INT(IF(N('15_STOCK'!$K269)&gt;0,MAX(0,N('15_STOCK'!$J269))/'15_STOCK'!$K269,0)*10))*1000+ROW(),"")</f>
        <v/>
      </c>
      <c r="N269" s="91" t="str">
        <f>IF(AND(ISNUMBER(MATCH('15_STOCK'!$N269,{"AGOTADO","CRÍTICO","BAJO"},0)),'15_STOCK'!$G269="SI",OR(pdProveedor="(Todos)",pdProveedor="",'15_STOCK'!$E269=pdProveedor)),IFERROR(MATCH('15_STOCK'!$E269,tblProveedores[Proveedor],0),999)*1000000+MATCH('15_STOCK'!$N269,{"AGOTADO","CRÍTICO","BAJO"},0)*10000+ROW(),"")</f>
        <v/>
      </c>
      <c r="O269" s="92">
        <v>262</v>
      </c>
      <c r="P269" s="91" t="str">
        <f t="shared" si="19"/>
        <v/>
      </c>
      <c r="Q269" s="91" t="str">
        <f t="shared" si="20"/>
        <v/>
      </c>
      <c r="R269" s="92">
        <v>262</v>
      </c>
      <c r="S269" s="91" t="str">
        <f t="shared" si="21"/>
        <v/>
      </c>
      <c r="T269" s="91" t="str">
        <f t="shared" si="22"/>
        <v/>
      </c>
    </row>
    <row r="270" spans="12:20" x14ac:dyDescent="0.25">
      <c r="L270" s="91" t="str">
        <f>IF(AND(ISNUMBER('15_STOCK'!$P270),'15_STOCK'!$P270&gt;0),'15_STOCK'!$P270+ROW()/1000000,"")</f>
        <v/>
      </c>
      <c r="M270" s="91" t="str">
        <f>IFERROR(MATCH('15_STOCK'!$N270,{"INCONSISTENTE","AGOTADO","CRÍTICO","BAJO","SOBRESTOCK"},0)*100000+MIN(99,INT(IF(N('15_STOCK'!$K270)&gt;0,MAX(0,N('15_STOCK'!$J270))/'15_STOCK'!$K270,0)*10))*1000+ROW(),"")</f>
        <v/>
      </c>
      <c r="N270" s="91" t="str">
        <f>IF(AND(ISNUMBER(MATCH('15_STOCK'!$N270,{"AGOTADO","CRÍTICO","BAJO"},0)),'15_STOCK'!$G270="SI",OR(pdProveedor="(Todos)",pdProveedor="",'15_STOCK'!$E270=pdProveedor)),IFERROR(MATCH('15_STOCK'!$E270,tblProveedores[Proveedor],0),999)*1000000+MATCH('15_STOCK'!$N270,{"AGOTADO","CRÍTICO","BAJO"},0)*10000+ROW(),"")</f>
        <v/>
      </c>
      <c r="O270" s="92">
        <v>263</v>
      </c>
      <c r="P270" s="91" t="str">
        <f t="shared" si="19"/>
        <v/>
      </c>
      <c r="Q270" s="91" t="str">
        <f t="shared" si="20"/>
        <v/>
      </c>
      <c r="R270" s="92">
        <v>263</v>
      </c>
      <c r="S270" s="91" t="str">
        <f t="shared" si="21"/>
        <v/>
      </c>
      <c r="T270" s="91" t="str">
        <f t="shared" si="22"/>
        <v/>
      </c>
    </row>
    <row r="271" spans="12:20" x14ac:dyDescent="0.25">
      <c r="L271" s="91" t="str">
        <f>IF(AND(ISNUMBER('15_STOCK'!$P271),'15_STOCK'!$P271&gt;0),'15_STOCK'!$P271+ROW()/1000000,"")</f>
        <v/>
      </c>
      <c r="M271" s="91" t="str">
        <f>IFERROR(MATCH('15_STOCK'!$N271,{"INCONSISTENTE","AGOTADO","CRÍTICO","BAJO","SOBRESTOCK"},0)*100000+MIN(99,INT(IF(N('15_STOCK'!$K271)&gt;0,MAX(0,N('15_STOCK'!$J271))/'15_STOCK'!$K271,0)*10))*1000+ROW(),"")</f>
        <v/>
      </c>
      <c r="N271" s="91" t="str">
        <f>IF(AND(ISNUMBER(MATCH('15_STOCK'!$N271,{"AGOTADO","CRÍTICO","BAJO"},0)),'15_STOCK'!$G271="SI",OR(pdProveedor="(Todos)",pdProveedor="",'15_STOCK'!$E271=pdProveedor)),IFERROR(MATCH('15_STOCK'!$E271,tblProveedores[Proveedor],0),999)*1000000+MATCH('15_STOCK'!$N271,{"AGOTADO","CRÍTICO","BAJO"},0)*10000+ROW(),"")</f>
        <v/>
      </c>
      <c r="O271" s="92">
        <v>264</v>
      </c>
      <c r="P271" s="91" t="str">
        <f t="shared" si="19"/>
        <v/>
      </c>
      <c r="Q271" s="91" t="str">
        <f t="shared" si="20"/>
        <v/>
      </c>
      <c r="R271" s="92">
        <v>264</v>
      </c>
      <c r="S271" s="91" t="str">
        <f t="shared" si="21"/>
        <v/>
      </c>
      <c r="T271" s="91" t="str">
        <f t="shared" si="22"/>
        <v/>
      </c>
    </row>
    <row r="272" spans="12:20" x14ac:dyDescent="0.25">
      <c r="L272" s="91" t="str">
        <f>IF(AND(ISNUMBER('15_STOCK'!$P272),'15_STOCK'!$P272&gt;0),'15_STOCK'!$P272+ROW()/1000000,"")</f>
        <v/>
      </c>
      <c r="M272" s="91" t="str">
        <f>IFERROR(MATCH('15_STOCK'!$N272,{"INCONSISTENTE","AGOTADO","CRÍTICO","BAJO","SOBRESTOCK"},0)*100000+MIN(99,INT(IF(N('15_STOCK'!$K272)&gt;0,MAX(0,N('15_STOCK'!$J272))/'15_STOCK'!$K272,0)*10))*1000+ROW(),"")</f>
        <v/>
      </c>
      <c r="N272" s="91" t="str">
        <f>IF(AND(ISNUMBER(MATCH('15_STOCK'!$N272,{"AGOTADO","CRÍTICO","BAJO"},0)),'15_STOCK'!$G272="SI",OR(pdProveedor="(Todos)",pdProveedor="",'15_STOCK'!$E272=pdProveedor)),IFERROR(MATCH('15_STOCK'!$E272,tblProveedores[Proveedor],0),999)*1000000+MATCH('15_STOCK'!$N272,{"AGOTADO","CRÍTICO","BAJO"},0)*10000+ROW(),"")</f>
        <v/>
      </c>
      <c r="O272" s="92">
        <v>265</v>
      </c>
      <c r="P272" s="91" t="str">
        <f t="shared" si="19"/>
        <v/>
      </c>
      <c r="Q272" s="91" t="str">
        <f t="shared" si="20"/>
        <v/>
      </c>
      <c r="R272" s="92">
        <v>265</v>
      </c>
      <c r="S272" s="91" t="str">
        <f t="shared" si="21"/>
        <v/>
      </c>
      <c r="T272" s="91" t="str">
        <f t="shared" si="22"/>
        <v/>
      </c>
    </row>
    <row r="273" spans="12:20" x14ac:dyDescent="0.25">
      <c r="L273" s="91" t="str">
        <f>IF(AND(ISNUMBER('15_STOCK'!$P273),'15_STOCK'!$P273&gt;0),'15_STOCK'!$P273+ROW()/1000000,"")</f>
        <v/>
      </c>
      <c r="M273" s="91" t="str">
        <f>IFERROR(MATCH('15_STOCK'!$N273,{"INCONSISTENTE","AGOTADO","CRÍTICO","BAJO","SOBRESTOCK"},0)*100000+MIN(99,INT(IF(N('15_STOCK'!$K273)&gt;0,MAX(0,N('15_STOCK'!$J273))/'15_STOCK'!$K273,0)*10))*1000+ROW(),"")</f>
        <v/>
      </c>
      <c r="N273" s="91" t="str">
        <f>IF(AND(ISNUMBER(MATCH('15_STOCK'!$N273,{"AGOTADO","CRÍTICO","BAJO"},0)),'15_STOCK'!$G273="SI",OR(pdProveedor="(Todos)",pdProveedor="",'15_STOCK'!$E273=pdProveedor)),IFERROR(MATCH('15_STOCK'!$E273,tblProveedores[Proveedor],0),999)*1000000+MATCH('15_STOCK'!$N273,{"AGOTADO","CRÍTICO","BAJO"},0)*10000+ROW(),"")</f>
        <v/>
      </c>
      <c r="O273" s="92">
        <v>266</v>
      </c>
      <c r="P273" s="91" t="str">
        <f t="shared" si="19"/>
        <v/>
      </c>
      <c r="Q273" s="91" t="str">
        <f t="shared" si="20"/>
        <v/>
      </c>
      <c r="R273" s="92">
        <v>266</v>
      </c>
      <c r="S273" s="91" t="str">
        <f t="shared" si="21"/>
        <v/>
      </c>
      <c r="T273" s="91" t="str">
        <f t="shared" si="22"/>
        <v/>
      </c>
    </row>
    <row r="274" spans="12:20" x14ac:dyDescent="0.25">
      <c r="L274" s="91" t="str">
        <f>IF(AND(ISNUMBER('15_STOCK'!$P274),'15_STOCK'!$P274&gt;0),'15_STOCK'!$P274+ROW()/1000000,"")</f>
        <v/>
      </c>
      <c r="M274" s="91" t="str">
        <f>IFERROR(MATCH('15_STOCK'!$N274,{"INCONSISTENTE","AGOTADO","CRÍTICO","BAJO","SOBRESTOCK"},0)*100000+MIN(99,INT(IF(N('15_STOCK'!$K274)&gt;0,MAX(0,N('15_STOCK'!$J274))/'15_STOCK'!$K274,0)*10))*1000+ROW(),"")</f>
        <v/>
      </c>
      <c r="N274" s="91" t="str">
        <f>IF(AND(ISNUMBER(MATCH('15_STOCK'!$N274,{"AGOTADO","CRÍTICO","BAJO"},0)),'15_STOCK'!$G274="SI",OR(pdProveedor="(Todos)",pdProveedor="",'15_STOCK'!$E274=pdProveedor)),IFERROR(MATCH('15_STOCK'!$E274,tblProveedores[Proveedor],0),999)*1000000+MATCH('15_STOCK'!$N274,{"AGOTADO","CRÍTICO","BAJO"},0)*10000+ROW(),"")</f>
        <v/>
      </c>
      <c r="O274" s="92">
        <v>267</v>
      </c>
      <c r="P274" s="91" t="str">
        <f t="shared" si="19"/>
        <v/>
      </c>
      <c r="Q274" s="91" t="str">
        <f t="shared" si="20"/>
        <v/>
      </c>
      <c r="R274" s="92">
        <v>267</v>
      </c>
      <c r="S274" s="91" t="str">
        <f t="shared" si="21"/>
        <v/>
      </c>
      <c r="T274" s="91" t="str">
        <f t="shared" si="22"/>
        <v/>
      </c>
    </row>
    <row r="275" spans="12:20" x14ac:dyDescent="0.25">
      <c r="L275" s="91" t="str">
        <f>IF(AND(ISNUMBER('15_STOCK'!$P275),'15_STOCK'!$P275&gt;0),'15_STOCK'!$P275+ROW()/1000000,"")</f>
        <v/>
      </c>
      <c r="M275" s="91" t="str">
        <f>IFERROR(MATCH('15_STOCK'!$N275,{"INCONSISTENTE","AGOTADO","CRÍTICO","BAJO","SOBRESTOCK"},0)*100000+MIN(99,INT(IF(N('15_STOCK'!$K275)&gt;0,MAX(0,N('15_STOCK'!$J275))/'15_STOCK'!$K275,0)*10))*1000+ROW(),"")</f>
        <v/>
      </c>
      <c r="N275" s="91" t="str">
        <f>IF(AND(ISNUMBER(MATCH('15_STOCK'!$N275,{"AGOTADO","CRÍTICO","BAJO"},0)),'15_STOCK'!$G275="SI",OR(pdProveedor="(Todos)",pdProveedor="",'15_STOCK'!$E275=pdProveedor)),IFERROR(MATCH('15_STOCK'!$E275,tblProveedores[Proveedor],0),999)*1000000+MATCH('15_STOCK'!$N275,{"AGOTADO","CRÍTICO","BAJO"},0)*10000+ROW(),"")</f>
        <v/>
      </c>
      <c r="O275" s="92">
        <v>268</v>
      </c>
      <c r="P275" s="91" t="str">
        <f t="shared" si="19"/>
        <v/>
      </c>
      <c r="Q275" s="91" t="str">
        <f t="shared" si="20"/>
        <v/>
      </c>
      <c r="R275" s="92">
        <v>268</v>
      </c>
      <c r="S275" s="91" t="str">
        <f t="shared" si="21"/>
        <v/>
      </c>
      <c r="T275" s="91" t="str">
        <f t="shared" si="22"/>
        <v/>
      </c>
    </row>
    <row r="276" spans="12:20" x14ac:dyDescent="0.25">
      <c r="L276" s="91" t="str">
        <f>IF(AND(ISNUMBER('15_STOCK'!$P276),'15_STOCK'!$P276&gt;0),'15_STOCK'!$P276+ROW()/1000000,"")</f>
        <v/>
      </c>
      <c r="M276" s="91" t="str">
        <f>IFERROR(MATCH('15_STOCK'!$N276,{"INCONSISTENTE","AGOTADO","CRÍTICO","BAJO","SOBRESTOCK"},0)*100000+MIN(99,INT(IF(N('15_STOCK'!$K276)&gt;0,MAX(0,N('15_STOCK'!$J276))/'15_STOCK'!$K276,0)*10))*1000+ROW(),"")</f>
        <v/>
      </c>
      <c r="N276" s="91" t="str">
        <f>IF(AND(ISNUMBER(MATCH('15_STOCK'!$N276,{"AGOTADO","CRÍTICO","BAJO"},0)),'15_STOCK'!$G276="SI",OR(pdProveedor="(Todos)",pdProveedor="",'15_STOCK'!$E276=pdProveedor)),IFERROR(MATCH('15_STOCK'!$E276,tblProveedores[Proveedor],0),999)*1000000+MATCH('15_STOCK'!$N276,{"AGOTADO","CRÍTICO","BAJO"},0)*10000+ROW(),"")</f>
        <v/>
      </c>
      <c r="O276" s="92">
        <v>269</v>
      </c>
      <c r="P276" s="91" t="str">
        <f t="shared" si="19"/>
        <v/>
      </c>
      <c r="Q276" s="91" t="str">
        <f t="shared" si="20"/>
        <v/>
      </c>
      <c r="R276" s="92">
        <v>269</v>
      </c>
      <c r="S276" s="91" t="str">
        <f t="shared" si="21"/>
        <v/>
      </c>
      <c r="T276" s="91" t="str">
        <f t="shared" si="22"/>
        <v/>
      </c>
    </row>
    <row r="277" spans="12:20" x14ac:dyDescent="0.25">
      <c r="L277" s="91" t="str">
        <f>IF(AND(ISNUMBER('15_STOCK'!$P277),'15_STOCK'!$P277&gt;0),'15_STOCK'!$P277+ROW()/1000000,"")</f>
        <v/>
      </c>
      <c r="M277" s="91" t="str">
        <f>IFERROR(MATCH('15_STOCK'!$N277,{"INCONSISTENTE","AGOTADO","CRÍTICO","BAJO","SOBRESTOCK"},0)*100000+MIN(99,INT(IF(N('15_STOCK'!$K277)&gt;0,MAX(0,N('15_STOCK'!$J277))/'15_STOCK'!$K277,0)*10))*1000+ROW(),"")</f>
        <v/>
      </c>
      <c r="N277" s="91" t="str">
        <f>IF(AND(ISNUMBER(MATCH('15_STOCK'!$N277,{"AGOTADO","CRÍTICO","BAJO"},0)),'15_STOCK'!$G277="SI",OR(pdProveedor="(Todos)",pdProveedor="",'15_STOCK'!$E277=pdProveedor)),IFERROR(MATCH('15_STOCK'!$E277,tblProveedores[Proveedor],0),999)*1000000+MATCH('15_STOCK'!$N277,{"AGOTADO","CRÍTICO","BAJO"},0)*10000+ROW(),"")</f>
        <v/>
      </c>
      <c r="O277" s="92">
        <v>270</v>
      </c>
      <c r="P277" s="91" t="str">
        <f t="shared" si="19"/>
        <v/>
      </c>
      <c r="Q277" s="91" t="str">
        <f t="shared" si="20"/>
        <v/>
      </c>
      <c r="R277" s="92">
        <v>270</v>
      </c>
      <c r="S277" s="91" t="str">
        <f t="shared" si="21"/>
        <v/>
      </c>
      <c r="T277" s="91" t="str">
        <f t="shared" si="22"/>
        <v/>
      </c>
    </row>
    <row r="278" spans="12:20" x14ac:dyDescent="0.25">
      <c r="L278" s="91" t="str">
        <f>IF(AND(ISNUMBER('15_STOCK'!$P278),'15_STOCK'!$P278&gt;0),'15_STOCK'!$P278+ROW()/1000000,"")</f>
        <v/>
      </c>
      <c r="M278" s="91" t="str">
        <f>IFERROR(MATCH('15_STOCK'!$N278,{"INCONSISTENTE","AGOTADO","CRÍTICO","BAJO","SOBRESTOCK"},0)*100000+MIN(99,INT(IF(N('15_STOCK'!$K278)&gt;0,MAX(0,N('15_STOCK'!$J278))/'15_STOCK'!$K278,0)*10))*1000+ROW(),"")</f>
        <v/>
      </c>
      <c r="N278" s="91" t="str">
        <f>IF(AND(ISNUMBER(MATCH('15_STOCK'!$N278,{"AGOTADO","CRÍTICO","BAJO"},0)),'15_STOCK'!$G278="SI",OR(pdProveedor="(Todos)",pdProveedor="",'15_STOCK'!$E278=pdProveedor)),IFERROR(MATCH('15_STOCK'!$E278,tblProveedores[Proveedor],0),999)*1000000+MATCH('15_STOCK'!$N278,{"AGOTADO","CRÍTICO","BAJO"},0)*10000+ROW(),"")</f>
        <v/>
      </c>
      <c r="O278" s="92">
        <v>271</v>
      </c>
      <c r="P278" s="91" t="str">
        <f t="shared" si="19"/>
        <v/>
      </c>
      <c r="Q278" s="91" t="str">
        <f t="shared" si="20"/>
        <v/>
      </c>
      <c r="R278" s="92">
        <v>271</v>
      </c>
      <c r="S278" s="91" t="str">
        <f t="shared" si="21"/>
        <v/>
      </c>
      <c r="T278" s="91" t="str">
        <f t="shared" si="22"/>
        <v/>
      </c>
    </row>
    <row r="279" spans="12:20" x14ac:dyDescent="0.25">
      <c r="L279" s="91" t="str">
        <f>IF(AND(ISNUMBER('15_STOCK'!$P279),'15_STOCK'!$P279&gt;0),'15_STOCK'!$P279+ROW()/1000000,"")</f>
        <v/>
      </c>
      <c r="M279" s="91" t="str">
        <f>IFERROR(MATCH('15_STOCK'!$N279,{"INCONSISTENTE","AGOTADO","CRÍTICO","BAJO","SOBRESTOCK"},0)*100000+MIN(99,INT(IF(N('15_STOCK'!$K279)&gt;0,MAX(0,N('15_STOCK'!$J279))/'15_STOCK'!$K279,0)*10))*1000+ROW(),"")</f>
        <v/>
      </c>
      <c r="N279" s="91" t="str">
        <f>IF(AND(ISNUMBER(MATCH('15_STOCK'!$N279,{"AGOTADO","CRÍTICO","BAJO"},0)),'15_STOCK'!$G279="SI",OR(pdProveedor="(Todos)",pdProveedor="",'15_STOCK'!$E279=pdProveedor)),IFERROR(MATCH('15_STOCK'!$E279,tblProveedores[Proveedor],0),999)*1000000+MATCH('15_STOCK'!$N279,{"AGOTADO","CRÍTICO","BAJO"},0)*10000+ROW(),"")</f>
        <v/>
      </c>
      <c r="O279" s="92">
        <v>272</v>
      </c>
      <c r="P279" s="91" t="str">
        <f t="shared" si="19"/>
        <v/>
      </c>
      <c r="Q279" s="91" t="str">
        <f t="shared" si="20"/>
        <v/>
      </c>
      <c r="R279" s="92">
        <v>272</v>
      </c>
      <c r="S279" s="91" t="str">
        <f t="shared" si="21"/>
        <v/>
      </c>
      <c r="T279" s="91" t="str">
        <f t="shared" si="22"/>
        <v/>
      </c>
    </row>
    <row r="280" spans="12:20" x14ac:dyDescent="0.25">
      <c r="L280" s="91" t="str">
        <f>IF(AND(ISNUMBER('15_STOCK'!$P280),'15_STOCK'!$P280&gt;0),'15_STOCK'!$P280+ROW()/1000000,"")</f>
        <v/>
      </c>
      <c r="M280" s="91" t="str">
        <f>IFERROR(MATCH('15_STOCK'!$N280,{"INCONSISTENTE","AGOTADO","CRÍTICO","BAJO","SOBRESTOCK"},0)*100000+MIN(99,INT(IF(N('15_STOCK'!$K280)&gt;0,MAX(0,N('15_STOCK'!$J280))/'15_STOCK'!$K280,0)*10))*1000+ROW(),"")</f>
        <v/>
      </c>
      <c r="N280" s="91" t="str">
        <f>IF(AND(ISNUMBER(MATCH('15_STOCK'!$N280,{"AGOTADO","CRÍTICO","BAJO"},0)),'15_STOCK'!$G280="SI",OR(pdProveedor="(Todos)",pdProveedor="",'15_STOCK'!$E280=pdProveedor)),IFERROR(MATCH('15_STOCK'!$E280,tblProveedores[Proveedor],0),999)*1000000+MATCH('15_STOCK'!$N280,{"AGOTADO","CRÍTICO","BAJO"},0)*10000+ROW(),"")</f>
        <v/>
      </c>
      <c r="O280" s="92">
        <v>273</v>
      </c>
      <c r="P280" s="91" t="str">
        <f t="shared" si="19"/>
        <v/>
      </c>
      <c r="Q280" s="91" t="str">
        <f t="shared" si="20"/>
        <v/>
      </c>
      <c r="R280" s="92">
        <v>273</v>
      </c>
      <c r="S280" s="91" t="str">
        <f t="shared" si="21"/>
        <v/>
      </c>
      <c r="T280" s="91" t="str">
        <f t="shared" si="22"/>
        <v/>
      </c>
    </row>
    <row r="281" spans="12:20" x14ac:dyDescent="0.25">
      <c r="L281" s="91" t="str">
        <f>IF(AND(ISNUMBER('15_STOCK'!$P281),'15_STOCK'!$P281&gt;0),'15_STOCK'!$P281+ROW()/1000000,"")</f>
        <v/>
      </c>
      <c r="M281" s="91" t="str">
        <f>IFERROR(MATCH('15_STOCK'!$N281,{"INCONSISTENTE","AGOTADO","CRÍTICO","BAJO","SOBRESTOCK"},0)*100000+MIN(99,INT(IF(N('15_STOCK'!$K281)&gt;0,MAX(0,N('15_STOCK'!$J281))/'15_STOCK'!$K281,0)*10))*1000+ROW(),"")</f>
        <v/>
      </c>
      <c r="N281" s="91" t="str">
        <f>IF(AND(ISNUMBER(MATCH('15_STOCK'!$N281,{"AGOTADO","CRÍTICO","BAJO"},0)),'15_STOCK'!$G281="SI",OR(pdProveedor="(Todos)",pdProveedor="",'15_STOCK'!$E281=pdProveedor)),IFERROR(MATCH('15_STOCK'!$E281,tblProveedores[Proveedor],0),999)*1000000+MATCH('15_STOCK'!$N281,{"AGOTADO","CRÍTICO","BAJO"},0)*10000+ROW(),"")</f>
        <v/>
      </c>
      <c r="O281" s="92">
        <v>274</v>
      </c>
      <c r="P281" s="91" t="str">
        <f t="shared" si="19"/>
        <v/>
      </c>
      <c r="Q281" s="91" t="str">
        <f t="shared" si="20"/>
        <v/>
      </c>
      <c r="R281" s="92">
        <v>274</v>
      </c>
      <c r="S281" s="91" t="str">
        <f t="shared" si="21"/>
        <v/>
      </c>
      <c r="T281" s="91" t="str">
        <f t="shared" si="22"/>
        <v/>
      </c>
    </row>
    <row r="282" spans="12:20" x14ac:dyDescent="0.25">
      <c r="L282" s="91" t="str">
        <f>IF(AND(ISNUMBER('15_STOCK'!$P282),'15_STOCK'!$P282&gt;0),'15_STOCK'!$P282+ROW()/1000000,"")</f>
        <v/>
      </c>
      <c r="M282" s="91" t="str">
        <f>IFERROR(MATCH('15_STOCK'!$N282,{"INCONSISTENTE","AGOTADO","CRÍTICO","BAJO","SOBRESTOCK"},0)*100000+MIN(99,INT(IF(N('15_STOCK'!$K282)&gt;0,MAX(0,N('15_STOCK'!$J282))/'15_STOCK'!$K282,0)*10))*1000+ROW(),"")</f>
        <v/>
      </c>
      <c r="N282" s="91" t="str">
        <f>IF(AND(ISNUMBER(MATCH('15_STOCK'!$N282,{"AGOTADO","CRÍTICO","BAJO"},0)),'15_STOCK'!$G282="SI",OR(pdProveedor="(Todos)",pdProveedor="",'15_STOCK'!$E282=pdProveedor)),IFERROR(MATCH('15_STOCK'!$E282,tblProveedores[Proveedor],0),999)*1000000+MATCH('15_STOCK'!$N282,{"AGOTADO","CRÍTICO","BAJO"},0)*10000+ROW(),"")</f>
        <v/>
      </c>
      <c r="O282" s="92">
        <v>275</v>
      </c>
      <c r="P282" s="91" t="str">
        <f t="shared" si="19"/>
        <v/>
      </c>
      <c r="Q282" s="91" t="str">
        <f t="shared" si="20"/>
        <v/>
      </c>
      <c r="R282" s="92">
        <v>275</v>
      </c>
      <c r="S282" s="91" t="str">
        <f t="shared" si="21"/>
        <v/>
      </c>
      <c r="T282" s="91" t="str">
        <f t="shared" si="22"/>
        <v/>
      </c>
    </row>
    <row r="283" spans="12:20" x14ac:dyDescent="0.25">
      <c r="L283" s="91" t="str">
        <f>IF(AND(ISNUMBER('15_STOCK'!$P283),'15_STOCK'!$P283&gt;0),'15_STOCK'!$P283+ROW()/1000000,"")</f>
        <v/>
      </c>
      <c r="M283" s="91" t="str">
        <f>IFERROR(MATCH('15_STOCK'!$N283,{"INCONSISTENTE","AGOTADO","CRÍTICO","BAJO","SOBRESTOCK"},0)*100000+MIN(99,INT(IF(N('15_STOCK'!$K283)&gt;0,MAX(0,N('15_STOCK'!$J283))/'15_STOCK'!$K283,0)*10))*1000+ROW(),"")</f>
        <v/>
      </c>
      <c r="N283" s="91" t="str">
        <f>IF(AND(ISNUMBER(MATCH('15_STOCK'!$N283,{"AGOTADO","CRÍTICO","BAJO"},0)),'15_STOCK'!$G283="SI",OR(pdProveedor="(Todos)",pdProveedor="",'15_STOCK'!$E283=pdProveedor)),IFERROR(MATCH('15_STOCK'!$E283,tblProveedores[Proveedor],0),999)*1000000+MATCH('15_STOCK'!$N283,{"AGOTADO","CRÍTICO","BAJO"},0)*10000+ROW(),"")</f>
        <v/>
      </c>
      <c r="O283" s="92">
        <v>276</v>
      </c>
      <c r="P283" s="91" t="str">
        <f t="shared" si="19"/>
        <v/>
      </c>
      <c r="Q283" s="91" t="str">
        <f t="shared" si="20"/>
        <v/>
      </c>
      <c r="R283" s="92">
        <v>276</v>
      </c>
      <c r="S283" s="91" t="str">
        <f t="shared" si="21"/>
        <v/>
      </c>
      <c r="T283" s="91" t="str">
        <f t="shared" si="22"/>
        <v/>
      </c>
    </row>
    <row r="284" spans="12:20" x14ac:dyDescent="0.25">
      <c r="L284" s="91" t="str">
        <f>IF(AND(ISNUMBER('15_STOCK'!$P284),'15_STOCK'!$P284&gt;0),'15_STOCK'!$P284+ROW()/1000000,"")</f>
        <v/>
      </c>
      <c r="M284" s="91" t="str">
        <f>IFERROR(MATCH('15_STOCK'!$N284,{"INCONSISTENTE","AGOTADO","CRÍTICO","BAJO","SOBRESTOCK"},0)*100000+MIN(99,INT(IF(N('15_STOCK'!$K284)&gt;0,MAX(0,N('15_STOCK'!$J284))/'15_STOCK'!$K284,0)*10))*1000+ROW(),"")</f>
        <v/>
      </c>
      <c r="N284" s="91" t="str">
        <f>IF(AND(ISNUMBER(MATCH('15_STOCK'!$N284,{"AGOTADO","CRÍTICO","BAJO"},0)),'15_STOCK'!$G284="SI",OR(pdProveedor="(Todos)",pdProveedor="",'15_STOCK'!$E284=pdProveedor)),IFERROR(MATCH('15_STOCK'!$E284,tblProveedores[Proveedor],0),999)*1000000+MATCH('15_STOCK'!$N284,{"AGOTADO","CRÍTICO","BAJO"},0)*10000+ROW(),"")</f>
        <v/>
      </c>
      <c r="O284" s="92">
        <v>277</v>
      </c>
      <c r="P284" s="91" t="str">
        <f t="shared" si="19"/>
        <v/>
      </c>
      <c r="Q284" s="91" t="str">
        <f t="shared" si="20"/>
        <v/>
      </c>
      <c r="R284" s="92">
        <v>277</v>
      </c>
      <c r="S284" s="91" t="str">
        <f t="shared" si="21"/>
        <v/>
      </c>
      <c r="T284" s="91" t="str">
        <f t="shared" si="22"/>
        <v/>
      </c>
    </row>
    <row r="285" spans="12:20" x14ac:dyDescent="0.25">
      <c r="L285" s="91" t="str">
        <f>IF(AND(ISNUMBER('15_STOCK'!$P285),'15_STOCK'!$P285&gt;0),'15_STOCK'!$P285+ROW()/1000000,"")</f>
        <v/>
      </c>
      <c r="M285" s="91" t="str">
        <f>IFERROR(MATCH('15_STOCK'!$N285,{"INCONSISTENTE","AGOTADO","CRÍTICO","BAJO","SOBRESTOCK"},0)*100000+MIN(99,INT(IF(N('15_STOCK'!$K285)&gt;0,MAX(0,N('15_STOCK'!$J285))/'15_STOCK'!$K285,0)*10))*1000+ROW(),"")</f>
        <v/>
      </c>
      <c r="N285" s="91" t="str">
        <f>IF(AND(ISNUMBER(MATCH('15_STOCK'!$N285,{"AGOTADO","CRÍTICO","BAJO"},0)),'15_STOCK'!$G285="SI",OR(pdProveedor="(Todos)",pdProveedor="",'15_STOCK'!$E285=pdProveedor)),IFERROR(MATCH('15_STOCK'!$E285,tblProveedores[Proveedor],0),999)*1000000+MATCH('15_STOCK'!$N285,{"AGOTADO","CRÍTICO","BAJO"},0)*10000+ROW(),"")</f>
        <v/>
      </c>
      <c r="O285" s="92">
        <v>278</v>
      </c>
      <c r="P285" s="91" t="str">
        <f t="shared" si="19"/>
        <v/>
      </c>
      <c r="Q285" s="91" t="str">
        <f t="shared" si="20"/>
        <v/>
      </c>
      <c r="R285" s="92">
        <v>278</v>
      </c>
      <c r="S285" s="91" t="str">
        <f t="shared" si="21"/>
        <v/>
      </c>
      <c r="T285" s="91" t="str">
        <f t="shared" si="22"/>
        <v/>
      </c>
    </row>
    <row r="286" spans="12:20" x14ac:dyDescent="0.25">
      <c r="L286" s="91" t="str">
        <f>IF(AND(ISNUMBER('15_STOCK'!$P286),'15_STOCK'!$P286&gt;0),'15_STOCK'!$P286+ROW()/1000000,"")</f>
        <v/>
      </c>
      <c r="M286" s="91" t="str">
        <f>IFERROR(MATCH('15_STOCK'!$N286,{"INCONSISTENTE","AGOTADO","CRÍTICO","BAJO","SOBRESTOCK"},0)*100000+MIN(99,INT(IF(N('15_STOCK'!$K286)&gt;0,MAX(0,N('15_STOCK'!$J286))/'15_STOCK'!$K286,0)*10))*1000+ROW(),"")</f>
        <v/>
      </c>
      <c r="N286" s="91" t="str">
        <f>IF(AND(ISNUMBER(MATCH('15_STOCK'!$N286,{"AGOTADO","CRÍTICO","BAJO"},0)),'15_STOCK'!$G286="SI",OR(pdProveedor="(Todos)",pdProveedor="",'15_STOCK'!$E286=pdProveedor)),IFERROR(MATCH('15_STOCK'!$E286,tblProveedores[Proveedor],0),999)*1000000+MATCH('15_STOCK'!$N286,{"AGOTADO","CRÍTICO","BAJO"},0)*10000+ROW(),"")</f>
        <v/>
      </c>
      <c r="O286" s="92">
        <v>279</v>
      </c>
      <c r="P286" s="91" t="str">
        <f t="shared" si="19"/>
        <v/>
      </c>
      <c r="Q286" s="91" t="str">
        <f t="shared" si="20"/>
        <v/>
      </c>
      <c r="R286" s="92">
        <v>279</v>
      </c>
      <c r="S286" s="91" t="str">
        <f t="shared" si="21"/>
        <v/>
      </c>
      <c r="T286" s="91" t="str">
        <f t="shared" si="22"/>
        <v/>
      </c>
    </row>
    <row r="287" spans="12:20" x14ac:dyDescent="0.25">
      <c r="L287" s="91" t="str">
        <f>IF(AND(ISNUMBER('15_STOCK'!$P287),'15_STOCK'!$P287&gt;0),'15_STOCK'!$P287+ROW()/1000000,"")</f>
        <v/>
      </c>
      <c r="M287" s="91" t="str">
        <f>IFERROR(MATCH('15_STOCK'!$N287,{"INCONSISTENTE","AGOTADO","CRÍTICO","BAJO","SOBRESTOCK"},0)*100000+MIN(99,INT(IF(N('15_STOCK'!$K287)&gt;0,MAX(0,N('15_STOCK'!$J287))/'15_STOCK'!$K287,0)*10))*1000+ROW(),"")</f>
        <v/>
      </c>
      <c r="N287" s="91" t="str">
        <f>IF(AND(ISNUMBER(MATCH('15_STOCK'!$N287,{"AGOTADO","CRÍTICO","BAJO"},0)),'15_STOCK'!$G287="SI",OR(pdProveedor="(Todos)",pdProveedor="",'15_STOCK'!$E287=pdProveedor)),IFERROR(MATCH('15_STOCK'!$E287,tblProveedores[Proveedor],0),999)*1000000+MATCH('15_STOCK'!$N287,{"AGOTADO","CRÍTICO","BAJO"},0)*10000+ROW(),"")</f>
        <v/>
      </c>
      <c r="O287" s="92">
        <v>280</v>
      </c>
      <c r="P287" s="91" t="str">
        <f t="shared" si="19"/>
        <v/>
      </c>
      <c r="Q287" s="91" t="str">
        <f t="shared" si="20"/>
        <v/>
      </c>
      <c r="R287" s="92">
        <v>280</v>
      </c>
      <c r="S287" s="91" t="str">
        <f t="shared" si="21"/>
        <v/>
      </c>
      <c r="T287" s="91" t="str">
        <f t="shared" si="22"/>
        <v/>
      </c>
    </row>
    <row r="288" spans="12:20" x14ac:dyDescent="0.25">
      <c r="L288" s="91" t="str">
        <f>IF(AND(ISNUMBER('15_STOCK'!$P288),'15_STOCK'!$P288&gt;0),'15_STOCK'!$P288+ROW()/1000000,"")</f>
        <v/>
      </c>
      <c r="M288" s="91" t="str">
        <f>IFERROR(MATCH('15_STOCK'!$N288,{"INCONSISTENTE","AGOTADO","CRÍTICO","BAJO","SOBRESTOCK"},0)*100000+MIN(99,INT(IF(N('15_STOCK'!$K288)&gt;0,MAX(0,N('15_STOCK'!$J288))/'15_STOCK'!$K288,0)*10))*1000+ROW(),"")</f>
        <v/>
      </c>
      <c r="N288" s="91" t="str">
        <f>IF(AND(ISNUMBER(MATCH('15_STOCK'!$N288,{"AGOTADO","CRÍTICO","BAJO"},0)),'15_STOCK'!$G288="SI",OR(pdProveedor="(Todos)",pdProveedor="",'15_STOCK'!$E288=pdProveedor)),IFERROR(MATCH('15_STOCK'!$E288,tblProveedores[Proveedor],0),999)*1000000+MATCH('15_STOCK'!$N288,{"AGOTADO","CRÍTICO","BAJO"},0)*10000+ROW(),"")</f>
        <v/>
      </c>
      <c r="O288" s="92">
        <v>281</v>
      </c>
      <c r="P288" s="91" t="str">
        <f t="shared" si="19"/>
        <v/>
      </c>
      <c r="Q288" s="91" t="str">
        <f t="shared" si="20"/>
        <v/>
      </c>
      <c r="R288" s="92">
        <v>281</v>
      </c>
      <c r="S288" s="91" t="str">
        <f t="shared" si="21"/>
        <v/>
      </c>
      <c r="T288" s="91" t="str">
        <f t="shared" si="22"/>
        <v/>
      </c>
    </row>
    <row r="289" spans="12:20" x14ac:dyDescent="0.25">
      <c r="L289" s="91" t="str">
        <f>IF(AND(ISNUMBER('15_STOCK'!$P289),'15_STOCK'!$P289&gt;0),'15_STOCK'!$P289+ROW()/1000000,"")</f>
        <v/>
      </c>
      <c r="M289" s="91" t="str">
        <f>IFERROR(MATCH('15_STOCK'!$N289,{"INCONSISTENTE","AGOTADO","CRÍTICO","BAJO","SOBRESTOCK"},0)*100000+MIN(99,INT(IF(N('15_STOCK'!$K289)&gt;0,MAX(0,N('15_STOCK'!$J289))/'15_STOCK'!$K289,0)*10))*1000+ROW(),"")</f>
        <v/>
      </c>
      <c r="N289" s="91" t="str">
        <f>IF(AND(ISNUMBER(MATCH('15_STOCK'!$N289,{"AGOTADO","CRÍTICO","BAJO"},0)),'15_STOCK'!$G289="SI",OR(pdProveedor="(Todos)",pdProveedor="",'15_STOCK'!$E289=pdProveedor)),IFERROR(MATCH('15_STOCK'!$E289,tblProveedores[Proveedor],0),999)*1000000+MATCH('15_STOCK'!$N289,{"AGOTADO","CRÍTICO","BAJO"},0)*10000+ROW(),"")</f>
        <v/>
      </c>
      <c r="O289" s="92">
        <v>282</v>
      </c>
      <c r="P289" s="91" t="str">
        <f t="shared" si="19"/>
        <v/>
      </c>
      <c r="Q289" s="91" t="str">
        <f t="shared" si="20"/>
        <v/>
      </c>
      <c r="R289" s="92">
        <v>282</v>
      </c>
      <c r="S289" s="91" t="str">
        <f t="shared" si="21"/>
        <v/>
      </c>
      <c r="T289" s="91" t="str">
        <f t="shared" si="22"/>
        <v/>
      </c>
    </row>
    <row r="290" spans="12:20" x14ac:dyDescent="0.25">
      <c r="L290" s="91" t="str">
        <f>IF(AND(ISNUMBER('15_STOCK'!$P290),'15_STOCK'!$P290&gt;0),'15_STOCK'!$P290+ROW()/1000000,"")</f>
        <v/>
      </c>
      <c r="M290" s="91" t="str">
        <f>IFERROR(MATCH('15_STOCK'!$N290,{"INCONSISTENTE","AGOTADO","CRÍTICO","BAJO","SOBRESTOCK"},0)*100000+MIN(99,INT(IF(N('15_STOCK'!$K290)&gt;0,MAX(0,N('15_STOCK'!$J290))/'15_STOCK'!$K290,0)*10))*1000+ROW(),"")</f>
        <v/>
      </c>
      <c r="N290" s="91" t="str">
        <f>IF(AND(ISNUMBER(MATCH('15_STOCK'!$N290,{"AGOTADO","CRÍTICO","BAJO"},0)),'15_STOCK'!$G290="SI",OR(pdProveedor="(Todos)",pdProveedor="",'15_STOCK'!$E290=pdProveedor)),IFERROR(MATCH('15_STOCK'!$E290,tblProveedores[Proveedor],0),999)*1000000+MATCH('15_STOCK'!$N290,{"AGOTADO","CRÍTICO","BAJO"},0)*10000+ROW(),"")</f>
        <v/>
      </c>
      <c r="O290" s="92">
        <v>283</v>
      </c>
      <c r="P290" s="91" t="str">
        <f t="shared" si="19"/>
        <v/>
      </c>
      <c r="Q290" s="91" t="str">
        <f t="shared" si="20"/>
        <v/>
      </c>
      <c r="R290" s="92">
        <v>283</v>
      </c>
      <c r="S290" s="91" t="str">
        <f t="shared" si="21"/>
        <v/>
      </c>
      <c r="T290" s="91" t="str">
        <f t="shared" si="22"/>
        <v/>
      </c>
    </row>
    <row r="291" spans="12:20" x14ac:dyDescent="0.25">
      <c r="L291" s="91" t="str">
        <f>IF(AND(ISNUMBER('15_STOCK'!$P291),'15_STOCK'!$P291&gt;0),'15_STOCK'!$P291+ROW()/1000000,"")</f>
        <v/>
      </c>
      <c r="M291" s="91" t="str">
        <f>IFERROR(MATCH('15_STOCK'!$N291,{"INCONSISTENTE","AGOTADO","CRÍTICO","BAJO","SOBRESTOCK"},0)*100000+MIN(99,INT(IF(N('15_STOCK'!$K291)&gt;0,MAX(0,N('15_STOCK'!$J291))/'15_STOCK'!$K291,0)*10))*1000+ROW(),"")</f>
        <v/>
      </c>
      <c r="N291" s="91" t="str">
        <f>IF(AND(ISNUMBER(MATCH('15_STOCK'!$N291,{"AGOTADO","CRÍTICO","BAJO"},0)),'15_STOCK'!$G291="SI",OR(pdProveedor="(Todos)",pdProveedor="",'15_STOCK'!$E291=pdProveedor)),IFERROR(MATCH('15_STOCK'!$E291,tblProveedores[Proveedor],0),999)*1000000+MATCH('15_STOCK'!$N291,{"AGOTADO","CRÍTICO","BAJO"},0)*10000+ROW(),"")</f>
        <v/>
      </c>
      <c r="O291" s="92">
        <v>284</v>
      </c>
      <c r="P291" s="91" t="str">
        <f t="shared" si="19"/>
        <v/>
      </c>
      <c r="Q291" s="91" t="str">
        <f t="shared" si="20"/>
        <v/>
      </c>
      <c r="R291" s="92">
        <v>284</v>
      </c>
      <c r="S291" s="91" t="str">
        <f t="shared" si="21"/>
        <v/>
      </c>
      <c r="T291" s="91" t="str">
        <f t="shared" si="22"/>
        <v/>
      </c>
    </row>
    <row r="292" spans="12:20" x14ac:dyDescent="0.25">
      <c r="L292" s="91" t="str">
        <f>IF(AND(ISNUMBER('15_STOCK'!$P292),'15_STOCK'!$P292&gt;0),'15_STOCK'!$P292+ROW()/1000000,"")</f>
        <v/>
      </c>
      <c r="M292" s="91" t="str">
        <f>IFERROR(MATCH('15_STOCK'!$N292,{"INCONSISTENTE","AGOTADO","CRÍTICO","BAJO","SOBRESTOCK"},0)*100000+MIN(99,INT(IF(N('15_STOCK'!$K292)&gt;0,MAX(0,N('15_STOCK'!$J292))/'15_STOCK'!$K292,0)*10))*1000+ROW(),"")</f>
        <v/>
      </c>
      <c r="N292" s="91" t="str">
        <f>IF(AND(ISNUMBER(MATCH('15_STOCK'!$N292,{"AGOTADO","CRÍTICO","BAJO"},0)),'15_STOCK'!$G292="SI",OR(pdProveedor="(Todos)",pdProveedor="",'15_STOCK'!$E292=pdProveedor)),IFERROR(MATCH('15_STOCK'!$E292,tblProveedores[Proveedor],0),999)*1000000+MATCH('15_STOCK'!$N292,{"AGOTADO","CRÍTICO","BAJO"},0)*10000+ROW(),"")</f>
        <v/>
      </c>
      <c r="O292" s="92">
        <v>285</v>
      </c>
      <c r="P292" s="91" t="str">
        <f t="shared" si="19"/>
        <v/>
      </c>
      <c r="Q292" s="91" t="str">
        <f t="shared" si="20"/>
        <v/>
      </c>
      <c r="R292" s="92">
        <v>285</v>
      </c>
      <c r="S292" s="91" t="str">
        <f t="shared" si="21"/>
        <v/>
      </c>
      <c r="T292" s="91" t="str">
        <f t="shared" si="22"/>
        <v/>
      </c>
    </row>
    <row r="293" spans="12:20" x14ac:dyDescent="0.25">
      <c r="L293" s="91" t="str">
        <f>IF(AND(ISNUMBER('15_STOCK'!$P293),'15_STOCK'!$P293&gt;0),'15_STOCK'!$P293+ROW()/1000000,"")</f>
        <v/>
      </c>
      <c r="M293" s="91" t="str">
        <f>IFERROR(MATCH('15_STOCK'!$N293,{"INCONSISTENTE","AGOTADO","CRÍTICO","BAJO","SOBRESTOCK"},0)*100000+MIN(99,INT(IF(N('15_STOCK'!$K293)&gt;0,MAX(0,N('15_STOCK'!$J293))/'15_STOCK'!$K293,0)*10))*1000+ROW(),"")</f>
        <v/>
      </c>
      <c r="N293" s="91" t="str">
        <f>IF(AND(ISNUMBER(MATCH('15_STOCK'!$N293,{"AGOTADO","CRÍTICO","BAJO"},0)),'15_STOCK'!$G293="SI",OR(pdProveedor="(Todos)",pdProveedor="",'15_STOCK'!$E293=pdProveedor)),IFERROR(MATCH('15_STOCK'!$E293,tblProveedores[Proveedor],0),999)*1000000+MATCH('15_STOCK'!$N293,{"AGOTADO","CRÍTICO","BAJO"},0)*10000+ROW(),"")</f>
        <v/>
      </c>
      <c r="O293" s="92">
        <v>286</v>
      </c>
      <c r="P293" s="91" t="str">
        <f t="shared" si="19"/>
        <v/>
      </c>
      <c r="Q293" s="91" t="str">
        <f t="shared" si="20"/>
        <v/>
      </c>
      <c r="R293" s="92">
        <v>286</v>
      </c>
      <c r="S293" s="91" t="str">
        <f t="shared" si="21"/>
        <v/>
      </c>
      <c r="T293" s="91" t="str">
        <f t="shared" si="22"/>
        <v/>
      </c>
    </row>
    <row r="294" spans="12:20" x14ac:dyDescent="0.25">
      <c r="L294" s="91" t="str">
        <f>IF(AND(ISNUMBER('15_STOCK'!$P294),'15_STOCK'!$P294&gt;0),'15_STOCK'!$P294+ROW()/1000000,"")</f>
        <v/>
      </c>
      <c r="M294" s="91" t="str">
        <f>IFERROR(MATCH('15_STOCK'!$N294,{"INCONSISTENTE","AGOTADO","CRÍTICO","BAJO","SOBRESTOCK"},0)*100000+MIN(99,INT(IF(N('15_STOCK'!$K294)&gt;0,MAX(0,N('15_STOCK'!$J294))/'15_STOCK'!$K294,0)*10))*1000+ROW(),"")</f>
        <v/>
      </c>
      <c r="N294" s="91" t="str">
        <f>IF(AND(ISNUMBER(MATCH('15_STOCK'!$N294,{"AGOTADO","CRÍTICO","BAJO"},0)),'15_STOCK'!$G294="SI",OR(pdProveedor="(Todos)",pdProveedor="",'15_STOCK'!$E294=pdProveedor)),IFERROR(MATCH('15_STOCK'!$E294,tblProveedores[Proveedor],0),999)*1000000+MATCH('15_STOCK'!$N294,{"AGOTADO","CRÍTICO","BAJO"},0)*10000+ROW(),"")</f>
        <v/>
      </c>
      <c r="O294" s="92">
        <v>287</v>
      </c>
      <c r="P294" s="91" t="str">
        <f t="shared" si="19"/>
        <v/>
      </c>
      <c r="Q294" s="91" t="str">
        <f t="shared" si="20"/>
        <v/>
      </c>
      <c r="R294" s="92">
        <v>287</v>
      </c>
      <c r="S294" s="91" t="str">
        <f t="shared" si="21"/>
        <v/>
      </c>
      <c r="T294" s="91" t="str">
        <f t="shared" si="22"/>
        <v/>
      </c>
    </row>
    <row r="295" spans="12:20" x14ac:dyDescent="0.25">
      <c r="L295" s="91" t="str">
        <f>IF(AND(ISNUMBER('15_STOCK'!$P295),'15_STOCK'!$P295&gt;0),'15_STOCK'!$P295+ROW()/1000000,"")</f>
        <v/>
      </c>
      <c r="M295" s="91" t="str">
        <f>IFERROR(MATCH('15_STOCK'!$N295,{"INCONSISTENTE","AGOTADO","CRÍTICO","BAJO","SOBRESTOCK"},0)*100000+MIN(99,INT(IF(N('15_STOCK'!$K295)&gt;0,MAX(0,N('15_STOCK'!$J295))/'15_STOCK'!$K295,0)*10))*1000+ROW(),"")</f>
        <v/>
      </c>
      <c r="N295" s="91" t="str">
        <f>IF(AND(ISNUMBER(MATCH('15_STOCK'!$N295,{"AGOTADO","CRÍTICO","BAJO"},0)),'15_STOCK'!$G295="SI",OR(pdProveedor="(Todos)",pdProveedor="",'15_STOCK'!$E295=pdProveedor)),IFERROR(MATCH('15_STOCK'!$E295,tblProveedores[Proveedor],0),999)*1000000+MATCH('15_STOCK'!$N295,{"AGOTADO","CRÍTICO","BAJO"},0)*10000+ROW(),"")</f>
        <v/>
      </c>
      <c r="O295" s="92">
        <v>288</v>
      </c>
      <c r="P295" s="91" t="str">
        <f t="shared" si="19"/>
        <v/>
      </c>
      <c r="Q295" s="91" t="str">
        <f t="shared" si="20"/>
        <v/>
      </c>
      <c r="R295" s="92">
        <v>288</v>
      </c>
      <c r="S295" s="91" t="str">
        <f t="shared" si="21"/>
        <v/>
      </c>
      <c r="T295" s="91" t="str">
        <f t="shared" si="22"/>
        <v/>
      </c>
    </row>
    <row r="296" spans="12:20" x14ac:dyDescent="0.25">
      <c r="L296" s="91" t="str">
        <f>IF(AND(ISNUMBER('15_STOCK'!$P296),'15_STOCK'!$P296&gt;0),'15_STOCK'!$P296+ROW()/1000000,"")</f>
        <v/>
      </c>
      <c r="M296" s="91" t="str">
        <f>IFERROR(MATCH('15_STOCK'!$N296,{"INCONSISTENTE","AGOTADO","CRÍTICO","BAJO","SOBRESTOCK"},0)*100000+MIN(99,INT(IF(N('15_STOCK'!$K296)&gt;0,MAX(0,N('15_STOCK'!$J296))/'15_STOCK'!$K296,0)*10))*1000+ROW(),"")</f>
        <v/>
      </c>
      <c r="N296" s="91" t="str">
        <f>IF(AND(ISNUMBER(MATCH('15_STOCK'!$N296,{"AGOTADO","CRÍTICO","BAJO"},0)),'15_STOCK'!$G296="SI",OR(pdProveedor="(Todos)",pdProveedor="",'15_STOCK'!$E296=pdProveedor)),IFERROR(MATCH('15_STOCK'!$E296,tblProveedores[Proveedor],0),999)*1000000+MATCH('15_STOCK'!$N296,{"AGOTADO","CRÍTICO","BAJO"},0)*10000+ROW(),"")</f>
        <v/>
      </c>
      <c r="O296" s="92">
        <v>289</v>
      </c>
      <c r="P296" s="91" t="str">
        <f t="shared" si="19"/>
        <v/>
      </c>
      <c r="Q296" s="91" t="str">
        <f t="shared" si="20"/>
        <v/>
      </c>
      <c r="R296" s="92">
        <v>289</v>
      </c>
      <c r="S296" s="91" t="str">
        <f t="shared" si="21"/>
        <v/>
      </c>
      <c r="T296" s="91" t="str">
        <f t="shared" si="22"/>
        <v/>
      </c>
    </row>
    <row r="297" spans="12:20" x14ac:dyDescent="0.25">
      <c r="L297" s="91" t="str">
        <f>IF(AND(ISNUMBER('15_STOCK'!$P297),'15_STOCK'!$P297&gt;0),'15_STOCK'!$P297+ROW()/1000000,"")</f>
        <v/>
      </c>
      <c r="M297" s="91" t="str">
        <f>IFERROR(MATCH('15_STOCK'!$N297,{"INCONSISTENTE","AGOTADO","CRÍTICO","BAJO","SOBRESTOCK"},0)*100000+MIN(99,INT(IF(N('15_STOCK'!$K297)&gt;0,MAX(0,N('15_STOCK'!$J297))/'15_STOCK'!$K297,0)*10))*1000+ROW(),"")</f>
        <v/>
      </c>
      <c r="N297" s="91" t="str">
        <f>IF(AND(ISNUMBER(MATCH('15_STOCK'!$N297,{"AGOTADO","CRÍTICO","BAJO"},0)),'15_STOCK'!$G297="SI",OR(pdProveedor="(Todos)",pdProveedor="",'15_STOCK'!$E297=pdProveedor)),IFERROR(MATCH('15_STOCK'!$E297,tblProveedores[Proveedor],0),999)*1000000+MATCH('15_STOCK'!$N297,{"AGOTADO","CRÍTICO","BAJO"},0)*10000+ROW(),"")</f>
        <v/>
      </c>
      <c r="O297" s="92">
        <v>290</v>
      </c>
      <c r="P297" s="91" t="str">
        <f t="shared" si="19"/>
        <v/>
      </c>
      <c r="Q297" s="91" t="str">
        <f t="shared" si="20"/>
        <v/>
      </c>
      <c r="R297" s="92">
        <v>290</v>
      </c>
      <c r="S297" s="91" t="str">
        <f t="shared" si="21"/>
        <v/>
      </c>
      <c r="T297" s="91" t="str">
        <f t="shared" si="22"/>
        <v/>
      </c>
    </row>
    <row r="298" spans="12:20" x14ac:dyDescent="0.25">
      <c r="L298" s="91" t="str">
        <f>IF(AND(ISNUMBER('15_STOCK'!$P298),'15_STOCK'!$P298&gt;0),'15_STOCK'!$P298+ROW()/1000000,"")</f>
        <v/>
      </c>
      <c r="M298" s="91" t="str">
        <f>IFERROR(MATCH('15_STOCK'!$N298,{"INCONSISTENTE","AGOTADO","CRÍTICO","BAJO","SOBRESTOCK"},0)*100000+MIN(99,INT(IF(N('15_STOCK'!$K298)&gt;0,MAX(0,N('15_STOCK'!$J298))/'15_STOCK'!$K298,0)*10))*1000+ROW(),"")</f>
        <v/>
      </c>
      <c r="N298" s="91" t="str">
        <f>IF(AND(ISNUMBER(MATCH('15_STOCK'!$N298,{"AGOTADO","CRÍTICO","BAJO"},0)),'15_STOCK'!$G298="SI",OR(pdProveedor="(Todos)",pdProveedor="",'15_STOCK'!$E298=pdProveedor)),IFERROR(MATCH('15_STOCK'!$E298,tblProveedores[Proveedor],0),999)*1000000+MATCH('15_STOCK'!$N298,{"AGOTADO","CRÍTICO","BAJO"},0)*10000+ROW(),"")</f>
        <v/>
      </c>
      <c r="O298" s="92">
        <v>291</v>
      </c>
      <c r="P298" s="91" t="str">
        <f t="shared" si="19"/>
        <v/>
      </c>
      <c r="Q298" s="91" t="str">
        <f t="shared" si="20"/>
        <v/>
      </c>
      <c r="R298" s="92">
        <v>291</v>
      </c>
      <c r="S298" s="91" t="str">
        <f t="shared" si="21"/>
        <v/>
      </c>
      <c r="T298" s="91" t="str">
        <f t="shared" si="22"/>
        <v/>
      </c>
    </row>
    <row r="299" spans="12:20" x14ac:dyDescent="0.25">
      <c r="L299" s="91" t="str">
        <f>IF(AND(ISNUMBER('15_STOCK'!$P299),'15_STOCK'!$P299&gt;0),'15_STOCK'!$P299+ROW()/1000000,"")</f>
        <v/>
      </c>
      <c r="M299" s="91" t="str">
        <f>IFERROR(MATCH('15_STOCK'!$N299,{"INCONSISTENTE","AGOTADO","CRÍTICO","BAJO","SOBRESTOCK"},0)*100000+MIN(99,INT(IF(N('15_STOCK'!$K299)&gt;0,MAX(0,N('15_STOCK'!$J299))/'15_STOCK'!$K299,0)*10))*1000+ROW(),"")</f>
        <v/>
      </c>
      <c r="N299" s="91" t="str">
        <f>IF(AND(ISNUMBER(MATCH('15_STOCK'!$N299,{"AGOTADO","CRÍTICO","BAJO"},0)),'15_STOCK'!$G299="SI",OR(pdProveedor="(Todos)",pdProveedor="",'15_STOCK'!$E299=pdProveedor)),IFERROR(MATCH('15_STOCK'!$E299,tblProveedores[Proveedor],0),999)*1000000+MATCH('15_STOCK'!$N299,{"AGOTADO","CRÍTICO","BAJO"},0)*10000+ROW(),"")</f>
        <v/>
      </c>
      <c r="O299" s="92">
        <v>292</v>
      </c>
      <c r="P299" s="91" t="str">
        <f t="shared" si="19"/>
        <v/>
      </c>
      <c r="Q299" s="91" t="str">
        <f t="shared" si="20"/>
        <v/>
      </c>
      <c r="R299" s="92">
        <v>292</v>
      </c>
      <c r="S299" s="91" t="str">
        <f t="shared" si="21"/>
        <v/>
      </c>
      <c r="T299" s="91" t="str">
        <f t="shared" si="22"/>
        <v/>
      </c>
    </row>
    <row r="300" spans="12:20" x14ac:dyDescent="0.25">
      <c r="L300" s="91" t="str">
        <f>IF(AND(ISNUMBER('15_STOCK'!$P300),'15_STOCK'!$P300&gt;0),'15_STOCK'!$P300+ROW()/1000000,"")</f>
        <v/>
      </c>
      <c r="M300" s="91" t="str">
        <f>IFERROR(MATCH('15_STOCK'!$N300,{"INCONSISTENTE","AGOTADO","CRÍTICO","BAJO","SOBRESTOCK"},0)*100000+MIN(99,INT(IF(N('15_STOCK'!$K300)&gt;0,MAX(0,N('15_STOCK'!$J300))/'15_STOCK'!$K300,0)*10))*1000+ROW(),"")</f>
        <v/>
      </c>
      <c r="N300" s="91" t="str">
        <f>IF(AND(ISNUMBER(MATCH('15_STOCK'!$N300,{"AGOTADO","CRÍTICO","BAJO"},0)),'15_STOCK'!$G300="SI",OR(pdProveedor="(Todos)",pdProveedor="",'15_STOCK'!$E300=pdProveedor)),IFERROR(MATCH('15_STOCK'!$E300,tblProveedores[Proveedor],0),999)*1000000+MATCH('15_STOCK'!$N300,{"AGOTADO","CRÍTICO","BAJO"},0)*10000+ROW(),"")</f>
        <v/>
      </c>
      <c r="O300" s="92">
        <v>293</v>
      </c>
      <c r="P300" s="91" t="str">
        <f t="shared" si="19"/>
        <v/>
      </c>
      <c r="Q300" s="91" t="str">
        <f t="shared" si="20"/>
        <v/>
      </c>
      <c r="R300" s="92">
        <v>293</v>
      </c>
      <c r="S300" s="91" t="str">
        <f t="shared" si="21"/>
        <v/>
      </c>
      <c r="T300" s="91" t="str">
        <f t="shared" si="22"/>
        <v/>
      </c>
    </row>
    <row r="301" spans="12:20" x14ac:dyDescent="0.25">
      <c r="L301" s="91" t="str">
        <f>IF(AND(ISNUMBER('15_STOCK'!$P301),'15_STOCK'!$P301&gt;0),'15_STOCK'!$P301+ROW()/1000000,"")</f>
        <v/>
      </c>
      <c r="M301" s="91" t="str">
        <f>IFERROR(MATCH('15_STOCK'!$N301,{"INCONSISTENTE","AGOTADO","CRÍTICO","BAJO","SOBRESTOCK"},0)*100000+MIN(99,INT(IF(N('15_STOCK'!$K301)&gt;0,MAX(0,N('15_STOCK'!$J301))/'15_STOCK'!$K301,0)*10))*1000+ROW(),"")</f>
        <v/>
      </c>
      <c r="N301" s="91" t="str">
        <f>IF(AND(ISNUMBER(MATCH('15_STOCK'!$N301,{"AGOTADO","CRÍTICO","BAJO"},0)),'15_STOCK'!$G301="SI",OR(pdProveedor="(Todos)",pdProveedor="",'15_STOCK'!$E301=pdProveedor)),IFERROR(MATCH('15_STOCK'!$E301,tblProveedores[Proveedor],0),999)*1000000+MATCH('15_STOCK'!$N301,{"AGOTADO","CRÍTICO","BAJO"},0)*10000+ROW(),"")</f>
        <v/>
      </c>
      <c r="O301" s="92">
        <v>294</v>
      </c>
      <c r="P301" s="91" t="str">
        <f t="shared" si="19"/>
        <v/>
      </c>
      <c r="Q301" s="91" t="str">
        <f t="shared" si="20"/>
        <v/>
      </c>
      <c r="R301" s="92">
        <v>294</v>
      </c>
      <c r="S301" s="91" t="str">
        <f t="shared" si="21"/>
        <v/>
      </c>
      <c r="T301" s="91" t="str">
        <f t="shared" si="22"/>
        <v/>
      </c>
    </row>
    <row r="302" spans="12:20" x14ac:dyDescent="0.25">
      <c r="L302" s="91" t="str">
        <f>IF(AND(ISNUMBER('15_STOCK'!$P302),'15_STOCK'!$P302&gt;0),'15_STOCK'!$P302+ROW()/1000000,"")</f>
        <v/>
      </c>
      <c r="M302" s="91" t="str">
        <f>IFERROR(MATCH('15_STOCK'!$N302,{"INCONSISTENTE","AGOTADO","CRÍTICO","BAJO","SOBRESTOCK"},0)*100000+MIN(99,INT(IF(N('15_STOCK'!$K302)&gt;0,MAX(0,N('15_STOCK'!$J302))/'15_STOCK'!$K302,0)*10))*1000+ROW(),"")</f>
        <v/>
      </c>
      <c r="N302" s="91" t="str">
        <f>IF(AND(ISNUMBER(MATCH('15_STOCK'!$N302,{"AGOTADO","CRÍTICO","BAJO"},0)),'15_STOCK'!$G302="SI",OR(pdProveedor="(Todos)",pdProveedor="",'15_STOCK'!$E302=pdProveedor)),IFERROR(MATCH('15_STOCK'!$E302,tblProveedores[Proveedor],0),999)*1000000+MATCH('15_STOCK'!$N302,{"AGOTADO","CRÍTICO","BAJO"},0)*10000+ROW(),"")</f>
        <v/>
      </c>
      <c r="O302" s="92">
        <v>295</v>
      </c>
      <c r="P302" s="91" t="str">
        <f t="shared" si="19"/>
        <v/>
      </c>
      <c r="Q302" s="91" t="str">
        <f t="shared" si="20"/>
        <v/>
      </c>
      <c r="R302" s="92">
        <v>295</v>
      </c>
      <c r="S302" s="91" t="str">
        <f t="shared" si="21"/>
        <v/>
      </c>
      <c r="T302" s="91" t="str">
        <f t="shared" si="22"/>
        <v/>
      </c>
    </row>
    <row r="303" spans="12:20" x14ac:dyDescent="0.25">
      <c r="L303" s="91" t="str">
        <f>IF(AND(ISNUMBER('15_STOCK'!$P303),'15_STOCK'!$P303&gt;0),'15_STOCK'!$P303+ROW()/1000000,"")</f>
        <v/>
      </c>
      <c r="M303" s="91" t="str">
        <f>IFERROR(MATCH('15_STOCK'!$N303,{"INCONSISTENTE","AGOTADO","CRÍTICO","BAJO","SOBRESTOCK"},0)*100000+MIN(99,INT(IF(N('15_STOCK'!$K303)&gt;0,MAX(0,N('15_STOCK'!$J303))/'15_STOCK'!$K303,0)*10))*1000+ROW(),"")</f>
        <v/>
      </c>
      <c r="N303" s="91" t="str">
        <f>IF(AND(ISNUMBER(MATCH('15_STOCK'!$N303,{"AGOTADO","CRÍTICO","BAJO"},0)),'15_STOCK'!$G303="SI",OR(pdProveedor="(Todos)",pdProveedor="",'15_STOCK'!$E303=pdProveedor)),IFERROR(MATCH('15_STOCK'!$E303,tblProveedores[Proveedor],0),999)*1000000+MATCH('15_STOCK'!$N303,{"AGOTADO","CRÍTICO","BAJO"},0)*10000+ROW(),"")</f>
        <v/>
      </c>
      <c r="O303" s="92">
        <v>296</v>
      </c>
      <c r="P303" s="91" t="str">
        <f t="shared" si="19"/>
        <v/>
      </c>
      <c r="Q303" s="91" t="str">
        <f t="shared" si="20"/>
        <v/>
      </c>
      <c r="R303" s="92">
        <v>296</v>
      </c>
      <c r="S303" s="91" t="str">
        <f t="shared" si="21"/>
        <v/>
      </c>
      <c r="T303" s="91" t="str">
        <f t="shared" si="22"/>
        <v/>
      </c>
    </row>
    <row r="304" spans="12:20" x14ac:dyDescent="0.25">
      <c r="L304" s="91" t="str">
        <f>IF(AND(ISNUMBER('15_STOCK'!$P304),'15_STOCK'!$P304&gt;0),'15_STOCK'!$P304+ROW()/1000000,"")</f>
        <v/>
      </c>
      <c r="M304" s="91" t="str">
        <f>IFERROR(MATCH('15_STOCK'!$N304,{"INCONSISTENTE","AGOTADO","CRÍTICO","BAJO","SOBRESTOCK"},0)*100000+MIN(99,INT(IF(N('15_STOCK'!$K304)&gt;0,MAX(0,N('15_STOCK'!$J304))/'15_STOCK'!$K304,0)*10))*1000+ROW(),"")</f>
        <v/>
      </c>
      <c r="N304" s="91" t="str">
        <f>IF(AND(ISNUMBER(MATCH('15_STOCK'!$N304,{"AGOTADO","CRÍTICO","BAJO"},0)),'15_STOCK'!$G304="SI",OR(pdProveedor="(Todos)",pdProveedor="",'15_STOCK'!$E304=pdProveedor)),IFERROR(MATCH('15_STOCK'!$E304,tblProveedores[Proveedor],0),999)*1000000+MATCH('15_STOCK'!$N304,{"AGOTADO","CRÍTICO","BAJO"},0)*10000+ROW(),"")</f>
        <v/>
      </c>
      <c r="O304" s="92">
        <v>297</v>
      </c>
      <c r="P304" s="91" t="str">
        <f t="shared" si="19"/>
        <v/>
      </c>
      <c r="Q304" s="91" t="str">
        <f t="shared" si="20"/>
        <v/>
      </c>
      <c r="R304" s="92">
        <v>297</v>
      </c>
      <c r="S304" s="91" t="str">
        <f t="shared" si="21"/>
        <v/>
      </c>
      <c r="T304" s="91" t="str">
        <f t="shared" si="22"/>
        <v/>
      </c>
    </row>
    <row r="305" spans="12:20" x14ac:dyDescent="0.25">
      <c r="L305" s="91" t="str">
        <f>IF(AND(ISNUMBER('15_STOCK'!$P305),'15_STOCK'!$P305&gt;0),'15_STOCK'!$P305+ROW()/1000000,"")</f>
        <v/>
      </c>
      <c r="M305" s="91" t="str">
        <f>IFERROR(MATCH('15_STOCK'!$N305,{"INCONSISTENTE","AGOTADO","CRÍTICO","BAJO","SOBRESTOCK"},0)*100000+MIN(99,INT(IF(N('15_STOCK'!$K305)&gt;0,MAX(0,N('15_STOCK'!$J305))/'15_STOCK'!$K305,0)*10))*1000+ROW(),"")</f>
        <v/>
      </c>
      <c r="N305" s="91" t="str">
        <f>IF(AND(ISNUMBER(MATCH('15_STOCK'!$N305,{"AGOTADO","CRÍTICO","BAJO"},0)),'15_STOCK'!$G305="SI",OR(pdProveedor="(Todos)",pdProveedor="",'15_STOCK'!$E305=pdProveedor)),IFERROR(MATCH('15_STOCK'!$E305,tblProveedores[Proveedor],0),999)*1000000+MATCH('15_STOCK'!$N305,{"AGOTADO","CRÍTICO","BAJO"},0)*10000+ROW(),"")</f>
        <v/>
      </c>
      <c r="O305" s="92">
        <v>298</v>
      </c>
      <c r="P305" s="91" t="str">
        <f t="shared" si="19"/>
        <v/>
      </c>
      <c r="Q305" s="91" t="str">
        <f t="shared" si="20"/>
        <v/>
      </c>
      <c r="R305" s="92">
        <v>298</v>
      </c>
      <c r="S305" s="91" t="str">
        <f t="shared" si="21"/>
        <v/>
      </c>
      <c r="T305" s="91" t="str">
        <f t="shared" si="22"/>
        <v/>
      </c>
    </row>
    <row r="306" spans="12:20" x14ac:dyDescent="0.25">
      <c r="L306" s="91" t="str">
        <f>IF(AND(ISNUMBER('15_STOCK'!$P306),'15_STOCK'!$P306&gt;0),'15_STOCK'!$P306+ROW()/1000000,"")</f>
        <v/>
      </c>
      <c r="M306" s="91" t="str">
        <f>IFERROR(MATCH('15_STOCK'!$N306,{"INCONSISTENTE","AGOTADO","CRÍTICO","BAJO","SOBRESTOCK"},0)*100000+MIN(99,INT(IF(N('15_STOCK'!$K306)&gt;0,MAX(0,N('15_STOCK'!$J306))/'15_STOCK'!$K306,0)*10))*1000+ROW(),"")</f>
        <v/>
      </c>
      <c r="N306" s="91" t="str">
        <f>IF(AND(ISNUMBER(MATCH('15_STOCK'!$N306,{"AGOTADO","CRÍTICO","BAJO"},0)),'15_STOCK'!$G306="SI",OR(pdProveedor="(Todos)",pdProveedor="",'15_STOCK'!$E306=pdProveedor)),IFERROR(MATCH('15_STOCK'!$E306,tblProveedores[Proveedor],0),999)*1000000+MATCH('15_STOCK'!$N306,{"AGOTADO","CRÍTICO","BAJO"},0)*10000+ROW(),"")</f>
        <v/>
      </c>
      <c r="O306" s="92">
        <v>299</v>
      </c>
      <c r="P306" s="91" t="str">
        <f t="shared" si="19"/>
        <v/>
      </c>
      <c r="Q306" s="91" t="str">
        <f t="shared" si="20"/>
        <v/>
      </c>
      <c r="R306" s="92">
        <v>299</v>
      </c>
      <c r="S306" s="91" t="str">
        <f t="shared" si="21"/>
        <v/>
      </c>
      <c r="T306" s="91" t="str">
        <f t="shared" si="22"/>
        <v/>
      </c>
    </row>
    <row r="307" spans="12:20" x14ac:dyDescent="0.25">
      <c r="L307" s="91" t="str">
        <f>IF(AND(ISNUMBER('15_STOCK'!$P307),'15_STOCK'!$P307&gt;0),'15_STOCK'!$P307+ROW()/1000000,"")</f>
        <v/>
      </c>
      <c r="M307" s="91" t="str">
        <f>IFERROR(MATCH('15_STOCK'!$N307,{"INCONSISTENTE","AGOTADO","CRÍTICO","BAJO","SOBRESTOCK"},0)*100000+MIN(99,INT(IF(N('15_STOCK'!$K307)&gt;0,MAX(0,N('15_STOCK'!$J307))/'15_STOCK'!$K307,0)*10))*1000+ROW(),"")</f>
        <v/>
      </c>
      <c r="N307" s="91" t="str">
        <f>IF(AND(ISNUMBER(MATCH('15_STOCK'!$N307,{"AGOTADO","CRÍTICO","BAJO"},0)),'15_STOCK'!$G307="SI",OR(pdProveedor="(Todos)",pdProveedor="",'15_STOCK'!$E307=pdProveedor)),IFERROR(MATCH('15_STOCK'!$E307,tblProveedores[Proveedor],0),999)*1000000+MATCH('15_STOCK'!$N307,{"AGOTADO","CRÍTICO","BAJO"},0)*10000+ROW(),"")</f>
        <v/>
      </c>
      <c r="O307" s="92">
        <v>300</v>
      </c>
      <c r="P307" s="91" t="str">
        <f t="shared" si="19"/>
        <v/>
      </c>
      <c r="Q307" s="91" t="str">
        <f t="shared" si="20"/>
        <v/>
      </c>
      <c r="R307" s="92">
        <v>300</v>
      </c>
      <c r="S307" s="91" t="str">
        <f t="shared" si="21"/>
        <v/>
      </c>
      <c r="T307" s="91" t="str">
        <f t="shared" si="22"/>
        <v/>
      </c>
    </row>
    <row r="308" spans="12:20" x14ac:dyDescent="0.25">
      <c r="L308" s="91" t="str">
        <f>IF(AND(ISNUMBER('15_STOCK'!$P308),'15_STOCK'!$P308&gt;0),'15_STOCK'!$P308+ROW()/1000000,"")</f>
        <v/>
      </c>
      <c r="M308" s="91" t="str">
        <f>IFERROR(MATCH('15_STOCK'!$N308,{"INCONSISTENTE","AGOTADO","CRÍTICO","BAJO","SOBRESTOCK"},0)*100000+MIN(99,INT(IF(N('15_STOCK'!$K308)&gt;0,MAX(0,N('15_STOCK'!$J308))/'15_STOCK'!$K308,0)*10))*1000+ROW(),"")</f>
        <v/>
      </c>
      <c r="N308" s="91" t="str">
        <f>IF(AND(ISNUMBER(MATCH('15_STOCK'!$N308,{"AGOTADO","CRÍTICO","BAJO"},0)),'15_STOCK'!$G308="SI",OR(pdProveedor="(Todos)",pdProveedor="",'15_STOCK'!$E308=pdProveedor)),IFERROR(MATCH('15_STOCK'!$E308,tblProveedores[Proveedor],0),999)*1000000+MATCH('15_STOCK'!$N308,{"AGOTADO","CRÍTICO","BAJO"},0)*10000+ROW(),"")</f>
        <v/>
      </c>
      <c r="O308" s="92">
        <v>301</v>
      </c>
      <c r="P308" s="91" t="str">
        <f t="shared" si="19"/>
        <v/>
      </c>
      <c r="Q308" s="91" t="str">
        <f t="shared" si="20"/>
        <v/>
      </c>
      <c r="R308" s="92">
        <v>301</v>
      </c>
      <c r="S308" s="91" t="str">
        <f t="shared" si="21"/>
        <v/>
      </c>
      <c r="T308" s="91" t="str">
        <f t="shared" si="22"/>
        <v/>
      </c>
    </row>
    <row r="309" spans="12:20" x14ac:dyDescent="0.25">
      <c r="L309" s="91" t="str">
        <f>IF(AND(ISNUMBER('15_STOCK'!$P309),'15_STOCK'!$P309&gt;0),'15_STOCK'!$P309+ROW()/1000000,"")</f>
        <v/>
      </c>
      <c r="M309" s="91" t="str">
        <f>IFERROR(MATCH('15_STOCK'!$N309,{"INCONSISTENTE","AGOTADO","CRÍTICO","BAJO","SOBRESTOCK"},0)*100000+MIN(99,INT(IF(N('15_STOCK'!$K309)&gt;0,MAX(0,N('15_STOCK'!$J309))/'15_STOCK'!$K309,0)*10))*1000+ROW(),"")</f>
        <v/>
      </c>
      <c r="N309" s="91" t="str">
        <f>IF(AND(ISNUMBER(MATCH('15_STOCK'!$N309,{"AGOTADO","CRÍTICO","BAJO"},0)),'15_STOCK'!$G309="SI",OR(pdProveedor="(Todos)",pdProveedor="",'15_STOCK'!$E309=pdProveedor)),IFERROR(MATCH('15_STOCK'!$E309,tblProveedores[Proveedor],0),999)*1000000+MATCH('15_STOCK'!$N309,{"AGOTADO","CRÍTICO","BAJO"},0)*10000+ROW(),"")</f>
        <v/>
      </c>
      <c r="O309" s="92">
        <v>302</v>
      </c>
      <c r="P309" s="91" t="str">
        <f t="shared" si="19"/>
        <v/>
      </c>
      <c r="Q309" s="91" t="str">
        <f t="shared" si="20"/>
        <v/>
      </c>
      <c r="R309" s="92">
        <v>302</v>
      </c>
      <c r="S309" s="91" t="str">
        <f t="shared" si="21"/>
        <v/>
      </c>
      <c r="T309" s="91" t="str">
        <f t="shared" si="22"/>
        <v/>
      </c>
    </row>
    <row r="310" spans="12:20" x14ac:dyDescent="0.25">
      <c r="L310" s="91" t="str">
        <f>IF(AND(ISNUMBER('15_STOCK'!$P310),'15_STOCK'!$P310&gt;0),'15_STOCK'!$P310+ROW()/1000000,"")</f>
        <v/>
      </c>
      <c r="M310" s="91" t="str">
        <f>IFERROR(MATCH('15_STOCK'!$N310,{"INCONSISTENTE","AGOTADO","CRÍTICO","BAJO","SOBRESTOCK"},0)*100000+MIN(99,INT(IF(N('15_STOCK'!$K310)&gt;0,MAX(0,N('15_STOCK'!$J310))/'15_STOCK'!$K310,0)*10))*1000+ROW(),"")</f>
        <v/>
      </c>
      <c r="N310" s="91" t="str">
        <f>IF(AND(ISNUMBER(MATCH('15_STOCK'!$N310,{"AGOTADO","CRÍTICO","BAJO"},0)),'15_STOCK'!$G310="SI",OR(pdProveedor="(Todos)",pdProveedor="",'15_STOCK'!$E310=pdProveedor)),IFERROR(MATCH('15_STOCK'!$E310,tblProveedores[Proveedor],0),999)*1000000+MATCH('15_STOCK'!$N310,{"AGOTADO","CRÍTICO","BAJO"},0)*10000+ROW(),"")</f>
        <v/>
      </c>
      <c r="O310" s="92">
        <v>303</v>
      </c>
      <c r="P310" s="91" t="str">
        <f t="shared" si="19"/>
        <v/>
      </c>
      <c r="Q310" s="91" t="str">
        <f t="shared" si="20"/>
        <v/>
      </c>
      <c r="R310" s="92">
        <v>303</v>
      </c>
      <c r="S310" s="91" t="str">
        <f t="shared" si="21"/>
        <v/>
      </c>
      <c r="T310" s="91" t="str">
        <f t="shared" si="22"/>
        <v/>
      </c>
    </row>
    <row r="311" spans="12:20" x14ac:dyDescent="0.25">
      <c r="L311" s="91" t="str">
        <f>IF(AND(ISNUMBER('15_STOCK'!$P311),'15_STOCK'!$P311&gt;0),'15_STOCK'!$P311+ROW()/1000000,"")</f>
        <v/>
      </c>
      <c r="M311" s="91" t="str">
        <f>IFERROR(MATCH('15_STOCK'!$N311,{"INCONSISTENTE","AGOTADO","CRÍTICO","BAJO","SOBRESTOCK"},0)*100000+MIN(99,INT(IF(N('15_STOCK'!$K311)&gt;0,MAX(0,N('15_STOCK'!$J311))/'15_STOCK'!$K311,0)*10))*1000+ROW(),"")</f>
        <v/>
      </c>
      <c r="N311" s="91" t="str">
        <f>IF(AND(ISNUMBER(MATCH('15_STOCK'!$N311,{"AGOTADO","CRÍTICO","BAJO"},0)),'15_STOCK'!$G311="SI",OR(pdProveedor="(Todos)",pdProveedor="",'15_STOCK'!$E311=pdProveedor)),IFERROR(MATCH('15_STOCK'!$E311,tblProveedores[Proveedor],0),999)*1000000+MATCH('15_STOCK'!$N311,{"AGOTADO","CRÍTICO","BAJO"},0)*10000+ROW(),"")</f>
        <v/>
      </c>
      <c r="O311" s="92">
        <v>304</v>
      </c>
      <c r="P311" s="91" t="str">
        <f t="shared" si="19"/>
        <v/>
      </c>
      <c r="Q311" s="91" t="str">
        <f t="shared" si="20"/>
        <v/>
      </c>
      <c r="R311" s="92">
        <v>304</v>
      </c>
      <c r="S311" s="91" t="str">
        <f t="shared" si="21"/>
        <v/>
      </c>
      <c r="T311" s="91" t="str">
        <f t="shared" si="22"/>
        <v/>
      </c>
    </row>
    <row r="312" spans="12:20" x14ac:dyDescent="0.25">
      <c r="L312" s="91" t="str">
        <f>IF(AND(ISNUMBER('15_STOCK'!$P312),'15_STOCK'!$P312&gt;0),'15_STOCK'!$P312+ROW()/1000000,"")</f>
        <v/>
      </c>
      <c r="M312" s="91" t="str">
        <f>IFERROR(MATCH('15_STOCK'!$N312,{"INCONSISTENTE","AGOTADO","CRÍTICO","BAJO","SOBRESTOCK"},0)*100000+MIN(99,INT(IF(N('15_STOCK'!$K312)&gt;0,MAX(0,N('15_STOCK'!$J312))/'15_STOCK'!$K312,0)*10))*1000+ROW(),"")</f>
        <v/>
      </c>
      <c r="N312" s="91" t="str">
        <f>IF(AND(ISNUMBER(MATCH('15_STOCK'!$N312,{"AGOTADO","CRÍTICO","BAJO"},0)),'15_STOCK'!$G312="SI",OR(pdProveedor="(Todos)",pdProveedor="",'15_STOCK'!$E312=pdProveedor)),IFERROR(MATCH('15_STOCK'!$E312,tblProveedores[Proveedor],0),999)*1000000+MATCH('15_STOCK'!$N312,{"AGOTADO","CRÍTICO","BAJO"},0)*10000+ROW(),"")</f>
        <v/>
      </c>
      <c r="O312" s="92">
        <v>305</v>
      </c>
      <c r="P312" s="91" t="str">
        <f t="shared" si="19"/>
        <v/>
      </c>
      <c r="Q312" s="91" t="str">
        <f t="shared" si="20"/>
        <v/>
      </c>
      <c r="R312" s="92">
        <v>305</v>
      </c>
      <c r="S312" s="91" t="str">
        <f t="shared" si="21"/>
        <v/>
      </c>
      <c r="T312" s="91" t="str">
        <f t="shared" si="22"/>
        <v/>
      </c>
    </row>
    <row r="313" spans="12:20" x14ac:dyDescent="0.25">
      <c r="L313" s="91" t="str">
        <f>IF(AND(ISNUMBER('15_STOCK'!$P313),'15_STOCK'!$P313&gt;0),'15_STOCK'!$P313+ROW()/1000000,"")</f>
        <v/>
      </c>
      <c r="M313" s="91" t="str">
        <f>IFERROR(MATCH('15_STOCK'!$N313,{"INCONSISTENTE","AGOTADO","CRÍTICO","BAJO","SOBRESTOCK"},0)*100000+MIN(99,INT(IF(N('15_STOCK'!$K313)&gt;0,MAX(0,N('15_STOCK'!$J313))/'15_STOCK'!$K313,0)*10))*1000+ROW(),"")</f>
        <v/>
      </c>
      <c r="N313" s="91" t="str">
        <f>IF(AND(ISNUMBER(MATCH('15_STOCK'!$N313,{"AGOTADO","CRÍTICO","BAJO"},0)),'15_STOCK'!$G313="SI",OR(pdProveedor="(Todos)",pdProveedor="",'15_STOCK'!$E313=pdProveedor)),IFERROR(MATCH('15_STOCK'!$E313,tblProveedores[Proveedor],0),999)*1000000+MATCH('15_STOCK'!$N313,{"AGOTADO","CRÍTICO","BAJO"},0)*10000+ROW(),"")</f>
        <v/>
      </c>
      <c r="O313" s="92">
        <v>306</v>
      </c>
      <c r="P313" s="91" t="str">
        <f t="shared" si="19"/>
        <v/>
      </c>
      <c r="Q313" s="91" t="str">
        <f t="shared" si="20"/>
        <v/>
      </c>
      <c r="R313" s="92">
        <v>306</v>
      </c>
      <c r="S313" s="91" t="str">
        <f t="shared" si="21"/>
        <v/>
      </c>
      <c r="T313" s="91" t="str">
        <f t="shared" si="22"/>
        <v/>
      </c>
    </row>
    <row r="314" spans="12:20" x14ac:dyDescent="0.25">
      <c r="L314" s="91" t="str">
        <f>IF(AND(ISNUMBER('15_STOCK'!$P314),'15_STOCK'!$P314&gt;0),'15_STOCK'!$P314+ROW()/1000000,"")</f>
        <v/>
      </c>
      <c r="M314" s="91" t="str">
        <f>IFERROR(MATCH('15_STOCK'!$N314,{"INCONSISTENTE","AGOTADO","CRÍTICO","BAJO","SOBRESTOCK"},0)*100000+MIN(99,INT(IF(N('15_STOCK'!$K314)&gt;0,MAX(0,N('15_STOCK'!$J314))/'15_STOCK'!$K314,0)*10))*1000+ROW(),"")</f>
        <v/>
      </c>
      <c r="N314" s="91" t="str">
        <f>IF(AND(ISNUMBER(MATCH('15_STOCK'!$N314,{"AGOTADO","CRÍTICO","BAJO"},0)),'15_STOCK'!$G314="SI",OR(pdProveedor="(Todos)",pdProveedor="",'15_STOCK'!$E314=pdProveedor)),IFERROR(MATCH('15_STOCK'!$E314,tblProveedores[Proveedor],0),999)*1000000+MATCH('15_STOCK'!$N314,{"AGOTADO","CRÍTICO","BAJO"},0)*10000+ROW(),"")</f>
        <v/>
      </c>
      <c r="O314" s="92">
        <v>307</v>
      </c>
      <c r="P314" s="91" t="str">
        <f t="shared" si="19"/>
        <v/>
      </c>
      <c r="Q314" s="91" t="str">
        <f t="shared" si="20"/>
        <v/>
      </c>
      <c r="R314" s="92">
        <v>307</v>
      </c>
      <c r="S314" s="91" t="str">
        <f t="shared" si="21"/>
        <v/>
      </c>
      <c r="T314" s="91" t="str">
        <f t="shared" si="22"/>
        <v/>
      </c>
    </row>
    <row r="315" spans="12:20" x14ac:dyDescent="0.25">
      <c r="L315" s="91" t="str">
        <f>IF(AND(ISNUMBER('15_STOCK'!$P315),'15_STOCK'!$P315&gt;0),'15_STOCK'!$P315+ROW()/1000000,"")</f>
        <v/>
      </c>
      <c r="M315" s="91" t="str">
        <f>IFERROR(MATCH('15_STOCK'!$N315,{"INCONSISTENTE","AGOTADO","CRÍTICO","BAJO","SOBRESTOCK"},0)*100000+MIN(99,INT(IF(N('15_STOCK'!$K315)&gt;0,MAX(0,N('15_STOCK'!$J315))/'15_STOCK'!$K315,0)*10))*1000+ROW(),"")</f>
        <v/>
      </c>
      <c r="N315" s="91" t="str">
        <f>IF(AND(ISNUMBER(MATCH('15_STOCK'!$N315,{"AGOTADO","CRÍTICO","BAJO"},0)),'15_STOCK'!$G315="SI",OR(pdProveedor="(Todos)",pdProveedor="",'15_STOCK'!$E315=pdProveedor)),IFERROR(MATCH('15_STOCK'!$E315,tblProveedores[Proveedor],0),999)*1000000+MATCH('15_STOCK'!$N315,{"AGOTADO","CRÍTICO","BAJO"},0)*10000+ROW(),"")</f>
        <v/>
      </c>
      <c r="O315" s="92">
        <v>308</v>
      </c>
      <c r="P315" s="91" t="str">
        <f t="shared" si="19"/>
        <v/>
      </c>
      <c r="Q315" s="91" t="str">
        <f t="shared" si="20"/>
        <v/>
      </c>
      <c r="R315" s="92">
        <v>308</v>
      </c>
      <c r="S315" s="91" t="str">
        <f t="shared" si="21"/>
        <v/>
      </c>
      <c r="T315" s="91" t="str">
        <f t="shared" si="22"/>
        <v/>
      </c>
    </row>
    <row r="316" spans="12:20" x14ac:dyDescent="0.25">
      <c r="L316" s="91" t="str">
        <f>IF(AND(ISNUMBER('15_STOCK'!$P316),'15_STOCK'!$P316&gt;0),'15_STOCK'!$P316+ROW()/1000000,"")</f>
        <v/>
      </c>
      <c r="M316" s="91" t="str">
        <f>IFERROR(MATCH('15_STOCK'!$N316,{"INCONSISTENTE","AGOTADO","CRÍTICO","BAJO","SOBRESTOCK"},0)*100000+MIN(99,INT(IF(N('15_STOCK'!$K316)&gt;0,MAX(0,N('15_STOCK'!$J316))/'15_STOCK'!$K316,0)*10))*1000+ROW(),"")</f>
        <v/>
      </c>
      <c r="N316" s="91" t="str">
        <f>IF(AND(ISNUMBER(MATCH('15_STOCK'!$N316,{"AGOTADO","CRÍTICO","BAJO"},0)),'15_STOCK'!$G316="SI",OR(pdProveedor="(Todos)",pdProveedor="",'15_STOCK'!$E316=pdProveedor)),IFERROR(MATCH('15_STOCK'!$E316,tblProveedores[Proveedor],0),999)*1000000+MATCH('15_STOCK'!$N316,{"AGOTADO","CRÍTICO","BAJO"},0)*10000+ROW(),"")</f>
        <v/>
      </c>
      <c r="O316" s="92">
        <v>309</v>
      </c>
      <c r="P316" s="91" t="str">
        <f t="shared" si="19"/>
        <v/>
      </c>
      <c r="Q316" s="91" t="str">
        <f t="shared" si="20"/>
        <v/>
      </c>
      <c r="R316" s="92">
        <v>309</v>
      </c>
      <c r="S316" s="91" t="str">
        <f t="shared" si="21"/>
        <v/>
      </c>
      <c r="T316" s="91" t="str">
        <f t="shared" si="22"/>
        <v/>
      </c>
    </row>
    <row r="317" spans="12:20" x14ac:dyDescent="0.25">
      <c r="L317" s="91" t="str">
        <f>IF(AND(ISNUMBER('15_STOCK'!$P317),'15_STOCK'!$P317&gt;0),'15_STOCK'!$P317+ROW()/1000000,"")</f>
        <v/>
      </c>
      <c r="M317" s="91" t="str">
        <f>IFERROR(MATCH('15_STOCK'!$N317,{"INCONSISTENTE","AGOTADO","CRÍTICO","BAJO","SOBRESTOCK"},0)*100000+MIN(99,INT(IF(N('15_STOCK'!$K317)&gt;0,MAX(0,N('15_STOCK'!$J317))/'15_STOCK'!$K317,0)*10))*1000+ROW(),"")</f>
        <v/>
      </c>
      <c r="N317" s="91" t="str">
        <f>IF(AND(ISNUMBER(MATCH('15_STOCK'!$N317,{"AGOTADO","CRÍTICO","BAJO"},0)),'15_STOCK'!$G317="SI",OR(pdProveedor="(Todos)",pdProveedor="",'15_STOCK'!$E317=pdProveedor)),IFERROR(MATCH('15_STOCK'!$E317,tblProveedores[Proveedor],0),999)*1000000+MATCH('15_STOCK'!$N317,{"AGOTADO","CRÍTICO","BAJO"},0)*10000+ROW(),"")</f>
        <v/>
      </c>
      <c r="O317" s="92">
        <v>310</v>
      </c>
      <c r="P317" s="91" t="str">
        <f t="shared" si="19"/>
        <v/>
      </c>
      <c r="Q317" s="91" t="str">
        <f t="shared" si="20"/>
        <v/>
      </c>
      <c r="R317" s="92">
        <v>310</v>
      </c>
      <c r="S317" s="91" t="str">
        <f t="shared" si="21"/>
        <v/>
      </c>
      <c r="T317" s="91" t="str">
        <f t="shared" si="22"/>
        <v/>
      </c>
    </row>
    <row r="318" spans="12:20" x14ac:dyDescent="0.25">
      <c r="L318" s="91" t="str">
        <f>IF(AND(ISNUMBER('15_STOCK'!$P318),'15_STOCK'!$P318&gt;0),'15_STOCK'!$P318+ROW()/1000000,"")</f>
        <v/>
      </c>
      <c r="M318" s="91" t="str">
        <f>IFERROR(MATCH('15_STOCK'!$N318,{"INCONSISTENTE","AGOTADO","CRÍTICO","BAJO","SOBRESTOCK"},0)*100000+MIN(99,INT(IF(N('15_STOCK'!$K318)&gt;0,MAX(0,N('15_STOCK'!$J318))/'15_STOCK'!$K318,0)*10))*1000+ROW(),"")</f>
        <v/>
      </c>
      <c r="N318" s="91" t="str">
        <f>IF(AND(ISNUMBER(MATCH('15_STOCK'!$N318,{"AGOTADO","CRÍTICO","BAJO"},0)),'15_STOCK'!$G318="SI",OR(pdProveedor="(Todos)",pdProveedor="",'15_STOCK'!$E318=pdProveedor)),IFERROR(MATCH('15_STOCK'!$E318,tblProveedores[Proveedor],0),999)*1000000+MATCH('15_STOCK'!$N318,{"AGOTADO","CRÍTICO","BAJO"},0)*10000+ROW(),"")</f>
        <v/>
      </c>
      <c r="O318" s="92">
        <v>311</v>
      </c>
      <c r="P318" s="91" t="str">
        <f t="shared" si="19"/>
        <v/>
      </c>
      <c r="Q318" s="91" t="str">
        <f t="shared" si="20"/>
        <v/>
      </c>
      <c r="R318" s="92">
        <v>311</v>
      </c>
      <c r="S318" s="91" t="str">
        <f t="shared" si="21"/>
        <v/>
      </c>
      <c r="T318" s="91" t="str">
        <f t="shared" si="22"/>
        <v/>
      </c>
    </row>
    <row r="319" spans="12:20" x14ac:dyDescent="0.25">
      <c r="L319" s="91" t="str">
        <f>IF(AND(ISNUMBER('15_STOCK'!$P319),'15_STOCK'!$P319&gt;0),'15_STOCK'!$P319+ROW()/1000000,"")</f>
        <v/>
      </c>
      <c r="M319" s="91" t="str">
        <f>IFERROR(MATCH('15_STOCK'!$N319,{"INCONSISTENTE","AGOTADO","CRÍTICO","BAJO","SOBRESTOCK"},0)*100000+MIN(99,INT(IF(N('15_STOCK'!$K319)&gt;0,MAX(0,N('15_STOCK'!$J319))/'15_STOCK'!$K319,0)*10))*1000+ROW(),"")</f>
        <v/>
      </c>
      <c r="N319" s="91" t="str">
        <f>IF(AND(ISNUMBER(MATCH('15_STOCK'!$N319,{"AGOTADO","CRÍTICO","BAJO"},0)),'15_STOCK'!$G319="SI",OR(pdProveedor="(Todos)",pdProveedor="",'15_STOCK'!$E319=pdProveedor)),IFERROR(MATCH('15_STOCK'!$E319,tblProveedores[Proveedor],0),999)*1000000+MATCH('15_STOCK'!$N319,{"AGOTADO","CRÍTICO","BAJO"},0)*10000+ROW(),"")</f>
        <v/>
      </c>
      <c r="O319" s="92">
        <v>312</v>
      </c>
      <c r="P319" s="91" t="str">
        <f t="shared" si="19"/>
        <v/>
      </c>
      <c r="Q319" s="91" t="str">
        <f t="shared" si="20"/>
        <v/>
      </c>
      <c r="R319" s="92">
        <v>312</v>
      </c>
      <c r="S319" s="91" t="str">
        <f t="shared" si="21"/>
        <v/>
      </c>
      <c r="T319" s="91" t="str">
        <f t="shared" si="22"/>
        <v/>
      </c>
    </row>
    <row r="320" spans="12:20" x14ac:dyDescent="0.25">
      <c r="L320" s="91" t="str">
        <f>IF(AND(ISNUMBER('15_STOCK'!$P320),'15_STOCK'!$P320&gt;0),'15_STOCK'!$P320+ROW()/1000000,"")</f>
        <v/>
      </c>
      <c r="M320" s="91" t="str">
        <f>IFERROR(MATCH('15_STOCK'!$N320,{"INCONSISTENTE","AGOTADO","CRÍTICO","BAJO","SOBRESTOCK"},0)*100000+MIN(99,INT(IF(N('15_STOCK'!$K320)&gt;0,MAX(0,N('15_STOCK'!$J320))/'15_STOCK'!$K320,0)*10))*1000+ROW(),"")</f>
        <v/>
      </c>
      <c r="N320" s="91" t="str">
        <f>IF(AND(ISNUMBER(MATCH('15_STOCK'!$N320,{"AGOTADO","CRÍTICO","BAJO"},0)),'15_STOCK'!$G320="SI",OR(pdProveedor="(Todos)",pdProveedor="",'15_STOCK'!$E320=pdProveedor)),IFERROR(MATCH('15_STOCK'!$E320,tblProveedores[Proveedor],0),999)*1000000+MATCH('15_STOCK'!$N320,{"AGOTADO","CRÍTICO","BAJO"},0)*10000+ROW(),"")</f>
        <v/>
      </c>
      <c r="O320" s="92">
        <v>313</v>
      </c>
      <c r="P320" s="91" t="str">
        <f t="shared" si="19"/>
        <v/>
      </c>
      <c r="Q320" s="91" t="str">
        <f t="shared" si="20"/>
        <v/>
      </c>
      <c r="R320" s="92">
        <v>313</v>
      </c>
      <c r="S320" s="91" t="str">
        <f t="shared" si="21"/>
        <v/>
      </c>
      <c r="T320" s="91" t="str">
        <f t="shared" si="22"/>
        <v/>
      </c>
    </row>
    <row r="321" spans="12:20" x14ac:dyDescent="0.25">
      <c r="L321" s="91" t="str">
        <f>IF(AND(ISNUMBER('15_STOCK'!$P321),'15_STOCK'!$P321&gt;0),'15_STOCK'!$P321+ROW()/1000000,"")</f>
        <v/>
      </c>
      <c r="M321" s="91" t="str">
        <f>IFERROR(MATCH('15_STOCK'!$N321,{"INCONSISTENTE","AGOTADO","CRÍTICO","BAJO","SOBRESTOCK"},0)*100000+MIN(99,INT(IF(N('15_STOCK'!$K321)&gt;0,MAX(0,N('15_STOCK'!$J321))/'15_STOCK'!$K321,0)*10))*1000+ROW(),"")</f>
        <v/>
      </c>
      <c r="N321" s="91" t="str">
        <f>IF(AND(ISNUMBER(MATCH('15_STOCK'!$N321,{"AGOTADO","CRÍTICO","BAJO"},0)),'15_STOCK'!$G321="SI",OR(pdProveedor="(Todos)",pdProveedor="",'15_STOCK'!$E321=pdProveedor)),IFERROR(MATCH('15_STOCK'!$E321,tblProveedores[Proveedor],0),999)*1000000+MATCH('15_STOCK'!$N321,{"AGOTADO","CRÍTICO","BAJO"},0)*10000+ROW(),"")</f>
        <v/>
      </c>
      <c r="O321" s="92">
        <v>314</v>
      </c>
      <c r="P321" s="91" t="str">
        <f t="shared" si="19"/>
        <v/>
      </c>
      <c r="Q321" s="91" t="str">
        <f t="shared" si="20"/>
        <v/>
      </c>
      <c r="R321" s="92">
        <v>314</v>
      </c>
      <c r="S321" s="91" t="str">
        <f t="shared" si="21"/>
        <v/>
      </c>
      <c r="T321" s="91" t="str">
        <f t="shared" si="22"/>
        <v/>
      </c>
    </row>
    <row r="322" spans="12:20" x14ac:dyDescent="0.25">
      <c r="L322" s="91" t="str">
        <f>IF(AND(ISNUMBER('15_STOCK'!$P322),'15_STOCK'!$P322&gt;0),'15_STOCK'!$P322+ROW()/1000000,"")</f>
        <v/>
      </c>
      <c r="M322" s="91" t="str">
        <f>IFERROR(MATCH('15_STOCK'!$N322,{"INCONSISTENTE","AGOTADO","CRÍTICO","BAJO","SOBRESTOCK"},0)*100000+MIN(99,INT(IF(N('15_STOCK'!$K322)&gt;0,MAX(0,N('15_STOCK'!$J322))/'15_STOCK'!$K322,0)*10))*1000+ROW(),"")</f>
        <v/>
      </c>
      <c r="N322" s="91" t="str">
        <f>IF(AND(ISNUMBER(MATCH('15_STOCK'!$N322,{"AGOTADO","CRÍTICO","BAJO"},0)),'15_STOCK'!$G322="SI",OR(pdProveedor="(Todos)",pdProveedor="",'15_STOCK'!$E322=pdProveedor)),IFERROR(MATCH('15_STOCK'!$E322,tblProveedores[Proveedor],0),999)*1000000+MATCH('15_STOCK'!$N322,{"AGOTADO","CRÍTICO","BAJO"},0)*10000+ROW(),"")</f>
        <v/>
      </c>
      <c r="O322" s="92">
        <v>315</v>
      </c>
      <c r="P322" s="91" t="str">
        <f t="shared" si="19"/>
        <v/>
      </c>
      <c r="Q322" s="91" t="str">
        <f t="shared" si="20"/>
        <v/>
      </c>
      <c r="R322" s="92">
        <v>315</v>
      </c>
      <c r="S322" s="91" t="str">
        <f t="shared" si="21"/>
        <v/>
      </c>
      <c r="T322" s="91" t="str">
        <f t="shared" si="22"/>
        <v/>
      </c>
    </row>
    <row r="323" spans="12:20" x14ac:dyDescent="0.25">
      <c r="L323" s="91" t="str">
        <f>IF(AND(ISNUMBER('15_STOCK'!$P323),'15_STOCK'!$P323&gt;0),'15_STOCK'!$P323+ROW()/1000000,"")</f>
        <v/>
      </c>
      <c r="M323" s="91" t="str">
        <f>IFERROR(MATCH('15_STOCK'!$N323,{"INCONSISTENTE","AGOTADO","CRÍTICO","BAJO","SOBRESTOCK"},0)*100000+MIN(99,INT(IF(N('15_STOCK'!$K323)&gt;0,MAX(0,N('15_STOCK'!$J323))/'15_STOCK'!$K323,0)*10))*1000+ROW(),"")</f>
        <v/>
      </c>
      <c r="N323" s="91" t="str">
        <f>IF(AND(ISNUMBER(MATCH('15_STOCK'!$N323,{"AGOTADO","CRÍTICO","BAJO"},0)),'15_STOCK'!$G323="SI",OR(pdProveedor="(Todos)",pdProveedor="",'15_STOCK'!$E323=pdProveedor)),IFERROR(MATCH('15_STOCK'!$E323,tblProveedores[Proveedor],0),999)*1000000+MATCH('15_STOCK'!$N323,{"AGOTADO","CRÍTICO","BAJO"},0)*10000+ROW(),"")</f>
        <v/>
      </c>
      <c r="O323" s="92">
        <v>316</v>
      </c>
      <c r="P323" s="91" t="str">
        <f t="shared" si="19"/>
        <v/>
      </c>
      <c r="Q323" s="91" t="str">
        <f t="shared" si="20"/>
        <v/>
      </c>
      <c r="R323" s="92">
        <v>316</v>
      </c>
      <c r="S323" s="91" t="str">
        <f t="shared" si="21"/>
        <v/>
      </c>
      <c r="T323" s="91" t="str">
        <f t="shared" si="22"/>
        <v/>
      </c>
    </row>
    <row r="324" spans="12:20" x14ac:dyDescent="0.25">
      <c r="L324" s="91" t="str">
        <f>IF(AND(ISNUMBER('15_STOCK'!$P324),'15_STOCK'!$P324&gt;0),'15_STOCK'!$P324+ROW()/1000000,"")</f>
        <v/>
      </c>
      <c r="M324" s="91" t="str">
        <f>IFERROR(MATCH('15_STOCK'!$N324,{"INCONSISTENTE","AGOTADO","CRÍTICO","BAJO","SOBRESTOCK"},0)*100000+MIN(99,INT(IF(N('15_STOCK'!$K324)&gt;0,MAX(0,N('15_STOCK'!$J324))/'15_STOCK'!$K324,0)*10))*1000+ROW(),"")</f>
        <v/>
      </c>
      <c r="N324" s="91" t="str">
        <f>IF(AND(ISNUMBER(MATCH('15_STOCK'!$N324,{"AGOTADO","CRÍTICO","BAJO"},0)),'15_STOCK'!$G324="SI",OR(pdProveedor="(Todos)",pdProveedor="",'15_STOCK'!$E324=pdProveedor)),IFERROR(MATCH('15_STOCK'!$E324,tblProveedores[Proveedor],0),999)*1000000+MATCH('15_STOCK'!$N324,{"AGOTADO","CRÍTICO","BAJO"},0)*10000+ROW(),"")</f>
        <v/>
      </c>
      <c r="O324" s="92">
        <v>317</v>
      </c>
      <c r="P324" s="91" t="str">
        <f t="shared" si="19"/>
        <v/>
      </c>
      <c r="Q324" s="91" t="str">
        <f t="shared" si="20"/>
        <v/>
      </c>
      <c r="R324" s="92">
        <v>317</v>
      </c>
      <c r="S324" s="91" t="str">
        <f t="shared" si="21"/>
        <v/>
      </c>
      <c r="T324" s="91" t="str">
        <f t="shared" si="22"/>
        <v/>
      </c>
    </row>
    <row r="325" spans="12:20" x14ac:dyDescent="0.25">
      <c r="L325" s="91" t="str">
        <f>IF(AND(ISNUMBER('15_STOCK'!$P325),'15_STOCK'!$P325&gt;0),'15_STOCK'!$P325+ROW()/1000000,"")</f>
        <v/>
      </c>
      <c r="M325" s="91" t="str">
        <f>IFERROR(MATCH('15_STOCK'!$N325,{"INCONSISTENTE","AGOTADO","CRÍTICO","BAJO","SOBRESTOCK"},0)*100000+MIN(99,INT(IF(N('15_STOCK'!$K325)&gt;0,MAX(0,N('15_STOCK'!$J325))/'15_STOCK'!$K325,0)*10))*1000+ROW(),"")</f>
        <v/>
      </c>
      <c r="N325" s="91" t="str">
        <f>IF(AND(ISNUMBER(MATCH('15_STOCK'!$N325,{"AGOTADO","CRÍTICO","BAJO"},0)),'15_STOCK'!$G325="SI",OR(pdProveedor="(Todos)",pdProveedor="",'15_STOCK'!$E325=pdProveedor)),IFERROR(MATCH('15_STOCK'!$E325,tblProveedores[Proveedor],0),999)*1000000+MATCH('15_STOCK'!$N325,{"AGOTADO","CRÍTICO","BAJO"},0)*10000+ROW(),"")</f>
        <v/>
      </c>
      <c r="O325" s="92">
        <v>318</v>
      </c>
      <c r="P325" s="91" t="str">
        <f t="shared" si="19"/>
        <v/>
      </c>
      <c r="Q325" s="91" t="str">
        <f t="shared" si="20"/>
        <v/>
      </c>
      <c r="R325" s="92">
        <v>318</v>
      </c>
      <c r="S325" s="91" t="str">
        <f t="shared" si="21"/>
        <v/>
      </c>
      <c r="T325" s="91" t="str">
        <f t="shared" si="22"/>
        <v/>
      </c>
    </row>
    <row r="326" spans="12:20" x14ac:dyDescent="0.25">
      <c r="L326" s="91" t="str">
        <f>IF(AND(ISNUMBER('15_STOCK'!$P326),'15_STOCK'!$P326&gt;0),'15_STOCK'!$P326+ROW()/1000000,"")</f>
        <v/>
      </c>
      <c r="M326" s="91" t="str">
        <f>IFERROR(MATCH('15_STOCK'!$N326,{"INCONSISTENTE","AGOTADO","CRÍTICO","BAJO","SOBRESTOCK"},0)*100000+MIN(99,INT(IF(N('15_STOCK'!$K326)&gt;0,MAX(0,N('15_STOCK'!$J326))/'15_STOCK'!$K326,0)*10))*1000+ROW(),"")</f>
        <v/>
      </c>
      <c r="N326" s="91" t="str">
        <f>IF(AND(ISNUMBER(MATCH('15_STOCK'!$N326,{"AGOTADO","CRÍTICO","BAJO"},0)),'15_STOCK'!$G326="SI",OR(pdProveedor="(Todos)",pdProveedor="",'15_STOCK'!$E326=pdProveedor)),IFERROR(MATCH('15_STOCK'!$E326,tblProveedores[Proveedor],0),999)*1000000+MATCH('15_STOCK'!$N326,{"AGOTADO","CRÍTICO","BAJO"},0)*10000+ROW(),"")</f>
        <v/>
      </c>
      <c r="O326" s="92">
        <v>319</v>
      </c>
      <c r="P326" s="91" t="str">
        <f t="shared" si="19"/>
        <v/>
      </c>
      <c r="Q326" s="91" t="str">
        <f t="shared" si="20"/>
        <v/>
      </c>
      <c r="R326" s="92">
        <v>319</v>
      </c>
      <c r="S326" s="91" t="str">
        <f t="shared" si="21"/>
        <v/>
      </c>
      <c r="T326" s="91" t="str">
        <f t="shared" si="22"/>
        <v/>
      </c>
    </row>
    <row r="327" spans="12:20" x14ac:dyDescent="0.25">
      <c r="L327" s="91" t="str">
        <f>IF(AND(ISNUMBER('15_STOCK'!$P327),'15_STOCK'!$P327&gt;0),'15_STOCK'!$P327+ROW()/1000000,"")</f>
        <v/>
      </c>
      <c r="M327" s="91" t="str">
        <f>IFERROR(MATCH('15_STOCK'!$N327,{"INCONSISTENTE","AGOTADO","CRÍTICO","BAJO","SOBRESTOCK"},0)*100000+MIN(99,INT(IF(N('15_STOCK'!$K327)&gt;0,MAX(0,N('15_STOCK'!$J327))/'15_STOCK'!$K327,0)*10))*1000+ROW(),"")</f>
        <v/>
      </c>
      <c r="N327" s="91" t="str">
        <f>IF(AND(ISNUMBER(MATCH('15_STOCK'!$N327,{"AGOTADO","CRÍTICO","BAJO"},0)),'15_STOCK'!$G327="SI",OR(pdProveedor="(Todos)",pdProveedor="",'15_STOCK'!$E327=pdProveedor)),IFERROR(MATCH('15_STOCK'!$E327,tblProveedores[Proveedor],0),999)*1000000+MATCH('15_STOCK'!$N327,{"AGOTADO","CRÍTICO","BAJO"},0)*10000+ROW(),"")</f>
        <v/>
      </c>
      <c r="O327" s="92">
        <v>320</v>
      </c>
      <c r="P327" s="91" t="str">
        <f t="shared" si="19"/>
        <v/>
      </c>
      <c r="Q327" s="91" t="str">
        <f t="shared" si="20"/>
        <v/>
      </c>
      <c r="R327" s="92">
        <v>320</v>
      </c>
      <c r="S327" s="91" t="str">
        <f t="shared" si="21"/>
        <v/>
      </c>
      <c r="T327" s="91" t="str">
        <f t="shared" si="22"/>
        <v/>
      </c>
    </row>
    <row r="328" spans="12:20" x14ac:dyDescent="0.25">
      <c r="L328" s="91" t="str">
        <f>IF(AND(ISNUMBER('15_STOCK'!$P328),'15_STOCK'!$P328&gt;0),'15_STOCK'!$P328+ROW()/1000000,"")</f>
        <v/>
      </c>
      <c r="M328" s="91" t="str">
        <f>IFERROR(MATCH('15_STOCK'!$N328,{"INCONSISTENTE","AGOTADO","CRÍTICO","BAJO","SOBRESTOCK"},0)*100000+MIN(99,INT(IF(N('15_STOCK'!$K328)&gt;0,MAX(0,N('15_STOCK'!$J328))/'15_STOCK'!$K328,0)*10))*1000+ROW(),"")</f>
        <v/>
      </c>
      <c r="N328" s="91" t="str">
        <f>IF(AND(ISNUMBER(MATCH('15_STOCK'!$N328,{"AGOTADO","CRÍTICO","BAJO"},0)),'15_STOCK'!$G328="SI",OR(pdProveedor="(Todos)",pdProveedor="",'15_STOCK'!$E328=pdProveedor)),IFERROR(MATCH('15_STOCK'!$E328,tblProveedores[Proveedor],0),999)*1000000+MATCH('15_STOCK'!$N328,{"AGOTADO","CRÍTICO","BAJO"},0)*10000+ROW(),"")</f>
        <v/>
      </c>
      <c r="O328" s="92">
        <v>321</v>
      </c>
      <c r="P328" s="91" t="str">
        <f t="shared" ref="P328:P391" si="23">IFERROR(SMALL($M$8:$M$507,O328),"")</f>
        <v/>
      </c>
      <c r="Q328" s="91" t="str">
        <f t="shared" ref="Q328:Q391" si="24">IF(P328="","",MATCH(P328,$M$8:$M$507,0))</f>
        <v/>
      </c>
      <c r="R328" s="92">
        <v>321</v>
      </c>
      <c r="S328" s="91" t="str">
        <f t="shared" ref="S328:S391" si="25">IFERROR(SMALL($N$8:$N$507,R328),"")</f>
        <v/>
      </c>
      <c r="T328" s="91" t="str">
        <f t="shared" ref="T328:T391" si="26">IF(S328="","",MATCH(S328,$N$8:$N$507,0))</f>
        <v/>
      </c>
    </row>
    <row r="329" spans="12:20" x14ac:dyDescent="0.25">
      <c r="L329" s="91" t="str">
        <f>IF(AND(ISNUMBER('15_STOCK'!$P329),'15_STOCK'!$P329&gt;0),'15_STOCK'!$P329+ROW()/1000000,"")</f>
        <v/>
      </c>
      <c r="M329" s="91" t="str">
        <f>IFERROR(MATCH('15_STOCK'!$N329,{"INCONSISTENTE","AGOTADO","CRÍTICO","BAJO","SOBRESTOCK"},0)*100000+MIN(99,INT(IF(N('15_STOCK'!$K329)&gt;0,MAX(0,N('15_STOCK'!$J329))/'15_STOCK'!$K329,0)*10))*1000+ROW(),"")</f>
        <v/>
      </c>
      <c r="N329" s="91" t="str">
        <f>IF(AND(ISNUMBER(MATCH('15_STOCK'!$N329,{"AGOTADO","CRÍTICO","BAJO"},0)),'15_STOCK'!$G329="SI",OR(pdProveedor="(Todos)",pdProveedor="",'15_STOCK'!$E329=pdProveedor)),IFERROR(MATCH('15_STOCK'!$E329,tblProveedores[Proveedor],0),999)*1000000+MATCH('15_STOCK'!$N329,{"AGOTADO","CRÍTICO","BAJO"},0)*10000+ROW(),"")</f>
        <v/>
      </c>
      <c r="O329" s="92">
        <v>322</v>
      </c>
      <c r="P329" s="91" t="str">
        <f t="shared" si="23"/>
        <v/>
      </c>
      <c r="Q329" s="91" t="str">
        <f t="shared" si="24"/>
        <v/>
      </c>
      <c r="R329" s="92">
        <v>322</v>
      </c>
      <c r="S329" s="91" t="str">
        <f t="shared" si="25"/>
        <v/>
      </c>
      <c r="T329" s="91" t="str">
        <f t="shared" si="26"/>
        <v/>
      </c>
    </row>
    <row r="330" spans="12:20" x14ac:dyDescent="0.25">
      <c r="L330" s="91" t="str">
        <f>IF(AND(ISNUMBER('15_STOCK'!$P330),'15_STOCK'!$P330&gt;0),'15_STOCK'!$P330+ROW()/1000000,"")</f>
        <v/>
      </c>
      <c r="M330" s="91" t="str">
        <f>IFERROR(MATCH('15_STOCK'!$N330,{"INCONSISTENTE","AGOTADO","CRÍTICO","BAJO","SOBRESTOCK"},0)*100000+MIN(99,INT(IF(N('15_STOCK'!$K330)&gt;0,MAX(0,N('15_STOCK'!$J330))/'15_STOCK'!$K330,0)*10))*1000+ROW(),"")</f>
        <v/>
      </c>
      <c r="N330" s="91" t="str">
        <f>IF(AND(ISNUMBER(MATCH('15_STOCK'!$N330,{"AGOTADO","CRÍTICO","BAJO"},0)),'15_STOCK'!$G330="SI",OR(pdProveedor="(Todos)",pdProveedor="",'15_STOCK'!$E330=pdProveedor)),IFERROR(MATCH('15_STOCK'!$E330,tblProveedores[Proveedor],0),999)*1000000+MATCH('15_STOCK'!$N330,{"AGOTADO","CRÍTICO","BAJO"},0)*10000+ROW(),"")</f>
        <v/>
      </c>
      <c r="O330" s="92">
        <v>323</v>
      </c>
      <c r="P330" s="91" t="str">
        <f t="shared" si="23"/>
        <v/>
      </c>
      <c r="Q330" s="91" t="str">
        <f t="shared" si="24"/>
        <v/>
      </c>
      <c r="R330" s="92">
        <v>323</v>
      </c>
      <c r="S330" s="91" t="str">
        <f t="shared" si="25"/>
        <v/>
      </c>
      <c r="T330" s="91" t="str">
        <f t="shared" si="26"/>
        <v/>
      </c>
    </row>
    <row r="331" spans="12:20" x14ac:dyDescent="0.25">
      <c r="L331" s="91" t="str">
        <f>IF(AND(ISNUMBER('15_STOCK'!$P331),'15_STOCK'!$P331&gt;0),'15_STOCK'!$P331+ROW()/1000000,"")</f>
        <v/>
      </c>
      <c r="M331" s="91" t="str">
        <f>IFERROR(MATCH('15_STOCK'!$N331,{"INCONSISTENTE","AGOTADO","CRÍTICO","BAJO","SOBRESTOCK"},0)*100000+MIN(99,INT(IF(N('15_STOCK'!$K331)&gt;0,MAX(0,N('15_STOCK'!$J331))/'15_STOCK'!$K331,0)*10))*1000+ROW(),"")</f>
        <v/>
      </c>
      <c r="N331" s="91" t="str">
        <f>IF(AND(ISNUMBER(MATCH('15_STOCK'!$N331,{"AGOTADO","CRÍTICO","BAJO"},0)),'15_STOCK'!$G331="SI",OR(pdProveedor="(Todos)",pdProveedor="",'15_STOCK'!$E331=pdProveedor)),IFERROR(MATCH('15_STOCK'!$E331,tblProveedores[Proveedor],0),999)*1000000+MATCH('15_STOCK'!$N331,{"AGOTADO","CRÍTICO","BAJO"},0)*10000+ROW(),"")</f>
        <v/>
      </c>
      <c r="O331" s="92">
        <v>324</v>
      </c>
      <c r="P331" s="91" t="str">
        <f t="shared" si="23"/>
        <v/>
      </c>
      <c r="Q331" s="91" t="str">
        <f t="shared" si="24"/>
        <v/>
      </c>
      <c r="R331" s="92">
        <v>324</v>
      </c>
      <c r="S331" s="91" t="str">
        <f t="shared" si="25"/>
        <v/>
      </c>
      <c r="T331" s="91" t="str">
        <f t="shared" si="26"/>
        <v/>
      </c>
    </row>
    <row r="332" spans="12:20" x14ac:dyDescent="0.25">
      <c r="L332" s="91" t="str">
        <f>IF(AND(ISNUMBER('15_STOCK'!$P332),'15_STOCK'!$P332&gt;0),'15_STOCK'!$P332+ROW()/1000000,"")</f>
        <v/>
      </c>
      <c r="M332" s="91" t="str">
        <f>IFERROR(MATCH('15_STOCK'!$N332,{"INCONSISTENTE","AGOTADO","CRÍTICO","BAJO","SOBRESTOCK"},0)*100000+MIN(99,INT(IF(N('15_STOCK'!$K332)&gt;0,MAX(0,N('15_STOCK'!$J332))/'15_STOCK'!$K332,0)*10))*1000+ROW(),"")</f>
        <v/>
      </c>
      <c r="N332" s="91" t="str">
        <f>IF(AND(ISNUMBER(MATCH('15_STOCK'!$N332,{"AGOTADO","CRÍTICO","BAJO"},0)),'15_STOCK'!$G332="SI",OR(pdProveedor="(Todos)",pdProveedor="",'15_STOCK'!$E332=pdProveedor)),IFERROR(MATCH('15_STOCK'!$E332,tblProveedores[Proveedor],0),999)*1000000+MATCH('15_STOCK'!$N332,{"AGOTADO","CRÍTICO","BAJO"},0)*10000+ROW(),"")</f>
        <v/>
      </c>
      <c r="O332" s="92">
        <v>325</v>
      </c>
      <c r="P332" s="91" t="str">
        <f t="shared" si="23"/>
        <v/>
      </c>
      <c r="Q332" s="91" t="str">
        <f t="shared" si="24"/>
        <v/>
      </c>
      <c r="R332" s="92">
        <v>325</v>
      </c>
      <c r="S332" s="91" t="str">
        <f t="shared" si="25"/>
        <v/>
      </c>
      <c r="T332" s="91" t="str">
        <f t="shared" si="26"/>
        <v/>
      </c>
    </row>
    <row r="333" spans="12:20" x14ac:dyDescent="0.25">
      <c r="L333" s="91" t="str">
        <f>IF(AND(ISNUMBER('15_STOCK'!$P333),'15_STOCK'!$P333&gt;0),'15_STOCK'!$P333+ROW()/1000000,"")</f>
        <v/>
      </c>
      <c r="M333" s="91" t="str">
        <f>IFERROR(MATCH('15_STOCK'!$N333,{"INCONSISTENTE","AGOTADO","CRÍTICO","BAJO","SOBRESTOCK"},0)*100000+MIN(99,INT(IF(N('15_STOCK'!$K333)&gt;0,MAX(0,N('15_STOCK'!$J333))/'15_STOCK'!$K333,0)*10))*1000+ROW(),"")</f>
        <v/>
      </c>
      <c r="N333" s="91" t="str">
        <f>IF(AND(ISNUMBER(MATCH('15_STOCK'!$N333,{"AGOTADO","CRÍTICO","BAJO"},0)),'15_STOCK'!$G333="SI",OR(pdProveedor="(Todos)",pdProveedor="",'15_STOCK'!$E333=pdProveedor)),IFERROR(MATCH('15_STOCK'!$E333,tblProveedores[Proveedor],0),999)*1000000+MATCH('15_STOCK'!$N333,{"AGOTADO","CRÍTICO","BAJO"},0)*10000+ROW(),"")</f>
        <v/>
      </c>
      <c r="O333" s="92">
        <v>326</v>
      </c>
      <c r="P333" s="91" t="str">
        <f t="shared" si="23"/>
        <v/>
      </c>
      <c r="Q333" s="91" t="str">
        <f t="shared" si="24"/>
        <v/>
      </c>
      <c r="R333" s="92">
        <v>326</v>
      </c>
      <c r="S333" s="91" t="str">
        <f t="shared" si="25"/>
        <v/>
      </c>
      <c r="T333" s="91" t="str">
        <f t="shared" si="26"/>
        <v/>
      </c>
    </row>
    <row r="334" spans="12:20" x14ac:dyDescent="0.25">
      <c r="L334" s="91" t="str">
        <f>IF(AND(ISNUMBER('15_STOCK'!$P334),'15_STOCK'!$P334&gt;0),'15_STOCK'!$P334+ROW()/1000000,"")</f>
        <v/>
      </c>
      <c r="M334" s="91" t="str">
        <f>IFERROR(MATCH('15_STOCK'!$N334,{"INCONSISTENTE","AGOTADO","CRÍTICO","BAJO","SOBRESTOCK"},0)*100000+MIN(99,INT(IF(N('15_STOCK'!$K334)&gt;0,MAX(0,N('15_STOCK'!$J334))/'15_STOCK'!$K334,0)*10))*1000+ROW(),"")</f>
        <v/>
      </c>
      <c r="N334" s="91" t="str">
        <f>IF(AND(ISNUMBER(MATCH('15_STOCK'!$N334,{"AGOTADO","CRÍTICO","BAJO"},0)),'15_STOCK'!$G334="SI",OR(pdProveedor="(Todos)",pdProveedor="",'15_STOCK'!$E334=pdProveedor)),IFERROR(MATCH('15_STOCK'!$E334,tblProveedores[Proveedor],0),999)*1000000+MATCH('15_STOCK'!$N334,{"AGOTADO","CRÍTICO","BAJO"},0)*10000+ROW(),"")</f>
        <v/>
      </c>
      <c r="O334" s="92">
        <v>327</v>
      </c>
      <c r="P334" s="91" t="str">
        <f t="shared" si="23"/>
        <v/>
      </c>
      <c r="Q334" s="91" t="str">
        <f t="shared" si="24"/>
        <v/>
      </c>
      <c r="R334" s="92">
        <v>327</v>
      </c>
      <c r="S334" s="91" t="str">
        <f t="shared" si="25"/>
        <v/>
      </c>
      <c r="T334" s="91" t="str">
        <f t="shared" si="26"/>
        <v/>
      </c>
    </row>
    <row r="335" spans="12:20" x14ac:dyDescent="0.25">
      <c r="L335" s="91" t="str">
        <f>IF(AND(ISNUMBER('15_STOCK'!$P335),'15_STOCK'!$P335&gt;0),'15_STOCK'!$P335+ROW()/1000000,"")</f>
        <v/>
      </c>
      <c r="M335" s="91" t="str">
        <f>IFERROR(MATCH('15_STOCK'!$N335,{"INCONSISTENTE","AGOTADO","CRÍTICO","BAJO","SOBRESTOCK"},0)*100000+MIN(99,INT(IF(N('15_STOCK'!$K335)&gt;0,MAX(0,N('15_STOCK'!$J335))/'15_STOCK'!$K335,0)*10))*1000+ROW(),"")</f>
        <v/>
      </c>
      <c r="N335" s="91" t="str">
        <f>IF(AND(ISNUMBER(MATCH('15_STOCK'!$N335,{"AGOTADO","CRÍTICO","BAJO"},0)),'15_STOCK'!$G335="SI",OR(pdProveedor="(Todos)",pdProveedor="",'15_STOCK'!$E335=pdProveedor)),IFERROR(MATCH('15_STOCK'!$E335,tblProveedores[Proveedor],0),999)*1000000+MATCH('15_STOCK'!$N335,{"AGOTADO","CRÍTICO","BAJO"},0)*10000+ROW(),"")</f>
        <v/>
      </c>
      <c r="O335" s="92">
        <v>328</v>
      </c>
      <c r="P335" s="91" t="str">
        <f t="shared" si="23"/>
        <v/>
      </c>
      <c r="Q335" s="91" t="str">
        <f t="shared" si="24"/>
        <v/>
      </c>
      <c r="R335" s="92">
        <v>328</v>
      </c>
      <c r="S335" s="91" t="str">
        <f t="shared" si="25"/>
        <v/>
      </c>
      <c r="T335" s="91" t="str">
        <f t="shared" si="26"/>
        <v/>
      </c>
    </row>
    <row r="336" spans="12:20" x14ac:dyDescent="0.25">
      <c r="L336" s="91" t="str">
        <f>IF(AND(ISNUMBER('15_STOCK'!$P336),'15_STOCK'!$P336&gt;0),'15_STOCK'!$P336+ROW()/1000000,"")</f>
        <v/>
      </c>
      <c r="M336" s="91" t="str">
        <f>IFERROR(MATCH('15_STOCK'!$N336,{"INCONSISTENTE","AGOTADO","CRÍTICO","BAJO","SOBRESTOCK"},0)*100000+MIN(99,INT(IF(N('15_STOCK'!$K336)&gt;0,MAX(0,N('15_STOCK'!$J336))/'15_STOCK'!$K336,0)*10))*1000+ROW(),"")</f>
        <v/>
      </c>
      <c r="N336" s="91" t="str">
        <f>IF(AND(ISNUMBER(MATCH('15_STOCK'!$N336,{"AGOTADO","CRÍTICO","BAJO"},0)),'15_STOCK'!$G336="SI",OR(pdProveedor="(Todos)",pdProveedor="",'15_STOCK'!$E336=pdProveedor)),IFERROR(MATCH('15_STOCK'!$E336,tblProveedores[Proveedor],0),999)*1000000+MATCH('15_STOCK'!$N336,{"AGOTADO","CRÍTICO","BAJO"},0)*10000+ROW(),"")</f>
        <v/>
      </c>
      <c r="O336" s="92">
        <v>329</v>
      </c>
      <c r="P336" s="91" t="str">
        <f t="shared" si="23"/>
        <v/>
      </c>
      <c r="Q336" s="91" t="str">
        <f t="shared" si="24"/>
        <v/>
      </c>
      <c r="R336" s="92">
        <v>329</v>
      </c>
      <c r="S336" s="91" t="str">
        <f t="shared" si="25"/>
        <v/>
      </c>
      <c r="T336" s="91" t="str">
        <f t="shared" si="26"/>
        <v/>
      </c>
    </row>
    <row r="337" spans="12:20" x14ac:dyDescent="0.25">
      <c r="L337" s="91" t="str">
        <f>IF(AND(ISNUMBER('15_STOCK'!$P337),'15_STOCK'!$P337&gt;0),'15_STOCK'!$P337+ROW()/1000000,"")</f>
        <v/>
      </c>
      <c r="M337" s="91" t="str">
        <f>IFERROR(MATCH('15_STOCK'!$N337,{"INCONSISTENTE","AGOTADO","CRÍTICO","BAJO","SOBRESTOCK"},0)*100000+MIN(99,INT(IF(N('15_STOCK'!$K337)&gt;0,MAX(0,N('15_STOCK'!$J337))/'15_STOCK'!$K337,0)*10))*1000+ROW(),"")</f>
        <v/>
      </c>
      <c r="N337" s="91" t="str">
        <f>IF(AND(ISNUMBER(MATCH('15_STOCK'!$N337,{"AGOTADO","CRÍTICO","BAJO"},0)),'15_STOCK'!$G337="SI",OR(pdProveedor="(Todos)",pdProveedor="",'15_STOCK'!$E337=pdProveedor)),IFERROR(MATCH('15_STOCK'!$E337,tblProveedores[Proveedor],0),999)*1000000+MATCH('15_STOCK'!$N337,{"AGOTADO","CRÍTICO","BAJO"},0)*10000+ROW(),"")</f>
        <v/>
      </c>
      <c r="O337" s="92">
        <v>330</v>
      </c>
      <c r="P337" s="91" t="str">
        <f t="shared" si="23"/>
        <v/>
      </c>
      <c r="Q337" s="91" t="str">
        <f t="shared" si="24"/>
        <v/>
      </c>
      <c r="R337" s="92">
        <v>330</v>
      </c>
      <c r="S337" s="91" t="str">
        <f t="shared" si="25"/>
        <v/>
      </c>
      <c r="T337" s="91" t="str">
        <f t="shared" si="26"/>
        <v/>
      </c>
    </row>
    <row r="338" spans="12:20" x14ac:dyDescent="0.25">
      <c r="L338" s="91" t="str">
        <f>IF(AND(ISNUMBER('15_STOCK'!$P338),'15_STOCK'!$P338&gt;0),'15_STOCK'!$P338+ROW()/1000000,"")</f>
        <v/>
      </c>
      <c r="M338" s="91" t="str">
        <f>IFERROR(MATCH('15_STOCK'!$N338,{"INCONSISTENTE","AGOTADO","CRÍTICO","BAJO","SOBRESTOCK"},0)*100000+MIN(99,INT(IF(N('15_STOCK'!$K338)&gt;0,MAX(0,N('15_STOCK'!$J338))/'15_STOCK'!$K338,0)*10))*1000+ROW(),"")</f>
        <v/>
      </c>
      <c r="N338" s="91" t="str">
        <f>IF(AND(ISNUMBER(MATCH('15_STOCK'!$N338,{"AGOTADO","CRÍTICO","BAJO"},0)),'15_STOCK'!$G338="SI",OR(pdProveedor="(Todos)",pdProveedor="",'15_STOCK'!$E338=pdProveedor)),IFERROR(MATCH('15_STOCK'!$E338,tblProveedores[Proveedor],0),999)*1000000+MATCH('15_STOCK'!$N338,{"AGOTADO","CRÍTICO","BAJO"},0)*10000+ROW(),"")</f>
        <v/>
      </c>
      <c r="O338" s="92">
        <v>331</v>
      </c>
      <c r="P338" s="91" t="str">
        <f t="shared" si="23"/>
        <v/>
      </c>
      <c r="Q338" s="91" t="str">
        <f t="shared" si="24"/>
        <v/>
      </c>
      <c r="R338" s="92">
        <v>331</v>
      </c>
      <c r="S338" s="91" t="str">
        <f t="shared" si="25"/>
        <v/>
      </c>
      <c r="T338" s="91" t="str">
        <f t="shared" si="26"/>
        <v/>
      </c>
    </row>
    <row r="339" spans="12:20" x14ac:dyDescent="0.25">
      <c r="L339" s="91" t="str">
        <f>IF(AND(ISNUMBER('15_STOCK'!$P339),'15_STOCK'!$P339&gt;0),'15_STOCK'!$P339+ROW()/1000000,"")</f>
        <v/>
      </c>
      <c r="M339" s="91" t="str">
        <f>IFERROR(MATCH('15_STOCK'!$N339,{"INCONSISTENTE","AGOTADO","CRÍTICO","BAJO","SOBRESTOCK"},0)*100000+MIN(99,INT(IF(N('15_STOCK'!$K339)&gt;0,MAX(0,N('15_STOCK'!$J339))/'15_STOCK'!$K339,0)*10))*1000+ROW(),"")</f>
        <v/>
      </c>
      <c r="N339" s="91" t="str">
        <f>IF(AND(ISNUMBER(MATCH('15_STOCK'!$N339,{"AGOTADO","CRÍTICO","BAJO"},0)),'15_STOCK'!$G339="SI",OR(pdProveedor="(Todos)",pdProveedor="",'15_STOCK'!$E339=pdProveedor)),IFERROR(MATCH('15_STOCK'!$E339,tblProveedores[Proveedor],0),999)*1000000+MATCH('15_STOCK'!$N339,{"AGOTADO","CRÍTICO","BAJO"},0)*10000+ROW(),"")</f>
        <v/>
      </c>
      <c r="O339" s="92">
        <v>332</v>
      </c>
      <c r="P339" s="91" t="str">
        <f t="shared" si="23"/>
        <v/>
      </c>
      <c r="Q339" s="91" t="str">
        <f t="shared" si="24"/>
        <v/>
      </c>
      <c r="R339" s="92">
        <v>332</v>
      </c>
      <c r="S339" s="91" t="str">
        <f t="shared" si="25"/>
        <v/>
      </c>
      <c r="T339" s="91" t="str">
        <f t="shared" si="26"/>
        <v/>
      </c>
    </row>
    <row r="340" spans="12:20" x14ac:dyDescent="0.25">
      <c r="L340" s="91" t="str">
        <f>IF(AND(ISNUMBER('15_STOCK'!$P340),'15_STOCK'!$P340&gt;0),'15_STOCK'!$P340+ROW()/1000000,"")</f>
        <v/>
      </c>
      <c r="M340" s="91" t="str">
        <f>IFERROR(MATCH('15_STOCK'!$N340,{"INCONSISTENTE","AGOTADO","CRÍTICO","BAJO","SOBRESTOCK"},0)*100000+MIN(99,INT(IF(N('15_STOCK'!$K340)&gt;0,MAX(0,N('15_STOCK'!$J340))/'15_STOCK'!$K340,0)*10))*1000+ROW(),"")</f>
        <v/>
      </c>
      <c r="N340" s="91" t="str">
        <f>IF(AND(ISNUMBER(MATCH('15_STOCK'!$N340,{"AGOTADO","CRÍTICO","BAJO"},0)),'15_STOCK'!$G340="SI",OR(pdProveedor="(Todos)",pdProveedor="",'15_STOCK'!$E340=pdProveedor)),IFERROR(MATCH('15_STOCK'!$E340,tblProveedores[Proveedor],0),999)*1000000+MATCH('15_STOCK'!$N340,{"AGOTADO","CRÍTICO","BAJO"},0)*10000+ROW(),"")</f>
        <v/>
      </c>
      <c r="O340" s="92">
        <v>333</v>
      </c>
      <c r="P340" s="91" t="str">
        <f t="shared" si="23"/>
        <v/>
      </c>
      <c r="Q340" s="91" t="str">
        <f t="shared" si="24"/>
        <v/>
      </c>
      <c r="R340" s="92">
        <v>333</v>
      </c>
      <c r="S340" s="91" t="str">
        <f t="shared" si="25"/>
        <v/>
      </c>
      <c r="T340" s="91" t="str">
        <f t="shared" si="26"/>
        <v/>
      </c>
    </row>
    <row r="341" spans="12:20" x14ac:dyDescent="0.25">
      <c r="L341" s="91" t="str">
        <f>IF(AND(ISNUMBER('15_STOCK'!$P341),'15_STOCK'!$P341&gt;0),'15_STOCK'!$P341+ROW()/1000000,"")</f>
        <v/>
      </c>
      <c r="M341" s="91" t="str">
        <f>IFERROR(MATCH('15_STOCK'!$N341,{"INCONSISTENTE","AGOTADO","CRÍTICO","BAJO","SOBRESTOCK"},0)*100000+MIN(99,INT(IF(N('15_STOCK'!$K341)&gt;0,MAX(0,N('15_STOCK'!$J341))/'15_STOCK'!$K341,0)*10))*1000+ROW(),"")</f>
        <v/>
      </c>
      <c r="N341" s="91" t="str">
        <f>IF(AND(ISNUMBER(MATCH('15_STOCK'!$N341,{"AGOTADO","CRÍTICO","BAJO"},0)),'15_STOCK'!$G341="SI",OR(pdProveedor="(Todos)",pdProveedor="",'15_STOCK'!$E341=pdProveedor)),IFERROR(MATCH('15_STOCK'!$E341,tblProveedores[Proveedor],0),999)*1000000+MATCH('15_STOCK'!$N341,{"AGOTADO","CRÍTICO","BAJO"},0)*10000+ROW(),"")</f>
        <v/>
      </c>
      <c r="O341" s="92">
        <v>334</v>
      </c>
      <c r="P341" s="91" t="str">
        <f t="shared" si="23"/>
        <v/>
      </c>
      <c r="Q341" s="91" t="str">
        <f t="shared" si="24"/>
        <v/>
      </c>
      <c r="R341" s="92">
        <v>334</v>
      </c>
      <c r="S341" s="91" t="str">
        <f t="shared" si="25"/>
        <v/>
      </c>
      <c r="T341" s="91" t="str">
        <f t="shared" si="26"/>
        <v/>
      </c>
    </row>
    <row r="342" spans="12:20" x14ac:dyDescent="0.25">
      <c r="L342" s="91" t="str">
        <f>IF(AND(ISNUMBER('15_STOCK'!$P342),'15_STOCK'!$P342&gt;0),'15_STOCK'!$P342+ROW()/1000000,"")</f>
        <v/>
      </c>
      <c r="M342" s="91" t="str">
        <f>IFERROR(MATCH('15_STOCK'!$N342,{"INCONSISTENTE","AGOTADO","CRÍTICO","BAJO","SOBRESTOCK"},0)*100000+MIN(99,INT(IF(N('15_STOCK'!$K342)&gt;0,MAX(0,N('15_STOCK'!$J342))/'15_STOCK'!$K342,0)*10))*1000+ROW(),"")</f>
        <v/>
      </c>
      <c r="N342" s="91" t="str">
        <f>IF(AND(ISNUMBER(MATCH('15_STOCK'!$N342,{"AGOTADO","CRÍTICO","BAJO"},0)),'15_STOCK'!$G342="SI",OR(pdProveedor="(Todos)",pdProveedor="",'15_STOCK'!$E342=pdProveedor)),IFERROR(MATCH('15_STOCK'!$E342,tblProveedores[Proveedor],0),999)*1000000+MATCH('15_STOCK'!$N342,{"AGOTADO","CRÍTICO","BAJO"},0)*10000+ROW(),"")</f>
        <v/>
      </c>
      <c r="O342" s="92">
        <v>335</v>
      </c>
      <c r="P342" s="91" t="str">
        <f t="shared" si="23"/>
        <v/>
      </c>
      <c r="Q342" s="91" t="str">
        <f t="shared" si="24"/>
        <v/>
      </c>
      <c r="R342" s="92">
        <v>335</v>
      </c>
      <c r="S342" s="91" t="str">
        <f t="shared" si="25"/>
        <v/>
      </c>
      <c r="T342" s="91" t="str">
        <f t="shared" si="26"/>
        <v/>
      </c>
    </row>
    <row r="343" spans="12:20" x14ac:dyDescent="0.25">
      <c r="L343" s="91" t="str">
        <f>IF(AND(ISNUMBER('15_STOCK'!$P343),'15_STOCK'!$P343&gt;0),'15_STOCK'!$P343+ROW()/1000000,"")</f>
        <v/>
      </c>
      <c r="M343" s="91" t="str">
        <f>IFERROR(MATCH('15_STOCK'!$N343,{"INCONSISTENTE","AGOTADO","CRÍTICO","BAJO","SOBRESTOCK"},0)*100000+MIN(99,INT(IF(N('15_STOCK'!$K343)&gt;0,MAX(0,N('15_STOCK'!$J343))/'15_STOCK'!$K343,0)*10))*1000+ROW(),"")</f>
        <v/>
      </c>
      <c r="N343" s="91" t="str">
        <f>IF(AND(ISNUMBER(MATCH('15_STOCK'!$N343,{"AGOTADO","CRÍTICO","BAJO"},0)),'15_STOCK'!$G343="SI",OR(pdProveedor="(Todos)",pdProveedor="",'15_STOCK'!$E343=pdProveedor)),IFERROR(MATCH('15_STOCK'!$E343,tblProveedores[Proveedor],0),999)*1000000+MATCH('15_STOCK'!$N343,{"AGOTADO","CRÍTICO","BAJO"},0)*10000+ROW(),"")</f>
        <v/>
      </c>
      <c r="O343" s="92">
        <v>336</v>
      </c>
      <c r="P343" s="91" t="str">
        <f t="shared" si="23"/>
        <v/>
      </c>
      <c r="Q343" s="91" t="str">
        <f t="shared" si="24"/>
        <v/>
      </c>
      <c r="R343" s="92">
        <v>336</v>
      </c>
      <c r="S343" s="91" t="str">
        <f t="shared" si="25"/>
        <v/>
      </c>
      <c r="T343" s="91" t="str">
        <f t="shared" si="26"/>
        <v/>
      </c>
    </row>
    <row r="344" spans="12:20" x14ac:dyDescent="0.25">
      <c r="L344" s="91" t="str">
        <f>IF(AND(ISNUMBER('15_STOCK'!$P344),'15_STOCK'!$P344&gt;0),'15_STOCK'!$P344+ROW()/1000000,"")</f>
        <v/>
      </c>
      <c r="M344" s="91" t="str">
        <f>IFERROR(MATCH('15_STOCK'!$N344,{"INCONSISTENTE","AGOTADO","CRÍTICO","BAJO","SOBRESTOCK"},0)*100000+MIN(99,INT(IF(N('15_STOCK'!$K344)&gt;0,MAX(0,N('15_STOCK'!$J344))/'15_STOCK'!$K344,0)*10))*1000+ROW(),"")</f>
        <v/>
      </c>
      <c r="N344" s="91" t="str">
        <f>IF(AND(ISNUMBER(MATCH('15_STOCK'!$N344,{"AGOTADO","CRÍTICO","BAJO"},0)),'15_STOCK'!$G344="SI",OR(pdProveedor="(Todos)",pdProveedor="",'15_STOCK'!$E344=pdProveedor)),IFERROR(MATCH('15_STOCK'!$E344,tblProveedores[Proveedor],0),999)*1000000+MATCH('15_STOCK'!$N344,{"AGOTADO","CRÍTICO","BAJO"},0)*10000+ROW(),"")</f>
        <v/>
      </c>
      <c r="O344" s="92">
        <v>337</v>
      </c>
      <c r="P344" s="91" t="str">
        <f t="shared" si="23"/>
        <v/>
      </c>
      <c r="Q344" s="91" t="str">
        <f t="shared" si="24"/>
        <v/>
      </c>
      <c r="R344" s="92">
        <v>337</v>
      </c>
      <c r="S344" s="91" t="str">
        <f t="shared" si="25"/>
        <v/>
      </c>
      <c r="T344" s="91" t="str">
        <f t="shared" si="26"/>
        <v/>
      </c>
    </row>
    <row r="345" spans="12:20" x14ac:dyDescent="0.25">
      <c r="L345" s="91" t="str">
        <f>IF(AND(ISNUMBER('15_STOCK'!$P345),'15_STOCK'!$P345&gt;0),'15_STOCK'!$P345+ROW()/1000000,"")</f>
        <v/>
      </c>
      <c r="M345" s="91" t="str">
        <f>IFERROR(MATCH('15_STOCK'!$N345,{"INCONSISTENTE","AGOTADO","CRÍTICO","BAJO","SOBRESTOCK"},0)*100000+MIN(99,INT(IF(N('15_STOCK'!$K345)&gt;0,MAX(0,N('15_STOCK'!$J345))/'15_STOCK'!$K345,0)*10))*1000+ROW(),"")</f>
        <v/>
      </c>
      <c r="N345" s="91" t="str">
        <f>IF(AND(ISNUMBER(MATCH('15_STOCK'!$N345,{"AGOTADO","CRÍTICO","BAJO"},0)),'15_STOCK'!$G345="SI",OR(pdProveedor="(Todos)",pdProveedor="",'15_STOCK'!$E345=pdProveedor)),IFERROR(MATCH('15_STOCK'!$E345,tblProveedores[Proveedor],0),999)*1000000+MATCH('15_STOCK'!$N345,{"AGOTADO","CRÍTICO","BAJO"},0)*10000+ROW(),"")</f>
        <v/>
      </c>
      <c r="O345" s="92">
        <v>338</v>
      </c>
      <c r="P345" s="91" t="str">
        <f t="shared" si="23"/>
        <v/>
      </c>
      <c r="Q345" s="91" t="str">
        <f t="shared" si="24"/>
        <v/>
      </c>
      <c r="R345" s="92">
        <v>338</v>
      </c>
      <c r="S345" s="91" t="str">
        <f t="shared" si="25"/>
        <v/>
      </c>
      <c r="T345" s="91" t="str">
        <f t="shared" si="26"/>
        <v/>
      </c>
    </row>
    <row r="346" spans="12:20" x14ac:dyDescent="0.25">
      <c r="L346" s="91" t="str">
        <f>IF(AND(ISNUMBER('15_STOCK'!$P346),'15_STOCK'!$P346&gt;0),'15_STOCK'!$P346+ROW()/1000000,"")</f>
        <v/>
      </c>
      <c r="M346" s="91" t="str">
        <f>IFERROR(MATCH('15_STOCK'!$N346,{"INCONSISTENTE","AGOTADO","CRÍTICO","BAJO","SOBRESTOCK"},0)*100000+MIN(99,INT(IF(N('15_STOCK'!$K346)&gt;0,MAX(0,N('15_STOCK'!$J346))/'15_STOCK'!$K346,0)*10))*1000+ROW(),"")</f>
        <v/>
      </c>
      <c r="N346" s="91" t="str">
        <f>IF(AND(ISNUMBER(MATCH('15_STOCK'!$N346,{"AGOTADO","CRÍTICO","BAJO"},0)),'15_STOCK'!$G346="SI",OR(pdProveedor="(Todos)",pdProveedor="",'15_STOCK'!$E346=pdProveedor)),IFERROR(MATCH('15_STOCK'!$E346,tblProveedores[Proveedor],0),999)*1000000+MATCH('15_STOCK'!$N346,{"AGOTADO","CRÍTICO","BAJO"},0)*10000+ROW(),"")</f>
        <v/>
      </c>
      <c r="O346" s="92">
        <v>339</v>
      </c>
      <c r="P346" s="91" t="str">
        <f t="shared" si="23"/>
        <v/>
      </c>
      <c r="Q346" s="91" t="str">
        <f t="shared" si="24"/>
        <v/>
      </c>
      <c r="R346" s="92">
        <v>339</v>
      </c>
      <c r="S346" s="91" t="str">
        <f t="shared" si="25"/>
        <v/>
      </c>
      <c r="T346" s="91" t="str">
        <f t="shared" si="26"/>
        <v/>
      </c>
    </row>
    <row r="347" spans="12:20" x14ac:dyDescent="0.25">
      <c r="L347" s="91" t="str">
        <f>IF(AND(ISNUMBER('15_STOCK'!$P347),'15_STOCK'!$P347&gt;0),'15_STOCK'!$P347+ROW()/1000000,"")</f>
        <v/>
      </c>
      <c r="M347" s="91" t="str">
        <f>IFERROR(MATCH('15_STOCK'!$N347,{"INCONSISTENTE","AGOTADO","CRÍTICO","BAJO","SOBRESTOCK"},0)*100000+MIN(99,INT(IF(N('15_STOCK'!$K347)&gt;0,MAX(0,N('15_STOCK'!$J347))/'15_STOCK'!$K347,0)*10))*1000+ROW(),"")</f>
        <v/>
      </c>
      <c r="N347" s="91" t="str">
        <f>IF(AND(ISNUMBER(MATCH('15_STOCK'!$N347,{"AGOTADO","CRÍTICO","BAJO"},0)),'15_STOCK'!$G347="SI",OR(pdProveedor="(Todos)",pdProveedor="",'15_STOCK'!$E347=pdProveedor)),IFERROR(MATCH('15_STOCK'!$E347,tblProveedores[Proveedor],0),999)*1000000+MATCH('15_STOCK'!$N347,{"AGOTADO","CRÍTICO","BAJO"},0)*10000+ROW(),"")</f>
        <v/>
      </c>
      <c r="O347" s="92">
        <v>340</v>
      </c>
      <c r="P347" s="91" t="str">
        <f t="shared" si="23"/>
        <v/>
      </c>
      <c r="Q347" s="91" t="str">
        <f t="shared" si="24"/>
        <v/>
      </c>
      <c r="R347" s="92">
        <v>340</v>
      </c>
      <c r="S347" s="91" t="str">
        <f t="shared" si="25"/>
        <v/>
      </c>
      <c r="T347" s="91" t="str">
        <f t="shared" si="26"/>
        <v/>
      </c>
    </row>
    <row r="348" spans="12:20" x14ac:dyDescent="0.25">
      <c r="L348" s="91" t="str">
        <f>IF(AND(ISNUMBER('15_STOCK'!$P348),'15_STOCK'!$P348&gt;0),'15_STOCK'!$P348+ROW()/1000000,"")</f>
        <v/>
      </c>
      <c r="M348" s="91" t="str">
        <f>IFERROR(MATCH('15_STOCK'!$N348,{"INCONSISTENTE","AGOTADO","CRÍTICO","BAJO","SOBRESTOCK"},0)*100000+MIN(99,INT(IF(N('15_STOCK'!$K348)&gt;0,MAX(0,N('15_STOCK'!$J348))/'15_STOCK'!$K348,0)*10))*1000+ROW(),"")</f>
        <v/>
      </c>
      <c r="N348" s="91" t="str">
        <f>IF(AND(ISNUMBER(MATCH('15_STOCK'!$N348,{"AGOTADO","CRÍTICO","BAJO"},0)),'15_STOCK'!$G348="SI",OR(pdProveedor="(Todos)",pdProveedor="",'15_STOCK'!$E348=pdProveedor)),IFERROR(MATCH('15_STOCK'!$E348,tblProveedores[Proveedor],0),999)*1000000+MATCH('15_STOCK'!$N348,{"AGOTADO","CRÍTICO","BAJO"},0)*10000+ROW(),"")</f>
        <v/>
      </c>
      <c r="O348" s="92">
        <v>341</v>
      </c>
      <c r="P348" s="91" t="str">
        <f t="shared" si="23"/>
        <v/>
      </c>
      <c r="Q348" s="91" t="str">
        <f t="shared" si="24"/>
        <v/>
      </c>
      <c r="R348" s="92">
        <v>341</v>
      </c>
      <c r="S348" s="91" t="str">
        <f t="shared" si="25"/>
        <v/>
      </c>
      <c r="T348" s="91" t="str">
        <f t="shared" si="26"/>
        <v/>
      </c>
    </row>
    <row r="349" spans="12:20" x14ac:dyDescent="0.25">
      <c r="L349" s="91" t="str">
        <f>IF(AND(ISNUMBER('15_STOCK'!$P349),'15_STOCK'!$P349&gt;0),'15_STOCK'!$P349+ROW()/1000000,"")</f>
        <v/>
      </c>
      <c r="M349" s="91" t="str">
        <f>IFERROR(MATCH('15_STOCK'!$N349,{"INCONSISTENTE","AGOTADO","CRÍTICO","BAJO","SOBRESTOCK"},0)*100000+MIN(99,INT(IF(N('15_STOCK'!$K349)&gt;0,MAX(0,N('15_STOCK'!$J349))/'15_STOCK'!$K349,0)*10))*1000+ROW(),"")</f>
        <v/>
      </c>
      <c r="N349" s="91" t="str">
        <f>IF(AND(ISNUMBER(MATCH('15_STOCK'!$N349,{"AGOTADO","CRÍTICO","BAJO"},0)),'15_STOCK'!$G349="SI",OR(pdProveedor="(Todos)",pdProveedor="",'15_STOCK'!$E349=pdProveedor)),IFERROR(MATCH('15_STOCK'!$E349,tblProveedores[Proveedor],0),999)*1000000+MATCH('15_STOCK'!$N349,{"AGOTADO","CRÍTICO","BAJO"},0)*10000+ROW(),"")</f>
        <v/>
      </c>
      <c r="O349" s="92">
        <v>342</v>
      </c>
      <c r="P349" s="91" t="str">
        <f t="shared" si="23"/>
        <v/>
      </c>
      <c r="Q349" s="91" t="str">
        <f t="shared" si="24"/>
        <v/>
      </c>
      <c r="R349" s="92">
        <v>342</v>
      </c>
      <c r="S349" s="91" t="str">
        <f t="shared" si="25"/>
        <v/>
      </c>
      <c r="T349" s="91" t="str">
        <f t="shared" si="26"/>
        <v/>
      </c>
    </row>
    <row r="350" spans="12:20" x14ac:dyDescent="0.25">
      <c r="L350" s="91" t="str">
        <f>IF(AND(ISNUMBER('15_STOCK'!$P350),'15_STOCK'!$P350&gt;0),'15_STOCK'!$P350+ROW()/1000000,"")</f>
        <v/>
      </c>
      <c r="M350" s="91" t="str">
        <f>IFERROR(MATCH('15_STOCK'!$N350,{"INCONSISTENTE","AGOTADO","CRÍTICO","BAJO","SOBRESTOCK"},0)*100000+MIN(99,INT(IF(N('15_STOCK'!$K350)&gt;0,MAX(0,N('15_STOCK'!$J350))/'15_STOCK'!$K350,0)*10))*1000+ROW(),"")</f>
        <v/>
      </c>
      <c r="N350" s="91" t="str">
        <f>IF(AND(ISNUMBER(MATCH('15_STOCK'!$N350,{"AGOTADO","CRÍTICO","BAJO"},0)),'15_STOCK'!$G350="SI",OR(pdProveedor="(Todos)",pdProveedor="",'15_STOCK'!$E350=pdProveedor)),IFERROR(MATCH('15_STOCK'!$E350,tblProveedores[Proveedor],0),999)*1000000+MATCH('15_STOCK'!$N350,{"AGOTADO","CRÍTICO","BAJO"},0)*10000+ROW(),"")</f>
        <v/>
      </c>
      <c r="O350" s="92">
        <v>343</v>
      </c>
      <c r="P350" s="91" t="str">
        <f t="shared" si="23"/>
        <v/>
      </c>
      <c r="Q350" s="91" t="str">
        <f t="shared" si="24"/>
        <v/>
      </c>
      <c r="R350" s="92">
        <v>343</v>
      </c>
      <c r="S350" s="91" t="str">
        <f t="shared" si="25"/>
        <v/>
      </c>
      <c r="T350" s="91" t="str">
        <f t="shared" si="26"/>
        <v/>
      </c>
    </row>
    <row r="351" spans="12:20" x14ac:dyDescent="0.25">
      <c r="L351" s="91" t="str">
        <f>IF(AND(ISNUMBER('15_STOCK'!$P351),'15_STOCK'!$P351&gt;0),'15_STOCK'!$P351+ROW()/1000000,"")</f>
        <v/>
      </c>
      <c r="M351" s="91" t="str">
        <f>IFERROR(MATCH('15_STOCK'!$N351,{"INCONSISTENTE","AGOTADO","CRÍTICO","BAJO","SOBRESTOCK"},0)*100000+MIN(99,INT(IF(N('15_STOCK'!$K351)&gt;0,MAX(0,N('15_STOCK'!$J351))/'15_STOCK'!$K351,0)*10))*1000+ROW(),"")</f>
        <v/>
      </c>
      <c r="N351" s="91" t="str">
        <f>IF(AND(ISNUMBER(MATCH('15_STOCK'!$N351,{"AGOTADO","CRÍTICO","BAJO"},0)),'15_STOCK'!$G351="SI",OR(pdProveedor="(Todos)",pdProveedor="",'15_STOCK'!$E351=pdProveedor)),IFERROR(MATCH('15_STOCK'!$E351,tblProveedores[Proveedor],0),999)*1000000+MATCH('15_STOCK'!$N351,{"AGOTADO","CRÍTICO","BAJO"},0)*10000+ROW(),"")</f>
        <v/>
      </c>
      <c r="O351" s="92">
        <v>344</v>
      </c>
      <c r="P351" s="91" t="str">
        <f t="shared" si="23"/>
        <v/>
      </c>
      <c r="Q351" s="91" t="str">
        <f t="shared" si="24"/>
        <v/>
      </c>
      <c r="R351" s="92">
        <v>344</v>
      </c>
      <c r="S351" s="91" t="str">
        <f t="shared" si="25"/>
        <v/>
      </c>
      <c r="T351" s="91" t="str">
        <f t="shared" si="26"/>
        <v/>
      </c>
    </row>
    <row r="352" spans="12:20" x14ac:dyDescent="0.25">
      <c r="L352" s="91" t="str">
        <f>IF(AND(ISNUMBER('15_STOCK'!$P352),'15_STOCK'!$P352&gt;0),'15_STOCK'!$P352+ROW()/1000000,"")</f>
        <v/>
      </c>
      <c r="M352" s="91" t="str">
        <f>IFERROR(MATCH('15_STOCK'!$N352,{"INCONSISTENTE","AGOTADO","CRÍTICO","BAJO","SOBRESTOCK"},0)*100000+MIN(99,INT(IF(N('15_STOCK'!$K352)&gt;0,MAX(0,N('15_STOCK'!$J352))/'15_STOCK'!$K352,0)*10))*1000+ROW(),"")</f>
        <v/>
      </c>
      <c r="N352" s="91" t="str">
        <f>IF(AND(ISNUMBER(MATCH('15_STOCK'!$N352,{"AGOTADO","CRÍTICO","BAJO"},0)),'15_STOCK'!$G352="SI",OR(pdProveedor="(Todos)",pdProveedor="",'15_STOCK'!$E352=pdProveedor)),IFERROR(MATCH('15_STOCK'!$E352,tblProveedores[Proveedor],0),999)*1000000+MATCH('15_STOCK'!$N352,{"AGOTADO","CRÍTICO","BAJO"},0)*10000+ROW(),"")</f>
        <v/>
      </c>
      <c r="O352" s="92">
        <v>345</v>
      </c>
      <c r="P352" s="91" t="str">
        <f t="shared" si="23"/>
        <v/>
      </c>
      <c r="Q352" s="91" t="str">
        <f t="shared" si="24"/>
        <v/>
      </c>
      <c r="R352" s="92">
        <v>345</v>
      </c>
      <c r="S352" s="91" t="str">
        <f t="shared" si="25"/>
        <v/>
      </c>
      <c r="T352" s="91" t="str">
        <f t="shared" si="26"/>
        <v/>
      </c>
    </row>
    <row r="353" spans="12:20" x14ac:dyDescent="0.25">
      <c r="L353" s="91" t="str">
        <f>IF(AND(ISNUMBER('15_STOCK'!$P353),'15_STOCK'!$P353&gt;0),'15_STOCK'!$P353+ROW()/1000000,"")</f>
        <v/>
      </c>
      <c r="M353" s="91" t="str">
        <f>IFERROR(MATCH('15_STOCK'!$N353,{"INCONSISTENTE","AGOTADO","CRÍTICO","BAJO","SOBRESTOCK"},0)*100000+MIN(99,INT(IF(N('15_STOCK'!$K353)&gt;0,MAX(0,N('15_STOCK'!$J353))/'15_STOCK'!$K353,0)*10))*1000+ROW(),"")</f>
        <v/>
      </c>
      <c r="N353" s="91" t="str">
        <f>IF(AND(ISNUMBER(MATCH('15_STOCK'!$N353,{"AGOTADO","CRÍTICO","BAJO"},0)),'15_STOCK'!$G353="SI",OR(pdProveedor="(Todos)",pdProveedor="",'15_STOCK'!$E353=pdProveedor)),IFERROR(MATCH('15_STOCK'!$E353,tblProveedores[Proveedor],0),999)*1000000+MATCH('15_STOCK'!$N353,{"AGOTADO","CRÍTICO","BAJO"},0)*10000+ROW(),"")</f>
        <v/>
      </c>
      <c r="O353" s="92">
        <v>346</v>
      </c>
      <c r="P353" s="91" t="str">
        <f t="shared" si="23"/>
        <v/>
      </c>
      <c r="Q353" s="91" t="str">
        <f t="shared" si="24"/>
        <v/>
      </c>
      <c r="R353" s="92">
        <v>346</v>
      </c>
      <c r="S353" s="91" t="str">
        <f t="shared" si="25"/>
        <v/>
      </c>
      <c r="T353" s="91" t="str">
        <f t="shared" si="26"/>
        <v/>
      </c>
    </row>
    <row r="354" spans="12:20" x14ac:dyDescent="0.25">
      <c r="L354" s="91" t="str">
        <f>IF(AND(ISNUMBER('15_STOCK'!$P354),'15_STOCK'!$P354&gt;0),'15_STOCK'!$P354+ROW()/1000000,"")</f>
        <v/>
      </c>
      <c r="M354" s="91" t="str">
        <f>IFERROR(MATCH('15_STOCK'!$N354,{"INCONSISTENTE","AGOTADO","CRÍTICO","BAJO","SOBRESTOCK"},0)*100000+MIN(99,INT(IF(N('15_STOCK'!$K354)&gt;0,MAX(0,N('15_STOCK'!$J354))/'15_STOCK'!$K354,0)*10))*1000+ROW(),"")</f>
        <v/>
      </c>
      <c r="N354" s="91" t="str">
        <f>IF(AND(ISNUMBER(MATCH('15_STOCK'!$N354,{"AGOTADO","CRÍTICO","BAJO"},0)),'15_STOCK'!$G354="SI",OR(pdProveedor="(Todos)",pdProveedor="",'15_STOCK'!$E354=pdProveedor)),IFERROR(MATCH('15_STOCK'!$E354,tblProveedores[Proveedor],0),999)*1000000+MATCH('15_STOCK'!$N354,{"AGOTADO","CRÍTICO","BAJO"},0)*10000+ROW(),"")</f>
        <v/>
      </c>
      <c r="O354" s="92">
        <v>347</v>
      </c>
      <c r="P354" s="91" t="str">
        <f t="shared" si="23"/>
        <v/>
      </c>
      <c r="Q354" s="91" t="str">
        <f t="shared" si="24"/>
        <v/>
      </c>
      <c r="R354" s="92">
        <v>347</v>
      </c>
      <c r="S354" s="91" t="str">
        <f t="shared" si="25"/>
        <v/>
      </c>
      <c r="T354" s="91" t="str">
        <f t="shared" si="26"/>
        <v/>
      </c>
    </row>
    <row r="355" spans="12:20" x14ac:dyDescent="0.25">
      <c r="L355" s="91" t="str">
        <f>IF(AND(ISNUMBER('15_STOCK'!$P355),'15_STOCK'!$P355&gt;0),'15_STOCK'!$P355+ROW()/1000000,"")</f>
        <v/>
      </c>
      <c r="M355" s="91" t="str">
        <f>IFERROR(MATCH('15_STOCK'!$N355,{"INCONSISTENTE","AGOTADO","CRÍTICO","BAJO","SOBRESTOCK"},0)*100000+MIN(99,INT(IF(N('15_STOCK'!$K355)&gt;0,MAX(0,N('15_STOCK'!$J355))/'15_STOCK'!$K355,0)*10))*1000+ROW(),"")</f>
        <v/>
      </c>
      <c r="N355" s="91" t="str">
        <f>IF(AND(ISNUMBER(MATCH('15_STOCK'!$N355,{"AGOTADO","CRÍTICO","BAJO"},0)),'15_STOCK'!$G355="SI",OR(pdProveedor="(Todos)",pdProveedor="",'15_STOCK'!$E355=pdProveedor)),IFERROR(MATCH('15_STOCK'!$E355,tblProveedores[Proveedor],0),999)*1000000+MATCH('15_STOCK'!$N355,{"AGOTADO","CRÍTICO","BAJO"},0)*10000+ROW(),"")</f>
        <v/>
      </c>
      <c r="O355" s="92">
        <v>348</v>
      </c>
      <c r="P355" s="91" t="str">
        <f t="shared" si="23"/>
        <v/>
      </c>
      <c r="Q355" s="91" t="str">
        <f t="shared" si="24"/>
        <v/>
      </c>
      <c r="R355" s="92">
        <v>348</v>
      </c>
      <c r="S355" s="91" t="str">
        <f t="shared" si="25"/>
        <v/>
      </c>
      <c r="T355" s="91" t="str">
        <f t="shared" si="26"/>
        <v/>
      </c>
    </row>
    <row r="356" spans="12:20" x14ac:dyDescent="0.25">
      <c r="L356" s="91" t="str">
        <f>IF(AND(ISNUMBER('15_STOCK'!$P356),'15_STOCK'!$P356&gt;0),'15_STOCK'!$P356+ROW()/1000000,"")</f>
        <v/>
      </c>
      <c r="M356" s="91" t="str">
        <f>IFERROR(MATCH('15_STOCK'!$N356,{"INCONSISTENTE","AGOTADO","CRÍTICO","BAJO","SOBRESTOCK"},0)*100000+MIN(99,INT(IF(N('15_STOCK'!$K356)&gt;0,MAX(0,N('15_STOCK'!$J356))/'15_STOCK'!$K356,0)*10))*1000+ROW(),"")</f>
        <v/>
      </c>
      <c r="N356" s="91" t="str">
        <f>IF(AND(ISNUMBER(MATCH('15_STOCK'!$N356,{"AGOTADO","CRÍTICO","BAJO"},0)),'15_STOCK'!$G356="SI",OR(pdProveedor="(Todos)",pdProveedor="",'15_STOCK'!$E356=pdProveedor)),IFERROR(MATCH('15_STOCK'!$E356,tblProveedores[Proveedor],0),999)*1000000+MATCH('15_STOCK'!$N356,{"AGOTADO","CRÍTICO","BAJO"},0)*10000+ROW(),"")</f>
        <v/>
      </c>
      <c r="O356" s="92">
        <v>349</v>
      </c>
      <c r="P356" s="91" t="str">
        <f t="shared" si="23"/>
        <v/>
      </c>
      <c r="Q356" s="91" t="str">
        <f t="shared" si="24"/>
        <v/>
      </c>
      <c r="R356" s="92">
        <v>349</v>
      </c>
      <c r="S356" s="91" t="str">
        <f t="shared" si="25"/>
        <v/>
      </c>
      <c r="T356" s="91" t="str">
        <f t="shared" si="26"/>
        <v/>
      </c>
    </row>
    <row r="357" spans="12:20" x14ac:dyDescent="0.25">
      <c r="L357" s="91" t="str">
        <f>IF(AND(ISNUMBER('15_STOCK'!$P357),'15_STOCK'!$P357&gt;0),'15_STOCK'!$P357+ROW()/1000000,"")</f>
        <v/>
      </c>
      <c r="M357" s="91" t="str">
        <f>IFERROR(MATCH('15_STOCK'!$N357,{"INCONSISTENTE","AGOTADO","CRÍTICO","BAJO","SOBRESTOCK"},0)*100000+MIN(99,INT(IF(N('15_STOCK'!$K357)&gt;0,MAX(0,N('15_STOCK'!$J357))/'15_STOCK'!$K357,0)*10))*1000+ROW(),"")</f>
        <v/>
      </c>
      <c r="N357" s="91" t="str">
        <f>IF(AND(ISNUMBER(MATCH('15_STOCK'!$N357,{"AGOTADO","CRÍTICO","BAJO"},0)),'15_STOCK'!$G357="SI",OR(pdProveedor="(Todos)",pdProveedor="",'15_STOCK'!$E357=pdProveedor)),IFERROR(MATCH('15_STOCK'!$E357,tblProveedores[Proveedor],0),999)*1000000+MATCH('15_STOCK'!$N357,{"AGOTADO","CRÍTICO","BAJO"},0)*10000+ROW(),"")</f>
        <v/>
      </c>
      <c r="O357" s="92">
        <v>350</v>
      </c>
      <c r="P357" s="91" t="str">
        <f t="shared" si="23"/>
        <v/>
      </c>
      <c r="Q357" s="91" t="str">
        <f t="shared" si="24"/>
        <v/>
      </c>
      <c r="R357" s="92">
        <v>350</v>
      </c>
      <c r="S357" s="91" t="str">
        <f t="shared" si="25"/>
        <v/>
      </c>
      <c r="T357" s="91" t="str">
        <f t="shared" si="26"/>
        <v/>
      </c>
    </row>
    <row r="358" spans="12:20" x14ac:dyDescent="0.25">
      <c r="L358" s="91" t="str">
        <f>IF(AND(ISNUMBER('15_STOCK'!$P358),'15_STOCK'!$P358&gt;0),'15_STOCK'!$P358+ROW()/1000000,"")</f>
        <v/>
      </c>
      <c r="M358" s="91" t="str">
        <f>IFERROR(MATCH('15_STOCK'!$N358,{"INCONSISTENTE","AGOTADO","CRÍTICO","BAJO","SOBRESTOCK"},0)*100000+MIN(99,INT(IF(N('15_STOCK'!$K358)&gt;0,MAX(0,N('15_STOCK'!$J358))/'15_STOCK'!$K358,0)*10))*1000+ROW(),"")</f>
        <v/>
      </c>
      <c r="N358" s="91" t="str">
        <f>IF(AND(ISNUMBER(MATCH('15_STOCK'!$N358,{"AGOTADO","CRÍTICO","BAJO"},0)),'15_STOCK'!$G358="SI",OR(pdProveedor="(Todos)",pdProveedor="",'15_STOCK'!$E358=pdProveedor)),IFERROR(MATCH('15_STOCK'!$E358,tblProveedores[Proveedor],0),999)*1000000+MATCH('15_STOCK'!$N358,{"AGOTADO","CRÍTICO","BAJO"},0)*10000+ROW(),"")</f>
        <v/>
      </c>
      <c r="O358" s="92">
        <v>351</v>
      </c>
      <c r="P358" s="91" t="str">
        <f t="shared" si="23"/>
        <v/>
      </c>
      <c r="Q358" s="91" t="str">
        <f t="shared" si="24"/>
        <v/>
      </c>
      <c r="R358" s="92">
        <v>351</v>
      </c>
      <c r="S358" s="91" t="str">
        <f t="shared" si="25"/>
        <v/>
      </c>
      <c r="T358" s="91" t="str">
        <f t="shared" si="26"/>
        <v/>
      </c>
    </row>
    <row r="359" spans="12:20" x14ac:dyDescent="0.25">
      <c r="L359" s="91" t="str">
        <f>IF(AND(ISNUMBER('15_STOCK'!$P359),'15_STOCK'!$P359&gt;0),'15_STOCK'!$P359+ROW()/1000000,"")</f>
        <v/>
      </c>
      <c r="M359" s="91" t="str">
        <f>IFERROR(MATCH('15_STOCK'!$N359,{"INCONSISTENTE","AGOTADO","CRÍTICO","BAJO","SOBRESTOCK"},0)*100000+MIN(99,INT(IF(N('15_STOCK'!$K359)&gt;0,MAX(0,N('15_STOCK'!$J359))/'15_STOCK'!$K359,0)*10))*1000+ROW(),"")</f>
        <v/>
      </c>
      <c r="N359" s="91" t="str">
        <f>IF(AND(ISNUMBER(MATCH('15_STOCK'!$N359,{"AGOTADO","CRÍTICO","BAJO"},0)),'15_STOCK'!$G359="SI",OR(pdProveedor="(Todos)",pdProveedor="",'15_STOCK'!$E359=pdProveedor)),IFERROR(MATCH('15_STOCK'!$E359,tblProveedores[Proveedor],0),999)*1000000+MATCH('15_STOCK'!$N359,{"AGOTADO","CRÍTICO","BAJO"},0)*10000+ROW(),"")</f>
        <v/>
      </c>
      <c r="O359" s="92">
        <v>352</v>
      </c>
      <c r="P359" s="91" t="str">
        <f t="shared" si="23"/>
        <v/>
      </c>
      <c r="Q359" s="91" t="str">
        <f t="shared" si="24"/>
        <v/>
      </c>
      <c r="R359" s="92">
        <v>352</v>
      </c>
      <c r="S359" s="91" t="str">
        <f t="shared" si="25"/>
        <v/>
      </c>
      <c r="T359" s="91" t="str">
        <f t="shared" si="26"/>
        <v/>
      </c>
    </row>
    <row r="360" spans="12:20" x14ac:dyDescent="0.25">
      <c r="L360" s="91" t="str">
        <f>IF(AND(ISNUMBER('15_STOCK'!$P360),'15_STOCK'!$P360&gt;0),'15_STOCK'!$P360+ROW()/1000000,"")</f>
        <v/>
      </c>
      <c r="M360" s="91" t="str">
        <f>IFERROR(MATCH('15_STOCK'!$N360,{"INCONSISTENTE","AGOTADO","CRÍTICO","BAJO","SOBRESTOCK"},0)*100000+MIN(99,INT(IF(N('15_STOCK'!$K360)&gt;0,MAX(0,N('15_STOCK'!$J360))/'15_STOCK'!$K360,0)*10))*1000+ROW(),"")</f>
        <v/>
      </c>
      <c r="N360" s="91" t="str">
        <f>IF(AND(ISNUMBER(MATCH('15_STOCK'!$N360,{"AGOTADO","CRÍTICO","BAJO"},0)),'15_STOCK'!$G360="SI",OR(pdProveedor="(Todos)",pdProveedor="",'15_STOCK'!$E360=pdProveedor)),IFERROR(MATCH('15_STOCK'!$E360,tblProveedores[Proveedor],0),999)*1000000+MATCH('15_STOCK'!$N360,{"AGOTADO","CRÍTICO","BAJO"},0)*10000+ROW(),"")</f>
        <v/>
      </c>
      <c r="O360" s="92">
        <v>353</v>
      </c>
      <c r="P360" s="91" t="str">
        <f t="shared" si="23"/>
        <v/>
      </c>
      <c r="Q360" s="91" t="str">
        <f t="shared" si="24"/>
        <v/>
      </c>
      <c r="R360" s="92">
        <v>353</v>
      </c>
      <c r="S360" s="91" t="str">
        <f t="shared" si="25"/>
        <v/>
      </c>
      <c r="T360" s="91" t="str">
        <f t="shared" si="26"/>
        <v/>
      </c>
    </row>
    <row r="361" spans="12:20" x14ac:dyDescent="0.25">
      <c r="L361" s="91" t="str">
        <f>IF(AND(ISNUMBER('15_STOCK'!$P361),'15_STOCK'!$P361&gt;0),'15_STOCK'!$P361+ROW()/1000000,"")</f>
        <v/>
      </c>
      <c r="M361" s="91" t="str">
        <f>IFERROR(MATCH('15_STOCK'!$N361,{"INCONSISTENTE","AGOTADO","CRÍTICO","BAJO","SOBRESTOCK"},0)*100000+MIN(99,INT(IF(N('15_STOCK'!$K361)&gt;0,MAX(0,N('15_STOCK'!$J361))/'15_STOCK'!$K361,0)*10))*1000+ROW(),"")</f>
        <v/>
      </c>
      <c r="N361" s="91" t="str">
        <f>IF(AND(ISNUMBER(MATCH('15_STOCK'!$N361,{"AGOTADO","CRÍTICO","BAJO"},0)),'15_STOCK'!$G361="SI",OR(pdProveedor="(Todos)",pdProveedor="",'15_STOCK'!$E361=pdProveedor)),IFERROR(MATCH('15_STOCK'!$E361,tblProveedores[Proveedor],0),999)*1000000+MATCH('15_STOCK'!$N361,{"AGOTADO","CRÍTICO","BAJO"},0)*10000+ROW(),"")</f>
        <v/>
      </c>
      <c r="O361" s="92">
        <v>354</v>
      </c>
      <c r="P361" s="91" t="str">
        <f t="shared" si="23"/>
        <v/>
      </c>
      <c r="Q361" s="91" t="str">
        <f t="shared" si="24"/>
        <v/>
      </c>
      <c r="R361" s="92">
        <v>354</v>
      </c>
      <c r="S361" s="91" t="str">
        <f t="shared" si="25"/>
        <v/>
      </c>
      <c r="T361" s="91" t="str">
        <f t="shared" si="26"/>
        <v/>
      </c>
    </row>
    <row r="362" spans="12:20" x14ac:dyDescent="0.25">
      <c r="L362" s="91" t="str">
        <f>IF(AND(ISNUMBER('15_STOCK'!$P362),'15_STOCK'!$P362&gt;0),'15_STOCK'!$P362+ROW()/1000000,"")</f>
        <v/>
      </c>
      <c r="M362" s="91" t="str">
        <f>IFERROR(MATCH('15_STOCK'!$N362,{"INCONSISTENTE","AGOTADO","CRÍTICO","BAJO","SOBRESTOCK"},0)*100000+MIN(99,INT(IF(N('15_STOCK'!$K362)&gt;0,MAX(0,N('15_STOCK'!$J362))/'15_STOCK'!$K362,0)*10))*1000+ROW(),"")</f>
        <v/>
      </c>
      <c r="N362" s="91" t="str">
        <f>IF(AND(ISNUMBER(MATCH('15_STOCK'!$N362,{"AGOTADO","CRÍTICO","BAJO"},0)),'15_STOCK'!$G362="SI",OR(pdProveedor="(Todos)",pdProveedor="",'15_STOCK'!$E362=pdProveedor)),IFERROR(MATCH('15_STOCK'!$E362,tblProveedores[Proveedor],0),999)*1000000+MATCH('15_STOCK'!$N362,{"AGOTADO","CRÍTICO","BAJO"},0)*10000+ROW(),"")</f>
        <v/>
      </c>
      <c r="O362" s="92">
        <v>355</v>
      </c>
      <c r="P362" s="91" t="str">
        <f t="shared" si="23"/>
        <v/>
      </c>
      <c r="Q362" s="91" t="str">
        <f t="shared" si="24"/>
        <v/>
      </c>
      <c r="R362" s="92">
        <v>355</v>
      </c>
      <c r="S362" s="91" t="str">
        <f t="shared" si="25"/>
        <v/>
      </c>
      <c r="T362" s="91" t="str">
        <f t="shared" si="26"/>
        <v/>
      </c>
    </row>
    <row r="363" spans="12:20" x14ac:dyDescent="0.25">
      <c r="L363" s="91" t="str">
        <f>IF(AND(ISNUMBER('15_STOCK'!$P363),'15_STOCK'!$P363&gt;0),'15_STOCK'!$P363+ROW()/1000000,"")</f>
        <v/>
      </c>
      <c r="M363" s="91" t="str">
        <f>IFERROR(MATCH('15_STOCK'!$N363,{"INCONSISTENTE","AGOTADO","CRÍTICO","BAJO","SOBRESTOCK"},0)*100000+MIN(99,INT(IF(N('15_STOCK'!$K363)&gt;0,MAX(0,N('15_STOCK'!$J363))/'15_STOCK'!$K363,0)*10))*1000+ROW(),"")</f>
        <v/>
      </c>
      <c r="N363" s="91" t="str">
        <f>IF(AND(ISNUMBER(MATCH('15_STOCK'!$N363,{"AGOTADO","CRÍTICO","BAJO"},0)),'15_STOCK'!$G363="SI",OR(pdProveedor="(Todos)",pdProveedor="",'15_STOCK'!$E363=pdProveedor)),IFERROR(MATCH('15_STOCK'!$E363,tblProveedores[Proveedor],0),999)*1000000+MATCH('15_STOCK'!$N363,{"AGOTADO","CRÍTICO","BAJO"},0)*10000+ROW(),"")</f>
        <v/>
      </c>
      <c r="O363" s="92">
        <v>356</v>
      </c>
      <c r="P363" s="91" t="str">
        <f t="shared" si="23"/>
        <v/>
      </c>
      <c r="Q363" s="91" t="str">
        <f t="shared" si="24"/>
        <v/>
      </c>
      <c r="R363" s="92">
        <v>356</v>
      </c>
      <c r="S363" s="91" t="str">
        <f t="shared" si="25"/>
        <v/>
      </c>
      <c r="T363" s="91" t="str">
        <f t="shared" si="26"/>
        <v/>
      </c>
    </row>
    <row r="364" spans="12:20" x14ac:dyDescent="0.25">
      <c r="L364" s="91" t="str">
        <f>IF(AND(ISNUMBER('15_STOCK'!$P364),'15_STOCK'!$P364&gt;0),'15_STOCK'!$P364+ROW()/1000000,"")</f>
        <v/>
      </c>
      <c r="M364" s="91" t="str">
        <f>IFERROR(MATCH('15_STOCK'!$N364,{"INCONSISTENTE","AGOTADO","CRÍTICO","BAJO","SOBRESTOCK"},0)*100000+MIN(99,INT(IF(N('15_STOCK'!$K364)&gt;0,MAX(0,N('15_STOCK'!$J364))/'15_STOCK'!$K364,0)*10))*1000+ROW(),"")</f>
        <v/>
      </c>
      <c r="N364" s="91" t="str">
        <f>IF(AND(ISNUMBER(MATCH('15_STOCK'!$N364,{"AGOTADO","CRÍTICO","BAJO"},0)),'15_STOCK'!$G364="SI",OR(pdProveedor="(Todos)",pdProveedor="",'15_STOCK'!$E364=pdProveedor)),IFERROR(MATCH('15_STOCK'!$E364,tblProveedores[Proveedor],0),999)*1000000+MATCH('15_STOCK'!$N364,{"AGOTADO","CRÍTICO","BAJO"},0)*10000+ROW(),"")</f>
        <v/>
      </c>
      <c r="O364" s="92">
        <v>357</v>
      </c>
      <c r="P364" s="91" t="str">
        <f t="shared" si="23"/>
        <v/>
      </c>
      <c r="Q364" s="91" t="str">
        <f t="shared" si="24"/>
        <v/>
      </c>
      <c r="R364" s="92">
        <v>357</v>
      </c>
      <c r="S364" s="91" t="str">
        <f t="shared" si="25"/>
        <v/>
      </c>
      <c r="T364" s="91" t="str">
        <f t="shared" si="26"/>
        <v/>
      </c>
    </row>
    <row r="365" spans="12:20" x14ac:dyDescent="0.25">
      <c r="L365" s="91" t="str">
        <f>IF(AND(ISNUMBER('15_STOCK'!$P365),'15_STOCK'!$P365&gt;0),'15_STOCK'!$P365+ROW()/1000000,"")</f>
        <v/>
      </c>
      <c r="M365" s="91" t="str">
        <f>IFERROR(MATCH('15_STOCK'!$N365,{"INCONSISTENTE","AGOTADO","CRÍTICO","BAJO","SOBRESTOCK"},0)*100000+MIN(99,INT(IF(N('15_STOCK'!$K365)&gt;0,MAX(0,N('15_STOCK'!$J365))/'15_STOCK'!$K365,0)*10))*1000+ROW(),"")</f>
        <v/>
      </c>
      <c r="N365" s="91" t="str">
        <f>IF(AND(ISNUMBER(MATCH('15_STOCK'!$N365,{"AGOTADO","CRÍTICO","BAJO"},0)),'15_STOCK'!$G365="SI",OR(pdProveedor="(Todos)",pdProveedor="",'15_STOCK'!$E365=pdProveedor)),IFERROR(MATCH('15_STOCK'!$E365,tblProveedores[Proveedor],0),999)*1000000+MATCH('15_STOCK'!$N365,{"AGOTADO","CRÍTICO","BAJO"},0)*10000+ROW(),"")</f>
        <v/>
      </c>
      <c r="O365" s="92">
        <v>358</v>
      </c>
      <c r="P365" s="91" t="str">
        <f t="shared" si="23"/>
        <v/>
      </c>
      <c r="Q365" s="91" t="str">
        <f t="shared" si="24"/>
        <v/>
      </c>
      <c r="R365" s="92">
        <v>358</v>
      </c>
      <c r="S365" s="91" t="str">
        <f t="shared" si="25"/>
        <v/>
      </c>
      <c r="T365" s="91" t="str">
        <f t="shared" si="26"/>
        <v/>
      </c>
    </row>
    <row r="366" spans="12:20" x14ac:dyDescent="0.25">
      <c r="L366" s="91" t="str">
        <f>IF(AND(ISNUMBER('15_STOCK'!$P366),'15_STOCK'!$P366&gt;0),'15_STOCK'!$P366+ROW()/1000000,"")</f>
        <v/>
      </c>
      <c r="M366" s="91" t="str">
        <f>IFERROR(MATCH('15_STOCK'!$N366,{"INCONSISTENTE","AGOTADO","CRÍTICO","BAJO","SOBRESTOCK"},0)*100000+MIN(99,INT(IF(N('15_STOCK'!$K366)&gt;0,MAX(0,N('15_STOCK'!$J366))/'15_STOCK'!$K366,0)*10))*1000+ROW(),"")</f>
        <v/>
      </c>
      <c r="N366" s="91" t="str">
        <f>IF(AND(ISNUMBER(MATCH('15_STOCK'!$N366,{"AGOTADO","CRÍTICO","BAJO"},0)),'15_STOCK'!$G366="SI",OR(pdProveedor="(Todos)",pdProveedor="",'15_STOCK'!$E366=pdProveedor)),IFERROR(MATCH('15_STOCK'!$E366,tblProveedores[Proveedor],0),999)*1000000+MATCH('15_STOCK'!$N366,{"AGOTADO","CRÍTICO","BAJO"},0)*10000+ROW(),"")</f>
        <v/>
      </c>
      <c r="O366" s="92">
        <v>359</v>
      </c>
      <c r="P366" s="91" t="str">
        <f t="shared" si="23"/>
        <v/>
      </c>
      <c r="Q366" s="91" t="str">
        <f t="shared" si="24"/>
        <v/>
      </c>
      <c r="R366" s="92">
        <v>359</v>
      </c>
      <c r="S366" s="91" t="str">
        <f t="shared" si="25"/>
        <v/>
      </c>
      <c r="T366" s="91" t="str">
        <f t="shared" si="26"/>
        <v/>
      </c>
    </row>
    <row r="367" spans="12:20" x14ac:dyDescent="0.25">
      <c r="L367" s="91" t="str">
        <f>IF(AND(ISNUMBER('15_STOCK'!$P367),'15_STOCK'!$P367&gt;0),'15_STOCK'!$P367+ROW()/1000000,"")</f>
        <v/>
      </c>
      <c r="M367" s="91" t="str">
        <f>IFERROR(MATCH('15_STOCK'!$N367,{"INCONSISTENTE","AGOTADO","CRÍTICO","BAJO","SOBRESTOCK"},0)*100000+MIN(99,INT(IF(N('15_STOCK'!$K367)&gt;0,MAX(0,N('15_STOCK'!$J367))/'15_STOCK'!$K367,0)*10))*1000+ROW(),"")</f>
        <v/>
      </c>
      <c r="N367" s="91" t="str">
        <f>IF(AND(ISNUMBER(MATCH('15_STOCK'!$N367,{"AGOTADO","CRÍTICO","BAJO"},0)),'15_STOCK'!$G367="SI",OR(pdProveedor="(Todos)",pdProveedor="",'15_STOCK'!$E367=pdProveedor)),IFERROR(MATCH('15_STOCK'!$E367,tblProveedores[Proveedor],0),999)*1000000+MATCH('15_STOCK'!$N367,{"AGOTADO","CRÍTICO","BAJO"},0)*10000+ROW(),"")</f>
        <v/>
      </c>
      <c r="O367" s="92">
        <v>360</v>
      </c>
      <c r="P367" s="91" t="str">
        <f t="shared" si="23"/>
        <v/>
      </c>
      <c r="Q367" s="91" t="str">
        <f t="shared" si="24"/>
        <v/>
      </c>
      <c r="R367" s="92">
        <v>360</v>
      </c>
      <c r="S367" s="91" t="str">
        <f t="shared" si="25"/>
        <v/>
      </c>
      <c r="T367" s="91" t="str">
        <f t="shared" si="26"/>
        <v/>
      </c>
    </row>
    <row r="368" spans="12:20" x14ac:dyDescent="0.25">
      <c r="L368" s="91" t="str">
        <f>IF(AND(ISNUMBER('15_STOCK'!$P368),'15_STOCK'!$P368&gt;0),'15_STOCK'!$P368+ROW()/1000000,"")</f>
        <v/>
      </c>
      <c r="M368" s="91" t="str">
        <f>IFERROR(MATCH('15_STOCK'!$N368,{"INCONSISTENTE","AGOTADO","CRÍTICO","BAJO","SOBRESTOCK"},0)*100000+MIN(99,INT(IF(N('15_STOCK'!$K368)&gt;0,MAX(0,N('15_STOCK'!$J368))/'15_STOCK'!$K368,0)*10))*1000+ROW(),"")</f>
        <v/>
      </c>
      <c r="N368" s="91" t="str">
        <f>IF(AND(ISNUMBER(MATCH('15_STOCK'!$N368,{"AGOTADO","CRÍTICO","BAJO"},0)),'15_STOCK'!$G368="SI",OR(pdProveedor="(Todos)",pdProveedor="",'15_STOCK'!$E368=pdProveedor)),IFERROR(MATCH('15_STOCK'!$E368,tblProveedores[Proveedor],0),999)*1000000+MATCH('15_STOCK'!$N368,{"AGOTADO","CRÍTICO","BAJO"},0)*10000+ROW(),"")</f>
        <v/>
      </c>
      <c r="O368" s="92">
        <v>361</v>
      </c>
      <c r="P368" s="91" t="str">
        <f t="shared" si="23"/>
        <v/>
      </c>
      <c r="Q368" s="91" t="str">
        <f t="shared" si="24"/>
        <v/>
      </c>
      <c r="R368" s="92">
        <v>361</v>
      </c>
      <c r="S368" s="91" t="str">
        <f t="shared" si="25"/>
        <v/>
      </c>
      <c r="T368" s="91" t="str">
        <f t="shared" si="26"/>
        <v/>
      </c>
    </row>
    <row r="369" spans="12:20" x14ac:dyDescent="0.25">
      <c r="L369" s="91" t="str">
        <f>IF(AND(ISNUMBER('15_STOCK'!$P369),'15_STOCK'!$P369&gt;0),'15_STOCK'!$P369+ROW()/1000000,"")</f>
        <v/>
      </c>
      <c r="M369" s="91" t="str">
        <f>IFERROR(MATCH('15_STOCK'!$N369,{"INCONSISTENTE","AGOTADO","CRÍTICO","BAJO","SOBRESTOCK"},0)*100000+MIN(99,INT(IF(N('15_STOCK'!$K369)&gt;0,MAX(0,N('15_STOCK'!$J369))/'15_STOCK'!$K369,0)*10))*1000+ROW(),"")</f>
        <v/>
      </c>
      <c r="N369" s="91" t="str">
        <f>IF(AND(ISNUMBER(MATCH('15_STOCK'!$N369,{"AGOTADO","CRÍTICO","BAJO"},0)),'15_STOCK'!$G369="SI",OR(pdProveedor="(Todos)",pdProveedor="",'15_STOCK'!$E369=pdProveedor)),IFERROR(MATCH('15_STOCK'!$E369,tblProveedores[Proveedor],0),999)*1000000+MATCH('15_STOCK'!$N369,{"AGOTADO","CRÍTICO","BAJO"},0)*10000+ROW(),"")</f>
        <v/>
      </c>
      <c r="O369" s="92">
        <v>362</v>
      </c>
      <c r="P369" s="91" t="str">
        <f t="shared" si="23"/>
        <v/>
      </c>
      <c r="Q369" s="91" t="str">
        <f t="shared" si="24"/>
        <v/>
      </c>
      <c r="R369" s="92">
        <v>362</v>
      </c>
      <c r="S369" s="91" t="str">
        <f t="shared" si="25"/>
        <v/>
      </c>
      <c r="T369" s="91" t="str">
        <f t="shared" si="26"/>
        <v/>
      </c>
    </row>
    <row r="370" spans="12:20" x14ac:dyDescent="0.25">
      <c r="L370" s="91" t="str">
        <f>IF(AND(ISNUMBER('15_STOCK'!$P370),'15_STOCK'!$P370&gt;0),'15_STOCK'!$P370+ROW()/1000000,"")</f>
        <v/>
      </c>
      <c r="M370" s="91" t="str">
        <f>IFERROR(MATCH('15_STOCK'!$N370,{"INCONSISTENTE","AGOTADO","CRÍTICO","BAJO","SOBRESTOCK"},0)*100000+MIN(99,INT(IF(N('15_STOCK'!$K370)&gt;0,MAX(0,N('15_STOCK'!$J370))/'15_STOCK'!$K370,0)*10))*1000+ROW(),"")</f>
        <v/>
      </c>
      <c r="N370" s="91" t="str">
        <f>IF(AND(ISNUMBER(MATCH('15_STOCK'!$N370,{"AGOTADO","CRÍTICO","BAJO"},0)),'15_STOCK'!$G370="SI",OR(pdProveedor="(Todos)",pdProveedor="",'15_STOCK'!$E370=pdProveedor)),IFERROR(MATCH('15_STOCK'!$E370,tblProveedores[Proveedor],0),999)*1000000+MATCH('15_STOCK'!$N370,{"AGOTADO","CRÍTICO","BAJO"},0)*10000+ROW(),"")</f>
        <v/>
      </c>
      <c r="O370" s="92">
        <v>363</v>
      </c>
      <c r="P370" s="91" t="str">
        <f t="shared" si="23"/>
        <v/>
      </c>
      <c r="Q370" s="91" t="str">
        <f t="shared" si="24"/>
        <v/>
      </c>
      <c r="R370" s="92">
        <v>363</v>
      </c>
      <c r="S370" s="91" t="str">
        <f t="shared" si="25"/>
        <v/>
      </c>
      <c r="T370" s="91" t="str">
        <f t="shared" si="26"/>
        <v/>
      </c>
    </row>
    <row r="371" spans="12:20" x14ac:dyDescent="0.25">
      <c r="L371" s="91" t="str">
        <f>IF(AND(ISNUMBER('15_STOCK'!$P371),'15_STOCK'!$P371&gt;0),'15_STOCK'!$P371+ROW()/1000000,"")</f>
        <v/>
      </c>
      <c r="M371" s="91" t="str">
        <f>IFERROR(MATCH('15_STOCK'!$N371,{"INCONSISTENTE","AGOTADO","CRÍTICO","BAJO","SOBRESTOCK"},0)*100000+MIN(99,INT(IF(N('15_STOCK'!$K371)&gt;0,MAX(0,N('15_STOCK'!$J371))/'15_STOCK'!$K371,0)*10))*1000+ROW(),"")</f>
        <v/>
      </c>
      <c r="N371" s="91" t="str">
        <f>IF(AND(ISNUMBER(MATCH('15_STOCK'!$N371,{"AGOTADO","CRÍTICO","BAJO"},0)),'15_STOCK'!$G371="SI",OR(pdProveedor="(Todos)",pdProveedor="",'15_STOCK'!$E371=pdProveedor)),IFERROR(MATCH('15_STOCK'!$E371,tblProveedores[Proveedor],0),999)*1000000+MATCH('15_STOCK'!$N371,{"AGOTADO","CRÍTICO","BAJO"},0)*10000+ROW(),"")</f>
        <v/>
      </c>
      <c r="O371" s="92">
        <v>364</v>
      </c>
      <c r="P371" s="91" t="str">
        <f t="shared" si="23"/>
        <v/>
      </c>
      <c r="Q371" s="91" t="str">
        <f t="shared" si="24"/>
        <v/>
      </c>
      <c r="R371" s="92">
        <v>364</v>
      </c>
      <c r="S371" s="91" t="str">
        <f t="shared" si="25"/>
        <v/>
      </c>
      <c r="T371" s="91" t="str">
        <f t="shared" si="26"/>
        <v/>
      </c>
    </row>
    <row r="372" spans="12:20" x14ac:dyDescent="0.25">
      <c r="L372" s="91" t="str">
        <f>IF(AND(ISNUMBER('15_STOCK'!$P372),'15_STOCK'!$P372&gt;0),'15_STOCK'!$P372+ROW()/1000000,"")</f>
        <v/>
      </c>
      <c r="M372" s="91" t="str">
        <f>IFERROR(MATCH('15_STOCK'!$N372,{"INCONSISTENTE","AGOTADO","CRÍTICO","BAJO","SOBRESTOCK"},0)*100000+MIN(99,INT(IF(N('15_STOCK'!$K372)&gt;0,MAX(0,N('15_STOCK'!$J372))/'15_STOCK'!$K372,0)*10))*1000+ROW(),"")</f>
        <v/>
      </c>
      <c r="N372" s="91" t="str">
        <f>IF(AND(ISNUMBER(MATCH('15_STOCK'!$N372,{"AGOTADO","CRÍTICO","BAJO"},0)),'15_STOCK'!$G372="SI",OR(pdProveedor="(Todos)",pdProveedor="",'15_STOCK'!$E372=pdProveedor)),IFERROR(MATCH('15_STOCK'!$E372,tblProveedores[Proveedor],0),999)*1000000+MATCH('15_STOCK'!$N372,{"AGOTADO","CRÍTICO","BAJO"},0)*10000+ROW(),"")</f>
        <v/>
      </c>
      <c r="O372" s="92">
        <v>365</v>
      </c>
      <c r="P372" s="91" t="str">
        <f t="shared" si="23"/>
        <v/>
      </c>
      <c r="Q372" s="91" t="str">
        <f t="shared" si="24"/>
        <v/>
      </c>
      <c r="R372" s="92">
        <v>365</v>
      </c>
      <c r="S372" s="91" t="str">
        <f t="shared" si="25"/>
        <v/>
      </c>
      <c r="T372" s="91" t="str">
        <f t="shared" si="26"/>
        <v/>
      </c>
    </row>
    <row r="373" spans="12:20" x14ac:dyDescent="0.25">
      <c r="L373" s="91" t="str">
        <f>IF(AND(ISNUMBER('15_STOCK'!$P373),'15_STOCK'!$P373&gt;0),'15_STOCK'!$P373+ROW()/1000000,"")</f>
        <v/>
      </c>
      <c r="M373" s="91" t="str">
        <f>IFERROR(MATCH('15_STOCK'!$N373,{"INCONSISTENTE","AGOTADO","CRÍTICO","BAJO","SOBRESTOCK"},0)*100000+MIN(99,INT(IF(N('15_STOCK'!$K373)&gt;0,MAX(0,N('15_STOCK'!$J373))/'15_STOCK'!$K373,0)*10))*1000+ROW(),"")</f>
        <v/>
      </c>
      <c r="N373" s="91" t="str">
        <f>IF(AND(ISNUMBER(MATCH('15_STOCK'!$N373,{"AGOTADO","CRÍTICO","BAJO"},0)),'15_STOCK'!$G373="SI",OR(pdProveedor="(Todos)",pdProveedor="",'15_STOCK'!$E373=pdProveedor)),IFERROR(MATCH('15_STOCK'!$E373,tblProveedores[Proveedor],0),999)*1000000+MATCH('15_STOCK'!$N373,{"AGOTADO","CRÍTICO","BAJO"},0)*10000+ROW(),"")</f>
        <v/>
      </c>
      <c r="O373" s="92">
        <v>366</v>
      </c>
      <c r="P373" s="91" t="str">
        <f t="shared" si="23"/>
        <v/>
      </c>
      <c r="Q373" s="91" t="str">
        <f t="shared" si="24"/>
        <v/>
      </c>
      <c r="R373" s="92">
        <v>366</v>
      </c>
      <c r="S373" s="91" t="str">
        <f t="shared" si="25"/>
        <v/>
      </c>
      <c r="T373" s="91" t="str">
        <f t="shared" si="26"/>
        <v/>
      </c>
    </row>
    <row r="374" spans="12:20" x14ac:dyDescent="0.25">
      <c r="L374" s="91" t="str">
        <f>IF(AND(ISNUMBER('15_STOCK'!$P374),'15_STOCK'!$P374&gt;0),'15_STOCK'!$P374+ROW()/1000000,"")</f>
        <v/>
      </c>
      <c r="M374" s="91" t="str">
        <f>IFERROR(MATCH('15_STOCK'!$N374,{"INCONSISTENTE","AGOTADO","CRÍTICO","BAJO","SOBRESTOCK"},0)*100000+MIN(99,INT(IF(N('15_STOCK'!$K374)&gt;0,MAX(0,N('15_STOCK'!$J374))/'15_STOCK'!$K374,0)*10))*1000+ROW(),"")</f>
        <v/>
      </c>
      <c r="N374" s="91" t="str">
        <f>IF(AND(ISNUMBER(MATCH('15_STOCK'!$N374,{"AGOTADO","CRÍTICO","BAJO"},0)),'15_STOCK'!$G374="SI",OR(pdProveedor="(Todos)",pdProveedor="",'15_STOCK'!$E374=pdProveedor)),IFERROR(MATCH('15_STOCK'!$E374,tblProveedores[Proveedor],0),999)*1000000+MATCH('15_STOCK'!$N374,{"AGOTADO","CRÍTICO","BAJO"},0)*10000+ROW(),"")</f>
        <v/>
      </c>
      <c r="O374" s="92">
        <v>367</v>
      </c>
      <c r="P374" s="91" t="str">
        <f t="shared" si="23"/>
        <v/>
      </c>
      <c r="Q374" s="91" t="str">
        <f t="shared" si="24"/>
        <v/>
      </c>
      <c r="R374" s="92">
        <v>367</v>
      </c>
      <c r="S374" s="91" t="str">
        <f t="shared" si="25"/>
        <v/>
      </c>
      <c r="T374" s="91" t="str">
        <f t="shared" si="26"/>
        <v/>
      </c>
    </row>
    <row r="375" spans="12:20" x14ac:dyDescent="0.25">
      <c r="L375" s="91" t="str">
        <f>IF(AND(ISNUMBER('15_STOCK'!$P375),'15_STOCK'!$P375&gt;0),'15_STOCK'!$P375+ROW()/1000000,"")</f>
        <v/>
      </c>
      <c r="M375" s="91" t="str">
        <f>IFERROR(MATCH('15_STOCK'!$N375,{"INCONSISTENTE","AGOTADO","CRÍTICO","BAJO","SOBRESTOCK"},0)*100000+MIN(99,INT(IF(N('15_STOCK'!$K375)&gt;0,MAX(0,N('15_STOCK'!$J375))/'15_STOCK'!$K375,0)*10))*1000+ROW(),"")</f>
        <v/>
      </c>
      <c r="N375" s="91" t="str">
        <f>IF(AND(ISNUMBER(MATCH('15_STOCK'!$N375,{"AGOTADO","CRÍTICO","BAJO"},0)),'15_STOCK'!$G375="SI",OR(pdProveedor="(Todos)",pdProveedor="",'15_STOCK'!$E375=pdProveedor)),IFERROR(MATCH('15_STOCK'!$E375,tblProveedores[Proveedor],0),999)*1000000+MATCH('15_STOCK'!$N375,{"AGOTADO","CRÍTICO","BAJO"},0)*10000+ROW(),"")</f>
        <v/>
      </c>
      <c r="O375" s="92">
        <v>368</v>
      </c>
      <c r="P375" s="91" t="str">
        <f t="shared" si="23"/>
        <v/>
      </c>
      <c r="Q375" s="91" t="str">
        <f t="shared" si="24"/>
        <v/>
      </c>
      <c r="R375" s="92">
        <v>368</v>
      </c>
      <c r="S375" s="91" t="str">
        <f t="shared" si="25"/>
        <v/>
      </c>
      <c r="T375" s="91" t="str">
        <f t="shared" si="26"/>
        <v/>
      </c>
    </row>
    <row r="376" spans="12:20" x14ac:dyDescent="0.25">
      <c r="L376" s="91" t="str">
        <f>IF(AND(ISNUMBER('15_STOCK'!$P376),'15_STOCK'!$P376&gt;0),'15_STOCK'!$P376+ROW()/1000000,"")</f>
        <v/>
      </c>
      <c r="M376" s="91" t="str">
        <f>IFERROR(MATCH('15_STOCK'!$N376,{"INCONSISTENTE","AGOTADO","CRÍTICO","BAJO","SOBRESTOCK"},0)*100000+MIN(99,INT(IF(N('15_STOCK'!$K376)&gt;0,MAX(0,N('15_STOCK'!$J376))/'15_STOCK'!$K376,0)*10))*1000+ROW(),"")</f>
        <v/>
      </c>
      <c r="N376" s="91" t="str">
        <f>IF(AND(ISNUMBER(MATCH('15_STOCK'!$N376,{"AGOTADO","CRÍTICO","BAJO"},0)),'15_STOCK'!$G376="SI",OR(pdProveedor="(Todos)",pdProveedor="",'15_STOCK'!$E376=pdProveedor)),IFERROR(MATCH('15_STOCK'!$E376,tblProveedores[Proveedor],0),999)*1000000+MATCH('15_STOCK'!$N376,{"AGOTADO","CRÍTICO","BAJO"},0)*10000+ROW(),"")</f>
        <v/>
      </c>
      <c r="O376" s="92">
        <v>369</v>
      </c>
      <c r="P376" s="91" t="str">
        <f t="shared" si="23"/>
        <v/>
      </c>
      <c r="Q376" s="91" t="str">
        <f t="shared" si="24"/>
        <v/>
      </c>
      <c r="R376" s="92">
        <v>369</v>
      </c>
      <c r="S376" s="91" t="str">
        <f t="shared" si="25"/>
        <v/>
      </c>
      <c r="T376" s="91" t="str">
        <f t="shared" si="26"/>
        <v/>
      </c>
    </row>
    <row r="377" spans="12:20" x14ac:dyDescent="0.25">
      <c r="L377" s="91" t="str">
        <f>IF(AND(ISNUMBER('15_STOCK'!$P377),'15_STOCK'!$P377&gt;0),'15_STOCK'!$P377+ROW()/1000000,"")</f>
        <v/>
      </c>
      <c r="M377" s="91" t="str">
        <f>IFERROR(MATCH('15_STOCK'!$N377,{"INCONSISTENTE","AGOTADO","CRÍTICO","BAJO","SOBRESTOCK"},0)*100000+MIN(99,INT(IF(N('15_STOCK'!$K377)&gt;0,MAX(0,N('15_STOCK'!$J377))/'15_STOCK'!$K377,0)*10))*1000+ROW(),"")</f>
        <v/>
      </c>
      <c r="N377" s="91" t="str">
        <f>IF(AND(ISNUMBER(MATCH('15_STOCK'!$N377,{"AGOTADO","CRÍTICO","BAJO"},0)),'15_STOCK'!$G377="SI",OR(pdProveedor="(Todos)",pdProveedor="",'15_STOCK'!$E377=pdProveedor)),IFERROR(MATCH('15_STOCK'!$E377,tblProveedores[Proveedor],0),999)*1000000+MATCH('15_STOCK'!$N377,{"AGOTADO","CRÍTICO","BAJO"},0)*10000+ROW(),"")</f>
        <v/>
      </c>
      <c r="O377" s="92">
        <v>370</v>
      </c>
      <c r="P377" s="91" t="str">
        <f t="shared" si="23"/>
        <v/>
      </c>
      <c r="Q377" s="91" t="str">
        <f t="shared" si="24"/>
        <v/>
      </c>
      <c r="R377" s="92">
        <v>370</v>
      </c>
      <c r="S377" s="91" t="str">
        <f t="shared" si="25"/>
        <v/>
      </c>
      <c r="T377" s="91" t="str">
        <f t="shared" si="26"/>
        <v/>
      </c>
    </row>
    <row r="378" spans="12:20" x14ac:dyDescent="0.25">
      <c r="L378" s="91" t="str">
        <f>IF(AND(ISNUMBER('15_STOCK'!$P378),'15_STOCK'!$P378&gt;0),'15_STOCK'!$P378+ROW()/1000000,"")</f>
        <v/>
      </c>
      <c r="M378" s="91" t="str">
        <f>IFERROR(MATCH('15_STOCK'!$N378,{"INCONSISTENTE","AGOTADO","CRÍTICO","BAJO","SOBRESTOCK"},0)*100000+MIN(99,INT(IF(N('15_STOCK'!$K378)&gt;0,MAX(0,N('15_STOCK'!$J378))/'15_STOCK'!$K378,0)*10))*1000+ROW(),"")</f>
        <v/>
      </c>
      <c r="N378" s="91" t="str">
        <f>IF(AND(ISNUMBER(MATCH('15_STOCK'!$N378,{"AGOTADO","CRÍTICO","BAJO"},0)),'15_STOCK'!$G378="SI",OR(pdProveedor="(Todos)",pdProveedor="",'15_STOCK'!$E378=pdProveedor)),IFERROR(MATCH('15_STOCK'!$E378,tblProveedores[Proveedor],0),999)*1000000+MATCH('15_STOCK'!$N378,{"AGOTADO","CRÍTICO","BAJO"},0)*10000+ROW(),"")</f>
        <v/>
      </c>
      <c r="O378" s="92">
        <v>371</v>
      </c>
      <c r="P378" s="91" t="str">
        <f t="shared" si="23"/>
        <v/>
      </c>
      <c r="Q378" s="91" t="str">
        <f t="shared" si="24"/>
        <v/>
      </c>
      <c r="R378" s="92">
        <v>371</v>
      </c>
      <c r="S378" s="91" t="str">
        <f t="shared" si="25"/>
        <v/>
      </c>
      <c r="T378" s="91" t="str">
        <f t="shared" si="26"/>
        <v/>
      </c>
    </row>
    <row r="379" spans="12:20" x14ac:dyDescent="0.25">
      <c r="L379" s="91" t="str">
        <f>IF(AND(ISNUMBER('15_STOCK'!$P379),'15_STOCK'!$P379&gt;0),'15_STOCK'!$P379+ROW()/1000000,"")</f>
        <v/>
      </c>
      <c r="M379" s="91" t="str">
        <f>IFERROR(MATCH('15_STOCK'!$N379,{"INCONSISTENTE","AGOTADO","CRÍTICO","BAJO","SOBRESTOCK"},0)*100000+MIN(99,INT(IF(N('15_STOCK'!$K379)&gt;0,MAX(0,N('15_STOCK'!$J379))/'15_STOCK'!$K379,0)*10))*1000+ROW(),"")</f>
        <v/>
      </c>
      <c r="N379" s="91" t="str">
        <f>IF(AND(ISNUMBER(MATCH('15_STOCK'!$N379,{"AGOTADO","CRÍTICO","BAJO"},0)),'15_STOCK'!$G379="SI",OR(pdProveedor="(Todos)",pdProveedor="",'15_STOCK'!$E379=pdProveedor)),IFERROR(MATCH('15_STOCK'!$E379,tblProveedores[Proveedor],0),999)*1000000+MATCH('15_STOCK'!$N379,{"AGOTADO","CRÍTICO","BAJO"},0)*10000+ROW(),"")</f>
        <v/>
      </c>
      <c r="O379" s="92">
        <v>372</v>
      </c>
      <c r="P379" s="91" t="str">
        <f t="shared" si="23"/>
        <v/>
      </c>
      <c r="Q379" s="91" t="str">
        <f t="shared" si="24"/>
        <v/>
      </c>
      <c r="R379" s="92">
        <v>372</v>
      </c>
      <c r="S379" s="91" t="str">
        <f t="shared" si="25"/>
        <v/>
      </c>
      <c r="T379" s="91" t="str">
        <f t="shared" si="26"/>
        <v/>
      </c>
    </row>
    <row r="380" spans="12:20" x14ac:dyDescent="0.25">
      <c r="L380" s="91" t="str">
        <f>IF(AND(ISNUMBER('15_STOCK'!$P380),'15_STOCK'!$P380&gt;0),'15_STOCK'!$P380+ROW()/1000000,"")</f>
        <v/>
      </c>
      <c r="M380" s="91" t="str">
        <f>IFERROR(MATCH('15_STOCK'!$N380,{"INCONSISTENTE","AGOTADO","CRÍTICO","BAJO","SOBRESTOCK"},0)*100000+MIN(99,INT(IF(N('15_STOCK'!$K380)&gt;0,MAX(0,N('15_STOCK'!$J380))/'15_STOCK'!$K380,0)*10))*1000+ROW(),"")</f>
        <v/>
      </c>
      <c r="N380" s="91" t="str">
        <f>IF(AND(ISNUMBER(MATCH('15_STOCK'!$N380,{"AGOTADO","CRÍTICO","BAJO"},0)),'15_STOCK'!$G380="SI",OR(pdProveedor="(Todos)",pdProveedor="",'15_STOCK'!$E380=pdProveedor)),IFERROR(MATCH('15_STOCK'!$E380,tblProveedores[Proveedor],0),999)*1000000+MATCH('15_STOCK'!$N380,{"AGOTADO","CRÍTICO","BAJO"},0)*10000+ROW(),"")</f>
        <v/>
      </c>
      <c r="O380" s="92">
        <v>373</v>
      </c>
      <c r="P380" s="91" t="str">
        <f t="shared" si="23"/>
        <v/>
      </c>
      <c r="Q380" s="91" t="str">
        <f t="shared" si="24"/>
        <v/>
      </c>
      <c r="R380" s="92">
        <v>373</v>
      </c>
      <c r="S380" s="91" t="str">
        <f t="shared" si="25"/>
        <v/>
      </c>
      <c r="T380" s="91" t="str">
        <f t="shared" si="26"/>
        <v/>
      </c>
    </row>
    <row r="381" spans="12:20" x14ac:dyDescent="0.25">
      <c r="L381" s="91" t="str">
        <f>IF(AND(ISNUMBER('15_STOCK'!$P381),'15_STOCK'!$P381&gt;0),'15_STOCK'!$P381+ROW()/1000000,"")</f>
        <v/>
      </c>
      <c r="M381" s="91" t="str">
        <f>IFERROR(MATCH('15_STOCK'!$N381,{"INCONSISTENTE","AGOTADO","CRÍTICO","BAJO","SOBRESTOCK"},0)*100000+MIN(99,INT(IF(N('15_STOCK'!$K381)&gt;0,MAX(0,N('15_STOCK'!$J381))/'15_STOCK'!$K381,0)*10))*1000+ROW(),"")</f>
        <v/>
      </c>
      <c r="N381" s="91" t="str">
        <f>IF(AND(ISNUMBER(MATCH('15_STOCK'!$N381,{"AGOTADO","CRÍTICO","BAJO"},0)),'15_STOCK'!$G381="SI",OR(pdProveedor="(Todos)",pdProveedor="",'15_STOCK'!$E381=pdProveedor)),IFERROR(MATCH('15_STOCK'!$E381,tblProveedores[Proveedor],0),999)*1000000+MATCH('15_STOCK'!$N381,{"AGOTADO","CRÍTICO","BAJO"},0)*10000+ROW(),"")</f>
        <v/>
      </c>
      <c r="O381" s="92">
        <v>374</v>
      </c>
      <c r="P381" s="91" t="str">
        <f t="shared" si="23"/>
        <v/>
      </c>
      <c r="Q381" s="91" t="str">
        <f t="shared" si="24"/>
        <v/>
      </c>
      <c r="R381" s="92">
        <v>374</v>
      </c>
      <c r="S381" s="91" t="str">
        <f t="shared" si="25"/>
        <v/>
      </c>
      <c r="T381" s="91" t="str">
        <f t="shared" si="26"/>
        <v/>
      </c>
    </row>
    <row r="382" spans="12:20" x14ac:dyDescent="0.25">
      <c r="L382" s="91" t="str">
        <f>IF(AND(ISNUMBER('15_STOCK'!$P382),'15_STOCK'!$P382&gt;0),'15_STOCK'!$P382+ROW()/1000000,"")</f>
        <v/>
      </c>
      <c r="M382" s="91" t="str">
        <f>IFERROR(MATCH('15_STOCK'!$N382,{"INCONSISTENTE","AGOTADO","CRÍTICO","BAJO","SOBRESTOCK"},0)*100000+MIN(99,INT(IF(N('15_STOCK'!$K382)&gt;0,MAX(0,N('15_STOCK'!$J382))/'15_STOCK'!$K382,0)*10))*1000+ROW(),"")</f>
        <v/>
      </c>
      <c r="N382" s="91" t="str">
        <f>IF(AND(ISNUMBER(MATCH('15_STOCK'!$N382,{"AGOTADO","CRÍTICO","BAJO"},0)),'15_STOCK'!$G382="SI",OR(pdProveedor="(Todos)",pdProveedor="",'15_STOCK'!$E382=pdProveedor)),IFERROR(MATCH('15_STOCK'!$E382,tblProveedores[Proveedor],0),999)*1000000+MATCH('15_STOCK'!$N382,{"AGOTADO","CRÍTICO","BAJO"},0)*10000+ROW(),"")</f>
        <v/>
      </c>
      <c r="O382" s="92">
        <v>375</v>
      </c>
      <c r="P382" s="91" t="str">
        <f t="shared" si="23"/>
        <v/>
      </c>
      <c r="Q382" s="91" t="str">
        <f t="shared" si="24"/>
        <v/>
      </c>
      <c r="R382" s="92">
        <v>375</v>
      </c>
      <c r="S382" s="91" t="str">
        <f t="shared" si="25"/>
        <v/>
      </c>
      <c r="T382" s="91" t="str">
        <f t="shared" si="26"/>
        <v/>
      </c>
    </row>
    <row r="383" spans="12:20" x14ac:dyDescent="0.25">
      <c r="L383" s="91" t="str">
        <f>IF(AND(ISNUMBER('15_STOCK'!$P383),'15_STOCK'!$P383&gt;0),'15_STOCK'!$P383+ROW()/1000000,"")</f>
        <v/>
      </c>
      <c r="M383" s="91" t="str">
        <f>IFERROR(MATCH('15_STOCK'!$N383,{"INCONSISTENTE","AGOTADO","CRÍTICO","BAJO","SOBRESTOCK"},0)*100000+MIN(99,INT(IF(N('15_STOCK'!$K383)&gt;0,MAX(0,N('15_STOCK'!$J383))/'15_STOCK'!$K383,0)*10))*1000+ROW(),"")</f>
        <v/>
      </c>
      <c r="N383" s="91" t="str">
        <f>IF(AND(ISNUMBER(MATCH('15_STOCK'!$N383,{"AGOTADO","CRÍTICO","BAJO"},0)),'15_STOCK'!$G383="SI",OR(pdProveedor="(Todos)",pdProveedor="",'15_STOCK'!$E383=pdProveedor)),IFERROR(MATCH('15_STOCK'!$E383,tblProveedores[Proveedor],0),999)*1000000+MATCH('15_STOCK'!$N383,{"AGOTADO","CRÍTICO","BAJO"},0)*10000+ROW(),"")</f>
        <v/>
      </c>
      <c r="O383" s="92">
        <v>376</v>
      </c>
      <c r="P383" s="91" t="str">
        <f t="shared" si="23"/>
        <v/>
      </c>
      <c r="Q383" s="91" t="str">
        <f t="shared" si="24"/>
        <v/>
      </c>
      <c r="R383" s="92">
        <v>376</v>
      </c>
      <c r="S383" s="91" t="str">
        <f t="shared" si="25"/>
        <v/>
      </c>
      <c r="T383" s="91" t="str">
        <f t="shared" si="26"/>
        <v/>
      </c>
    </row>
    <row r="384" spans="12:20" x14ac:dyDescent="0.25">
      <c r="L384" s="91" t="str">
        <f>IF(AND(ISNUMBER('15_STOCK'!$P384),'15_STOCK'!$P384&gt;0),'15_STOCK'!$P384+ROW()/1000000,"")</f>
        <v/>
      </c>
      <c r="M384" s="91" t="str">
        <f>IFERROR(MATCH('15_STOCK'!$N384,{"INCONSISTENTE","AGOTADO","CRÍTICO","BAJO","SOBRESTOCK"},0)*100000+MIN(99,INT(IF(N('15_STOCK'!$K384)&gt;0,MAX(0,N('15_STOCK'!$J384))/'15_STOCK'!$K384,0)*10))*1000+ROW(),"")</f>
        <v/>
      </c>
      <c r="N384" s="91" t="str">
        <f>IF(AND(ISNUMBER(MATCH('15_STOCK'!$N384,{"AGOTADO","CRÍTICO","BAJO"},0)),'15_STOCK'!$G384="SI",OR(pdProveedor="(Todos)",pdProveedor="",'15_STOCK'!$E384=pdProveedor)),IFERROR(MATCH('15_STOCK'!$E384,tblProveedores[Proveedor],0),999)*1000000+MATCH('15_STOCK'!$N384,{"AGOTADO","CRÍTICO","BAJO"},0)*10000+ROW(),"")</f>
        <v/>
      </c>
      <c r="O384" s="92">
        <v>377</v>
      </c>
      <c r="P384" s="91" t="str">
        <f t="shared" si="23"/>
        <v/>
      </c>
      <c r="Q384" s="91" t="str">
        <f t="shared" si="24"/>
        <v/>
      </c>
      <c r="R384" s="92">
        <v>377</v>
      </c>
      <c r="S384" s="91" t="str">
        <f t="shared" si="25"/>
        <v/>
      </c>
      <c r="T384" s="91" t="str">
        <f t="shared" si="26"/>
        <v/>
      </c>
    </row>
    <row r="385" spans="12:20" x14ac:dyDescent="0.25">
      <c r="L385" s="91" t="str">
        <f>IF(AND(ISNUMBER('15_STOCK'!$P385),'15_STOCK'!$P385&gt;0),'15_STOCK'!$P385+ROW()/1000000,"")</f>
        <v/>
      </c>
      <c r="M385" s="91" t="str">
        <f>IFERROR(MATCH('15_STOCK'!$N385,{"INCONSISTENTE","AGOTADO","CRÍTICO","BAJO","SOBRESTOCK"},0)*100000+MIN(99,INT(IF(N('15_STOCK'!$K385)&gt;0,MAX(0,N('15_STOCK'!$J385))/'15_STOCK'!$K385,0)*10))*1000+ROW(),"")</f>
        <v/>
      </c>
      <c r="N385" s="91" t="str">
        <f>IF(AND(ISNUMBER(MATCH('15_STOCK'!$N385,{"AGOTADO","CRÍTICO","BAJO"},0)),'15_STOCK'!$G385="SI",OR(pdProveedor="(Todos)",pdProveedor="",'15_STOCK'!$E385=pdProveedor)),IFERROR(MATCH('15_STOCK'!$E385,tblProveedores[Proveedor],0),999)*1000000+MATCH('15_STOCK'!$N385,{"AGOTADO","CRÍTICO","BAJO"},0)*10000+ROW(),"")</f>
        <v/>
      </c>
      <c r="O385" s="92">
        <v>378</v>
      </c>
      <c r="P385" s="91" t="str">
        <f t="shared" si="23"/>
        <v/>
      </c>
      <c r="Q385" s="91" t="str">
        <f t="shared" si="24"/>
        <v/>
      </c>
      <c r="R385" s="92">
        <v>378</v>
      </c>
      <c r="S385" s="91" t="str">
        <f t="shared" si="25"/>
        <v/>
      </c>
      <c r="T385" s="91" t="str">
        <f t="shared" si="26"/>
        <v/>
      </c>
    </row>
    <row r="386" spans="12:20" x14ac:dyDescent="0.25">
      <c r="L386" s="91" t="str">
        <f>IF(AND(ISNUMBER('15_STOCK'!$P386),'15_STOCK'!$P386&gt;0),'15_STOCK'!$P386+ROW()/1000000,"")</f>
        <v/>
      </c>
      <c r="M386" s="91" t="str">
        <f>IFERROR(MATCH('15_STOCK'!$N386,{"INCONSISTENTE","AGOTADO","CRÍTICO","BAJO","SOBRESTOCK"},0)*100000+MIN(99,INT(IF(N('15_STOCK'!$K386)&gt;0,MAX(0,N('15_STOCK'!$J386))/'15_STOCK'!$K386,0)*10))*1000+ROW(),"")</f>
        <v/>
      </c>
      <c r="N386" s="91" t="str">
        <f>IF(AND(ISNUMBER(MATCH('15_STOCK'!$N386,{"AGOTADO","CRÍTICO","BAJO"},0)),'15_STOCK'!$G386="SI",OR(pdProveedor="(Todos)",pdProveedor="",'15_STOCK'!$E386=pdProveedor)),IFERROR(MATCH('15_STOCK'!$E386,tblProveedores[Proveedor],0),999)*1000000+MATCH('15_STOCK'!$N386,{"AGOTADO","CRÍTICO","BAJO"},0)*10000+ROW(),"")</f>
        <v/>
      </c>
      <c r="O386" s="92">
        <v>379</v>
      </c>
      <c r="P386" s="91" t="str">
        <f t="shared" si="23"/>
        <v/>
      </c>
      <c r="Q386" s="91" t="str">
        <f t="shared" si="24"/>
        <v/>
      </c>
      <c r="R386" s="92">
        <v>379</v>
      </c>
      <c r="S386" s="91" t="str">
        <f t="shared" si="25"/>
        <v/>
      </c>
      <c r="T386" s="91" t="str">
        <f t="shared" si="26"/>
        <v/>
      </c>
    </row>
    <row r="387" spans="12:20" x14ac:dyDescent="0.25">
      <c r="L387" s="91" t="str">
        <f>IF(AND(ISNUMBER('15_STOCK'!$P387),'15_STOCK'!$P387&gt;0),'15_STOCK'!$P387+ROW()/1000000,"")</f>
        <v/>
      </c>
      <c r="M387" s="91" t="str">
        <f>IFERROR(MATCH('15_STOCK'!$N387,{"INCONSISTENTE","AGOTADO","CRÍTICO","BAJO","SOBRESTOCK"},0)*100000+MIN(99,INT(IF(N('15_STOCK'!$K387)&gt;0,MAX(0,N('15_STOCK'!$J387))/'15_STOCK'!$K387,0)*10))*1000+ROW(),"")</f>
        <v/>
      </c>
      <c r="N387" s="91" t="str">
        <f>IF(AND(ISNUMBER(MATCH('15_STOCK'!$N387,{"AGOTADO","CRÍTICO","BAJO"},0)),'15_STOCK'!$G387="SI",OR(pdProveedor="(Todos)",pdProveedor="",'15_STOCK'!$E387=pdProveedor)),IFERROR(MATCH('15_STOCK'!$E387,tblProveedores[Proveedor],0),999)*1000000+MATCH('15_STOCK'!$N387,{"AGOTADO","CRÍTICO","BAJO"},0)*10000+ROW(),"")</f>
        <v/>
      </c>
      <c r="O387" s="92">
        <v>380</v>
      </c>
      <c r="P387" s="91" t="str">
        <f t="shared" si="23"/>
        <v/>
      </c>
      <c r="Q387" s="91" t="str">
        <f t="shared" si="24"/>
        <v/>
      </c>
      <c r="R387" s="92">
        <v>380</v>
      </c>
      <c r="S387" s="91" t="str">
        <f t="shared" si="25"/>
        <v/>
      </c>
      <c r="T387" s="91" t="str">
        <f t="shared" si="26"/>
        <v/>
      </c>
    </row>
    <row r="388" spans="12:20" x14ac:dyDescent="0.25">
      <c r="L388" s="91" t="str">
        <f>IF(AND(ISNUMBER('15_STOCK'!$P388),'15_STOCK'!$P388&gt;0),'15_STOCK'!$P388+ROW()/1000000,"")</f>
        <v/>
      </c>
      <c r="M388" s="91" t="str">
        <f>IFERROR(MATCH('15_STOCK'!$N388,{"INCONSISTENTE","AGOTADO","CRÍTICO","BAJO","SOBRESTOCK"},0)*100000+MIN(99,INT(IF(N('15_STOCK'!$K388)&gt;0,MAX(0,N('15_STOCK'!$J388))/'15_STOCK'!$K388,0)*10))*1000+ROW(),"")</f>
        <v/>
      </c>
      <c r="N388" s="91" t="str">
        <f>IF(AND(ISNUMBER(MATCH('15_STOCK'!$N388,{"AGOTADO","CRÍTICO","BAJO"},0)),'15_STOCK'!$G388="SI",OR(pdProveedor="(Todos)",pdProveedor="",'15_STOCK'!$E388=pdProveedor)),IFERROR(MATCH('15_STOCK'!$E388,tblProveedores[Proveedor],0),999)*1000000+MATCH('15_STOCK'!$N388,{"AGOTADO","CRÍTICO","BAJO"},0)*10000+ROW(),"")</f>
        <v/>
      </c>
      <c r="O388" s="92">
        <v>381</v>
      </c>
      <c r="P388" s="91" t="str">
        <f t="shared" si="23"/>
        <v/>
      </c>
      <c r="Q388" s="91" t="str">
        <f t="shared" si="24"/>
        <v/>
      </c>
      <c r="R388" s="92">
        <v>381</v>
      </c>
      <c r="S388" s="91" t="str">
        <f t="shared" si="25"/>
        <v/>
      </c>
      <c r="T388" s="91" t="str">
        <f t="shared" si="26"/>
        <v/>
      </c>
    </row>
    <row r="389" spans="12:20" x14ac:dyDescent="0.25">
      <c r="L389" s="91" t="str">
        <f>IF(AND(ISNUMBER('15_STOCK'!$P389),'15_STOCK'!$P389&gt;0),'15_STOCK'!$P389+ROW()/1000000,"")</f>
        <v/>
      </c>
      <c r="M389" s="91" t="str">
        <f>IFERROR(MATCH('15_STOCK'!$N389,{"INCONSISTENTE","AGOTADO","CRÍTICO","BAJO","SOBRESTOCK"},0)*100000+MIN(99,INT(IF(N('15_STOCK'!$K389)&gt;0,MAX(0,N('15_STOCK'!$J389))/'15_STOCK'!$K389,0)*10))*1000+ROW(),"")</f>
        <v/>
      </c>
      <c r="N389" s="91" t="str">
        <f>IF(AND(ISNUMBER(MATCH('15_STOCK'!$N389,{"AGOTADO","CRÍTICO","BAJO"},0)),'15_STOCK'!$G389="SI",OR(pdProveedor="(Todos)",pdProveedor="",'15_STOCK'!$E389=pdProveedor)),IFERROR(MATCH('15_STOCK'!$E389,tblProveedores[Proveedor],0),999)*1000000+MATCH('15_STOCK'!$N389,{"AGOTADO","CRÍTICO","BAJO"},0)*10000+ROW(),"")</f>
        <v/>
      </c>
      <c r="O389" s="92">
        <v>382</v>
      </c>
      <c r="P389" s="91" t="str">
        <f t="shared" si="23"/>
        <v/>
      </c>
      <c r="Q389" s="91" t="str">
        <f t="shared" si="24"/>
        <v/>
      </c>
      <c r="R389" s="92">
        <v>382</v>
      </c>
      <c r="S389" s="91" t="str">
        <f t="shared" si="25"/>
        <v/>
      </c>
      <c r="T389" s="91" t="str">
        <f t="shared" si="26"/>
        <v/>
      </c>
    </row>
    <row r="390" spans="12:20" x14ac:dyDescent="0.25">
      <c r="L390" s="91" t="str">
        <f>IF(AND(ISNUMBER('15_STOCK'!$P390),'15_STOCK'!$P390&gt;0),'15_STOCK'!$P390+ROW()/1000000,"")</f>
        <v/>
      </c>
      <c r="M390" s="91" t="str">
        <f>IFERROR(MATCH('15_STOCK'!$N390,{"INCONSISTENTE","AGOTADO","CRÍTICO","BAJO","SOBRESTOCK"},0)*100000+MIN(99,INT(IF(N('15_STOCK'!$K390)&gt;0,MAX(0,N('15_STOCK'!$J390))/'15_STOCK'!$K390,0)*10))*1000+ROW(),"")</f>
        <v/>
      </c>
      <c r="N390" s="91" t="str">
        <f>IF(AND(ISNUMBER(MATCH('15_STOCK'!$N390,{"AGOTADO","CRÍTICO","BAJO"},0)),'15_STOCK'!$G390="SI",OR(pdProveedor="(Todos)",pdProveedor="",'15_STOCK'!$E390=pdProveedor)),IFERROR(MATCH('15_STOCK'!$E390,tblProveedores[Proveedor],0),999)*1000000+MATCH('15_STOCK'!$N390,{"AGOTADO","CRÍTICO","BAJO"},0)*10000+ROW(),"")</f>
        <v/>
      </c>
      <c r="O390" s="92">
        <v>383</v>
      </c>
      <c r="P390" s="91" t="str">
        <f t="shared" si="23"/>
        <v/>
      </c>
      <c r="Q390" s="91" t="str">
        <f t="shared" si="24"/>
        <v/>
      </c>
      <c r="R390" s="92">
        <v>383</v>
      </c>
      <c r="S390" s="91" t="str">
        <f t="shared" si="25"/>
        <v/>
      </c>
      <c r="T390" s="91" t="str">
        <f t="shared" si="26"/>
        <v/>
      </c>
    </row>
    <row r="391" spans="12:20" x14ac:dyDescent="0.25">
      <c r="L391" s="91" t="str">
        <f>IF(AND(ISNUMBER('15_STOCK'!$P391),'15_STOCK'!$P391&gt;0),'15_STOCK'!$P391+ROW()/1000000,"")</f>
        <v/>
      </c>
      <c r="M391" s="91" t="str">
        <f>IFERROR(MATCH('15_STOCK'!$N391,{"INCONSISTENTE","AGOTADO","CRÍTICO","BAJO","SOBRESTOCK"},0)*100000+MIN(99,INT(IF(N('15_STOCK'!$K391)&gt;0,MAX(0,N('15_STOCK'!$J391))/'15_STOCK'!$K391,0)*10))*1000+ROW(),"")</f>
        <v/>
      </c>
      <c r="N391" s="91" t="str">
        <f>IF(AND(ISNUMBER(MATCH('15_STOCK'!$N391,{"AGOTADO","CRÍTICO","BAJO"},0)),'15_STOCK'!$G391="SI",OR(pdProveedor="(Todos)",pdProveedor="",'15_STOCK'!$E391=pdProveedor)),IFERROR(MATCH('15_STOCK'!$E391,tblProveedores[Proveedor],0),999)*1000000+MATCH('15_STOCK'!$N391,{"AGOTADO","CRÍTICO","BAJO"},0)*10000+ROW(),"")</f>
        <v/>
      </c>
      <c r="O391" s="92">
        <v>384</v>
      </c>
      <c r="P391" s="91" t="str">
        <f t="shared" si="23"/>
        <v/>
      </c>
      <c r="Q391" s="91" t="str">
        <f t="shared" si="24"/>
        <v/>
      </c>
      <c r="R391" s="92">
        <v>384</v>
      </c>
      <c r="S391" s="91" t="str">
        <f t="shared" si="25"/>
        <v/>
      </c>
      <c r="T391" s="91" t="str">
        <f t="shared" si="26"/>
        <v/>
      </c>
    </row>
    <row r="392" spans="12:20" x14ac:dyDescent="0.25">
      <c r="L392" s="91" t="str">
        <f>IF(AND(ISNUMBER('15_STOCK'!$P392),'15_STOCK'!$P392&gt;0),'15_STOCK'!$P392+ROW()/1000000,"")</f>
        <v/>
      </c>
      <c r="M392" s="91" t="str">
        <f>IFERROR(MATCH('15_STOCK'!$N392,{"INCONSISTENTE","AGOTADO","CRÍTICO","BAJO","SOBRESTOCK"},0)*100000+MIN(99,INT(IF(N('15_STOCK'!$K392)&gt;0,MAX(0,N('15_STOCK'!$J392))/'15_STOCK'!$K392,0)*10))*1000+ROW(),"")</f>
        <v/>
      </c>
      <c r="N392" s="91" t="str">
        <f>IF(AND(ISNUMBER(MATCH('15_STOCK'!$N392,{"AGOTADO","CRÍTICO","BAJO"},0)),'15_STOCK'!$G392="SI",OR(pdProveedor="(Todos)",pdProveedor="",'15_STOCK'!$E392=pdProveedor)),IFERROR(MATCH('15_STOCK'!$E392,tblProveedores[Proveedor],0),999)*1000000+MATCH('15_STOCK'!$N392,{"AGOTADO","CRÍTICO","BAJO"},0)*10000+ROW(),"")</f>
        <v/>
      </c>
      <c r="O392" s="92">
        <v>385</v>
      </c>
      <c r="P392" s="91" t="str">
        <f t="shared" ref="P392:P455" si="27">IFERROR(SMALL($M$8:$M$507,O392),"")</f>
        <v/>
      </c>
      <c r="Q392" s="91" t="str">
        <f t="shared" ref="Q392:Q455" si="28">IF(P392="","",MATCH(P392,$M$8:$M$507,0))</f>
        <v/>
      </c>
      <c r="R392" s="92">
        <v>385</v>
      </c>
      <c r="S392" s="91" t="str">
        <f t="shared" ref="S392:S455" si="29">IFERROR(SMALL($N$8:$N$507,R392),"")</f>
        <v/>
      </c>
      <c r="T392" s="91" t="str">
        <f t="shared" ref="T392:T455" si="30">IF(S392="","",MATCH(S392,$N$8:$N$507,0))</f>
        <v/>
      </c>
    </row>
    <row r="393" spans="12:20" x14ac:dyDescent="0.25">
      <c r="L393" s="91" t="str">
        <f>IF(AND(ISNUMBER('15_STOCK'!$P393),'15_STOCK'!$P393&gt;0),'15_STOCK'!$P393+ROW()/1000000,"")</f>
        <v/>
      </c>
      <c r="M393" s="91" t="str">
        <f>IFERROR(MATCH('15_STOCK'!$N393,{"INCONSISTENTE","AGOTADO","CRÍTICO","BAJO","SOBRESTOCK"},0)*100000+MIN(99,INT(IF(N('15_STOCK'!$K393)&gt;0,MAX(0,N('15_STOCK'!$J393))/'15_STOCK'!$K393,0)*10))*1000+ROW(),"")</f>
        <v/>
      </c>
      <c r="N393" s="91" t="str">
        <f>IF(AND(ISNUMBER(MATCH('15_STOCK'!$N393,{"AGOTADO","CRÍTICO","BAJO"},0)),'15_STOCK'!$G393="SI",OR(pdProveedor="(Todos)",pdProveedor="",'15_STOCK'!$E393=pdProveedor)),IFERROR(MATCH('15_STOCK'!$E393,tblProveedores[Proveedor],0),999)*1000000+MATCH('15_STOCK'!$N393,{"AGOTADO","CRÍTICO","BAJO"},0)*10000+ROW(),"")</f>
        <v/>
      </c>
      <c r="O393" s="92">
        <v>386</v>
      </c>
      <c r="P393" s="91" t="str">
        <f t="shared" si="27"/>
        <v/>
      </c>
      <c r="Q393" s="91" t="str">
        <f t="shared" si="28"/>
        <v/>
      </c>
      <c r="R393" s="92">
        <v>386</v>
      </c>
      <c r="S393" s="91" t="str">
        <f t="shared" si="29"/>
        <v/>
      </c>
      <c r="T393" s="91" t="str">
        <f t="shared" si="30"/>
        <v/>
      </c>
    </row>
    <row r="394" spans="12:20" x14ac:dyDescent="0.25">
      <c r="L394" s="91" t="str">
        <f>IF(AND(ISNUMBER('15_STOCK'!$P394),'15_STOCK'!$P394&gt;0),'15_STOCK'!$P394+ROW()/1000000,"")</f>
        <v/>
      </c>
      <c r="M394" s="91" t="str">
        <f>IFERROR(MATCH('15_STOCK'!$N394,{"INCONSISTENTE","AGOTADO","CRÍTICO","BAJO","SOBRESTOCK"},0)*100000+MIN(99,INT(IF(N('15_STOCK'!$K394)&gt;0,MAX(0,N('15_STOCK'!$J394))/'15_STOCK'!$K394,0)*10))*1000+ROW(),"")</f>
        <v/>
      </c>
      <c r="N394" s="91" t="str">
        <f>IF(AND(ISNUMBER(MATCH('15_STOCK'!$N394,{"AGOTADO","CRÍTICO","BAJO"},0)),'15_STOCK'!$G394="SI",OR(pdProveedor="(Todos)",pdProveedor="",'15_STOCK'!$E394=pdProveedor)),IFERROR(MATCH('15_STOCK'!$E394,tblProveedores[Proveedor],0),999)*1000000+MATCH('15_STOCK'!$N394,{"AGOTADO","CRÍTICO","BAJO"},0)*10000+ROW(),"")</f>
        <v/>
      </c>
      <c r="O394" s="92">
        <v>387</v>
      </c>
      <c r="P394" s="91" t="str">
        <f t="shared" si="27"/>
        <v/>
      </c>
      <c r="Q394" s="91" t="str">
        <f t="shared" si="28"/>
        <v/>
      </c>
      <c r="R394" s="92">
        <v>387</v>
      </c>
      <c r="S394" s="91" t="str">
        <f t="shared" si="29"/>
        <v/>
      </c>
      <c r="T394" s="91" t="str">
        <f t="shared" si="30"/>
        <v/>
      </c>
    </row>
    <row r="395" spans="12:20" x14ac:dyDescent="0.25">
      <c r="L395" s="91" t="str">
        <f>IF(AND(ISNUMBER('15_STOCK'!$P395),'15_STOCK'!$P395&gt;0),'15_STOCK'!$P395+ROW()/1000000,"")</f>
        <v/>
      </c>
      <c r="M395" s="91" t="str">
        <f>IFERROR(MATCH('15_STOCK'!$N395,{"INCONSISTENTE","AGOTADO","CRÍTICO","BAJO","SOBRESTOCK"},0)*100000+MIN(99,INT(IF(N('15_STOCK'!$K395)&gt;0,MAX(0,N('15_STOCK'!$J395))/'15_STOCK'!$K395,0)*10))*1000+ROW(),"")</f>
        <v/>
      </c>
      <c r="N395" s="91" t="str">
        <f>IF(AND(ISNUMBER(MATCH('15_STOCK'!$N395,{"AGOTADO","CRÍTICO","BAJO"},0)),'15_STOCK'!$G395="SI",OR(pdProveedor="(Todos)",pdProveedor="",'15_STOCK'!$E395=pdProveedor)),IFERROR(MATCH('15_STOCK'!$E395,tblProveedores[Proveedor],0),999)*1000000+MATCH('15_STOCK'!$N395,{"AGOTADO","CRÍTICO","BAJO"},0)*10000+ROW(),"")</f>
        <v/>
      </c>
      <c r="O395" s="92">
        <v>388</v>
      </c>
      <c r="P395" s="91" t="str">
        <f t="shared" si="27"/>
        <v/>
      </c>
      <c r="Q395" s="91" t="str">
        <f t="shared" si="28"/>
        <v/>
      </c>
      <c r="R395" s="92">
        <v>388</v>
      </c>
      <c r="S395" s="91" t="str">
        <f t="shared" si="29"/>
        <v/>
      </c>
      <c r="T395" s="91" t="str">
        <f t="shared" si="30"/>
        <v/>
      </c>
    </row>
    <row r="396" spans="12:20" x14ac:dyDescent="0.25">
      <c r="L396" s="91" t="str">
        <f>IF(AND(ISNUMBER('15_STOCK'!$P396),'15_STOCK'!$P396&gt;0),'15_STOCK'!$P396+ROW()/1000000,"")</f>
        <v/>
      </c>
      <c r="M396" s="91" t="str">
        <f>IFERROR(MATCH('15_STOCK'!$N396,{"INCONSISTENTE","AGOTADO","CRÍTICO","BAJO","SOBRESTOCK"},0)*100000+MIN(99,INT(IF(N('15_STOCK'!$K396)&gt;0,MAX(0,N('15_STOCK'!$J396))/'15_STOCK'!$K396,0)*10))*1000+ROW(),"")</f>
        <v/>
      </c>
      <c r="N396" s="91" t="str">
        <f>IF(AND(ISNUMBER(MATCH('15_STOCK'!$N396,{"AGOTADO","CRÍTICO","BAJO"},0)),'15_STOCK'!$G396="SI",OR(pdProveedor="(Todos)",pdProveedor="",'15_STOCK'!$E396=pdProveedor)),IFERROR(MATCH('15_STOCK'!$E396,tblProveedores[Proveedor],0),999)*1000000+MATCH('15_STOCK'!$N396,{"AGOTADO","CRÍTICO","BAJO"},0)*10000+ROW(),"")</f>
        <v/>
      </c>
      <c r="O396" s="92">
        <v>389</v>
      </c>
      <c r="P396" s="91" t="str">
        <f t="shared" si="27"/>
        <v/>
      </c>
      <c r="Q396" s="91" t="str">
        <f t="shared" si="28"/>
        <v/>
      </c>
      <c r="R396" s="92">
        <v>389</v>
      </c>
      <c r="S396" s="91" t="str">
        <f t="shared" si="29"/>
        <v/>
      </c>
      <c r="T396" s="91" t="str">
        <f t="shared" si="30"/>
        <v/>
      </c>
    </row>
    <row r="397" spans="12:20" x14ac:dyDescent="0.25">
      <c r="L397" s="91" t="str">
        <f>IF(AND(ISNUMBER('15_STOCK'!$P397),'15_STOCK'!$P397&gt;0),'15_STOCK'!$P397+ROW()/1000000,"")</f>
        <v/>
      </c>
      <c r="M397" s="91" t="str">
        <f>IFERROR(MATCH('15_STOCK'!$N397,{"INCONSISTENTE","AGOTADO","CRÍTICO","BAJO","SOBRESTOCK"},0)*100000+MIN(99,INT(IF(N('15_STOCK'!$K397)&gt;0,MAX(0,N('15_STOCK'!$J397))/'15_STOCK'!$K397,0)*10))*1000+ROW(),"")</f>
        <v/>
      </c>
      <c r="N397" s="91" t="str">
        <f>IF(AND(ISNUMBER(MATCH('15_STOCK'!$N397,{"AGOTADO","CRÍTICO","BAJO"},0)),'15_STOCK'!$G397="SI",OR(pdProveedor="(Todos)",pdProveedor="",'15_STOCK'!$E397=pdProveedor)),IFERROR(MATCH('15_STOCK'!$E397,tblProveedores[Proveedor],0),999)*1000000+MATCH('15_STOCK'!$N397,{"AGOTADO","CRÍTICO","BAJO"},0)*10000+ROW(),"")</f>
        <v/>
      </c>
      <c r="O397" s="92">
        <v>390</v>
      </c>
      <c r="P397" s="91" t="str">
        <f t="shared" si="27"/>
        <v/>
      </c>
      <c r="Q397" s="91" t="str">
        <f t="shared" si="28"/>
        <v/>
      </c>
      <c r="R397" s="92">
        <v>390</v>
      </c>
      <c r="S397" s="91" t="str">
        <f t="shared" si="29"/>
        <v/>
      </c>
      <c r="T397" s="91" t="str">
        <f t="shared" si="30"/>
        <v/>
      </c>
    </row>
    <row r="398" spans="12:20" x14ac:dyDescent="0.25">
      <c r="L398" s="91" t="str">
        <f>IF(AND(ISNUMBER('15_STOCK'!$P398),'15_STOCK'!$P398&gt;0),'15_STOCK'!$P398+ROW()/1000000,"")</f>
        <v/>
      </c>
      <c r="M398" s="91" t="str">
        <f>IFERROR(MATCH('15_STOCK'!$N398,{"INCONSISTENTE","AGOTADO","CRÍTICO","BAJO","SOBRESTOCK"},0)*100000+MIN(99,INT(IF(N('15_STOCK'!$K398)&gt;0,MAX(0,N('15_STOCK'!$J398))/'15_STOCK'!$K398,0)*10))*1000+ROW(),"")</f>
        <v/>
      </c>
      <c r="N398" s="91" t="str">
        <f>IF(AND(ISNUMBER(MATCH('15_STOCK'!$N398,{"AGOTADO","CRÍTICO","BAJO"},0)),'15_STOCK'!$G398="SI",OR(pdProveedor="(Todos)",pdProveedor="",'15_STOCK'!$E398=pdProveedor)),IFERROR(MATCH('15_STOCK'!$E398,tblProveedores[Proveedor],0),999)*1000000+MATCH('15_STOCK'!$N398,{"AGOTADO","CRÍTICO","BAJO"},0)*10000+ROW(),"")</f>
        <v/>
      </c>
      <c r="O398" s="92">
        <v>391</v>
      </c>
      <c r="P398" s="91" t="str">
        <f t="shared" si="27"/>
        <v/>
      </c>
      <c r="Q398" s="91" t="str">
        <f t="shared" si="28"/>
        <v/>
      </c>
      <c r="R398" s="92">
        <v>391</v>
      </c>
      <c r="S398" s="91" t="str">
        <f t="shared" si="29"/>
        <v/>
      </c>
      <c r="T398" s="91" t="str">
        <f t="shared" si="30"/>
        <v/>
      </c>
    </row>
    <row r="399" spans="12:20" x14ac:dyDescent="0.25">
      <c r="L399" s="91" t="str">
        <f>IF(AND(ISNUMBER('15_STOCK'!$P399),'15_STOCK'!$P399&gt;0),'15_STOCK'!$P399+ROW()/1000000,"")</f>
        <v/>
      </c>
      <c r="M399" s="91" t="str">
        <f>IFERROR(MATCH('15_STOCK'!$N399,{"INCONSISTENTE","AGOTADO","CRÍTICO","BAJO","SOBRESTOCK"},0)*100000+MIN(99,INT(IF(N('15_STOCK'!$K399)&gt;0,MAX(0,N('15_STOCK'!$J399))/'15_STOCK'!$K399,0)*10))*1000+ROW(),"")</f>
        <v/>
      </c>
      <c r="N399" s="91" t="str">
        <f>IF(AND(ISNUMBER(MATCH('15_STOCK'!$N399,{"AGOTADO","CRÍTICO","BAJO"},0)),'15_STOCK'!$G399="SI",OR(pdProveedor="(Todos)",pdProveedor="",'15_STOCK'!$E399=pdProveedor)),IFERROR(MATCH('15_STOCK'!$E399,tblProveedores[Proveedor],0),999)*1000000+MATCH('15_STOCK'!$N399,{"AGOTADO","CRÍTICO","BAJO"},0)*10000+ROW(),"")</f>
        <v/>
      </c>
      <c r="O399" s="92">
        <v>392</v>
      </c>
      <c r="P399" s="91" t="str">
        <f t="shared" si="27"/>
        <v/>
      </c>
      <c r="Q399" s="91" t="str">
        <f t="shared" si="28"/>
        <v/>
      </c>
      <c r="R399" s="92">
        <v>392</v>
      </c>
      <c r="S399" s="91" t="str">
        <f t="shared" si="29"/>
        <v/>
      </c>
      <c r="T399" s="91" t="str">
        <f t="shared" si="30"/>
        <v/>
      </c>
    </row>
    <row r="400" spans="12:20" x14ac:dyDescent="0.25">
      <c r="L400" s="91" t="str">
        <f>IF(AND(ISNUMBER('15_STOCK'!$P400),'15_STOCK'!$P400&gt;0),'15_STOCK'!$P400+ROW()/1000000,"")</f>
        <v/>
      </c>
      <c r="M400" s="91" t="str">
        <f>IFERROR(MATCH('15_STOCK'!$N400,{"INCONSISTENTE","AGOTADO","CRÍTICO","BAJO","SOBRESTOCK"},0)*100000+MIN(99,INT(IF(N('15_STOCK'!$K400)&gt;0,MAX(0,N('15_STOCK'!$J400))/'15_STOCK'!$K400,0)*10))*1000+ROW(),"")</f>
        <v/>
      </c>
      <c r="N400" s="91" t="str">
        <f>IF(AND(ISNUMBER(MATCH('15_STOCK'!$N400,{"AGOTADO","CRÍTICO","BAJO"},0)),'15_STOCK'!$G400="SI",OR(pdProveedor="(Todos)",pdProveedor="",'15_STOCK'!$E400=pdProveedor)),IFERROR(MATCH('15_STOCK'!$E400,tblProveedores[Proveedor],0),999)*1000000+MATCH('15_STOCK'!$N400,{"AGOTADO","CRÍTICO","BAJO"},0)*10000+ROW(),"")</f>
        <v/>
      </c>
      <c r="O400" s="92">
        <v>393</v>
      </c>
      <c r="P400" s="91" t="str">
        <f t="shared" si="27"/>
        <v/>
      </c>
      <c r="Q400" s="91" t="str">
        <f t="shared" si="28"/>
        <v/>
      </c>
      <c r="R400" s="92">
        <v>393</v>
      </c>
      <c r="S400" s="91" t="str">
        <f t="shared" si="29"/>
        <v/>
      </c>
      <c r="T400" s="91" t="str">
        <f t="shared" si="30"/>
        <v/>
      </c>
    </row>
    <row r="401" spans="12:20" x14ac:dyDescent="0.25">
      <c r="L401" s="91" t="str">
        <f>IF(AND(ISNUMBER('15_STOCK'!$P401),'15_STOCK'!$P401&gt;0),'15_STOCK'!$P401+ROW()/1000000,"")</f>
        <v/>
      </c>
      <c r="M401" s="91" t="str">
        <f>IFERROR(MATCH('15_STOCK'!$N401,{"INCONSISTENTE","AGOTADO","CRÍTICO","BAJO","SOBRESTOCK"},0)*100000+MIN(99,INT(IF(N('15_STOCK'!$K401)&gt;0,MAX(0,N('15_STOCK'!$J401))/'15_STOCK'!$K401,0)*10))*1000+ROW(),"")</f>
        <v/>
      </c>
      <c r="N401" s="91" t="str">
        <f>IF(AND(ISNUMBER(MATCH('15_STOCK'!$N401,{"AGOTADO","CRÍTICO","BAJO"},0)),'15_STOCK'!$G401="SI",OR(pdProveedor="(Todos)",pdProveedor="",'15_STOCK'!$E401=pdProveedor)),IFERROR(MATCH('15_STOCK'!$E401,tblProveedores[Proveedor],0),999)*1000000+MATCH('15_STOCK'!$N401,{"AGOTADO","CRÍTICO","BAJO"},0)*10000+ROW(),"")</f>
        <v/>
      </c>
      <c r="O401" s="92">
        <v>394</v>
      </c>
      <c r="P401" s="91" t="str">
        <f t="shared" si="27"/>
        <v/>
      </c>
      <c r="Q401" s="91" t="str">
        <f t="shared" si="28"/>
        <v/>
      </c>
      <c r="R401" s="92">
        <v>394</v>
      </c>
      <c r="S401" s="91" t="str">
        <f t="shared" si="29"/>
        <v/>
      </c>
      <c r="T401" s="91" t="str">
        <f t="shared" si="30"/>
        <v/>
      </c>
    </row>
    <row r="402" spans="12:20" x14ac:dyDescent="0.25">
      <c r="L402" s="91" t="str">
        <f>IF(AND(ISNUMBER('15_STOCK'!$P402),'15_STOCK'!$P402&gt;0),'15_STOCK'!$P402+ROW()/1000000,"")</f>
        <v/>
      </c>
      <c r="M402" s="91" t="str">
        <f>IFERROR(MATCH('15_STOCK'!$N402,{"INCONSISTENTE","AGOTADO","CRÍTICO","BAJO","SOBRESTOCK"},0)*100000+MIN(99,INT(IF(N('15_STOCK'!$K402)&gt;0,MAX(0,N('15_STOCK'!$J402))/'15_STOCK'!$K402,0)*10))*1000+ROW(),"")</f>
        <v/>
      </c>
      <c r="N402" s="91" t="str">
        <f>IF(AND(ISNUMBER(MATCH('15_STOCK'!$N402,{"AGOTADO","CRÍTICO","BAJO"},0)),'15_STOCK'!$G402="SI",OR(pdProveedor="(Todos)",pdProveedor="",'15_STOCK'!$E402=pdProveedor)),IFERROR(MATCH('15_STOCK'!$E402,tblProveedores[Proveedor],0),999)*1000000+MATCH('15_STOCK'!$N402,{"AGOTADO","CRÍTICO","BAJO"},0)*10000+ROW(),"")</f>
        <v/>
      </c>
      <c r="O402" s="92">
        <v>395</v>
      </c>
      <c r="P402" s="91" t="str">
        <f t="shared" si="27"/>
        <v/>
      </c>
      <c r="Q402" s="91" t="str">
        <f t="shared" si="28"/>
        <v/>
      </c>
      <c r="R402" s="92">
        <v>395</v>
      </c>
      <c r="S402" s="91" t="str">
        <f t="shared" si="29"/>
        <v/>
      </c>
      <c r="T402" s="91" t="str">
        <f t="shared" si="30"/>
        <v/>
      </c>
    </row>
    <row r="403" spans="12:20" x14ac:dyDescent="0.25">
      <c r="L403" s="91" t="str">
        <f>IF(AND(ISNUMBER('15_STOCK'!$P403),'15_STOCK'!$P403&gt;0),'15_STOCK'!$P403+ROW()/1000000,"")</f>
        <v/>
      </c>
      <c r="M403" s="91" t="str">
        <f>IFERROR(MATCH('15_STOCK'!$N403,{"INCONSISTENTE","AGOTADO","CRÍTICO","BAJO","SOBRESTOCK"},0)*100000+MIN(99,INT(IF(N('15_STOCK'!$K403)&gt;0,MAX(0,N('15_STOCK'!$J403))/'15_STOCK'!$K403,0)*10))*1000+ROW(),"")</f>
        <v/>
      </c>
      <c r="N403" s="91" t="str">
        <f>IF(AND(ISNUMBER(MATCH('15_STOCK'!$N403,{"AGOTADO","CRÍTICO","BAJO"},0)),'15_STOCK'!$G403="SI",OR(pdProveedor="(Todos)",pdProveedor="",'15_STOCK'!$E403=pdProveedor)),IFERROR(MATCH('15_STOCK'!$E403,tblProveedores[Proveedor],0),999)*1000000+MATCH('15_STOCK'!$N403,{"AGOTADO","CRÍTICO","BAJO"},0)*10000+ROW(),"")</f>
        <v/>
      </c>
      <c r="O403" s="92">
        <v>396</v>
      </c>
      <c r="P403" s="91" t="str">
        <f t="shared" si="27"/>
        <v/>
      </c>
      <c r="Q403" s="91" t="str">
        <f t="shared" si="28"/>
        <v/>
      </c>
      <c r="R403" s="92">
        <v>396</v>
      </c>
      <c r="S403" s="91" t="str">
        <f t="shared" si="29"/>
        <v/>
      </c>
      <c r="T403" s="91" t="str">
        <f t="shared" si="30"/>
        <v/>
      </c>
    </row>
    <row r="404" spans="12:20" x14ac:dyDescent="0.25">
      <c r="L404" s="91" t="str">
        <f>IF(AND(ISNUMBER('15_STOCK'!$P404),'15_STOCK'!$P404&gt;0),'15_STOCK'!$P404+ROW()/1000000,"")</f>
        <v/>
      </c>
      <c r="M404" s="91" t="str">
        <f>IFERROR(MATCH('15_STOCK'!$N404,{"INCONSISTENTE","AGOTADO","CRÍTICO","BAJO","SOBRESTOCK"},0)*100000+MIN(99,INT(IF(N('15_STOCK'!$K404)&gt;0,MAX(0,N('15_STOCK'!$J404))/'15_STOCK'!$K404,0)*10))*1000+ROW(),"")</f>
        <v/>
      </c>
      <c r="N404" s="91" t="str">
        <f>IF(AND(ISNUMBER(MATCH('15_STOCK'!$N404,{"AGOTADO","CRÍTICO","BAJO"},0)),'15_STOCK'!$G404="SI",OR(pdProveedor="(Todos)",pdProveedor="",'15_STOCK'!$E404=pdProveedor)),IFERROR(MATCH('15_STOCK'!$E404,tblProveedores[Proveedor],0),999)*1000000+MATCH('15_STOCK'!$N404,{"AGOTADO","CRÍTICO","BAJO"},0)*10000+ROW(),"")</f>
        <v/>
      </c>
      <c r="O404" s="92">
        <v>397</v>
      </c>
      <c r="P404" s="91" t="str">
        <f t="shared" si="27"/>
        <v/>
      </c>
      <c r="Q404" s="91" t="str">
        <f t="shared" si="28"/>
        <v/>
      </c>
      <c r="R404" s="92">
        <v>397</v>
      </c>
      <c r="S404" s="91" t="str">
        <f t="shared" si="29"/>
        <v/>
      </c>
      <c r="T404" s="91" t="str">
        <f t="shared" si="30"/>
        <v/>
      </c>
    </row>
    <row r="405" spans="12:20" x14ac:dyDescent="0.25">
      <c r="L405" s="91" t="str">
        <f>IF(AND(ISNUMBER('15_STOCK'!$P405),'15_STOCK'!$P405&gt;0),'15_STOCK'!$P405+ROW()/1000000,"")</f>
        <v/>
      </c>
      <c r="M405" s="91" t="str">
        <f>IFERROR(MATCH('15_STOCK'!$N405,{"INCONSISTENTE","AGOTADO","CRÍTICO","BAJO","SOBRESTOCK"},0)*100000+MIN(99,INT(IF(N('15_STOCK'!$K405)&gt;0,MAX(0,N('15_STOCK'!$J405))/'15_STOCK'!$K405,0)*10))*1000+ROW(),"")</f>
        <v/>
      </c>
      <c r="N405" s="91" t="str">
        <f>IF(AND(ISNUMBER(MATCH('15_STOCK'!$N405,{"AGOTADO","CRÍTICO","BAJO"},0)),'15_STOCK'!$G405="SI",OR(pdProveedor="(Todos)",pdProveedor="",'15_STOCK'!$E405=pdProveedor)),IFERROR(MATCH('15_STOCK'!$E405,tblProveedores[Proveedor],0),999)*1000000+MATCH('15_STOCK'!$N405,{"AGOTADO","CRÍTICO","BAJO"},0)*10000+ROW(),"")</f>
        <v/>
      </c>
      <c r="O405" s="92">
        <v>398</v>
      </c>
      <c r="P405" s="91" t="str">
        <f t="shared" si="27"/>
        <v/>
      </c>
      <c r="Q405" s="91" t="str">
        <f t="shared" si="28"/>
        <v/>
      </c>
      <c r="R405" s="92">
        <v>398</v>
      </c>
      <c r="S405" s="91" t="str">
        <f t="shared" si="29"/>
        <v/>
      </c>
      <c r="T405" s="91" t="str">
        <f t="shared" si="30"/>
        <v/>
      </c>
    </row>
    <row r="406" spans="12:20" x14ac:dyDescent="0.25">
      <c r="L406" s="91" t="str">
        <f>IF(AND(ISNUMBER('15_STOCK'!$P406),'15_STOCK'!$P406&gt;0),'15_STOCK'!$P406+ROW()/1000000,"")</f>
        <v/>
      </c>
      <c r="M406" s="91" t="str">
        <f>IFERROR(MATCH('15_STOCK'!$N406,{"INCONSISTENTE","AGOTADO","CRÍTICO","BAJO","SOBRESTOCK"},0)*100000+MIN(99,INT(IF(N('15_STOCK'!$K406)&gt;0,MAX(0,N('15_STOCK'!$J406))/'15_STOCK'!$K406,0)*10))*1000+ROW(),"")</f>
        <v/>
      </c>
      <c r="N406" s="91" t="str">
        <f>IF(AND(ISNUMBER(MATCH('15_STOCK'!$N406,{"AGOTADO","CRÍTICO","BAJO"},0)),'15_STOCK'!$G406="SI",OR(pdProveedor="(Todos)",pdProveedor="",'15_STOCK'!$E406=pdProveedor)),IFERROR(MATCH('15_STOCK'!$E406,tblProveedores[Proveedor],0),999)*1000000+MATCH('15_STOCK'!$N406,{"AGOTADO","CRÍTICO","BAJO"},0)*10000+ROW(),"")</f>
        <v/>
      </c>
      <c r="O406" s="92">
        <v>399</v>
      </c>
      <c r="P406" s="91" t="str">
        <f t="shared" si="27"/>
        <v/>
      </c>
      <c r="Q406" s="91" t="str">
        <f t="shared" si="28"/>
        <v/>
      </c>
      <c r="R406" s="92">
        <v>399</v>
      </c>
      <c r="S406" s="91" t="str">
        <f t="shared" si="29"/>
        <v/>
      </c>
      <c r="T406" s="91" t="str">
        <f t="shared" si="30"/>
        <v/>
      </c>
    </row>
    <row r="407" spans="12:20" x14ac:dyDescent="0.25">
      <c r="L407" s="91" t="str">
        <f>IF(AND(ISNUMBER('15_STOCK'!$P407),'15_STOCK'!$P407&gt;0),'15_STOCK'!$P407+ROW()/1000000,"")</f>
        <v/>
      </c>
      <c r="M407" s="91" t="str">
        <f>IFERROR(MATCH('15_STOCK'!$N407,{"INCONSISTENTE","AGOTADO","CRÍTICO","BAJO","SOBRESTOCK"},0)*100000+MIN(99,INT(IF(N('15_STOCK'!$K407)&gt;0,MAX(0,N('15_STOCK'!$J407))/'15_STOCK'!$K407,0)*10))*1000+ROW(),"")</f>
        <v/>
      </c>
      <c r="N407" s="91" t="str">
        <f>IF(AND(ISNUMBER(MATCH('15_STOCK'!$N407,{"AGOTADO","CRÍTICO","BAJO"},0)),'15_STOCK'!$G407="SI",OR(pdProveedor="(Todos)",pdProveedor="",'15_STOCK'!$E407=pdProveedor)),IFERROR(MATCH('15_STOCK'!$E407,tblProveedores[Proveedor],0),999)*1000000+MATCH('15_STOCK'!$N407,{"AGOTADO","CRÍTICO","BAJO"},0)*10000+ROW(),"")</f>
        <v/>
      </c>
      <c r="O407" s="92">
        <v>400</v>
      </c>
      <c r="P407" s="91" t="str">
        <f t="shared" si="27"/>
        <v/>
      </c>
      <c r="Q407" s="91" t="str">
        <f t="shared" si="28"/>
        <v/>
      </c>
      <c r="R407" s="92">
        <v>400</v>
      </c>
      <c r="S407" s="91" t="str">
        <f t="shared" si="29"/>
        <v/>
      </c>
      <c r="T407" s="91" t="str">
        <f t="shared" si="30"/>
        <v/>
      </c>
    </row>
    <row r="408" spans="12:20" x14ac:dyDescent="0.25">
      <c r="L408" s="91" t="str">
        <f>IF(AND(ISNUMBER('15_STOCK'!$P408),'15_STOCK'!$P408&gt;0),'15_STOCK'!$P408+ROW()/1000000,"")</f>
        <v/>
      </c>
      <c r="M408" s="91" t="str">
        <f>IFERROR(MATCH('15_STOCK'!$N408,{"INCONSISTENTE","AGOTADO","CRÍTICO","BAJO","SOBRESTOCK"},0)*100000+MIN(99,INT(IF(N('15_STOCK'!$K408)&gt;0,MAX(0,N('15_STOCK'!$J408))/'15_STOCK'!$K408,0)*10))*1000+ROW(),"")</f>
        <v/>
      </c>
      <c r="N408" s="91" t="str">
        <f>IF(AND(ISNUMBER(MATCH('15_STOCK'!$N408,{"AGOTADO","CRÍTICO","BAJO"},0)),'15_STOCK'!$G408="SI",OR(pdProveedor="(Todos)",pdProveedor="",'15_STOCK'!$E408=pdProveedor)),IFERROR(MATCH('15_STOCK'!$E408,tblProveedores[Proveedor],0),999)*1000000+MATCH('15_STOCK'!$N408,{"AGOTADO","CRÍTICO","BAJO"},0)*10000+ROW(),"")</f>
        <v/>
      </c>
      <c r="O408" s="92">
        <v>401</v>
      </c>
      <c r="P408" s="91" t="str">
        <f t="shared" si="27"/>
        <v/>
      </c>
      <c r="Q408" s="91" t="str">
        <f t="shared" si="28"/>
        <v/>
      </c>
      <c r="R408" s="92">
        <v>401</v>
      </c>
      <c r="S408" s="91" t="str">
        <f t="shared" si="29"/>
        <v/>
      </c>
      <c r="T408" s="91" t="str">
        <f t="shared" si="30"/>
        <v/>
      </c>
    </row>
    <row r="409" spans="12:20" x14ac:dyDescent="0.25">
      <c r="L409" s="91" t="str">
        <f>IF(AND(ISNUMBER('15_STOCK'!$P409),'15_STOCK'!$P409&gt;0),'15_STOCK'!$P409+ROW()/1000000,"")</f>
        <v/>
      </c>
      <c r="M409" s="91" t="str">
        <f>IFERROR(MATCH('15_STOCK'!$N409,{"INCONSISTENTE","AGOTADO","CRÍTICO","BAJO","SOBRESTOCK"},0)*100000+MIN(99,INT(IF(N('15_STOCK'!$K409)&gt;0,MAX(0,N('15_STOCK'!$J409))/'15_STOCK'!$K409,0)*10))*1000+ROW(),"")</f>
        <v/>
      </c>
      <c r="N409" s="91" t="str">
        <f>IF(AND(ISNUMBER(MATCH('15_STOCK'!$N409,{"AGOTADO","CRÍTICO","BAJO"},0)),'15_STOCK'!$G409="SI",OR(pdProveedor="(Todos)",pdProveedor="",'15_STOCK'!$E409=pdProveedor)),IFERROR(MATCH('15_STOCK'!$E409,tblProveedores[Proveedor],0),999)*1000000+MATCH('15_STOCK'!$N409,{"AGOTADO","CRÍTICO","BAJO"},0)*10000+ROW(),"")</f>
        <v/>
      </c>
      <c r="O409" s="92">
        <v>402</v>
      </c>
      <c r="P409" s="91" t="str">
        <f t="shared" si="27"/>
        <v/>
      </c>
      <c r="Q409" s="91" t="str">
        <f t="shared" si="28"/>
        <v/>
      </c>
      <c r="R409" s="92">
        <v>402</v>
      </c>
      <c r="S409" s="91" t="str">
        <f t="shared" si="29"/>
        <v/>
      </c>
      <c r="T409" s="91" t="str">
        <f t="shared" si="30"/>
        <v/>
      </c>
    </row>
    <row r="410" spans="12:20" x14ac:dyDescent="0.25">
      <c r="L410" s="91" t="str">
        <f>IF(AND(ISNUMBER('15_STOCK'!$P410),'15_STOCK'!$P410&gt;0),'15_STOCK'!$P410+ROW()/1000000,"")</f>
        <v/>
      </c>
      <c r="M410" s="91" t="str">
        <f>IFERROR(MATCH('15_STOCK'!$N410,{"INCONSISTENTE","AGOTADO","CRÍTICO","BAJO","SOBRESTOCK"},0)*100000+MIN(99,INT(IF(N('15_STOCK'!$K410)&gt;0,MAX(0,N('15_STOCK'!$J410))/'15_STOCK'!$K410,0)*10))*1000+ROW(),"")</f>
        <v/>
      </c>
      <c r="N410" s="91" t="str">
        <f>IF(AND(ISNUMBER(MATCH('15_STOCK'!$N410,{"AGOTADO","CRÍTICO","BAJO"},0)),'15_STOCK'!$G410="SI",OR(pdProveedor="(Todos)",pdProveedor="",'15_STOCK'!$E410=pdProveedor)),IFERROR(MATCH('15_STOCK'!$E410,tblProveedores[Proveedor],0),999)*1000000+MATCH('15_STOCK'!$N410,{"AGOTADO","CRÍTICO","BAJO"},0)*10000+ROW(),"")</f>
        <v/>
      </c>
      <c r="O410" s="92">
        <v>403</v>
      </c>
      <c r="P410" s="91" t="str">
        <f t="shared" si="27"/>
        <v/>
      </c>
      <c r="Q410" s="91" t="str">
        <f t="shared" si="28"/>
        <v/>
      </c>
      <c r="R410" s="92">
        <v>403</v>
      </c>
      <c r="S410" s="91" t="str">
        <f t="shared" si="29"/>
        <v/>
      </c>
      <c r="T410" s="91" t="str">
        <f t="shared" si="30"/>
        <v/>
      </c>
    </row>
    <row r="411" spans="12:20" x14ac:dyDescent="0.25">
      <c r="L411" s="91" t="str">
        <f>IF(AND(ISNUMBER('15_STOCK'!$P411),'15_STOCK'!$P411&gt;0),'15_STOCK'!$P411+ROW()/1000000,"")</f>
        <v/>
      </c>
      <c r="M411" s="91" t="str">
        <f>IFERROR(MATCH('15_STOCK'!$N411,{"INCONSISTENTE","AGOTADO","CRÍTICO","BAJO","SOBRESTOCK"},0)*100000+MIN(99,INT(IF(N('15_STOCK'!$K411)&gt;0,MAX(0,N('15_STOCK'!$J411))/'15_STOCK'!$K411,0)*10))*1000+ROW(),"")</f>
        <v/>
      </c>
      <c r="N411" s="91" t="str">
        <f>IF(AND(ISNUMBER(MATCH('15_STOCK'!$N411,{"AGOTADO","CRÍTICO","BAJO"},0)),'15_STOCK'!$G411="SI",OR(pdProveedor="(Todos)",pdProveedor="",'15_STOCK'!$E411=pdProveedor)),IFERROR(MATCH('15_STOCK'!$E411,tblProveedores[Proveedor],0),999)*1000000+MATCH('15_STOCK'!$N411,{"AGOTADO","CRÍTICO","BAJO"},0)*10000+ROW(),"")</f>
        <v/>
      </c>
      <c r="O411" s="92">
        <v>404</v>
      </c>
      <c r="P411" s="91" t="str">
        <f t="shared" si="27"/>
        <v/>
      </c>
      <c r="Q411" s="91" t="str">
        <f t="shared" si="28"/>
        <v/>
      </c>
      <c r="R411" s="92">
        <v>404</v>
      </c>
      <c r="S411" s="91" t="str">
        <f t="shared" si="29"/>
        <v/>
      </c>
      <c r="T411" s="91" t="str">
        <f t="shared" si="30"/>
        <v/>
      </c>
    </row>
    <row r="412" spans="12:20" x14ac:dyDescent="0.25">
      <c r="L412" s="91" t="str">
        <f>IF(AND(ISNUMBER('15_STOCK'!$P412),'15_STOCK'!$P412&gt;0),'15_STOCK'!$P412+ROW()/1000000,"")</f>
        <v/>
      </c>
      <c r="M412" s="91" t="str">
        <f>IFERROR(MATCH('15_STOCK'!$N412,{"INCONSISTENTE","AGOTADO","CRÍTICO","BAJO","SOBRESTOCK"},0)*100000+MIN(99,INT(IF(N('15_STOCK'!$K412)&gt;0,MAX(0,N('15_STOCK'!$J412))/'15_STOCK'!$K412,0)*10))*1000+ROW(),"")</f>
        <v/>
      </c>
      <c r="N412" s="91" t="str">
        <f>IF(AND(ISNUMBER(MATCH('15_STOCK'!$N412,{"AGOTADO","CRÍTICO","BAJO"},0)),'15_STOCK'!$G412="SI",OR(pdProveedor="(Todos)",pdProveedor="",'15_STOCK'!$E412=pdProveedor)),IFERROR(MATCH('15_STOCK'!$E412,tblProveedores[Proveedor],0),999)*1000000+MATCH('15_STOCK'!$N412,{"AGOTADO","CRÍTICO","BAJO"},0)*10000+ROW(),"")</f>
        <v/>
      </c>
      <c r="O412" s="92">
        <v>405</v>
      </c>
      <c r="P412" s="91" t="str">
        <f t="shared" si="27"/>
        <v/>
      </c>
      <c r="Q412" s="91" t="str">
        <f t="shared" si="28"/>
        <v/>
      </c>
      <c r="R412" s="92">
        <v>405</v>
      </c>
      <c r="S412" s="91" t="str">
        <f t="shared" si="29"/>
        <v/>
      </c>
      <c r="T412" s="91" t="str">
        <f t="shared" si="30"/>
        <v/>
      </c>
    </row>
    <row r="413" spans="12:20" x14ac:dyDescent="0.25">
      <c r="L413" s="91" t="str">
        <f>IF(AND(ISNUMBER('15_STOCK'!$P413),'15_STOCK'!$P413&gt;0),'15_STOCK'!$P413+ROW()/1000000,"")</f>
        <v/>
      </c>
      <c r="M413" s="91" t="str">
        <f>IFERROR(MATCH('15_STOCK'!$N413,{"INCONSISTENTE","AGOTADO","CRÍTICO","BAJO","SOBRESTOCK"},0)*100000+MIN(99,INT(IF(N('15_STOCK'!$K413)&gt;0,MAX(0,N('15_STOCK'!$J413))/'15_STOCK'!$K413,0)*10))*1000+ROW(),"")</f>
        <v/>
      </c>
      <c r="N413" s="91" t="str">
        <f>IF(AND(ISNUMBER(MATCH('15_STOCK'!$N413,{"AGOTADO","CRÍTICO","BAJO"},0)),'15_STOCK'!$G413="SI",OR(pdProveedor="(Todos)",pdProveedor="",'15_STOCK'!$E413=pdProveedor)),IFERROR(MATCH('15_STOCK'!$E413,tblProveedores[Proveedor],0),999)*1000000+MATCH('15_STOCK'!$N413,{"AGOTADO","CRÍTICO","BAJO"},0)*10000+ROW(),"")</f>
        <v/>
      </c>
      <c r="O413" s="92">
        <v>406</v>
      </c>
      <c r="P413" s="91" t="str">
        <f t="shared" si="27"/>
        <v/>
      </c>
      <c r="Q413" s="91" t="str">
        <f t="shared" si="28"/>
        <v/>
      </c>
      <c r="R413" s="92">
        <v>406</v>
      </c>
      <c r="S413" s="91" t="str">
        <f t="shared" si="29"/>
        <v/>
      </c>
      <c r="T413" s="91" t="str">
        <f t="shared" si="30"/>
        <v/>
      </c>
    </row>
    <row r="414" spans="12:20" x14ac:dyDescent="0.25">
      <c r="L414" s="91" t="str">
        <f>IF(AND(ISNUMBER('15_STOCK'!$P414),'15_STOCK'!$P414&gt;0),'15_STOCK'!$P414+ROW()/1000000,"")</f>
        <v/>
      </c>
      <c r="M414" s="91" t="str">
        <f>IFERROR(MATCH('15_STOCK'!$N414,{"INCONSISTENTE","AGOTADO","CRÍTICO","BAJO","SOBRESTOCK"},0)*100000+MIN(99,INT(IF(N('15_STOCK'!$K414)&gt;0,MAX(0,N('15_STOCK'!$J414))/'15_STOCK'!$K414,0)*10))*1000+ROW(),"")</f>
        <v/>
      </c>
      <c r="N414" s="91" t="str">
        <f>IF(AND(ISNUMBER(MATCH('15_STOCK'!$N414,{"AGOTADO","CRÍTICO","BAJO"},0)),'15_STOCK'!$G414="SI",OR(pdProveedor="(Todos)",pdProveedor="",'15_STOCK'!$E414=pdProveedor)),IFERROR(MATCH('15_STOCK'!$E414,tblProveedores[Proveedor],0),999)*1000000+MATCH('15_STOCK'!$N414,{"AGOTADO","CRÍTICO","BAJO"},0)*10000+ROW(),"")</f>
        <v/>
      </c>
      <c r="O414" s="92">
        <v>407</v>
      </c>
      <c r="P414" s="91" t="str">
        <f t="shared" si="27"/>
        <v/>
      </c>
      <c r="Q414" s="91" t="str">
        <f t="shared" si="28"/>
        <v/>
      </c>
      <c r="R414" s="92">
        <v>407</v>
      </c>
      <c r="S414" s="91" t="str">
        <f t="shared" si="29"/>
        <v/>
      </c>
      <c r="T414" s="91" t="str">
        <f t="shared" si="30"/>
        <v/>
      </c>
    </row>
    <row r="415" spans="12:20" x14ac:dyDescent="0.25">
      <c r="L415" s="91" t="str">
        <f>IF(AND(ISNUMBER('15_STOCK'!$P415),'15_STOCK'!$P415&gt;0),'15_STOCK'!$P415+ROW()/1000000,"")</f>
        <v/>
      </c>
      <c r="M415" s="91" t="str">
        <f>IFERROR(MATCH('15_STOCK'!$N415,{"INCONSISTENTE","AGOTADO","CRÍTICO","BAJO","SOBRESTOCK"},0)*100000+MIN(99,INT(IF(N('15_STOCK'!$K415)&gt;0,MAX(0,N('15_STOCK'!$J415))/'15_STOCK'!$K415,0)*10))*1000+ROW(),"")</f>
        <v/>
      </c>
      <c r="N415" s="91" t="str">
        <f>IF(AND(ISNUMBER(MATCH('15_STOCK'!$N415,{"AGOTADO","CRÍTICO","BAJO"},0)),'15_STOCK'!$G415="SI",OR(pdProveedor="(Todos)",pdProveedor="",'15_STOCK'!$E415=pdProveedor)),IFERROR(MATCH('15_STOCK'!$E415,tblProveedores[Proveedor],0),999)*1000000+MATCH('15_STOCK'!$N415,{"AGOTADO","CRÍTICO","BAJO"},0)*10000+ROW(),"")</f>
        <v/>
      </c>
      <c r="O415" s="92">
        <v>408</v>
      </c>
      <c r="P415" s="91" t="str">
        <f t="shared" si="27"/>
        <v/>
      </c>
      <c r="Q415" s="91" t="str">
        <f t="shared" si="28"/>
        <v/>
      </c>
      <c r="R415" s="92">
        <v>408</v>
      </c>
      <c r="S415" s="91" t="str">
        <f t="shared" si="29"/>
        <v/>
      </c>
      <c r="T415" s="91" t="str">
        <f t="shared" si="30"/>
        <v/>
      </c>
    </row>
    <row r="416" spans="12:20" x14ac:dyDescent="0.25">
      <c r="L416" s="91" t="str">
        <f>IF(AND(ISNUMBER('15_STOCK'!$P416),'15_STOCK'!$P416&gt;0),'15_STOCK'!$P416+ROW()/1000000,"")</f>
        <v/>
      </c>
      <c r="M416" s="91" t="str">
        <f>IFERROR(MATCH('15_STOCK'!$N416,{"INCONSISTENTE","AGOTADO","CRÍTICO","BAJO","SOBRESTOCK"},0)*100000+MIN(99,INT(IF(N('15_STOCK'!$K416)&gt;0,MAX(0,N('15_STOCK'!$J416))/'15_STOCK'!$K416,0)*10))*1000+ROW(),"")</f>
        <v/>
      </c>
      <c r="N416" s="91" t="str">
        <f>IF(AND(ISNUMBER(MATCH('15_STOCK'!$N416,{"AGOTADO","CRÍTICO","BAJO"},0)),'15_STOCK'!$G416="SI",OR(pdProveedor="(Todos)",pdProveedor="",'15_STOCK'!$E416=pdProveedor)),IFERROR(MATCH('15_STOCK'!$E416,tblProveedores[Proveedor],0),999)*1000000+MATCH('15_STOCK'!$N416,{"AGOTADO","CRÍTICO","BAJO"},0)*10000+ROW(),"")</f>
        <v/>
      </c>
      <c r="O416" s="92">
        <v>409</v>
      </c>
      <c r="P416" s="91" t="str">
        <f t="shared" si="27"/>
        <v/>
      </c>
      <c r="Q416" s="91" t="str">
        <f t="shared" si="28"/>
        <v/>
      </c>
      <c r="R416" s="92">
        <v>409</v>
      </c>
      <c r="S416" s="91" t="str">
        <f t="shared" si="29"/>
        <v/>
      </c>
      <c r="T416" s="91" t="str">
        <f t="shared" si="30"/>
        <v/>
      </c>
    </row>
    <row r="417" spans="12:20" x14ac:dyDescent="0.25">
      <c r="L417" s="91" t="str">
        <f>IF(AND(ISNUMBER('15_STOCK'!$P417),'15_STOCK'!$P417&gt;0),'15_STOCK'!$P417+ROW()/1000000,"")</f>
        <v/>
      </c>
      <c r="M417" s="91" t="str">
        <f>IFERROR(MATCH('15_STOCK'!$N417,{"INCONSISTENTE","AGOTADO","CRÍTICO","BAJO","SOBRESTOCK"},0)*100000+MIN(99,INT(IF(N('15_STOCK'!$K417)&gt;0,MAX(0,N('15_STOCK'!$J417))/'15_STOCK'!$K417,0)*10))*1000+ROW(),"")</f>
        <v/>
      </c>
      <c r="N417" s="91" t="str">
        <f>IF(AND(ISNUMBER(MATCH('15_STOCK'!$N417,{"AGOTADO","CRÍTICO","BAJO"},0)),'15_STOCK'!$G417="SI",OR(pdProveedor="(Todos)",pdProveedor="",'15_STOCK'!$E417=pdProveedor)),IFERROR(MATCH('15_STOCK'!$E417,tblProveedores[Proveedor],0),999)*1000000+MATCH('15_STOCK'!$N417,{"AGOTADO","CRÍTICO","BAJO"},0)*10000+ROW(),"")</f>
        <v/>
      </c>
      <c r="O417" s="92">
        <v>410</v>
      </c>
      <c r="P417" s="91" t="str">
        <f t="shared" si="27"/>
        <v/>
      </c>
      <c r="Q417" s="91" t="str">
        <f t="shared" si="28"/>
        <v/>
      </c>
      <c r="R417" s="92">
        <v>410</v>
      </c>
      <c r="S417" s="91" t="str">
        <f t="shared" si="29"/>
        <v/>
      </c>
      <c r="T417" s="91" t="str">
        <f t="shared" si="30"/>
        <v/>
      </c>
    </row>
    <row r="418" spans="12:20" x14ac:dyDescent="0.25">
      <c r="L418" s="91" t="str">
        <f>IF(AND(ISNUMBER('15_STOCK'!$P418),'15_STOCK'!$P418&gt;0),'15_STOCK'!$P418+ROW()/1000000,"")</f>
        <v/>
      </c>
      <c r="M418" s="91" t="str">
        <f>IFERROR(MATCH('15_STOCK'!$N418,{"INCONSISTENTE","AGOTADO","CRÍTICO","BAJO","SOBRESTOCK"},0)*100000+MIN(99,INT(IF(N('15_STOCK'!$K418)&gt;0,MAX(0,N('15_STOCK'!$J418))/'15_STOCK'!$K418,0)*10))*1000+ROW(),"")</f>
        <v/>
      </c>
      <c r="N418" s="91" t="str">
        <f>IF(AND(ISNUMBER(MATCH('15_STOCK'!$N418,{"AGOTADO","CRÍTICO","BAJO"},0)),'15_STOCK'!$G418="SI",OR(pdProveedor="(Todos)",pdProveedor="",'15_STOCK'!$E418=pdProveedor)),IFERROR(MATCH('15_STOCK'!$E418,tblProveedores[Proveedor],0),999)*1000000+MATCH('15_STOCK'!$N418,{"AGOTADO","CRÍTICO","BAJO"},0)*10000+ROW(),"")</f>
        <v/>
      </c>
      <c r="O418" s="92">
        <v>411</v>
      </c>
      <c r="P418" s="91" t="str">
        <f t="shared" si="27"/>
        <v/>
      </c>
      <c r="Q418" s="91" t="str">
        <f t="shared" si="28"/>
        <v/>
      </c>
      <c r="R418" s="92">
        <v>411</v>
      </c>
      <c r="S418" s="91" t="str">
        <f t="shared" si="29"/>
        <v/>
      </c>
      <c r="T418" s="91" t="str">
        <f t="shared" si="30"/>
        <v/>
      </c>
    </row>
    <row r="419" spans="12:20" x14ac:dyDescent="0.25">
      <c r="L419" s="91" t="str">
        <f>IF(AND(ISNUMBER('15_STOCK'!$P419),'15_STOCK'!$P419&gt;0),'15_STOCK'!$P419+ROW()/1000000,"")</f>
        <v/>
      </c>
      <c r="M419" s="91" t="str">
        <f>IFERROR(MATCH('15_STOCK'!$N419,{"INCONSISTENTE","AGOTADO","CRÍTICO","BAJO","SOBRESTOCK"},0)*100000+MIN(99,INT(IF(N('15_STOCK'!$K419)&gt;0,MAX(0,N('15_STOCK'!$J419))/'15_STOCK'!$K419,0)*10))*1000+ROW(),"")</f>
        <v/>
      </c>
      <c r="N419" s="91" t="str">
        <f>IF(AND(ISNUMBER(MATCH('15_STOCK'!$N419,{"AGOTADO","CRÍTICO","BAJO"},0)),'15_STOCK'!$G419="SI",OR(pdProveedor="(Todos)",pdProveedor="",'15_STOCK'!$E419=pdProveedor)),IFERROR(MATCH('15_STOCK'!$E419,tblProveedores[Proveedor],0),999)*1000000+MATCH('15_STOCK'!$N419,{"AGOTADO","CRÍTICO","BAJO"},0)*10000+ROW(),"")</f>
        <v/>
      </c>
      <c r="O419" s="92">
        <v>412</v>
      </c>
      <c r="P419" s="91" t="str">
        <f t="shared" si="27"/>
        <v/>
      </c>
      <c r="Q419" s="91" t="str">
        <f t="shared" si="28"/>
        <v/>
      </c>
      <c r="R419" s="92">
        <v>412</v>
      </c>
      <c r="S419" s="91" t="str">
        <f t="shared" si="29"/>
        <v/>
      </c>
      <c r="T419" s="91" t="str">
        <f t="shared" si="30"/>
        <v/>
      </c>
    </row>
    <row r="420" spans="12:20" x14ac:dyDescent="0.25">
      <c r="L420" s="91" t="str">
        <f>IF(AND(ISNUMBER('15_STOCK'!$P420),'15_STOCK'!$P420&gt;0),'15_STOCK'!$P420+ROW()/1000000,"")</f>
        <v/>
      </c>
      <c r="M420" s="91" t="str">
        <f>IFERROR(MATCH('15_STOCK'!$N420,{"INCONSISTENTE","AGOTADO","CRÍTICO","BAJO","SOBRESTOCK"},0)*100000+MIN(99,INT(IF(N('15_STOCK'!$K420)&gt;0,MAX(0,N('15_STOCK'!$J420))/'15_STOCK'!$K420,0)*10))*1000+ROW(),"")</f>
        <v/>
      </c>
      <c r="N420" s="91" t="str">
        <f>IF(AND(ISNUMBER(MATCH('15_STOCK'!$N420,{"AGOTADO","CRÍTICO","BAJO"},0)),'15_STOCK'!$G420="SI",OR(pdProveedor="(Todos)",pdProveedor="",'15_STOCK'!$E420=pdProveedor)),IFERROR(MATCH('15_STOCK'!$E420,tblProveedores[Proveedor],0),999)*1000000+MATCH('15_STOCK'!$N420,{"AGOTADO","CRÍTICO","BAJO"},0)*10000+ROW(),"")</f>
        <v/>
      </c>
      <c r="O420" s="92">
        <v>413</v>
      </c>
      <c r="P420" s="91" t="str">
        <f t="shared" si="27"/>
        <v/>
      </c>
      <c r="Q420" s="91" t="str">
        <f t="shared" si="28"/>
        <v/>
      </c>
      <c r="R420" s="92">
        <v>413</v>
      </c>
      <c r="S420" s="91" t="str">
        <f t="shared" si="29"/>
        <v/>
      </c>
      <c r="T420" s="91" t="str">
        <f t="shared" si="30"/>
        <v/>
      </c>
    </row>
    <row r="421" spans="12:20" x14ac:dyDescent="0.25">
      <c r="L421" s="91" t="str">
        <f>IF(AND(ISNUMBER('15_STOCK'!$P421),'15_STOCK'!$P421&gt;0),'15_STOCK'!$P421+ROW()/1000000,"")</f>
        <v/>
      </c>
      <c r="M421" s="91" t="str">
        <f>IFERROR(MATCH('15_STOCK'!$N421,{"INCONSISTENTE","AGOTADO","CRÍTICO","BAJO","SOBRESTOCK"},0)*100000+MIN(99,INT(IF(N('15_STOCK'!$K421)&gt;0,MAX(0,N('15_STOCK'!$J421))/'15_STOCK'!$K421,0)*10))*1000+ROW(),"")</f>
        <v/>
      </c>
      <c r="N421" s="91" t="str">
        <f>IF(AND(ISNUMBER(MATCH('15_STOCK'!$N421,{"AGOTADO","CRÍTICO","BAJO"},0)),'15_STOCK'!$G421="SI",OR(pdProveedor="(Todos)",pdProveedor="",'15_STOCK'!$E421=pdProveedor)),IFERROR(MATCH('15_STOCK'!$E421,tblProveedores[Proveedor],0),999)*1000000+MATCH('15_STOCK'!$N421,{"AGOTADO","CRÍTICO","BAJO"},0)*10000+ROW(),"")</f>
        <v/>
      </c>
      <c r="O421" s="92">
        <v>414</v>
      </c>
      <c r="P421" s="91" t="str">
        <f t="shared" si="27"/>
        <v/>
      </c>
      <c r="Q421" s="91" t="str">
        <f t="shared" si="28"/>
        <v/>
      </c>
      <c r="R421" s="92">
        <v>414</v>
      </c>
      <c r="S421" s="91" t="str">
        <f t="shared" si="29"/>
        <v/>
      </c>
      <c r="T421" s="91" t="str">
        <f t="shared" si="30"/>
        <v/>
      </c>
    </row>
    <row r="422" spans="12:20" x14ac:dyDescent="0.25">
      <c r="L422" s="91" t="str">
        <f>IF(AND(ISNUMBER('15_STOCK'!$P422),'15_STOCK'!$P422&gt;0),'15_STOCK'!$P422+ROW()/1000000,"")</f>
        <v/>
      </c>
      <c r="M422" s="91" t="str">
        <f>IFERROR(MATCH('15_STOCK'!$N422,{"INCONSISTENTE","AGOTADO","CRÍTICO","BAJO","SOBRESTOCK"},0)*100000+MIN(99,INT(IF(N('15_STOCK'!$K422)&gt;0,MAX(0,N('15_STOCK'!$J422))/'15_STOCK'!$K422,0)*10))*1000+ROW(),"")</f>
        <v/>
      </c>
      <c r="N422" s="91" t="str">
        <f>IF(AND(ISNUMBER(MATCH('15_STOCK'!$N422,{"AGOTADO","CRÍTICO","BAJO"},0)),'15_STOCK'!$G422="SI",OR(pdProveedor="(Todos)",pdProveedor="",'15_STOCK'!$E422=pdProveedor)),IFERROR(MATCH('15_STOCK'!$E422,tblProveedores[Proveedor],0),999)*1000000+MATCH('15_STOCK'!$N422,{"AGOTADO","CRÍTICO","BAJO"},0)*10000+ROW(),"")</f>
        <v/>
      </c>
      <c r="O422" s="92">
        <v>415</v>
      </c>
      <c r="P422" s="91" t="str">
        <f t="shared" si="27"/>
        <v/>
      </c>
      <c r="Q422" s="91" t="str">
        <f t="shared" si="28"/>
        <v/>
      </c>
      <c r="R422" s="92">
        <v>415</v>
      </c>
      <c r="S422" s="91" t="str">
        <f t="shared" si="29"/>
        <v/>
      </c>
      <c r="T422" s="91" t="str">
        <f t="shared" si="30"/>
        <v/>
      </c>
    </row>
    <row r="423" spans="12:20" x14ac:dyDescent="0.25">
      <c r="L423" s="91" t="str">
        <f>IF(AND(ISNUMBER('15_STOCK'!$P423),'15_STOCK'!$P423&gt;0),'15_STOCK'!$P423+ROW()/1000000,"")</f>
        <v/>
      </c>
      <c r="M423" s="91" t="str">
        <f>IFERROR(MATCH('15_STOCK'!$N423,{"INCONSISTENTE","AGOTADO","CRÍTICO","BAJO","SOBRESTOCK"},0)*100000+MIN(99,INT(IF(N('15_STOCK'!$K423)&gt;0,MAX(0,N('15_STOCK'!$J423))/'15_STOCK'!$K423,0)*10))*1000+ROW(),"")</f>
        <v/>
      </c>
      <c r="N423" s="91" t="str">
        <f>IF(AND(ISNUMBER(MATCH('15_STOCK'!$N423,{"AGOTADO","CRÍTICO","BAJO"},0)),'15_STOCK'!$G423="SI",OR(pdProveedor="(Todos)",pdProveedor="",'15_STOCK'!$E423=pdProveedor)),IFERROR(MATCH('15_STOCK'!$E423,tblProveedores[Proveedor],0),999)*1000000+MATCH('15_STOCK'!$N423,{"AGOTADO","CRÍTICO","BAJO"},0)*10000+ROW(),"")</f>
        <v/>
      </c>
      <c r="O423" s="92">
        <v>416</v>
      </c>
      <c r="P423" s="91" t="str">
        <f t="shared" si="27"/>
        <v/>
      </c>
      <c r="Q423" s="91" t="str">
        <f t="shared" si="28"/>
        <v/>
      </c>
      <c r="R423" s="92">
        <v>416</v>
      </c>
      <c r="S423" s="91" t="str">
        <f t="shared" si="29"/>
        <v/>
      </c>
      <c r="T423" s="91" t="str">
        <f t="shared" si="30"/>
        <v/>
      </c>
    </row>
    <row r="424" spans="12:20" x14ac:dyDescent="0.25">
      <c r="L424" s="91" t="str">
        <f>IF(AND(ISNUMBER('15_STOCK'!$P424),'15_STOCK'!$P424&gt;0),'15_STOCK'!$P424+ROW()/1000000,"")</f>
        <v/>
      </c>
      <c r="M424" s="91" t="str">
        <f>IFERROR(MATCH('15_STOCK'!$N424,{"INCONSISTENTE","AGOTADO","CRÍTICO","BAJO","SOBRESTOCK"},0)*100000+MIN(99,INT(IF(N('15_STOCK'!$K424)&gt;0,MAX(0,N('15_STOCK'!$J424))/'15_STOCK'!$K424,0)*10))*1000+ROW(),"")</f>
        <v/>
      </c>
      <c r="N424" s="91" t="str">
        <f>IF(AND(ISNUMBER(MATCH('15_STOCK'!$N424,{"AGOTADO","CRÍTICO","BAJO"},0)),'15_STOCK'!$G424="SI",OR(pdProveedor="(Todos)",pdProveedor="",'15_STOCK'!$E424=pdProveedor)),IFERROR(MATCH('15_STOCK'!$E424,tblProveedores[Proveedor],0),999)*1000000+MATCH('15_STOCK'!$N424,{"AGOTADO","CRÍTICO","BAJO"},0)*10000+ROW(),"")</f>
        <v/>
      </c>
      <c r="O424" s="92">
        <v>417</v>
      </c>
      <c r="P424" s="91" t="str">
        <f t="shared" si="27"/>
        <v/>
      </c>
      <c r="Q424" s="91" t="str">
        <f t="shared" si="28"/>
        <v/>
      </c>
      <c r="R424" s="92">
        <v>417</v>
      </c>
      <c r="S424" s="91" t="str">
        <f t="shared" si="29"/>
        <v/>
      </c>
      <c r="T424" s="91" t="str">
        <f t="shared" si="30"/>
        <v/>
      </c>
    </row>
    <row r="425" spans="12:20" x14ac:dyDescent="0.25">
      <c r="L425" s="91" t="str">
        <f>IF(AND(ISNUMBER('15_STOCK'!$P425),'15_STOCK'!$P425&gt;0),'15_STOCK'!$P425+ROW()/1000000,"")</f>
        <v/>
      </c>
      <c r="M425" s="91" t="str">
        <f>IFERROR(MATCH('15_STOCK'!$N425,{"INCONSISTENTE","AGOTADO","CRÍTICO","BAJO","SOBRESTOCK"},0)*100000+MIN(99,INT(IF(N('15_STOCK'!$K425)&gt;0,MAX(0,N('15_STOCK'!$J425))/'15_STOCK'!$K425,0)*10))*1000+ROW(),"")</f>
        <v/>
      </c>
      <c r="N425" s="91" t="str">
        <f>IF(AND(ISNUMBER(MATCH('15_STOCK'!$N425,{"AGOTADO","CRÍTICO","BAJO"},0)),'15_STOCK'!$G425="SI",OR(pdProveedor="(Todos)",pdProveedor="",'15_STOCK'!$E425=pdProveedor)),IFERROR(MATCH('15_STOCK'!$E425,tblProveedores[Proveedor],0),999)*1000000+MATCH('15_STOCK'!$N425,{"AGOTADO","CRÍTICO","BAJO"},0)*10000+ROW(),"")</f>
        <v/>
      </c>
      <c r="O425" s="92">
        <v>418</v>
      </c>
      <c r="P425" s="91" t="str">
        <f t="shared" si="27"/>
        <v/>
      </c>
      <c r="Q425" s="91" t="str">
        <f t="shared" si="28"/>
        <v/>
      </c>
      <c r="R425" s="92">
        <v>418</v>
      </c>
      <c r="S425" s="91" t="str">
        <f t="shared" si="29"/>
        <v/>
      </c>
      <c r="T425" s="91" t="str">
        <f t="shared" si="30"/>
        <v/>
      </c>
    </row>
    <row r="426" spans="12:20" x14ac:dyDescent="0.25">
      <c r="L426" s="91" t="str">
        <f>IF(AND(ISNUMBER('15_STOCK'!$P426),'15_STOCK'!$P426&gt;0),'15_STOCK'!$P426+ROW()/1000000,"")</f>
        <v/>
      </c>
      <c r="M426" s="91" t="str">
        <f>IFERROR(MATCH('15_STOCK'!$N426,{"INCONSISTENTE","AGOTADO","CRÍTICO","BAJO","SOBRESTOCK"},0)*100000+MIN(99,INT(IF(N('15_STOCK'!$K426)&gt;0,MAX(0,N('15_STOCK'!$J426))/'15_STOCK'!$K426,0)*10))*1000+ROW(),"")</f>
        <v/>
      </c>
      <c r="N426" s="91" t="str">
        <f>IF(AND(ISNUMBER(MATCH('15_STOCK'!$N426,{"AGOTADO","CRÍTICO","BAJO"},0)),'15_STOCK'!$G426="SI",OR(pdProveedor="(Todos)",pdProveedor="",'15_STOCK'!$E426=pdProveedor)),IFERROR(MATCH('15_STOCK'!$E426,tblProveedores[Proveedor],0),999)*1000000+MATCH('15_STOCK'!$N426,{"AGOTADO","CRÍTICO","BAJO"},0)*10000+ROW(),"")</f>
        <v/>
      </c>
      <c r="O426" s="92">
        <v>419</v>
      </c>
      <c r="P426" s="91" t="str">
        <f t="shared" si="27"/>
        <v/>
      </c>
      <c r="Q426" s="91" t="str">
        <f t="shared" si="28"/>
        <v/>
      </c>
      <c r="R426" s="92">
        <v>419</v>
      </c>
      <c r="S426" s="91" t="str">
        <f t="shared" si="29"/>
        <v/>
      </c>
      <c r="T426" s="91" t="str">
        <f t="shared" si="30"/>
        <v/>
      </c>
    </row>
    <row r="427" spans="12:20" x14ac:dyDescent="0.25">
      <c r="L427" s="91" t="str">
        <f>IF(AND(ISNUMBER('15_STOCK'!$P427),'15_STOCK'!$P427&gt;0),'15_STOCK'!$P427+ROW()/1000000,"")</f>
        <v/>
      </c>
      <c r="M427" s="91" t="str">
        <f>IFERROR(MATCH('15_STOCK'!$N427,{"INCONSISTENTE","AGOTADO","CRÍTICO","BAJO","SOBRESTOCK"},0)*100000+MIN(99,INT(IF(N('15_STOCK'!$K427)&gt;0,MAX(0,N('15_STOCK'!$J427))/'15_STOCK'!$K427,0)*10))*1000+ROW(),"")</f>
        <v/>
      </c>
      <c r="N427" s="91" t="str">
        <f>IF(AND(ISNUMBER(MATCH('15_STOCK'!$N427,{"AGOTADO","CRÍTICO","BAJO"},0)),'15_STOCK'!$G427="SI",OR(pdProveedor="(Todos)",pdProveedor="",'15_STOCK'!$E427=pdProveedor)),IFERROR(MATCH('15_STOCK'!$E427,tblProveedores[Proveedor],0),999)*1000000+MATCH('15_STOCK'!$N427,{"AGOTADO","CRÍTICO","BAJO"},0)*10000+ROW(),"")</f>
        <v/>
      </c>
      <c r="O427" s="92">
        <v>420</v>
      </c>
      <c r="P427" s="91" t="str">
        <f t="shared" si="27"/>
        <v/>
      </c>
      <c r="Q427" s="91" t="str">
        <f t="shared" si="28"/>
        <v/>
      </c>
      <c r="R427" s="92">
        <v>420</v>
      </c>
      <c r="S427" s="91" t="str">
        <f t="shared" si="29"/>
        <v/>
      </c>
      <c r="T427" s="91" t="str">
        <f t="shared" si="30"/>
        <v/>
      </c>
    </row>
    <row r="428" spans="12:20" x14ac:dyDescent="0.25">
      <c r="L428" s="91" t="str">
        <f>IF(AND(ISNUMBER('15_STOCK'!$P428),'15_STOCK'!$P428&gt;0),'15_STOCK'!$P428+ROW()/1000000,"")</f>
        <v/>
      </c>
      <c r="M428" s="91" t="str">
        <f>IFERROR(MATCH('15_STOCK'!$N428,{"INCONSISTENTE","AGOTADO","CRÍTICO","BAJO","SOBRESTOCK"},0)*100000+MIN(99,INT(IF(N('15_STOCK'!$K428)&gt;0,MAX(0,N('15_STOCK'!$J428))/'15_STOCK'!$K428,0)*10))*1000+ROW(),"")</f>
        <v/>
      </c>
      <c r="N428" s="91" t="str">
        <f>IF(AND(ISNUMBER(MATCH('15_STOCK'!$N428,{"AGOTADO","CRÍTICO","BAJO"},0)),'15_STOCK'!$G428="SI",OR(pdProveedor="(Todos)",pdProveedor="",'15_STOCK'!$E428=pdProveedor)),IFERROR(MATCH('15_STOCK'!$E428,tblProveedores[Proveedor],0),999)*1000000+MATCH('15_STOCK'!$N428,{"AGOTADO","CRÍTICO","BAJO"},0)*10000+ROW(),"")</f>
        <v/>
      </c>
      <c r="O428" s="92">
        <v>421</v>
      </c>
      <c r="P428" s="91" t="str">
        <f t="shared" si="27"/>
        <v/>
      </c>
      <c r="Q428" s="91" t="str">
        <f t="shared" si="28"/>
        <v/>
      </c>
      <c r="R428" s="92">
        <v>421</v>
      </c>
      <c r="S428" s="91" t="str">
        <f t="shared" si="29"/>
        <v/>
      </c>
      <c r="T428" s="91" t="str">
        <f t="shared" si="30"/>
        <v/>
      </c>
    </row>
    <row r="429" spans="12:20" x14ac:dyDescent="0.25">
      <c r="L429" s="91" t="str">
        <f>IF(AND(ISNUMBER('15_STOCK'!$P429),'15_STOCK'!$P429&gt;0),'15_STOCK'!$P429+ROW()/1000000,"")</f>
        <v/>
      </c>
      <c r="M429" s="91" t="str">
        <f>IFERROR(MATCH('15_STOCK'!$N429,{"INCONSISTENTE","AGOTADO","CRÍTICO","BAJO","SOBRESTOCK"},0)*100000+MIN(99,INT(IF(N('15_STOCK'!$K429)&gt;0,MAX(0,N('15_STOCK'!$J429))/'15_STOCK'!$K429,0)*10))*1000+ROW(),"")</f>
        <v/>
      </c>
      <c r="N429" s="91" t="str">
        <f>IF(AND(ISNUMBER(MATCH('15_STOCK'!$N429,{"AGOTADO","CRÍTICO","BAJO"},0)),'15_STOCK'!$G429="SI",OR(pdProveedor="(Todos)",pdProveedor="",'15_STOCK'!$E429=pdProveedor)),IFERROR(MATCH('15_STOCK'!$E429,tblProveedores[Proveedor],0),999)*1000000+MATCH('15_STOCK'!$N429,{"AGOTADO","CRÍTICO","BAJO"},0)*10000+ROW(),"")</f>
        <v/>
      </c>
      <c r="O429" s="92">
        <v>422</v>
      </c>
      <c r="P429" s="91" t="str">
        <f t="shared" si="27"/>
        <v/>
      </c>
      <c r="Q429" s="91" t="str">
        <f t="shared" si="28"/>
        <v/>
      </c>
      <c r="R429" s="92">
        <v>422</v>
      </c>
      <c r="S429" s="91" t="str">
        <f t="shared" si="29"/>
        <v/>
      </c>
      <c r="T429" s="91" t="str">
        <f t="shared" si="30"/>
        <v/>
      </c>
    </row>
    <row r="430" spans="12:20" x14ac:dyDescent="0.25">
      <c r="L430" s="91" t="str">
        <f>IF(AND(ISNUMBER('15_STOCK'!$P430),'15_STOCK'!$P430&gt;0),'15_STOCK'!$P430+ROW()/1000000,"")</f>
        <v/>
      </c>
      <c r="M430" s="91" t="str">
        <f>IFERROR(MATCH('15_STOCK'!$N430,{"INCONSISTENTE","AGOTADO","CRÍTICO","BAJO","SOBRESTOCK"},0)*100000+MIN(99,INT(IF(N('15_STOCK'!$K430)&gt;0,MAX(0,N('15_STOCK'!$J430))/'15_STOCK'!$K430,0)*10))*1000+ROW(),"")</f>
        <v/>
      </c>
      <c r="N430" s="91" t="str">
        <f>IF(AND(ISNUMBER(MATCH('15_STOCK'!$N430,{"AGOTADO","CRÍTICO","BAJO"},0)),'15_STOCK'!$G430="SI",OR(pdProveedor="(Todos)",pdProveedor="",'15_STOCK'!$E430=pdProveedor)),IFERROR(MATCH('15_STOCK'!$E430,tblProveedores[Proveedor],0),999)*1000000+MATCH('15_STOCK'!$N430,{"AGOTADO","CRÍTICO","BAJO"},0)*10000+ROW(),"")</f>
        <v/>
      </c>
      <c r="O430" s="92">
        <v>423</v>
      </c>
      <c r="P430" s="91" t="str">
        <f t="shared" si="27"/>
        <v/>
      </c>
      <c r="Q430" s="91" t="str">
        <f t="shared" si="28"/>
        <v/>
      </c>
      <c r="R430" s="92">
        <v>423</v>
      </c>
      <c r="S430" s="91" t="str">
        <f t="shared" si="29"/>
        <v/>
      </c>
      <c r="T430" s="91" t="str">
        <f t="shared" si="30"/>
        <v/>
      </c>
    </row>
    <row r="431" spans="12:20" x14ac:dyDescent="0.25">
      <c r="L431" s="91" t="str">
        <f>IF(AND(ISNUMBER('15_STOCK'!$P431),'15_STOCK'!$P431&gt;0),'15_STOCK'!$P431+ROW()/1000000,"")</f>
        <v/>
      </c>
      <c r="M431" s="91" t="str">
        <f>IFERROR(MATCH('15_STOCK'!$N431,{"INCONSISTENTE","AGOTADO","CRÍTICO","BAJO","SOBRESTOCK"},0)*100000+MIN(99,INT(IF(N('15_STOCK'!$K431)&gt;0,MAX(0,N('15_STOCK'!$J431))/'15_STOCK'!$K431,0)*10))*1000+ROW(),"")</f>
        <v/>
      </c>
      <c r="N431" s="91" t="str">
        <f>IF(AND(ISNUMBER(MATCH('15_STOCK'!$N431,{"AGOTADO","CRÍTICO","BAJO"},0)),'15_STOCK'!$G431="SI",OR(pdProveedor="(Todos)",pdProveedor="",'15_STOCK'!$E431=pdProveedor)),IFERROR(MATCH('15_STOCK'!$E431,tblProveedores[Proveedor],0),999)*1000000+MATCH('15_STOCK'!$N431,{"AGOTADO","CRÍTICO","BAJO"},0)*10000+ROW(),"")</f>
        <v/>
      </c>
      <c r="O431" s="92">
        <v>424</v>
      </c>
      <c r="P431" s="91" t="str">
        <f t="shared" si="27"/>
        <v/>
      </c>
      <c r="Q431" s="91" t="str">
        <f t="shared" si="28"/>
        <v/>
      </c>
      <c r="R431" s="92">
        <v>424</v>
      </c>
      <c r="S431" s="91" t="str">
        <f t="shared" si="29"/>
        <v/>
      </c>
      <c r="T431" s="91" t="str">
        <f t="shared" si="30"/>
        <v/>
      </c>
    </row>
    <row r="432" spans="12:20" x14ac:dyDescent="0.25">
      <c r="L432" s="91" t="str">
        <f>IF(AND(ISNUMBER('15_STOCK'!$P432),'15_STOCK'!$P432&gt;0),'15_STOCK'!$P432+ROW()/1000000,"")</f>
        <v/>
      </c>
      <c r="M432" s="91" t="str">
        <f>IFERROR(MATCH('15_STOCK'!$N432,{"INCONSISTENTE","AGOTADO","CRÍTICO","BAJO","SOBRESTOCK"},0)*100000+MIN(99,INT(IF(N('15_STOCK'!$K432)&gt;0,MAX(0,N('15_STOCK'!$J432))/'15_STOCK'!$K432,0)*10))*1000+ROW(),"")</f>
        <v/>
      </c>
      <c r="N432" s="91" t="str">
        <f>IF(AND(ISNUMBER(MATCH('15_STOCK'!$N432,{"AGOTADO","CRÍTICO","BAJO"},0)),'15_STOCK'!$G432="SI",OR(pdProveedor="(Todos)",pdProveedor="",'15_STOCK'!$E432=pdProveedor)),IFERROR(MATCH('15_STOCK'!$E432,tblProveedores[Proveedor],0),999)*1000000+MATCH('15_STOCK'!$N432,{"AGOTADO","CRÍTICO","BAJO"},0)*10000+ROW(),"")</f>
        <v/>
      </c>
      <c r="O432" s="92">
        <v>425</v>
      </c>
      <c r="P432" s="91" t="str">
        <f t="shared" si="27"/>
        <v/>
      </c>
      <c r="Q432" s="91" t="str">
        <f t="shared" si="28"/>
        <v/>
      </c>
      <c r="R432" s="92">
        <v>425</v>
      </c>
      <c r="S432" s="91" t="str">
        <f t="shared" si="29"/>
        <v/>
      </c>
      <c r="T432" s="91" t="str">
        <f t="shared" si="30"/>
        <v/>
      </c>
    </row>
    <row r="433" spans="12:20" x14ac:dyDescent="0.25">
      <c r="L433" s="91" t="str">
        <f>IF(AND(ISNUMBER('15_STOCK'!$P433),'15_STOCK'!$P433&gt;0),'15_STOCK'!$P433+ROW()/1000000,"")</f>
        <v/>
      </c>
      <c r="M433" s="91" t="str">
        <f>IFERROR(MATCH('15_STOCK'!$N433,{"INCONSISTENTE","AGOTADO","CRÍTICO","BAJO","SOBRESTOCK"},0)*100000+MIN(99,INT(IF(N('15_STOCK'!$K433)&gt;0,MAX(0,N('15_STOCK'!$J433))/'15_STOCK'!$K433,0)*10))*1000+ROW(),"")</f>
        <v/>
      </c>
      <c r="N433" s="91" t="str">
        <f>IF(AND(ISNUMBER(MATCH('15_STOCK'!$N433,{"AGOTADO","CRÍTICO","BAJO"},0)),'15_STOCK'!$G433="SI",OR(pdProveedor="(Todos)",pdProveedor="",'15_STOCK'!$E433=pdProveedor)),IFERROR(MATCH('15_STOCK'!$E433,tblProveedores[Proveedor],0),999)*1000000+MATCH('15_STOCK'!$N433,{"AGOTADO","CRÍTICO","BAJO"},0)*10000+ROW(),"")</f>
        <v/>
      </c>
      <c r="O433" s="92">
        <v>426</v>
      </c>
      <c r="P433" s="91" t="str">
        <f t="shared" si="27"/>
        <v/>
      </c>
      <c r="Q433" s="91" t="str">
        <f t="shared" si="28"/>
        <v/>
      </c>
      <c r="R433" s="92">
        <v>426</v>
      </c>
      <c r="S433" s="91" t="str">
        <f t="shared" si="29"/>
        <v/>
      </c>
      <c r="T433" s="91" t="str">
        <f t="shared" si="30"/>
        <v/>
      </c>
    </row>
    <row r="434" spans="12:20" x14ac:dyDescent="0.25">
      <c r="L434" s="91" t="str">
        <f>IF(AND(ISNUMBER('15_STOCK'!$P434),'15_STOCK'!$P434&gt;0),'15_STOCK'!$P434+ROW()/1000000,"")</f>
        <v/>
      </c>
      <c r="M434" s="91" t="str">
        <f>IFERROR(MATCH('15_STOCK'!$N434,{"INCONSISTENTE","AGOTADO","CRÍTICO","BAJO","SOBRESTOCK"},0)*100000+MIN(99,INT(IF(N('15_STOCK'!$K434)&gt;0,MAX(0,N('15_STOCK'!$J434))/'15_STOCK'!$K434,0)*10))*1000+ROW(),"")</f>
        <v/>
      </c>
      <c r="N434" s="91" t="str">
        <f>IF(AND(ISNUMBER(MATCH('15_STOCK'!$N434,{"AGOTADO","CRÍTICO","BAJO"},0)),'15_STOCK'!$G434="SI",OR(pdProveedor="(Todos)",pdProveedor="",'15_STOCK'!$E434=pdProveedor)),IFERROR(MATCH('15_STOCK'!$E434,tblProveedores[Proveedor],0),999)*1000000+MATCH('15_STOCK'!$N434,{"AGOTADO","CRÍTICO","BAJO"},0)*10000+ROW(),"")</f>
        <v/>
      </c>
      <c r="O434" s="92">
        <v>427</v>
      </c>
      <c r="P434" s="91" t="str">
        <f t="shared" si="27"/>
        <v/>
      </c>
      <c r="Q434" s="91" t="str">
        <f t="shared" si="28"/>
        <v/>
      </c>
      <c r="R434" s="92">
        <v>427</v>
      </c>
      <c r="S434" s="91" t="str">
        <f t="shared" si="29"/>
        <v/>
      </c>
      <c r="T434" s="91" t="str">
        <f t="shared" si="30"/>
        <v/>
      </c>
    </row>
    <row r="435" spans="12:20" x14ac:dyDescent="0.25">
      <c r="L435" s="91" t="str">
        <f>IF(AND(ISNUMBER('15_STOCK'!$P435),'15_STOCK'!$P435&gt;0),'15_STOCK'!$P435+ROW()/1000000,"")</f>
        <v/>
      </c>
      <c r="M435" s="91" t="str">
        <f>IFERROR(MATCH('15_STOCK'!$N435,{"INCONSISTENTE","AGOTADO","CRÍTICO","BAJO","SOBRESTOCK"},0)*100000+MIN(99,INT(IF(N('15_STOCK'!$K435)&gt;0,MAX(0,N('15_STOCK'!$J435))/'15_STOCK'!$K435,0)*10))*1000+ROW(),"")</f>
        <v/>
      </c>
      <c r="N435" s="91" t="str">
        <f>IF(AND(ISNUMBER(MATCH('15_STOCK'!$N435,{"AGOTADO","CRÍTICO","BAJO"},0)),'15_STOCK'!$G435="SI",OR(pdProveedor="(Todos)",pdProveedor="",'15_STOCK'!$E435=pdProveedor)),IFERROR(MATCH('15_STOCK'!$E435,tblProveedores[Proveedor],0),999)*1000000+MATCH('15_STOCK'!$N435,{"AGOTADO","CRÍTICO","BAJO"},0)*10000+ROW(),"")</f>
        <v/>
      </c>
      <c r="O435" s="92">
        <v>428</v>
      </c>
      <c r="P435" s="91" t="str">
        <f t="shared" si="27"/>
        <v/>
      </c>
      <c r="Q435" s="91" t="str">
        <f t="shared" si="28"/>
        <v/>
      </c>
      <c r="R435" s="92">
        <v>428</v>
      </c>
      <c r="S435" s="91" t="str">
        <f t="shared" si="29"/>
        <v/>
      </c>
      <c r="T435" s="91" t="str">
        <f t="shared" si="30"/>
        <v/>
      </c>
    </row>
    <row r="436" spans="12:20" x14ac:dyDescent="0.25">
      <c r="L436" s="91" t="str">
        <f>IF(AND(ISNUMBER('15_STOCK'!$P436),'15_STOCK'!$P436&gt;0),'15_STOCK'!$P436+ROW()/1000000,"")</f>
        <v/>
      </c>
      <c r="M436" s="91" t="str">
        <f>IFERROR(MATCH('15_STOCK'!$N436,{"INCONSISTENTE","AGOTADO","CRÍTICO","BAJO","SOBRESTOCK"},0)*100000+MIN(99,INT(IF(N('15_STOCK'!$K436)&gt;0,MAX(0,N('15_STOCK'!$J436))/'15_STOCK'!$K436,0)*10))*1000+ROW(),"")</f>
        <v/>
      </c>
      <c r="N436" s="91" t="str">
        <f>IF(AND(ISNUMBER(MATCH('15_STOCK'!$N436,{"AGOTADO","CRÍTICO","BAJO"},0)),'15_STOCK'!$G436="SI",OR(pdProveedor="(Todos)",pdProveedor="",'15_STOCK'!$E436=pdProveedor)),IFERROR(MATCH('15_STOCK'!$E436,tblProveedores[Proveedor],0),999)*1000000+MATCH('15_STOCK'!$N436,{"AGOTADO","CRÍTICO","BAJO"},0)*10000+ROW(),"")</f>
        <v/>
      </c>
      <c r="O436" s="92">
        <v>429</v>
      </c>
      <c r="P436" s="91" t="str">
        <f t="shared" si="27"/>
        <v/>
      </c>
      <c r="Q436" s="91" t="str">
        <f t="shared" si="28"/>
        <v/>
      </c>
      <c r="R436" s="92">
        <v>429</v>
      </c>
      <c r="S436" s="91" t="str">
        <f t="shared" si="29"/>
        <v/>
      </c>
      <c r="T436" s="91" t="str">
        <f t="shared" si="30"/>
        <v/>
      </c>
    </row>
    <row r="437" spans="12:20" x14ac:dyDescent="0.25">
      <c r="L437" s="91" t="str">
        <f>IF(AND(ISNUMBER('15_STOCK'!$P437),'15_STOCK'!$P437&gt;0),'15_STOCK'!$P437+ROW()/1000000,"")</f>
        <v/>
      </c>
      <c r="M437" s="91" t="str">
        <f>IFERROR(MATCH('15_STOCK'!$N437,{"INCONSISTENTE","AGOTADO","CRÍTICO","BAJO","SOBRESTOCK"},0)*100000+MIN(99,INT(IF(N('15_STOCK'!$K437)&gt;0,MAX(0,N('15_STOCK'!$J437))/'15_STOCK'!$K437,0)*10))*1000+ROW(),"")</f>
        <v/>
      </c>
      <c r="N437" s="91" t="str">
        <f>IF(AND(ISNUMBER(MATCH('15_STOCK'!$N437,{"AGOTADO","CRÍTICO","BAJO"},0)),'15_STOCK'!$G437="SI",OR(pdProveedor="(Todos)",pdProveedor="",'15_STOCK'!$E437=pdProveedor)),IFERROR(MATCH('15_STOCK'!$E437,tblProveedores[Proveedor],0),999)*1000000+MATCH('15_STOCK'!$N437,{"AGOTADO","CRÍTICO","BAJO"},0)*10000+ROW(),"")</f>
        <v/>
      </c>
      <c r="O437" s="92">
        <v>430</v>
      </c>
      <c r="P437" s="91" t="str">
        <f t="shared" si="27"/>
        <v/>
      </c>
      <c r="Q437" s="91" t="str">
        <f t="shared" si="28"/>
        <v/>
      </c>
      <c r="R437" s="92">
        <v>430</v>
      </c>
      <c r="S437" s="91" t="str">
        <f t="shared" si="29"/>
        <v/>
      </c>
      <c r="T437" s="91" t="str">
        <f t="shared" si="30"/>
        <v/>
      </c>
    </row>
    <row r="438" spans="12:20" x14ac:dyDescent="0.25">
      <c r="L438" s="91" t="str">
        <f>IF(AND(ISNUMBER('15_STOCK'!$P438),'15_STOCK'!$P438&gt;0),'15_STOCK'!$P438+ROW()/1000000,"")</f>
        <v/>
      </c>
      <c r="M438" s="91" t="str">
        <f>IFERROR(MATCH('15_STOCK'!$N438,{"INCONSISTENTE","AGOTADO","CRÍTICO","BAJO","SOBRESTOCK"},0)*100000+MIN(99,INT(IF(N('15_STOCK'!$K438)&gt;0,MAX(0,N('15_STOCK'!$J438))/'15_STOCK'!$K438,0)*10))*1000+ROW(),"")</f>
        <v/>
      </c>
      <c r="N438" s="91" t="str">
        <f>IF(AND(ISNUMBER(MATCH('15_STOCK'!$N438,{"AGOTADO","CRÍTICO","BAJO"},0)),'15_STOCK'!$G438="SI",OR(pdProveedor="(Todos)",pdProveedor="",'15_STOCK'!$E438=pdProveedor)),IFERROR(MATCH('15_STOCK'!$E438,tblProveedores[Proveedor],0),999)*1000000+MATCH('15_STOCK'!$N438,{"AGOTADO","CRÍTICO","BAJO"},0)*10000+ROW(),"")</f>
        <v/>
      </c>
      <c r="O438" s="92">
        <v>431</v>
      </c>
      <c r="P438" s="91" t="str">
        <f t="shared" si="27"/>
        <v/>
      </c>
      <c r="Q438" s="91" t="str">
        <f t="shared" si="28"/>
        <v/>
      </c>
      <c r="R438" s="92">
        <v>431</v>
      </c>
      <c r="S438" s="91" t="str">
        <f t="shared" si="29"/>
        <v/>
      </c>
      <c r="T438" s="91" t="str">
        <f t="shared" si="30"/>
        <v/>
      </c>
    </row>
    <row r="439" spans="12:20" x14ac:dyDescent="0.25">
      <c r="L439" s="91" t="str">
        <f>IF(AND(ISNUMBER('15_STOCK'!$P439),'15_STOCK'!$P439&gt;0),'15_STOCK'!$P439+ROW()/1000000,"")</f>
        <v/>
      </c>
      <c r="M439" s="91" t="str">
        <f>IFERROR(MATCH('15_STOCK'!$N439,{"INCONSISTENTE","AGOTADO","CRÍTICO","BAJO","SOBRESTOCK"},0)*100000+MIN(99,INT(IF(N('15_STOCK'!$K439)&gt;0,MAX(0,N('15_STOCK'!$J439))/'15_STOCK'!$K439,0)*10))*1000+ROW(),"")</f>
        <v/>
      </c>
      <c r="N439" s="91" t="str">
        <f>IF(AND(ISNUMBER(MATCH('15_STOCK'!$N439,{"AGOTADO","CRÍTICO","BAJO"},0)),'15_STOCK'!$G439="SI",OR(pdProveedor="(Todos)",pdProveedor="",'15_STOCK'!$E439=pdProveedor)),IFERROR(MATCH('15_STOCK'!$E439,tblProveedores[Proveedor],0),999)*1000000+MATCH('15_STOCK'!$N439,{"AGOTADO","CRÍTICO","BAJO"},0)*10000+ROW(),"")</f>
        <v/>
      </c>
      <c r="O439" s="92">
        <v>432</v>
      </c>
      <c r="P439" s="91" t="str">
        <f t="shared" si="27"/>
        <v/>
      </c>
      <c r="Q439" s="91" t="str">
        <f t="shared" si="28"/>
        <v/>
      </c>
      <c r="R439" s="92">
        <v>432</v>
      </c>
      <c r="S439" s="91" t="str">
        <f t="shared" si="29"/>
        <v/>
      </c>
      <c r="T439" s="91" t="str">
        <f t="shared" si="30"/>
        <v/>
      </c>
    </row>
    <row r="440" spans="12:20" x14ac:dyDescent="0.25">
      <c r="L440" s="91" t="str">
        <f>IF(AND(ISNUMBER('15_STOCK'!$P440),'15_STOCK'!$P440&gt;0),'15_STOCK'!$P440+ROW()/1000000,"")</f>
        <v/>
      </c>
      <c r="M440" s="91" t="str">
        <f>IFERROR(MATCH('15_STOCK'!$N440,{"INCONSISTENTE","AGOTADO","CRÍTICO","BAJO","SOBRESTOCK"},0)*100000+MIN(99,INT(IF(N('15_STOCK'!$K440)&gt;0,MAX(0,N('15_STOCK'!$J440))/'15_STOCK'!$K440,0)*10))*1000+ROW(),"")</f>
        <v/>
      </c>
      <c r="N440" s="91" t="str">
        <f>IF(AND(ISNUMBER(MATCH('15_STOCK'!$N440,{"AGOTADO","CRÍTICO","BAJO"},0)),'15_STOCK'!$G440="SI",OR(pdProveedor="(Todos)",pdProveedor="",'15_STOCK'!$E440=pdProveedor)),IFERROR(MATCH('15_STOCK'!$E440,tblProveedores[Proveedor],0),999)*1000000+MATCH('15_STOCK'!$N440,{"AGOTADO","CRÍTICO","BAJO"},0)*10000+ROW(),"")</f>
        <v/>
      </c>
      <c r="O440" s="92">
        <v>433</v>
      </c>
      <c r="P440" s="91" t="str">
        <f t="shared" si="27"/>
        <v/>
      </c>
      <c r="Q440" s="91" t="str">
        <f t="shared" si="28"/>
        <v/>
      </c>
      <c r="R440" s="92">
        <v>433</v>
      </c>
      <c r="S440" s="91" t="str">
        <f t="shared" si="29"/>
        <v/>
      </c>
      <c r="T440" s="91" t="str">
        <f t="shared" si="30"/>
        <v/>
      </c>
    </row>
    <row r="441" spans="12:20" x14ac:dyDescent="0.25">
      <c r="L441" s="91" t="str">
        <f>IF(AND(ISNUMBER('15_STOCK'!$P441),'15_STOCK'!$P441&gt;0),'15_STOCK'!$P441+ROW()/1000000,"")</f>
        <v/>
      </c>
      <c r="M441" s="91" t="str">
        <f>IFERROR(MATCH('15_STOCK'!$N441,{"INCONSISTENTE","AGOTADO","CRÍTICO","BAJO","SOBRESTOCK"},0)*100000+MIN(99,INT(IF(N('15_STOCK'!$K441)&gt;0,MAX(0,N('15_STOCK'!$J441))/'15_STOCK'!$K441,0)*10))*1000+ROW(),"")</f>
        <v/>
      </c>
      <c r="N441" s="91" t="str">
        <f>IF(AND(ISNUMBER(MATCH('15_STOCK'!$N441,{"AGOTADO","CRÍTICO","BAJO"},0)),'15_STOCK'!$G441="SI",OR(pdProveedor="(Todos)",pdProveedor="",'15_STOCK'!$E441=pdProveedor)),IFERROR(MATCH('15_STOCK'!$E441,tblProveedores[Proveedor],0),999)*1000000+MATCH('15_STOCK'!$N441,{"AGOTADO","CRÍTICO","BAJO"},0)*10000+ROW(),"")</f>
        <v/>
      </c>
      <c r="O441" s="92">
        <v>434</v>
      </c>
      <c r="P441" s="91" t="str">
        <f t="shared" si="27"/>
        <v/>
      </c>
      <c r="Q441" s="91" t="str">
        <f t="shared" si="28"/>
        <v/>
      </c>
      <c r="R441" s="92">
        <v>434</v>
      </c>
      <c r="S441" s="91" t="str">
        <f t="shared" si="29"/>
        <v/>
      </c>
      <c r="T441" s="91" t="str">
        <f t="shared" si="30"/>
        <v/>
      </c>
    </row>
    <row r="442" spans="12:20" x14ac:dyDescent="0.25">
      <c r="L442" s="91" t="str">
        <f>IF(AND(ISNUMBER('15_STOCK'!$P442),'15_STOCK'!$P442&gt;0),'15_STOCK'!$P442+ROW()/1000000,"")</f>
        <v/>
      </c>
      <c r="M442" s="91" t="str">
        <f>IFERROR(MATCH('15_STOCK'!$N442,{"INCONSISTENTE","AGOTADO","CRÍTICO","BAJO","SOBRESTOCK"},0)*100000+MIN(99,INT(IF(N('15_STOCK'!$K442)&gt;0,MAX(0,N('15_STOCK'!$J442))/'15_STOCK'!$K442,0)*10))*1000+ROW(),"")</f>
        <v/>
      </c>
      <c r="N442" s="91" t="str">
        <f>IF(AND(ISNUMBER(MATCH('15_STOCK'!$N442,{"AGOTADO","CRÍTICO","BAJO"},0)),'15_STOCK'!$G442="SI",OR(pdProveedor="(Todos)",pdProveedor="",'15_STOCK'!$E442=pdProveedor)),IFERROR(MATCH('15_STOCK'!$E442,tblProveedores[Proveedor],0),999)*1000000+MATCH('15_STOCK'!$N442,{"AGOTADO","CRÍTICO","BAJO"},0)*10000+ROW(),"")</f>
        <v/>
      </c>
      <c r="O442" s="92">
        <v>435</v>
      </c>
      <c r="P442" s="91" t="str">
        <f t="shared" si="27"/>
        <v/>
      </c>
      <c r="Q442" s="91" t="str">
        <f t="shared" si="28"/>
        <v/>
      </c>
      <c r="R442" s="92">
        <v>435</v>
      </c>
      <c r="S442" s="91" t="str">
        <f t="shared" si="29"/>
        <v/>
      </c>
      <c r="T442" s="91" t="str">
        <f t="shared" si="30"/>
        <v/>
      </c>
    </row>
    <row r="443" spans="12:20" x14ac:dyDescent="0.25">
      <c r="L443" s="91" t="str">
        <f>IF(AND(ISNUMBER('15_STOCK'!$P443),'15_STOCK'!$P443&gt;0),'15_STOCK'!$P443+ROW()/1000000,"")</f>
        <v/>
      </c>
      <c r="M443" s="91" t="str">
        <f>IFERROR(MATCH('15_STOCK'!$N443,{"INCONSISTENTE","AGOTADO","CRÍTICO","BAJO","SOBRESTOCK"},0)*100000+MIN(99,INT(IF(N('15_STOCK'!$K443)&gt;0,MAX(0,N('15_STOCK'!$J443))/'15_STOCK'!$K443,0)*10))*1000+ROW(),"")</f>
        <v/>
      </c>
      <c r="N443" s="91" t="str">
        <f>IF(AND(ISNUMBER(MATCH('15_STOCK'!$N443,{"AGOTADO","CRÍTICO","BAJO"},0)),'15_STOCK'!$G443="SI",OR(pdProveedor="(Todos)",pdProveedor="",'15_STOCK'!$E443=pdProveedor)),IFERROR(MATCH('15_STOCK'!$E443,tblProveedores[Proveedor],0),999)*1000000+MATCH('15_STOCK'!$N443,{"AGOTADO","CRÍTICO","BAJO"},0)*10000+ROW(),"")</f>
        <v/>
      </c>
      <c r="O443" s="92">
        <v>436</v>
      </c>
      <c r="P443" s="91" t="str">
        <f t="shared" si="27"/>
        <v/>
      </c>
      <c r="Q443" s="91" t="str">
        <f t="shared" si="28"/>
        <v/>
      </c>
      <c r="R443" s="92">
        <v>436</v>
      </c>
      <c r="S443" s="91" t="str">
        <f t="shared" si="29"/>
        <v/>
      </c>
      <c r="T443" s="91" t="str">
        <f t="shared" si="30"/>
        <v/>
      </c>
    </row>
    <row r="444" spans="12:20" x14ac:dyDescent="0.25">
      <c r="L444" s="91" t="str">
        <f>IF(AND(ISNUMBER('15_STOCK'!$P444),'15_STOCK'!$P444&gt;0),'15_STOCK'!$P444+ROW()/1000000,"")</f>
        <v/>
      </c>
      <c r="M444" s="91" t="str">
        <f>IFERROR(MATCH('15_STOCK'!$N444,{"INCONSISTENTE","AGOTADO","CRÍTICO","BAJO","SOBRESTOCK"},0)*100000+MIN(99,INT(IF(N('15_STOCK'!$K444)&gt;0,MAX(0,N('15_STOCK'!$J444))/'15_STOCK'!$K444,0)*10))*1000+ROW(),"")</f>
        <v/>
      </c>
      <c r="N444" s="91" t="str">
        <f>IF(AND(ISNUMBER(MATCH('15_STOCK'!$N444,{"AGOTADO","CRÍTICO","BAJO"},0)),'15_STOCK'!$G444="SI",OR(pdProveedor="(Todos)",pdProveedor="",'15_STOCK'!$E444=pdProveedor)),IFERROR(MATCH('15_STOCK'!$E444,tblProveedores[Proveedor],0),999)*1000000+MATCH('15_STOCK'!$N444,{"AGOTADO","CRÍTICO","BAJO"},0)*10000+ROW(),"")</f>
        <v/>
      </c>
      <c r="O444" s="92">
        <v>437</v>
      </c>
      <c r="P444" s="91" t="str">
        <f t="shared" si="27"/>
        <v/>
      </c>
      <c r="Q444" s="91" t="str">
        <f t="shared" si="28"/>
        <v/>
      </c>
      <c r="R444" s="92">
        <v>437</v>
      </c>
      <c r="S444" s="91" t="str">
        <f t="shared" si="29"/>
        <v/>
      </c>
      <c r="T444" s="91" t="str">
        <f t="shared" si="30"/>
        <v/>
      </c>
    </row>
    <row r="445" spans="12:20" x14ac:dyDescent="0.25">
      <c r="L445" s="91" t="str">
        <f>IF(AND(ISNUMBER('15_STOCK'!$P445),'15_STOCK'!$P445&gt;0),'15_STOCK'!$P445+ROW()/1000000,"")</f>
        <v/>
      </c>
      <c r="M445" s="91" t="str">
        <f>IFERROR(MATCH('15_STOCK'!$N445,{"INCONSISTENTE","AGOTADO","CRÍTICO","BAJO","SOBRESTOCK"},0)*100000+MIN(99,INT(IF(N('15_STOCK'!$K445)&gt;0,MAX(0,N('15_STOCK'!$J445))/'15_STOCK'!$K445,0)*10))*1000+ROW(),"")</f>
        <v/>
      </c>
      <c r="N445" s="91" t="str">
        <f>IF(AND(ISNUMBER(MATCH('15_STOCK'!$N445,{"AGOTADO","CRÍTICO","BAJO"},0)),'15_STOCK'!$G445="SI",OR(pdProveedor="(Todos)",pdProveedor="",'15_STOCK'!$E445=pdProveedor)),IFERROR(MATCH('15_STOCK'!$E445,tblProveedores[Proveedor],0),999)*1000000+MATCH('15_STOCK'!$N445,{"AGOTADO","CRÍTICO","BAJO"},0)*10000+ROW(),"")</f>
        <v/>
      </c>
      <c r="O445" s="92">
        <v>438</v>
      </c>
      <c r="P445" s="91" t="str">
        <f t="shared" si="27"/>
        <v/>
      </c>
      <c r="Q445" s="91" t="str">
        <f t="shared" si="28"/>
        <v/>
      </c>
      <c r="R445" s="92">
        <v>438</v>
      </c>
      <c r="S445" s="91" t="str">
        <f t="shared" si="29"/>
        <v/>
      </c>
      <c r="T445" s="91" t="str">
        <f t="shared" si="30"/>
        <v/>
      </c>
    </row>
    <row r="446" spans="12:20" x14ac:dyDescent="0.25">
      <c r="L446" s="91" t="str">
        <f>IF(AND(ISNUMBER('15_STOCK'!$P446),'15_STOCK'!$P446&gt;0),'15_STOCK'!$P446+ROW()/1000000,"")</f>
        <v/>
      </c>
      <c r="M446" s="91" t="str">
        <f>IFERROR(MATCH('15_STOCK'!$N446,{"INCONSISTENTE","AGOTADO","CRÍTICO","BAJO","SOBRESTOCK"},0)*100000+MIN(99,INT(IF(N('15_STOCK'!$K446)&gt;0,MAX(0,N('15_STOCK'!$J446))/'15_STOCK'!$K446,0)*10))*1000+ROW(),"")</f>
        <v/>
      </c>
      <c r="N446" s="91" t="str">
        <f>IF(AND(ISNUMBER(MATCH('15_STOCK'!$N446,{"AGOTADO","CRÍTICO","BAJO"},0)),'15_STOCK'!$G446="SI",OR(pdProveedor="(Todos)",pdProveedor="",'15_STOCK'!$E446=pdProveedor)),IFERROR(MATCH('15_STOCK'!$E446,tblProveedores[Proveedor],0),999)*1000000+MATCH('15_STOCK'!$N446,{"AGOTADO","CRÍTICO","BAJO"},0)*10000+ROW(),"")</f>
        <v/>
      </c>
      <c r="O446" s="92">
        <v>439</v>
      </c>
      <c r="P446" s="91" t="str">
        <f t="shared" si="27"/>
        <v/>
      </c>
      <c r="Q446" s="91" t="str">
        <f t="shared" si="28"/>
        <v/>
      </c>
      <c r="R446" s="92">
        <v>439</v>
      </c>
      <c r="S446" s="91" t="str">
        <f t="shared" si="29"/>
        <v/>
      </c>
      <c r="T446" s="91" t="str">
        <f t="shared" si="30"/>
        <v/>
      </c>
    </row>
    <row r="447" spans="12:20" x14ac:dyDescent="0.25">
      <c r="L447" s="91" t="str">
        <f>IF(AND(ISNUMBER('15_STOCK'!$P447),'15_STOCK'!$P447&gt;0),'15_STOCK'!$P447+ROW()/1000000,"")</f>
        <v/>
      </c>
      <c r="M447" s="91" t="str">
        <f>IFERROR(MATCH('15_STOCK'!$N447,{"INCONSISTENTE","AGOTADO","CRÍTICO","BAJO","SOBRESTOCK"},0)*100000+MIN(99,INT(IF(N('15_STOCK'!$K447)&gt;0,MAX(0,N('15_STOCK'!$J447))/'15_STOCK'!$K447,0)*10))*1000+ROW(),"")</f>
        <v/>
      </c>
      <c r="N447" s="91" t="str">
        <f>IF(AND(ISNUMBER(MATCH('15_STOCK'!$N447,{"AGOTADO","CRÍTICO","BAJO"},0)),'15_STOCK'!$G447="SI",OR(pdProveedor="(Todos)",pdProveedor="",'15_STOCK'!$E447=pdProveedor)),IFERROR(MATCH('15_STOCK'!$E447,tblProveedores[Proveedor],0),999)*1000000+MATCH('15_STOCK'!$N447,{"AGOTADO","CRÍTICO","BAJO"},0)*10000+ROW(),"")</f>
        <v/>
      </c>
      <c r="O447" s="92">
        <v>440</v>
      </c>
      <c r="P447" s="91" t="str">
        <f t="shared" si="27"/>
        <v/>
      </c>
      <c r="Q447" s="91" t="str">
        <f t="shared" si="28"/>
        <v/>
      </c>
      <c r="R447" s="92">
        <v>440</v>
      </c>
      <c r="S447" s="91" t="str">
        <f t="shared" si="29"/>
        <v/>
      </c>
      <c r="T447" s="91" t="str">
        <f t="shared" si="30"/>
        <v/>
      </c>
    </row>
    <row r="448" spans="12:20" x14ac:dyDescent="0.25">
      <c r="L448" s="91" t="str">
        <f>IF(AND(ISNUMBER('15_STOCK'!$P448),'15_STOCK'!$P448&gt;0),'15_STOCK'!$P448+ROW()/1000000,"")</f>
        <v/>
      </c>
      <c r="M448" s="91" t="str">
        <f>IFERROR(MATCH('15_STOCK'!$N448,{"INCONSISTENTE","AGOTADO","CRÍTICO","BAJO","SOBRESTOCK"},0)*100000+MIN(99,INT(IF(N('15_STOCK'!$K448)&gt;0,MAX(0,N('15_STOCK'!$J448))/'15_STOCK'!$K448,0)*10))*1000+ROW(),"")</f>
        <v/>
      </c>
      <c r="N448" s="91" t="str">
        <f>IF(AND(ISNUMBER(MATCH('15_STOCK'!$N448,{"AGOTADO","CRÍTICO","BAJO"},0)),'15_STOCK'!$G448="SI",OR(pdProveedor="(Todos)",pdProveedor="",'15_STOCK'!$E448=pdProveedor)),IFERROR(MATCH('15_STOCK'!$E448,tblProveedores[Proveedor],0),999)*1000000+MATCH('15_STOCK'!$N448,{"AGOTADO","CRÍTICO","BAJO"},0)*10000+ROW(),"")</f>
        <v/>
      </c>
      <c r="O448" s="92">
        <v>441</v>
      </c>
      <c r="P448" s="91" t="str">
        <f t="shared" si="27"/>
        <v/>
      </c>
      <c r="Q448" s="91" t="str">
        <f t="shared" si="28"/>
        <v/>
      </c>
      <c r="R448" s="92">
        <v>441</v>
      </c>
      <c r="S448" s="91" t="str">
        <f t="shared" si="29"/>
        <v/>
      </c>
      <c r="T448" s="91" t="str">
        <f t="shared" si="30"/>
        <v/>
      </c>
    </row>
    <row r="449" spans="12:20" x14ac:dyDescent="0.25">
      <c r="L449" s="91" t="str">
        <f>IF(AND(ISNUMBER('15_STOCK'!$P449),'15_STOCK'!$P449&gt;0),'15_STOCK'!$P449+ROW()/1000000,"")</f>
        <v/>
      </c>
      <c r="M449" s="91" t="str">
        <f>IFERROR(MATCH('15_STOCK'!$N449,{"INCONSISTENTE","AGOTADO","CRÍTICO","BAJO","SOBRESTOCK"},0)*100000+MIN(99,INT(IF(N('15_STOCK'!$K449)&gt;0,MAX(0,N('15_STOCK'!$J449))/'15_STOCK'!$K449,0)*10))*1000+ROW(),"")</f>
        <v/>
      </c>
      <c r="N449" s="91" t="str">
        <f>IF(AND(ISNUMBER(MATCH('15_STOCK'!$N449,{"AGOTADO","CRÍTICO","BAJO"},0)),'15_STOCK'!$G449="SI",OR(pdProveedor="(Todos)",pdProveedor="",'15_STOCK'!$E449=pdProveedor)),IFERROR(MATCH('15_STOCK'!$E449,tblProveedores[Proveedor],0),999)*1000000+MATCH('15_STOCK'!$N449,{"AGOTADO","CRÍTICO","BAJO"},0)*10000+ROW(),"")</f>
        <v/>
      </c>
      <c r="O449" s="92">
        <v>442</v>
      </c>
      <c r="P449" s="91" t="str">
        <f t="shared" si="27"/>
        <v/>
      </c>
      <c r="Q449" s="91" t="str">
        <f t="shared" si="28"/>
        <v/>
      </c>
      <c r="R449" s="92">
        <v>442</v>
      </c>
      <c r="S449" s="91" t="str">
        <f t="shared" si="29"/>
        <v/>
      </c>
      <c r="T449" s="91" t="str">
        <f t="shared" si="30"/>
        <v/>
      </c>
    </row>
    <row r="450" spans="12:20" x14ac:dyDescent="0.25">
      <c r="L450" s="91" t="str">
        <f>IF(AND(ISNUMBER('15_STOCK'!$P450),'15_STOCK'!$P450&gt;0),'15_STOCK'!$P450+ROW()/1000000,"")</f>
        <v/>
      </c>
      <c r="M450" s="91" t="str">
        <f>IFERROR(MATCH('15_STOCK'!$N450,{"INCONSISTENTE","AGOTADO","CRÍTICO","BAJO","SOBRESTOCK"},0)*100000+MIN(99,INT(IF(N('15_STOCK'!$K450)&gt;0,MAX(0,N('15_STOCK'!$J450))/'15_STOCK'!$K450,0)*10))*1000+ROW(),"")</f>
        <v/>
      </c>
      <c r="N450" s="91" t="str">
        <f>IF(AND(ISNUMBER(MATCH('15_STOCK'!$N450,{"AGOTADO","CRÍTICO","BAJO"},0)),'15_STOCK'!$G450="SI",OR(pdProveedor="(Todos)",pdProveedor="",'15_STOCK'!$E450=pdProveedor)),IFERROR(MATCH('15_STOCK'!$E450,tblProveedores[Proveedor],0),999)*1000000+MATCH('15_STOCK'!$N450,{"AGOTADO","CRÍTICO","BAJO"},0)*10000+ROW(),"")</f>
        <v/>
      </c>
      <c r="O450" s="92">
        <v>443</v>
      </c>
      <c r="P450" s="91" t="str">
        <f t="shared" si="27"/>
        <v/>
      </c>
      <c r="Q450" s="91" t="str">
        <f t="shared" si="28"/>
        <v/>
      </c>
      <c r="R450" s="92">
        <v>443</v>
      </c>
      <c r="S450" s="91" t="str">
        <f t="shared" si="29"/>
        <v/>
      </c>
      <c r="T450" s="91" t="str">
        <f t="shared" si="30"/>
        <v/>
      </c>
    </row>
    <row r="451" spans="12:20" x14ac:dyDescent="0.25">
      <c r="L451" s="91" t="str">
        <f>IF(AND(ISNUMBER('15_STOCK'!$P451),'15_STOCK'!$P451&gt;0),'15_STOCK'!$P451+ROW()/1000000,"")</f>
        <v/>
      </c>
      <c r="M451" s="91" t="str">
        <f>IFERROR(MATCH('15_STOCK'!$N451,{"INCONSISTENTE","AGOTADO","CRÍTICO","BAJO","SOBRESTOCK"},0)*100000+MIN(99,INT(IF(N('15_STOCK'!$K451)&gt;0,MAX(0,N('15_STOCK'!$J451))/'15_STOCK'!$K451,0)*10))*1000+ROW(),"")</f>
        <v/>
      </c>
      <c r="N451" s="91" t="str">
        <f>IF(AND(ISNUMBER(MATCH('15_STOCK'!$N451,{"AGOTADO","CRÍTICO","BAJO"},0)),'15_STOCK'!$G451="SI",OR(pdProveedor="(Todos)",pdProveedor="",'15_STOCK'!$E451=pdProveedor)),IFERROR(MATCH('15_STOCK'!$E451,tblProveedores[Proveedor],0),999)*1000000+MATCH('15_STOCK'!$N451,{"AGOTADO","CRÍTICO","BAJO"},0)*10000+ROW(),"")</f>
        <v/>
      </c>
      <c r="O451" s="92">
        <v>444</v>
      </c>
      <c r="P451" s="91" t="str">
        <f t="shared" si="27"/>
        <v/>
      </c>
      <c r="Q451" s="91" t="str">
        <f t="shared" si="28"/>
        <v/>
      </c>
      <c r="R451" s="92">
        <v>444</v>
      </c>
      <c r="S451" s="91" t="str">
        <f t="shared" si="29"/>
        <v/>
      </c>
      <c r="T451" s="91" t="str">
        <f t="shared" si="30"/>
        <v/>
      </c>
    </row>
    <row r="452" spans="12:20" x14ac:dyDescent="0.25">
      <c r="L452" s="91" t="str">
        <f>IF(AND(ISNUMBER('15_STOCK'!$P452),'15_STOCK'!$P452&gt;0),'15_STOCK'!$P452+ROW()/1000000,"")</f>
        <v/>
      </c>
      <c r="M452" s="91" t="str">
        <f>IFERROR(MATCH('15_STOCK'!$N452,{"INCONSISTENTE","AGOTADO","CRÍTICO","BAJO","SOBRESTOCK"},0)*100000+MIN(99,INT(IF(N('15_STOCK'!$K452)&gt;0,MAX(0,N('15_STOCK'!$J452))/'15_STOCK'!$K452,0)*10))*1000+ROW(),"")</f>
        <v/>
      </c>
      <c r="N452" s="91" t="str">
        <f>IF(AND(ISNUMBER(MATCH('15_STOCK'!$N452,{"AGOTADO","CRÍTICO","BAJO"},0)),'15_STOCK'!$G452="SI",OR(pdProveedor="(Todos)",pdProveedor="",'15_STOCK'!$E452=pdProveedor)),IFERROR(MATCH('15_STOCK'!$E452,tblProveedores[Proveedor],0),999)*1000000+MATCH('15_STOCK'!$N452,{"AGOTADO","CRÍTICO","BAJO"},0)*10000+ROW(),"")</f>
        <v/>
      </c>
      <c r="O452" s="92">
        <v>445</v>
      </c>
      <c r="P452" s="91" t="str">
        <f t="shared" si="27"/>
        <v/>
      </c>
      <c r="Q452" s="91" t="str">
        <f t="shared" si="28"/>
        <v/>
      </c>
      <c r="R452" s="92">
        <v>445</v>
      </c>
      <c r="S452" s="91" t="str">
        <f t="shared" si="29"/>
        <v/>
      </c>
      <c r="T452" s="91" t="str">
        <f t="shared" si="30"/>
        <v/>
      </c>
    </row>
    <row r="453" spans="12:20" x14ac:dyDescent="0.25">
      <c r="L453" s="91" t="str">
        <f>IF(AND(ISNUMBER('15_STOCK'!$P453),'15_STOCK'!$P453&gt;0),'15_STOCK'!$P453+ROW()/1000000,"")</f>
        <v/>
      </c>
      <c r="M453" s="91" t="str">
        <f>IFERROR(MATCH('15_STOCK'!$N453,{"INCONSISTENTE","AGOTADO","CRÍTICO","BAJO","SOBRESTOCK"},0)*100000+MIN(99,INT(IF(N('15_STOCK'!$K453)&gt;0,MAX(0,N('15_STOCK'!$J453))/'15_STOCK'!$K453,0)*10))*1000+ROW(),"")</f>
        <v/>
      </c>
      <c r="N453" s="91" t="str">
        <f>IF(AND(ISNUMBER(MATCH('15_STOCK'!$N453,{"AGOTADO","CRÍTICO","BAJO"},0)),'15_STOCK'!$G453="SI",OR(pdProveedor="(Todos)",pdProveedor="",'15_STOCK'!$E453=pdProveedor)),IFERROR(MATCH('15_STOCK'!$E453,tblProveedores[Proveedor],0),999)*1000000+MATCH('15_STOCK'!$N453,{"AGOTADO","CRÍTICO","BAJO"},0)*10000+ROW(),"")</f>
        <v/>
      </c>
      <c r="O453" s="92">
        <v>446</v>
      </c>
      <c r="P453" s="91" t="str">
        <f t="shared" si="27"/>
        <v/>
      </c>
      <c r="Q453" s="91" t="str">
        <f t="shared" si="28"/>
        <v/>
      </c>
      <c r="R453" s="92">
        <v>446</v>
      </c>
      <c r="S453" s="91" t="str">
        <f t="shared" si="29"/>
        <v/>
      </c>
      <c r="T453" s="91" t="str">
        <f t="shared" si="30"/>
        <v/>
      </c>
    </row>
    <row r="454" spans="12:20" x14ac:dyDescent="0.25">
      <c r="L454" s="91" t="str">
        <f>IF(AND(ISNUMBER('15_STOCK'!$P454),'15_STOCK'!$P454&gt;0),'15_STOCK'!$P454+ROW()/1000000,"")</f>
        <v/>
      </c>
      <c r="M454" s="91" t="str">
        <f>IFERROR(MATCH('15_STOCK'!$N454,{"INCONSISTENTE","AGOTADO","CRÍTICO","BAJO","SOBRESTOCK"},0)*100000+MIN(99,INT(IF(N('15_STOCK'!$K454)&gt;0,MAX(0,N('15_STOCK'!$J454))/'15_STOCK'!$K454,0)*10))*1000+ROW(),"")</f>
        <v/>
      </c>
      <c r="N454" s="91" t="str">
        <f>IF(AND(ISNUMBER(MATCH('15_STOCK'!$N454,{"AGOTADO","CRÍTICO","BAJO"},0)),'15_STOCK'!$G454="SI",OR(pdProveedor="(Todos)",pdProveedor="",'15_STOCK'!$E454=pdProveedor)),IFERROR(MATCH('15_STOCK'!$E454,tblProveedores[Proveedor],0),999)*1000000+MATCH('15_STOCK'!$N454,{"AGOTADO","CRÍTICO","BAJO"},0)*10000+ROW(),"")</f>
        <v/>
      </c>
      <c r="O454" s="92">
        <v>447</v>
      </c>
      <c r="P454" s="91" t="str">
        <f t="shared" si="27"/>
        <v/>
      </c>
      <c r="Q454" s="91" t="str">
        <f t="shared" si="28"/>
        <v/>
      </c>
      <c r="R454" s="92">
        <v>447</v>
      </c>
      <c r="S454" s="91" t="str">
        <f t="shared" si="29"/>
        <v/>
      </c>
      <c r="T454" s="91" t="str">
        <f t="shared" si="30"/>
        <v/>
      </c>
    </row>
    <row r="455" spans="12:20" x14ac:dyDescent="0.25">
      <c r="L455" s="91" t="str">
        <f>IF(AND(ISNUMBER('15_STOCK'!$P455),'15_STOCK'!$P455&gt;0),'15_STOCK'!$P455+ROW()/1000000,"")</f>
        <v/>
      </c>
      <c r="M455" s="91" t="str">
        <f>IFERROR(MATCH('15_STOCK'!$N455,{"INCONSISTENTE","AGOTADO","CRÍTICO","BAJO","SOBRESTOCK"},0)*100000+MIN(99,INT(IF(N('15_STOCK'!$K455)&gt;0,MAX(0,N('15_STOCK'!$J455))/'15_STOCK'!$K455,0)*10))*1000+ROW(),"")</f>
        <v/>
      </c>
      <c r="N455" s="91" t="str">
        <f>IF(AND(ISNUMBER(MATCH('15_STOCK'!$N455,{"AGOTADO","CRÍTICO","BAJO"},0)),'15_STOCK'!$G455="SI",OR(pdProveedor="(Todos)",pdProveedor="",'15_STOCK'!$E455=pdProveedor)),IFERROR(MATCH('15_STOCK'!$E455,tblProveedores[Proveedor],0),999)*1000000+MATCH('15_STOCK'!$N455,{"AGOTADO","CRÍTICO","BAJO"},0)*10000+ROW(),"")</f>
        <v/>
      </c>
      <c r="O455" s="92">
        <v>448</v>
      </c>
      <c r="P455" s="91" t="str">
        <f t="shared" si="27"/>
        <v/>
      </c>
      <c r="Q455" s="91" t="str">
        <f t="shared" si="28"/>
        <v/>
      </c>
      <c r="R455" s="92">
        <v>448</v>
      </c>
      <c r="S455" s="91" t="str">
        <f t="shared" si="29"/>
        <v/>
      </c>
      <c r="T455" s="91" t="str">
        <f t="shared" si="30"/>
        <v/>
      </c>
    </row>
    <row r="456" spans="12:20" x14ac:dyDescent="0.25">
      <c r="L456" s="91" t="str">
        <f>IF(AND(ISNUMBER('15_STOCK'!$P456),'15_STOCK'!$P456&gt;0),'15_STOCK'!$P456+ROW()/1000000,"")</f>
        <v/>
      </c>
      <c r="M456" s="91" t="str">
        <f>IFERROR(MATCH('15_STOCK'!$N456,{"INCONSISTENTE","AGOTADO","CRÍTICO","BAJO","SOBRESTOCK"},0)*100000+MIN(99,INT(IF(N('15_STOCK'!$K456)&gt;0,MAX(0,N('15_STOCK'!$J456))/'15_STOCK'!$K456,0)*10))*1000+ROW(),"")</f>
        <v/>
      </c>
      <c r="N456" s="91" t="str">
        <f>IF(AND(ISNUMBER(MATCH('15_STOCK'!$N456,{"AGOTADO","CRÍTICO","BAJO"},0)),'15_STOCK'!$G456="SI",OR(pdProveedor="(Todos)",pdProveedor="",'15_STOCK'!$E456=pdProveedor)),IFERROR(MATCH('15_STOCK'!$E456,tblProveedores[Proveedor],0),999)*1000000+MATCH('15_STOCK'!$N456,{"AGOTADO","CRÍTICO","BAJO"},0)*10000+ROW(),"")</f>
        <v/>
      </c>
      <c r="O456" s="92">
        <v>449</v>
      </c>
      <c r="P456" s="91" t="str">
        <f t="shared" ref="P456:P519" si="31">IFERROR(SMALL($M$8:$M$507,O456),"")</f>
        <v/>
      </c>
      <c r="Q456" s="91" t="str">
        <f t="shared" ref="Q456:Q519" si="32">IF(P456="","",MATCH(P456,$M$8:$M$507,0))</f>
        <v/>
      </c>
      <c r="R456" s="92">
        <v>449</v>
      </c>
      <c r="S456" s="91" t="str">
        <f t="shared" ref="S456:S519" si="33">IFERROR(SMALL($N$8:$N$507,R456),"")</f>
        <v/>
      </c>
      <c r="T456" s="91" t="str">
        <f t="shared" ref="T456:T519" si="34">IF(S456="","",MATCH(S456,$N$8:$N$507,0))</f>
        <v/>
      </c>
    </row>
    <row r="457" spans="12:20" x14ac:dyDescent="0.25">
      <c r="L457" s="91" t="str">
        <f>IF(AND(ISNUMBER('15_STOCK'!$P457),'15_STOCK'!$P457&gt;0),'15_STOCK'!$P457+ROW()/1000000,"")</f>
        <v/>
      </c>
      <c r="M457" s="91" t="str">
        <f>IFERROR(MATCH('15_STOCK'!$N457,{"INCONSISTENTE","AGOTADO","CRÍTICO","BAJO","SOBRESTOCK"},0)*100000+MIN(99,INT(IF(N('15_STOCK'!$K457)&gt;0,MAX(0,N('15_STOCK'!$J457))/'15_STOCK'!$K457,0)*10))*1000+ROW(),"")</f>
        <v/>
      </c>
      <c r="N457" s="91" t="str">
        <f>IF(AND(ISNUMBER(MATCH('15_STOCK'!$N457,{"AGOTADO","CRÍTICO","BAJO"},0)),'15_STOCK'!$G457="SI",OR(pdProveedor="(Todos)",pdProveedor="",'15_STOCK'!$E457=pdProveedor)),IFERROR(MATCH('15_STOCK'!$E457,tblProveedores[Proveedor],0),999)*1000000+MATCH('15_STOCK'!$N457,{"AGOTADO","CRÍTICO","BAJO"},0)*10000+ROW(),"")</f>
        <v/>
      </c>
      <c r="O457" s="92">
        <v>450</v>
      </c>
      <c r="P457" s="91" t="str">
        <f t="shared" si="31"/>
        <v/>
      </c>
      <c r="Q457" s="91" t="str">
        <f t="shared" si="32"/>
        <v/>
      </c>
      <c r="R457" s="92">
        <v>450</v>
      </c>
      <c r="S457" s="91" t="str">
        <f t="shared" si="33"/>
        <v/>
      </c>
      <c r="T457" s="91" t="str">
        <f t="shared" si="34"/>
        <v/>
      </c>
    </row>
    <row r="458" spans="12:20" x14ac:dyDescent="0.25">
      <c r="L458" s="91" t="str">
        <f>IF(AND(ISNUMBER('15_STOCK'!$P458),'15_STOCK'!$P458&gt;0),'15_STOCK'!$P458+ROW()/1000000,"")</f>
        <v/>
      </c>
      <c r="M458" s="91" t="str">
        <f>IFERROR(MATCH('15_STOCK'!$N458,{"INCONSISTENTE","AGOTADO","CRÍTICO","BAJO","SOBRESTOCK"},0)*100000+MIN(99,INT(IF(N('15_STOCK'!$K458)&gt;0,MAX(0,N('15_STOCK'!$J458))/'15_STOCK'!$K458,0)*10))*1000+ROW(),"")</f>
        <v/>
      </c>
      <c r="N458" s="91" t="str">
        <f>IF(AND(ISNUMBER(MATCH('15_STOCK'!$N458,{"AGOTADO","CRÍTICO","BAJO"},0)),'15_STOCK'!$G458="SI",OR(pdProveedor="(Todos)",pdProveedor="",'15_STOCK'!$E458=pdProveedor)),IFERROR(MATCH('15_STOCK'!$E458,tblProveedores[Proveedor],0),999)*1000000+MATCH('15_STOCK'!$N458,{"AGOTADO","CRÍTICO","BAJO"},0)*10000+ROW(),"")</f>
        <v/>
      </c>
      <c r="O458" s="92">
        <v>451</v>
      </c>
      <c r="P458" s="91" t="str">
        <f t="shared" si="31"/>
        <v/>
      </c>
      <c r="Q458" s="91" t="str">
        <f t="shared" si="32"/>
        <v/>
      </c>
      <c r="R458" s="92">
        <v>451</v>
      </c>
      <c r="S458" s="91" t="str">
        <f t="shared" si="33"/>
        <v/>
      </c>
      <c r="T458" s="91" t="str">
        <f t="shared" si="34"/>
        <v/>
      </c>
    </row>
    <row r="459" spans="12:20" x14ac:dyDescent="0.25">
      <c r="L459" s="91" t="str">
        <f>IF(AND(ISNUMBER('15_STOCK'!$P459),'15_STOCK'!$P459&gt;0),'15_STOCK'!$P459+ROW()/1000000,"")</f>
        <v/>
      </c>
      <c r="M459" s="91" t="str">
        <f>IFERROR(MATCH('15_STOCK'!$N459,{"INCONSISTENTE","AGOTADO","CRÍTICO","BAJO","SOBRESTOCK"},0)*100000+MIN(99,INT(IF(N('15_STOCK'!$K459)&gt;0,MAX(0,N('15_STOCK'!$J459))/'15_STOCK'!$K459,0)*10))*1000+ROW(),"")</f>
        <v/>
      </c>
      <c r="N459" s="91" t="str">
        <f>IF(AND(ISNUMBER(MATCH('15_STOCK'!$N459,{"AGOTADO","CRÍTICO","BAJO"},0)),'15_STOCK'!$G459="SI",OR(pdProveedor="(Todos)",pdProveedor="",'15_STOCK'!$E459=pdProveedor)),IFERROR(MATCH('15_STOCK'!$E459,tblProveedores[Proveedor],0),999)*1000000+MATCH('15_STOCK'!$N459,{"AGOTADO","CRÍTICO","BAJO"},0)*10000+ROW(),"")</f>
        <v/>
      </c>
      <c r="O459" s="92">
        <v>452</v>
      </c>
      <c r="P459" s="91" t="str">
        <f t="shared" si="31"/>
        <v/>
      </c>
      <c r="Q459" s="91" t="str">
        <f t="shared" si="32"/>
        <v/>
      </c>
      <c r="R459" s="92">
        <v>452</v>
      </c>
      <c r="S459" s="91" t="str">
        <f t="shared" si="33"/>
        <v/>
      </c>
      <c r="T459" s="91" t="str">
        <f t="shared" si="34"/>
        <v/>
      </c>
    </row>
    <row r="460" spans="12:20" x14ac:dyDescent="0.25">
      <c r="L460" s="91" t="str">
        <f>IF(AND(ISNUMBER('15_STOCK'!$P460),'15_STOCK'!$P460&gt;0),'15_STOCK'!$P460+ROW()/1000000,"")</f>
        <v/>
      </c>
      <c r="M460" s="91" t="str">
        <f>IFERROR(MATCH('15_STOCK'!$N460,{"INCONSISTENTE","AGOTADO","CRÍTICO","BAJO","SOBRESTOCK"},0)*100000+MIN(99,INT(IF(N('15_STOCK'!$K460)&gt;0,MAX(0,N('15_STOCK'!$J460))/'15_STOCK'!$K460,0)*10))*1000+ROW(),"")</f>
        <v/>
      </c>
      <c r="N460" s="91" t="str">
        <f>IF(AND(ISNUMBER(MATCH('15_STOCK'!$N460,{"AGOTADO","CRÍTICO","BAJO"},0)),'15_STOCK'!$G460="SI",OR(pdProveedor="(Todos)",pdProveedor="",'15_STOCK'!$E460=pdProveedor)),IFERROR(MATCH('15_STOCK'!$E460,tblProveedores[Proveedor],0),999)*1000000+MATCH('15_STOCK'!$N460,{"AGOTADO","CRÍTICO","BAJO"},0)*10000+ROW(),"")</f>
        <v/>
      </c>
      <c r="O460" s="92">
        <v>453</v>
      </c>
      <c r="P460" s="91" t="str">
        <f t="shared" si="31"/>
        <v/>
      </c>
      <c r="Q460" s="91" t="str">
        <f t="shared" si="32"/>
        <v/>
      </c>
      <c r="R460" s="92">
        <v>453</v>
      </c>
      <c r="S460" s="91" t="str">
        <f t="shared" si="33"/>
        <v/>
      </c>
      <c r="T460" s="91" t="str">
        <f t="shared" si="34"/>
        <v/>
      </c>
    </row>
    <row r="461" spans="12:20" x14ac:dyDescent="0.25">
      <c r="L461" s="91" t="str">
        <f>IF(AND(ISNUMBER('15_STOCK'!$P461),'15_STOCK'!$P461&gt;0),'15_STOCK'!$P461+ROW()/1000000,"")</f>
        <v/>
      </c>
      <c r="M461" s="91" t="str">
        <f>IFERROR(MATCH('15_STOCK'!$N461,{"INCONSISTENTE","AGOTADO","CRÍTICO","BAJO","SOBRESTOCK"},0)*100000+MIN(99,INT(IF(N('15_STOCK'!$K461)&gt;0,MAX(0,N('15_STOCK'!$J461))/'15_STOCK'!$K461,0)*10))*1000+ROW(),"")</f>
        <v/>
      </c>
      <c r="N461" s="91" t="str">
        <f>IF(AND(ISNUMBER(MATCH('15_STOCK'!$N461,{"AGOTADO","CRÍTICO","BAJO"},0)),'15_STOCK'!$G461="SI",OR(pdProveedor="(Todos)",pdProveedor="",'15_STOCK'!$E461=pdProveedor)),IFERROR(MATCH('15_STOCK'!$E461,tblProveedores[Proveedor],0),999)*1000000+MATCH('15_STOCK'!$N461,{"AGOTADO","CRÍTICO","BAJO"},0)*10000+ROW(),"")</f>
        <v/>
      </c>
      <c r="O461" s="92">
        <v>454</v>
      </c>
      <c r="P461" s="91" t="str">
        <f t="shared" si="31"/>
        <v/>
      </c>
      <c r="Q461" s="91" t="str">
        <f t="shared" si="32"/>
        <v/>
      </c>
      <c r="R461" s="92">
        <v>454</v>
      </c>
      <c r="S461" s="91" t="str">
        <f t="shared" si="33"/>
        <v/>
      </c>
      <c r="T461" s="91" t="str">
        <f t="shared" si="34"/>
        <v/>
      </c>
    </row>
    <row r="462" spans="12:20" x14ac:dyDescent="0.25">
      <c r="L462" s="91" t="str">
        <f>IF(AND(ISNUMBER('15_STOCK'!$P462),'15_STOCK'!$P462&gt;0),'15_STOCK'!$P462+ROW()/1000000,"")</f>
        <v/>
      </c>
      <c r="M462" s="91" t="str">
        <f>IFERROR(MATCH('15_STOCK'!$N462,{"INCONSISTENTE","AGOTADO","CRÍTICO","BAJO","SOBRESTOCK"},0)*100000+MIN(99,INT(IF(N('15_STOCK'!$K462)&gt;0,MAX(0,N('15_STOCK'!$J462))/'15_STOCK'!$K462,0)*10))*1000+ROW(),"")</f>
        <v/>
      </c>
      <c r="N462" s="91" t="str">
        <f>IF(AND(ISNUMBER(MATCH('15_STOCK'!$N462,{"AGOTADO","CRÍTICO","BAJO"},0)),'15_STOCK'!$G462="SI",OR(pdProveedor="(Todos)",pdProveedor="",'15_STOCK'!$E462=pdProveedor)),IFERROR(MATCH('15_STOCK'!$E462,tblProveedores[Proveedor],0),999)*1000000+MATCH('15_STOCK'!$N462,{"AGOTADO","CRÍTICO","BAJO"},0)*10000+ROW(),"")</f>
        <v/>
      </c>
      <c r="O462" s="92">
        <v>455</v>
      </c>
      <c r="P462" s="91" t="str">
        <f t="shared" si="31"/>
        <v/>
      </c>
      <c r="Q462" s="91" t="str">
        <f t="shared" si="32"/>
        <v/>
      </c>
      <c r="R462" s="92">
        <v>455</v>
      </c>
      <c r="S462" s="91" t="str">
        <f t="shared" si="33"/>
        <v/>
      </c>
      <c r="T462" s="91" t="str">
        <f t="shared" si="34"/>
        <v/>
      </c>
    </row>
    <row r="463" spans="12:20" x14ac:dyDescent="0.25">
      <c r="L463" s="91" t="str">
        <f>IF(AND(ISNUMBER('15_STOCK'!$P463),'15_STOCK'!$P463&gt;0),'15_STOCK'!$P463+ROW()/1000000,"")</f>
        <v/>
      </c>
      <c r="M463" s="91" t="str">
        <f>IFERROR(MATCH('15_STOCK'!$N463,{"INCONSISTENTE","AGOTADO","CRÍTICO","BAJO","SOBRESTOCK"},0)*100000+MIN(99,INT(IF(N('15_STOCK'!$K463)&gt;0,MAX(0,N('15_STOCK'!$J463))/'15_STOCK'!$K463,0)*10))*1000+ROW(),"")</f>
        <v/>
      </c>
      <c r="N463" s="91" t="str">
        <f>IF(AND(ISNUMBER(MATCH('15_STOCK'!$N463,{"AGOTADO","CRÍTICO","BAJO"},0)),'15_STOCK'!$G463="SI",OR(pdProveedor="(Todos)",pdProveedor="",'15_STOCK'!$E463=pdProveedor)),IFERROR(MATCH('15_STOCK'!$E463,tblProveedores[Proveedor],0),999)*1000000+MATCH('15_STOCK'!$N463,{"AGOTADO","CRÍTICO","BAJO"},0)*10000+ROW(),"")</f>
        <v/>
      </c>
      <c r="O463" s="92">
        <v>456</v>
      </c>
      <c r="P463" s="91" t="str">
        <f t="shared" si="31"/>
        <v/>
      </c>
      <c r="Q463" s="91" t="str">
        <f t="shared" si="32"/>
        <v/>
      </c>
      <c r="R463" s="92">
        <v>456</v>
      </c>
      <c r="S463" s="91" t="str">
        <f t="shared" si="33"/>
        <v/>
      </c>
      <c r="T463" s="91" t="str">
        <f t="shared" si="34"/>
        <v/>
      </c>
    </row>
    <row r="464" spans="12:20" x14ac:dyDescent="0.25">
      <c r="L464" s="91" t="str">
        <f>IF(AND(ISNUMBER('15_STOCK'!$P464),'15_STOCK'!$P464&gt;0),'15_STOCK'!$P464+ROW()/1000000,"")</f>
        <v/>
      </c>
      <c r="M464" s="91" t="str">
        <f>IFERROR(MATCH('15_STOCK'!$N464,{"INCONSISTENTE","AGOTADO","CRÍTICO","BAJO","SOBRESTOCK"},0)*100000+MIN(99,INT(IF(N('15_STOCK'!$K464)&gt;0,MAX(0,N('15_STOCK'!$J464))/'15_STOCK'!$K464,0)*10))*1000+ROW(),"")</f>
        <v/>
      </c>
      <c r="N464" s="91" t="str">
        <f>IF(AND(ISNUMBER(MATCH('15_STOCK'!$N464,{"AGOTADO","CRÍTICO","BAJO"},0)),'15_STOCK'!$G464="SI",OR(pdProveedor="(Todos)",pdProveedor="",'15_STOCK'!$E464=pdProveedor)),IFERROR(MATCH('15_STOCK'!$E464,tblProveedores[Proveedor],0),999)*1000000+MATCH('15_STOCK'!$N464,{"AGOTADO","CRÍTICO","BAJO"},0)*10000+ROW(),"")</f>
        <v/>
      </c>
      <c r="O464" s="92">
        <v>457</v>
      </c>
      <c r="P464" s="91" t="str">
        <f t="shared" si="31"/>
        <v/>
      </c>
      <c r="Q464" s="91" t="str">
        <f t="shared" si="32"/>
        <v/>
      </c>
      <c r="R464" s="92">
        <v>457</v>
      </c>
      <c r="S464" s="91" t="str">
        <f t="shared" si="33"/>
        <v/>
      </c>
      <c r="T464" s="91" t="str">
        <f t="shared" si="34"/>
        <v/>
      </c>
    </row>
    <row r="465" spans="12:20" x14ac:dyDescent="0.25">
      <c r="L465" s="91" t="str">
        <f>IF(AND(ISNUMBER('15_STOCK'!$P465),'15_STOCK'!$P465&gt;0),'15_STOCK'!$P465+ROW()/1000000,"")</f>
        <v/>
      </c>
      <c r="M465" s="91" t="str">
        <f>IFERROR(MATCH('15_STOCK'!$N465,{"INCONSISTENTE","AGOTADO","CRÍTICO","BAJO","SOBRESTOCK"},0)*100000+MIN(99,INT(IF(N('15_STOCK'!$K465)&gt;0,MAX(0,N('15_STOCK'!$J465))/'15_STOCK'!$K465,0)*10))*1000+ROW(),"")</f>
        <v/>
      </c>
      <c r="N465" s="91" t="str">
        <f>IF(AND(ISNUMBER(MATCH('15_STOCK'!$N465,{"AGOTADO","CRÍTICO","BAJO"},0)),'15_STOCK'!$G465="SI",OR(pdProveedor="(Todos)",pdProveedor="",'15_STOCK'!$E465=pdProveedor)),IFERROR(MATCH('15_STOCK'!$E465,tblProveedores[Proveedor],0),999)*1000000+MATCH('15_STOCK'!$N465,{"AGOTADO","CRÍTICO","BAJO"},0)*10000+ROW(),"")</f>
        <v/>
      </c>
      <c r="O465" s="92">
        <v>458</v>
      </c>
      <c r="P465" s="91" t="str">
        <f t="shared" si="31"/>
        <v/>
      </c>
      <c r="Q465" s="91" t="str">
        <f t="shared" si="32"/>
        <v/>
      </c>
      <c r="R465" s="92">
        <v>458</v>
      </c>
      <c r="S465" s="91" t="str">
        <f t="shared" si="33"/>
        <v/>
      </c>
      <c r="T465" s="91" t="str">
        <f t="shared" si="34"/>
        <v/>
      </c>
    </row>
    <row r="466" spans="12:20" x14ac:dyDescent="0.25">
      <c r="L466" s="91" t="str">
        <f>IF(AND(ISNUMBER('15_STOCK'!$P466),'15_STOCK'!$P466&gt;0),'15_STOCK'!$P466+ROW()/1000000,"")</f>
        <v/>
      </c>
      <c r="M466" s="91" t="str">
        <f>IFERROR(MATCH('15_STOCK'!$N466,{"INCONSISTENTE","AGOTADO","CRÍTICO","BAJO","SOBRESTOCK"},0)*100000+MIN(99,INT(IF(N('15_STOCK'!$K466)&gt;0,MAX(0,N('15_STOCK'!$J466))/'15_STOCK'!$K466,0)*10))*1000+ROW(),"")</f>
        <v/>
      </c>
      <c r="N466" s="91" t="str">
        <f>IF(AND(ISNUMBER(MATCH('15_STOCK'!$N466,{"AGOTADO","CRÍTICO","BAJO"},0)),'15_STOCK'!$G466="SI",OR(pdProveedor="(Todos)",pdProveedor="",'15_STOCK'!$E466=pdProveedor)),IFERROR(MATCH('15_STOCK'!$E466,tblProveedores[Proveedor],0),999)*1000000+MATCH('15_STOCK'!$N466,{"AGOTADO","CRÍTICO","BAJO"},0)*10000+ROW(),"")</f>
        <v/>
      </c>
      <c r="O466" s="92">
        <v>459</v>
      </c>
      <c r="P466" s="91" t="str">
        <f t="shared" si="31"/>
        <v/>
      </c>
      <c r="Q466" s="91" t="str">
        <f t="shared" si="32"/>
        <v/>
      </c>
      <c r="R466" s="92">
        <v>459</v>
      </c>
      <c r="S466" s="91" t="str">
        <f t="shared" si="33"/>
        <v/>
      </c>
      <c r="T466" s="91" t="str">
        <f t="shared" si="34"/>
        <v/>
      </c>
    </row>
    <row r="467" spans="12:20" x14ac:dyDescent="0.25">
      <c r="L467" s="91" t="str">
        <f>IF(AND(ISNUMBER('15_STOCK'!$P467),'15_STOCK'!$P467&gt;0),'15_STOCK'!$P467+ROW()/1000000,"")</f>
        <v/>
      </c>
      <c r="M467" s="91" t="str">
        <f>IFERROR(MATCH('15_STOCK'!$N467,{"INCONSISTENTE","AGOTADO","CRÍTICO","BAJO","SOBRESTOCK"},0)*100000+MIN(99,INT(IF(N('15_STOCK'!$K467)&gt;0,MAX(0,N('15_STOCK'!$J467))/'15_STOCK'!$K467,0)*10))*1000+ROW(),"")</f>
        <v/>
      </c>
      <c r="N467" s="91" t="str">
        <f>IF(AND(ISNUMBER(MATCH('15_STOCK'!$N467,{"AGOTADO","CRÍTICO","BAJO"},0)),'15_STOCK'!$G467="SI",OR(pdProveedor="(Todos)",pdProveedor="",'15_STOCK'!$E467=pdProveedor)),IFERROR(MATCH('15_STOCK'!$E467,tblProveedores[Proveedor],0),999)*1000000+MATCH('15_STOCK'!$N467,{"AGOTADO","CRÍTICO","BAJO"},0)*10000+ROW(),"")</f>
        <v/>
      </c>
      <c r="O467" s="92">
        <v>460</v>
      </c>
      <c r="P467" s="91" t="str">
        <f t="shared" si="31"/>
        <v/>
      </c>
      <c r="Q467" s="91" t="str">
        <f t="shared" si="32"/>
        <v/>
      </c>
      <c r="R467" s="92">
        <v>460</v>
      </c>
      <c r="S467" s="91" t="str">
        <f t="shared" si="33"/>
        <v/>
      </c>
      <c r="T467" s="91" t="str">
        <f t="shared" si="34"/>
        <v/>
      </c>
    </row>
    <row r="468" spans="12:20" x14ac:dyDescent="0.25">
      <c r="L468" s="91" t="str">
        <f>IF(AND(ISNUMBER('15_STOCK'!$P468),'15_STOCK'!$P468&gt;0),'15_STOCK'!$P468+ROW()/1000000,"")</f>
        <v/>
      </c>
      <c r="M468" s="91" t="str">
        <f>IFERROR(MATCH('15_STOCK'!$N468,{"INCONSISTENTE","AGOTADO","CRÍTICO","BAJO","SOBRESTOCK"},0)*100000+MIN(99,INT(IF(N('15_STOCK'!$K468)&gt;0,MAX(0,N('15_STOCK'!$J468))/'15_STOCK'!$K468,0)*10))*1000+ROW(),"")</f>
        <v/>
      </c>
      <c r="N468" s="91" t="str">
        <f>IF(AND(ISNUMBER(MATCH('15_STOCK'!$N468,{"AGOTADO","CRÍTICO","BAJO"},0)),'15_STOCK'!$G468="SI",OR(pdProveedor="(Todos)",pdProveedor="",'15_STOCK'!$E468=pdProveedor)),IFERROR(MATCH('15_STOCK'!$E468,tblProveedores[Proveedor],0),999)*1000000+MATCH('15_STOCK'!$N468,{"AGOTADO","CRÍTICO","BAJO"},0)*10000+ROW(),"")</f>
        <v/>
      </c>
      <c r="O468" s="92">
        <v>461</v>
      </c>
      <c r="P468" s="91" t="str">
        <f t="shared" si="31"/>
        <v/>
      </c>
      <c r="Q468" s="91" t="str">
        <f t="shared" si="32"/>
        <v/>
      </c>
      <c r="R468" s="92">
        <v>461</v>
      </c>
      <c r="S468" s="91" t="str">
        <f t="shared" si="33"/>
        <v/>
      </c>
      <c r="T468" s="91" t="str">
        <f t="shared" si="34"/>
        <v/>
      </c>
    </row>
    <row r="469" spans="12:20" x14ac:dyDescent="0.25">
      <c r="L469" s="91" t="str">
        <f>IF(AND(ISNUMBER('15_STOCK'!$P469),'15_STOCK'!$P469&gt;0),'15_STOCK'!$P469+ROW()/1000000,"")</f>
        <v/>
      </c>
      <c r="M469" s="91" t="str">
        <f>IFERROR(MATCH('15_STOCK'!$N469,{"INCONSISTENTE","AGOTADO","CRÍTICO","BAJO","SOBRESTOCK"},0)*100000+MIN(99,INT(IF(N('15_STOCK'!$K469)&gt;0,MAX(0,N('15_STOCK'!$J469))/'15_STOCK'!$K469,0)*10))*1000+ROW(),"")</f>
        <v/>
      </c>
      <c r="N469" s="91" t="str">
        <f>IF(AND(ISNUMBER(MATCH('15_STOCK'!$N469,{"AGOTADO","CRÍTICO","BAJO"},0)),'15_STOCK'!$G469="SI",OR(pdProveedor="(Todos)",pdProveedor="",'15_STOCK'!$E469=pdProveedor)),IFERROR(MATCH('15_STOCK'!$E469,tblProveedores[Proveedor],0),999)*1000000+MATCH('15_STOCK'!$N469,{"AGOTADO","CRÍTICO","BAJO"},0)*10000+ROW(),"")</f>
        <v/>
      </c>
      <c r="O469" s="92">
        <v>462</v>
      </c>
      <c r="P469" s="91" t="str">
        <f t="shared" si="31"/>
        <v/>
      </c>
      <c r="Q469" s="91" t="str">
        <f t="shared" si="32"/>
        <v/>
      </c>
      <c r="R469" s="92">
        <v>462</v>
      </c>
      <c r="S469" s="91" t="str">
        <f t="shared" si="33"/>
        <v/>
      </c>
      <c r="T469" s="91" t="str">
        <f t="shared" si="34"/>
        <v/>
      </c>
    </row>
    <row r="470" spans="12:20" x14ac:dyDescent="0.25">
      <c r="L470" s="91" t="str">
        <f>IF(AND(ISNUMBER('15_STOCK'!$P470),'15_STOCK'!$P470&gt;0),'15_STOCK'!$P470+ROW()/1000000,"")</f>
        <v/>
      </c>
      <c r="M470" s="91" t="str">
        <f>IFERROR(MATCH('15_STOCK'!$N470,{"INCONSISTENTE","AGOTADO","CRÍTICO","BAJO","SOBRESTOCK"},0)*100000+MIN(99,INT(IF(N('15_STOCK'!$K470)&gt;0,MAX(0,N('15_STOCK'!$J470))/'15_STOCK'!$K470,0)*10))*1000+ROW(),"")</f>
        <v/>
      </c>
      <c r="N470" s="91" t="str">
        <f>IF(AND(ISNUMBER(MATCH('15_STOCK'!$N470,{"AGOTADO","CRÍTICO","BAJO"},0)),'15_STOCK'!$G470="SI",OR(pdProveedor="(Todos)",pdProveedor="",'15_STOCK'!$E470=pdProveedor)),IFERROR(MATCH('15_STOCK'!$E470,tblProveedores[Proveedor],0),999)*1000000+MATCH('15_STOCK'!$N470,{"AGOTADO","CRÍTICO","BAJO"},0)*10000+ROW(),"")</f>
        <v/>
      </c>
      <c r="O470" s="92">
        <v>463</v>
      </c>
      <c r="P470" s="91" t="str">
        <f t="shared" si="31"/>
        <v/>
      </c>
      <c r="Q470" s="91" t="str">
        <f t="shared" si="32"/>
        <v/>
      </c>
      <c r="R470" s="92">
        <v>463</v>
      </c>
      <c r="S470" s="91" t="str">
        <f t="shared" si="33"/>
        <v/>
      </c>
      <c r="T470" s="91" t="str">
        <f t="shared" si="34"/>
        <v/>
      </c>
    </row>
    <row r="471" spans="12:20" x14ac:dyDescent="0.25">
      <c r="L471" s="91" t="str">
        <f>IF(AND(ISNUMBER('15_STOCK'!$P471),'15_STOCK'!$P471&gt;0),'15_STOCK'!$P471+ROW()/1000000,"")</f>
        <v/>
      </c>
      <c r="M471" s="91" t="str">
        <f>IFERROR(MATCH('15_STOCK'!$N471,{"INCONSISTENTE","AGOTADO","CRÍTICO","BAJO","SOBRESTOCK"},0)*100000+MIN(99,INT(IF(N('15_STOCK'!$K471)&gt;0,MAX(0,N('15_STOCK'!$J471))/'15_STOCK'!$K471,0)*10))*1000+ROW(),"")</f>
        <v/>
      </c>
      <c r="N471" s="91" t="str">
        <f>IF(AND(ISNUMBER(MATCH('15_STOCK'!$N471,{"AGOTADO","CRÍTICO","BAJO"},0)),'15_STOCK'!$G471="SI",OR(pdProveedor="(Todos)",pdProveedor="",'15_STOCK'!$E471=pdProveedor)),IFERROR(MATCH('15_STOCK'!$E471,tblProveedores[Proveedor],0),999)*1000000+MATCH('15_STOCK'!$N471,{"AGOTADO","CRÍTICO","BAJO"},0)*10000+ROW(),"")</f>
        <v/>
      </c>
      <c r="O471" s="92">
        <v>464</v>
      </c>
      <c r="P471" s="91" t="str">
        <f t="shared" si="31"/>
        <v/>
      </c>
      <c r="Q471" s="91" t="str">
        <f t="shared" si="32"/>
        <v/>
      </c>
      <c r="R471" s="92">
        <v>464</v>
      </c>
      <c r="S471" s="91" t="str">
        <f t="shared" si="33"/>
        <v/>
      </c>
      <c r="T471" s="91" t="str">
        <f t="shared" si="34"/>
        <v/>
      </c>
    </row>
    <row r="472" spans="12:20" x14ac:dyDescent="0.25">
      <c r="L472" s="91" t="str">
        <f>IF(AND(ISNUMBER('15_STOCK'!$P472),'15_STOCK'!$P472&gt;0),'15_STOCK'!$P472+ROW()/1000000,"")</f>
        <v/>
      </c>
      <c r="M472" s="91" t="str">
        <f>IFERROR(MATCH('15_STOCK'!$N472,{"INCONSISTENTE","AGOTADO","CRÍTICO","BAJO","SOBRESTOCK"},0)*100000+MIN(99,INT(IF(N('15_STOCK'!$K472)&gt;0,MAX(0,N('15_STOCK'!$J472))/'15_STOCK'!$K472,0)*10))*1000+ROW(),"")</f>
        <v/>
      </c>
      <c r="N472" s="91" t="str">
        <f>IF(AND(ISNUMBER(MATCH('15_STOCK'!$N472,{"AGOTADO","CRÍTICO","BAJO"},0)),'15_STOCK'!$G472="SI",OR(pdProveedor="(Todos)",pdProveedor="",'15_STOCK'!$E472=pdProveedor)),IFERROR(MATCH('15_STOCK'!$E472,tblProveedores[Proveedor],0),999)*1000000+MATCH('15_STOCK'!$N472,{"AGOTADO","CRÍTICO","BAJO"},0)*10000+ROW(),"")</f>
        <v/>
      </c>
      <c r="O472" s="92">
        <v>465</v>
      </c>
      <c r="P472" s="91" t="str">
        <f t="shared" si="31"/>
        <v/>
      </c>
      <c r="Q472" s="91" t="str">
        <f t="shared" si="32"/>
        <v/>
      </c>
      <c r="R472" s="92">
        <v>465</v>
      </c>
      <c r="S472" s="91" t="str">
        <f t="shared" si="33"/>
        <v/>
      </c>
      <c r="T472" s="91" t="str">
        <f t="shared" si="34"/>
        <v/>
      </c>
    </row>
    <row r="473" spans="12:20" x14ac:dyDescent="0.25">
      <c r="L473" s="91" t="str">
        <f>IF(AND(ISNUMBER('15_STOCK'!$P473),'15_STOCK'!$P473&gt;0),'15_STOCK'!$P473+ROW()/1000000,"")</f>
        <v/>
      </c>
      <c r="M473" s="91" t="str">
        <f>IFERROR(MATCH('15_STOCK'!$N473,{"INCONSISTENTE","AGOTADO","CRÍTICO","BAJO","SOBRESTOCK"},0)*100000+MIN(99,INT(IF(N('15_STOCK'!$K473)&gt;0,MAX(0,N('15_STOCK'!$J473))/'15_STOCK'!$K473,0)*10))*1000+ROW(),"")</f>
        <v/>
      </c>
      <c r="N473" s="91" t="str">
        <f>IF(AND(ISNUMBER(MATCH('15_STOCK'!$N473,{"AGOTADO","CRÍTICO","BAJO"},0)),'15_STOCK'!$G473="SI",OR(pdProveedor="(Todos)",pdProveedor="",'15_STOCK'!$E473=pdProveedor)),IFERROR(MATCH('15_STOCK'!$E473,tblProveedores[Proveedor],0),999)*1000000+MATCH('15_STOCK'!$N473,{"AGOTADO","CRÍTICO","BAJO"},0)*10000+ROW(),"")</f>
        <v/>
      </c>
      <c r="O473" s="92">
        <v>466</v>
      </c>
      <c r="P473" s="91" t="str">
        <f t="shared" si="31"/>
        <v/>
      </c>
      <c r="Q473" s="91" t="str">
        <f t="shared" si="32"/>
        <v/>
      </c>
      <c r="R473" s="92">
        <v>466</v>
      </c>
      <c r="S473" s="91" t="str">
        <f t="shared" si="33"/>
        <v/>
      </c>
      <c r="T473" s="91" t="str">
        <f t="shared" si="34"/>
        <v/>
      </c>
    </row>
    <row r="474" spans="12:20" x14ac:dyDescent="0.25">
      <c r="L474" s="91" t="str">
        <f>IF(AND(ISNUMBER('15_STOCK'!$P474),'15_STOCK'!$P474&gt;0),'15_STOCK'!$P474+ROW()/1000000,"")</f>
        <v/>
      </c>
      <c r="M474" s="91" t="str">
        <f>IFERROR(MATCH('15_STOCK'!$N474,{"INCONSISTENTE","AGOTADO","CRÍTICO","BAJO","SOBRESTOCK"},0)*100000+MIN(99,INT(IF(N('15_STOCK'!$K474)&gt;0,MAX(0,N('15_STOCK'!$J474))/'15_STOCK'!$K474,0)*10))*1000+ROW(),"")</f>
        <v/>
      </c>
      <c r="N474" s="91" t="str">
        <f>IF(AND(ISNUMBER(MATCH('15_STOCK'!$N474,{"AGOTADO","CRÍTICO","BAJO"},0)),'15_STOCK'!$G474="SI",OR(pdProveedor="(Todos)",pdProveedor="",'15_STOCK'!$E474=pdProveedor)),IFERROR(MATCH('15_STOCK'!$E474,tblProveedores[Proveedor],0),999)*1000000+MATCH('15_STOCK'!$N474,{"AGOTADO","CRÍTICO","BAJO"},0)*10000+ROW(),"")</f>
        <v/>
      </c>
      <c r="O474" s="92">
        <v>467</v>
      </c>
      <c r="P474" s="91" t="str">
        <f t="shared" si="31"/>
        <v/>
      </c>
      <c r="Q474" s="91" t="str">
        <f t="shared" si="32"/>
        <v/>
      </c>
      <c r="R474" s="92">
        <v>467</v>
      </c>
      <c r="S474" s="91" t="str">
        <f t="shared" si="33"/>
        <v/>
      </c>
      <c r="T474" s="91" t="str">
        <f t="shared" si="34"/>
        <v/>
      </c>
    </row>
    <row r="475" spans="12:20" x14ac:dyDescent="0.25">
      <c r="L475" s="91" t="str">
        <f>IF(AND(ISNUMBER('15_STOCK'!$P475),'15_STOCK'!$P475&gt;0),'15_STOCK'!$P475+ROW()/1000000,"")</f>
        <v/>
      </c>
      <c r="M475" s="91" t="str">
        <f>IFERROR(MATCH('15_STOCK'!$N475,{"INCONSISTENTE","AGOTADO","CRÍTICO","BAJO","SOBRESTOCK"},0)*100000+MIN(99,INT(IF(N('15_STOCK'!$K475)&gt;0,MAX(0,N('15_STOCK'!$J475))/'15_STOCK'!$K475,0)*10))*1000+ROW(),"")</f>
        <v/>
      </c>
      <c r="N475" s="91" t="str">
        <f>IF(AND(ISNUMBER(MATCH('15_STOCK'!$N475,{"AGOTADO","CRÍTICO","BAJO"},0)),'15_STOCK'!$G475="SI",OR(pdProveedor="(Todos)",pdProveedor="",'15_STOCK'!$E475=pdProveedor)),IFERROR(MATCH('15_STOCK'!$E475,tblProveedores[Proveedor],0),999)*1000000+MATCH('15_STOCK'!$N475,{"AGOTADO","CRÍTICO","BAJO"},0)*10000+ROW(),"")</f>
        <v/>
      </c>
      <c r="O475" s="92">
        <v>468</v>
      </c>
      <c r="P475" s="91" t="str">
        <f t="shared" si="31"/>
        <v/>
      </c>
      <c r="Q475" s="91" t="str">
        <f t="shared" si="32"/>
        <v/>
      </c>
      <c r="R475" s="92">
        <v>468</v>
      </c>
      <c r="S475" s="91" t="str">
        <f t="shared" si="33"/>
        <v/>
      </c>
      <c r="T475" s="91" t="str">
        <f t="shared" si="34"/>
        <v/>
      </c>
    </row>
    <row r="476" spans="12:20" x14ac:dyDescent="0.25">
      <c r="L476" s="91" t="str">
        <f>IF(AND(ISNUMBER('15_STOCK'!$P476),'15_STOCK'!$P476&gt;0),'15_STOCK'!$P476+ROW()/1000000,"")</f>
        <v/>
      </c>
      <c r="M476" s="91" t="str">
        <f>IFERROR(MATCH('15_STOCK'!$N476,{"INCONSISTENTE","AGOTADO","CRÍTICO","BAJO","SOBRESTOCK"},0)*100000+MIN(99,INT(IF(N('15_STOCK'!$K476)&gt;0,MAX(0,N('15_STOCK'!$J476))/'15_STOCK'!$K476,0)*10))*1000+ROW(),"")</f>
        <v/>
      </c>
      <c r="N476" s="91" t="str">
        <f>IF(AND(ISNUMBER(MATCH('15_STOCK'!$N476,{"AGOTADO","CRÍTICO","BAJO"},0)),'15_STOCK'!$G476="SI",OR(pdProveedor="(Todos)",pdProveedor="",'15_STOCK'!$E476=pdProveedor)),IFERROR(MATCH('15_STOCK'!$E476,tblProveedores[Proveedor],0),999)*1000000+MATCH('15_STOCK'!$N476,{"AGOTADO","CRÍTICO","BAJO"},0)*10000+ROW(),"")</f>
        <v/>
      </c>
      <c r="O476" s="92">
        <v>469</v>
      </c>
      <c r="P476" s="91" t="str">
        <f t="shared" si="31"/>
        <v/>
      </c>
      <c r="Q476" s="91" t="str">
        <f t="shared" si="32"/>
        <v/>
      </c>
      <c r="R476" s="92">
        <v>469</v>
      </c>
      <c r="S476" s="91" t="str">
        <f t="shared" si="33"/>
        <v/>
      </c>
      <c r="T476" s="91" t="str">
        <f t="shared" si="34"/>
        <v/>
      </c>
    </row>
    <row r="477" spans="12:20" x14ac:dyDescent="0.25">
      <c r="L477" s="91" t="str">
        <f>IF(AND(ISNUMBER('15_STOCK'!$P477),'15_STOCK'!$P477&gt;0),'15_STOCK'!$P477+ROW()/1000000,"")</f>
        <v/>
      </c>
      <c r="M477" s="91" t="str">
        <f>IFERROR(MATCH('15_STOCK'!$N477,{"INCONSISTENTE","AGOTADO","CRÍTICO","BAJO","SOBRESTOCK"},0)*100000+MIN(99,INT(IF(N('15_STOCK'!$K477)&gt;0,MAX(0,N('15_STOCK'!$J477))/'15_STOCK'!$K477,0)*10))*1000+ROW(),"")</f>
        <v/>
      </c>
      <c r="N477" s="91" t="str">
        <f>IF(AND(ISNUMBER(MATCH('15_STOCK'!$N477,{"AGOTADO","CRÍTICO","BAJO"},0)),'15_STOCK'!$G477="SI",OR(pdProveedor="(Todos)",pdProveedor="",'15_STOCK'!$E477=pdProveedor)),IFERROR(MATCH('15_STOCK'!$E477,tblProveedores[Proveedor],0),999)*1000000+MATCH('15_STOCK'!$N477,{"AGOTADO","CRÍTICO","BAJO"},0)*10000+ROW(),"")</f>
        <v/>
      </c>
      <c r="O477" s="92">
        <v>470</v>
      </c>
      <c r="P477" s="91" t="str">
        <f t="shared" si="31"/>
        <v/>
      </c>
      <c r="Q477" s="91" t="str">
        <f t="shared" si="32"/>
        <v/>
      </c>
      <c r="R477" s="92">
        <v>470</v>
      </c>
      <c r="S477" s="91" t="str">
        <f t="shared" si="33"/>
        <v/>
      </c>
      <c r="T477" s="91" t="str">
        <f t="shared" si="34"/>
        <v/>
      </c>
    </row>
    <row r="478" spans="12:20" x14ac:dyDescent="0.25">
      <c r="L478" s="91" t="str">
        <f>IF(AND(ISNUMBER('15_STOCK'!$P478),'15_STOCK'!$P478&gt;0),'15_STOCK'!$P478+ROW()/1000000,"")</f>
        <v/>
      </c>
      <c r="M478" s="91" t="str">
        <f>IFERROR(MATCH('15_STOCK'!$N478,{"INCONSISTENTE","AGOTADO","CRÍTICO","BAJO","SOBRESTOCK"},0)*100000+MIN(99,INT(IF(N('15_STOCK'!$K478)&gt;0,MAX(0,N('15_STOCK'!$J478))/'15_STOCK'!$K478,0)*10))*1000+ROW(),"")</f>
        <v/>
      </c>
      <c r="N478" s="91" t="str">
        <f>IF(AND(ISNUMBER(MATCH('15_STOCK'!$N478,{"AGOTADO","CRÍTICO","BAJO"},0)),'15_STOCK'!$G478="SI",OR(pdProveedor="(Todos)",pdProveedor="",'15_STOCK'!$E478=pdProveedor)),IFERROR(MATCH('15_STOCK'!$E478,tblProveedores[Proveedor],0),999)*1000000+MATCH('15_STOCK'!$N478,{"AGOTADO","CRÍTICO","BAJO"},0)*10000+ROW(),"")</f>
        <v/>
      </c>
      <c r="O478" s="92">
        <v>471</v>
      </c>
      <c r="P478" s="91" t="str">
        <f t="shared" si="31"/>
        <v/>
      </c>
      <c r="Q478" s="91" t="str">
        <f t="shared" si="32"/>
        <v/>
      </c>
      <c r="R478" s="92">
        <v>471</v>
      </c>
      <c r="S478" s="91" t="str">
        <f t="shared" si="33"/>
        <v/>
      </c>
      <c r="T478" s="91" t="str">
        <f t="shared" si="34"/>
        <v/>
      </c>
    </row>
    <row r="479" spans="12:20" x14ac:dyDescent="0.25">
      <c r="L479" s="91" t="str">
        <f>IF(AND(ISNUMBER('15_STOCK'!$P479),'15_STOCK'!$P479&gt;0),'15_STOCK'!$P479+ROW()/1000000,"")</f>
        <v/>
      </c>
      <c r="M479" s="91" t="str">
        <f>IFERROR(MATCH('15_STOCK'!$N479,{"INCONSISTENTE","AGOTADO","CRÍTICO","BAJO","SOBRESTOCK"},0)*100000+MIN(99,INT(IF(N('15_STOCK'!$K479)&gt;0,MAX(0,N('15_STOCK'!$J479))/'15_STOCK'!$K479,0)*10))*1000+ROW(),"")</f>
        <v/>
      </c>
      <c r="N479" s="91" t="str">
        <f>IF(AND(ISNUMBER(MATCH('15_STOCK'!$N479,{"AGOTADO","CRÍTICO","BAJO"},0)),'15_STOCK'!$G479="SI",OR(pdProveedor="(Todos)",pdProveedor="",'15_STOCK'!$E479=pdProveedor)),IFERROR(MATCH('15_STOCK'!$E479,tblProveedores[Proveedor],0),999)*1000000+MATCH('15_STOCK'!$N479,{"AGOTADO","CRÍTICO","BAJO"},0)*10000+ROW(),"")</f>
        <v/>
      </c>
      <c r="O479" s="92">
        <v>472</v>
      </c>
      <c r="P479" s="91" t="str">
        <f t="shared" si="31"/>
        <v/>
      </c>
      <c r="Q479" s="91" t="str">
        <f t="shared" si="32"/>
        <v/>
      </c>
      <c r="R479" s="92">
        <v>472</v>
      </c>
      <c r="S479" s="91" t="str">
        <f t="shared" si="33"/>
        <v/>
      </c>
      <c r="T479" s="91" t="str">
        <f t="shared" si="34"/>
        <v/>
      </c>
    </row>
    <row r="480" spans="12:20" x14ac:dyDescent="0.25">
      <c r="L480" s="91" t="str">
        <f>IF(AND(ISNUMBER('15_STOCK'!$P480),'15_STOCK'!$P480&gt;0),'15_STOCK'!$P480+ROW()/1000000,"")</f>
        <v/>
      </c>
      <c r="M480" s="91" t="str">
        <f>IFERROR(MATCH('15_STOCK'!$N480,{"INCONSISTENTE","AGOTADO","CRÍTICO","BAJO","SOBRESTOCK"},0)*100000+MIN(99,INT(IF(N('15_STOCK'!$K480)&gt;0,MAX(0,N('15_STOCK'!$J480))/'15_STOCK'!$K480,0)*10))*1000+ROW(),"")</f>
        <v/>
      </c>
      <c r="N480" s="91" t="str">
        <f>IF(AND(ISNUMBER(MATCH('15_STOCK'!$N480,{"AGOTADO","CRÍTICO","BAJO"},0)),'15_STOCK'!$G480="SI",OR(pdProveedor="(Todos)",pdProveedor="",'15_STOCK'!$E480=pdProveedor)),IFERROR(MATCH('15_STOCK'!$E480,tblProveedores[Proveedor],0),999)*1000000+MATCH('15_STOCK'!$N480,{"AGOTADO","CRÍTICO","BAJO"},0)*10000+ROW(),"")</f>
        <v/>
      </c>
      <c r="O480" s="92">
        <v>473</v>
      </c>
      <c r="P480" s="91" t="str">
        <f t="shared" si="31"/>
        <v/>
      </c>
      <c r="Q480" s="91" t="str">
        <f t="shared" si="32"/>
        <v/>
      </c>
      <c r="R480" s="92">
        <v>473</v>
      </c>
      <c r="S480" s="91" t="str">
        <f t="shared" si="33"/>
        <v/>
      </c>
      <c r="T480" s="91" t="str">
        <f t="shared" si="34"/>
        <v/>
      </c>
    </row>
    <row r="481" spans="12:20" x14ac:dyDescent="0.25">
      <c r="L481" s="91" t="str">
        <f>IF(AND(ISNUMBER('15_STOCK'!$P481),'15_STOCK'!$P481&gt;0),'15_STOCK'!$P481+ROW()/1000000,"")</f>
        <v/>
      </c>
      <c r="M481" s="91" t="str">
        <f>IFERROR(MATCH('15_STOCK'!$N481,{"INCONSISTENTE","AGOTADO","CRÍTICO","BAJO","SOBRESTOCK"},0)*100000+MIN(99,INT(IF(N('15_STOCK'!$K481)&gt;0,MAX(0,N('15_STOCK'!$J481))/'15_STOCK'!$K481,0)*10))*1000+ROW(),"")</f>
        <v/>
      </c>
      <c r="N481" s="91" t="str">
        <f>IF(AND(ISNUMBER(MATCH('15_STOCK'!$N481,{"AGOTADO","CRÍTICO","BAJO"},0)),'15_STOCK'!$G481="SI",OR(pdProveedor="(Todos)",pdProveedor="",'15_STOCK'!$E481=pdProveedor)),IFERROR(MATCH('15_STOCK'!$E481,tblProveedores[Proveedor],0),999)*1000000+MATCH('15_STOCK'!$N481,{"AGOTADO","CRÍTICO","BAJO"},0)*10000+ROW(),"")</f>
        <v/>
      </c>
      <c r="O481" s="92">
        <v>474</v>
      </c>
      <c r="P481" s="91" t="str">
        <f t="shared" si="31"/>
        <v/>
      </c>
      <c r="Q481" s="91" t="str">
        <f t="shared" si="32"/>
        <v/>
      </c>
      <c r="R481" s="92">
        <v>474</v>
      </c>
      <c r="S481" s="91" t="str">
        <f t="shared" si="33"/>
        <v/>
      </c>
      <c r="T481" s="91" t="str">
        <f t="shared" si="34"/>
        <v/>
      </c>
    </row>
    <row r="482" spans="12:20" x14ac:dyDescent="0.25">
      <c r="L482" s="91" t="str">
        <f>IF(AND(ISNUMBER('15_STOCK'!$P482),'15_STOCK'!$P482&gt;0),'15_STOCK'!$P482+ROW()/1000000,"")</f>
        <v/>
      </c>
      <c r="M482" s="91" t="str">
        <f>IFERROR(MATCH('15_STOCK'!$N482,{"INCONSISTENTE","AGOTADO","CRÍTICO","BAJO","SOBRESTOCK"},0)*100000+MIN(99,INT(IF(N('15_STOCK'!$K482)&gt;0,MAX(0,N('15_STOCK'!$J482))/'15_STOCK'!$K482,0)*10))*1000+ROW(),"")</f>
        <v/>
      </c>
      <c r="N482" s="91" t="str">
        <f>IF(AND(ISNUMBER(MATCH('15_STOCK'!$N482,{"AGOTADO","CRÍTICO","BAJO"},0)),'15_STOCK'!$G482="SI",OR(pdProveedor="(Todos)",pdProveedor="",'15_STOCK'!$E482=pdProveedor)),IFERROR(MATCH('15_STOCK'!$E482,tblProveedores[Proveedor],0),999)*1000000+MATCH('15_STOCK'!$N482,{"AGOTADO","CRÍTICO","BAJO"},0)*10000+ROW(),"")</f>
        <v/>
      </c>
      <c r="O482" s="92">
        <v>475</v>
      </c>
      <c r="P482" s="91" t="str">
        <f t="shared" si="31"/>
        <v/>
      </c>
      <c r="Q482" s="91" t="str">
        <f t="shared" si="32"/>
        <v/>
      </c>
      <c r="R482" s="92">
        <v>475</v>
      </c>
      <c r="S482" s="91" t="str">
        <f t="shared" si="33"/>
        <v/>
      </c>
      <c r="T482" s="91" t="str">
        <f t="shared" si="34"/>
        <v/>
      </c>
    </row>
    <row r="483" spans="12:20" x14ac:dyDescent="0.25">
      <c r="L483" s="91" t="str">
        <f>IF(AND(ISNUMBER('15_STOCK'!$P483),'15_STOCK'!$P483&gt;0),'15_STOCK'!$P483+ROW()/1000000,"")</f>
        <v/>
      </c>
      <c r="M483" s="91" t="str">
        <f>IFERROR(MATCH('15_STOCK'!$N483,{"INCONSISTENTE","AGOTADO","CRÍTICO","BAJO","SOBRESTOCK"},0)*100000+MIN(99,INT(IF(N('15_STOCK'!$K483)&gt;0,MAX(0,N('15_STOCK'!$J483))/'15_STOCK'!$K483,0)*10))*1000+ROW(),"")</f>
        <v/>
      </c>
      <c r="N483" s="91" t="str">
        <f>IF(AND(ISNUMBER(MATCH('15_STOCK'!$N483,{"AGOTADO","CRÍTICO","BAJO"},0)),'15_STOCK'!$G483="SI",OR(pdProveedor="(Todos)",pdProveedor="",'15_STOCK'!$E483=pdProveedor)),IFERROR(MATCH('15_STOCK'!$E483,tblProveedores[Proveedor],0),999)*1000000+MATCH('15_STOCK'!$N483,{"AGOTADO","CRÍTICO","BAJO"},0)*10000+ROW(),"")</f>
        <v/>
      </c>
      <c r="O483" s="92">
        <v>476</v>
      </c>
      <c r="P483" s="91" t="str">
        <f t="shared" si="31"/>
        <v/>
      </c>
      <c r="Q483" s="91" t="str">
        <f t="shared" si="32"/>
        <v/>
      </c>
      <c r="R483" s="92">
        <v>476</v>
      </c>
      <c r="S483" s="91" t="str">
        <f t="shared" si="33"/>
        <v/>
      </c>
      <c r="T483" s="91" t="str">
        <f t="shared" si="34"/>
        <v/>
      </c>
    </row>
    <row r="484" spans="12:20" x14ac:dyDescent="0.25">
      <c r="L484" s="91" t="str">
        <f>IF(AND(ISNUMBER('15_STOCK'!$P484),'15_STOCK'!$P484&gt;0),'15_STOCK'!$P484+ROW()/1000000,"")</f>
        <v/>
      </c>
      <c r="M484" s="91" t="str">
        <f>IFERROR(MATCH('15_STOCK'!$N484,{"INCONSISTENTE","AGOTADO","CRÍTICO","BAJO","SOBRESTOCK"},0)*100000+MIN(99,INT(IF(N('15_STOCK'!$K484)&gt;0,MAX(0,N('15_STOCK'!$J484))/'15_STOCK'!$K484,0)*10))*1000+ROW(),"")</f>
        <v/>
      </c>
      <c r="N484" s="91" t="str">
        <f>IF(AND(ISNUMBER(MATCH('15_STOCK'!$N484,{"AGOTADO","CRÍTICO","BAJO"},0)),'15_STOCK'!$G484="SI",OR(pdProveedor="(Todos)",pdProveedor="",'15_STOCK'!$E484=pdProveedor)),IFERROR(MATCH('15_STOCK'!$E484,tblProveedores[Proveedor],0),999)*1000000+MATCH('15_STOCK'!$N484,{"AGOTADO","CRÍTICO","BAJO"},0)*10000+ROW(),"")</f>
        <v/>
      </c>
      <c r="O484" s="92">
        <v>477</v>
      </c>
      <c r="P484" s="91" t="str">
        <f t="shared" si="31"/>
        <v/>
      </c>
      <c r="Q484" s="91" t="str">
        <f t="shared" si="32"/>
        <v/>
      </c>
      <c r="R484" s="92">
        <v>477</v>
      </c>
      <c r="S484" s="91" t="str">
        <f t="shared" si="33"/>
        <v/>
      </c>
      <c r="T484" s="91" t="str">
        <f t="shared" si="34"/>
        <v/>
      </c>
    </row>
    <row r="485" spans="12:20" x14ac:dyDescent="0.25">
      <c r="L485" s="91" t="str">
        <f>IF(AND(ISNUMBER('15_STOCK'!$P485),'15_STOCK'!$P485&gt;0),'15_STOCK'!$P485+ROW()/1000000,"")</f>
        <v/>
      </c>
      <c r="M485" s="91" t="str">
        <f>IFERROR(MATCH('15_STOCK'!$N485,{"INCONSISTENTE","AGOTADO","CRÍTICO","BAJO","SOBRESTOCK"},0)*100000+MIN(99,INT(IF(N('15_STOCK'!$K485)&gt;0,MAX(0,N('15_STOCK'!$J485))/'15_STOCK'!$K485,0)*10))*1000+ROW(),"")</f>
        <v/>
      </c>
      <c r="N485" s="91" t="str">
        <f>IF(AND(ISNUMBER(MATCH('15_STOCK'!$N485,{"AGOTADO","CRÍTICO","BAJO"},0)),'15_STOCK'!$G485="SI",OR(pdProveedor="(Todos)",pdProveedor="",'15_STOCK'!$E485=pdProveedor)),IFERROR(MATCH('15_STOCK'!$E485,tblProveedores[Proveedor],0),999)*1000000+MATCH('15_STOCK'!$N485,{"AGOTADO","CRÍTICO","BAJO"},0)*10000+ROW(),"")</f>
        <v/>
      </c>
      <c r="O485" s="92">
        <v>478</v>
      </c>
      <c r="P485" s="91" t="str">
        <f t="shared" si="31"/>
        <v/>
      </c>
      <c r="Q485" s="91" t="str">
        <f t="shared" si="32"/>
        <v/>
      </c>
      <c r="R485" s="92">
        <v>478</v>
      </c>
      <c r="S485" s="91" t="str">
        <f t="shared" si="33"/>
        <v/>
      </c>
      <c r="T485" s="91" t="str">
        <f t="shared" si="34"/>
        <v/>
      </c>
    </row>
    <row r="486" spans="12:20" x14ac:dyDescent="0.25">
      <c r="L486" s="91" t="str">
        <f>IF(AND(ISNUMBER('15_STOCK'!$P486),'15_STOCK'!$P486&gt;0),'15_STOCK'!$P486+ROW()/1000000,"")</f>
        <v/>
      </c>
      <c r="M486" s="91" t="str">
        <f>IFERROR(MATCH('15_STOCK'!$N486,{"INCONSISTENTE","AGOTADO","CRÍTICO","BAJO","SOBRESTOCK"},0)*100000+MIN(99,INT(IF(N('15_STOCK'!$K486)&gt;0,MAX(0,N('15_STOCK'!$J486))/'15_STOCK'!$K486,0)*10))*1000+ROW(),"")</f>
        <v/>
      </c>
      <c r="N486" s="91" t="str">
        <f>IF(AND(ISNUMBER(MATCH('15_STOCK'!$N486,{"AGOTADO","CRÍTICO","BAJO"},0)),'15_STOCK'!$G486="SI",OR(pdProveedor="(Todos)",pdProveedor="",'15_STOCK'!$E486=pdProveedor)),IFERROR(MATCH('15_STOCK'!$E486,tblProveedores[Proveedor],0),999)*1000000+MATCH('15_STOCK'!$N486,{"AGOTADO","CRÍTICO","BAJO"},0)*10000+ROW(),"")</f>
        <v/>
      </c>
      <c r="O486" s="92">
        <v>479</v>
      </c>
      <c r="P486" s="91" t="str">
        <f t="shared" si="31"/>
        <v/>
      </c>
      <c r="Q486" s="91" t="str">
        <f t="shared" si="32"/>
        <v/>
      </c>
      <c r="R486" s="92">
        <v>479</v>
      </c>
      <c r="S486" s="91" t="str">
        <f t="shared" si="33"/>
        <v/>
      </c>
      <c r="T486" s="91" t="str">
        <f t="shared" si="34"/>
        <v/>
      </c>
    </row>
    <row r="487" spans="12:20" x14ac:dyDescent="0.25">
      <c r="L487" s="91" t="str">
        <f>IF(AND(ISNUMBER('15_STOCK'!$P487),'15_STOCK'!$P487&gt;0),'15_STOCK'!$P487+ROW()/1000000,"")</f>
        <v/>
      </c>
      <c r="M487" s="91" t="str">
        <f>IFERROR(MATCH('15_STOCK'!$N487,{"INCONSISTENTE","AGOTADO","CRÍTICO","BAJO","SOBRESTOCK"},0)*100000+MIN(99,INT(IF(N('15_STOCK'!$K487)&gt;0,MAX(0,N('15_STOCK'!$J487))/'15_STOCK'!$K487,0)*10))*1000+ROW(),"")</f>
        <v/>
      </c>
      <c r="N487" s="91" t="str">
        <f>IF(AND(ISNUMBER(MATCH('15_STOCK'!$N487,{"AGOTADO","CRÍTICO","BAJO"},0)),'15_STOCK'!$G487="SI",OR(pdProveedor="(Todos)",pdProveedor="",'15_STOCK'!$E487=pdProveedor)),IFERROR(MATCH('15_STOCK'!$E487,tblProveedores[Proveedor],0),999)*1000000+MATCH('15_STOCK'!$N487,{"AGOTADO","CRÍTICO","BAJO"},0)*10000+ROW(),"")</f>
        <v/>
      </c>
      <c r="O487" s="92">
        <v>480</v>
      </c>
      <c r="P487" s="91" t="str">
        <f t="shared" si="31"/>
        <v/>
      </c>
      <c r="Q487" s="91" t="str">
        <f t="shared" si="32"/>
        <v/>
      </c>
      <c r="R487" s="92">
        <v>480</v>
      </c>
      <c r="S487" s="91" t="str">
        <f t="shared" si="33"/>
        <v/>
      </c>
      <c r="T487" s="91" t="str">
        <f t="shared" si="34"/>
        <v/>
      </c>
    </row>
    <row r="488" spans="12:20" x14ac:dyDescent="0.25">
      <c r="L488" s="91" t="str">
        <f>IF(AND(ISNUMBER('15_STOCK'!$P488),'15_STOCK'!$P488&gt;0),'15_STOCK'!$P488+ROW()/1000000,"")</f>
        <v/>
      </c>
      <c r="M488" s="91" t="str">
        <f>IFERROR(MATCH('15_STOCK'!$N488,{"INCONSISTENTE","AGOTADO","CRÍTICO","BAJO","SOBRESTOCK"},0)*100000+MIN(99,INT(IF(N('15_STOCK'!$K488)&gt;0,MAX(0,N('15_STOCK'!$J488))/'15_STOCK'!$K488,0)*10))*1000+ROW(),"")</f>
        <v/>
      </c>
      <c r="N488" s="91" t="str">
        <f>IF(AND(ISNUMBER(MATCH('15_STOCK'!$N488,{"AGOTADO","CRÍTICO","BAJO"},0)),'15_STOCK'!$G488="SI",OR(pdProveedor="(Todos)",pdProveedor="",'15_STOCK'!$E488=pdProveedor)),IFERROR(MATCH('15_STOCK'!$E488,tblProveedores[Proveedor],0),999)*1000000+MATCH('15_STOCK'!$N488,{"AGOTADO","CRÍTICO","BAJO"},0)*10000+ROW(),"")</f>
        <v/>
      </c>
      <c r="O488" s="92">
        <v>481</v>
      </c>
      <c r="P488" s="91" t="str">
        <f t="shared" si="31"/>
        <v/>
      </c>
      <c r="Q488" s="91" t="str">
        <f t="shared" si="32"/>
        <v/>
      </c>
      <c r="R488" s="92">
        <v>481</v>
      </c>
      <c r="S488" s="91" t="str">
        <f t="shared" si="33"/>
        <v/>
      </c>
      <c r="T488" s="91" t="str">
        <f t="shared" si="34"/>
        <v/>
      </c>
    </row>
    <row r="489" spans="12:20" x14ac:dyDescent="0.25">
      <c r="L489" s="91" t="str">
        <f>IF(AND(ISNUMBER('15_STOCK'!$P489),'15_STOCK'!$P489&gt;0),'15_STOCK'!$P489+ROW()/1000000,"")</f>
        <v/>
      </c>
      <c r="M489" s="91" t="str">
        <f>IFERROR(MATCH('15_STOCK'!$N489,{"INCONSISTENTE","AGOTADO","CRÍTICO","BAJO","SOBRESTOCK"},0)*100000+MIN(99,INT(IF(N('15_STOCK'!$K489)&gt;0,MAX(0,N('15_STOCK'!$J489))/'15_STOCK'!$K489,0)*10))*1000+ROW(),"")</f>
        <v/>
      </c>
      <c r="N489" s="91" t="str">
        <f>IF(AND(ISNUMBER(MATCH('15_STOCK'!$N489,{"AGOTADO","CRÍTICO","BAJO"},0)),'15_STOCK'!$G489="SI",OR(pdProveedor="(Todos)",pdProveedor="",'15_STOCK'!$E489=pdProveedor)),IFERROR(MATCH('15_STOCK'!$E489,tblProveedores[Proveedor],0),999)*1000000+MATCH('15_STOCK'!$N489,{"AGOTADO","CRÍTICO","BAJO"},0)*10000+ROW(),"")</f>
        <v/>
      </c>
      <c r="O489" s="92">
        <v>482</v>
      </c>
      <c r="P489" s="91" t="str">
        <f t="shared" si="31"/>
        <v/>
      </c>
      <c r="Q489" s="91" t="str">
        <f t="shared" si="32"/>
        <v/>
      </c>
      <c r="R489" s="92">
        <v>482</v>
      </c>
      <c r="S489" s="91" t="str">
        <f t="shared" si="33"/>
        <v/>
      </c>
      <c r="T489" s="91" t="str">
        <f t="shared" si="34"/>
        <v/>
      </c>
    </row>
    <row r="490" spans="12:20" x14ac:dyDescent="0.25">
      <c r="L490" s="91" t="str">
        <f>IF(AND(ISNUMBER('15_STOCK'!$P490),'15_STOCK'!$P490&gt;0),'15_STOCK'!$P490+ROW()/1000000,"")</f>
        <v/>
      </c>
      <c r="M490" s="91" t="str">
        <f>IFERROR(MATCH('15_STOCK'!$N490,{"INCONSISTENTE","AGOTADO","CRÍTICO","BAJO","SOBRESTOCK"},0)*100000+MIN(99,INT(IF(N('15_STOCK'!$K490)&gt;0,MAX(0,N('15_STOCK'!$J490))/'15_STOCK'!$K490,0)*10))*1000+ROW(),"")</f>
        <v/>
      </c>
      <c r="N490" s="91" t="str">
        <f>IF(AND(ISNUMBER(MATCH('15_STOCK'!$N490,{"AGOTADO","CRÍTICO","BAJO"},0)),'15_STOCK'!$G490="SI",OR(pdProveedor="(Todos)",pdProveedor="",'15_STOCK'!$E490=pdProveedor)),IFERROR(MATCH('15_STOCK'!$E490,tblProveedores[Proveedor],0),999)*1000000+MATCH('15_STOCK'!$N490,{"AGOTADO","CRÍTICO","BAJO"},0)*10000+ROW(),"")</f>
        <v/>
      </c>
      <c r="O490" s="92">
        <v>483</v>
      </c>
      <c r="P490" s="91" t="str">
        <f t="shared" si="31"/>
        <v/>
      </c>
      <c r="Q490" s="91" t="str">
        <f t="shared" si="32"/>
        <v/>
      </c>
      <c r="R490" s="92">
        <v>483</v>
      </c>
      <c r="S490" s="91" t="str">
        <f t="shared" si="33"/>
        <v/>
      </c>
      <c r="T490" s="91" t="str">
        <f t="shared" si="34"/>
        <v/>
      </c>
    </row>
    <row r="491" spans="12:20" x14ac:dyDescent="0.25">
      <c r="L491" s="91" t="str">
        <f>IF(AND(ISNUMBER('15_STOCK'!$P491),'15_STOCK'!$P491&gt;0),'15_STOCK'!$P491+ROW()/1000000,"")</f>
        <v/>
      </c>
      <c r="M491" s="91" t="str">
        <f>IFERROR(MATCH('15_STOCK'!$N491,{"INCONSISTENTE","AGOTADO","CRÍTICO","BAJO","SOBRESTOCK"},0)*100000+MIN(99,INT(IF(N('15_STOCK'!$K491)&gt;0,MAX(0,N('15_STOCK'!$J491))/'15_STOCK'!$K491,0)*10))*1000+ROW(),"")</f>
        <v/>
      </c>
      <c r="N491" s="91" t="str">
        <f>IF(AND(ISNUMBER(MATCH('15_STOCK'!$N491,{"AGOTADO","CRÍTICO","BAJO"},0)),'15_STOCK'!$G491="SI",OR(pdProveedor="(Todos)",pdProveedor="",'15_STOCK'!$E491=pdProveedor)),IFERROR(MATCH('15_STOCK'!$E491,tblProveedores[Proveedor],0),999)*1000000+MATCH('15_STOCK'!$N491,{"AGOTADO","CRÍTICO","BAJO"},0)*10000+ROW(),"")</f>
        <v/>
      </c>
      <c r="O491" s="92">
        <v>484</v>
      </c>
      <c r="P491" s="91" t="str">
        <f t="shared" si="31"/>
        <v/>
      </c>
      <c r="Q491" s="91" t="str">
        <f t="shared" si="32"/>
        <v/>
      </c>
      <c r="R491" s="92">
        <v>484</v>
      </c>
      <c r="S491" s="91" t="str">
        <f t="shared" si="33"/>
        <v/>
      </c>
      <c r="T491" s="91" t="str">
        <f t="shared" si="34"/>
        <v/>
      </c>
    </row>
    <row r="492" spans="12:20" x14ac:dyDescent="0.25">
      <c r="L492" s="91" t="str">
        <f>IF(AND(ISNUMBER('15_STOCK'!$P492),'15_STOCK'!$P492&gt;0),'15_STOCK'!$P492+ROW()/1000000,"")</f>
        <v/>
      </c>
      <c r="M492" s="91" t="str">
        <f>IFERROR(MATCH('15_STOCK'!$N492,{"INCONSISTENTE","AGOTADO","CRÍTICO","BAJO","SOBRESTOCK"},0)*100000+MIN(99,INT(IF(N('15_STOCK'!$K492)&gt;0,MAX(0,N('15_STOCK'!$J492))/'15_STOCK'!$K492,0)*10))*1000+ROW(),"")</f>
        <v/>
      </c>
      <c r="N492" s="91" t="str">
        <f>IF(AND(ISNUMBER(MATCH('15_STOCK'!$N492,{"AGOTADO","CRÍTICO","BAJO"},0)),'15_STOCK'!$G492="SI",OR(pdProveedor="(Todos)",pdProveedor="",'15_STOCK'!$E492=pdProveedor)),IFERROR(MATCH('15_STOCK'!$E492,tblProveedores[Proveedor],0),999)*1000000+MATCH('15_STOCK'!$N492,{"AGOTADO","CRÍTICO","BAJO"},0)*10000+ROW(),"")</f>
        <v/>
      </c>
      <c r="O492" s="92">
        <v>485</v>
      </c>
      <c r="P492" s="91" t="str">
        <f t="shared" si="31"/>
        <v/>
      </c>
      <c r="Q492" s="91" t="str">
        <f t="shared" si="32"/>
        <v/>
      </c>
      <c r="R492" s="92">
        <v>485</v>
      </c>
      <c r="S492" s="91" t="str">
        <f t="shared" si="33"/>
        <v/>
      </c>
      <c r="T492" s="91" t="str">
        <f t="shared" si="34"/>
        <v/>
      </c>
    </row>
    <row r="493" spans="12:20" x14ac:dyDescent="0.25">
      <c r="L493" s="91" t="str">
        <f>IF(AND(ISNUMBER('15_STOCK'!$P493),'15_STOCK'!$P493&gt;0),'15_STOCK'!$P493+ROW()/1000000,"")</f>
        <v/>
      </c>
      <c r="M493" s="91" t="str">
        <f>IFERROR(MATCH('15_STOCK'!$N493,{"INCONSISTENTE","AGOTADO","CRÍTICO","BAJO","SOBRESTOCK"},0)*100000+MIN(99,INT(IF(N('15_STOCK'!$K493)&gt;0,MAX(0,N('15_STOCK'!$J493))/'15_STOCK'!$K493,0)*10))*1000+ROW(),"")</f>
        <v/>
      </c>
      <c r="N493" s="91" t="str">
        <f>IF(AND(ISNUMBER(MATCH('15_STOCK'!$N493,{"AGOTADO","CRÍTICO","BAJO"},0)),'15_STOCK'!$G493="SI",OR(pdProveedor="(Todos)",pdProveedor="",'15_STOCK'!$E493=pdProveedor)),IFERROR(MATCH('15_STOCK'!$E493,tblProveedores[Proveedor],0),999)*1000000+MATCH('15_STOCK'!$N493,{"AGOTADO","CRÍTICO","BAJO"},0)*10000+ROW(),"")</f>
        <v/>
      </c>
      <c r="O493" s="92">
        <v>486</v>
      </c>
      <c r="P493" s="91" t="str">
        <f t="shared" si="31"/>
        <v/>
      </c>
      <c r="Q493" s="91" t="str">
        <f t="shared" si="32"/>
        <v/>
      </c>
      <c r="R493" s="92">
        <v>486</v>
      </c>
      <c r="S493" s="91" t="str">
        <f t="shared" si="33"/>
        <v/>
      </c>
      <c r="T493" s="91" t="str">
        <f t="shared" si="34"/>
        <v/>
      </c>
    </row>
    <row r="494" spans="12:20" x14ac:dyDescent="0.25">
      <c r="L494" s="91" t="str">
        <f>IF(AND(ISNUMBER('15_STOCK'!$P494),'15_STOCK'!$P494&gt;0),'15_STOCK'!$P494+ROW()/1000000,"")</f>
        <v/>
      </c>
      <c r="M494" s="91" t="str">
        <f>IFERROR(MATCH('15_STOCK'!$N494,{"INCONSISTENTE","AGOTADO","CRÍTICO","BAJO","SOBRESTOCK"},0)*100000+MIN(99,INT(IF(N('15_STOCK'!$K494)&gt;0,MAX(0,N('15_STOCK'!$J494))/'15_STOCK'!$K494,0)*10))*1000+ROW(),"")</f>
        <v/>
      </c>
      <c r="N494" s="91" t="str">
        <f>IF(AND(ISNUMBER(MATCH('15_STOCK'!$N494,{"AGOTADO","CRÍTICO","BAJO"},0)),'15_STOCK'!$G494="SI",OR(pdProveedor="(Todos)",pdProveedor="",'15_STOCK'!$E494=pdProveedor)),IFERROR(MATCH('15_STOCK'!$E494,tblProveedores[Proveedor],0),999)*1000000+MATCH('15_STOCK'!$N494,{"AGOTADO","CRÍTICO","BAJO"},0)*10000+ROW(),"")</f>
        <v/>
      </c>
      <c r="O494" s="92">
        <v>487</v>
      </c>
      <c r="P494" s="91" t="str">
        <f t="shared" si="31"/>
        <v/>
      </c>
      <c r="Q494" s="91" t="str">
        <f t="shared" si="32"/>
        <v/>
      </c>
      <c r="R494" s="92">
        <v>487</v>
      </c>
      <c r="S494" s="91" t="str">
        <f t="shared" si="33"/>
        <v/>
      </c>
      <c r="T494" s="91" t="str">
        <f t="shared" si="34"/>
        <v/>
      </c>
    </row>
    <row r="495" spans="12:20" x14ac:dyDescent="0.25">
      <c r="L495" s="91" t="str">
        <f>IF(AND(ISNUMBER('15_STOCK'!$P495),'15_STOCK'!$P495&gt;0),'15_STOCK'!$P495+ROW()/1000000,"")</f>
        <v/>
      </c>
      <c r="M495" s="91" t="str">
        <f>IFERROR(MATCH('15_STOCK'!$N495,{"INCONSISTENTE","AGOTADO","CRÍTICO","BAJO","SOBRESTOCK"},0)*100000+MIN(99,INT(IF(N('15_STOCK'!$K495)&gt;0,MAX(0,N('15_STOCK'!$J495))/'15_STOCK'!$K495,0)*10))*1000+ROW(),"")</f>
        <v/>
      </c>
      <c r="N495" s="91" t="str">
        <f>IF(AND(ISNUMBER(MATCH('15_STOCK'!$N495,{"AGOTADO","CRÍTICO","BAJO"},0)),'15_STOCK'!$G495="SI",OR(pdProveedor="(Todos)",pdProveedor="",'15_STOCK'!$E495=pdProveedor)),IFERROR(MATCH('15_STOCK'!$E495,tblProveedores[Proveedor],0),999)*1000000+MATCH('15_STOCK'!$N495,{"AGOTADO","CRÍTICO","BAJO"},0)*10000+ROW(),"")</f>
        <v/>
      </c>
      <c r="O495" s="92">
        <v>488</v>
      </c>
      <c r="P495" s="91" t="str">
        <f t="shared" si="31"/>
        <v/>
      </c>
      <c r="Q495" s="91" t="str">
        <f t="shared" si="32"/>
        <v/>
      </c>
      <c r="R495" s="92">
        <v>488</v>
      </c>
      <c r="S495" s="91" t="str">
        <f t="shared" si="33"/>
        <v/>
      </c>
      <c r="T495" s="91" t="str">
        <f t="shared" si="34"/>
        <v/>
      </c>
    </row>
    <row r="496" spans="12:20" x14ac:dyDescent="0.25">
      <c r="L496" s="91" t="str">
        <f>IF(AND(ISNUMBER('15_STOCK'!$P496),'15_STOCK'!$P496&gt;0),'15_STOCK'!$P496+ROW()/1000000,"")</f>
        <v/>
      </c>
      <c r="M496" s="91" t="str">
        <f>IFERROR(MATCH('15_STOCK'!$N496,{"INCONSISTENTE","AGOTADO","CRÍTICO","BAJO","SOBRESTOCK"},0)*100000+MIN(99,INT(IF(N('15_STOCK'!$K496)&gt;0,MAX(0,N('15_STOCK'!$J496))/'15_STOCK'!$K496,0)*10))*1000+ROW(),"")</f>
        <v/>
      </c>
      <c r="N496" s="91" t="str">
        <f>IF(AND(ISNUMBER(MATCH('15_STOCK'!$N496,{"AGOTADO","CRÍTICO","BAJO"},0)),'15_STOCK'!$G496="SI",OR(pdProveedor="(Todos)",pdProveedor="",'15_STOCK'!$E496=pdProveedor)),IFERROR(MATCH('15_STOCK'!$E496,tblProveedores[Proveedor],0),999)*1000000+MATCH('15_STOCK'!$N496,{"AGOTADO","CRÍTICO","BAJO"},0)*10000+ROW(),"")</f>
        <v/>
      </c>
      <c r="O496" s="92">
        <v>489</v>
      </c>
      <c r="P496" s="91" t="str">
        <f t="shared" si="31"/>
        <v/>
      </c>
      <c r="Q496" s="91" t="str">
        <f t="shared" si="32"/>
        <v/>
      </c>
      <c r="R496" s="92">
        <v>489</v>
      </c>
      <c r="S496" s="91" t="str">
        <f t="shared" si="33"/>
        <v/>
      </c>
      <c r="T496" s="91" t="str">
        <f t="shared" si="34"/>
        <v/>
      </c>
    </row>
    <row r="497" spans="12:20" x14ac:dyDescent="0.25">
      <c r="L497" s="91" t="str">
        <f>IF(AND(ISNUMBER('15_STOCK'!$P497),'15_STOCK'!$P497&gt;0),'15_STOCK'!$P497+ROW()/1000000,"")</f>
        <v/>
      </c>
      <c r="M497" s="91" t="str">
        <f>IFERROR(MATCH('15_STOCK'!$N497,{"INCONSISTENTE","AGOTADO","CRÍTICO","BAJO","SOBRESTOCK"},0)*100000+MIN(99,INT(IF(N('15_STOCK'!$K497)&gt;0,MAX(0,N('15_STOCK'!$J497))/'15_STOCK'!$K497,0)*10))*1000+ROW(),"")</f>
        <v/>
      </c>
      <c r="N497" s="91" t="str">
        <f>IF(AND(ISNUMBER(MATCH('15_STOCK'!$N497,{"AGOTADO","CRÍTICO","BAJO"},0)),'15_STOCK'!$G497="SI",OR(pdProveedor="(Todos)",pdProveedor="",'15_STOCK'!$E497=pdProveedor)),IFERROR(MATCH('15_STOCK'!$E497,tblProveedores[Proveedor],0),999)*1000000+MATCH('15_STOCK'!$N497,{"AGOTADO","CRÍTICO","BAJO"},0)*10000+ROW(),"")</f>
        <v/>
      </c>
      <c r="O497" s="92">
        <v>490</v>
      </c>
      <c r="P497" s="91" t="str">
        <f t="shared" si="31"/>
        <v/>
      </c>
      <c r="Q497" s="91" t="str">
        <f t="shared" si="32"/>
        <v/>
      </c>
      <c r="R497" s="92">
        <v>490</v>
      </c>
      <c r="S497" s="91" t="str">
        <f t="shared" si="33"/>
        <v/>
      </c>
      <c r="T497" s="91" t="str">
        <f t="shared" si="34"/>
        <v/>
      </c>
    </row>
    <row r="498" spans="12:20" x14ac:dyDescent="0.25">
      <c r="L498" s="91" t="str">
        <f>IF(AND(ISNUMBER('15_STOCK'!$P498),'15_STOCK'!$P498&gt;0),'15_STOCK'!$P498+ROW()/1000000,"")</f>
        <v/>
      </c>
      <c r="M498" s="91" t="str">
        <f>IFERROR(MATCH('15_STOCK'!$N498,{"INCONSISTENTE","AGOTADO","CRÍTICO","BAJO","SOBRESTOCK"},0)*100000+MIN(99,INT(IF(N('15_STOCK'!$K498)&gt;0,MAX(0,N('15_STOCK'!$J498))/'15_STOCK'!$K498,0)*10))*1000+ROW(),"")</f>
        <v/>
      </c>
      <c r="N498" s="91" t="str">
        <f>IF(AND(ISNUMBER(MATCH('15_STOCK'!$N498,{"AGOTADO","CRÍTICO","BAJO"},0)),'15_STOCK'!$G498="SI",OR(pdProveedor="(Todos)",pdProveedor="",'15_STOCK'!$E498=pdProveedor)),IFERROR(MATCH('15_STOCK'!$E498,tblProveedores[Proveedor],0),999)*1000000+MATCH('15_STOCK'!$N498,{"AGOTADO","CRÍTICO","BAJO"},0)*10000+ROW(),"")</f>
        <v/>
      </c>
      <c r="O498" s="92">
        <v>491</v>
      </c>
      <c r="P498" s="91" t="str">
        <f t="shared" si="31"/>
        <v/>
      </c>
      <c r="Q498" s="91" t="str">
        <f t="shared" si="32"/>
        <v/>
      </c>
      <c r="R498" s="92">
        <v>491</v>
      </c>
      <c r="S498" s="91" t="str">
        <f t="shared" si="33"/>
        <v/>
      </c>
      <c r="T498" s="91" t="str">
        <f t="shared" si="34"/>
        <v/>
      </c>
    </row>
    <row r="499" spans="12:20" x14ac:dyDescent="0.25">
      <c r="L499" s="91" t="str">
        <f>IF(AND(ISNUMBER('15_STOCK'!$P499),'15_STOCK'!$P499&gt;0),'15_STOCK'!$P499+ROW()/1000000,"")</f>
        <v/>
      </c>
      <c r="M499" s="91" t="str">
        <f>IFERROR(MATCH('15_STOCK'!$N499,{"INCONSISTENTE","AGOTADO","CRÍTICO","BAJO","SOBRESTOCK"},0)*100000+MIN(99,INT(IF(N('15_STOCK'!$K499)&gt;0,MAX(0,N('15_STOCK'!$J499))/'15_STOCK'!$K499,0)*10))*1000+ROW(),"")</f>
        <v/>
      </c>
      <c r="N499" s="91" t="str">
        <f>IF(AND(ISNUMBER(MATCH('15_STOCK'!$N499,{"AGOTADO","CRÍTICO","BAJO"},0)),'15_STOCK'!$G499="SI",OR(pdProveedor="(Todos)",pdProveedor="",'15_STOCK'!$E499=pdProveedor)),IFERROR(MATCH('15_STOCK'!$E499,tblProveedores[Proveedor],0),999)*1000000+MATCH('15_STOCK'!$N499,{"AGOTADO","CRÍTICO","BAJO"},0)*10000+ROW(),"")</f>
        <v/>
      </c>
      <c r="O499" s="92">
        <v>492</v>
      </c>
      <c r="P499" s="91" t="str">
        <f t="shared" si="31"/>
        <v/>
      </c>
      <c r="Q499" s="91" t="str">
        <f t="shared" si="32"/>
        <v/>
      </c>
      <c r="R499" s="92">
        <v>492</v>
      </c>
      <c r="S499" s="91" t="str">
        <f t="shared" si="33"/>
        <v/>
      </c>
      <c r="T499" s="91" t="str">
        <f t="shared" si="34"/>
        <v/>
      </c>
    </row>
    <row r="500" spans="12:20" x14ac:dyDescent="0.25">
      <c r="L500" s="91" t="str">
        <f>IF(AND(ISNUMBER('15_STOCK'!$P500),'15_STOCK'!$P500&gt;0),'15_STOCK'!$P500+ROW()/1000000,"")</f>
        <v/>
      </c>
      <c r="M500" s="91" t="str">
        <f>IFERROR(MATCH('15_STOCK'!$N500,{"INCONSISTENTE","AGOTADO","CRÍTICO","BAJO","SOBRESTOCK"},0)*100000+MIN(99,INT(IF(N('15_STOCK'!$K500)&gt;0,MAX(0,N('15_STOCK'!$J500))/'15_STOCK'!$K500,0)*10))*1000+ROW(),"")</f>
        <v/>
      </c>
      <c r="N500" s="91" t="str">
        <f>IF(AND(ISNUMBER(MATCH('15_STOCK'!$N500,{"AGOTADO","CRÍTICO","BAJO"},0)),'15_STOCK'!$G500="SI",OR(pdProveedor="(Todos)",pdProveedor="",'15_STOCK'!$E500=pdProveedor)),IFERROR(MATCH('15_STOCK'!$E500,tblProveedores[Proveedor],0),999)*1000000+MATCH('15_STOCK'!$N500,{"AGOTADO","CRÍTICO","BAJO"},0)*10000+ROW(),"")</f>
        <v/>
      </c>
      <c r="O500" s="92">
        <v>493</v>
      </c>
      <c r="P500" s="91" t="str">
        <f t="shared" si="31"/>
        <v/>
      </c>
      <c r="Q500" s="91" t="str">
        <f t="shared" si="32"/>
        <v/>
      </c>
      <c r="R500" s="92">
        <v>493</v>
      </c>
      <c r="S500" s="91" t="str">
        <f t="shared" si="33"/>
        <v/>
      </c>
      <c r="T500" s="91" t="str">
        <f t="shared" si="34"/>
        <v/>
      </c>
    </row>
    <row r="501" spans="12:20" x14ac:dyDescent="0.25">
      <c r="L501" s="91" t="str">
        <f>IF(AND(ISNUMBER('15_STOCK'!$P501),'15_STOCK'!$P501&gt;0),'15_STOCK'!$P501+ROW()/1000000,"")</f>
        <v/>
      </c>
      <c r="M501" s="91" t="str">
        <f>IFERROR(MATCH('15_STOCK'!$N501,{"INCONSISTENTE","AGOTADO","CRÍTICO","BAJO","SOBRESTOCK"},0)*100000+MIN(99,INT(IF(N('15_STOCK'!$K501)&gt;0,MAX(0,N('15_STOCK'!$J501))/'15_STOCK'!$K501,0)*10))*1000+ROW(),"")</f>
        <v/>
      </c>
      <c r="N501" s="91" t="str">
        <f>IF(AND(ISNUMBER(MATCH('15_STOCK'!$N501,{"AGOTADO","CRÍTICO","BAJO"},0)),'15_STOCK'!$G501="SI",OR(pdProveedor="(Todos)",pdProveedor="",'15_STOCK'!$E501=pdProveedor)),IFERROR(MATCH('15_STOCK'!$E501,tblProveedores[Proveedor],0),999)*1000000+MATCH('15_STOCK'!$N501,{"AGOTADO","CRÍTICO","BAJO"},0)*10000+ROW(),"")</f>
        <v/>
      </c>
      <c r="O501" s="92">
        <v>494</v>
      </c>
      <c r="P501" s="91" t="str">
        <f t="shared" si="31"/>
        <v/>
      </c>
      <c r="Q501" s="91" t="str">
        <f t="shared" si="32"/>
        <v/>
      </c>
      <c r="R501" s="92">
        <v>494</v>
      </c>
      <c r="S501" s="91" t="str">
        <f t="shared" si="33"/>
        <v/>
      </c>
      <c r="T501" s="91" t="str">
        <f t="shared" si="34"/>
        <v/>
      </c>
    </row>
    <row r="502" spans="12:20" x14ac:dyDescent="0.25">
      <c r="L502" s="91" t="str">
        <f>IF(AND(ISNUMBER('15_STOCK'!$P502),'15_STOCK'!$P502&gt;0),'15_STOCK'!$P502+ROW()/1000000,"")</f>
        <v/>
      </c>
      <c r="M502" s="91" t="str">
        <f>IFERROR(MATCH('15_STOCK'!$N502,{"INCONSISTENTE","AGOTADO","CRÍTICO","BAJO","SOBRESTOCK"},0)*100000+MIN(99,INT(IF(N('15_STOCK'!$K502)&gt;0,MAX(0,N('15_STOCK'!$J502))/'15_STOCK'!$K502,0)*10))*1000+ROW(),"")</f>
        <v/>
      </c>
      <c r="N502" s="91" t="str">
        <f>IF(AND(ISNUMBER(MATCH('15_STOCK'!$N502,{"AGOTADO","CRÍTICO","BAJO"},0)),'15_STOCK'!$G502="SI",OR(pdProveedor="(Todos)",pdProveedor="",'15_STOCK'!$E502=pdProveedor)),IFERROR(MATCH('15_STOCK'!$E502,tblProveedores[Proveedor],0),999)*1000000+MATCH('15_STOCK'!$N502,{"AGOTADO","CRÍTICO","BAJO"},0)*10000+ROW(),"")</f>
        <v/>
      </c>
      <c r="O502" s="92">
        <v>495</v>
      </c>
      <c r="P502" s="91" t="str">
        <f t="shared" si="31"/>
        <v/>
      </c>
      <c r="Q502" s="91" t="str">
        <f t="shared" si="32"/>
        <v/>
      </c>
      <c r="R502" s="92">
        <v>495</v>
      </c>
      <c r="S502" s="91" t="str">
        <f t="shared" si="33"/>
        <v/>
      </c>
      <c r="T502" s="91" t="str">
        <f t="shared" si="34"/>
        <v/>
      </c>
    </row>
    <row r="503" spans="12:20" x14ac:dyDescent="0.25">
      <c r="L503" s="91" t="str">
        <f>IF(AND(ISNUMBER('15_STOCK'!$P503),'15_STOCK'!$P503&gt;0),'15_STOCK'!$P503+ROW()/1000000,"")</f>
        <v/>
      </c>
      <c r="M503" s="91" t="str">
        <f>IFERROR(MATCH('15_STOCK'!$N503,{"INCONSISTENTE","AGOTADO","CRÍTICO","BAJO","SOBRESTOCK"},0)*100000+MIN(99,INT(IF(N('15_STOCK'!$K503)&gt;0,MAX(0,N('15_STOCK'!$J503))/'15_STOCK'!$K503,0)*10))*1000+ROW(),"")</f>
        <v/>
      </c>
      <c r="N503" s="91" t="str">
        <f>IF(AND(ISNUMBER(MATCH('15_STOCK'!$N503,{"AGOTADO","CRÍTICO","BAJO"},0)),'15_STOCK'!$G503="SI",OR(pdProveedor="(Todos)",pdProveedor="",'15_STOCK'!$E503=pdProveedor)),IFERROR(MATCH('15_STOCK'!$E503,tblProveedores[Proveedor],0),999)*1000000+MATCH('15_STOCK'!$N503,{"AGOTADO","CRÍTICO","BAJO"},0)*10000+ROW(),"")</f>
        <v/>
      </c>
      <c r="O503" s="92">
        <v>496</v>
      </c>
      <c r="P503" s="91" t="str">
        <f t="shared" si="31"/>
        <v/>
      </c>
      <c r="Q503" s="91" t="str">
        <f t="shared" si="32"/>
        <v/>
      </c>
      <c r="R503" s="92">
        <v>496</v>
      </c>
      <c r="S503" s="91" t="str">
        <f t="shared" si="33"/>
        <v/>
      </c>
      <c r="T503" s="91" t="str">
        <f t="shared" si="34"/>
        <v/>
      </c>
    </row>
    <row r="504" spans="12:20" x14ac:dyDescent="0.25">
      <c r="L504" s="91" t="str">
        <f>IF(AND(ISNUMBER('15_STOCK'!$P504),'15_STOCK'!$P504&gt;0),'15_STOCK'!$P504+ROW()/1000000,"")</f>
        <v/>
      </c>
      <c r="M504" s="91" t="str">
        <f>IFERROR(MATCH('15_STOCK'!$N504,{"INCONSISTENTE","AGOTADO","CRÍTICO","BAJO","SOBRESTOCK"},0)*100000+MIN(99,INT(IF(N('15_STOCK'!$K504)&gt;0,MAX(0,N('15_STOCK'!$J504))/'15_STOCK'!$K504,0)*10))*1000+ROW(),"")</f>
        <v/>
      </c>
      <c r="N504" s="91" t="str">
        <f>IF(AND(ISNUMBER(MATCH('15_STOCK'!$N504,{"AGOTADO","CRÍTICO","BAJO"},0)),'15_STOCK'!$G504="SI",OR(pdProveedor="(Todos)",pdProveedor="",'15_STOCK'!$E504=pdProveedor)),IFERROR(MATCH('15_STOCK'!$E504,tblProveedores[Proveedor],0),999)*1000000+MATCH('15_STOCK'!$N504,{"AGOTADO","CRÍTICO","BAJO"},0)*10000+ROW(),"")</f>
        <v/>
      </c>
      <c r="O504" s="92">
        <v>497</v>
      </c>
      <c r="P504" s="91" t="str">
        <f t="shared" si="31"/>
        <v/>
      </c>
      <c r="Q504" s="91" t="str">
        <f t="shared" si="32"/>
        <v/>
      </c>
      <c r="R504" s="92">
        <v>497</v>
      </c>
      <c r="S504" s="91" t="str">
        <f t="shared" si="33"/>
        <v/>
      </c>
      <c r="T504" s="91" t="str">
        <f t="shared" si="34"/>
        <v/>
      </c>
    </row>
    <row r="505" spans="12:20" x14ac:dyDescent="0.25">
      <c r="L505" s="91" t="str">
        <f>IF(AND(ISNUMBER('15_STOCK'!$P505),'15_STOCK'!$P505&gt;0),'15_STOCK'!$P505+ROW()/1000000,"")</f>
        <v/>
      </c>
      <c r="M505" s="91" t="str">
        <f>IFERROR(MATCH('15_STOCK'!$N505,{"INCONSISTENTE","AGOTADO","CRÍTICO","BAJO","SOBRESTOCK"},0)*100000+MIN(99,INT(IF(N('15_STOCK'!$K505)&gt;0,MAX(0,N('15_STOCK'!$J505))/'15_STOCK'!$K505,0)*10))*1000+ROW(),"")</f>
        <v/>
      </c>
      <c r="N505" s="91" t="str">
        <f>IF(AND(ISNUMBER(MATCH('15_STOCK'!$N505,{"AGOTADO","CRÍTICO","BAJO"},0)),'15_STOCK'!$G505="SI",OR(pdProveedor="(Todos)",pdProveedor="",'15_STOCK'!$E505=pdProveedor)),IFERROR(MATCH('15_STOCK'!$E505,tblProveedores[Proveedor],0),999)*1000000+MATCH('15_STOCK'!$N505,{"AGOTADO","CRÍTICO","BAJO"},0)*10000+ROW(),"")</f>
        <v/>
      </c>
      <c r="O505" s="92">
        <v>498</v>
      </c>
      <c r="P505" s="91" t="str">
        <f t="shared" si="31"/>
        <v/>
      </c>
      <c r="Q505" s="91" t="str">
        <f t="shared" si="32"/>
        <v/>
      </c>
      <c r="R505" s="92">
        <v>498</v>
      </c>
      <c r="S505" s="91" t="str">
        <f t="shared" si="33"/>
        <v/>
      </c>
      <c r="T505" s="91" t="str">
        <f t="shared" si="34"/>
        <v/>
      </c>
    </row>
    <row r="506" spans="12:20" x14ac:dyDescent="0.25">
      <c r="L506" s="91" t="str">
        <f>IF(AND(ISNUMBER('15_STOCK'!$P506),'15_STOCK'!$P506&gt;0),'15_STOCK'!$P506+ROW()/1000000,"")</f>
        <v/>
      </c>
      <c r="M506" s="91" t="str">
        <f>IFERROR(MATCH('15_STOCK'!$N506,{"INCONSISTENTE","AGOTADO","CRÍTICO","BAJO","SOBRESTOCK"},0)*100000+MIN(99,INT(IF(N('15_STOCK'!$K506)&gt;0,MAX(0,N('15_STOCK'!$J506))/'15_STOCK'!$K506,0)*10))*1000+ROW(),"")</f>
        <v/>
      </c>
      <c r="N506" s="91" t="str">
        <f>IF(AND(ISNUMBER(MATCH('15_STOCK'!$N506,{"AGOTADO","CRÍTICO","BAJO"},0)),'15_STOCK'!$G506="SI",OR(pdProveedor="(Todos)",pdProveedor="",'15_STOCK'!$E506=pdProveedor)),IFERROR(MATCH('15_STOCK'!$E506,tblProveedores[Proveedor],0),999)*1000000+MATCH('15_STOCK'!$N506,{"AGOTADO","CRÍTICO","BAJO"},0)*10000+ROW(),"")</f>
        <v/>
      </c>
      <c r="O506" s="92">
        <v>499</v>
      </c>
      <c r="P506" s="91" t="str">
        <f t="shared" si="31"/>
        <v/>
      </c>
      <c r="Q506" s="91" t="str">
        <f t="shared" si="32"/>
        <v/>
      </c>
      <c r="R506" s="92">
        <v>499</v>
      </c>
      <c r="S506" s="91" t="str">
        <f t="shared" si="33"/>
        <v/>
      </c>
      <c r="T506" s="91" t="str">
        <f t="shared" si="34"/>
        <v/>
      </c>
    </row>
    <row r="507" spans="12:20" x14ac:dyDescent="0.25">
      <c r="L507" s="91" t="str">
        <f>IF(AND(ISNUMBER('15_STOCK'!$P507),'15_STOCK'!$P507&gt;0),'15_STOCK'!$P507+ROW()/1000000,"")</f>
        <v/>
      </c>
      <c r="M507" s="91" t="str">
        <f>IFERROR(MATCH('15_STOCK'!$N507,{"INCONSISTENTE","AGOTADO","CRÍTICO","BAJO","SOBRESTOCK"},0)*100000+MIN(99,INT(IF(N('15_STOCK'!$K507)&gt;0,MAX(0,N('15_STOCK'!$J507))/'15_STOCK'!$K507,0)*10))*1000+ROW(),"")</f>
        <v/>
      </c>
      <c r="N507" s="91" t="str">
        <f>IF(AND(ISNUMBER(MATCH('15_STOCK'!$N507,{"AGOTADO","CRÍTICO","BAJO"},0)),'15_STOCK'!$G507="SI",OR(pdProveedor="(Todos)",pdProveedor="",'15_STOCK'!$E507=pdProveedor)),IFERROR(MATCH('15_STOCK'!$E507,tblProveedores[Proveedor],0),999)*1000000+MATCH('15_STOCK'!$N507,{"AGOTADO","CRÍTICO","BAJO"},0)*10000+ROW(),"")</f>
        <v/>
      </c>
      <c r="O507" s="92">
        <v>500</v>
      </c>
      <c r="P507" s="91" t="str">
        <f t="shared" si="31"/>
        <v/>
      </c>
      <c r="Q507" s="91" t="str">
        <f t="shared" si="32"/>
        <v/>
      </c>
      <c r="R507" s="92">
        <v>500</v>
      </c>
      <c r="S507" s="91" t="str">
        <f t="shared" si="33"/>
        <v/>
      </c>
      <c r="T507" s="91" t="str">
        <f t="shared" si="34"/>
        <v/>
      </c>
    </row>
  </sheetData>
  <sheetProtection password="930D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55A64"/>
  </sheetPr>
  <dimension ref="B1:M93"/>
  <sheetViews>
    <sheetView showGridLines="0" showRowColHeaders="0" workbookViewId="0"/>
  </sheetViews>
  <sheetFormatPr baseColWidth="10" defaultColWidth="0" defaultRowHeight="15" zeroHeight="1" x14ac:dyDescent="0.25"/>
  <cols>
    <col min="1" max="1" width="3.42578125" customWidth="1"/>
    <col min="2" max="13" width="13.42578125" customWidth="1"/>
    <col min="14" max="14" width="17.140625" customWidth="1"/>
    <col min="15" max="15" width="0" hidden="1" customWidth="1"/>
  </cols>
  <sheetData>
    <row r="1" spans="2:13" s="1" customFormat="1" ht="6" customHeight="1" x14ac:dyDescent="0.25"/>
    <row r="2" spans="2:13" s="1" customFormat="1" ht="24" customHeight="1" x14ac:dyDescent="0.25">
      <c r="B2" s="12" t="s">
        <v>448</v>
      </c>
    </row>
    <row r="3" spans="2:13" s="1" customFormat="1" ht="14.25" x14ac:dyDescent="0.25">
      <c r="B3" s="13" t="s">
        <v>449</v>
      </c>
    </row>
    <row r="4" spans="2:13" s="1" customFormat="1" ht="7.5" customHeight="1" x14ac:dyDescent="0.25"/>
    <row r="5" spans="2:13" s="4" customFormat="1" ht="13.5" customHeight="1" x14ac:dyDescent="0.25"/>
    <row r="6" spans="2:13" s="4" customFormat="1" ht="22.5" customHeight="1" x14ac:dyDescent="0.25">
      <c r="B6" s="160" t="s">
        <v>450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</row>
    <row r="7" spans="2:13" s="4" customFormat="1" ht="120" customHeight="1" x14ac:dyDescent="0.25"/>
    <row r="8" spans="2:13" s="4" customFormat="1" ht="10.5" customHeight="1" x14ac:dyDescent="0.25"/>
    <row r="9" spans="2:13" s="4" customFormat="1" ht="22.5" customHeight="1" x14ac:dyDescent="0.25">
      <c r="B9" s="160" t="s">
        <v>451</v>
      </c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</row>
    <row r="10" spans="2:13" s="4" customFormat="1" ht="24" customHeight="1" x14ac:dyDescent="0.25">
      <c r="B10" s="112" t="str">
        <f>IF(cfgEmpresa&lt;&gt;"NOMBRE DE SU EMPRESA","✔","○")</f>
        <v>○</v>
      </c>
      <c r="C10" s="161" t="str">
        <f>"Empresa y bodega configuradas (01_CONFIG, lo hace el administrador): "&amp;cfgEmpresa</f>
        <v>Empresa y bodega configuradas (01_CONFIG, lo hace el administrador): NOMBRE DE SU EMPRESA</v>
      </c>
      <c r="D10" s="161"/>
      <c r="E10" s="161"/>
      <c r="F10" s="161"/>
      <c r="G10" s="161"/>
      <c r="H10" s="161"/>
      <c r="I10" s="161"/>
      <c r="J10" s="161"/>
      <c r="K10" s="161"/>
      <c r="L10" s="162"/>
      <c r="M10" s="162"/>
    </row>
    <row r="11" spans="2:13" s="4" customFormat="1" ht="24" customHeight="1" x14ac:dyDescent="0.25">
      <c r="B11" s="112" t="str">
        <f>IF(kpiCategorias&gt;0,"✔","○")</f>
        <v>✔</v>
      </c>
      <c r="C11" s="161" t="str">
        <f>"Categorías definidas: "&amp;kpiCategorias&amp;" (03_CATEGORIAS, administrador)"</f>
        <v>Categorías definidas: 6 (03_CATEGORIAS, administrador)</v>
      </c>
      <c r="D11" s="161"/>
      <c r="E11" s="161"/>
      <c r="F11" s="161"/>
      <c r="G11" s="161"/>
      <c r="H11" s="161"/>
      <c r="I11" s="161"/>
      <c r="J11" s="161"/>
      <c r="K11" s="161"/>
      <c r="L11" s="162"/>
      <c r="M11" s="162"/>
    </row>
    <row r="12" spans="2:13" s="4" customFormat="1" ht="24" customHeight="1" x14ac:dyDescent="0.25">
      <c r="B12" s="112" t="str">
        <f>IF(kpiProveedores&gt;0,"✔","○")</f>
        <v>○</v>
      </c>
      <c r="C12" s="161" t="str">
        <f>"Proveedores registrados: "&amp;kpiProveedores&amp;" (recomendado para el pedido)"</f>
        <v>Proveedores registrados: 0 (recomendado para el pedido)</v>
      </c>
      <c r="D12" s="161"/>
      <c r="E12" s="161"/>
      <c r="F12" s="161"/>
      <c r="G12" s="161"/>
      <c r="H12" s="161"/>
      <c r="I12" s="161"/>
      <c r="J12" s="161"/>
      <c r="K12" s="161"/>
      <c r="L12" s="162"/>
      <c r="M12" s="162"/>
    </row>
    <row r="13" spans="2:13" s="4" customFormat="1" ht="24" customHeight="1" x14ac:dyDescent="0.25">
      <c r="B13" s="112" t="str">
        <f>IF(kpiCatalogo&gt;0,"✔","○")</f>
        <v>○</v>
      </c>
      <c r="C13" s="161" t="str">
        <f>"Productos en el catálogo: "&amp;kpiCatalogo</f>
        <v>Productos en el catálogo: 0</v>
      </c>
      <c r="D13" s="161"/>
      <c r="E13" s="161"/>
      <c r="F13" s="161"/>
      <c r="G13" s="161"/>
      <c r="H13" s="161"/>
      <c r="I13" s="161"/>
      <c r="J13" s="161"/>
      <c r="K13" s="161"/>
      <c r="L13" s="162"/>
      <c r="M13" s="162"/>
    </row>
    <row r="14" spans="2:13" s="4" customFormat="1" ht="24" customHeight="1" x14ac:dyDescent="0.25">
      <c r="B14" s="112" t="str">
        <f>IF(AND(kpiActivos&gt;0,kpiConSaldoInicial&gt;=kpiActivos),"✔","○")</f>
        <v>○</v>
      </c>
      <c r="C14" s="161" t="str">
        <f>"Productos con SALDO INICIAL: "&amp;kpiConSaldoInicial&amp;" de "&amp;kpiActivos&amp;" activos"</f>
        <v>Productos con SALDO INICIAL: 0 de 0 activos</v>
      </c>
      <c r="D14" s="161"/>
      <c r="E14" s="161"/>
      <c r="F14" s="161"/>
      <c r="G14" s="161"/>
      <c r="H14" s="161"/>
      <c r="I14" s="161"/>
      <c r="J14" s="161"/>
      <c r="K14" s="161"/>
      <c r="L14" s="162"/>
      <c r="M14" s="162"/>
    </row>
    <row r="15" spans="2:13" s="4" customFormat="1" ht="24" customHeight="1" x14ac:dyDescent="0.25">
      <c r="B15" s="112" t="str">
        <f>IF(kpiOperativos&gt;0,"✔","○")</f>
        <v>○</v>
      </c>
      <c r="C15" s="161" t="str">
        <f>"Movimientos del día a día registrados: "&amp;kpiOperativos</f>
        <v>Movimientos del día a día registrados: 0</v>
      </c>
      <c r="D15" s="161"/>
      <c r="E15" s="161"/>
      <c r="F15" s="161"/>
      <c r="G15" s="161"/>
      <c r="H15" s="161"/>
      <c r="I15" s="161"/>
      <c r="J15" s="161"/>
      <c r="K15" s="161"/>
      <c r="L15" s="162"/>
      <c r="M15" s="162"/>
    </row>
    <row r="16" spans="2:13" s="4" customFormat="1" ht="10.5" customHeight="1" x14ac:dyDescent="0.25"/>
    <row r="17" spans="2:13" s="4" customFormat="1" ht="22.5" customHeight="1" x14ac:dyDescent="0.25">
      <c r="B17" s="160" t="s">
        <v>452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</row>
    <row r="18" spans="2:13" s="4" customFormat="1" ht="27" customHeight="1" x14ac:dyDescent="0.25">
      <c r="B18" s="163" t="s">
        <v>453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s="4" customFormat="1" ht="72" customHeight="1" x14ac:dyDescent="0.25"/>
    <row r="20" spans="2:13" s="4" customFormat="1" ht="27" customHeight="1" x14ac:dyDescent="0.25">
      <c r="B20" s="164" t="s">
        <v>454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4" customFormat="1" ht="10.5" customHeight="1" x14ac:dyDescent="0.25"/>
    <row r="22" spans="2:13" s="4" customFormat="1" ht="22.5" customHeight="1" x14ac:dyDescent="0.25">
      <c r="B22" s="160" t="s">
        <v>455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</row>
    <row r="23" spans="2:13" s="4" customFormat="1" ht="25.5" customHeight="1" x14ac:dyDescent="0.25">
      <c r="B23" s="113">
        <v>1</v>
      </c>
      <c r="C23" s="165" t="s">
        <v>456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s="4" customFormat="1" ht="25.5" customHeight="1" x14ac:dyDescent="0.25">
      <c r="B24" s="113">
        <v>2</v>
      </c>
      <c r="C24" s="165" t="s">
        <v>457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2:13" s="4" customFormat="1" ht="25.5" customHeight="1" x14ac:dyDescent="0.25">
      <c r="B25" s="113">
        <v>3</v>
      </c>
      <c r="C25" s="165" t="s">
        <v>458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</row>
    <row r="26" spans="2:13" s="4" customFormat="1" ht="25.5" customHeight="1" x14ac:dyDescent="0.25">
      <c r="B26" s="113">
        <v>4</v>
      </c>
      <c r="C26" s="165" t="s">
        <v>459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</row>
    <row r="27" spans="2:13" s="4" customFormat="1" ht="25.5" customHeight="1" x14ac:dyDescent="0.25">
      <c r="B27" s="113">
        <v>5</v>
      </c>
      <c r="C27" s="165" t="s">
        <v>460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</row>
    <row r="28" spans="2:13" s="4" customFormat="1" ht="25.5" customHeight="1" x14ac:dyDescent="0.25">
      <c r="B28" s="113">
        <v>6</v>
      </c>
      <c r="C28" s="165" t="s">
        <v>461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</row>
    <row r="29" spans="2:13" s="4" customFormat="1" ht="25.5" customHeight="1" x14ac:dyDescent="0.25">
      <c r="B29" s="113">
        <v>7</v>
      </c>
      <c r="C29" s="165" t="s">
        <v>462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</row>
    <row r="30" spans="2:13" s="4" customFormat="1" ht="10.5" customHeight="1" x14ac:dyDescent="0.25"/>
    <row r="31" spans="2:13" s="4" customFormat="1" ht="22.5" customHeight="1" x14ac:dyDescent="0.25">
      <c r="B31" s="160" t="s">
        <v>463</v>
      </c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</row>
    <row r="32" spans="2:13" s="4" customFormat="1" ht="25.5" customHeight="1" x14ac:dyDescent="0.25">
      <c r="B32" s="114">
        <v>1</v>
      </c>
      <c r="C32" s="165" t="s">
        <v>464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</row>
    <row r="33" spans="2:13" s="4" customFormat="1" ht="25.5" customHeight="1" x14ac:dyDescent="0.25">
      <c r="B33" s="114">
        <v>2</v>
      </c>
      <c r="C33" s="165" t="s">
        <v>465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</row>
    <row r="34" spans="2:13" s="4" customFormat="1" ht="25.5" customHeight="1" x14ac:dyDescent="0.25">
      <c r="B34" s="114">
        <v>3</v>
      </c>
      <c r="C34" s="165" t="s">
        <v>466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</row>
    <row r="35" spans="2:13" s="4" customFormat="1" ht="10.5" customHeight="1" x14ac:dyDescent="0.25"/>
    <row r="36" spans="2:13" s="4" customFormat="1" ht="22.5" customHeight="1" x14ac:dyDescent="0.25">
      <c r="B36" s="160" t="s">
        <v>467</v>
      </c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</row>
    <row r="37" spans="2:13" s="4" customFormat="1" ht="22.5" customHeight="1" x14ac:dyDescent="0.25">
      <c r="B37" s="115" t="s">
        <v>468</v>
      </c>
      <c r="C37" s="163" t="s">
        <v>469</v>
      </c>
      <c r="D37" s="163"/>
      <c r="E37" s="163"/>
      <c r="F37" s="163"/>
      <c r="G37" s="163"/>
      <c r="H37" s="116" t="s">
        <v>470</v>
      </c>
      <c r="I37" s="163" t="s">
        <v>471</v>
      </c>
      <c r="J37" s="163"/>
      <c r="K37" s="163"/>
      <c r="L37" s="163"/>
      <c r="M37" s="163"/>
    </row>
    <row r="38" spans="2:13" s="4" customFormat="1" ht="6" customHeight="1" x14ac:dyDescent="0.25"/>
    <row r="39" spans="2:13" s="4" customFormat="1" ht="19.5" customHeight="1" x14ac:dyDescent="0.25">
      <c r="B39" s="166" t="s">
        <v>54</v>
      </c>
      <c r="C39" s="166"/>
      <c r="D39" s="167" t="str">
        <f>INDEX(tblEstados[Regla],1)&amp;"  →  "&amp;INDEX(tblEstados[Acción],1)</f>
        <v>Stock negativo: se registraron salidas mayores a lo disponible.  →  Auditar la bitácora y registrar un AJUSTE</v>
      </c>
      <c r="E39" s="167"/>
      <c r="F39" s="167"/>
      <c r="G39" s="167"/>
      <c r="H39" s="167"/>
      <c r="I39" s="167"/>
      <c r="J39" s="167"/>
      <c r="K39" s="167"/>
      <c r="L39" s="167"/>
      <c r="M39" s="167"/>
    </row>
    <row r="40" spans="2:13" s="4" customFormat="1" ht="19.5" customHeight="1" x14ac:dyDescent="0.25">
      <c r="B40" s="168" t="s">
        <v>57</v>
      </c>
      <c r="C40" s="168"/>
      <c r="D40" s="167" t="str">
        <f>INDEX(tblEstados[Regla],2)&amp;"  →  "&amp;INDEX(tblEstados[Acción],2)</f>
        <v>Stock en cero.  →  Reabastecer de inmediato</v>
      </c>
      <c r="E40" s="167"/>
      <c r="F40" s="167"/>
      <c r="G40" s="167"/>
      <c r="H40" s="167"/>
      <c r="I40" s="167"/>
      <c r="J40" s="167"/>
      <c r="K40" s="167"/>
      <c r="L40" s="167"/>
      <c r="M40" s="167"/>
    </row>
    <row r="41" spans="2:13" s="4" customFormat="1" ht="19.5" customHeight="1" x14ac:dyDescent="0.25">
      <c r="B41" s="169" t="s">
        <v>60</v>
      </c>
      <c r="C41" s="169"/>
      <c r="D41" s="167" t="str">
        <f>INDEX(tblEstados[Regla],3)&amp;"  →  "&amp;INDEX(tblEstados[Acción],3)</f>
        <v>Stock en o por debajo del mínimo.  →  Emitir orden de compra</v>
      </c>
      <c r="E41" s="167"/>
      <c r="F41" s="167"/>
      <c r="G41" s="167"/>
      <c r="H41" s="167"/>
      <c r="I41" s="167"/>
      <c r="J41" s="167"/>
      <c r="K41" s="167"/>
      <c r="L41" s="167"/>
      <c r="M41" s="167"/>
    </row>
    <row r="42" spans="2:13" s="4" customFormat="1" ht="19.5" customHeight="1" x14ac:dyDescent="0.25">
      <c r="B42" s="170" t="s">
        <v>63</v>
      </c>
      <c r="C42" s="170"/>
      <c r="D42" s="167" t="str">
        <f>INDEX(tblEstados[Regla],4)&amp;"  →  "&amp;INDEX(tblEstados[Acción],4)</f>
        <v>Stock cercano al mínimo (dentro del margen de alerta).  →  Programar reposición</v>
      </c>
      <c r="E42" s="167"/>
      <c r="F42" s="167"/>
      <c r="G42" s="167"/>
      <c r="H42" s="167"/>
      <c r="I42" s="167"/>
      <c r="J42" s="167"/>
      <c r="K42" s="167"/>
      <c r="L42" s="167"/>
      <c r="M42" s="167"/>
    </row>
    <row r="43" spans="2:13" s="4" customFormat="1" ht="19.5" customHeight="1" x14ac:dyDescent="0.25">
      <c r="B43" s="171" t="s">
        <v>66</v>
      </c>
      <c r="C43" s="171"/>
      <c r="D43" s="167" t="str">
        <f>INDEX(tblEstados[Regla],5)&amp;"  →  "&amp;INDEX(tblEstados[Acción],5)</f>
        <v>Stock entre el margen de alerta y el máximo.  →  Sin acción</v>
      </c>
      <c r="E43" s="167"/>
      <c r="F43" s="167"/>
      <c r="G43" s="167"/>
      <c r="H43" s="167"/>
      <c r="I43" s="167"/>
      <c r="J43" s="167"/>
      <c r="K43" s="167"/>
      <c r="L43" s="167"/>
      <c r="M43" s="167"/>
    </row>
    <row r="44" spans="2:13" s="4" customFormat="1" ht="19.5" customHeight="1" x14ac:dyDescent="0.25">
      <c r="B44" s="172" t="s">
        <v>69</v>
      </c>
      <c r="C44" s="172"/>
      <c r="D44" s="167" t="str">
        <f>INDEX(tblEstados[Regla],6)&amp;"  →  "&amp;INDEX(tblEstados[Acción],6)</f>
        <v>Stock por encima del máximo.  →  Frenar compras / rotar inventario</v>
      </c>
      <c r="E44" s="167"/>
      <c r="F44" s="167"/>
      <c r="G44" s="167"/>
      <c r="H44" s="167"/>
      <c r="I44" s="167"/>
      <c r="J44" s="167"/>
      <c r="K44" s="167"/>
      <c r="L44" s="167"/>
      <c r="M44" s="167"/>
    </row>
    <row r="45" spans="2:13" s="4" customFormat="1" ht="19.5" customHeight="1" x14ac:dyDescent="0.25">
      <c r="B45" s="173" t="s">
        <v>72</v>
      </c>
      <c r="C45" s="173"/>
      <c r="D45" s="167" t="str">
        <f>INDEX(tblEstados[Regla],7)&amp;"  →  "&amp;INDEX(tblEstados[Acción],7)</f>
        <v>Producto descontinuado (Activo = NO).  →  Sin acción</v>
      </c>
      <c r="E45" s="167"/>
      <c r="F45" s="167"/>
      <c r="G45" s="167"/>
      <c r="H45" s="167"/>
      <c r="I45" s="167"/>
      <c r="J45" s="167"/>
      <c r="K45" s="167"/>
      <c r="L45" s="167"/>
      <c r="M45" s="167"/>
    </row>
    <row r="46" spans="2:13" s="4" customFormat="1" ht="16.5" customHeight="1" x14ac:dyDescent="0.25">
      <c r="B46" s="174" t="str">
        <f>" Margen de alerta preventiva: "&amp;FIXED(cfgMargenAlerta*100,0)&amp;"% sobre el mínimo · Sin rotación: más de "&amp;cfgDiasSinRotacion&amp;" días sin movimiento."</f>
        <v xml:space="preserve"> Margen de alerta preventiva: 20% sobre el mínimo · Sin rotación: más de 60 días sin movimiento.</v>
      </c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</row>
    <row r="47" spans="2:13" s="4" customFormat="1" ht="10.5" customHeight="1" x14ac:dyDescent="0.25"/>
    <row r="48" spans="2:13" s="4" customFormat="1" ht="22.5" customHeight="1" x14ac:dyDescent="0.25">
      <c r="B48" s="160" t="s">
        <v>472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</row>
    <row r="49" spans="2:13" s="4" customFormat="1" ht="19.5" customHeight="1" x14ac:dyDescent="0.25">
      <c r="B49" s="175" t="s">
        <v>37</v>
      </c>
      <c r="C49" s="175"/>
      <c r="D49" s="6" t="s">
        <v>38</v>
      </c>
      <c r="E49" s="175" t="s">
        <v>473</v>
      </c>
      <c r="F49" s="175"/>
      <c r="G49" s="175"/>
      <c r="H49" s="175"/>
      <c r="I49" s="175"/>
      <c r="J49" s="175"/>
      <c r="K49" s="175"/>
      <c r="L49" s="175"/>
      <c r="M49" s="175"/>
    </row>
    <row r="50" spans="2:13" s="4" customFormat="1" ht="19.5" customHeight="1" x14ac:dyDescent="0.25">
      <c r="B50" s="176" t="str">
        <f>INDEX(tblTiposMov[Tipo],1)</f>
        <v>SALDO INICIAL</v>
      </c>
      <c r="C50" s="176"/>
      <c r="D50" s="117">
        <f>INDEX(tblTiposMov[FactorStock],1)</f>
        <v>1</v>
      </c>
      <c r="E50" s="177" t="str">
        <f>INDEX(tblTiposMov[Descripción],1)</f>
        <v>Carga del inventario existente al implementar el sistema (una vez por producto).</v>
      </c>
      <c r="F50" s="177"/>
      <c r="G50" s="177"/>
      <c r="H50" s="177"/>
      <c r="I50" s="177"/>
      <c r="J50" s="177"/>
      <c r="K50" s="177"/>
      <c r="L50" s="177"/>
      <c r="M50" s="177"/>
    </row>
    <row r="51" spans="2:13" s="4" customFormat="1" ht="19.5" customHeight="1" x14ac:dyDescent="0.25">
      <c r="B51" s="176" t="str">
        <f>INDEX(tblTiposMov[Tipo],2)</f>
        <v>ENTRADA</v>
      </c>
      <c r="C51" s="176"/>
      <c r="D51" s="117">
        <f>INDEX(tblTiposMov[FactorStock],2)</f>
        <v>1</v>
      </c>
      <c r="E51" s="177" t="str">
        <f>INDEX(tblTiposMov[Descripción],2)</f>
        <v>Compra, recepción de mercancía o devolución de un cliente.</v>
      </c>
      <c r="F51" s="177"/>
      <c r="G51" s="177"/>
      <c r="H51" s="177"/>
      <c r="I51" s="177"/>
      <c r="J51" s="177"/>
      <c r="K51" s="177"/>
      <c r="L51" s="177"/>
      <c r="M51" s="177"/>
    </row>
    <row r="52" spans="2:13" s="4" customFormat="1" ht="19.5" customHeight="1" x14ac:dyDescent="0.25">
      <c r="B52" s="176" t="str">
        <f>INDEX(tblTiposMov[Tipo],3)</f>
        <v>SALIDA</v>
      </c>
      <c r="C52" s="176"/>
      <c r="D52" s="117">
        <f>INDEX(tblTiposMov[FactorStock],3)</f>
        <v>-1</v>
      </c>
      <c r="E52" s="177" t="str">
        <f>INDEX(tblTiposMov[Descripción],3)</f>
        <v>Venta, despacho a cliente o consumo interno.</v>
      </c>
      <c r="F52" s="177"/>
      <c r="G52" s="177"/>
      <c r="H52" s="177"/>
      <c r="I52" s="177"/>
      <c r="J52" s="177"/>
      <c r="K52" s="177"/>
      <c r="L52" s="177"/>
      <c r="M52" s="177"/>
    </row>
    <row r="53" spans="2:13" s="4" customFormat="1" ht="19.5" customHeight="1" x14ac:dyDescent="0.25">
      <c r="B53" s="176" t="str">
        <f>INDEX(tblTiposMov[Tipo],4)</f>
        <v>AJUSTE (+)</v>
      </c>
      <c r="C53" s="176"/>
      <c r="D53" s="117">
        <f>INDEX(tblTiposMov[FactorStock],4)</f>
        <v>1</v>
      </c>
      <c r="E53" s="177" t="str">
        <f>INDEX(tblTiposMov[Descripción],4)</f>
        <v>Sobrante encontrado en conteo físico. Exige observación.</v>
      </c>
      <c r="F53" s="177"/>
      <c r="G53" s="177"/>
      <c r="H53" s="177"/>
      <c r="I53" s="177"/>
      <c r="J53" s="177"/>
      <c r="K53" s="177"/>
      <c r="L53" s="177"/>
      <c r="M53" s="177"/>
    </row>
    <row r="54" spans="2:13" s="4" customFormat="1" ht="19.5" customHeight="1" x14ac:dyDescent="0.25">
      <c r="B54" s="176" t="str">
        <f>INDEX(tblTiposMov[Tipo],5)</f>
        <v>AJUSTE (-)</v>
      </c>
      <c r="C54" s="176"/>
      <c r="D54" s="117">
        <f>INDEX(tblTiposMov[FactorStock],5)</f>
        <v>-1</v>
      </c>
      <c r="E54" s="177" t="str">
        <f>INDEX(tblTiposMov[Descripción],5)</f>
        <v>Merma, daño, pérdida o faltante en conteo físico. Exige observación.</v>
      </c>
      <c r="F54" s="177"/>
      <c r="G54" s="177"/>
      <c r="H54" s="177"/>
      <c r="I54" s="177"/>
      <c r="J54" s="177"/>
      <c r="K54" s="177"/>
      <c r="L54" s="177"/>
      <c r="M54" s="177"/>
    </row>
    <row r="55" spans="2:13" s="4" customFormat="1" ht="10.5" customHeight="1" x14ac:dyDescent="0.25"/>
    <row r="56" spans="2:13" s="4" customFormat="1" ht="22.5" customHeight="1" x14ac:dyDescent="0.25">
      <c r="B56" s="160" t="s">
        <v>474</v>
      </c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</row>
    <row r="57" spans="2:13" s="4" customFormat="1" ht="27" customHeight="1" x14ac:dyDescent="0.25">
      <c r="B57" s="163" t="s">
        <v>475</v>
      </c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</row>
    <row r="58" spans="2:13" s="4" customFormat="1" ht="27" customHeight="1" x14ac:dyDescent="0.25">
      <c r="B58" s="164" t="s">
        <v>476</v>
      </c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</row>
    <row r="59" spans="2:13" s="4" customFormat="1" ht="10.5" customHeight="1" x14ac:dyDescent="0.25"/>
    <row r="60" spans="2:13" s="4" customFormat="1" ht="22.5" customHeight="1" x14ac:dyDescent="0.25">
      <c r="B60" s="160" t="s">
        <v>477</v>
      </c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</row>
    <row r="61" spans="2:13" s="4" customFormat="1" ht="25.5" customHeight="1" x14ac:dyDescent="0.25">
      <c r="B61" s="118">
        <v>1</v>
      </c>
      <c r="C61" s="165" t="s">
        <v>478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</row>
    <row r="62" spans="2:13" s="4" customFormat="1" ht="25.5" customHeight="1" x14ac:dyDescent="0.25">
      <c r="B62" s="118">
        <v>2</v>
      </c>
      <c r="C62" s="165" t="s">
        <v>479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</row>
    <row r="63" spans="2:13" s="4" customFormat="1" ht="25.5" customHeight="1" x14ac:dyDescent="0.25">
      <c r="B63" s="118">
        <v>3</v>
      </c>
      <c r="C63" s="165" t="s">
        <v>480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</row>
    <row r="64" spans="2:13" s="4" customFormat="1" ht="25.5" customHeight="1" x14ac:dyDescent="0.25">
      <c r="B64" s="118">
        <v>4</v>
      </c>
      <c r="C64" s="165" t="s">
        <v>481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</row>
    <row r="65" spans="2:13" s="4" customFormat="1" ht="25.5" customHeight="1" x14ac:dyDescent="0.25">
      <c r="B65" s="118">
        <v>5</v>
      </c>
      <c r="C65" s="165" t="s">
        <v>482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</row>
    <row r="66" spans="2:13" s="4" customFormat="1" ht="10.5" customHeight="1" x14ac:dyDescent="0.25"/>
    <row r="67" spans="2:13" s="4" customFormat="1" ht="22.5" customHeight="1" x14ac:dyDescent="0.25">
      <c r="B67" s="160" t="s">
        <v>483</v>
      </c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</row>
    <row r="68" spans="2:13" s="4" customFormat="1" ht="25.5" customHeight="1" x14ac:dyDescent="0.25">
      <c r="B68" s="119">
        <v>1</v>
      </c>
      <c r="C68" s="165" t="s">
        <v>484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</row>
    <row r="69" spans="2:13" s="4" customFormat="1" ht="25.5" customHeight="1" x14ac:dyDescent="0.25">
      <c r="B69" s="119">
        <v>2</v>
      </c>
      <c r="C69" s="165" t="s">
        <v>485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</row>
    <row r="70" spans="2:13" s="4" customFormat="1" ht="25.5" customHeight="1" x14ac:dyDescent="0.25">
      <c r="B70" s="119">
        <v>3</v>
      </c>
      <c r="C70" s="165" t="s">
        <v>486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</row>
    <row r="71" spans="2:13" s="4" customFormat="1" ht="25.5" customHeight="1" x14ac:dyDescent="0.25">
      <c r="B71" s="119">
        <v>4</v>
      </c>
      <c r="C71" s="165" t="s">
        <v>487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</row>
    <row r="72" spans="2:13" s="4" customFormat="1" ht="10.5" customHeight="1" x14ac:dyDescent="0.25"/>
    <row r="73" spans="2:13" s="4" customFormat="1" ht="22.5" customHeight="1" x14ac:dyDescent="0.25">
      <c r="B73" s="160" t="s">
        <v>488</v>
      </c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</row>
    <row r="74" spans="2:13" s="4" customFormat="1" ht="21" customHeight="1" x14ac:dyDescent="0.25">
      <c r="B74" s="178" t="s">
        <v>489</v>
      </c>
      <c r="C74" s="178"/>
      <c r="D74" s="163" t="s">
        <v>490</v>
      </c>
      <c r="E74" s="163"/>
      <c r="F74" s="163"/>
      <c r="G74" s="163"/>
      <c r="H74" s="163"/>
      <c r="I74" s="163"/>
      <c r="J74" s="163"/>
      <c r="K74" s="163"/>
      <c r="L74" s="163"/>
      <c r="M74" s="163"/>
    </row>
    <row r="75" spans="2:13" s="4" customFormat="1" ht="21" customHeight="1" x14ac:dyDescent="0.25">
      <c r="B75" s="178" t="s">
        <v>491</v>
      </c>
      <c r="C75" s="178"/>
      <c r="D75" s="163" t="s">
        <v>492</v>
      </c>
      <c r="E75" s="163"/>
      <c r="F75" s="163"/>
      <c r="G75" s="163"/>
      <c r="H75" s="163"/>
      <c r="I75" s="163"/>
      <c r="J75" s="163"/>
      <c r="K75" s="163"/>
      <c r="L75" s="163"/>
      <c r="M75" s="163"/>
    </row>
    <row r="76" spans="2:13" s="4" customFormat="1" ht="21" customHeight="1" x14ac:dyDescent="0.25">
      <c r="B76" s="178" t="s">
        <v>493</v>
      </c>
      <c r="C76" s="178"/>
      <c r="D76" s="163" t="s">
        <v>494</v>
      </c>
      <c r="E76" s="163"/>
      <c r="F76" s="163"/>
      <c r="G76" s="163"/>
      <c r="H76" s="163"/>
      <c r="I76" s="163"/>
      <c r="J76" s="163"/>
      <c r="K76" s="163"/>
      <c r="L76" s="163"/>
      <c r="M76" s="163"/>
    </row>
    <row r="77" spans="2:13" s="4" customFormat="1" ht="21" customHeight="1" x14ac:dyDescent="0.25">
      <c r="B77" s="178" t="s">
        <v>495</v>
      </c>
      <c r="C77" s="178"/>
      <c r="D77" s="163" t="s">
        <v>496</v>
      </c>
      <c r="E77" s="163"/>
      <c r="F77" s="163"/>
      <c r="G77" s="163"/>
      <c r="H77" s="163"/>
      <c r="I77" s="163"/>
      <c r="J77" s="163"/>
      <c r="K77" s="163"/>
      <c r="L77" s="163"/>
      <c r="M77" s="163"/>
    </row>
    <row r="78" spans="2:13" s="4" customFormat="1" ht="21" customHeight="1" x14ac:dyDescent="0.25">
      <c r="B78" s="178" t="s">
        <v>497</v>
      </c>
      <c r="C78" s="178"/>
      <c r="D78" s="163" t="s">
        <v>498</v>
      </c>
      <c r="E78" s="163"/>
      <c r="F78" s="163"/>
      <c r="G78" s="163"/>
      <c r="H78" s="163"/>
      <c r="I78" s="163"/>
      <c r="J78" s="163"/>
      <c r="K78" s="163"/>
      <c r="L78" s="163"/>
      <c r="M78" s="163"/>
    </row>
    <row r="79" spans="2:13" s="4" customFormat="1" ht="10.5" customHeight="1" x14ac:dyDescent="0.25"/>
    <row r="80" spans="2:13" s="4" customFormat="1" ht="22.5" customHeight="1" x14ac:dyDescent="0.25">
      <c r="B80" s="160" t="s">
        <v>499</v>
      </c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</row>
    <row r="81" spans="2:13" s="4" customFormat="1" ht="16.5" customHeight="1" x14ac:dyDescent="0.25">
      <c r="B81" s="179" t="s">
        <v>500</v>
      </c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</row>
    <row r="82" spans="2:13" s="4" customFormat="1" ht="18" customHeight="1" x14ac:dyDescent="0.25">
      <c r="B82" s="164" t="s">
        <v>501</v>
      </c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</row>
    <row r="83" spans="2:13" s="4" customFormat="1" ht="16.5" customHeight="1" x14ac:dyDescent="0.25">
      <c r="B83" s="179" t="s">
        <v>502</v>
      </c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</row>
    <row r="84" spans="2:13" s="4" customFormat="1" ht="18" customHeight="1" x14ac:dyDescent="0.25">
      <c r="B84" s="164" t="s">
        <v>503</v>
      </c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</row>
    <row r="85" spans="2:13" s="4" customFormat="1" ht="16.5" customHeight="1" x14ac:dyDescent="0.25">
      <c r="B85" s="179" t="s">
        <v>504</v>
      </c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</row>
    <row r="86" spans="2:13" s="4" customFormat="1" ht="18" customHeight="1" x14ac:dyDescent="0.25">
      <c r="B86" s="164" t="s">
        <v>505</v>
      </c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</row>
    <row r="87" spans="2:13" s="4" customFormat="1" ht="16.5" customHeight="1" x14ac:dyDescent="0.25">
      <c r="B87" s="179" t="s">
        <v>506</v>
      </c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</row>
    <row r="88" spans="2:13" s="4" customFormat="1" ht="18" customHeight="1" x14ac:dyDescent="0.25">
      <c r="B88" s="164" t="s">
        <v>507</v>
      </c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</row>
    <row r="89" spans="2:13" s="4" customFormat="1" ht="16.5" customHeight="1" x14ac:dyDescent="0.25">
      <c r="B89" s="179" t="s">
        <v>508</v>
      </c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</row>
    <row r="90" spans="2:13" s="4" customFormat="1" ht="18" customHeight="1" x14ac:dyDescent="0.25">
      <c r="B90" s="164" t="s">
        <v>509</v>
      </c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</row>
    <row r="91" spans="2:13" s="4" customFormat="1" ht="14.25" x14ac:dyDescent="0.25"/>
    <row r="92" spans="2:13" s="4" customFormat="1" ht="22.5" customHeight="1" x14ac:dyDescent="0.25">
      <c r="B92" s="180" t="s">
        <v>510</v>
      </c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</row>
    <row r="93" spans="2:13" s="4" customFormat="1" ht="12" customHeight="1" x14ac:dyDescent="0.25"/>
  </sheetData>
  <sheetProtection password="930D" sheet="1" objects="1" scenarios="1"/>
  <mergeCells count="97">
    <mergeCell ref="B88:M88"/>
    <mergeCell ref="B89:M89"/>
    <mergeCell ref="B90:M90"/>
    <mergeCell ref="B92:M92"/>
    <mergeCell ref="B83:M83"/>
    <mergeCell ref="B84:M84"/>
    <mergeCell ref="B85:M85"/>
    <mergeCell ref="B86:M86"/>
    <mergeCell ref="B87:M87"/>
    <mergeCell ref="B78:C78"/>
    <mergeCell ref="D78:M78"/>
    <mergeCell ref="B80:M80"/>
    <mergeCell ref="B81:M81"/>
    <mergeCell ref="B82:M82"/>
    <mergeCell ref="B75:C75"/>
    <mergeCell ref="D75:M75"/>
    <mergeCell ref="B76:C76"/>
    <mergeCell ref="D76:M76"/>
    <mergeCell ref="B77:C77"/>
    <mergeCell ref="D77:M77"/>
    <mergeCell ref="C69:M69"/>
    <mergeCell ref="C70:M70"/>
    <mergeCell ref="C71:M71"/>
    <mergeCell ref="B73:M73"/>
    <mergeCell ref="B74:C74"/>
    <mergeCell ref="D74:M74"/>
    <mergeCell ref="C63:M63"/>
    <mergeCell ref="C64:M64"/>
    <mergeCell ref="C65:M65"/>
    <mergeCell ref="B67:M67"/>
    <mergeCell ref="C68:M68"/>
    <mergeCell ref="B57:M57"/>
    <mergeCell ref="B58:M58"/>
    <mergeCell ref="B60:M60"/>
    <mergeCell ref="C61:M61"/>
    <mergeCell ref="C62:M62"/>
    <mergeCell ref="B53:C53"/>
    <mergeCell ref="E53:M53"/>
    <mergeCell ref="B54:C54"/>
    <mergeCell ref="E54:M54"/>
    <mergeCell ref="B56:M56"/>
    <mergeCell ref="B50:C50"/>
    <mergeCell ref="E50:M50"/>
    <mergeCell ref="B51:C51"/>
    <mergeCell ref="E51:M51"/>
    <mergeCell ref="B52:C52"/>
    <mergeCell ref="E52:M52"/>
    <mergeCell ref="B45:C45"/>
    <mergeCell ref="D45:M45"/>
    <mergeCell ref="B46:M46"/>
    <mergeCell ref="B48:M48"/>
    <mergeCell ref="B49:C49"/>
    <mergeCell ref="E49:M49"/>
    <mergeCell ref="B42:C42"/>
    <mergeCell ref="D42:M42"/>
    <mergeCell ref="B43:C43"/>
    <mergeCell ref="D43:M43"/>
    <mergeCell ref="B44:C44"/>
    <mergeCell ref="D44:M44"/>
    <mergeCell ref="B39:C39"/>
    <mergeCell ref="D39:M39"/>
    <mergeCell ref="B40:C40"/>
    <mergeCell ref="D40:M40"/>
    <mergeCell ref="B41:C41"/>
    <mergeCell ref="D41:M41"/>
    <mergeCell ref="C33:M33"/>
    <mergeCell ref="C34:M34"/>
    <mergeCell ref="B36:M36"/>
    <mergeCell ref="C37:G37"/>
    <mergeCell ref="I37:M37"/>
    <mergeCell ref="C27:M27"/>
    <mergeCell ref="C28:M28"/>
    <mergeCell ref="C29:M29"/>
    <mergeCell ref="B31:M31"/>
    <mergeCell ref="C32:M32"/>
    <mergeCell ref="B22:M22"/>
    <mergeCell ref="C23:M23"/>
    <mergeCell ref="C24:M24"/>
    <mergeCell ref="C25:M25"/>
    <mergeCell ref="C26:M26"/>
    <mergeCell ref="C15:K15"/>
    <mergeCell ref="L15:M15"/>
    <mergeCell ref="B17:M17"/>
    <mergeCell ref="B18:M18"/>
    <mergeCell ref="B20:M20"/>
    <mergeCell ref="C12:K12"/>
    <mergeCell ref="L12:M12"/>
    <mergeCell ref="C13:K13"/>
    <mergeCell ref="L13:M13"/>
    <mergeCell ref="C14:K14"/>
    <mergeCell ref="L14:M14"/>
    <mergeCell ref="B6:M6"/>
    <mergeCell ref="B9:M9"/>
    <mergeCell ref="C10:K10"/>
    <mergeCell ref="L10:M10"/>
    <mergeCell ref="C11:K11"/>
    <mergeCell ref="L11:M11"/>
  </mergeCells>
  <conditionalFormatting sqref="B10:B15">
    <cfRule type="cellIs" dxfId="2" priority="1" operator="equal">
      <formula>"✔"</formula>
    </cfRule>
  </conditionalFormatting>
  <conditionalFormatting sqref="D50:D54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118</vt:i4>
      </vt:variant>
    </vt:vector>
  </HeadingPairs>
  <TitlesOfParts>
    <vt:vector size="128" baseType="lpstr">
      <vt:lpstr>00_PORTADA</vt:lpstr>
      <vt:lpstr>04_PROVEEDORES</vt:lpstr>
      <vt:lpstr>05_PRODUCTOS</vt:lpstr>
      <vt:lpstr>10_MOVIMIENTOS</vt:lpstr>
      <vt:lpstr>13_CONTEO</vt:lpstr>
      <vt:lpstr>15_STOCK</vt:lpstr>
      <vt:lpstr>16_ALERTAS</vt:lpstr>
      <vt:lpstr>17_KARDEX</vt:lpstr>
      <vt:lpstr>18_PEDIDO</vt:lpstr>
      <vt:lpstr>99_AYUDA</vt:lpstr>
      <vt:lpstr>cfgBodega</vt:lpstr>
      <vt:lpstr>cfgDiasSinRotacion</vt:lpstr>
      <vt:lpstr>cfgEdicion</vt:lpstr>
      <vt:lpstr>cfgEmpresa</vt:lpstr>
      <vt:lpstr>cfgFechaBuild</vt:lpstr>
      <vt:lpstr>cfgFechaMin</vt:lpstr>
      <vt:lpstr>cfgMargenAlerta</vt:lpstr>
      <vt:lpstr>cfgMoneda</vt:lpstr>
      <vt:lpstr>cfgNIT</vt:lpstr>
      <vt:lpstr>cfgProveedor</vt:lpstr>
      <vt:lpstr>cfgSelladoHasta</vt:lpstr>
      <vt:lpstr>cfgVersion</vt:lpstr>
      <vt:lpstr>ctFecha</vt:lpstr>
      <vt:lpstr>ctResponsable</vt:lpstr>
      <vt:lpstr>irConsultar</vt:lpstr>
      <vt:lpstr>irPrimerosPasos</vt:lpstr>
      <vt:lpstr>kpiActivos</vt:lpstr>
      <vt:lpstr>kpiAdvertencias</vt:lpstr>
      <vt:lpstr>kpiAgotados</vt:lpstr>
      <vt:lpstr>kpiBajos</vt:lpstr>
      <vt:lpstr>kpiCapacidad</vt:lpstr>
      <vt:lpstr>kpiCatalogo</vt:lpstr>
      <vt:lpstr>kpiCategorias</vt:lpstr>
      <vt:lpstr>kpiConSaldoInicial</vt:lpstr>
      <vt:lpstr>kpiConteoContados</vt:lpstr>
      <vt:lpstr>kpiConteoDif</vt:lpstr>
      <vt:lpstr>kpiConteoValor</vt:lpstr>
      <vt:lpstr>kpiCriticos</vt:lpstr>
      <vt:lpstr>kpiEgrMes</vt:lpstr>
      <vt:lpstr>kpiEnAlerta</vt:lpstr>
      <vt:lpstr>kpiErrores</vt:lpstr>
      <vt:lpstr>kpiFilaLibreMov</vt:lpstr>
      <vt:lpstr>kpiFilaLibreProd</vt:lpstr>
      <vt:lpstr>kpiFilaLibreProv</vt:lpstr>
      <vt:lpstr>kpiInactivos</vt:lpstr>
      <vt:lpstr>kpiInconsistentes</vt:lpstr>
      <vt:lpstr>kpiIngMes</vt:lpstr>
      <vt:lpstr>kpiMovMes</vt:lpstr>
      <vt:lpstr>kpiOperativos</vt:lpstr>
      <vt:lpstr>kpiOptimos</vt:lpstr>
      <vt:lpstr>kpiPaso</vt:lpstr>
      <vt:lpstr>kpiPasoNivel</vt:lpstr>
      <vt:lpstr>kpiPedidoLineas</vt:lpstr>
      <vt:lpstr>kpiPedidoProv</vt:lpstr>
      <vt:lpstr>kpiPedidoTotal</vt:lpstr>
      <vt:lpstr>kpiProveedores</vt:lpstr>
      <vt:lpstr>kpiRegistros</vt:lpstr>
      <vt:lpstr>kpiSinRotacion</vt:lpstr>
      <vt:lpstr>kpiSobrestock</vt:lpstr>
      <vt:lpstr>kpiUltFecha</vt:lpstr>
      <vt:lpstr>kpiUltimoID</vt:lpstr>
      <vt:lpstr>kpiValor</vt:lpstr>
      <vt:lpstr>kpiValorSinRot</vt:lpstr>
      <vt:lpstr>kxBuscar</vt:lpstr>
      <vt:lpstr>kxCategoria</vt:lpstr>
      <vt:lpstr>kxCoinciden</vt:lpstr>
      <vt:lpstr>kxExiste</vt:lpstr>
      <vt:lpstr>kxFila</vt:lpstr>
      <vt:lpstr>kxMostrados</vt:lpstr>
      <vt:lpstr>kxN</vt:lpstr>
      <vt:lpstr>kxProducto</vt:lpstr>
      <vt:lpstr>kxSKU</vt:lpstr>
      <vt:lpstr>kxStock</vt:lpstr>
      <vt:lpstr>lpBase</vt:lpstr>
      <vt:lpstr>lpCat</vt:lpstr>
      <vt:lpstr>lpVacio</vt:lpstr>
      <vt:lpstr>lstCategorias</vt:lpstr>
      <vt:lpstr>lstResponsables</vt:lpstr>
      <vt:lpstr>lstTiposMov</vt:lpstr>
      <vt:lpstr>lstUniCod</vt:lpstr>
      <vt:lpstr>lstUniDec</vt:lpstr>
      <vt:lpstr>pdProveedor</vt:lpstr>
      <vt:lpstr>pdProvFila</vt:lpstr>
      <vt:lpstr>'04_PROVEEDORES'!Títulos_a_imprimir</vt:lpstr>
      <vt:lpstr>'05_PRODUCTOS'!Títulos_a_imprimir</vt:lpstr>
      <vt:lpstr>'10_MOVIMIENTOS'!Títulos_a_imprimir</vt:lpstr>
      <vt:lpstr>'13_CONTEO'!Títulos_a_imprimir</vt:lpstr>
      <vt:lpstr>'15_STOCK'!Títulos_a_imprimir</vt:lpstr>
      <vt:lpstr>'16_ALERTAS'!Títulos_a_imprimir</vt:lpstr>
      <vt:lpstr>'18_PEDIDO'!Títulos_a_imprimir</vt:lpstr>
      <vt:lpstr>txtActivosNota</vt:lpstr>
      <vt:lpstr>txtAgotNota</vt:lpstr>
      <vt:lpstr>txtAlertasBtn</vt:lpstr>
      <vt:lpstr>txtBajosNota</vt:lpstr>
      <vt:lpstr>txtBitacora</vt:lpstr>
      <vt:lpstr>txtChipAgot</vt:lpstr>
      <vt:lpstr>txtChipBajo</vt:lpstr>
      <vt:lpstr>txtChipCrit</vt:lpstr>
      <vt:lpstr>txtChipIncons</vt:lpstr>
      <vt:lpstr>txtChipSobre</vt:lpstr>
      <vt:lpstr>txtConteoContados</vt:lpstr>
      <vt:lpstr>txtConteoDif</vt:lpstr>
      <vt:lpstr>txtConteoValor</vt:lpstr>
      <vt:lpstr>txtCritNota</vt:lpstr>
      <vt:lpstr>txtEmpresa</vt:lpstr>
      <vt:lpstr>txtEnAlerta</vt:lpstr>
      <vt:lpstr>txtIntegridad</vt:lpstr>
      <vt:lpstr>txtKardexCoinciden</vt:lpstr>
      <vt:lpstr>txtKardexMeta</vt:lpstr>
      <vt:lpstr>txtKardexMostrando</vt:lpstr>
      <vt:lpstr>txtKardexResumen</vt:lpstr>
      <vt:lpstr>txtKardexTotales</vt:lpstr>
      <vt:lpstr>txtMovNota</vt:lpstr>
      <vt:lpstr>txtOptNota</vt:lpstr>
      <vt:lpstr>txtPaso</vt:lpstr>
      <vt:lpstr>txtPasoBoton</vt:lpstr>
      <vt:lpstr>txtPedidoContacto</vt:lpstr>
      <vt:lpstr>txtPedidoEntrega</vt:lpstr>
      <vt:lpstr>txtPedidoLineas</vt:lpstr>
      <vt:lpstr>txtPedidoResumen</vt:lpstr>
      <vt:lpstr>txtPedidoTotal</vt:lpstr>
      <vt:lpstr>txtProductos</vt:lpstr>
      <vt:lpstr>txtProveedores</vt:lpstr>
      <vt:lpstr>txtRegistros</vt:lpstr>
      <vt:lpstr>txtSinRotNota</vt:lpstr>
      <vt:lpstr>txtUltimoRegistro</vt:lpstr>
      <vt:lpstr>txtValor</vt:lpstr>
      <vt:lpstr>txtValorNota</vt:lpstr>
    </vt:vector>
  </TitlesOfParts>
  <Company>Z&amp;P Software Fast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M-INV · Sistema de Inventarios</dc:title>
  <dc:subject>Inventario B2B transaccional (CQRS sobre Excel)</dc:subject>
  <dc:creator>Z&amp;P Software Fast Solutions</dc:creator>
  <cp:keywords>M-INV, inventario, CQRS, kardex</cp:keywords>
  <dc:description>Generado por tools/build_minv.py. No editar a mano: regenerar desde el repositorio.</dc:description>
  <cp:lastModifiedBy>John Martin Zabaleta Cano</cp:lastModifiedBy>
  <dcterms:created xsi:type="dcterms:W3CDTF">2026-09-25T09:13:30Z</dcterms:created>
  <dcterms:modified xsi:type="dcterms:W3CDTF">2026-09-25T09:15:28Z</dcterms:modified>
  <cp:category>Inventarios</cp:category>
  <cp:contentStatus>Producción · Estándar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-INV Version">
    <vt:lpwstr>1.2.0</vt:lpwstr>
  </property>
  <property fmtid="{D5CDD505-2E9C-101B-9397-08002B2CF9AE}" pid="3" name="M-INV Build">
    <vt:lpwstr>release</vt:lpwstr>
  </property>
  <property fmtid="{D5CDD505-2E9C-101B-9397-08002B2CF9AE}" pid="4" name="M-INV Edicion">
    <vt:lpwstr>estandar</vt:lpwstr>
  </property>
</Properties>
</file>